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nicolascarpa/Downloads/"/>
    </mc:Choice>
  </mc:AlternateContent>
  <xr:revisionPtr revIDLastSave="0" documentId="13_ncr:1_{71B2F76E-6447-B545-B91F-F233A7E01010}" xr6:coauthVersionLast="47" xr6:coauthVersionMax="47" xr10:uidLastSave="{00000000-0000-0000-0000-000000000000}"/>
  <bookViews>
    <workbookView xWindow="0" yWindow="760" windowWidth="30240" windowHeight="18880" firstSheet="17" activeTab="28" xr2:uid="{F741CC33-7086-4446-8A9F-89B89A9EC7B0}"/>
  </bookViews>
  <sheets>
    <sheet name="CID" sheetId="40" state="hidden" r:id="rId1"/>
    <sheet name="DASHBOARD" sheetId="94" r:id="rId2"/>
    <sheet name="CALENDARIO 2025" sheetId="82" r:id="rId3"/>
    <sheet name="STORICO" sheetId="37" r:id="rId4"/>
    <sheet name="BUDGET 25" sheetId="51" r:id="rId5"/>
    <sheet name="ENDRI" sheetId="50" state="hidden" r:id="rId6"/>
    <sheet name="ZAZA" sheetId="49" state="hidden" r:id="rId7"/>
    <sheet name="G" sheetId="47" state="hidden" r:id="rId8"/>
    <sheet name="BILANCIO 25" sheetId="39" r:id="rId9"/>
    <sheet name="SCADENZARIO" sheetId="18" r:id="rId10"/>
    <sheet name="Foglio1" sheetId="41" state="hidden" r:id="rId11"/>
    <sheet name="CASSA" sheetId="24" r:id="rId12"/>
    <sheet name="MONTENEGRO" sheetId="44" state="hidden" r:id="rId13"/>
    <sheet name="BANCA" sheetId="36" r:id="rId14"/>
    <sheet name="PAGHE" sheetId="80" r:id="rId15"/>
    <sheet name="ORE MESE" sheetId="81" r:id="rId16"/>
    <sheet name="TURNI WEISS" sheetId="58" r:id="rId17"/>
    <sheet name="GEN" sheetId="1" r:id="rId18"/>
    <sheet name="FEB" sheetId="2" r:id="rId19"/>
    <sheet name="MAR" sheetId="3" r:id="rId20"/>
    <sheet name="APR" sheetId="4" r:id="rId21"/>
    <sheet name="MAG" sheetId="5" r:id="rId22"/>
    <sheet name="GIU" sheetId="6" r:id="rId23"/>
    <sheet name="LUG" sheetId="7" r:id="rId24"/>
    <sheet name="AGO" sheetId="27" r:id="rId25"/>
    <sheet name="SET" sheetId="9" r:id="rId26"/>
    <sheet name="OTT" sheetId="10" r:id="rId27"/>
    <sheet name="NOV" sheetId="11" r:id="rId28"/>
    <sheet name="DIC" sheetId="12" r:id="rId29"/>
    <sheet name="TT" sheetId="26" state="hidden" r:id="rId30"/>
  </sheets>
  <definedNames>
    <definedName name="_xlnm._FilterDatabase" localSheetId="11" hidden="1">CASSA!$A$1:$CJ$24427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12" l="1"/>
  <c r="D35" i="12"/>
  <c r="H35" i="12" s="1"/>
  <c r="O48" i="4"/>
  <c r="C7" i="37"/>
  <c r="L35" i="12" l="1"/>
  <c r="G3" i="12" l="1"/>
  <c r="G3" i="11"/>
  <c r="G2" i="11"/>
  <c r="I2482" i="36"/>
  <c r="I2483" i="36" s="1"/>
  <c r="I2484" i="36" s="1"/>
  <c r="I2485" i="36" s="1"/>
  <c r="E2512" i="36"/>
  <c r="I2324" i="24"/>
  <c r="I2325" i="24" s="1"/>
  <c r="I2326" i="24" s="1"/>
  <c r="I2327" i="24" s="1"/>
  <c r="I2328" i="24" s="1"/>
  <c r="I2329" i="24" s="1"/>
  <c r="I2330" i="24" s="1"/>
  <c r="I2331" i="24" s="1"/>
  <c r="I2332" i="24" s="1"/>
  <c r="I2333" i="24" s="1"/>
  <c r="I2334" i="24" s="1"/>
  <c r="I2335" i="24" s="1"/>
  <c r="I2336" i="24" s="1"/>
  <c r="I2337" i="24" s="1"/>
  <c r="I2338" i="24" s="1"/>
  <c r="I2339" i="24" s="1"/>
  <c r="I2340" i="24" s="1"/>
  <c r="I2341" i="24" s="1"/>
  <c r="I2342" i="24" s="1"/>
  <c r="I2343" i="24" s="1"/>
  <c r="I2344" i="24" s="1"/>
  <c r="I2345" i="24" s="1"/>
  <c r="I2346" i="24" s="1"/>
  <c r="I2347" i="24" s="1"/>
  <c r="I2348" i="24" s="1"/>
  <c r="I2349" i="24" s="1"/>
  <c r="I2350" i="24" s="1"/>
  <c r="I2351" i="24" s="1"/>
  <c r="I2352" i="24" s="1"/>
  <c r="I2353" i="24" s="1"/>
  <c r="I2354" i="24" s="1"/>
  <c r="I2355" i="24" s="1"/>
  <c r="I2356" i="24" s="1"/>
  <c r="I2357" i="24" s="1"/>
  <c r="I2358" i="24" s="1"/>
  <c r="I2359" i="24" s="1"/>
  <c r="I2360" i="24" s="1"/>
  <c r="I2361" i="24" s="1"/>
  <c r="I2362" i="24" s="1"/>
  <c r="I2363" i="24" s="1"/>
  <c r="I2364" i="24" s="1"/>
  <c r="I2365" i="24" s="1"/>
  <c r="I2366" i="24" s="1"/>
  <c r="I2367" i="24" s="1"/>
  <c r="I2368" i="24" s="1"/>
  <c r="I2369" i="24" s="1"/>
  <c r="I2370" i="24" s="1"/>
  <c r="I2371" i="24" s="1"/>
  <c r="I2372" i="24" s="1"/>
  <c r="I2373" i="24" s="1"/>
  <c r="I2374" i="24" s="1"/>
  <c r="I2375" i="24" s="1"/>
  <c r="I2376" i="24" s="1"/>
  <c r="I2377" i="24" s="1"/>
  <c r="I2378" i="24" s="1"/>
  <c r="I2379" i="24" s="1"/>
  <c r="I2380" i="24" s="1"/>
  <c r="I2381" i="24" s="1"/>
  <c r="I2382" i="24" s="1"/>
  <c r="I2383" i="24" s="1"/>
  <c r="I2384" i="24" s="1"/>
  <c r="I2385" i="24" s="1"/>
  <c r="I2386" i="24" s="1"/>
  <c r="I2387" i="24" s="1"/>
  <c r="I2388" i="24" s="1"/>
  <c r="I2389" i="24" s="1"/>
  <c r="I2390" i="24" s="1"/>
  <c r="I2391" i="24" s="1"/>
  <c r="I2392" i="24" s="1"/>
  <c r="I2393" i="24" s="1"/>
  <c r="I2394" i="24" s="1"/>
  <c r="I2395" i="24" s="1"/>
  <c r="I2396" i="24" s="1"/>
  <c r="I2397" i="24" s="1"/>
  <c r="I2398" i="24" s="1"/>
  <c r="I2399" i="24" s="1"/>
  <c r="I2400" i="24" s="1"/>
  <c r="I2401" i="24" s="1"/>
  <c r="I2402" i="24" s="1"/>
  <c r="I2403" i="24" s="1"/>
  <c r="I2404" i="24" s="1"/>
  <c r="I2405" i="24" s="1"/>
  <c r="I2406" i="24" s="1"/>
  <c r="I2407" i="24" s="1"/>
  <c r="I2408" i="24" s="1"/>
  <c r="I2409" i="24" s="1"/>
  <c r="I2410" i="24" s="1"/>
  <c r="I2411" i="24" s="1"/>
  <c r="I2412" i="24" s="1"/>
  <c r="I2413" i="24" s="1"/>
  <c r="I2414" i="24" s="1"/>
  <c r="I2415" i="24" s="1"/>
  <c r="I2416" i="24" s="1"/>
  <c r="I2417" i="24" s="1"/>
  <c r="I2418" i="24" s="1"/>
  <c r="I2419" i="24" s="1"/>
  <c r="I2420" i="24" s="1"/>
  <c r="I2421" i="24" s="1"/>
  <c r="I2422" i="24" s="1"/>
  <c r="I2423" i="24" s="1"/>
  <c r="I2424" i="24" s="1"/>
  <c r="I2425" i="24" s="1"/>
  <c r="I2426" i="24" s="1"/>
  <c r="I2427" i="24" s="1"/>
  <c r="I2428" i="24" s="1"/>
  <c r="I2429" i="24" s="1"/>
  <c r="I2430" i="24" s="1"/>
  <c r="I2431" i="24" s="1"/>
  <c r="I2432" i="24" s="1"/>
  <c r="I2433" i="24" s="1"/>
  <c r="I2434" i="24" s="1"/>
  <c r="I2435" i="24" s="1"/>
  <c r="I2436" i="24" s="1"/>
  <c r="I2437" i="24" s="1"/>
  <c r="I2438" i="24" s="1"/>
  <c r="I2439" i="24" s="1"/>
  <c r="I2440" i="24" s="1"/>
  <c r="I2441" i="24" s="1"/>
  <c r="I2442" i="24" s="1"/>
  <c r="I2443" i="24" s="1"/>
  <c r="O61" i="12" l="1"/>
  <c r="E2388" i="36"/>
  <c r="E2586" i="24"/>
  <c r="E2576" i="24"/>
  <c r="E2573" i="24"/>
  <c r="E2567" i="24"/>
  <c r="E2562" i="24"/>
  <c r="E2553" i="24"/>
  <c r="E2545" i="24"/>
  <c r="E2536" i="24"/>
  <c r="E2533" i="24"/>
  <c r="E2529" i="24"/>
  <c r="E2520" i="24"/>
  <c r="E2503" i="24"/>
  <c r="M31" i="12"/>
  <c r="L31" i="12" s="1"/>
  <c r="H31" i="12"/>
  <c r="L30" i="12"/>
  <c r="H30" i="12"/>
  <c r="D30" i="12"/>
  <c r="M29" i="12"/>
  <c r="L29" i="12" s="1"/>
  <c r="H29" i="12"/>
  <c r="D29" i="12"/>
  <c r="M28" i="12"/>
  <c r="L28" i="12" s="1"/>
  <c r="H28" i="12"/>
  <c r="D28" i="12"/>
  <c r="M27" i="12"/>
  <c r="L27" i="12" s="1"/>
  <c r="H27" i="12"/>
  <c r="D27" i="12"/>
  <c r="M26" i="12"/>
  <c r="L26" i="12" s="1"/>
  <c r="H26" i="12"/>
  <c r="D26" i="12"/>
  <c r="M25" i="12"/>
  <c r="L25" i="12" s="1"/>
  <c r="H25" i="12"/>
  <c r="D25" i="12"/>
  <c r="M23" i="12"/>
  <c r="L23" i="12" s="1"/>
  <c r="H23" i="12"/>
  <c r="D23" i="12"/>
  <c r="M22" i="12"/>
  <c r="L22" i="12" s="1"/>
  <c r="H22" i="12"/>
  <c r="D22" i="12"/>
  <c r="M21" i="12"/>
  <c r="L21" i="12" s="1"/>
  <c r="H21" i="12"/>
  <c r="D21" i="12"/>
  <c r="M20" i="12"/>
  <c r="L20" i="12" s="1"/>
  <c r="H20" i="12"/>
  <c r="D20" i="12"/>
  <c r="M19" i="12"/>
  <c r="L19" i="12" s="1"/>
  <c r="H19" i="12"/>
  <c r="D19" i="12"/>
  <c r="J11" i="80"/>
  <c r="I11" i="80"/>
  <c r="J10" i="80"/>
  <c r="I10" i="80"/>
  <c r="J9" i="80"/>
  <c r="I9" i="80"/>
  <c r="J8" i="80"/>
  <c r="K8" i="80" s="1"/>
  <c r="I8" i="80"/>
  <c r="J7" i="80"/>
  <c r="I7" i="80"/>
  <c r="J6" i="80"/>
  <c r="I6" i="80"/>
  <c r="D313" i="80"/>
  <c r="D318" i="80"/>
  <c r="D314" i="80"/>
  <c r="D320" i="80"/>
  <c r="D310" i="80"/>
  <c r="D309" i="80"/>
  <c r="E309" i="80" s="1"/>
  <c r="D282" i="80"/>
  <c r="D319" i="80"/>
  <c r="D316" i="80"/>
  <c r="D315" i="80"/>
  <c r="D311" i="80"/>
  <c r="F1880" i="36"/>
  <c r="E2498" i="24"/>
  <c r="E2495" i="24"/>
  <c r="E2493" i="24"/>
  <c r="E2475" i="24"/>
  <c r="E2471" i="24"/>
  <c r="E2466" i="24"/>
  <c r="E2462" i="24"/>
  <c r="E2454" i="24"/>
  <c r="E2449" i="24"/>
  <c r="M18" i="12"/>
  <c r="L18" i="12" s="1"/>
  <c r="H18" i="12"/>
  <c r="M17" i="12"/>
  <c r="L17" i="12"/>
  <c r="H17" i="12"/>
  <c r="D17" i="12"/>
  <c r="M16" i="12"/>
  <c r="L16" i="12" s="1"/>
  <c r="H16" i="12"/>
  <c r="D16" i="12"/>
  <c r="M15" i="12"/>
  <c r="L15" i="12" s="1"/>
  <c r="H15" i="12"/>
  <c r="D15" i="12"/>
  <c r="M14" i="12"/>
  <c r="L14" i="12" s="1"/>
  <c r="H14" i="12"/>
  <c r="D14" i="12"/>
  <c r="M13" i="12"/>
  <c r="L13" i="12" s="1"/>
  <c r="H13" i="12"/>
  <c r="D13" i="12"/>
  <c r="M12" i="12"/>
  <c r="L12" i="12" s="1"/>
  <c r="H12" i="12"/>
  <c r="D12" i="12"/>
  <c r="O11" i="12"/>
  <c r="M11" i="12"/>
  <c r="L11" i="12" s="1"/>
  <c r="H11" i="12"/>
  <c r="D11" i="12"/>
  <c r="O39" i="12"/>
  <c r="O37" i="12"/>
  <c r="O36" i="12"/>
  <c r="O35" i="12"/>
  <c r="O33" i="12"/>
  <c r="O32" i="12"/>
  <c r="O10" i="12"/>
  <c r="M10" i="12"/>
  <c r="L10" i="12" s="1"/>
  <c r="H10" i="12"/>
  <c r="M31" i="11"/>
  <c r="L31" i="11" s="1"/>
  <c r="H31" i="11"/>
  <c r="D31" i="11"/>
  <c r="G2" i="4"/>
  <c r="O62" i="12" l="1"/>
  <c r="K10" i="80"/>
  <c r="K6" i="80"/>
  <c r="K11" i="80"/>
  <c r="K7" i="80"/>
  <c r="K9" i="80"/>
  <c r="F2376" i="36"/>
  <c r="F2377" i="36"/>
  <c r="L16" i="10" l="1"/>
  <c r="L23" i="10"/>
  <c r="L24" i="10"/>
  <c r="L27" i="10"/>
  <c r="L16" i="11" l="1"/>
  <c r="E2426" i="24"/>
  <c r="E2424" i="24"/>
  <c r="E2422" i="24"/>
  <c r="E2415" i="24"/>
  <c r="M39" i="11"/>
  <c r="L39" i="11" s="1"/>
  <c r="H39" i="11"/>
  <c r="D39" i="11"/>
  <c r="M38" i="11"/>
  <c r="L38" i="11" s="1"/>
  <c r="H38" i="11"/>
  <c r="D38" i="11"/>
  <c r="M37" i="11"/>
  <c r="L37" i="11" s="1"/>
  <c r="H37" i="11"/>
  <c r="D37" i="11"/>
  <c r="M36" i="11"/>
  <c r="L36" i="11" s="1"/>
  <c r="H36" i="11"/>
  <c r="D36" i="11"/>
  <c r="L19" i="11" l="1"/>
  <c r="M19" i="11"/>
  <c r="H19" i="11"/>
  <c r="M18" i="11"/>
  <c r="L18" i="11" s="1"/>
  <c r="H18" i="11"/>
  <c r="D18" i="11"/>
  <c r="E2412" i="24" l="1"/>
  <c r="E2405" i="24"/>
  <c r="E2402" i="24"/>
  <c r="E2398" i="24"/>
  <c r="E2394" i="24"/>
  <c r="E2387" i="24"/>
  <c r="E2384" i="24"/>
  <c r="E2379" i="24"/>
  <c r="E2376" i="24"/>
  <c r="E2373" i="24"/>
  <c r="E2357" i="24"/>
  <c r="E2353" i="24"/>
  <c r="E2343" i="24"/>
  <c r="E2338" i="24"/>
  <c r="E2335" i="24"/>
  <c r="E2321" i="24"/>
  <c r="E2311" i="24"/>
  <c r="M35" i="11"/>
  <c r="L35" i="11" s="1"/>
  <c r="H35" i="11"/>
  <c r="D35" i="11"/>
  <c r="M34" i="11"/>
  <c r="L34" i="11" s="1"/>
  <c r="H34" i="11"/>
  <c r="D34" i="11"/>
  <c r="M33" i="11"/>
  <c r="L33" i="11" s="1"/>
  <c r="H33" i="11"/>
  <c r="M32" i="11"/>
  <c r="L32" i="11" s="1"/>
  <c r="H32" i="11"/>
  <c r="D32" i="11"/>
  <c r="M30" i="11"/>
  <c r="L30" i="11" s="1"/>
  <c r="H30" i="11"/>
  <c r="D30" i="11"/>
  <c r="M29" i="11"/>
  <c r="L29" i="11" s="1"/>
  <c r="H29" i="11"/>
  <c r="D29" i="11"/>
  <c r="M28" i="11"/>
  <c r="L28" i="11" s="1"/>
  <c r="H28" i="11"/>
  <c r="D28" i="11"/>
  <c r="M27" i="11"/>
  <c r="L27" i="11"/>
  <c r="H27" i="11"/>
  <c r="D27" i="11"/>
  <c r="M26" i="11"/>
  <c r="L26" i="11" s="1"/>
  <c r="H26" i="11"/>
  <c r="M25" i="11"/>
  <c r="L25" i="11" s="1"/>
  <c r="H25" i="11"/>
  <c r="D25" i="11"/>
  <c r="M24" i="11"/>
  <c r="L24" i="11" s="1"/>
  <c r="H24" i="11"/>
  <c r="D24" i="11"/>
  <c r="M23" i="11"/>
  <c r="L23" i="11"/>
  <c r="H23" i="11"/>
  <c r="D23" i="11"/>
  <c r="M22" i="11"/>
  <c r="L22" i="11" s="1"/>
  <c r="H22" i="11"/>
  <c r="D22" i="11"/>
  <c r="M21" i="11"/>
  <c r="L21" i="11" s="1"/>
  <c r="H21" i="11"/>
  <c r="D21" i="11"/>
  <c r="M20" i="11"/>
  <c r="L20" i="11" s="1"/>
  <c r="H20" i="11"/>
  <c r="D20" i="11"/>
  <c r="D291" i="80"/>
  <c r="D289" i="80"/>
  <c r="D292" i="80"/>
  <c r="D283" i="80"/>
  <c r="D293" i="80"/>
  <c r="D287" i="80"/>
  <c r="D288" i="80"/>
  <c r="D286" i="80"/>
  <c r="D290" i="80"/>
  <c r="D284" i="80"/>
  <c r="M17" i="11"/>
  <c r="L17" i="11" s="1"/>
  <c r="H17" i="11"/>
  <c r="D17" i="11"/>
  <c r="M15" i="11"/>
  <c r="L15" i="11" s="1"/>
  <c r="H15" i="11"/>
  <c r="D15" i="11"/>
  <c r="M16" i="11"/>
  <c r="D16" i="11"/>
  <c r="E2307" i="24"/>
  <c r="E2299" i="24"/>
  <c r="E2295" i="24"/>
  <c r="M14" i="11"/>
  <c r="L14" i="11" s="1"/>
  <c r="H14" i="11"/>
  <c r="D14" i="11"/>
  <c r="M13" i="11"/>
  <c r="L13" i="11" s="1"/>
  <c r="H13" i="11"/>
  <c r="D13" i="11"/>
  <c r="M12" i="11"/>
  <c r="L12" i="11" s="1"/>
  <c r="H12" i="11"/>
  <c r="E2291" i="24"/>
  <c r="E2286" i="24"/>
  <c r="E2282" i="24"/>
  <c r="F2157" i="36"/>
  <c r="F2156" i="36"/>
  <c r="O35" i="37"/>
  <c r="C34" i="37"/>
  <c r="C32" i="37"/>
  <c r="D32" i="37" s="1"/>
  <c r="C31" i="37"/>
  <c r="D31" i="37" s="1"/>
  <c r="E18" i="37"/>
  <c r="E2252" i="24"/>
  <c r="E2250" i="24"/>
  <c r="E2280" i="24"/>
  <c r="E2277" i="24"/>
  <c r="M11" i="11"/>
  <c r="L11" i="11" s="1"/>
  <c r="H11" i="11"/>
  <c r="D11" i="11"/>
  <c r="O10" i="11"/>
  <c r="M10" i="11"/>
  <c r="L10" i="11" s="1"/>
  <c r="H10" i="11"/>
  <c r="D10" i="11"/>
  <c r="E2243" i="24"/>
  <c r="E2241" i="24"/>
  <c r="E2237" i="24"/>
  <c r="M40" i="10"/>
  <c r="L40" i="10" s="1"/>
  <c r="H40" i="10"/>
  <c r="D40" i="10"/>
  <c r="M39" i="10"/>
  <c r="L39" i="10" s="1"/>
  <c r="H39" i="10"/>
  <c r="D39" i="10"/>
  <c r="M38" i="10"/>
  <c r="L38" i="10" s="1"/>
  <c r="H38" i="10"/>
  <c r="D38" i="10"/>
  <c r="M37" i="10"/>
  <c r="L37" i="10" s="1"/>
  <c r="H37" i="10"/>
  <c r="D37" i="10"/>
  <c r="O25" i="11" l="1"/>
  <c r="H16" i="11"/>
  <c r="C33" i="37"/>
  <c r="D33" i="37" s="1"/>
  <c r="O36" i="10"/>
  <c r="M36" i="10"/>
  <c r="L36" i="10" s="1"/>
  <c r="H36" i="10"/>
  <c r="E2232" i="24"/>
  <c r="E2229" i="24"/>
  <c r="E2213" i="24"/>
  <c r="E2208" i="24"/>
  <c r="E2199" i="24"/>
  <c r="E2196" i="24"/>
  <c r="M35" i="10"/>
  <c r="L35" i="10" s="1"/>
  <c r="H35" i="10"/>
  <c r="D35" i="10"/>
  <c r="M34" i="10"/>
  <c r="L34" i="10" s="1"/>
  <c r="H34" i="10"/>
  <c r="D34" i="10"/>
  <c r="M33" i="10"/>
  <c r="L33" i="10" s="1"/>
  <c r="H33" i="10"/>
  <c r="D33" i="10"/>
  <c r="M32" i="10"/>
  <c r="L32" i="10" s="1"/>
  <c r="H32" i="10"/>
  <c r="D32" i="10"/>
  <c r="M31" i="10"/>
  <c r="L31" i="10" s="1"/>
  <c r="H31" i="10"/>
  <c r="D31" i="10"/>
  <c r="O30" i="10"/>
  <c r="M30" i="10"/>
  <c r="L30" i="10" s="1"/>
  <c r="H30" i="10"/>
  <c r="D30" i="10"/>
  <c r="E2188" i="24"/>
  <c r="O16" i="11" l="1"/>
  <c r="E2184" i="24"/>
  <c r="M28" i="10"/>
  <c r="L28" i="10" s="1"/>
  <c r="H28" i="10"/>
  <c r="D28" i="10"/>
  <c r="M27" i="10"/>
  <c r="H27" i="10"/>
  <c r="E2177" i="24"/>
  <c r="E2171" i="24"/>
  <c r="E2169" i="24"/>
  <c r="E2162" i="24"/>
  <c r="D27" i="10" l="1"/>
  <c r="L26" i="10"/>
  <c r="M26" i="10"/>
  <c r="H26" i="10"/>
  <c r="D26" i="10"/>
  <c r="M25" i="10"/>
  <c r="L25" i="10" s="1"/>
  <c r="H25" i="10"/>
  <c r="D25" i="10"/>
  <c r="E2150" i="24" l="1"/>
  <c r="E2144" i="24"/>
  <c r="M24" i="10"/>
  <c r="H24" i="10"/>
  <c r="D24" i="10"/>
  <c r="M23" i="10"/>
  <c r="H23" i="10"/>
  <c r="D23" i="10"/>
  <c r="D261" i="80"/>
  <c r="D265" i="80"/>
  <c r="D260" i="80"/>
  <c r="D259" i="80"/>
  <c r="D256" i="80"/>
  <c r="D257" i="80"/>
  <c r="E2096" i="24" l="1"/>
  <c r="D264" i="80" l="1"/>
  <c r="D263" i="80"/>
  <c r="D262" i="80"/>
  <c r="D228" i="80"/>
  <c r="D255" i="80"/>
  <c r="C275" i="80"/>
  <c r="Z286" i="58" l="1"/>
  <c r="M22" i="10"/>
  <c r="L22" i="10"/>
  <c r="H22" i="10"/>
  <c r="E2141" i="24"/>
  <c r="E2137" i="24"/>
  <c r="E2133" i="24"/>
  <c r="E2128" i="24"/>
  <c r="E2108" i="24"/>
  <c r="M21" i="10"/>
  <c r="L21" i="10"/>
  <c r="H21" i="10"/>
  <c r="D21" i="10"/>
  <c r="M20" i="10"/>
  <c r="L20" i="10"/>
  <c r="H20" i="10"/>
  <c r="D20" i="10"/>
  <c r="M19" i="10"/>
  <c r="L19" i="10" s="1"/>
  <c r="H19" i="10"/>
  <c r="D19" i="10"/>
  <c r="M18" i="10"/>
  <c r="L18" i="10" s="1"/>
  <c r="H18" i="10"/>
  <c r="D18" i="10"/>
  <c r="E2061" i="24"/>
  <c r="E2103" i="24"/>
  <c r="E2093" i="24" l="1"/>
  <c r="E2083" i="24"/>
  <c r="E2054" i="24"/>
  <c r="M17" i="10"/>
  <c r="L17" i="10"/>
  <c r="H17" i="10"/>
  <c r="D17" i="10"/>
  <c r="M16" i="10"/>
  <c r="H16" i="10"/>
  <c r="D16" i="10"/>
  <c r="M15" i="10"/>
  <c r="L15" i="10" s="1"/>
  <c r="H15" i="10"/>
  <c r="M14" i="10"/>
  <c r="L14" i="10" s="1"/>
  <c r="H14" i="10"/>
  <c r="D14" i="10"/>
  <c r="M13" i="10"/>
  <c r="L13" i="10" s="1"/>
  <c r="H13" i="10"/>
  <c r="D13" i="10"/>
  <c r="O12" i="10"/>
  <c r="M12" i="10"/>
  <c r="L12" i="10" s="1"/>
  <c r="H12" i="10"/>
  <c r="D12" i="10"/>
  <c r="O11" i="10"/>
  <c r="M11" i="10"/>
  <c r="L11" i="10" s="1"/>
  <c r="H11" i="10"/>
  <c r="D11" i="10"/>
  <c r="E2048" i="24"/>
  <c r="D30" i="37"/>
  <c r="O10" i="10"/>
  <c r="M10" i="10"/>
  <c r="H10" i="10"/>
  <c r="D10" i="10"/>
  <c r="E2040" i="24"/>
  <c r="M38" i="9"/>
  <c r="L38" i="9" s="1"/>
  <c r="H38" i="9"/>
  <c r="M37" i="9"/>
  <c r="L37" i="9"/>
  <c r="H37" i="9"/>
  <c r="D37" i="9"/>
  <c r="M36" i="9"/>
  <c r="L36" i="9" s="1"/>
  <c r="H36" i="9"/>
  <c r="D36" i="9"/>
  <c r="M35" i="9"/>
  <c r="L35" i="9"/>
  <c r="H35" i="9"/>
  <c r="D35" i="9"/>
  <c r="M39" i="9"/>
  <c r="L39" i="9" s="1"/>
  <c r="H39" i="9"/>
  <c r="F39" i="9"/>
  <c r="D39" i="9"/>
  <c r="E2036" i="24"/>
  <c r="E2030" i="24" l="1"/>
  <c r="E2027" i="24"/>
  <c r="E2017" i="24"/>
  <c r="E2011" i="24"/>
  <c r="F2005" i="24"/>
  <c r="E2002" i="24"/>
  <c r="E1997" i="24"/>
  <c r="E1992" i="24"/>
  <c r="G1991" i="24"/>
  <c r="M33" i="9"/>
  <c r="L33" i="9" s="1"/>
  <c r="H33" i="9"/>
  <c r="D33" i="9"/>
  <c r="M32" i="9"/>
  <c r="L32" i="9" s="1"/>
  <c r="H32" i="9"/>
  <c r="D32" i="9"/>
  <c r="M34" i="9"/>
  <c r="D34" i="9"/>
  <c r="O31" i="9"/>
  <c r="M31" i="9"/>
  <c r="L31" i="9" s="1"/>
  <c r="H31" i="9"/>
  <c r="H34" i="9" l="1"/>
  <c r="L34" i="9" s="1"/>
  <c r="O34" i="9" l="1"/>
  <c r="F1982" i="24"/>
  <c r="E1978" i="24"/>
  <c r="E1970" i="24"/>
  <c r="E1975" i="24"/>
  <c r="AB4" i="51"/>
  <c r="AN3" i="81"/>
  <c r="E1959" i="24"/>
  <c r="F1954" i="24"/>
  <c r="M30" i="9"/>
  <c r="L30" i="9" s="1"/>
  <c r="H30" i="9"/>
  <c r="D30" i="9"/>
  <c r="M29" i="9"/>
  <c r="L29" i="9" s="1"/>
  <c r="H29" i="9"/>
  <c r="D29" i="9"/>
  <c r="M28" i="9"/>
  <c r="L28" i="9"/>
  <c r="H28" i="9"/>
  <c r="D28" i="9"/>
  <c r="E1836" i="36"/>
  <c r="E1821" i="36"/>
  <c r="E1781" i="36"/>
  <c r="E1764" i="36"/>
  <c r="E1709" i="36"/>
  <c r="F1865" i="36"/>
  <c r="E1952" i="24" l="1"/>
  <c r="M27" i="9"/>
  <c r="L27" i="9"/>
  <c r="H27" i="9"/>
  <c r="D27" i="9"/>
  <c r="F1870" i="24"/>
  <c r="M26" i="9"/>
  <c r="L26" i="9"/>
  <c r="H26" i="9"/>
  <c r="D26" i="9"/>
  <c r="AJ138" i="81"/>
  <c r="AO10" i="81" s="1"/>
  <c r="AK138" i="81"/>
  <c r="AP10" i="81" s="1"/>
  <c r="AL138" i="81"/>
  <c r="AH143" i="81"/>
  <c r="AQ10" i="81"/>
  <c r="E1944" i="24"/>
  <c r="E1940" i="24"/>
  <c r="O25" i="9"/>
  <c r="M25" i="9"/>
  <c r="L25" i="9" s="1"/>
  <c r="H25" i="9"/>
  <c r="D25" i="9"/>
  <c r="D229" i="80"/>
  <c r="F1935" i="24"/>
  <c r="O24" i="9"/>
  <c r="M24" i="9"/>
  <c r="L24" i="9" s="1"/>
  <c r="H24" i="9"/>
  <c r="E1926" i="24"/>
  <c r="AR10" i="81" l="1"/>
  <c r="E1908" i="24"/>
  <c r="E1912" i="24"/>
  <c r="E1915" i="24"/>
  <c r="M20" i="9" l="1"/>
  <c r="L20" i="9" s="1"/>
  <c r="H20" i="9"/>
  <c r="D20" i="9"/>
  <c r="M21" i="9"/>
  <c r="L21" i="9" s="1"/>
  <c r="H21" i="9"/>
  <c r="D21" i="9"/>
  <c r="M22" i="9"/>
  <c r="L22" i="9" s="1"/>
  <c r="H22" i="9"/>
  <c r="D22" i="9"/>
  <c r="O23" i="9"/>
  <c r="M23" i="9"/>
  <c r="L23" i="9" s="1"/>
  <c r="H23" i="9"/>
  <c r="D23" i="9"/>
  <c r="F1899" i="24"/>
  <c r="E1897" i="24"/>
  <c r="D235" i="80" l="1"/>
  <c r="D233" i="80"/>
  <c r="D232" i="80"/>
  <c r="D231" i="80"/>
  <c r="E231" i="80" s="1"/>
  <c r="D227" i="80"/>
  <c r="D234" i="80"/>
  <c r="O19" i="9"/>
  <c r="M19" i="9"/>
  <c r="L19" i="9" s="1"/>
  <c r="H19" i="9"/>
  <c r="E1891" i="24"/>
  <c r="O18" i="9" l="1"/>
  <c r="M18" i="9"/>
  <c r="L18" i="9" s="1"/>
  <c r="H18" i="9"/>
  <c r="D18" i="9"/>
  <c r="E1885" i="24"/>
  <c r="Z5" i="51"/>
  <c r="X5" i="51"/>
  <c r="V5" i="51"/>
  <c r="Q3" i="1"/>
  <c r="Q3" i="2"/>
  <c r="Q3" i="3"/>
  <c r="Q3" i="4"/>
  <c r="Q3" i="5"/>
  <c r="Q3" i="6"/>
  <c r="Q3" i="7"/>
  <c r="Q3" i="27"/>
  <c r="Q3" i="9"/>
  <c r="Q3" i="10"/>
  <c r="Q3" i="11"/>
  <c r="Q3" i="12"/>
  <c r="AH116" i="81"/>
  <c r="M15" i="9" l="1"/>
  <c r="L15" i="9" s="1"/>
  <c r="H15" i="9"/>
  <c r="D15" i="9"/>
  <c r="M16" i="9"/>
  <c r="D16" i="9"/>
  <c r="H16" i="9" s="1"/>
  <c r="M17" i="9"/>
  <c r="L17" i="9" s="1"/>
  <c r="H17" i="9"/>
  <c r="O17" i="9" s="1"/>
  <c r="E1879" i="24"/>
  <c r="E1875" i="24"/>
  <c r="E1868" i="24"/>
  <c r="E1864" i="24"/>
  <c r="F1861" i="24"/>
  <c r="E1859" i="24"/>
  <c r="M14" i="9"/>
  <c r="D14" i="9"/>
  <c r="H14" i="9" s="1"/>
  <c r="M13" i="9"/>
  <c r="D13" i="9"/>
  <c r="H13" i="9" s="1"/>
  <c r="M12" i="9"/>
  <c r="D12" i="9"/>
  <c r="H12" i="9" s="1"/>
  <c r="E1845" i="24"/>
  <c r="M11" i="9"/>
  <c r="L11" i="9" s="1"/>
  <c r="H11" i="9"/>
  <c r="D11" i="9"/>
  <c r="O10" i="9"/>
  <c r="M10" i="9"/>
  <c r="L10" i="9" s="1"/>
  <c r="H10" i="9"/>
  <c r="E1841" i="24"/>
  <c r="E1837" i="24"/>
  <c r="M40" i="27"/>
  <c r="L40" i="27" s="1"/>
  <c r="H40" i="27"/>
  <c r="D40" i="27"/>
  <c r="E1834" i="24"/>
  <c r="O39" i="27"/>
  <c r="M39" i="27"/>
  <c r="L39" i="27" s="1"/>
  <c r="H39" i="27"/>
  <c r="D39" i="27"/>
  <c r="E1830" i="24"/>
  <c r="T5" i="51" l="1"/>
  <c r="L13" i="9"/>
  <c r="O13" i="9" s="1"/>
  <c r="L14" i="9"/>
  <c r="O14" i="9" s="1"/>
  <c r="L12" i="9"/>
  <c r="O12" i="9" s="1"/>
  <c r="D9" i="51"/>
  <c r="O38" i="27"/>
  <c r="M38" i="27"/>
  <c r="L38" i="27" s="1"/>
  <c r="H38" i="27"/>
  <c r="D38" i="27"/>
  <c r="E1823" i="24"/>
  <c r="F1820" i="24"/>
  <c r="F1818" i="24"/>
  <c r="M37" i="27" l="1"/>
  <c r="L37" i="27" s="1"/>
  <c r="H37" i="27"/>
  <c r="D37" i="27"/>
  <c r="E1814" i="24"/>
  <c r="L36" i="27"/>
  <c r="H36" i="27"/>
  <c r="D36" i="27"/>
  <c r="E1811" i="24"/>
  <c r="E1805" i="24"/>
  <c r="O35" i="27"/>
  <c r="M35" i="27"/>
  <c r="L35" i="27" s="1"/>
  <c r="H35" i="27"/>
  <c r="D35" i="27"/>
  <c r="O34" i="27"/>
  <c r="M34" i="27"/>
  <c r="L34" i="27" s="1"/>
  <c r="H34" i="27"/>
  <c r="E1799" i="24"/>
  <c r="E1796" i="24"/>
  <c r="E1790" i="24"/>
  <c r="M33" i="27"/>
  <c r="L33" i="27" s="1"/>
  <c r="H33" i="27"/>
  <c r="D33" i="27"/>
  <c r="M32" i="27"/>
  <c r="L32" i="27" s="1"/>
  <c r="H32" i="27"/>
  <c r="D32" i="27"/>
  <c r="E35" i="37"/>
  <c r="F33" i="37"/>
  <c r="F32" i="37"/>
  <c r="L31" i="27" l="1"/>
  <c r="E1785" i="24"/>
  <c r="M31" i="27"/>
  <c r="H31" i="27"/>
  <c r="D31" i="27"/>
  <c r="F1778" i="24"/>
  <c r="F1776" i="24"/>
  <c r="F1771" i="24"/>
  <c r="F1774" i="24"/>
  <c r="M30" i="27"/>
  <c r="L30" i="27" s="1"/>
  <c r="H30" i="27"/>
  <c r="D30" i="27"/>
  <c r="E1769" i="24"/>
  <c r="E1259" i="36"/>
  <c r="E1766" i="24"/>
  <c r="M29" i="27" l="1"/>
  <c r="L29" i="27" s="1"/>
  <c r="H29" i="27"/>
  <c r="D29" i="27"/>
  <c r="F1763" i="24"/>
  <c r="O27" i="27" l="1"/>
  <c r="O28" i="27"/>
  <c r="M28" i="27"/>
  <c r="L28" i="27" s="1"/>
  <c r="H28" i="27"/>
  <c r="D28" i="27"/>
  <c r="M27" i="27"/>
  <c r="L27" i="27" s="1"/>
  <c r="H27" i="27"/>
  <c r="E1761" i="24"/>
  <c r="E1755" i="24"/>
  <c r="M26" i="27"/>
  <c r="L26" i="27" s="1"/>
  <c r="H26" i="27"/>
  <c r="D26" i="27"/>
  <c r="E1750" i="24"/>
  <c r="F1365" i="36" l="1"/>
  <c r="F1364" i="36"/>
  <c r="F1363" i="36"/>
  <c r="F1362" i="36"/>
  <c r="F1361" i="36"/>
  <c r="F1360" i="36"/>
  <c r="F1359" i="36"/>
  <c r="F1154" i="24"/>
  <c r="F1156" i="24"/>
  <c r="F1158" i="24"/>
  <c r="F1152" i="24"/>
  <c r="F1074" i="36" l="1"/>
  <c r="F1746" i="24" l="1"/>
  <c r="O25" i="27"/>
  <c r="M25" i="27"/>
  <c r="L25" i="27" s="1"/>
  <c r="H25" i="27"/>
  <c r="D25" i="27"/>
  <c r="E1740" i="24"/>
  <c r="C30" i="37"/>
  <c r="G115" i="39" s="1"/>
  <c r="G113" i="39" s="1"/>
  <c r="C29" i="37"/>
  <c r="D29" i="37" s="1"/>
  <c r="C28" i="37"/>
  <c r="D28" i="37" s="1"/>
  <c r="C27" i="37"/>
  <c r="D27" i="37" s="1"/>
  <c r="C26" i="37"/>
  <c r="D26" i="37" s="1"/>
  <c r="D25" i="37"/>
  <c r="C25" i="37"/>
  <c r="C24" i="37"/>
  <c r="D24" i="37" s="1"/>
  <c r="C23" i="37"/>
  <c r="D23" i="37" s="1"/>
  <c r="C35" i="37" l="1"/>
  <c r="E1196" i="36" l="1"/>
  <c r="E1463" i="36"/>
  <c r="E1623" i="36"/>
  <c r="E1537" i="36"/>
  <c r="M23" i="27"/>
  <c r="L23" i="27" s="1"/>
  <c r="H23" i="27"/>
  <c r="D23" i="27"/>
  <c r="E1732" i="24"/>
  <c r="F1727" i="24"/>
  <c r="E1670" i="36" l="1"/>
  <c r="E1725" i="24"/>
  <c r="F1723" i="24"/>
  <c r="M22" i="27"/>
  <c r="L22" i="27" s="1"/>
  <c r="H22" i="27"/>
  <c r="D22" i="27"/>
  <c r="O21" i="27"/>
  <c r="M21" i="27"/>
  <c r="L21" i="27"/>
  <c r="H21" i="27"/>
  <c r="D21" i="27"/>
  <c r="E1719" i="24"/>
  <c r="F1574" i="24"/>
  <c r="E1663" i="36"/>
  <c r="D209" i="80" l="1"/>
  <c r="D207" i="80"/>
  <c r="D205" i="80"/>
  <c r="D204" i="80"/>
  <c r="D203" i="80"/>
  <c r="D200" i="80"/>
  <c r="D172" i="80"/>
  <c r="E172" i="80" s="1"/>
  <c r="E353" i="80"/>
  <c r="E352" i="80"/>
  <c r="E351" i="80"/>
  <c r="E350" i="80"/>
  <c r="E349" i="80"/>
  <c r="E348" i="80"/>
  <c r="E347" i="80"/>
  <c r="E346" i="80"/>
  <c r="E345" i="80"/>
  <c r="E344" i="80"/>
  <c r="E343" i="80"/>
  <c r="E342" i="80"/>
  <c r="E341" i="80"/>
  <c r="E340" i="80"/>
  <c r="E339" i="80"/>
  <c r="E338" i="80"/>
  <c r="E337" i="80"/>
  <c r="E336" i="80"/>
  <c r="E326" i="80"/>
  <c r="E325" i="80"/>
  <c r="E324" i="80"/>
  <c r="E323" i="80"/>
  <c r="E322" i="80"/>
  <c r="E321" i="80"/>
  <c r="E320" i="80"/>
  <c r="E319" i="80"/>
  <c r="E318" i="80"/>
  <c r="E317" i="80"/>
  <c r="E316" i="80"/>
  <c r="E315" i="80"/>
  <c r="E314" i="80"/>
  <c r="E313" i="80"/>
  <c r="E311" i="80"/>
  <c r="E310" i="80"/>
  <c r="E290" i="80"/>
  <c r="E291" i="80"/>
  <c r="E292" i="80"/>
  <c r="E293" i="80"/>
  <c r="E289" i="80"/>
  <c r="E288" i="80"/>
  <c r="E287" i="80"/>
  <c r="E286" i="80"/>
  <c r="E285" i="80"/>
  <c r="E284" i="80"/>
  <c r="E283" i="80"/>
  <c r="E282" i="80"/>
  <c r="E272" i="80"/>
  <c r="E271" i="80"/>
  <c r="E270" i="80"/>
  <c r="E269" i="80"/>
  <c r="E268" i="80"/>
  <c r="E267" i="80"/>
  <c r="E266" i="80"/>
  <c r="E265" i="80"/>
  <c r="E264" i="80"/>
  <c r="E263" i="80"/>
  <c r="E262" i="80"/>
  <c r="E261" i="80"/>
  <c r="E260" i="80"/>
  <c r="E259" i="80"/>
  <c r="E257" i="80"/>
  <c r="E256" i="80"/>
  <c r="E255" i="80"/>
  <c r="E235" i="80"/>
  <c r="E234" i="80"/>
  <c r="E233" i="80"/>
  <c r="E232" i="80"/>
  <c r="E229" i="80"/>
  <c r="E228" i="80"/>
  <c r="E227" i="80"/>
  <c r="D201" i="80"/>
  <c r="D199" i="80"/>
  <c r="E71" i="80"/>
  <c r="E150" i="80"/>
  <c r="E145" i="80"/>
  <c r="E42" i="80"/>
  <c r="E40" i="80"/>
  <c r="E39" i="80"/>
  <c r="E37" i="80"/>
  <c r="E34" i="80"/>
  <c r="E33" i="80"/>
  <c r="E209" i="80"/>
  <c r="E208" i="80"/>
  <c r="E207" i="80"/>
  <c r="E205" i="80"/>
  <c r="E204" i="80"/>
  <c r="E203" i="80"/>
  <c r="E201" i="80"/>
  <c r="E200" i="80"/>
  <c r="E199" i="80"/>
  <c r="E173" i="80"/>
  <c r="E22" i="80"/>
  <c r="E23" i="80"/>
  <c r="D206" i="80"/>
  <c r="E206" i="80" s="1"/>
  <c r="E1701" i="24"/>
  <c r="O20" i="27"/>
  <c r="M20" i="27"/>
  <c r="L20" i="27" s="1"/>
  <c r="H20" i="27"/>
  <c r="E1698" i="24"/>
  <c r="O15" i="27"/>
  <c r="M17" i="27"/>
  <c r="L17" i="27"/>
  <c r="H17" i="27"/>
  <c r="D17" i="27"/>
  <c r="M16" i="27"/>
  <c r="L16" i="27" s="1"/>
  <c r="H16" i="27"/>
  <c r="D16" i="27"/>
  <c r="M15" i="27"/>
  <c r="L15" i="27" s="1"/>
  <c r="H15" i="27"/>
  <c r="D15" i="27"/>
  <c r="O18" i="27"/>
  <c r="O19" i="27"/>
  <c r="M18" i="27"/>
  <c r="L18" i="27" s="1"/>
  <c r="H18" i="27"/>
  <c r="D18" i="27"/>
  <c r="M19" i="27"/>
  <c r="L19" i="27"/>
  <c r="H19" i="27"/>
  <c r="D19" i="27"/>
  <c r="AL185" i="81" l="1"/>
  <c r="AK185" i="81"/>
  <c r="AJ185" i="81"/>
  <c r="AL184" i="81"/>
  <c r="AK184" i="81"/>
  <c r="AJ184" i="81"/>
  <c r="AL183" i="81"/>
  <c r="AK183" i="81"/>
  <c r="AJ183" i="81"/>
  <c r="AL182" i="81"/>
  <c r="AK182" i="81"/>
  <c r="AJ182" i="81"/>
  <c r="AL181" i="81"/>
  <c r="AK181" i="81"/>
  <c r="AJ181" i="81"/>
  <c r="AL180" i="81"/>
  <c r="AK180" i="81"/>
  <c r="AJ180" i="81"/>
  <c r="AK169" i="81"/>
  <c r="AK168" i="81"/>
  <c r="AK167" i="81"/>
  <c r="AK166" i="81"/>
  <c r="AK165" i="81"/>
  <c r="AK164" i="81"/>
  <c r="AK153" i="81"/>
  <c r="AK152" i="81"/>
  <c r="AK151" i="81"/>
  <c r="AK150" i="81"/>
  <c r="AK149" i="81"/>
  <c r="AK148" i="81"/>
  <c r="AK137" i="81"/>
  <c r="AK136" i="81"/>
  <c r="AK135" i="81"/>
  <c r="AK134" i="81"/>
  <c r="AK133" i="81"/>
  <c r="AK132" i="81"/>
  <c r="AK121" i="81"/>
  <c r="AK120" i="81"/>
  <c r="AK119" i="81"/>
  <c r="AK118" i="81"/>
  <c r="AK117" i="81"/>
  <c r="AK116" i="81"/>
  <c r="AK104" i="81"/>
  <c r="AK103" i="81"/>
  <c r="AK102" i="81"/>
  <c r="AK101" i="81"/>
  <c r="AK100" i="81"/>
  <c r="AK88" i="81"/>
  <c r="AK87" i="81"/>
  <c r="AK86" i="81"/>
  <c r="AK85" i="81"/>
  <c r="AK84" i="81"/>
  <c r="AK72" i="81"/>
  <c r="AK71" i="81"/>
  <c r="AK70" i="81"/>
  <c r="AK69" i="81"/>
  <c r="AK68" i="81"/>
  <c r="AK56" i="81"/>
  <c r="AK55" i="81"/>
  <c r="AK54" i="81"/>
  <c r="AK53" i="81"/>
  <c r="AK52" i="81"/>
  <c r="AK40" i="81"/>
  <c r="AK39" i="81"/>
  <c r="AK38" i="81"/>
  <c r="AK37" i="81"/>
  <c r="AK36" i="81"/>
  <c r="AK24" i="81"/>
  <c r="AK23" i="81"/>
  <c r="AK22" i="81"/>
  <c r="AK21" i="81"/>
  <c r="AK20" i="81"/>
  <c r="AK5" i="81"/>
  <c r="AK6" i="81"/>
  <c r="AK7" i="81"/>
  <c r="AK8" i="81"/>
  <c r="AK4" i="81"/>
  <c r="AJ4" i="81"/>
  <c r="E1692" i="24"/>
  <c r="E1691" i="24" s="1"/>
  <c r="F1681" i="24"/>
  <c r="E1677" i="24"/>
  <c r="E1668" i="24"/>
  <c r="F1671" i="24"/>
  <c r="E1669" i="24"/>
  <c r="E1664" i="24"/>
  <c r="F1661" i="24"/>
  <c r="AP9" i="81" l="1"/>
  <c r="AP5" i="81"/>
  <c r="AP4" i="81"/>
  <c r="AP6" i="81"/>
  <c r="AP8" i="81"/>
  <c r="AP7" i="81"/>
  <c r="E1651" i="24" l="1"/>
  <c r="E1640" i="24"/>
  <c r="E1631" i="24"/>
  <c r="E1624" i="24"/>
  <c r="E1619" i="24"/>
  <c r="R5" i="51" s="1"/>
  <c r="E1612" i="24"/>
  <c r="E1603" i="24"/>
  <c r="E1592" i="24"/>
  <c r="M13" i="27"/>
  <c r="H13" i="27"/>
  <c r="L13" i="27" s="1"/>
  <c r="M12" i="27"/>
  <c r="D12" i="27"/>
  <c r="H12" i="27" s="1"/>
  <c r="L12" i="27" s="1"/>
  <c r="AJ120" i="81" l="1"/>
  <c r="AL169" i="81"/>
  <c r="AJ169" i="81"/>
  <c r="AL153" i="81"/>
  <c r="AJ153" i="81"/>
  <c r="AL137" i="81"/>
  <c r="AJ137" i="81"/>
  <c r="AL121" i="81"/>
  <c r="AJ121" i="81"/>
  <c r="AL168" i="81"/>
  <c r="AJ168" i="81"/>
  <c r="AL167" i="81"/>
  <c r="AJ167" i="81"/>
  <c r="AL166" i="81"/>
  <c r="AJ166" i="81"/>
  <c r="AL165" i="81"/>
  <c r="AJ165" i="81"/>
  <c r="AL164" i="81"/>
  <c r="AJ164" i="81"/>
  <c r="AL152" i="81"/>
  <c r="AJ152" i="81"/>
  <c r="AL151" i="81"/>
  <c r="AJ151" i="81"/>
  <c r="AL150" i="81"/>
  <c r="AJ150" i="81"/>
  <c r="AL149" i="81"/>
  <c r="AJ149" i="81"/>
  <c r="AL148" i="81"/>
  <c r="AJ148" i="81"/>
  <c r="AL136" i="81"/>
  <c r="AJ136" i="81"/>
  <c r="AL135" i="81"/>
  <c r="AJ135" i="81"/>
  <c r="AL134" i="81"/>
  <c r="AJ134" i="81"/>
  <c r="AL133" i="81"/>
  <c r="AJ133" i="81"/>
  <c r="AL132" i="81"/>
  <c r="AJ132" i="81"/>
  <c r="AL120" i="81"/>
  <c r="AL119" i="81"/>
  <c r="AJ119" i="81"/>
  <c r="AL118" i="81"/>
  <c r="AJ118" i="81"/>
  <c r="AL117" i="81"/>
  <c r="AJ117" i="81"/>
  <c r="AL116" i="81"/>
  <c r="AJ116" i="81"/>
  <c r="AL104" i="81"/>
  <c r="AL103" i="81"/>
  <c r="AL102" i="81"/>
  <c r="AL101" i="81"/>
  <c r="AL100" i="81"/>
  <c r="AL88" i="81"/>
  <c r="AL87" i="81"/>
  <c r="AL86" i="81"/>
  <c r="AL85" i="81"/>
  <c r="AL84" i="81"/>
  <c r="AL72" i="81"/>
  <c r="AL71" i="81"/>
  <c r="AL70" i="81"/>
  <c r="AL69" i="81"/>
  <c r="AL68" i="81"/>
  <c r="AL56" i="81"/>
  <c r="AL55" i="81"/>
  <c r="AL54" i="81"/>
  <c r="AL53" i="81"/>
  <c r="AL52" i="81"/>
  <c r="AL40" i="81"/>
  <c r="AL39" i="81"/>
  <c r="AL38" i="81"/>
  <c r="AL37" i="81"/>
  <c r="AL36" i="81"/>
  <c r="AL24" i="81"/>
  <c r="AL23" i="81"/>
  <c r="AL22" i="81"/>
  <c r="AL21" i="81"/>
  <c r="AL20" i="81"/>
  <c r="AL5" i="81"/>
  <c r="AL6" i="81"/>
  <c r="AL7" i="81"/>
  <c r="AL8" i="81"/>
  <c r="AL4" i="81"/>
  <c r="AJ104" i="81"/>
  <c r="AJ103" i="81"/>
  <c r="AJ102" i="81"/>
  <c r="AJ101" i="81"/>
  <c r="AJ100" i="81"/>
  <c r="AJ88" i="81"/>
  <c r="AJ87" i="81"/>
  <c r="AJ86" i="81"/>
  <c r="AJ85" i="81"/>
  <c r="AJ84" i="81"/>
  <c r="AJ72" i="81"/>
  <c r="AJ71" i="81"/>
  <c r="AJ70" i="81"/>
  <c r="AJ69" i="81"/>
  <c r="AJ68" i="81"/>
  <c r="AJ56" i="81"/>
  <c r="AJ55" i="81"/>
  <c r="AJ54" i="81"/>
  <c r="AJ53" i="81"/>
  <c r="AJ52" i="81"/>
  <c r="AJ40" i="81"/>
  <c r="AJ39" i="81"/>
  <c r="AJ38" i="81"/>
  <c r="AJ37" i="81"/>
  <c r="AJ36" i="81"/>
  <c r="AJ24" i="81"/>
  <c r="AJ23" i="81"/>
  <c r="AJ22" i="81"/>
  <c r="AJ21" i="81"/>
  <c r="AJ20" i="81"/>
  <c r="AJ5" i="81"/>
  <c r="AJ6" i="81"/>
  <c r="AJ7" i="81"/>
  <c r="AJ8" i="81"/>
  <c r="AQ9" i="81" l="1"/>
  <c r="AO9" i="81"/>
  <c r="AQ4" i="81"/>
  <c r="AO5" i="81"/>
  <c r="AQ5" i="81"/>
  <c r="AO4" i="81"/>
  <c r="AQ7" i="81"/>
  <c r="AO7" i="81"/>
  <c r="AO8" i="81"/>
  <c r="AO6" i="81"/>
  <c r="AQ6" i="81"/>
  <c r="AQ8" i="81"/>
  <c r="AR4" i="81" l="1"/>
  <c r="AR9" i="81"/>
  <c r="AR5" i="81"/>
  <c r="AR7" i="81"/>
  <c r="AR8" i="81"/>
  <c r="AR6" i="81"/>
  <c r="O13" i="27" l="1"/>
  <c r="O14" i="27"/>
  <c r="M14" i="27"/>
  <c r="L14" i="27" s="1"/>
  <c r="H14" i="27"/>
  <c r="D14" i="27"/>
  <c r="M11" i="27" l="1"/>
  <c r="L11" i="27" s="1"/>
  <c r="H11" i="27"/>
  <c r="D11" i="27"/>
  <c r="L10" i="27" l="1"/>
  <c r="O10" i="27"/>
  <c r="M10" i="27"/>
  <c r="M39" i="7"/>
  <c r="L39" i="7" s="1"/>
  <c r="H39" i="7"/>
  <c r="D39" i="7"/>
  <c r="M38" i="7"/>
  <c r="L38" i="7" s="1"/>
  <c r="H38" i="7"/>
  <c r="D38" i="7"/>
  <c r="O40" i="7"/>
  <c r="M40" i="7"/>
  <c r="L40" i="7" s="1"/>
  <c r="D40" i="7"/>
  <c r="H10" i="27"/>
  <c r="D10" i="27"/>
  <c r="O37" i="7" l="1"/>
  <c r="M37" i="7"/>
  <c r="L37" i="7" s="1"/>
  <c r="H37" i="7"/>
  <c r="E1588" i="24"/>
  <c r="M34" i="7"/>
  <c r="L34" i="7" s="1"/>
  <c r="H34" i="7"/>
  <c r="D34" i="7"/>
  <c r="M33" i="7"/>
  <c r="L33" i="7" s="1"/>
  <c r="H33" i="7"/>
  <c r="D33" i="7"/>
  <c r="M32" i="7"/>
  <c r="L32" i="7" s="1"/>
  <c r="H32" i="7"/>
  <c r="D32" i="7"/>
  <c r="M31" i="7"/>
  <c r="L31" i="7"/>
  <c r="H31" i="7"/>
  <c r="D31" i="7"/>
  <c r="M30" i="7"/>
  <c r="L30" i="7"/>
  <c r="H30" i="7"/>
  <c r="E1578" i="24"/>
  <c r="O36" i="7"/>
  <c r="M36" i="7"/>
  <c r="L36" i="7" s="1"/>
  <c r="H36" i="7"/>
  <c r="D36" i="7"/>
  <c r="O35" i="7"/>
  <c r="M35" i="7"/>
  <c r="L35" i="7" s="1"/>
  <c r="H35" i="7"/>
  <c r="D35" i="7"/>
  <c r="E1572" i="24"/>
  <c r="F1511" i="36" l="1"/>
  <c r="E1510" i="36"/>
  <c r="E1565" i="24"/>
  <c r="F1558" i="24"/>
  <c r="E1556" i="24"/>
  <c r="E1552" i="24"/>
  <c r="E1544" i="24"/>
  <c r="E1536" i="24"/>
  <c r="E1533" i="24" l="1"/>
  <c r="E1530" i="24"/>
  <c r="F1527" i="24"/>
  <c r="M29" i="7" l="1"/>
  <c r="L29" i="7" s="1"/>
  <c r="H29" i="7"/>
  <c r="D29" i="7"/>
  <c r="M28" i="7"/>
  <c r="L28" i="7"/>
  <c r="H28" i="7"/>
  <c r="D28" i="7"/>
  <c r="E1505" i="36"/>
  <c r="F1504" i="36"/>
  <c r="E1503" i="36"/>
  <c r="F1488" i="36"/>
  <c r="E1487" i="36"/>
  <c r="E1512" i="24" l="1"/>
  <c r="E1510" i="24"/>
  <c r="F1507" i="24"/>
  <c r="E1504" i="24"/>
  <c r="F1501" i="24"/>
  <c r="E1494" i="24"/>
  <c r="M27" i="7" l="1"/>
  <c r="L27" i="7" s="1"/>
  <c r="H27" i="7"/>
  <c r="D27" i="7"/>
  <c r="M26" i="7"/>
  <c r="L26" i="7" s="1"/>
  <c r="H26" i="7"/>
  <c r="D26" i="7"/>
  <c r="O24" i="7"/>
  <c r="O25" i="7"/>
  <c r="M25" i="7"/>
  <c r="L25" i="7" s="1"/>
  <c r="H25" i="7"/>
  <c r="D25" i="7"/>
  <c r="M24" i="7"/>
  <c r="L24" i="7" s="1"/>
  <c r="H24" i="7"/>
  <c r="D24" i="7"/>
  <c r="M23" i="7"/>
  <c r="H23" i="7"/>
  <c r="M22" i="7"/>
  <c r="L22" i="7" s="1"/>
  <c r="H22" i="7"/>
  <c r="D22" i="7"/>
  <c r="D175" i="80"/>
  <c r="E175" i="80" s="1"/>
  <c r="D176" i="80"/>
  <c r="E176" i="80" s="1"/>
  <c r="D177" i="80"/>
  <c r="E177" i="80" s="1"/>
  <c r="D180" i="80"/>
  <c r="E180" i="80" s="1"/>
  <c r="C191" i="80"/>
  <c r="D179" i="80"/>
  <c r="E179" i="80" s="1"/>
  <c r="B178" i="80"/>
  <c r="D178" i="80" s="1"/>
  <c r="E178" i="80" s="1"/>
  <c r="D171" i="80"/>
  <c r="E171" i="80" s="1"/>
  <c r="D181" i="80"/>
  <c r="E181" i="80" s="1"/>
  <c r="L23" i="7" l="1"/>
  <c r="O23" i="7" s="1"/>
  <c r="E1483" i="24"/>
  <c r="E1479" i="24"/>
  <c r="E1477" i="24"/>
  <c r="AH112" i="81" l="1"/>
  <c r="AH111" i="81"/>
  <c r="AH110" i="81"/>
  <c r="AH109" i="81"/>
  <c r="AH108" i="81"/>
  <c r="AH107" i="81"/>
  <c r="AH106" i="81"/>
  <c r="AH105" i="81"/>
  <c r="AH104" i="81"/>
  <c r="AH103" i="81"/>
  <c r="AH102" i="81"/>
  <c r="AH101" i="81"/>
  <c r="AH100" i="81"/>
  <c r="I8" i="36" l="1"/>
  <c r="I9" i="36" s="1"/>
  <c r="I10" i="36" s="1"/>
  <c r="I11" i="36" s="1"/>
  <c r="E1475" i="24" l="1"/>
  <c r="E1472" i="24"/>
  <c r="F1469" i="24"/>
  <c r="E1467" i="24"/>
  <c r="E1449" i="24"/>
  <c r="E1284" i="36"/>
  <c r="E1392" i="24"/>
  <c r="E1350" i="24"/>
  <c r="M21" i="7"/>
  <c r="L21" i="7" s="1"/>
  <c r="H21" i="7"/>
  <c r="D21" i="7"/>
  <c r="M20" i="7"/>
  <c r="L20" i="7" s="1"/>
  <c r="H20" i="7"/>
  <c r="D20" i="7"/>
  <c r="M19" i="7"/>
  <c r="L19" i="7" s="1"/>
  <c r="H19" i="7"/>
  <c r="D19" i="7"/>
  <c r="M18" i="7"/>
  <c r="L18" i="7" s="1"/>
  <c r="H18" i="7"/>
  <c r="D18" i="7"/>
  <c r="E1437" i="24" l="1"/>
  <c r="E1433" i="24"/>
  <c r="M17" i="7"/>
  <c r="L17" i="7"/>
  <c r="H17" i="7"/>
  <c r="D17" i="7"/>
  <c r="O16" i="7"/>
  <c r="M16" i="7"/>
  <c r="L16" i="7" s="1"/>
  <c r="H16" i="7"/>
  <c r="M15" i="7"/>
  <c r="L15" i="7" s="1"/>
  <c r="H15" i="7"/>
  <c r="D15" i="7"/>
  <c r="E1429" i="24"/>
  <c r="F918" i="36"/>
  <c r="F917" i="36"/>
  <c r="F916" i="36"/>
  <c r="F915" i="36"/>
  <c r="F909" i="36"/>
  <c r="F908" i="36"/>
  <c r="F902" i="36"/>
  <c r="F901" i="36"/>
  <c r="F1381" i="24"/>
  <c r="M14" i="7"/>
  <c r="L14" i="7" s="1"/>
  <c r="H14" i="7"/>
  <c r="D14" i="7"/>
  <c r="E1425" i="24"/>
  <c r="F1285" i="36"/>
  <c r="F1309" i="36"/>
  <c r="E1308" i="36"/>
  <c r="F1331" i="36"/>
  <c r="E1405" i="36"/>
  <c r="E1413" i="36"/>
  <c r="F1397" i="36"/>
  <c r="E1396" i="36"/>
  <c r="F1378" i="36"/>
  <c r="F1357" i="36"/>
  <c r="E1421" i="24"/>
  <c r="F1415" i="24"/>
  <c r="O13" i="7"/>
  <c r="M13" i="7"/>
  <c r="L13" i="7" s="1"/>
  <c r="H13" i="7"/>
  <c r="D13" i="7"/>
  <c r="H12" i="7"/>
  <c r="P5" i="51" l="1"/>
  <c r="M12" i="7"/>
  <c r="L12" i="7"/>
  <c r="D12" i="7"/>
  <c r="M11" i="7"/>
  <c r="L11" i="7" s="1"/>
  <c r="H11" i="7"/>
  <c r="M10" i="7"/>
  <c r="L10" i="7" s="1"/>
  <c r="H10" i="7"/>
  <c r="D10" i="7"/>
  <c r="E1413" i="24"/>
  <c r="E1401" i="24"/>
  <c r="E1389" i="24"/>
  <c r="E1379" i="24"/>
  <c r="E1376" i="24" l="1"/>
  <c r="O39" i="6"/>
  <c r="M39" i="6"/>
  <c r="L39" i="6" s="1"/>
  <c r="H39" i="6"/>
  <c r="M38" i="6"/>
  <c r="L38" i="6" s="1"/>
  <c r="H38" i="6"/>
  <c r="D38" i="6"/>
  <c r="M37" i="6"/>
  <c r="L37" i="6"/>
  <c r="H37" i="6"/>
  <c r="D37" i="6"/>
  <c r="E1299" i="36"/>
  <c r="E1296" i="36"/>
  <c r="E1269" i="36"/>
  <c r="E1161" i="36"/>
  <c r="E1098" i="36"/>
  <c r="M36" i="6"/>
  <c r="L36" i="6" s="1"/>
  <c r="H36" i="6"/>
  <c r="D36" i="6"/>
  <c r="E1371" i="24"/>
  <c r="F1361" i="24"/>
  <c r="M35" i="6"/>
  <c r="L35" i="6" s="1"/>
  <c r="H35" i="6"/>
  <c r="D35" i="6"/>
  <c r="E1359" i="24"/>
  <c r="P34" i="6"/>
  <c r="O33" i="6"/>
  <c r="O34" i="6"/>
  <c r="O32" i="6"/>
  <c r="M34" i="6"/>
  <c r="L34" i="6" s="1"/>
  <c r="H34" i="6"/>
  <c r="D34" i="6"/>
  <c r="M33" i="6"/>
  <c r="L33" i="6" s="1"/>
  <c r="H33" i="6"/>
  <c r="D33" i="6"/>
  <c r="E1354" i="24"/>
  <c r="E1343" i="24" l="1"/>
  <c r="M32" i="6"/>
  <c r="L32" i="6" s="1"/>
  <c r="H32" i="6"/>
  <c r="M31" i="6"/>
  <c r="L31" i="6" s="1"/>
  <c r="H31" i="6"/>
  <c r="D31" i="6"/>
  <c r="E1341" i="24"/>
  <c r="E1333" i="24"/>
  <c r="M30" i="6"/>
  <c r="L30" i="6" s="1"/>
  <c r="H30" i="6"/>
  <c r="D30" i="6"/>
  <c r="E1329" i="24"/>
  <c r="E1308" i="24"/>
  <c r="E1322" i="24"/>
  <c r="F1324" i="24"/>
  <c r="M29" i="6"/>
  <c r="L29" i="6" s="1"/>
  <c r="H29" i="6"/>
  <c r="D29" i="6"/>
  <c r="O23" i="6"/>
  <c r="O24" i="6"/>
  <c r="O25" i="6"/>
  <c r="O26" i="6"/>
  <c r="O27" i="6"/>
  <c r="O28" i="6"/>
  <c r="M28" i="6"/>
  <c r="L28" i="6" s="1"/>
  <c r="H28" i="6"/>
  <c r="D28" i="6"/>
  <c r="M24" i="6" l="1"/>
  <c r="L24" i="6" s="1"/>
  <c r="H24" i="6"/>
  <c r="D24" i="6"/>
  <c r="E1290" i="24"/>
  <c r="E1286" i="24"/>
  <c r="E1283" i="24"/>
  <c r="F1277" i="24"/>
  <c r="M23" i="6"/>
  <c r="L23" i="6" s="1"/>
  <c r="H23" i="6"/>
  <c r="D23" i="6"/>
  <c r="D22" i="6" l="1"/>
  <c r="H22" i="6" s="1"/>
  <c r="M22" i="6"/>
  <c r="L22" i="6" l="1"/>
  <c r="M21" i="6" l="1"/>
  <c r="H21" i="6"/>
  <c r="D21" i="6"/>
  <c r="E1275" i="24"/>
  <c r="C136" i="80"/>
  <c r="C163" i="80"/>
  <c r="E1260" i="24"/>
  <c r="M20" i="6"/>
  <c r="D20" i="6"/>
  <c r="H20" i="6" s="1"/>
  <c r="D148" i="80"/>
  <c r="E148" i="80" s="1"/>
  <c r="D144" i="80"/>
  <c r="E144" i="80" s="1"/>
  <c r="D143" i="80"/>
  <c r="E143" i="80" s="1"/>
  <c r="D147" i="80"/>
  <c r="E147" i="80" s="1"/>
  <c r="D149" i="80"/>
  <c r="E149" i="80" s="1"/>
  <c r="D153" i="80"/>
  <c r="E153" i="80" s="1"/>
  <c r="D151" i="80"/>
  <c r="E151" i="80" s="1"/>
  <c r="L21" i="6" l="1"/>
  <c r="L20" i="6"/>
  <c r="O20" i="6" s="1"/>
  <c r="E1247" i="24" l="1"/>
  <c r="G1248" i="24"/>
  <c r="G1247" i="24"/>
  <c r="E1243" i="24"/>
  <c r="G1244" i="24"/>
  <c r="G1243" i="24"/>
  <c r="E1239" i="24"/>
  <c r="G1240" i="24"/>
  <c r="G1239" i="24"/>
  <c r="O19" i="6"/>
  <c r="M19" i="6"/>
  <c r="L19" i="6" s="1"/>
  <c r="H19" i="6"/>
  <c r="D19" i="6"/>
  <c r="M18" i="6"/>
  <c r="L18" i="6" s="1"/>
  <c r="H18" i="6"/>
  <c r="D17" i="6"/>
  <c r="M17" i="6"/>
  <c r="L17" i="6"/>
  <c r="H17" i="6"/>
  <c r="F1202" i="36"/>
  <c r="E1201" i="36"/>
  <c r="F1167" i="36"/>
  <c r="O18" i="6" l="1"/>
  <c r="M16" i="6"/>
  <c r="L16" i="6" s="1"/>
  <c r="H16" i="6"/>
  <c r="D16" i="6"/>
  <c r="M15" i="6"/>
  <c r="L15" i="6" s="1"/>
  <c r="H15" i="6"/>
  <c r="D15" i="6"/>
  <c r="O14" i="6"/>
  <c r="M14" i="6"/>
  <c r="L14" i="6" s="1"/>
  <c r="H14" i="6"/>
  <c r="D14" i="6"/>
  <c r="E1228" i="24"/>
  <c r="G1229" i="24"/>
  <c r="G1228" i="24"/>
  <c r="E1222" i="24"/>
  <c r="G1223" i="24"/>
  <c r="G1222" i="24"/>
  <c r="F1215" i="24"/>
  <c r="E1190" i="24"/>
  <c r="E1212" i="24"/>
  <c r="G1213" i="24"/>
  <c r="G1212" i="24"/>
  <c r="E1207" i="24"/>
  <c r="G1208" i="24"/>
  <c r="G1207" i="24"/>
  <c r="F1205" i="24"/>
  <c r="O13" i="6"/>
  <c r="M13" i="6"/>
  <c r="L13" i="6" s="1"/>
  <c r="H13" i="6"/>
  <c r="D13" i="6"/>
  <c r="M11" i="6" l="1"/>
  <c r="L11" i="6"/>
  <c r="H11" i="6"/>
  <c r="D11" i="6"/>
  <c r="E1203" i="24"/>
  <c r="L40" i="5"/>
  <c r="M40" i="5"/>
  <c r="O40" i="5" s="1"/>
  <c r="F1200" i="24"/>
  <c r="F1198" i="24"/>
  <c r="F1199" i="24"/>
  <c r="G1204" i="24"/>
  <c r="G1203" i="24"/>
  <c r="G1191" i="24"/>
  <c r="G1190" i="24"/>
  <c r="N5" i="51" s="1"/>
  <c r="G1187" i="24"/>
  <c r="M10" i="6"/>
  <c r="L10" i="6" s="1"/>
  <c r="H10" i="6"/>
  <c r="D10" i="6"/>
  <c r="H40" i="5"/>
  <c r="D40" i="5"/>
  <c r="M39" i="5"/>
  <c r="L39" i="5" s="1"/>
  <c r="H39" i="5"/>
  <c r="D39" i="5"/>
  <c r="M38" i="5"/>
  <c r="L38" i="5" s="1"/>
  <c r="H38" i="5"/>
  <c r="D38" i="5"/>
  <c r="E1179" i="24"/>
  <c r="G1180" i="24"/>
  <c r="G1179" i="24"/>
  <c r="E1176" i="24"/>
  <c r="G1177" i="24"/>
  <c r="G1176" i="24"/>
  <c r="M37" i="5"/>
  <c r="L37" i="5" s="1"/>
  <c r="H37" i="5"/>
  <c r="D37" i="5"/>
  <c r="E1168" i="24"/>
  <c r="G1169" i="24"/>
  <c r="G1168" i="24"/>
  <c r="F1165" i="24"/>
  <c r="E1163" i="24" l="1"/>
  <c r="G1164" i="24"/>
  <c r="G1163" i="24"/>
  <c r="E1160" i="24"/>
  <c r="G1161" i="24"/>
  <c r="G1160" i="24"/>
  <c r="E1150" i="24"/>
  <c r="G1151" i="24"/>
  <c r="G1150" i="24"/>
  <c r="E1146" i="24"/>
  <c r="G1147" i="24"/>
  <c r="G1146" i="24"/>
  <c r="E1137" i="24"/>
  <c r="G1138" i="24"/>
  <c r="G1137" i="24"/>
  <c r="F1126" i="24" l="1"/>
  <c r="M36" i="5"/>
  <c r="M32" i="5"/>
  <c r="L32" i="5" s="1"/>
  <c r="H32" i="5"/>
  <c r="D32" i="5"/>
  <c r="M33" i="5"/>
  <c r="L33" i="5" s="1"/>
  <c r="H33" i="5"/>
  <c r="D33" i="5"/>
  <c r="L34" i="5"/>
  <c r="H34" i="5"/>
  <c r="D34" i="5"/>
  <c r="O35" i="5"/>
  <c r="O36" i="5"/>
  <c r="M35" i="5"/>
  <c r="L35" i="5"/>
  <c r="H35" i="5"/>
  <c r="L36" i="5"/>
  <c r="H36" i="5"/>
  <c r="D36" i="5"/>
  <c r="E1116" i="24"/>
  <c r="G1117" i="24"/>
  <c r="G1116" i="24"/>
  <c r="F1115" i="24"/>
  <c r="F1113" i="24"/>
  <c r="M31" i="5" l="1"/>
  <c r="L31" i="5"/>
  <c r="W16" i="4"/>
  <c r="V16" i="4"/>
  <c r="U16" i="4"/>
  <c r="V10" i="4"/>
  <c r="T10" i="5"/>
  <c r="H31" i="5"/>
  <c r="D31" i="5"/>
  <c r="D152" i="80"/>
  <c r="E152" i="80" s="1"/>
  <c r="E1110" i="24" l="1"/>
  <c r="G1111" i="24"/>
  <c r="G1110" i="24"/>
  <c r="F1107" i="24"/>
  <c r="E1104" i="24"/>
  <c r="G1105" i="24"/>
  <c r="G1104" i="24"/>
  <c r="M30" i="5"/>
  <c r="L30" i="5"/>
  <c r="H30" i="5"/>
  <c r="D30" i="5"/>
  <c r="M29" i="5"/>
  <c r="L29" i="5" s="1"/>
  <c r="H29" i="5"/>
  <c r="D29" i="5"/>
  <c r="O28" i="5"/>
  <c r="M28" i="5"/>
  <c r="L28" i="5" s="1"/>
  <c r="H28" i="5"/>
  <c r="E1099" i="24"/>
  <c r="G1100" i="24"/>
  <c r="G1099" i="24"/>
  <c r="G1098" i="24"/>
  <c r="G1097" i="24"/>
  <c r="E1097" i="24"/>
  <c r="F1096" i="24"/>
  <c r="G1093" i="24"/>
  <c r="G1092" i="24"/>
  <c r="E1092" i="24"/>
  <c r="M27" i="5"/>
  <c r="L27" i="5" s="1"/>
  <c r="H27" i="5"/>
  <c r="D27" i="5"/>
  <c r="M26" i="5"/>
  <c r="L26" i="5" s="1"/>
  <c r="H26" i="5"/>
  <c r="D26" i="5"/>
  <c r="E1064" i="24"/>
  <c r="M25" i="5"/>
  <c r="L25" i="5"/>
  <c r="H25" i="5"/>
  <c r="D25" i="5"/>
  <c r="E1060" i="24"/>
  <c r="G1061" i="24"/>
  <c r="G1060" i="24"/>
  <c r="F1057" i="24"/>
  <c r="G1050" i="24"/>
  <c r="G1049" i="24"/>
  <c r="G1048" i="24"/>
  <c r="M24" i="5"/>
  <c r="L24" i="5" s="1"/>
  <c r="H24" i="5"/>
  <c r="D24" i="5"/>
  <c r="E1037" i="24"/>
  <c r="G1038" i="24"/>
  <c r="G1037" i="24"/>
  <c r="E1028" i="24"/>
  <c r="E1031" i="24" l="1"/>
  <c r="G1032" i="24"/>
  <c r="G1031" i="24"/>
  <c r="G1029" i="24"/>
  <c r="G1028" i="24"/>
  <c r="M23" i="5"/>
  <c r="L23" i="5" s="1"/>
  <c r="H23" i="5"/>
  <c r="D23" i="5"/>
  <c r="O22" i="5"/>
  <c r="M22" i="5"/>
  <c r="L22" i="5" s="1"/>
  <c r="H22" i="5"/>
  <c r="D22" i="5"/>
  <c r="O21" i="5"/>
  <c r="M21" i="5"/>
  <c r="L21" i="5" s="1"/>
  <c r="H21" i="5"/>
  <c r="E1021" i="24"/>
  <c r="G1022" i="24"/>
  <c r="G1021" i="24"/>
  <c r="D127" i="80"/>
  <c r="E127" i="80" s="1"/>
  <c r="D123" i="80"/>
  <c r="D128" i="80"/>
  <c r="E128" i="80" s="1"/>
  <c r="D125" i="80"/>
  <c r="E125" i="80" s="1"/>
  <c r="D124" i="80"/>
  <c r="E124" i="80" s="1"/>
  <c r="D122" i="80"/>
  <c r="E122" i="80" s="1"/>
  <c r="D121" i="80"/>
  <c r="E121" i="80" s="1"/>
  <c r="D120" i="80"/>
  <c r="E120" i="80" s="1"/>
  <c r="D117" i="80"/>
  <c r="E117" i="80" s="1"/>
  <c r="D116" i="80"/>
  <c r="E116" i="80" s="1"/>
  <c r="C123" i="80"/>
  <c r="D126" i="80"/>
  <c r="E126" i="80" s="1"/>
  <c r="E1050" i="36"/>
  <c r="E123" i="80" l="1"/>
  <c r="E1019" i="24"/>
  <c r="G1020" i="24"/>
  <c r="G1019" i="24"/>
  <c r="E1015" i="24"/>
  <c r="G1016" i="24"/>
  <c r="G1015" i="24"/>
  <c r="M20" i="5"/>
  <c r="L20" i="5" s="1"/>
  <c r="H20" i="5"/>
  <c r="D20" i="5"/>
  <c r="M19" i="5"/>
  <c r="L19" i="5" s="1"/>
  <c r="H19" i="5"/>
  <c r="D19" i="5"/>
  <c r="M18" i="5"/>
  <c r="L18" i="5" s="1"/>
  <c r="H18" i="5"/>
  <c r="D18" i="5"/>
  <c r="E1011" i="24"/>
  <c r="G1012" i="24"/>
  <c r="G1011" i="24"/>
  <c r="F1008" i="24"/>
  <c r="M14" i="5"/>
  <c r="L14" i="5" s="1"/>
  <c r="H14" i="5"/>
  <c r="M15" i="5"/>
  <c r="L15" i="5" s="1"/>
  <c r="H15" i="5"/>
  <c r="D15" i="5"/>
  <c r="M16" i="5"/>
  <c r="L16" i="5" s="1"/>
  <c r="H16" i="5"/>
  <c r="D16" i="5"/>
  <c r="E1004" i="24"/>
  <c r="E996" i="24"/>
  <c r="G1005" i="24"/>
  <c r="G1004" i="24"/>
  <c r="O17" i="5"/>
  <c r="M17" i="5"/>
  <c r="L17" i="5" s="1"/>
  <c r="H17" i="5"/>
  <c r="D17" i="5"/>
  <c r="Z293" i="58"/>
  <c r="Z292" i="58"/>
  <c r="Z291" i="58"/>
  <c r="Z290" i="58"/>
  <c r="Z289" i="58"/>
  <c r="Z288" i="58"/>
  <c r="Z287" i="58"/>
  <c r="Z285" i="58"/>
  <c r="Z284" i="58"/>
  <c r="Z283" i="58"/>
  <c r="Z282" i="58"/>
  <c r="Z281" i="58"/>
  <c r="Z279" i="58"/>
  <c r="Z278" i="58"/>
  <c r="Z277" i="58"/>
  <c r="Z276" i="58"/>
  <c r="Z275" i="58"/>
  <c r="Z274" i="58"/>
  <c r="Z273" i="58"/>
  <c r="Z272" i="58"/>
  <c r="Z271" i="58"/>
  <c r="Z270" i="58"/>
  <c r="Z269" i="58"/>
  <c r="Z268" i="58"/>
  <c r="Z267" i="58"/>
  <c r="G997" i="24"/>
  <c r="G996" i="24"/>
  <c r="G993" i="24"/>
  <c r="G992" i="24"/>
  <c r="G989" i="24"/>
  <c r="E987" i="24"/>
  <c r="G988" i="24"/>
  <c r="G987" i="24"/>
  <c r="F1021" i="36"/>
  <c r="F1008" i="36"/>
  <c r="F993" i="36"/>
  <c r="E980" i="24" l="1"/>
  <c r="G981" i="24"/>
  <c r="G980" i="24"/>
  <c r="O13" i="5"/>
  <c r="M13" i="5"/>
  <c r="L13" i="5" s="1"/>
  <c r="H13" i="5"/>
  <c r="D13" i="5"/>
  <c r="E976" i="24"/>
  <c r="G977" i="24"/>
  <c r="G976" i="24"/>
  <c r="O12" i="5"/>
  <c r="M12" i="5"/>
  <c r="L12" i="5" s="1"/>
  <c r="H12" i="5"/>
  <c r="D12" i="5"/>
  <c r="M48" i="4"/>
  <c r="D46" i="4"/>
  <c r="M46" i="4"/>
  <c r="D45" i="4"/>
  <c r="G3" i="4"/>
  <c r="M11" i="5"/>
  <c r="L11" i="5" s="1"/>
  <c r="H11" i="5"/>
  <c r="D11" i="5"/>
  <c r="E971" i="24"/>
  <c r="G972" i="24"/>
  <c r="G971" i="24"/>
  <c r="F967" i="24"/>
  <c r="M10" i="5" l="1"/>
  <c r="L10" i="5" s="1"/>
  <c r="H10" i="5"/>
  <c r="D10" i="5"/>
  <c r="E965" i="24"/>
  <c r="G966" i="24"/>
  <c r="G965" i="24"/>
  <c r="L5" i="51" s="1"/>
  <c r="F945" i="24"/>
  <c r="E950" i="24"/>
  <c r="G952" i="24"/>
  <c r="G951" i="24"/>
  <c r="G950" i="24"/>
  <c r="M39" i="4"/>
  <c r="L39" i="4" s="1"/>
  <c r="H39" i="4"/>
  <c r="D39" i="4"/>
  <c r="O38" i="4"/>
  <c r="M38" i="4"/>
  <c r="L38" i="4" s="1"/>
  <c r="H38" i="4"/>
  <c r="D38" i="4"/>
  <c r="E939" i="24" l="1"/>
  <c r="G940" i="24"/>
  <c r="G939" i="24"/>
  <c r="E932" i="24"/>
  <c r="G934" i="24"/>
  <c r="G933" i="24"/>
  <c r="G932" i="24"/>
  <c r="E930" i="24"/>
  <c r="G931" i="24"/>
  <c r="G930" i="24"/>
  <c r="F926" i="24"/>
  <c r="F944" i="36"/>
  <c r="F864" i="36"/>
  <c r="E863" i="36"/>
  <c r="P48" i="4" l="1"/>
  <c r="L44" i="4"/>
  <c r="I47" i="4"/>
  <c r="D47" i="4"/>
  <c r="O36" i="4"/>
  <c r="M36" i="4"/>
  <c r="L36" i="4" s="1"/>
  <c r="H36" i="4"/>
  <c r="D36" i="4"/>
  <c r="O44" i="4"/>
  <c r="O34" i="4"/>
  <c r="O35" i="4"/>
  <c r="M35" i="4"/>
  <c r="L35" i="4" s="1"/>
  <c r="H35" i="4"/>
  <c r="I7" i="24"/>
  <c r="I8" i="24" s="1"/>
  <c r="I9" i="24" s="1"/>
  <c r="F914" i="24"/>
  <c r="G925" i="24"/>
  <c r="E923" i="24"/>
  <c r="G924" i="24"/>
  <c r="G923" i="24"/>
  <c r="E919" i="24"/>
  <c r="G920" i="24"/>
  <c r="G919" i="24"/>
  <c r="H47" i="4" l="1"/>
  <c r="M34" i="4"/>
  <c r="L34" i="4" s="1"/>
  <c r="H34" i="4"/>
  <c r="D34" i="4"/>
  <c r="O33" i="4"/>
  <c r="M33" i="4"/>
  <c r="L33" i="4" s="1"/>
  <c r="H33" i="4"/>
  <c r="D33" i="4"/>
  <c r="O32" i="4"/>
  <c r="M32" i="4"/>
  <c r="L32" i="4" s="1"/>
  <c r="H32" i="4"/>
  <c r="F878" i="24"/>
  <c r="E881" i="24"/>
  <c r="G881" i="24"/>
  <c r="G882" i="24"/>
  <c r="O31" i="4" l="1"/>
  <c r="M31" i="4"/>
  <c r="L31" i="4" s="1"/>
  <c r="H31" i="4"/>
  <c r="D31" i="4"/>
  <c r="E865" i="24"/>
  <c r="G866" i="24"/>
  <c r="G865" i="24"/>
  <c r="E856" i="24"/>
  <c r="G857" i="24"/>
  <c r="G856" i="24"/>
  <c r="E852" i="24"/>
  <c r="G853" i="24"/>
  <c r="G852" i="24"/>
  <c r="M30" i="4"/>
  <c r="L30" i="4" s="1"/>
  <c r="H30" i="4"/>
  <c r="D30" i="4"/>
  <c r="O29" i="4"/>
  <c r="M29" i="4"/>
  <c r="L29" i="4" s="1"/>
  <c r="H29" i="4"/>
  <c r="D29" i="4"/>
  <c r="O28" i="4" l="1"/>
  <c r="M28" i="4"/>
  <c r="L28" i="4" s="1"/>
  <c r="H28" i="4"/>
  <c r="D28" i="4"/>
  <c r="E849" i="24"/>
  <c r="G850" i="24"/>
  <c r="G849" i="24"/>
  <c r="E824" i="24" l="1"/>
  <c r="G825" i="24"/>
  <c r="G824" i="24"/>
  <c r="F822" i="24"/>
  <c r="O27" i="4"/>
  <c r="M27" i="4"/>
  <c r="L27" i="4" s="1"/>
  <c r="H27" i="4"/>
  <c r="D27" i="4"/>
  <c r="F834" i="36"/>
  <c r="E829" i="36"/>
  <c r="F819" i="36"/>
  <c r="E818" i="36"/>
  <c r="O25" i="4"/>
  <c r="O26" i="4"/>
  <c r="L26" i="4"/>
  <c r="H26" i="4"/>
  <c r="F26" i="4"/>
  <c r="D26" i="4"/>
  <c r="E815" i="24"/>
  <c r="G816" i="24"/>
  <c r="G815" i="24"/>
  <c r="M25" i="4"/>
  <c r="L25" i="4"/>
  <c r="H25" i="4"/>
  <c r="D25" i="4"/>
  <c r="E809" i="24"/>
  <c r="G810" i="24"/>
  <c r="G809" i="24"/>
  <c r="P22" i="4"/>
  <c r="M22" i="4"/>
  <c r="L22" i="4" s="1"/>
  <c r="H22" i="4"/>
  <c r="D22" i="4"/>
  <c r="M23" i="4"/>
  <c r="L23" i="4" s="1"/>
  <c r="H23" i="4"/>
  <c r="O24" i="4"/>
  <c r="M24" i="4"/>
  <c r="L24" i="4" s="1"/>
  <c r="H24" i="4"/>
  <c r="D24" i="4"/>
  <c r="E803" i="24"/>
  <c r="G804" i="24"/>
  <c r="G803" i="24"/>
  <c r="E799" i="24"/>
  <c r="G800" i="24"/>
  <c r="G799" i="24"/>
  <c r="E798" i="24"/>
  <c r="E797" i="24" s="1"/>
  <c r="G798" i="24"/>
  <c r="G797" i="24"/>
  <c r="O21" i="4" l="1"/>
  <c r="M21" i="4"/>
  <c r="L21" i="4"/>
  <c r="H21" i="4"/>
  <c r="D21" i="4"/>
  <c r="E772" i="24"/>
  <c r="G773" i="24"/>
  <c r="G772" i="24"/>
  <c r="L20" i="4"/>
  <c r="E762" i="24"/>
  <c r="Z265" i="58" l="1"/>
  <c r="Z264" i="58"/>
  <c r="Z263" i="58"/>
  <c r="Z262" i="58"/>
  <c r="Z261" i="58"/>
  <c r="Z260" i="58"/>
  <c r="Z259" i="58"/>
  <c r="Z258" i="58"/>
  <c r="Z257" i="58"/>
  <c r="Z256" i="58"/>
  <c r="Z255" i="58"/>
  <c r="Z254" i="58"/>
  <c r="Z253" i="58"/>
  <c r="M20" i="4"/>
  <c r="H20" i="4"/>
  <c r="D20" i="4"/>
  <c r="M19" i="4"/>
  <c r="L19" i="4" s="1"/>
  <c r="H19" i="4"/>
  <c r="D19" i="4"/>
  <c r="G763" i="24"/>
  <c r="G762" i="24"/>
  <c r="F759" i="24"/>
  <c r="E756" i="24"/>
  <c r="G757" i="24"/>
  <c r="G756" i="24"/>
  <c r="F540" i="24" l="1"/>
  <c r="F608" i="24"/>
  <c r="F762" i="36"/>
  <c r="E761" i="36"/>
  <c r="M18" i="4"/>
  <c r="L18" i="4" s="1"/>
  <c r="H18" i="4"/>
  <c r="D18" i="4"/>
  <c r="E747" i="24"/>
  <c r="G748" i="24"/>
  <c r="G747" i="24"/>
  <c r="G738" i="24"/>
  <c r="G737" i="24"/>
  <c r="G736" i="24"/>
  <c r="D105" i="80"/>
  <c r="E105" i="80" s="1"/>
  <c r="D96" i="80"/>
  <c r="E96" i="80" s="1"/>
  <c r="D95" i="80"/>
  <c r="D93" i="80"/>
  <c r="E93" i="80" s="1"/>
  <c r="D88" i="80"/>
  <c r="E88" i="80" s="1"/>
  <c r="D89" i="80"/>
  <c r="E89" i="80" s="1"/>
  <c r="D92" i="80"/>
  <c r="E92" i="80" s="1"/>
  <c r="D94" i="80"/>
  <c r="E94" i="80" s="1"/>
  <c r="D97" i="80"/>
  <c r="E97" i="80" s="1"/>
  <c r="D98" i="80"/>
  <c r="E98" i="80" s="1"/>
  <c r="C95" i="80"/>
  <c r="E95" i="80" l="1"/>
  <c r="O17" i="4"/>
  <c r="M17" i="4"/>
  <c r="L17" i="4" s="1"/>
  <c r="H17" i="4"/>
  <c r="D17" i="4"/>
  <c r="E732" i="24"/>
  <c r="G733" i="24"/>
  <c r="G732" i="24"/>
  <c r="F742" i="36" l="1"/>
  <c r="F756" i="36"/>
  <c r="E755" i="36"/>
  <c r="E726" i="24"/>
  <c r="G727" i="24"/>
  <c r="G726" i="24"/>
  <c r="O16" i="4"/>
  <c r="M16" i="4"/>
  <c r="L16" i="4" s="1"/>
  <c r="H16" i="4"/>
  <c r="M15" i="4"/>
  <c r="L15" i="4" s="1"/>
  <c r="H15" i="4"/>
  <c r="D15" i="4"/>
  <c r="AH63" i="81"/>
  <c r="G725" i="24"/>
  <c r="E723" i="24"/>
  <c r="G724" i="24"/>
  <c r="G723" i="24"/>
  <c r="M14" i="4" l="1"/>
  <c r="L14" i="4" s="1"/>
  <c r="H14" i="4"/>
  <c r="D14" i="4"/>
  <c r="E692" i="24"/>
  <c r="G693" i="24"/>
  <c r="G692" i="24"/>
  <c r="O13" i="4"/>
  <c r="M13" i="4"/>
  <c r="L13" i="4" s="1"/>
  <c r="H13" i="4"/>
  <c r="D13" i="4"/>
  <c r="E687" i="24"/>
  <c r="G688" i="24"/>
  <c r="G687" i="24"/>
  <c r="F685" i="24"/>
  <c r="M12" i="4"/>
  <c r="L12" i="4" s="1"/>
  <c r="H12" i="4"/>
  <c r="D12" i="4"/>
  <c r="E678" i="24"/>
  <c r="G679" i="24"/>
  <c r="G678" i="24"/>
  <c r="F721" i="36"/>
  <c r="E674" i="24"/>
  <c r="G675" i="24"/>
  <c r="G674" i="24"/>
  <c r="M11" i="4"/>
  <c r="L11" i="4" s="1"/>
  <c r="H11" i="4"/>
  <c r="D11" i="4"/>
  <c r="B90" i="80"/>
  <c r="D90" i="80" s="1"/>
  <c r="D107" i="80" l="1"/>
  <c r="E90" i="80"/>
  <c r="M10" i="4"/>
  <c r="L10" i="4" s="1"/>
  <c r="H10" i="4"/>
  <c r="D10" i="4"/>
  <c r="E668" i="24"/>
  <c r="G669" i="24"/>
  <c r="G668" i="24"/>
  <c r="J5" i="51" s="1"/>
  <c r="E663" i="24"/>
  <c r="G664" i="24"/>
  <c r="G663" i="24"/>
  <c r="E660" i="24"/>
  <c r="G661" i="24"/>
  <c r="G660" i="24"/>
  <c r="E655" i="24"/>
  <c r="G656" i="24"/>
  <c r="G655" i="24"/>
  <c r="O40" i="3"/>
  <c r="M40" i="3"/>
  <c r="L40" i="3" s="1"/>
  <c r="H40" i="3"/>
  <c r="M39" i="3"/>
  <c r="L39" i="3" s="1"/>
  <c r="H39" i="3"/>
  <c r="D39" i="3"/>
  <c r="M38" i="3"/>
  <c r="L38" i="3" s="1"/>
  <c r="H38" i="3"/>
  <c r="D38" i="3"/>
  <c r="F678" i="36"/>
  <c r="F629" i="36"/>
  <c r="E628" i="36"/>
  <c r="E645" i="24" l="1"/>
  <c r="G646" i="24"/>
  <c r="G645" i="24"/>
  <c r="F640" i="24"/>
  <c r="E638" i="24"/>
  <c r="G639" i="24"/>
  <c r="G638" i="24"/>
  <c r="M37" i="3"/>
  <c r="L37" i="3" s="1"/>
  <c r="H37" i="3"/>
  <c r="D37" i="3"/>
  <c r="O36" i="3"/>
  <c r="M36" i="3"/>
  <c r="L36" i="3" s="1"/>
  <c r="H36" i="3"/>
  <c r="D36" i="3"/>
  <c r="M35" i="3"/>
  <c r="L35" i="3" s="1"/>
  <c r="H35" i="3"/>
  <c r="D35" i="3"/>
  <c r="E634" i="24"/>
  <c r="G635" i="24"/>
  <c r="G634" i="24"/>
  <c r="O34" i="3"/>
  <c r="H34" i="3"/>
  <c r="M34" i="3"/>
  <c r="D34" i="3"/>
  <c r="E630" i="24"/>
  <c r="G631" i="24"/>
  <c r="G630" i="24"/>
  <c r="Z251" i="58"/>
  <c r="Z250" i="58"/>
  <c r="Z249" i="58"/>
  <c r="Z248" i="58"/>
  <c r="Z247" i="58"/>
  <c r="Z246" i="58"/>
  <c r="Z245" i="58"/>
  <c r="Z244" i="58"/>
  <c r="Z243" i="58"/>
  <c r="Z242" i="58"/>
  <c r="Z241" i="58"/>
  <c r="Z240" i="58"/>
  <c r="Z239" i="58"/>
  <c r="L34" i="3" l="1"/>
  <c r="Z237" i="58"/>
  <c r="Z236" i="58"/>
  <c r="Z235" i="58"/>
  <c r="Z234" i="58"/>
  <c r="Z233" i="58"/>
  <c r="Z232" i="58"/>
  <c r="Z231" i="58"/>
  <c r="Z230" i="58"/>
  <c r="Z229" i="58"/>
  <c r="Z228" i="58"/>
  <c r="Z227" i="58"/>
  <c r="Z226" i="58"/>
  <c r="Z225" i="58"/>
  <c r="Z223" i="58"/>
  <c r="Z222" i="58"/>
  <c r="Z221" i="58"/>
  <c r="Z220" i="58"/>
  <c r="Z219" i="58"/>
  <c r="Z218" i="58"/>
  <c r="Z217" i="58"/>
  <c r="Z216" i="58"/>
  <c r="Z215" i="58"/>
  <c r="Z214" i="58"/>
  <c r="Z213" i="58"/>
  <c r="Z212" i="58"/>
  <c r="Z211" i="58"/>
  <c r="Z209" i="58"/>
  <c r="Z208" i="58"/>
  <c r="Z207" i="58"/>
  <c r="Z206" i="58"/>
  <c r="Z205" i="58"/>
  <c r="Z204" i="58"/>
  <c r="Z203" i="58"/>
  <c r="Z202" i="58"/>
  <c r="Z201" i="58"/>
  <c r="Z200" i="58"/>
  <c r="Z199" i="58"/>
  <c r="Z198" i="58"/>
  <c r="Z197" i="58"/>
  <c r="F619" i="36"/>
  <c r="E618" i="36"/>
  <c r="E624" i="24"/>
  <c r="G625" i="24"/>
  <c r="G624" i="24"/>
  <c r="O33" i="3"/>
  <c r="M33" i="3"/>
  <c r="L33" i="3" s="1"/>
  <c r="H33" i="3"/>
  <c r="E622" i="24"/>
  <c r="G623" i="24"/>
  <c r="G622" i="24"/>
  <c r="P32" i="3"/>
  <c r="M32" i="3"/>
  <c r="L32" i="3" s="1"/>
  <c r="H32" i="3"/>
  <c r="D32" i="3"/>
  <c r="E598" i="24"/>
  <c r="G599" i="24"/>
  <c r="G598" i="24"/>
  <c r="O31" i="3"/>
  <c r="M31" i="3"/>
  <c r="L31" i="3"/>
  <c r="H31" i="3"/>
  <c r="D31" i="3"/>
  <c r="Z195" i="58"/>
  <c r="Z194" i="58"/>
  <c r="Z193" i="58"/>
  <c r="Z192" i="58"/>
  <c r="Z191" i="58"/>
  <c r="Z190" i="58"/>
  <c r="Z189" i="58"/>
  <c r="Z188" i="58"/>
  <c r="Z187" i="58"/>
  <c r="Z186" i="58"/>
  <c r="Z185" i="58"/>
  <c r="Z184" i="58"/>
  <c r="Z183" i="58"/>
  <c r="Z181" i="58"/>
  <c r="Z180" i="58"/>
  <c r="Z179" i="58"/>
  <c r="Z178" i="58"/>
  <c r="Z177" i="58"/>
  <c r="Z176" i="58"/>
  <c r="Z175" i="58"/>
  <c r="Z174" i="58"/>
  <c r="Z173" i="58"/>
  <c r="Z172" i="58"/>
  <c r="Z171" i="58"/>
  <c r="Z170" i="58"/>
  <c r="Z169" i="58"/>
  <c r="E590" i="24"/>
  <c r="G591" i="24"/>
  <c r="G590" i="24"/>
  <c r="F588" i="24"/>
  <c r="M30" i="3"/>
  <c r="L30" i="3"/>
  <c r="H30" i="3"/>
  <c r="D30" i="3"/>
  <c r="F593" i="36"/>
  <c r="E592" i="36"/>
  <c r="E581" i="24"/>
  <c r="G582" i="24"/>
  <c r="G581" i="24"/>
  <c r="W41" i="3"/>
  <c r="O29" i="3"/>
  <c r="M29" i="3"/>
  <c r="L29" i="3"/>
  <c r="H29" i="3"/>
  <c r="D29" i="3"/>
  <c r="H45" i="4"/>
  <c r="L45" i="4" s="1"/>
  <c r="M45" i="4"/>
  <c r="H46" i="4"/>
  <c r="L46" i="4" s="1"/>
  <c r="M44" i="4"/>
  <c r="O28" i="3"/>
  <c r="M28" i="3"/>
  <c r="L28" i="3"/>
  <c r="H28" i="3"/>
  <c r="D28" i="3"/>
  <c r="E578" i="24"/>
  <c r="G579" i="24"/>
  <c r="G578" i="24"/>
  <c r="G575" i="24"/>
  <c r="E573" i="24"/>
  <c r="G574" i="24"/>
  <c r="G573" i="24"/>
  <c r="O27" i="3"/>
  <c r="M27" i="3"/>
  <c r="L27" i="3"/>
  <c r="H27" i="3"/>
  <c r="D27" i="3"/>
  <c r="F576" i="36"/>
  <c r="F568" i="36"/>
  <c r="L26" i="3"/>
  <c r="H26" i="3"/>
  <c r="M25" i="3"/>
  <c r="L25" i="3"/>
  <c r="H25" i="3"/>
  <c r="D25" i="3"/>
  <c r="E562" i="24"/>
  <c r="G563" i="24"/>
  <c r="G562" i="24"/>
  <c r="E560" i="24"/>
  <c r="E559" i="24" s="1"/>
  <c r="F57" i="24"/>
  <c r="F56" i="24"/>
  <c r="H3" i="36"/>
  <c r="M24" i="3"/>
  <c r="L24" i="3"/>
  <c r="H24" i="3"/>
  <c r="D24" i="3"/>
  <c r="G560" i="24"/>
  <c r="G559" i="24"/>
  <c r="E529" i="24"/>
  <c r="G530" i="24"/>
  <c r="G529" i="24"/>
  <c r="M23" i="3"/>
  <c r="L23" i="3"/>
  <c r="H23" i="3"/>
  <c r="D23" i="3"/>
  <c r="E525" i="24"/>
  <c r="G527" i="24"/>
  <c r="G526" i="24"/>
  <c r="G525" i="24"/>
  <c r="F523" i="24"/>
  <c r="M22" i="3"/>
  <c r="L22" i="3"/>
  <c r="H22" i="3"/>
  <c r="D22" i="3"/>
  <c r="E509" i="24"/>
  <c r="G510" i="24"/>
  <c r="G509" i="24"/>
  <c r="E505" i="24"/>
  <c r="G506" i="24"/>
  <c r="G505" i="24"/>
  <c r="M21" i="3"/>
  <c r="L21" i="3"/>
  <c r="H21" i="3"/>
  <c r="D21" i="3"/>
  <c r="O20" i="3"/>
  <c r="M20" i="3"/>
  <c r="L20" i="3"/>
  <c r="H20" i="3"/>
  <c r="D20" i="3"/>
  <c r="E496" i="24"/>
  <c r="G497" i="24"/>
  <c r="G496" i="24"/>
  <c r="F537" i="36"/>
  <c r="O19" i="3"/>
  <c r="M19" i="3"/>
  <c r="L19" i="3"/>
  <c r="H19" i="3"/>
  <c r="E491" i="24"/>
  <c r="G492" i="24"/>
  <c r="G491" i="24"/>
  <c r="E472" i="24"/>
  <c r="G473" i="24"/>
  <c r="G472" i="24"/>
  <c r="G471" i="24"/>
  <c r="G481" i="24"/>
  <c r="G478" i="24"/>
  <c r="G477" i="24"/>
  <c r="G476" i="24"/>
  <c r="M18" i="3"/>
  <c r="L18" i="3"/>
  <c r="H18" i="3"/>
  <c r="D18" i="3"/>
  <c r="M17" i="3"/>
  <c r="L17" i="3"/>
  <c r="H17" i="3"/>
  <c r="D17" i="3"/>
  <c r="E469" i="24"/>
  <c r="G470" i="24"/>
  <c r="G469" i="24"/>
  <c r="E465" i="24"/>
  <c r="G466" i="24"/>
  <c r="G465" i="24"/>
  <c r="F460" i="24"/>
  <c r="M16" i="3"/>
  <c r="L16" i="3"/>
  <c r="H16" i="3"/>
  <c r="D16" i="3"/>
  <c r="V41" i="3"/>
  <c r="U41" i="3"/>
  <c r="M15" i="3"/>
  <c r="L15" i="3"/>
  <c r="H15" i="3"/>
  <c r="D15" i="3"/>
  <c r="E437" i="24"/>
  <c r="E439" i="24"/>
  <c r="E453" i="24"/>
  <c r="E443" i="24"/>
  <c r="E447" i="24"/>
  <c r="G454" i="24"/>
  <c r="G453" i="24"/>
  <c r="G448" i="24"/>
  <c r="G447" i="24"/>
  <c r="M14" i="3"/>
  <c r="L14" i="3"/>
  <c r="H14" i="3"/>
  <c r="D14" i="3"/>
  <c r="F505" i="36"/>
  <c r="F494" i="36"/>
  <c r="F457" i="36"/>
  <c r="G444" i="24"/>
  <c r="G443" i="24"/>
  <c r="G440" i="24"/>
  <c r="G439" i="24"/>
  <c r="M13" i="3"/>
  <c r="L13" i="3"/>
  <c r="H13" i="3"/>
  <c r="D13" i="3"/>
  <c r="M12" i="3"/>
  <c r="L12" i="3"/>
  <c r="H12" i="3"/>
  <c r="M11" i="3"/>
  <c r="L11" i="3"/>
  <c r="H11" i="3"/>
  <c r="D11" i="3"/>
  <c r="E399" i="24"/>
  <c r="M10" i="3"/>
  <c r="L10" i="3"/>
  <c r="H10" i="3"/>
  <c r="D10" i="3"/>
  <c r="G438" i="24"/>
  <c r="G437" i="24"/>
  <c r="F327" i="24"/>
  <c r="D70" i="80"/>
  <c r="E70" i="80" s="1"/>
  <c r="D68" i="80"/>
  <c r="E68" i="80" s="1"/>
  <c r="D67" i="80"/>
  <c r="D66" i="80"/>
  <c r="E66" i="80" s="1"/>
  <c r="D62" i="80"/>
  <c r="E62" i="80" s="1"/>
  <c r="D61" i="80"/>
  <c r="E61" i="80" s="1"/>
  <c r="D65" i="80"/>
  <c r="E65" i="80" s="1"/>
  <c r="D63" i="80"/>
  <c r="E63" i="80" s="1"/>
  <c r="M37" i="2"/>
  <c r="L37" i="2"/>
  <c r="U13" i="2"/>
  <c r="H37" i="2"/>
  <c r="D37" i="2"/>
  <c r="E391" i="24"/>
  <c r="F388" i="24"/>
  <c r="F375" i="24"/>
  <c r="F431" i="36"/>
  <c r="F402" i="36"/>
  <c r="E366" i="36"/>
  <c r="O35" i="2"/>
  <c r="O36" i="2"/>
  <c r="M36" i="2"/>
  <c r="L36" i="2"/>
  <c r="H36" i="2"/>
  <c r="D36" i="2"/>
  <c r="M35" i="2"/>
  <c r="L35" i="2"/>
  <c r="H35" i="2"/>
  <c r="D35" i="2"/>
  <c r="E381" i="24"/>
  <c r="Z167" i="58"/>
  <c r="Z166" i="58"/>
  <c r="Z165" i="58"/>
  <c r="Z164" i="58"/>
  <c r="Z163" i="58"/>
  <c r="Z162" i="58"/>
  <c r="Z161" i="58"/>
  <c r="Z160" i="58"/>
  <c r="Z159" i="58"/>
  <c r="Z158" i="58"/>
  <c r="Z157" i="58"/>
  <c r="Z156" i="58"/>
  <c r="Z155" i="58"/>
  <c r="Z153" i="58"/>
  <c r="Z152" i="58"/>
  <c r="Z151" i="58"/>
  <c r="Z150" i="58"/>
  <c r="Z149" i="58"/>
  <c r="Z148" i="58"/>
  <c r="Z147" i="58"/>
  <c r="Z146" i="58"/>
  <c r="Z145" i="58"/>
  <c r="Z144" i="58"/>
  <c r="Z143" i="58"/>
  <c r="Z142" i="58"/>
  <c r="Z141" i="58"/>
  <c r="E377" i="24"/>
  <c r="O34" i="2"/>
  <c r="M34" i="2"/>
  <c r="L34" i="2"/>
  <c r="H34" i="2"/>
  <c r="D34" i="2"/>
  <c r="E372" i="24"/>
  <c r="F389" i="36"/>
  <c r="F384" i="36"/>
  <c r="E383" i="36"/>
  <c r="E366" i="24"/>
  <c r="G365" i="24"/>
  <c r="M32" i="2"/>
  <c r="L32" i="2"/>
  <c r="H32" i="2"/>
  <c r="D32" i="2"/>
  <c r="E362" i="24"/>
  <c r="O30" i="2"/>
  <c r="O31" i="2"/>
  <c r="M31" i="2"/>
  <c r="L31" i="2"/>
  <c r="H31" i="2"/>
  <c r="D31" i="2"/>
  <c r="M30" i="2"/>
  <c r="L30" i="2"/>
  <c r="H30" i="2"/>
  <c r="D30" i="2"/>
  <c r="E359" i="24"/>
  <c r="F356" i="24"/>
  <c r="O29" i="2"/>
  <c r="M29" i="2"/>
  <c r="L29" i="2"/>
  <c r="H29" i="2"/>
  <c r="D29" i="2"/>
  <c r="E344" i="24"/>
  <c r="O28" i="2"/>
  <c r="M28" i="2"/>
  <c r="L28" i="2"/>
  <c r="H28" i="2"/>
  <c r="D28" i="2"/>
  <c r="E336" i="24"/>
  <c r="E340" i="24"/>
  <c r="G341" i="24"/>
  <c r="G340" i="24"/>
  <c r="F353" i="36"/>
  <c r="F323" i="36"/>
  <c r="E335" i="36"/>
  <c r="O27" i="2"/>
  <c r="M27" i="2"/>
  <c r="L27" i="2"/>
  <c r="H27" i="2"/>
  <c r="D27" i="2"/>
  <c r="G337" i="24"/>
  <c r="G336" i="24"/>
  <c r="U41" i="2"/>
  <c r="V41" i="2"/>
  <c r="O25" i="2"/>
  <c r="M25" i="2"/>
  <c r="L25" i="2"/>
  <c r="H25" i="2"/>
  <c r="D25" i="2"/>
  <c r="E332" i="24"/>
  <c r="G333" i="24"/>
  <c r="G332" i="24"/>
  <c r="E308" i="24"/>
  <c r="G309" i="24"/>
  <c r="G308" i="24"/>
  <c r="E305" i="24"/>
  <c r="G306" i="24"/>
  <c r="G305" i="24"/>
  <c r="G304" i="24"/>
  <c r="F301" i="24"/>
  <c r="M24" i="2"/>
  <c r="L24" i="2"/>
  <c r="H24" i="2"/>
  <c r="D24" i="2"/>
  <c r="O23" i="2"/>
  <c r="M23" i="2"/>
  <c r="L23" i="2"/>
  <c r="H23" i="2"/>
  <c r="D23" i="2"/>
  <c r="E93" i="18"/>
  <c r="D93" i="18"/>
  <c r="E90" i="18"/>
  <c r="E288" i="24"/>
  <c r="G289" i="24"/>
  <c r="G288" i="24"/>
  <c r="O22" i="2"/>
  <c r="M22" i="2"/>
  <c r="L22" i="2"/>
  <c r="H22" i="2"/>
  <c r="D22" i="2"/>
  <c r="F285" i="24"/>
  <c r="F284" i="24"/>
  <c r="G284" i="24"/>
  <c r="E275" i="24"/>
  <c r="G276" i="24"/>
  <c r="G275" i="24"/>
  <c r="V13" i="4"/>
  <c r="O19" i="4"/>
  <c r="O23" i="4"/>
  <c r="W15" i="12"/>
  <c r="M30" i="12"/>
  <c r="D32" i="12"/>
  <c r="H32" i="12"/>
  <c r="M32" i="12"/>
  <c r="L32" i="12"/>
  <c r="D33" i="12"/>
  <c r="H33" i="12"/>
  <c r="M33" i="12"/>
  <c r="L33" i="12"/>
  <c r="H34" i="12"/>
  <c r="L34" i="12"/>
  <c r="M34" i="12"/>
  <c r="D36" i="12"/>
  <c r="H36" i="12"/>
  <c r="M36" i="12"/>
  <c r="L36" i="12"/>
  <c r="D37" i="12"/>
  <c r="H37" i="12"/>
  <c r="M37" i="12"/>
  <c r="L37" i="12"/>
  <c r="H38" i="12"/>
  <c r="L38" i="12" s="1"/>
  <c r="M38" i="12"/>
  <c r="D39" i="12"/>
  <c r="H39" i="12"/>
  <c r="L39" i="12"/>
  <c r="M39" i="12"/>
  <c r="H40" i="12"/>
  <c r="L40" i="12" s="1"/>
  <c r="M40" i="12"/>
  <c r="V11" i="11"/>
  <c r="V14" i="10"/>
  <c r="O22" i="10"/>
  <c r="O31" i="10"/>
  <c r="O32" i="10"/>
  <c r="O33" i="10"/>
  <c r="L10" i="10"/>
  <c r="L16" i="9"/>
  <c r="O16" i="9" s="1"/>
  <c r="O26" i="9"/>
  <c r="O30" i="9"/>
  <c r="O38" i="9"/>
  <c r="O21" i="2"/>
  <c r="M21" i="2"/>
  <c r="L21" i="2"/>
  <c r="H21" i="2"/>
  <c r="D21" i="2"/>
  <c r="O28" i="9"/>
  <c r="G277" i="24"/>
  <c r="G296" i="24"/>
  <c r="G297" i="24"/>
  <c r="G298" i="24"/>
  <c r="G301" i="24"/>
  <c r="G303" i="24"/>
  <c r="G307" i="24"/>
  <c r="G280" i="24"/>
  <c r="G281" i="24"/>
  <c r="G282" i="24"/>
  <c r="G286" i="24"/>
  <c r="G290" i="24"/>
  <c r="G291" i="24"/>
  <c r="G292" i="24"/>
  <c r="G293" i="24"/>
  <c r="F301" i="36"/>
  <c r="Z116" i="58"/>
  <c r="Z139" i="58"/>
  <c r="Z138" i="58"/>
  <c r="Z137" i="58"/>
  <c r="Z136" i="58"/>
  <c r="Z135" i="58"/>
  <c r="Z134" i="58"/>
  <c r="Z133" i="58"/>
  <c r="Z132" i="58"/>
  <c r="Z131" i="58"/>
  <c r="Z130" i="58"/>
  <c r="Z129" i="58"/>
  <c r="Z128" i="58"/>
  <c r="Z127" i="58"/>
  <c r="M20" i="2"/>
  <c r="L20" i="2"/>
  <c r="H20" i="2"/>
  <c r="D20" i="2"/>
  <c r="E271" i="24"/>
  <c r="E270" i="24" s="1"/>
  <c r="G271" i="24"/>
  <c r="G270" i="24"/>
  <c r="D35" i="80"/>
  <c r="E35" i="80" s="1"/>
  <c r="D50" i="80"/>
  <c r="D49" i="80"/>
  <c r="E49" i="80" s="1"/>
  <c r="D41" i="80"/>
  <c r="E41" i="80" s="1"/>
  <c r="D38" i="80"/>
  <c r="E38" i="80" s="1"/>
  <c r="P18" i="2"/>
  <c r="M18" i="2"/>
  <c r="L18" i="2"/>
  <c r="H18" i="2"/>
  <c r="D18" i="2"/>
  <c r="E267" i="24"/>
  <c r="E266" i="24" s="1"/>
  <c r="G267" i="24"/>
  <c r="G266" i="24"/>
  <c r="V10" i="1"/>
  <c r="M17" i="2"/>
  <c r="L17" i="2"/>
  <c r="H17" i="2"/>
  <c r="D17" i="2"/>
  <c r="E263" i="24"/>
  <c r="G265" i="24"/>
  <c r="G264" i="24"/>
  <c r="G263" i="24"/>
  <c r="D80" i="18"/>
  <c r="E258" i="24"/>
  <c r="G259" i="24"/>
  <c r="G258" i="24"/>
  <c r="M16" i="2"/>
  <c r="L16" i="2"/>
  <c r="H16" i="2"/>
  <c r="D16" i="2"/>
  <c r="AH15" i="81"/>
  <c r="M15" i="2"/>
  <c r="L15" i="2"/>
  <c r="H15" i="2"/>
  <c r="D15" i="2"/>
  <c r="E247" i="24"/>
  <c r="G248" i="24"/>
  <c r="G247" i="24"/>
  <c r="F15" i="37"/>
  <c r="E15" i="37"/>
  <c r="G246" i="24"/>
  <c r="G249" i="24"/>
  <c r="G250" i="24"/>
  <c r="G251" i="24"/>
  <c r="G252" i="24"/>
  <c r="G253" i="24"/>
  <c r="G254" i="24"/>
  <c r="G256" i="24"/>
  <c r="G257" i="24"/>
  <c r="G260" i="24"/>
  <c r="G261" i="24"/>
  <c r="G262" i="24"/>
  <c r="G272" i="24"/>
  <c r="G273" i="24"/>
  <c r="G274" i="24"/>
  <c r="G278" i="24"/>
  <c r="G334" i="24"/>
  <c r="G355" i="24"/>
  <c r="G356" i="24"/>
  <c r="G357" i="24"/>
  <c r="G361" i="24"/>
  <c r="G364" i="24"/>
  <c r="G370" i="24"/>
  <c r="G371" i="24"/>
  <c r="G374" i="24"/>
  <c r="G380" i="24"/>
  <c r="G388" i="24"/>
  <c r="G394" i="24"/>
  <c r="G401" i="24"/>
  <c r="G403" i="24"/>
  <c r="E236" i="24"/>
  <c r="E235" i="24" s="1"/>
  <c r="E242" i="24"/>
  <c r="G240" i="24"/>
  <c r="G238" i="24"/>
  <c r="G239" i="24"/>
  <c r="G241" i="24"/>
  <c r="G242" i="24"/>
  <c r="G243" i="24"/>
  <c r="M14" i="2"/>
  <c r="L14" i="2"/>
  <c r="H14" i="2"/>
  <c r="D14" i="2"/>
  <c r="F233" i="24"/>
  <c r="G237" i="24"/>
  <c r="F248" i="36"/>
  <c r="F246" i="36"/>
  <c r="F249" i="36"/>
  <c r="P13" i="2"/>
  <c r="M13" i="2"/>
  <c r="L13" i="2"/>
  <c r="H13" i="2"/>
  <c r="D13" i="2"/>
  <c r="P11" i="2"/>
  <c r="F227" i="36"/>
  <c r="F212" i="36"/>
  <c r="F207" i="36"/>
  <c r="F206" i="36"/>
  <c r="E226" i="24"/>
  <c r="O23" i="27"/>
  <c r="O26" i="27"/>
  <c r="V12" i="27"/>
  <c r="O30" i="27"/>
  <c r="O31" i="27"/>
  <c r="O32" i="27"/>
  <c r="O33" i="27"/>
  <c r="M36" i="27"/>
  <c r="O37" i="27"/>
  <c r="V14" i="27"/>
  <c r="V16" i="27"/>
  <c r="O15" i="7"/>
  <c r="O28" i="7"/>
  <c r="O29" i="7"/>
  <c r="V14" i="7"/>
  <c r="V11" i="7"/>
  <c r="O22" i="6"/>
  <c r="O30" i="6"/>
  <c r="O31" i="6"/>
  <c r="O35" i="6"/>
  <c r="O36" i="6"/>
  <c r="O37" i="6"/>
  <c r="O38" i="6"/>
  <c r="O19" i="5"/>
  <c r="V10" i="5"/>
  <c r="O24" i="5"/>
  <c r="O27" i="5"/>
  <c r="O32" i="5"/>
  <c r="M34" i="5"/>
  <c r="V11" i="5"/>
  <c r="O37" i="5"/>
  <c r="M11" i="2"/>
  <c r="L11" i="2"/>
  <c r="H11" i="2"/>
  <c r="D11" i="2"/>
  <c r="F139" i="24"/>
  <c r="F189" i="24"/>
  <c r="F156" i="24"/>
  <c r="O12" i="27"/>
  <c r="V11" i="27"/>
  <c r="O17" i="27"/>
  <c r="V10" i="7"/>
  <c r="P28" i="1"/>
  <c r="E167" i="24"/>
  <c r="E173" i="24"/>
  <c r="L37" i="1"/>
  <c r="L38" i="1"/>
  <c r="E177" i="24"/>
  <c r="M10" i="2"/>
  <c r="L10" i="2"/>
  <c r="H10" i="2"/>
  <c r="D10" i="2"/>
  <c r="Q2" i="1"/>
  <c r="M40" i="1"/>
  <c r="L40" i="1"/>
  <c r="H40" i="1"/>
  <c r="D40" i="1"/>
  <c r="M39" i="1"/>
  <c r="L39" i="1"/>
  <c r="H39" i="1"/>
  <c r="D39" i="1"/>
  <c r="E198" i="24"/>
  <c r="E192" i="24"/>
  <c r="E185" i="24"/>
  <c r="M38" i="1"/>
  <c r="H38" i="1"/>
  <c r="D38" i="1"/>
  <c r="O37" i="1"/>
  <c r="M37" i="1"/>
  <c r="H37" i="1"/>
  <c r="D37" i="1"/>
  <c r="F175" i="36"/>
  <c r="E171" i="24"/>
  <c r="E160" i="24"/>
  <c r="M35" i="1"/>
  <c r="L35" i="1"/>
  <c r="H35" i="1"/>
  <c r="D35" i="1"/>
  <c r="M34" i="1"/>
  <c r="L34" i="1"/>
  <c r="H34" i="1"/>
  <c r="D34" i="1"/>
  <c r="M33" i="1"/>
  <c r="L33" i="1"/>
  <c r="H33" i="1"/>
  <c r="D33" i="1"/>
  <c r="E154" i="24"/>
  <c r="M32" i="1"/>
  <c r="L32" i="1"/>
  <c r="H32" i="1"/>
  <c r="D32" i="1"/>
  <c r="M31" i="1"/>
  <c r="L31" i="1"/>
  <c r="H31" i="1"/>
  <c r="D31" i="1"/>
  <c r="E151" i="24"/>
  <c r="D8" i="18"/>
  <c r="C3" i="18" s="1"/>
  <c r="O30" i="1"/>
  <c r="M30" i="1"/>
  <c r="L30" i="1"/>
  <c r="H30" i="1"/>
  <c r="D30" i="1"/>
  <c r="E147" i="24"/>
  <c r="C2" i="18"/>
  <c r="E144" i="24"/>
  <c r="M28" i="1"/>
  <c r="L28" i="1"/>
  <c r="H28" i="1"/>
  <c r="D28" i="1"/>
  <c r="M27" i="1"/>
  <c r="L27" i="1"/>
  <c r="H27" i="1"/>
  <c r="D27" i="1"/>
  <c r="E121" i="24"/>
  <c r="E115" i="24"/>
  <c r="M26" i="1"/>
  <c r="L26" i="1"/>
  <c r="H26" i="1"/>
  <c r="D26" i="1"/>
  <c r="C25" i="80"/>
  <c r="D12" i="80"/>
  <c r="E12" i="80" s="1"/>
  <c r="D10" i="80"/>
  <c r="E10" i="80" s="1"/>
  <c r="D11" i="80"/>
  <c r="E11" i="80" s="1"/>
  <c r="D14" i="80"/>
  <c r="E14" i="80" s="1"/>
  <c r="D6" i="80"/>
  <c r="E6" i="80" s="1"/>
  <c r="D7" i="80"/>
  <c r="D15" i="80"/>
  <c r="E15" i="80" s="1"/>
  <c r="D8" i="80"/>
  <c r="E8" i="80" s="1"/>
  <c r="D13" i="80"/>
  <c r="E13" i="80" s="1"/>
  <c r="E93" i="24"/>
  <c r="E82" i="24"/>
  <c r="E90" i="24"/>
  <c r="M25" i="1"/>
  <c r="L25" i="1"/>
  <c r="H25" i="1"/>
  <c r="D25" i="1"/>
  <c r="M24" i="1"/>
  <c r="L24" i="1"/>
  <c r="H24" i="1"/>
  <c r="D24" i="1"/>
  <c r="F94" i="36"/>
  <c r="E93" i="36"/>
  <c r="F92" i="36"/>
  <c r="O23" i="1"/>
  <c r="M23" i="1"/>
  <c r="L23" i="1"/>
  <c r="H23" i="1"/>
  <c r="D23" i="1"/>
  <c r="F73" i="24"/>
  <c r="E77" i="24"/>
  <c r="N6" i="1"/>
  <c r="M21" i="1"/>
  <c r="L21" i="1"/>
  <c r="H21" i="1"/>
  <c r="D21" i="1"/>
  <c r="O20" i="1"/>
  <c r="M20" i="1"/>
  <c r="L20" i="1"/>
  <c r="H20" i="1"/>
  <c r="D20" i="1"/>
  <c r="E71" i="24"/>
  <c r="E66" i="24"/>
  <c r="L19" i="1"/>
  <c r="E32" i="36"/>
  <c r="F45" i="36"/>
  <c r="F12" i="36"/>
  <c r="E60" i="24"/>
  <c r="P15" i="1"/>
  <c r="M15" i="1"/>
  <c r="L15" i="1"/>
  <c r="H15" i="1"/>
  <c r="D15" i="1"/>
  <c r="M19" i="1"/>
  <c r="H19" i="1"/>
  <c r="D19" i="1"/>
  <c r="M14" i="1"/>
  <c r="L14" i="1"/>
  <c r="H14" i="1"/>
  <c r="D14" i="1"/>
  <c r="E32" i="24"/>
  <c r="F16" i="24"/>
  <c r="E25" i="24"/>
  <c r="H13" i="1"/>
  <c r="D13" i="1"/>
  <c r="M13" i="1"/>
  <c r="L13" i="1"/>
  <c r="E19" i="24"/>
  <c r="M12" i="1"/>
  <c r="L12" i="1"/>
  <c r="H12" i="1"/>
  <c r="D12" i="1"/>
  <c r="O23" i="3"/>
  <c r="O24" i="3"/>
  <c r="O26" i="3"/>
  <c r="V10" i="3"/>
  <c r="N5" i="3"/>
  <c r="O16" i="2"/>
  <c r="O18" i="2"/>
  <c r="V14" i="2"/>
  <c r="U12" i="2"/>
  <c r="I11" i="1"/>
  <c r="E10" i="24"/>
  <c r="O20" i="2"/>
  <c r="O15" i="2"/>
  <c r="O14" i="2"/>
  <c r="V15" i="3"/>
  <c r="O11" i="2"/>
  <c r="O13" i="2"/>
  <c r="M11" i="1"/>
  <c r="H11" i="1"/>
  <c r="O13" i="1"/>
  <c r="O14" i="1"/>
  <c r="D11" i="1"/>
  <c r="Z125" i="58"/>
  <c r="Z124" i="58"/>
  <c r="Z123" i="58"/>
  <c r="Z122" i="58"/>
  <c r="Z121" i="58"/>
  <c r="Z120" i="58"/>
  <c r="Z119" i="58"/>
  <c r="Z118" i="58"/>
  <c r="Z117" i="58"/>
  <c r="Z115" i="58"/>
  <c r="Z114" i="58"/>
  <c r="Z113" i="58"/>
  <c r="Z111" i="58"/>
  <c r="Z110" i="58"/>
  <c r="Z109" i="58"/>
  <c r="Z108" i="58"/>
  <c r="Z107" i="58"/>
  <c r="Z106" i="58"/>
  <c r="Z105" i="58"/>
  <c r="Z104" i="58"/>
  <c r="Z103" i="58"/>
  <c r="Z102" i="58"/>
  <c r="Z101" i="58"/>
  <c r="Z100" i="58"/>
  <c r="Z99" i="58"/>
  <c r="Z97" i="58"/>
  <c r="Z96" i="58"/>
  <c r="Z95" i="58"/>
  <c r="Z94" i="58"/>
  <c r="Z93" i="58"/>
  <c r="Z92" i="58"/>
  <c r="Z91" i="58"/>
  <c r="Z90" i="58"/>
  <c r="Z89" i="58"/>
  <c r="Z88" i="58"/>
  <c r="Z87" i="58"/>
  <c r="Z86" i="58"/>
  <c r="Z85" i="58"/>
  <c r="Z83" i="58"/>
  <c r="Z82" i="58"/>
  <c r="Z81" i="58"/>
  <c r="Z80" i="58"/>
  <c r="Z79" i="58"/>
  <c r="Z78" i="58"/>
  <c r="Z77" i="58"/>
  <c r="Z76" i="58"/>
  <c r="Z75" i="58"/>
  <c r="Z74" i="58"/>
  <c r="Z73" i="58"/>
  <c r="Z72" i="58"/>
  <c r="Z71" i="58"/>
  <c r="Z69" i="58"/>
  <c r="Z68" i="58"/>
  <c r="Z67" i="58"/>
  <c r="Z66" i="58"/>
  <c r="Z65" i="58"/>
  <c r="Z64" i="58"/>
  <c r="Z63" i="58"/>
  <c r="Z62" i="58"/>
  <c r="Z61" i="58"/>
  <c r="Z60" i="58"/>
  <c r="Z59" i="58"/>
  <c r="Z58" i="58"/>
  <c r="Z57" i="58"/>
  <c r="Z55" i="58"/>
  <c r="Z54" i="58"/>
  <c r="Z53" i="58"/>
  <c r="Z52" i="58"/>
  <c r="Z51" i="58"/>
  <c r="Z50" i="58"/>
  <c r="Z49" i="58"/>
  <c r="Z48" i="58"/>
  <c r="Z47" i="58"/>
  <c r="Z46" i="58"/>
  <c r="Z45" i="58"/>
  <c r="Z44" i="58"/>
  <c r="AH32" i="81"/>
  <c r="AH31" i="81"/>
  <c r="AH30" i="81"/>
  <c r="AH29" i="81"/>
  <c r="AH28" i="81"/>
  <c r="AH27" i="81"/>
  <c r="AH26" i="81"/>
  <c r="AH25" i="81"/>
  <c r="AH24" i="81"/>
  <c r="AH23" i="81"/>
  <c r="AH22" i="81"/>
  <c r="AH21" i="81"/>
  <c r="AH20" i="81"/>
  <c r="AH16" i="81"/>
  <c r="AH14" i="81"/>
  <c r="AH13" i="81"/>
  <c r="AH12" i="81"/>
  <c r="AH11" i="81"/>
  <c r="AH10" i="81"/>
  <c r="AH9" i="81"/>
  <c r="AH8" i="81"/>
  <c r="AH7" i="81"/>
  <c r="AH6" i="81"/>
  <c r="AH5" i="81"/>
  <c r="AH4" i="81"/>
  <c r="AH64" i="81"/>
  <c r="AH62" i="81"/>
  <c r="AH61" i="81"/>
  <c r="AH60" i="81"/>
  <c r="AH59" i="81"/>
  <c r="AH58" i="81"/>
  <c r="AH57" i="81"/>
  <c r="AH56" i="81"/>
  <c r="AH55" i="81"/>
  <c r="AH54" i="81"/>
  <c r="AH53" i="81"/>
  <c r="AH52" i="81"/>
  <c r="AH48" i="81"/>
  <c r="AH47" i="81"/>
  <c r="AH46" i="81"/>
  <c r="AH45" i="81"/>
  <c r="AH44" i="81"/>
  <c r="AH43" i="81"/>
  <c r="AH42" i="81"/>
  <c r="AH41" i="81"/>
  <c r="AH40" i="81"/>
  <c r="AH39" i="81"/>
  <c r="AH38" i="81"/>
  <c r="AH37" i="81"/>
  <c r="AH36" i="81"/>
  <c r="AH192" i="81"/>
  <c r="AH191" i="81"/>
  <c r="AH190" i="81"/>
  <c r="AH189" i="81"/>
  <c r="AH188" i="81"/>
  <c r="AH187" i="81"/>
  <c r="AH186" i="81"/>
  <c r="AH185" i="81"/>
  <c r="AH184" i="81"/>
  <c r="AH183" i="81"/>
  <c r="AH182" i="81"/>
  <c r="AH181" i="81"/>
  <c r="AH180" i="81"/>
  <c r="AH176" i="81"/>
  <c r="AH175" i="81"/>
  <c r="AH174" i="81"/>
  <c r="AH173" i="81"/>
  <c r="AH172" i="81"/>
  <c r="AH171" i="81"/>
  <c r="AH170" i="81"/>
  <c r="AH169" i="81"/>
  <c r="AH168" i="81"/>
  <c r="AH167" i="81"/>
  <c r="AH166" i="81"/>
  <c r="AH165" i="81"/>
  <c r="AH164" i="81"/>
  <c r="AH160" i="81"/>
  <c r="AH159" i="81"/>
  <c r="AH158" i="81"/>
  <c r="AH157" i="81"/>
  <c r="AH156" i="81"/>
  <c r="AH155" i="81"/>
  <c r="AH154" i="81"/>
  <c r="AH153" i="81"/>
  <c r="AH152" i="81"/>
  <c r="AH151" i="81"/>
  <c r="AH150" i="81"/>
  <c r="AH149" i="81"/>
  <c r="AH148" i="81"/>
  <c r="AH144" i="81"/>
  <c r="AH142" i="81"/>
  <c r="AH141" i="81"/>
  <c r="AH140" i="81"/>
  <c r="AH139" i="81"/>
  <c r="AH138" i="81"/>
  <c r="AH137" i="81"/>
  <c r="AH136" i="81"/>
  <c r="AH135" i="81"/>
  <c r="AH134" i="81"/>
  <c r="AH133" i="81"/>
  <c r="AH132" i="81"/>
  <c r="AH128" i="81"/>
  <c r="AH127" i="81"/>
  <c r="AH126" i="81"/>
  <c r="AH125" i="81"/>
  <c r="AH124" i="81"/>
  <c r="AH123" i="81"/>
  <c r="AH122" i="81"/>
  <c r="AH121" i="81"/>
  <c r="AH120" i="81"/>
  <c r="AH119" i="81"/>
  <c r="AH118" i="81"/>
  <c r="AH117" i="81"/>
  <c r="AH80" i="81"/>
  <c r="AH79" i="81"/>
  <c r="AH78" i="81"/>
  <c r="AH77" i="81"/>
  <c r="AH76" i="81"/>
  <c r="AH75" i="81"/>
  <c r="AH74" i="81"/>
  <c r="AH73" i="81"/>
  <c r="AH72" i="81"/>
  <c r="AH71" i="81"/>
  <c r="AH70" i="81"/>
  <c r="AH69" i="81"/>
  <c r="AH68" i="81"/>
  <c r="C80" i="80"/>
  <c r="C52" i="80"/>
  <c r="D135" i="80"/>
  <c r="C135" i="80"/>
  <c r="C107" i="80"/>
  <c r="C355" i="80"/>
  <c r="C357" i="80" s="1"/>
  <c r="O34" i="1"/>
  <c r="O27" i="1"/>
  <c r="O24" i="1"/>
  <c r="O15" i="1"/>
  <c r="O40" i="1"/>
  <c r="O35" i="1"/>
  <c r="O33" i="1"/>
  <c r="O17" i="2"/>
  <c r="L11" i="1"/>
  <c r="O39" i="1"/>
  <c r="O32" i="1"/>
  <c r="O19" i="1"/>
  <c r="O26" i="1"/>
  <c r="O21" i="1"/>
  <c r="O25" i="1"/>
  <c r="O28" i="1"/>
  <c r="D355" i="80"/>
  <c r="O38" i="1"/>
  <c r="O31" i="1"/>
  <c r="Z43" i="58"/>
  <c r="C328" i="80"/>
  <c r="C301" i="80"/>
  <c r="Z41" i="58"/>
  <c r="Z40" i="58"/>
  <c r="Z39" i="58"/>
  <c r="Z38" i="58"/>
  <c r="Z37" i="58"/>
  <c r="Z36" i="58"/>
  <c r="Z35" i="58"/>
  <c r="Z34" i="58"/>
  <c r="Z33" i="58"/>
  <c r="Z32" i="58"/>
  <c r="Z31" i="58"/>
  <c r="Z30" i="58"/>
  <c r="Z29" i="58"/>
  <c r="D328" i="80"/>
  <c r="D301" i="80"/>
  <c r="Z27" i="58"/>
  <c r="Z26" i="58"/>
  <c r="Z25" i="58"/>
  <c r="Z24" i="58"/>
  <c r="Z23" i="58"/>
  <c r="Z22" i="58"/>
  <c r="Z21" i="58"/>
  <c r="Z20" i="58"/>
  <c r="Z19" i="58"/>
  <c r="Z18" i="58"/>
  <c r="Z17" i="58"/>
  <c r="Z16" i="58"/>
  <c r="Z15" i="58"/>
  <c r="Z13" i="58"/>
  <c r="Z12" i="58"/>
  <c r="Z11" i="58"/>
  <c r="Z10" i="58"/>
  <c r="Z9" i="58"/>
  <c r="Z8" i="58"/>
  <c r="Z7" i="58"/>
  <c r="Z6" i="58"/>
  <c r="Z5" i="58"/>
  <c r="Z4" i="58"/>
  <c r="Z3" i="58"/>
  <c r="Z2" i="58"/>
  <c r="Z1" i="58"/>
  <c r="C274" i="80"/>
  <c r="C246" i="80"/>
  <c r="D274" i="80"/>
  <c r="F28" i="37"/>
  <c r="L35" i="37"/>
  <c r="N35" i="37"/>
  <c r="P35" i="37"/>
  <c r="J35" i="37"/>
  <c r="M35" i="37"/>
  <c r="K35" i="37"/>
  <c r="I35" i="37"/>
  <c r="G35" i="37"/>
  <c r="AH88" i="81"/>
  <c r="AH89" i="81"/>
  <c r="AH96" i="81"/>
  <c r="AH95" i="81"/>
  <c r="AH94" i="81"/>
  <c r="AH93" i="81"/>
  <c r="AH92" i="81"/>
  <c r="AH91" i="81"/>
  <c r="AH90" i="81"/>
  <c r="AH87" i="81"/>
  <c r="AH86" i="81"/>
  <c r="AH85" i="81"/>
  <c r="AH84" i="81"/>
  <c r="D246" i="80"/>
  <c r="D218" i="80"/>
  <c r="C218" i="80"/>
  <c r="C190" i="80"/>
  <c r="D162" i="80"/>
  <c r="C162" i="80"/>
  <c r="G19" i="37"/>
  <c r="H34" i="37"/>
  <c r="D190" i="80"/>
  <c r="T10" i="4"/>
  <c r="O11" i="1"/>
  <c r="H18" i="37"/>
  <c r="G18" i="37"/>
  <c r="H19" i="37"/>
  <c r="W42" i="10"/>
  <c r="V42" i="10"/>
  <c r="G3" i="6"/>
  <c r="G3" i="5"/>
  <c r="D8" i="37" s="1"/>
  <c r="D7" i="37"/>
  <c r="G3" i="3"/>
  <c r="D6" i="37" s="1"/>
  <c r="G3" i="2"/>
  <c r="N5" i="1"/>
  <c r="G3" i="1"/>
  <c r="G3" i="9"/>
  <c r="D12" i="37" s="1"/>
  <c r="G3" i="10"/>
  <c r="D13" i="37" s="1"/>
  <c r="D14" i="37"/>
  <c r="D15" i="37"/>
  <c r="U42" i="12"/>
  <c r="T16" i="12"/>
  <c r="T16" i="11"/>
  <c r="T11" i="11"/>
  <c r="V10" i="12"/>
  <c r="V13" i="12"/>
  <c r="T12" i="12"/>
  <c r="T14" i="12"/>
  <c r="T13" i="12"/>
  <c r="T15" i="12"/>
  <c r="T11" i="12"/>
  <c r="T12" i="11"/>
  <c r="T13" i="11"/>
  <c r="T14" i="11"/>
  <c r="T15" i="11"/>
  <c r="V15" i="12"/>
  <c r="V12" i="12"/>
  <c r="U42" i="10"/>
  <c r="T16" i="10"/>
  <c r="T15" i="10"/>
  <c r="T14" i="10"/>
  <c r="V11" i="10"/>
  <c r="T11" i="10"/>
  <c r="T12" i="10"/>
  <c r="T13" i="10"/>
  <c r="V13" i="10"/>
  <c r="U42" i="9"/>
  <c r="T13" i="9"/>
  <c r="T15" i="9"/>
  <c r="T14" i="9"/>
  <c r="T12" i="9"/>
  <c r="T11" i="9"/>
  <c r="T13" i="27"/>
  <c r="T14" i="27"/>
  <c r="G3" i="27"/>
  <c r="D11" i="37" s="1"/>
  <c r="T16" i="9"/>
  <c r="T15" i="27"/>
  <c r="T16" i="27"/>
  <c r="T11" i="27"/>
  <c r="T12" i="27"/>
  <c r="V10" i="9"/>
  <c r="V16" i="9"/>
  <c r="V10" i="27"/>
  <c r="T16" i="6"/>
  <c r="T12" i="6"/>
  <c r="T11" i="6"/>
  <c r="T10" i="6"/>
  <c r="T13" i="6"/>
  <c r="T14" i="6"/>
  <c r="T15" i="6"/>
  <c r="T11" i="5"/>
  <c r="T14" i="5"/>
  <c r="T15" i="5"/>
  <c r="T12" i="5"/>
  <c r="T16" i="5"/>
  <c r="T14" i="3"/>
  <c r="U42" i="4"/>
  <c r="V42" i="4"/>
  <c r="W42" i="4"/>
  <c r="T14" i="4"/>
  <c r="T16" i="4"/>
  <c r="T12" i="4"/>
  <c r="T15" i="4"/>
  <c r="T13" i="4"/>
  <c r="T15" i="3"/>
  <c r="T10" i="3"/>
  <c r="T15" i="2"/>
  <c r="V15" i="2"/>
  <c r="W11" i="1"/>
  <c r="V11" i="1"/>
  <c r="U11" i="1"/>
  <c r="T11" i="1"/>
  <c r="W10" i="1"/>
  <c r="U10" i="1"/>
  <c r="T10" i="1"/>
  <c r="T13" i="1"/>
  <c r="T14" i="1"/>
  <c r="T15" i="1"/>
  <c r="U15" i="1"/>
  <c r="W15" i="1"/>
  <c r="V15" i="1"/>
  <c r="W14" i="1"/>
  <c r="V14" i="1"/>
  <c r="U14" i="1"/>
  <c r="W12" i="1"/>
  <c r="V12" i="1"/>
  <c r="U12" i="1"/>
  <c r="T12" i="1"/>
  <c r="T10" i="2"/>
  <c r="T11" i="2"/>
  <c r="T12" i="2"/>
  <c r="T13" i="2"/>
  <c r="T14" i="2"/>
  <c r="U41" i="1"/>
  <c r="I19" i="37"/>
  <c r="M19" i="37"/>
  <c r="K19" i="37"/>
  <c r="J18" i="37"/>
  <c r="J19" i="37"/>
  <c r="I18" i="37"/>
  <c r="V10" i="2"/>
  <c r="T13" i="3"/>
  <c r="T12" i="3"/>
  <c r="T11" i="3"/>
  <c r="V12" i="7"/>
  <c r="V13" i="7"/>
  <c r="T13" i="7"/>
  <c r="T14" i="7"/>
  <c r="T15" i="7"/>
  <c r="T12" i="7"/>
  <c r="T16" i="7"/>
  <c r="T11" i="7"/>
  <c r="G3" i="7"/>
  <c r="F41" i="49"/>
  <c r="C41" i="49"/>
  <c r="D40" i="49"/>
  <c r="D39" i="49"/>
  <c r="D38" i="49"/>
  <c r="D41" i="49"/>
  <c r="E41" i="49"/>
  <c r="G41" i="49"/>
  <c r="F35" i="49"/>
  <c r="C35" i="49"/>
  <c r="D34" i="49"/>
  <c r="D33" i="49"/>
  <c r="D32" i="49"/>
  <c r="D35" i="49"/>
  <c r="E35" i="49"/>
  <c r="G35" i="49"/>
  <c r="F29" i="49"/>
  <c r="C29" i="49"/>
  <c r="D28" i="49"/>
  <c r="D27" i="49"/>
  <c r="D26" i="49"/>
  <c r="D29" i="49"/>
  <c r="E29" i="49"/>
  <c r="G29" i="49"/>
  <c r="F23" i="49"/>
  <c r="C23" i="49"/>
  <c r="D22" i="49"/>
  <c r="D21" i="49"/>
  <c r="D20" i="49"/>
  <c r="D23" i="49"/>
  <c r="E23" i="49"/>
  <c r="G23" i="49"/>
  <c r="F17" i="49"/>
  <c r="C17" i="49"/>
  <c r="D16" i="49"/>
  <c r="D15" i="49"/>
  <c r="D14" i="49"/>
  <c r="D17" i="49"/>
  <c r="E17" i="49"/>
  <c r="G17" i="49"/>
  <c r="F11" i="49"/>
  <c r="C11" i="49"/>
  <c r="D10" i="49"/>
  <c r="D9" i="49"/>
  <c r="D8" i="49"/>
  <c r="D11" i="49"/>
  <c r="E11" i="49"/>
  <c r="G11" i="49"/>
  <c r="F5" i="49"/>
  <c r="C5" i="49"/>
  <c r="D4" i="49"/>
  <c r="D3" i="49"/>
  <c r="D2" i="49"/>
  <c r="D5" i="49"/>
  <c r="E5" i="49"/>
  <c r="G5" i="49"/>
  <c r="I8" i="47"/>
  <c r="I10" i="47"/>
  <c r="I3" i="47"/>
  <c r="I5" i="47"/>
  <c r="I2" i="47"/>
  <c r="H3" i="47"/>
  <c r="H4" i="47"/>
  <c r="H5" i="47"/>
  <c r="H6" i="47"/>
  <c r="H7" i="47"/>
  <c r="H2" i="47"/>
  <c r="G2" i="47"/>
  <c r="F2" i="47"/>
  <c r="I6" i="44"/>
  <c r="I5" i="44"/>
  <c r="I4" i="44"/>
  <c r="D5" i="44"/>
  <c r="D6" i="44"/>
  <c r="D4" i="44"/>
  <c r="J5" i="44"/>
  <c r="H6" i="44"/>
  <c r="C6" i="44"/>
  <c r="H5" i="44"/>
  <c r="C5" i="44"/>
  <c r="H4" i="44"/>
  <c r="C4" i="44"/>
  <c r="D10" i="44"/>
  <c r="E10" i="44"/>
  <c r="D11" i="44"/>
  <c r="C10" i="44"/>
  <c r="H12" i="44"/>
  <c r="I12" i="44"/>
  <c r="C12" i="44"/>
  <c r="H11" i="44"/>
  <c r="I11" i="44"/>
  <c r="C11" i="44"/>
  <c r="E11" i="44"/>
  <c r="H10" i="44"/>
  <c r="I10" i="44"/>
  <c r="J10" i="44"/>
  <c r="H24" i="44"/>
  <c r="I24" i="44"/>
  <c r="C24" i="44"/>
  <c r="H23" i="44"/>
  <c r="I23" i="44"/>
  <c r="C23" i="44"/>
  <c r="D23" i="44"/>
  <c r="E23" i="44"/>
  <c r="H22" i="44"/>
  <c r="I22" i="44"/>
  <c r="C22" i="44"/>
  <c r="D22" i="44"/>
  <c r="E22" i="44"/>
  <c r="H30" i="44"/>
  <c r="J30" i="44"/>
  <c r="C30" i="44"/>
  <c r="D30" i="44"/>
  <c r="H29" i="44"/>
  <c r="J29" i="44"/>
  <c r="C29" i="44"/>
  <c r="H28" i="44"/>
  <c r="J28" i="44"/>
  <c r="C28" i="44"/>
  <c r="D28" i="44"/>
  <c r="E28" i="44"/>
  <c r="H16" i="44"/>
  <c r="J16" i="44"/>
  <c r="C16" i="44"/>
  <c r="E16" i="44"/>
  <c r="C18" i="44"/>
  <c r="E18" i="44"/>
  <c r="H18" i="44"/>
  <c r="J18" i="44"/>
  <c r="H17" i="44"/>
  <c r="J17" i="44"/>
  <c r="C17" i="44"/>
  <c r="E17" i="44"/>
  <c r="E4" i="44"/>
  <c r="J4" i="44"/>
  <c r="E6" i="44"/>
  <c r="E5" i="44"/>
  <c r="J6" i="44"/>
  <c r="E12" i="44"/>
  <c r="D12" i="44"/>
  <c r="J11" i="44"/>
  <c r="J12" i="44"/>
  <c r="J22" i="44"/>
  <c r="J23" i="44"/>
  <c r="E30" i="44"/>
  <c r="I28" i="44"/>
  <c r="I30" i="44"/>
  <c r="D29" i="44"/>
  <c r="E29" i="44"/>
  <c r="I18" i="44"/>
  <c r="I29" i="44"/>
  <c r="J24" i="44"/>
  <c r="I17" i="44"/>
  <c r="D24" i="44"/>
  <c r="E24" i="44"/>
  <c r="I16" i="44"/>
  <c r="D16" i="44"/>
  <c r="D18" i="44"/>
  <c r="D17" i="44"/>
  <c r="E50" i="41"/>
  <c r="E49" i="41"/>
  <c r="E42" i="41"/>
  <c r="E41" i="41"/>
  <c r="E40" i="41"/>
  <c r="E39" i="41"/>
  <c r="E38" i="41"/>
  <c r="E36" i="41"/>
  <c r="E35" i="41"/>
  <c r="E34" i="41"/>
  <c r="E33" i="41"/>
  <c r="E31" i="41"/>
  <c r="D30" i="41"/>
  <c r="E29" i="41"/>
  <c r="E28" i="41"/>
  <c r="E27" i="41"/>
  <c r="E26" i="41"/>
  <c r="E25" i="41"/>
  <c r="E24" i="41"/>
  <c r="D14" i="41"/>
  <c r="D13" i="40"/>
  <c r="B14" i="40"/>
  <c r="Q14" i="40"/>
  <c r="N14" i="40"/>
  <c r="K14" i="40"/>
  <c r="H14" i="40"/>
  <c r="E14" i="40"/>
  <c r="G8" i="40"/>
  <c r="D8" i="40"/>
  <c r="G4" i="40"/>
  <c r="G5" i="40"/>
  <c r="G6" i="40"/>
  <c r="G7" i="40"/>
  <c r="G9" i="40"/>
  <c r="G10" i="40"/>
  <c r="G11" i="40"/>
  <c r="G12" i="40"/>
  <c r="G3" i="40"/>
  <c r="D4" i="40"/>
  <c r="D5" i="40"/>
  <c r="D6" i="40"/>
  <c r="D7" i="40"/>
  <c r="D9" i="40"/>
  <c r="D10" i="40"/>
  <c r="D11" i="40"/>
  <c r="D12" i="40"/>
  <c r="D3" i="40"/>
  <c r="M3" i="40"/>
  <c r="M4" i="40"/>
  <c r="M8" i="40"/>
  <c r="M5" i="40"/>
  <c r="M7" i="40"/>
  <c r="M12" i="40"/>
  <c r="M10" i="40"/>
  <c r="M11" i="40"/>
  <c r="M9" i="40"/>
  <c r="M6" i="40"/>
  <c r="R18" i="37"/>
  <c r="N18" i="37"/>
  <c r="N19" i="37"/>
  <c r="Z19" i="37"/>
  <c r="Y19" i="37"/>
  <c r="O19" i="37"/>
  <c r="S18" i="37"/>
  <c r="S19" i="37"/>
  <c r="Q18" i="37"/>
  <c r="R19" i="37"/>
  <c r="O18" i="37"/>
  <c r="P19" i="37"/>
  <c r="X19" i="37"/>
  <c r="M18" i="37"/>
  <c r="W19" i="37"/>
  <c r="L18" i="37"/>
  <c r="AF198" i="26"/>
  <c r="AF367" i="26"/>
  <c r="AF368" i="26"/>
  <c r="AF369" i="26"/>
  <c r="AF370" i="26"/>
  <c r="AF371" i="26"/>
  <c r="AF372" i="26"/>
  <c r="AF373" i="26"/>
  <c r="AF366" i="26"/>
  <c r="AF356" i="26"/>
  <c r="AF357" i="26"/>
  <c r="AF358" i="26"/>
  <c r="AF359" i="26"/>
  <c r="AF360" i="26"/>
  <c r="AF361" i="26"/>
  <c r="AF362" i="26"/>
  <c r="AF355" i="26"/>
  <c r="AF345" i="26"/>
  <c r="AF346" i="26"/>
  <c r="AF347" i="26"/>
  <c r="AF348" i="26"/>
  <c r="AF349" i="26"/>
  <c r="AF350" i="26"/>
  <c r="AF351" i="26"/>
  <c r="AF344" i="26"/>
  <c r="AF334" i="26"/>
  <c r="AF335" i="26"/>
  <c r="AF336" i="26"/>
  <c r="AF337" i="26"/>
  <c r="AF338" i="26"/>
  <c r="AF339" i="26"/>
  <c r="AF340" i="26"/>
  <c r="AF333" i="26"/>
  <c r="AF322" i="26"/>
  <c r="AF257" i="26"/>
  <c r="AF258" i="26"/>
  <c r="AF259" i="26"/>
  <c r="AF260" i="26"/>
  <c r="AF261" i="26"/>
  <c r="AF262" i="26"/>
  <c r="AF263" i="26"/>
  <c r="AF256" i="26"/>
  <c r="AF274" i="26"/>
  <c r="AF268" i="26"/>
  <c r="AF269" i="26"/>
  <c r="AF270" i="26"/>
  <c r="AF271" i="26"/>
  <c r="AF272" i="26"/>
  <c r="AF273" i="26"/>
  <c r="AF279" i="26"/>
  <c r="AF280" i="26"/>
  <c r="AF281" i="26"/>
  <c r="AF282" i="26"/>
  <c r="AF283" i="26"/>
  <c r="AF284" i="26"/>
  <c r="AF285" i="26"/>
  <c r="AF290" i="26"/>
  <c r="AF291" i="26"/>
  <c r="AF292" i="26"/>
  <c r="AF293" i="26"/>
  <c r="AF294" i="26"/>
  <c r="AF295" i="26"/>
  <c r="AF296" i="26"/>
  <c r="AF301" i="26"/>
  <c r="AF302" i="26"/>
  <c r="AF303" i="26"/>
  <c r="AF304" i="26"/>
  <c r="AF305" i="26"/>
  <c r="AF306" i="26"/>
  <c r="AF307" i="26"/>
  <c r="AF312" i="26"/>
  <c r="AF313" i="26"/>
  <c r="AF314" i="26"/>
  <c r="AF315" i="26"/>
  <c r="AF316" i="26"/>
  <c r="AF317" i="26"/>
  <c r="AF318" i="26"/>
  <c r="AF323" i="26"/>
  <c r="AF324" i="26"/>
  <c r="AF325" i="26"/>
  <c r="AF326" i="26"/>
  <c r="AF327" i="26"/>
  <c r="AF328" i="26"/>
  <c r="AF329" i="26"/>
  <c r="AF311" i="26"/>
  <c r="AF300" i="26"/>
  <c r="AF289" i="26"/>
  <c r="AF278" i="26"/>
  <c r="AF267" i="26"/>
  <c r="AF212" i="26"/>
  <c r="AF213" i="26"/>
  <c r="AF214" i="26"/>
  <c r="AF215" i="26"/>
  <c r="AF216" i="26"/>
  <c r="AF217" i="26"/>
  <c r="AF218" i="26"/>
  <c r="AF219" i="26"/>
  <c r="AF252" i="26"/>
  <c r="AF241" i="26"/>
  <c r="AF236" i="26"/>
  <c r="AF246" i="26"/>
  <c r="AF247" i="26"/>
  <c r="AF248" i="26"/>
  <c r="AF249" i="26"/>
  <c r="AF250" i="26"/>
  <c r="AF251" i="26"/>
  <c r="AF245" i="26"/>
  <c r="AF223" i="26"/>
  <c r="AF225" i="26"/>
  <c r="AF230" i="26"/>
  <c r="AF231" i="26"/>
  <c r="AF224" i="26"/>
  <c r="AF226" i="26"/>
  <c r="AF227" i="26"/>
  <c r="AF228" i="26"/>
  <c r="AF229" i="26"/>
  <c r="AF235" i="26"/>
  <c r="AF237" i="26"/>
  <c r="AF238" i="26"/>
  <c r="AF239" i="26"/>
  <c r="AF240" i="26"/>
  <c r="AF234" i="26"/>
  <c r="AF202" i="26"/>
  <c r="AF169" i="26"/>
  <c r="AF170" i="26"/>
  <c r="AF171" i="26"/>
  <c r="AF172" i="26"/>
  <c r="AF173" i="26"/>
  <c r="AF174" i="26"/>
  <c r="AF175" i="26"/>
  <c r="AF176" i="26"/>
  <c r="AF168" i="26"/>
  <c r="AF179" i="26"/>
  <c r="AF191" i="26"/>
  <c r="AF192" i="26"/>
  <c r="AF193" i="26"/>
  <c r="AF194" i="26"/>
  <c r="AF195" i="26"/>
  <c r="AF197" i="26"/>
  <c r="AF203" i="26"/>
  <c r="AF204" i="26"/>
  <c r="AF205" i="26"/>
  <c r="AF206" i="26"/>
  <c r="AF207" i="26"/>
  <c r="AF201" i="26"/>
  <c r="AF190" i="26"/>
  <c r="AF181" i="26"/>
  <c r="AF182" i="26"/>
  <c r="AF183" i="26"/>
  <c r="AF184" i="26"/>
  <c r="AF186" i="26"/>
  <c r="AF180" i="26"/>
  <c r="AF158" i="26"/>
  <c r="AF159" i="26"/>
  <c r="AF160" i="26"/>
  <c r="AF161" i="26"/>
  <c r="AF162" i="26"/>
  <c r="AF163" i="26"/>
  <c r="AF164" i="26"/>
  <c r="AF165" i="26"/>
  <c r="AF157" i="26"/>
  <c r="AF110" i="26"/>
  <c r="AF109" i="26"/>
  <c r="AF154" i="26"/>
  <c r="AF143" i="26"/>
  <c r="AF132" i="26"/>
  <c r="AF146" i="26"/>
  <c r="AF153" i="26"/>
  <c r="AF152" i="26"/>
  <c r="AF151" i="26"/>
  <c r="AF150" i="26"/>
  <c r="AF149" i="26"/>
  <c r="AF148" i="26"/>
  <c r="AF147" i="26"/>
  <c r="AF136" i="26"/>
  <c r="AF137" i="26"/>
  <c r="AF138" i="26"/>
  <c r="AF139" i="26"/>
  <c r="AF140" i="26"/>
  <c r="AF141" i="26"/>
  <c r="AF142" i="26"/>
  <c r="AF135" i="26"/>
  <c r="AF125" i="26"/>
  <c r="AF126" i="26"/>
  <c r="AF127" i="26"/>
  <c r="AF128" i="26"/>
  <c r="AF129" i="26"/>
  <c r="AF130" i="26"/>
  <c r="AF131" i="26"/>
  <c r="AF124" i="26"/>
  <c r="AF114" i="26"/>
  <c r="AF115" i="26"/>
  <c r="AF116" i="26"/>
  <c r="AF117" i="26"/>
  <c r="AF118" i="26"/>
  <c r="AF119" i="26"/>
  <c r="AF120" i="26"/>
  <c r="AF113" i="26"/>
  <c r="AF108" i="26"/>
  <c r="AF107" i="26"/>
  <c r="AF106" i="26"/>
  <c r="AF105" i="26"/>
  <c r="AF104" i="26"/>
  <c r="AF103" i="26"/>
  <c r="AF102" i="26"/>
  <c r="AF99" i="26"/>
  <c r="AF98" i="26"/>
  <c r="AF97" i="26"/>
  <c r="AF96" i="26"/>
  <c r="AF95" i="26"/>
  <c r="AF94" i="26"/>
  <c r="AF93" i="26"/>
  <c r="AF92" i="26"/>
  <c r="AF83" i="26"/>
  <c r="AF84" i="26"/>
  <c r="AF85" i="26"/>
  <c r="AF86" i="26"/>
  <c r="AF87" i="26"/>
  <c r="AF88" i="26"/>
  <c r="AF89" i="26"/>
  <c r="AF82" i="26"/>
  <c r="AF78" i="26"/>
  <c r="AF71" i="26"/>
  <c r="AF72" i="26"/>
  <c r="AF73" i="26"/>
  <c r="AF74" i="26"/>
  <c r="AF75" i="26"/>
  <c r="AF76" i="26"/>
  <c r="AF77" i="26"/>
  <c r="AF67" i="26"/>
  <c r="AF57" i="26"/>
  <c r="AF47" i="26"/>
  <c r="AF37" i="26"/>
  <c r="AF38" i="26"/>
  <c r="AF36" i="26"/>
  <c r="AF48" i="26"/>
  <c r="AF58" i="26"/>
  <c r="AF68" i="26"/>
  <c r="AF66" i="26"/>
  <c r="AF65" i="26"/>
  <c r="AF64" i="26"/>
  <c r="AF63" i="26"/>
  <c r="AF62" i="26"/>
  <c r="AF61" i="26"/>
  <c r="AF56" i="26"/>
  <c r="AF55" i="26"/>
  <c r="AF54" i="26"/>
  <c r="AF53" i="26"/>
  <c r="AF52" i="26"/>
  <c r="AF51" i="26"/>
  <c r="AF46" i="26"/>
  <c r="AF45" i="26"/>
  <c r="AF44" i="26"/>
  <c r="AF43" i="26"/>
  <c r="AF42" i="26"/>
  <c r="AF41" i="26"/>
  <c r="AF35" i="26"/>
  <c r="AF34" i="26"/>
  <c r="AF33" i="26"/>
  <c r="AF32" i="26"/>
  <c r="AF31" i="26"/>
  <c r="AF27" i="26"/>
  <c r="AF26" i="26"/>
  <c r="AF25" i="26"/>
  <c r="AF24" i="26"/>
  <c r="AF23" i="26"/>
  <c r="AF22" i="26"/>
  <c r="AF21" i="26"/>
  <c r="AF17" i="26"/>
  <c r="AF16" i="26"/>
  <c r="AF15" i="26"/>
  <c r="AF14" i="26"/>
  <c r="AF13" i="26"/>
  <c r="AF12" i="26"/>
  <c r="AF11" i="26"/>
  <c r="AF8" i="26"/>
  <c r="AF7" i="26"/>
  <c r="AF6" i="26"/>
  <c r="AF5" i="26"/>
  <c r="AF4" i="26"/>
  <c r="AF3" i="26"/>
  <c r="AF2" i="26"/>
  <c r="AF1" i="26"/>
  <c r="V19" i="37"/>
  <c r="K18" i="37"/>
  <c r="L19" i="37"/>
  <c r="T13" i="5"/>
  <c r="V12" i="5"/>
  <c r="V11" i="12"/>
  <c r="D4" i="37"/>
  <c r="F18" i="37"/>
  <c r="F19" i="37" s="1"/>
  <c r="V13" i="1"/>
  <c r="U13" i="1"/>
  <c r="W12" i="2"/>
  <c r="V12" i="2"/>
  <c r="Q19" i="37"/>
  <c r="O12" i="1"/>
  <c r="W13" i="1"/>
  <c r="O10" i="2"/>
  <c r="G2" i="1"/>
  <c r="C4" i="37"/>
  <c r="G5" i="1"/>
  <c r="G4" i="1"/>
  <c r="G6" i="1"/>
  <c r="U4" i="37"/>
  <c r="N4" i="1"/>
  <c r="N2" i="1"/>
  <c r="N3" i="1"/>
  <c r="E19" i="37"/>
  <c r="T11" i="4"/>
  <c r="V11" i="4"/>
  <c r="V13" i="2"/>
  <c r="O24" i="2"/>
  <c r="W14" i="2"/>
  <c r="U14" i="2"/>
  <c r="D5" i="37"/>
  <c r="N5" i="2"/>
  <c r="V11" i="2"/>
  <c r="U11" i="2"/>
  <c r="W11" i="2"/>
  <c r="W10" i="2"/>
  <c r="U10" i="2"/>
  <c r="U15" i="2"/>
  <c r="W15" i="2"/>
  <c r="O32" i="2"/>
  <c r="O30" i="3"/>
  <c r="O25" i="3"/>
  <c r="O22" i="3"/>
  <c r="O21" i="3"/>
  <c r="O18" i="3"/>
  <c r="O17" i="3"/>
  <c r="O14" i="3"/>
  <c r="O13" i="3"/>
  <c r="O12" i="3"/>
  <c r="V14" i="3"/>
  <c r="O10" i="3"/>
  <c r="O37" i="2"/>
  <c r="W13" i="2"/>
  <c r="O16" i="3"/>
  <c r="O15" i="3"/>
  <c r="O11" i="3"/>
  <c r="G2" i="2"/>
  <c r="G5" i="2"/>
  <c r="N4" i="2"/>
  <c r="N3" i="2"/>
  <c r="N2" i="2"/>
  <c r="C5" i="37"/>
  <c r="G6" i="2"/>
  <c r="U5" i="37"/>
  <c r="U19" i="37"/>
  <c r="G4" i="2"/>
  <c r="O40" i="12" l="1"/>
  <c r="O38" i="12"/>
  <c r="O34" i="12"/>
  <c r="G2" i="12" s="1"/>
  <c r="O31" i="12"/>
  <c r="O30" i="12"/>
  <c r="V16" i="12"/>
  <c r="O29" i="12"/>
  <c r="O28" i="12"/>
  <c r="O27" i="12"/>
  <c r="O26" i="12"/>
  <c r="O25" i="12"/>
  <c r="O23" i="12"/>
  <c r="O22" i="12"/>
  <c r="O21" i="12"/>
  <c r="N5" i="12"/>
  <c r="O20" i="12"/>
  <c r="O19" i="12"/>
  <c r="D52" i="80"/>
  <c r="E50" i="80"/>
  <c r="E67" i="80"/>
  <c r="D69" i="80"/>
  <c r="E69" i="80" s="1"/>
  <c r="D25" i="80"/>
  <c r="E7" i="80"/>
  <c r="C330" i="80"/>
  <c r="O18" i="12"/>
  <c r="O17" i="12"/>
  <c r="U16" i="12"/>
  <c r="W16" i="12"/>
  <c r="O16" i="12"/>
  <c r="U15" i="12"/>
  <c r="O15" i="12"/>
  <c r="V14" i="12"/>
  <c r="W14" i="12"/>
  <c r="U14" i="12"/>
  <c r="O14" i="12"/>
  <c r="U13" i="12"/>
  <c r="W13" i="12"/>
  <c r="O13" i="12"/>
  <c r="W12" i="12"/>
  <c r="U12" i="12"/>
  <c r="O12" i="12"/>
  <c r="U11" i="12"/>
  <c r="W11" i="12"/>
  <c r="U10" i="12"/>
  <c r="W10" i="12"/>
  <c r="O31" i="11"/>
  <c r="O39" i="11"/>
  <c r="O38" i="11"/>
  <c r="O37" i="11"/>
  <c r="O36" i="11"/>
  <c r="O19" i="11"/>
  <c r="O18" i="11"/>
  <c r="O35" i="11"/>
  <c r="O34" i="11"/>
  <c r="O33" i="11"/>
  <c r="O32" i="11"/>
  <c r="O30" i="11"/>
  <c r="V13" i="11"/>
  <c r="O29" i="11"/>
  <c r="N5" i="11"/>
  <c r="O28" i="11"/>
  <c r="O27" i="11"/>
  <c r="O26" i="11"/>
  <c r="O24" i="11"/>
  <c r="V14" i="11"/>
  <c r="O22" i="11"/>
  <c r="O21" i="11"/>
  <c r="O20" i="11"/>
  <c r="C303" i="80"/>
  <c r="O17" i="11"/>
  <c r="U13" i="11"/>
  <c r="W13" i="11"/>
  <c r="U12" i="11"/>
  <c r="V12" i="11"/>
  <c r="W12" i="11"/>
  <c r="W11" i="11"/>
  <c r="U10" i="11"/>
  <c r="V10" i="11"/>
  <c r="W10" i="11"/>
  <c r="V16" i="11"/>
  <c r="W16" i="11"/>
  <c r="V15" i="11"/>
  <c r="U15" i="11"/>
  <c r="O40" i="10"/>
  <c r="O39" i="10"/>
  <c r="O38" i="10"/>
  <c r="O37" i="10"/>
  <c r="V77" i="51" a="1"/>
  <c r="V77" i="51" s="1"/>
  <c r="L77" i="51" a="1"/>
  <c r="L77" i="51" s="1"/>
  <c r="T77" i="51" a="1"/>
  <c r="T77" i="51" s="1"/>
  <c r="J77" i="51" a="1"/>
  <c r="J77" i="51" s="1"/>
  <c r="R77" i="51" a="1"/>
  <c r="R77" i="51" s="1"/>
  <c r="H77" i="51" a="1"/>
  <c r="H77" i="51" s="1"/>
  <c r="Z77" i="51" a="1"/>
  <c r="Z77" i="51" s="1"/>
  <c r="P77" i="51" a="1"/>
  <c r="P77" i="51" s="1"/>
  <c r="F77" i="51" a="1"/>
  <c r="F77" i="51" s="1"/>
  <c r="X77" i="51" a="1"/>
  <c r="X77" i="51" s="1"/>
  <c r="N77" i="51" a="1"/>
  <c r="N77" i="51" s="1"/>
  <c r="D77" i="51" a="1"/>
  <c r="D77" i="51" s="1"/>
  <c r="R72" i="51" a="1"/>
  <c r="R72" i="51" s="1"/>
  <c r="X76" i="51" a="1"/>
  <c r="X76" i="51" s="1"/>
  <c r="N76" i="51" a="1"/>
  <c r="N76" i="51" s="1"/>
  <c r="D76" i="51" a="1"/>
  <c r="D76" i="51" s="1"/>
  <c r="J69" i="51" a="1"/>
  <c r="J69" i="51" s="1"/>
  <c r="Z59" i="51" a="1"/>
  <c r="Z59" i="51" s="1"/>
  <c r="X65" i="51" a="1"/>
  <c r="X65" i="51" s="1"/>
  <c r="X55" i="51" a="1"/>
  <c r="X55" i="51" s="1"/>
  <c r="V61" i="51" a="1"/>
  <c r="V61" i="51" s="1"/>
  <c r="V51" i="51" a="1"/>
  <c r="V51" i="51" s="1"/>
  <c r="T57" i="51" a="1"/>
  <c r="T57" i="51" s="1"/>
  <c r="R63" i="51" a="1"/>
  <c r="R63" i="51" s="1"/>
  <c r="R53" i="51" a="1"/>
  <c r="R53" i="51" s="1"/>
  <c r="P59" i="51" a="1"/>
  <c r="P59" i="51" s="1"/>
  <c r="N65" i="51" a="1"/>
  <c r="N65" i="51" s="1"/>
  <c r="N55" i="51" a="1"/>
  <c r="N55" i="51" s="1"/>
  <c r="L61" i="51" a="1"/>
  <c r="L61" i="51" s="1"/>
  <c r="L51" i="51" a="1"/>
  <c r="L51" i="51" s="1"/>
  <c r="J57" i="51" a="1"/>
  <c r="J57" i="51" s="1"/>
  <c r="H63" i="51" a="1"/>
  <c r="H63" i="51" s="1"/>
  <c r="H53" i="51" a="1"/>
  <c r="H53" i="51" s="1"/>
  <c r="F59" i="51" a="1"/>
  <c r="F59" i="51" s="1"/>
  <c r="D66" i="51" a="1"/>
  <c r="D66" i="51" s="1"/>
  <c r="D56" i="51" a="1"/>
  <c r="D56" i="51" s="1"/>
  <c r="X46" i="51" a="1"/>
  <c r="X46" i="51" s="1"/>
  <c r="R45" i="51" a="1"/>
  <c r="R45" i="51" s="1"/>
  <c r="J47" i="51" a="1"/>
  <c r="J47" i="51" s="1"/>
  <c r="D46" i="51" a="1"/>
  <c r="D46" i="51" s="1"/>
  <c r="D61" i="51" a="1"/>
  <c r="D61" i="51" s="1"/>
  <c r="Z47" i="51" a="1"/>
  <c r="Z47" i="51" s="1"/>
  <c r="P72" i="51" a="1"/>
  <c r="P72" i="51" s="1"/>
  <c r="D72" i="51" a="1"/>
  <c r="D72" i="51" s="1"/>
  <c r="H69" i="51" a="1"/>
  <c r="H69" i="51" s="1"/>
  <c r="Z58" i="51" a="1"/>
  <c r="Z58" i="51" s="1"/>
  <c r="X64" i="51" a="1"/>
  <c r="X64" i="51" s="1"/>
  <c r="X54" i="51" a="1"/>
  <c r="X54" i="51" s="1"/>
  <c r="V60" i="51" a="1"/>
  <c r="V60" i="51" s="1"/>
  <c r="T66" i="51" a="1"/>
  <c r="T66" i="51" s="1"/>
  <c r="T56" i="51" a="1"/>
  <c r="T56" i="51" s="1"/>
  <c r="R62" i="51" a="1"/>
  <c r="R62" i="51" s="1"/>
  <c r="R52" i="51" a="1"/>
  <c r="R52" i="51" s="1"/>
  <c r="P58" i="51" a="1"/>
  <c r="P58" i="51" s="1"/>
  <c r="N64" i="51" a="1"/>
  <c r="N64" i="51" s="1"/>
  <c r="N54" i="51" a="1"/>
  <c r="N54" i="51" s="1"/>
  <c r="L60" i="51" a="1"/>
  <c r="L60" i="51" s="1"/>
  <c r="J66" i="51" a="1"/>
  <c r="J66" i="51" s="1"/>
  <c r="J56" i="51" a="1"/>
  <c r="J56" i="51" s="1"/>
  <c r="H62" i="51" a="1"/>
  <c r="H62" i="51" s="1"/>
  <c r="H52" i="51" a="1"/>
  <c r="H52" i="51" s="1"/>
  <c r="F58" i="51" a="1"/>
  <c r="F58" i="51" s="1"/>
  <c r="D65" i="51" a="1"/>
  <c r="D65" i="51" s="1"/>
  <c r="D55" i="51" a="1"/>
  <c r="D55" i="51" s="1"/>
  <c r="X45" i="51" a="1"/>
  <c r="X45" i="51" s="1"/>
  <c r="P47" i="51" a="1"/>
  <c r="P47" i="51" s="1"/>
  <c r="N72" i="51" a="1"/>
  <c r="N72" i="51" s="1"/>
  <c r="V76" i="51" a="1"/>
  <c r="V76" i="51" s="1"/>
  <c r="L76" i="51" a="1"/>
  <c r="L76" i="51" s="1"/>
  <c r="Z69" i="51" a="1"/>
  <c r="Z69" i="51" s="1"/>
  <c r="F69" i="51" a="1"/>
  <c r="F69" i="51" s="1"/>
  <c r="Z57" i="51" a="1"/>
  <c r="Z57" i="51" s="1"/>
  <c r="X63" i="51" a="1"/>
  <c r="X63" i="51" s="1"/>
  <c r="X53" i="51" a="1"/>
  <c r="X53" i="51" s="1"/>
  <c r="V59" i="51" a="1"/>
  <c r="V59" i="51" s="1"/>
  <c r="T65" i="51" a="1"/>
  <c r="T65" i="51" s="1"/>
  <c r="T55" i="51" a="1"/>
  <c r="T55" i="51" s="1"/>
  <c r="R61" i="51" a="1"/>
  <c r="R61" i="51" s="1"/>
  <c r="R51" i="51" a="1"/>
  <c r="R51" i="51" s="1"/>
  <c r="P57" i="51" a="1"/>
  <c r="P57" i="51" s="1"/>
  <c r="N63" i="51" a="1"/>
  <c r="N63" i="51" s="1"/>
  <c r="N53" i="51" a="1"/>
  <c r="N53" i="51" s="1"/>
  <c r="L59" i="51" a="1"/>
  <c r="L59" i="51" s="1"/>
  <c r="J65" i="51" a="1"/>
  <c r="J65" i="51" s="1"/>
  <c r="J55" i="51" a="1"/>
  <c r="J55" i="51" s="1"/>
  <c r="H61" i="51" a="1"/>
  <c r="H61" i="51" s="1"/>
  <c r="H51" i="51" a="1"/>
  <c r="H51" i="51" s="1"/>
  <c r="F57" i="51" a="1"/>
  <c r="F57" i="51" s="1"/>
  <c r="D64" i="51" a="1"/>
  <c r="D64" i="51" s="1"/>
  <c r="D54" i="51" a="1"/>
  <c r="D54" i="51" s="1"/>
  <c r="V47" i="51" a="1"/>
  <c r="V47" i="51" s="1"/>
  <c r="P46" i="51" a="1"/>
  <c r="P46" i="51" s="1"/>
  <c r="J45" i="51" a="1"/>
  <c r="J45" i="51" s="1"/>
  <c r="D53" i="51" a="1"/>
  <c r="D53" i="51" s="1"/>
  <c r="V46" i="51" a="1"/>
  <c r="V46" i="51" s="1"/>
  <c r="H46" i="51" a="1"/>
  <c r="H46" i="51" s="1"/>
  <c r="F54" i="51" a="1"/>
  <c r="F54" i="51" s="1"/>
  <c r="L72" i="51" a="1"/>
  <c r="L72" i="51" s="1"/>
  <c r="X69" i="51" a="1"/>
  <c r="X69" i="51" s="1"/>
  <c r="Z66" i="51" a="1"/>
  <c r="Z66" i="51" s="1"/>
  <c r="Z56" i="51" a="1"/>
  <c r="Z56" i="51" s="1"/>
  <c r="X62" i="51" a="1"/>
  <c r="X62" i="51" s="1"/>
  <c r="X52" i="51" a="1"/>
  <c r="X52" i="51" s="1"/>
  <c r="V58" i="51" a="1"/>
  <c r="V58" i="51" s="1"/>
  <c r="T64" i="51" a="1"/>
  <c r="T64" i="51" s="1"/>
  <c r="T54" i="51" a="1"/>
  <c r="T54" i="51" s="1"/>
  <c r="R60" i="51" a="1"/>
  <c r="R60" i="51" s="1"/>
  <c r="P66" i="51" a="1"/>
  <c r="P66" i="51" s="1"/>
  <c r="P56" i="51" a="1"/>
  <c r="P56" i="51" s="1"/>
  <c r="N62" i="51" a="1"/>
  <c r="N62" i="51" s="1"/>
  <c r="N52" i="51" a="1"/>
  <c r="N52" i="51" s="1"/>
  <c r="L58" i="51" a="1"/>
  <c r="L58" i="51" s="1"/>
  <c r="J64" i="51" a="1"/>
  <c r="J64" i="51" s="1"/>
  <c r="J54" i="51" a="1"/>
  <c r="J54" i="51" s="1"/>
  <c r="H60" i="51" a="1"/>
  <c r="H60" i="51" s="1"/>
  <c r="F66" i="51" a="1"/>
  <c r="F66" i="51" s="1"/>
  <c r="F56" i="51" a="1"/>
  <c r="F56" i="51" s="1"/>
  <c r="D63" i="51" a="1"/>
  <c r="D63" i="51" s="1"/>
  <c r="P45" i="51" a="1"/>
  <c r="P45" i="51" s="1"/>
  <c r="H47" i="51" a="1"/>
  <c r="H47" i="51" s="1"/>
  <c r="J62" i="51" a="1"/>
  <c r="J62" i="51" s="1"/>
  <c r="H58" i="51" a="1"/>
  <c r="H58" i="51" s="1"/>
  <c r="T47" i="51" a="1"/>
  <c r="T47" i="51" s="1"/>
  <c r="N45" i="51" a="1"/>
  <c r="N45" i="51" s="1"/>
  <c r="J72" i="51" a="1"/>
  <c r="J72" i="51" s="1"/>
  <c r="T76" i="51" a="1"/>
  <c r="T76" i="51" s="1"/>
  <c r="J76" i="51" a="1"/>
  <c r="J76" i="51" s="1"/>
  <c r="V69" i="51" a="1"/>
  <c r="V69" i="51" s="1"/>
  <c r="Z65" i="51" a="1"/>
  <c r="Z65" i="51" s="1"/>
  <c r="Z55" i="51" a="1"/>
  <c r="Z55" i="51" s="1"/>
  <c r="X61" i="51" a="1"/>
  <c r="X61" i="51" s="1"/>
  <c r="X51" i="51" a="1"/>
  <c r="X51" i="51" s="1"/>
  <c r="V57" i="51" a="1"/>
  <c r="V57" i="51" s="1"/>
  <c r="T63" i="51" a="1"/>
  <c r="T63" i="51" s="1"/>
  <c r="T53" i="51" a="1"/>
  <c r="T53" i="51" s="1"/>
  <c r="R59" i="51" a="1"/>
  <c r="R59" i="51" s="1"/>
  <c r="P65" i="51" a="1"/>
  <c r="P65" i="51" s="1"/>
  <c r="P55" i="51" a="1"/>
  <c r="P55" i="51" s="1"/>
  <c r="N61" i="51" a="1"/>
  <c r="N61" i="51" s="1"/>
  <c r="N51" i="51" a="1"/>
  <c r="N51" i="51" s="1"/>
  <c r="L57" i="51" a="1"/>
  <c r="L57" i="51" s="1"/>
  <c r="J63" i="51" a="1"/>
  <c r="J63" i="51" s="1"/>
  <c r="J53" i="51" a="1"/>
  <c r="J53" i="51" s="1"/>
  <c r="H59" i="51" a="1"/>
  <c r="H59" i="51" s="1"/>
  <c r="F65" i="51" a="1"/>
  <c r="F65" i="51" s="1"/>
  <c r="F55" i="51" a="1"/>
  <c r="F55" i="51" s="1"/>
  <c r="D62" i="51" a="1"/>
  <c r="D62" i="51" s="1"/>
  <c r="D52" i="51" a="1"/>
  <c r="D52" i="51" s="1"/>
  <c r="V45" i="51" a="1"/>
  <c r="V45" i="51" s="1"/>
  <c r="N47" i="51" a="1"/>
  <c r="N47" i="51" s="1"/>
  <c r="F64" i="51" a="1"/>
  <c r="F64" i="51" s="1"/>
  <c r="F47" i="51" a="1"/>
  <c r="F47" i="51" s="1"/>
  <c r="H72" i="51" a="1"/>
  <c r="H72" i="51" s="1"/>
  <c r="T69" i="51" a="1"/>
  <c r="T69" i="51" s="1"/>
  <c r="Z64" i="51" a="1"/>
  <c r="Z64" i="51" s="1"/>
  <c r="Z54" i="51" a="1"/>
  <c r="Z54" i="51" s="1"/>
  <c r="X60" i="51" a="1"/>
  <c r="X60" i="51" s="1"/>
  <c r="V66" i="51" a="1"/>
  <c r="V66" i="51" s="1"/>
  <c r="V56" i="51" a="1"/>
  <c r="V56" i="51" s="1"/>
  <c r="T62" i="51" a="1"/>
  <c r="T62" i="51" s="1"/>
  <c r="T52" i="51" a="1"/>
  <c r="T52" i="51" s="1"/>
  <c r="R58" i="51" a="1"/>
  <c r="R58" i="51" s="1"/>
  <c r="P64" i="51" a="1"/>
  <c r="P64" i="51" s="1"/>
  <c r="P54" i="51" a="1"/>
  <c r="P54" i="51" s="1"/>
  <c r="N60" i="51" a="1"/>
  <c r="N60" i="51" s="1"/>
  <c r="L66" i="51" a="1"/>
  <c r="L66" i="51" s="1"/>
  <c r="L56" i="51" a="1"/>
  <c r="L56" i="51" s="1"/>
  <c r="J52" i="51" a="1"/>
  <c r="J52" i="51" s="1"/>
  <c r="N46" i="51" a="1"/>
  <c r="N46" i="51" s="1"/>
  <c r="Z72" i="51" a="1"/>
  <c r="Z72" i="51" s="1"/>
  <c r="F72" i="51" a="1"/>
  <c r="F72" i="51" s="1"/>
  <c r="R76" i="51" a="1"/>
  <c r="R76" i="51" s="1"/>
  <c r="H76" i="51" a="1"/>
  <c r="H76" i="51" s="1"/>
  <c r="R69" i="51" a="1"/>
  <c r="R69" i="51" s="1"/>
  <c r="Z63" i="51" a="1"/>
  <c r="Z63" i="51" s="1"/>
  <c r="Z53" i="51" a="1"/>
  <c r="Z53" i="51" s="1"/>
  <c r="X59" i="51" a="1"/>
  <c r="X59" i="51" s="1"/>
  <c r="V65" i="51" a="1"/>
  <c r="V65" i="51" s="1"/>
  <c r="V55" i="51" a="1"/>
  <c r="V55" i="51" s="1"/>
  <c r="T61" i="51" a="1"/>
  <c r="T61" i="51" s="1"/>
  <c r="T51" i="51" a="1"/>
  <c r="T51" i="51" s="1"/>
  <c r="R57" i="51" a="1"/>
  <c r="R57" i="51" s="1"/>
  <c r="P63" i="51" a="1"/>
  <c r="P63" i="51" s="1"/>
  <c r="P53" i="51" a="1"/>
  <c r="P53" i="51" s="1"/>
  <c r="N59" i="51" a="1"/>
  <c r="N59" i="51" s="1"/>
  <c r="L65" i="51" a="1"/>
  <c r="L65" i="51" s="1"/>
  <c r="L55" i="51" a="1"/>
  <c r="L55" i="51" s="1"/>
  <c r="J61" i="51" a="1"/>
  <c r="J61" i="51" s="1"/>
  <c r="J51" i="51" a="1"/>
  <c r="J51" i="51" s="1"/>
  <c r="H57" i="51" a="1"/>
  <c r="H57" i="51" s="1"/>
  <c r="F63" i="51" a="1"/>
  <c r="F63" i="51" s="1"/>
  <c r="F53" i="51" a="1"/>
  <c r="F53" i="51" s="1"/>
  <c r="D60" i="51" a="1"/>
  <c r="D60" i="51" s="1"/>
  <c r="X72" i="51" a="1"/>
  <c r="X72" i="51" s="1"/>
  <c r="P69" i="51" a="1"/>
  <c r="P69" i="51" s="1"/>
  <c r="Z62" i="51" a="1"/>
  <c r="Z62" i="51" s="1"/>
  <c r="Z52" i="51" a="1"/>
  <c r="Z52" i="51" s="1"/>
  <c r="X58" i="51" a="1"/>
  <c r="X58" i="51" s="1"/>
  <c r="V64" i="51" a="1"/>
  <c r="V64" i="51" s="1"/>
  <c r="V54" i="51" a="1"/>
  <c r="V54" i="51" s="1"/>
  <c r="T60" i="51" a="1"/>
  <c r="T60" i="51" s="1"/>
  <c r="R66" i="51" a="1"/>
  <c r="R66" i="51" s="1"/>
  <c r="R56" i="51" a="1"/>
  <c r="R56" i="51" s="1"/>
  <c r="P62" i="51" a="1"/>
  <c r="P62" i="51" s="1"/>
  <c r="P52" i="51" a="1"/>
  <c r="P52" i="51" s="1"/>
  <c r="N58" i="51" a="1"/>
  <c r="N58" i="51" s="1"/>
  <c r="L64" i="51" a="1"/>
  <c r="L64" i="51" s="1"/>
  <c r="L54" i="51" a="1"/>
  <c r="L54" i="51" s="1"/>
  <c r="J60" i="51" a="1"/>
  <c r="J60" i="51" s="1"/>
  <c r="H66" i="51" a="1"/>
  <c r="H66" i="51" s="1"/>
  <c r="H56" i="51" a="1"/>
  <c r="H56" i="51" s="1"/>
  <c r="F62" i="51" a="1"/>
  <c r="F62" i="51" s="1"/>
  <c r="F52" i="51" a="1"/>
  <c r="F52" i="51" s="1"/>
  <c r="D59" i="51" a="1"/>
  <c r="D59" i="51" s="1"/>
  <c r="Z46" i="51" a="1"/>
  <c r="Z46" i="51" s="1"/>
  <c r="T45" i="51" a="1"/>
  <c r="T45" i="51" s="1"/>
  <c r="L47" i="51" a="1"/>
  <c r="L47" i="51" s="1"/>
  <c r="F46" i="51" a="1"/>
  <c r="F46" i="51" s="1"/>
  <c r="Z45" i="51" a="1"/>
  <c r="Z45" i="51" s="1"/>
  <c r="F45" i="51" a="1"/>
  <c r="F45" i="51" s="1"/>
  <c r="V72" i="51" a="1"/>
  <c r="V72" i="51" s="1"/>
  <c r="Z76" i="51" a="1"/>
  <c r="Z76" i="51" s="1"/>
  <c r="P76" i="51" a="1"/>
  <c r="P76" i="51" s="1"/>
  <c r="F76" i="51" a="1"/>
  <c r="F76" i="51" s="1"/>
  <c r="N69" i="51" a="1"/>
  <c r="N69" i="51" s="1"/>
  <c r="Z61" i="51" a="1"/>
  <c r="Z61" i="51" s="1"/>
  <c r="Z51" i="51" a="1"/>
  <c r="Z51" i="51" s="1"/>
  <c r="X57" i="51" a="1"/>
  <c r="X57" i="51" s="1"/>
  <c r="V63" i="51" a="1"/>
  <c r="V63" i="51" s="1"/>
  <c r="V53" i="51" a="1"/>
  <c r="V53" i="51" s="1"/>
  <c r="T59" i="51" a="1"/>
  <c r="T59" i="51" s="1"/>
  <c r="R65" i="51" a="1"/>
  <c r="R65" i="51" s="1"/>
  <c r="R55" i="51" a="1"/>
  <c r="R55" i="51" s="1"/>
  <c r="P61" i="51" a="1"/>
  <c r="P61" i="51" s="1"/>
  <c r="P51" i="51" a="1"/>
  <c r="P51" i="51" s="1"/>
  <c r="N57" i="51" a="1"/>
  <c r="N57" i="51" s="1"/>
  <c r="L63" i="51" a="1"/>
  <c r="L63" i="51" s="1"/>
  <c r="L53" i="51" a="1"/>
  <c r="L53" i="51" s="1"/>
  <c r="J59" i="51" a="1"/>
  <c r="J59" i="51" s="1"/>
  <c r="H65" i="51" a="1"/>
  <c r="H65" i="51" s="1"/>
  <c r="H55" i="51" a="1"/>
  <c r="H55" i="51" s="1"/>
  <c r="F61" i="51" a="1"/>
  <c r="F61" i="51" s="1"/>
  <c r="F51" i="51" a="1"/>
  <c r="F51" i="51" s="1"/>
  <c r="D58" i="51" a="1"/>
  <c r="D58" i="51" s="1"/>
  <c r="R47" i="51" a="1"/>
  <c r="R47" i="51" s="1"/>
  <c r="L46" i="51" a="1"/>
  <c r="L46" i="51" s="1"/>
  <c r="D45" i="51" a="1"/>
  <c r="D45" i="51" s="1"/>
  <c r="H45" i="51" a="1"/>
  <c r="H45" i="51" s="1"/>
  <c r="T72" i="51" a="1"/>
  <c r="T72" i="51" s="1"/>
  <c r="L69" i="51" a="1"/>
  <c r="L69" i="51" s="1"/>
  <c r="Z60" i="51" a="1"/>
  <c r="Z60" i="51" s="1"/>
  <c r="X66" i="51" a="1"/>
  <c r="X66" i="51" s="1"/>
  <c r="X56" i="51" a="1"/>
  <c r="X56" i="51" s="1"/>
  <c r="V62" i="51" a="1"/>
  <c r="V62" i="51" s="1"/>
  <c r="V52" i="51" a="1"/>
  <c r="V52" i="51" s="1"/>
  <c r="T58" i="51" a="1"/>
  <c r="T58" i="51" s="1"/>
  <c r="R64" i="51" a="1"/>
  <c r="R64" i="51" s="1"/>
  <c r="R54" i="51" a="1"/>
  <c r="R54" i="51" s="1"/>
  <c r="P60" i="51" a="1"/>
  <c r="P60" i="51" s="1"/>
  <c r="N66" i="51" a="1"/>
  <c r="N66" i="51" s="1"/>
  <c r="N56" i="51" a="1"/>
  <c r="N56" i="51" s="1"/>
  <c r="L62" i="51" a="1"/>
  <c r="L62" i="51" s="1"/>
  <c r="L52" i="51" a="1"/>
  <c r="L52" i="51" s="1"/>
  <c r="J58" i="51" a="1"/>
  <c r="J58" i="51" s="1"/>
  <c r="H64" i="51" a="1"/>
  <c r="H64" i="51" s="1"/>
  <c r="H54" i="51" a="1"/>
  <c r="H54" i="51" s="1"/>
  <c r="F60" i="51" a="1"/>
  <c r="F60" i="51" s="1"/>
  <c r="D69" i="51" a="1"/>
  <c r="D69" i="51" s="1"/>
  <c r="D57" i="51" a="1"/>
  <c r="D57" i="51" s="1"/>
  <c r="X47" i="51" a="1"/>
  <c r="X47" i="51" s="1"/>
  <c r="R46" i="51" a="1"/>
  <c r="R46" i="51" s="1"/>
  <c r="L45" i="51" a="1"/>
  <c r="L45" i="51" s="1"/>
  <c r="D47" i="51" a="1"/>
  <c r="D47" i="51" s="1"/>
  <c r="J46" i="51" a="1"/>
  <c r="J46" i="51" s="1"/>
  <c r="D51" i="51" a="1"/>
  <c r="D51" i="51" s="1"/>
  <c r="T46" i="51" a="1"/>
  <c r="T46" i="51" s="1"/>
  <c r="O35" i="10"/>
  <c r="O34" i="10"/>
  <c r="O28" i="10"/>
  <c r="AS8" i="81"/>
  <c r="O27" i="10"/>
  <c r="O26" i="10"/>
  <c r="O25" i="10"/>
  <c r="O24" i="10"/>
  <c r="O23" i="10"/>
  <c r="Z35" i="51" a="1"/>
  <c r="Z35" i="51" s="1"/>
  <c r="T33" i="51" a="1"/>
  <c r="T33" i="51" s="1"/>
  <c r="L34" i="51" a="1"/>
  <c r="L34" i="51" s="1"/>
  <c r="Z41" i="51" a="1"/>
  <c r="Z41" i="51" s="1"/>
  <c r="V40" i="51" a="1"/>
  <c r="V40" i="51" s="1"/>
  <c r="R39" i="51" a="1"/>
  <c r="R39" i="51" s="1"/>
  <c r="N38" i="51" a="1"/>
  <c r="N38" i="51" s="1"/>
  <c r="J38" i="51" a="1"/>
  <c r="J38" i="51" s="1"/>
  <c r="D40" i="51" a="1"/>
  <c r="D40" i="51" s="1"/>
  <c r="V29" i="51" a="1"/>
  <c r="V29" i="51" s="1"/>
  <c r="R28" i="51" a="1"/>
  <c r="R28" i="51" s="1"/>
  <c r="N27" i="51" a="1"/>
  <c r="N27" i="51" s="1"/>
  <c r="J26" i="51" a="1"/>
  <c r="J26" i="51" s="1"/>
  <c r="F25" i="51" a="1"/>
  <c r="F25" i="51" s="1"/>
  <c r="F24" i="51" a="1"/>
  <c r="F24" i="51" s="1"/>
  <c r="Z24" i="51" a="1"/>
  <c r="Z24" i="51" s="1"/>
  <c r="L28" i="51" a="1"/>
  <c r="L28" i="51" s="1"/>
  <c r="T24" i="51" a="1"/>
  <c r="T24" i="51" s="1"/>
  <c r="F28" i="51" a="1"/>
  <c r="F28" i="51" s="1"/>
  <c r="D25" i="51" a="1"/>
  <c r="D25" i="51" s="1"/>
  <c r="Z34" i="51" a="1"/>
  <c r="Z34" i="51" s="1"/>
  <c r="R35" i="51" a="1"/>
  <c r="R35" i="51" s="1"/>
  <c r="L33" i="51" a="1"/>
  <c r="L33" i="51" s="1"/>
  <c r="Z40" i="51" a="1"/>
  <c r="Z40" i="51" s="1"/>
  <c r="V39" i="51" a="1"/>
  <c r="V39" i="51" s="1"/>
  <c r="R38" i="51" a="1"/>
  <c r="R38" i="51" s="1"/>
  <c r="H41" i="51" a="1"/>
  <c r="H41" i="51" s="1"/>
  <c r="Z29" i="51" a="1"/>
  <c r="Z29" i="51" s="1"/>
  <c r="V28" i="51" a="1"/>
  <c r="V28" i="51" s="1"/>
  <c r="R27" i="51" a="1"/>
  <c r="R27" i="51" s="1"/>
  <c r="N26" i="51" a="1"/>
  <c r="N26" i="51" s="1"/>
  <c r="J25" i="51" a="1"/>
  <c r="J25" i="51" s="1"/>
  <c r="D29" i="51" a="1"/>
  <c r="D29" i="51" s="1"/>
  <c r="D24" i="51" a="1"/>
  <c r="D24" i="51" s="1"/>
  <c r="H25" i="51" a="1"/>
  <c r="H25" i="51" s="1"/>
  <c r="Z33" i="51" a="1"/>
  <c r="Z33" i="51" s="1"/>
  <c r="R34" i="51" a="1"/>
  <c r="R34" i="51" s="1"/>
  <c r="J35" i="51" a="1"/>
  <c r="J35" i="51" s="1"/>
  <c r="Z39" i="51" a="1"/>
  <c r="Z39" i="51" s="1"/>
  <c r="V38" i="51" a="1"/>
  <c r="V38" i="51" s="1"/>
  <c r="L41" i="51" a="1"/>
  <c r="L41" i="51" s="1"/>
  <c r="H40" i="51" a="1"/>
  <c r="H40" i="51" s="1"/>
  <c r="D39" i="51" a="1"/>
  <c r="D39" i="51" s="1"/>
  <c r="Z28" i="51" a="1"/>
  <c r="Z28" i="51" s="1"/>
  <c r="V27" i="51" a="1"/>
  <c r="V27" i="51" s="1"/>
  <c r="R26" i="51" a="1"/>
  <c r="R26" i="51" s="1"/>
  <c r="N25" i="51" a="1"/>
  <c r="N25" i="51" s="1"/>
  <c r="H29" i="51" a="1"/>
  <c r="H29" i="51" s="1"/>
  <c r="X24" i="51" a="1"/>
  <c r="X24" i="51" s="1"/>
  <c r="P25" i="51" a="1"/>
  <c r="P25" i="51" s="1"/>
  <c r="X35" i="51" a="1"/>
  <c r="X35" i="51" s="1"/>
  <c r="R33" i="51" a="1"/>
  <c r="R33" i="51" s="1"/>
  <c r="J34" i="51" a="1"/>
  <c r="J34" i="51" s="1"/>
  <c r="Z38" i="51" a="1"/>
  <c r="Z38" i="51" s="1"/>
  <c r="P41" i="51" a="1"/>
  <c r="P41" i="51" s="1"/>
  <c r="L40" i="51" a="1"/>
  <c r="L40" i="51" s="1"/>
  <c r="H39" i="51" a="1"/>
  <c r="H39" i="51" s="1"/>
  <c r="Z27" i="51" a="1"/>
  <c r="Z27" i="51" s="1"/>
  <c r="V26" i="51" a="1"/>
  <c r="V26" i="51" s="1"/>
  <c r="R25" i="51" a="1"/>
  <c r="R25" i="51" s="1"/>
  <c r="L29" i="51" a="1"/>
  <c r="L29" i="51" s="1"/>
  <c r="H28" i="51" a="1"/>
  <c r="H28" i="51" s="1"/>
  <c r="D28" i="51" a="1"/>
  <c r="D28" i="51" s="1"/>
  <c r="V24" i="51" a="1"/>
  <c r="V24" i="51" s="1"/>
  <c r="P24" i="51" a="1"/>
  <c r="P24" i="51" s="1"/>
  <c r="X34" i="51" a="1"/>
  <c r="X34" i="51" s="1"/>
  <c r="P35" i="51" a="1"/>
  <c r="P35" i="51" s="1"/>
  <c r="J33" i="51" a="1"/>
  <c r="J33" i="51" s="1"/>
  <c r="X41" i="51" a="1"/>
  <c r="X41" i="51" s="1"/>
  <c r="T41" i="51" a="1"/>
  <c r="T41" i="51" s="1"/>
  <c r="P40" i="51" a="1"/>
  <c r="P40" i="51" s="1"/>
  <c r="L39" i="51" a="1"/>
  <c r="L39" i="51" s="1"/>
  <c r="H38" i="51" a="1"/>
  <c r="H38" i="51" s="1"/>
  <c r="D38" i="51" a="1"/>
  <c r="D38" i="51" s="1"/>
  <c r="Z26" i="51" a="1"/>
  <c r="Z26" i="51" s="1"/>
  <c r="V25" i="51" a="1"/>
  <c r="V25" i="51" s="1"/>
  <c r="H27" i="51" a="1"/>
  <c r="H27" i="51" s="1"/>
  <c r="D27" i="51" a="1"/>
  <c r="D27" i="51" s="1"/>
  <c r="L24" i="51" a="1"/>
  <c r="L24" i="51" s="1"/>
  <c r="J24" i="51" a="1"/>
  <c r="J24" i="51" s="1"/>
  <c r="X33" i="51" a="1"/>
  <c r="X33" i="51" s="1"/>
  <c r="P34" i="51" a="1"/>
  <c r="P34" i="51" s="1"/>
  <c r="H35" i="51" a="1"/>
  <c r="H35" i="51" s="1"/>
  <c r="X40" i="51" a="1"/>
  <c r="X40" i="51" s="1"/>
  <c r="T40" i="51" a="1"/>
  <c r="T40" i="51" s="1"/>
  <c r="P39" i="51" a="1"/>
  <c r="P39" i="51" s="1"/>
  <c r="F41" i="51" a="1"/>
  <c r="F41" i="51" s="1"/>
  <c r="Z25" i="51" a="1"/>
  <c r="Z25" i="51" s="1"/>
  <c r="T29" i="51" a="1"/>
  <c r="T29" i="51" s="1"/>
  <c r="P28" i="51" a="1"/>
  <c r="P28" i="51" s="1"/>
  <c r="L27" i="51" a="1"/>
  <c r="L27" i="51" s="1"/>
  <c r="H26" i="51" a="1"/>
  <c r="H26" i="51" s="1"/>
  <c r="R24" i="51" a="1"/>
  <c r="R24" i="51" s="1"/>
  <c r="J28" i="51" a="1"/>
  <c r="J28" i="51" s="1"/>
  <c r="V35" i="51" a="1"/>
  <c r="V35" i="51" s="1"/>
  <c r="P33" i="51" a="1"/>
  <c r="P33" i="51" s="1"/>
  <c r="H34" i="51" a="1"/>
  <c r="H34" i="51" s="1"/>
  <c r="X39" i="51" a="1"/>
  <c r="X39" i="51" s="1"/>
  <c r="T39" i="51" a="1"/>
  <c r="T39" i="51" s="1"/>
  <c r="P38" i="51" a="1"/>
  <c r="P38" i="51" s="1"/>
  <c r="L38" i="51" a="1"/>
  <c r="L38" i="51" s="1"/>
  <c r="F40" i="51" a="1"/>
  <c r="F40" i="51" s="1"/>
  <c r="D35" i="51" a="1"/>
  <c r="D35" i="51" s="1"/>
  <c r="X29" i="51" a="1"/>
  <c r="X29" i="51" s="1"/>
  <c r="T28" i="51" a="1"/>
  <c r="T28" i="51" s="1"/>
  <c r="P27" i="51" a="1"/>
  <c r="P27" i="51" s="1"/>
  <c r="L26" i="51" a="1"/>
  <c r="L26" i="51" s="1"/>
  <c r="N29" i="51" a="1"/>
  <c r="N29" i="51" s="1"/>
  <c r="V34" i="51" a="1"/>
  <c r="V34" i="51" s="1"/>
  <c r="N35" i="51" a="1"/>
  <c r="N35" i="51" s="1"/>
  <c r="H33" i="51" a="1"/>
  <c r="H33" i="51" s="1"/>
  <c r="X38" i="51" a="1"/>
  <c r="X38" i="51" s="1"/>
  <c r="T38" i="51" a="1"/>
  <c r="T38" i="51" s="1"/>
  <c r="F39" i="51" a="1"/>
  <c r="F39" i="51" s="1"/>
  <c r="X28" i="51" a="1"/>
  <c r="X28" i="51" s="1"/>
  <c r="T27" i="51" a="1"/>
  <c r="T27" i="51" s="1"/>
  <c r="P26" i="51" a="1"/>
  <c r="P26" i="51" s="1"/>
  <c r="L25" i="51" a="1"/>
  <c r="L25" i="51" s="1"/>
  <c r="F29" i="51" a="1"/>
  <c r="F29" i="51" s="1"/>
  <c r="D26" i="51" a="1"/>
  <c r="D26" i="51" s="1"/>
  <c r="N24" i="51" a="1"/>
  <c r="N24" i="51" s="1"/>
  <c r="T25" i="51" a="1"/>
  <c r="T25" i="51" s="1"/>
  <c r="V33" i="51" a="1"/>
  <c r="V33" i="51" s="1"/>
  <c r="N34" i="51" a="1"/>
  <c r="N34" i="51" s="1"/>
  <c r="F35" i="51" a="1"/>
  <c r="F35" i="51" s="1"/>
  <c r="N41" i="51" a="1"/>
  <c r="N41" i="51" s="1"/>
  <c r="J41" i="51" a="1"/>
  <c r="J41" i="51" s="1"/>
  <c r="F38" i="51" a="1"/>
  <c r="F38" i="51" s="1"/>
  <c r="D34" i="51" a="1"/>
  <c r="D34" i="51" s="1"/>
  <c r="X27" i="51" a="1"/>
  <c r="X27" i="51" s="1"/>
  <c r="T26" i="51" a="1"/>
  <c r="T26" i="51" s="1"/>
  <c r="F27" i="51" a="1"/>
  <c r="F27" i="51" s="1"/>
  <c r="T35" i="51" a="1"/>
  <c r="T35" i="51" s="1"/>
  <c r="N33" i="51" a="1"/>
  <c r="N33" i="51" s="1"/>
  <c r="F34" i="51" a="1"/>
  <c r="F34" i="51" s="1"/>
  <c r="V41" i="51" a="1"/>
  <c r="V41" i="51" s="1"/>
  <c r="R41" i="51" a="1"/>
  <c r="R41" i="51" s="1"/>
  <c r="N40" i="51" a="1"/>
  <c r="N40" i="51" s="1"/>
  <c r="J40" i="51" a="1"/>
  <c r="J40" i="51" s="1"/>
  <c r="D41" i="51" a="1"/>
  <c r="D41" i="51" s="1"/>
  <c r="X26" i="51" a="1"/>
  <c r="X26" i="51" s="1"/>
  <c r="T34" i="51" a="1"/>
  <c r="T34" i="51" s="1"/>
  <c r="L35" i="51" a="1"/>
  <c r="L35" i="51" s="1"/>
  <c r="F33" i="51" a="1"/>
  <c r="F33" i="51" s="1"/>
  <c r="R40" i="51" a="1"/>
  <c r="R40" i="51" s="1"/>
  <c r="N39" i="51" a="1"/>
  <c r="N39" i="51" s="1"/>
  <c r="J39" i="51" a="1"/>
  <c r="J39" i="51" s="1"/>
  <c r="D33" i="51" a="1"/>
  <c r="D33" i="51" s="1"/>
  <c r="X25" i="51" a="1"/>
  <c r="X25" i="51" s="1"/>
  <c r="R29" i="51" a="1"/>
  <c r="R29" i="51" s="1"/>
  <c r="N28" i="51" a="1"/>
  <c r="N28" i="51" s="1"/>
  <c r="J27" i="51" a="1"/>
  <c r="J27" i="51" s="1"/>
  <c r="F26" i="51" a="1"/>
  <c r="F26" i="51" s="1"/>
  <c r="H24" i="51" a="1"/>
  <c r="H24" i="51" s="1"/>
  <c r="P29" i="51" a="1"/>
  <c r="P29" i="51" s="1"/>
  <c r="J29" i="51" a="1"/>
  <c r="J29" i="51" s="1"/>
  <c r="C276" i="80"/>
  <c r="AS10" i="81"/>
  <c r="O21" i="10"/>
  <c r="O20" i="10"/>
  <c r="O19" i="10"/>
  <c r="O18" i="10"/>
  <c r="AS7" i="81"/>
  <c r="AS5" i="81"/>
  <c r="AS9" i="81"/>
  <c r="U12" i="10"/>
  <c r="O17" i="10"/>
  <c r="V16" i="10"/>
  <c r="W16" i="10"/>
  <c r="V15" i="10"/>
  <c r="W15" i="10"/>
  <c r="W14" i="10"/>
  <c r="U14" i="10"/>
  <c r="AS4" i="81"/>
  <c r="U13" i="10"/>
  <c r="W13" i="10"/>
  <c r="U10" i="10"/>
  <c r="V10" i="10"/>
  <c r="W12" i="10"/>
  <c r="N5" i="10"/>
  <c r="V12" i="10"/>
  <c r="O37" i="9"/>
  <c r="O36" i="9"/>
  <c r="O35" i="9"/>
  <c r="O39" i="9"/>
  <c r="O33" i="9"/>
  <c r="O32" i="9"/>
  <c r="V11" i="9"/>
  <c r="U15" i="9"/>
  <c r="O29" i="9"/>
  <c r="V15" i="9"/>
  <c r="O27" i="9"/>
  <c r="V12" i="9"/>
  <c r="U12" i="9"/>
  <c r="W12" i="9"/>
  <c r="W11" i="9"/>
  <c r="W13" i="9"/>
  <c r="V13" i="9"/>
  <c r="U13" i="9"/>
  <c r="O20" i="9"/>
  <c r="W14" i="9"/>
  <c r="U14" i="9"/>
  <c r="O21" i="9"/>
  <c r="V14" i="9"/>
  <c r="O22" i="9"/>
  <c r="W16" i="9"/>
  <c r="H5" i="51"/>
  <c r="D5" i="51"/>
  <c r="F5" i="51"/>
  <c r="C248" i="80"/>
  <c r="I12" i="36"/>
  <c r="I13" i="36" s="1"/>
  <c r="I14" i="36" s="1"/>
  <c r="I15" i="36" s="1"/>
  <c r="I16" i="36" s="1"/>
  <c r="I17" i="36" s="1"/>
  <c r="I18" i="36" s="1"/>
  <c r="I19" i="36" s="1"/>
  <c r="I20" i="36" s="1"/>
  <c r="I21" i="36" s="1"/>
  <c r="I22" i="36" s="1"/>
  <c r="I23" i="36" s="1"/>
  <c r="I24" i="36" s="1"/>
  <c r="I25" i="36" s="1"/>
  <c r="I26" i="36" s="1"/>
  <c r="I27" i="36" s="1"/>
  <c r="I28" i="36" s="1"/>
  <c r="I29" i="36" s="1"/>
  <c r="I30" i="36" s="1"/>
  <c r="I31" i="36" s="1"/>
  <c r="I32" i="36" s="1"/>
  <c r="I33" i="36" s="1"/>
  <c r="I34" i="36" s="1"/>
  <c r="I35" i="36" s="1"/>
  <c r="I36" i="36" s="1"/>
  <c r="I37" i="36" s="1"/>
  <c r="I38" i="36" s="1"/>
  <c r="I39" i="36" s="1"/>
  <c r="I40" i="36" s="1"/>
  <c r="I41" i="36" s="1"/>
  <c r="I42" i="36" s="1"/>
  <c r="I43" i="36" s="1"/>
  <c r="I44" i="36" s="1"/>
  <c r="I45" i="36" s="1"/>
  <c r="I46" i="36" s="1"/>
  <c r="I47" i="36" s="1"/>
  <c r="I48" i="36" s="1"/>
  <c r="I49" i="36" s="1"/>
  <c r="I50" i="36" s="1"/>
  <c r="I51" i="36" s="1"/>
  <c r="I52" i="36" s="1"/>
  <c r="I53" i="36" s="1"/>
  <c r="I54" i="36" s="1"/>
  <c r="I55" i="36" s="1"/>
  <c r="I56" i="36" s="1"/>
  <c r="I57" i="36" s="1"/>
  <c r="I58" i="36" s="1"/>
  <c r="I59" i="36" s="1"/>
  <c r="I60" i="36" s="1"/>
  <c r="I61" i="36" s="1"/>
  <c r="I62" i="36" s="1"/>
  <c r="I63" i="36" s="1"/>
  <c r="I64" i="36" s="1"/>
  <c r="I65" i="36" s="1"/>
  <c r="I66" i="36" s="1"/>
  <c r="I67" i="36" s="1"/>
  <c r="I68" i="36" s="1"/>
  <c r="I69" i="36" s="1"/>
  <c r="I70" i="36" s="1"/>
  <c r="I71" i="36" s="1"/>
  <c r="I72" i="36" s="1"/>
  <c r="I73" i="36" s="1"/>
  <c r="I74" i="36" s="1"/>
  <c r="I75" i="36" s="1"/>
  <c r="I76" i="36" s="1"/>
  <c r="I77" i="36" s="1"/>
  <c r="I78" i="36" s="1"/>
  <c r="I79" i="36" s="1"/>
  <c r="I80" i="36" s="1"/>
  <c r="I81" i="36" s="1"/>
  <c r="I82" i="36" s="1"/>
  <c r="I83" i="36" s="1"/>
  <c r="I84" i="36" s="1"/>
  <c r="I85" i="36" s="1"/>
  <c r="I86" i="36" s="1"/>
  <c r="I87" i="36" s="1"/>
  <c r="I88" i="36" s="1"/>
  <c r="I89" i="36" s="1"/>
  <c r="I90" i="36" s="1"/>
  <c r="I91" i="36" s="1"/>
  <c r="I92" i="36" s="1"/>
  <c r="I93" i="36" s="1"/>
  <c r="I94" i="36" s="1"/>
  <c r="I95" i="36" s="1"/>
  <c r="I96" i="36" s="1"/>
  <c r="I97" i="36" s="1"/>
  <c r="I98" i="36" s="1"/>
  <c r="I99" i="36" s="1"/>
  <c r="I100" i="36" s="1"/>
  <c r="I101" i="36" s="1"/>
  <c r="I102" i="36" s="1"/>
  <c r="I103" i="36" s="1"/>
  <c r="I104" i="36" s="1"/>
  <c r="I105" i="36" s="1"/>
  <c r="I106" i="36" s="1"/>
  <c r="I107" i="36" s="1"/>
  <c r="I108" i="36" s="1"/>
  <c r="I109" i="36" s="1"/>
  <c r="I110" i="36" s="1"/>
  <c r="I111" i="36" s="1"/>
  <c r="I112" i="36" s="1"/>
  <c r="I113" i="36" s="1"/>
  <c r="I114" i="36" s="1"/>
  <c r="I115" i="36" s="1"/>
  <c r="I116" i="36" s="1"/>
  <c r="I117" i="36" s="1"/>
  <c r="I118" i="36" s="1"/>
  <c r="I119" i="36" s="1"/>
  <c r="I120" i="36" s="1"/>
  <c r="I121" i="36" s="1"/>
  <c r="I122" i="36" s="1"/>
  <c r="I123" i="36" s="1"/>
  <c r="I124" i="36" s="1"/>
  <c r="I125" i="36" s="1"/>
  <c r="I126" i="36" s="1"/>
  <c r="I127" i="36" s="1"/>
  <c r="I128" i="36" s="1"/>
  <c r="I129" i="36" s="1"/>
  <c r="I130" i="36" s="1"/>
  <c r="I131" i="36" s="1"/>
  <c r="I132" i="36" s="1"/>
  <c r="I133" i="36" s="1"/>
  <c r="I134" i="36" s="1"/>
  <c r="I135" i="36" s="1"/>
  <c r="I136" i="36" s="1"/>
  <c r="I137" i="36" s="1"/>
  <c r="I138" i="36" s="1"/>
  <c r="I139" i="36" s="1"/>
  <c r="I140" i="36" s="1"/>
  <c r="I141" i="36" s="1"/>
  <c r="I142" i="36" s="1"/>
  <c r="I143" i="36" s="1"/>
  <c r="I144" i="36" s="1"/>
  <c r="I145" i="36" s="1"/>
  <c r="I146" i="36" s="1"/>
  <c r="I147" i="36" s="1"/>
  <c r="I148" i="36" s="1"/>
  <c r="I149" i="36" s="1"/>
  <c r="I150" i="36" s="1"/>
  <c r="I151" i="36" s="1"/>
  <c r="I152" i="36" s="1"/>
  <c r="I153" i="36" s="1"/>
  <c r="I154" i="36" s="1"/>
  <c r="I155" i="36" s="1"/>
  <c r="I156" i="36" s="1"/>
  <c r="I157" i="36" s="1"/>
  <c r="I158" i="36" s="1"/>
  <c r="I159" i="36" s="1"/>
  <c r="I160" i="36" s="1"/>
  <c r="I161" i="36" s="1"/>
  <c r="I162" i="36" s="1"/>
  <c r="I163" i="36" s="1"/>
  <c r="I164" i="36" s="1"/>
  <c r="I165" i="36" s="1"/>
  <c r="I166" i="36" s="1"/>
  <c r="I167" i="36" s="1"/>
  <c r="I168" i="36" s="1"/>
  <c r="I169" i="36" s="1"/>
  <c r="I170" i="36" s="1"/>
  <c r="I171" i="36" s="1"/>
  <c r="I172" i="36" s="1"/>
  <c r="I173" i="36" s="1"/>
  <c r="I174" i="36" s="1"/>
  <c r="I175" i="36" s="1"/>
  <c r="I176" i="36" s="1"/>
  <c r="I177" i="36" s="1"/>
  <c r="I178" i="36" s="1"/>
  <c r="I179" i="36" s="1"/>
  <c r="I180" i="36" s="1"/>
  <c r="I181" i="36" s="1"/>
  <c r="I182" i="36" s="1"/>
  <c r="I183" i="36" s="1"/>
  <c r="I184" i="36" s="1"/>
  <c r="I185" i="36" s="1"/>
  <c r="I186" i="36" s="1"/>
  <c r="I187" i="36" s="1"/>
  <c r="I188" i="36" s="1"/>
  <c r="I189" i="36" s="1"/>
  <c r="I190" i="36" s="1"/>
  <c r="I191" i="36" s="1"/>
  <c r="I192" i="36" s="1"/>
  <c r="I193" i="36" s="1"/>
  <c r="I194" i="36" s="1"/>
  <c r="I195" i="36" s="1"/>
  <c r="I196" i="36" s="1"/>
  <c r="I197" i="36" s="1"/>
  <c r="I198" i="36" s="1"/>
  <c r="I199" i="36" s="1"/>
  <c r="I200" i="36" s="1"/>
  <c r="I201" i="36" s="1"/>
  <c r="I202" i="36" s="1"/>
  <c r="I203" i="36" s="1"/>
  <c r="I204" i="36" s="1"/>
  <c r="I205" i="36" s="1"/>
  <c r="I206" i="36" s="1"/>
  <c r="I207" i="36" s="1"/>
  <c r="I208" i="36" s="1"/>
  <c r="I209" i="36" s="1"/>
  <c r="I210" i="36" s="1"/>
  <c r="I211" i="36" s="1"/>
  <c r="I212" i="36" s="1"/>
  <c r="I213" i="36" s="1"/>
  <c r="I214" i="36" s="1"/>
  <c r="I215" i="36" s="1"/>
  <c r="I216" i="36" s="1"/>
  <c r="I217" i="36" s="1"/>
  <c r="I218" i="36" s="1"/>
  <c r="I219" i="36" s="1"/>
  <c r="I220" i="36" s="1"/>
  <c r="I221" i="36" s="1"/>
  <c r="I222" i="36" s="1"/>
  <c r="I223" i="36" s="1"/>
  <c r="I224" i="36" s="1"/>
  <c r="I225" i="36" s="1"/>
  <c r="I226" i="36" s="1"/>
  <c r="I227" i="36" s="1"/>
  <c r="I228" i="36" s="1"/>
  <c r="I229" i="36" s="1"/>
  <c r="I230" i="36" s="1"/>
  <c r="I231" i="36" s="1"/>
  <c r="I232" i="36" s="1"/>
  <c r="I233" i="36" s="1"/>
  <c r="I234" i="36" s="1"/>
  <c r="I235" i="36" s="1"/>
  <c r="I236" i="36" s="1"/>
  <c r="I237" i="36" s="1"/>
  <c r="I238" i="36" s="1"/>
  <c r="I239" i="36" s="1"/>
  <c r="I240" i="36" s="1"/>
  <c r="I241" i="36" s="1"/>
  <c r="I242" i="36" s="1"/>
  <c r="I243" i="36" s="1"/>
  <c r="I244" i="36" s="1"/>
  <c r="I245" i="36" s="1"/>
  <c r="I246" i="36" s="1"/>
  <c r="I247" i="36" s="1"/>
  <c r="I248" i="36" s="1"/>
  <c r="I249" i="36" s="1"/>
  <c r="I250" i="36" s="1"/>
  <c r="I251" i="36" s="1"/>
  <c r="I252" i="36" s="1"/>
  <c r="I253" i="36" s="1"/>
  <c r="I254" i="36" s="1"/>
  <c r="I255" i="36" s="1"/>
  <c r="I256" i="36" s="1"/>
  <c r="I257" i="36" s="1"/>
  <c r="I258" i="36" s="1"/>
  <c r="I259" i="36" s="1"/>
  <c r="I260" i="36" s="1"/>
  <c r="I261" i="36" s="1"/>
  <c r="I262" i="36" s="1"/>
  <c r="I263" i="36" s="1"/>
  <c r="I264" i="36" s="1"/>
  <c r="I265" i="36" s="1"/>
  <c r="I266" i="36" s="1"/>
  <c r="I267" i="36" s="1"/>
  <c r="I268" i="36" s="1"/>
  <c r="I269" i="36" s="1"/>
  <c r="I270" i="36" s="1"/>
  <c r="I271" i="36" s="1"/>
  <c r="I272" i="36" s="1"/>
  <c r="I273" i="36" s="1"/>
  <c r="I274" i="36" s="1"/>
  <c r="I275" i="36" s="1"/>
  <c r="I276" i="36" s="1"/>
  <c r="I277" i="36" s="1"/>
  <c r="I278" i="36" s="1"/>
  <c r="I279" i="36" s="1"/>
  <c r="I280" i="36" s="1"/>
  <c r="I281" i="36" s="1"/>
  <c r="I282" i="36" s="1"/>
  <c r="I283" i="36" s="1"/>
  <c r="I284" i="36" s="1"/>
  <c r="I285" i="36" s="1"/>
  <c r="I286" i="36" s="1"/>
  <c r="I287" i="36" s="1"/>
  <c r="I288" i="36" s="1"/>
  <c r="I289" i="36" s="1"/>
  <c r="I290" i="36" s="1"/>
  <c r="I291" i="36" s="1"/>
  <c r="I292" i="36" s="1"/>
  <c r="I293" i="36" s="1"/>
  <c r="I294" i="36" s="1"/>
  <c r="I295" i="36" s="1"/>
  <c r="I296" i="36" s="1"/>
  <c r="I297" i="36" s="1"/>
  <c r="I298" i="36" s="1"/>
  <c r="I299" i="36" s="1"/>
  <c r="I300" i="36" s="1"/>
  <c r="I301" i="36" s="1"/>
  <c r="I302" i="36" s="1"/>
  <c r="I303" i="36" s="1"/>
  <c r="I304" i="36" s="1"/>
  <c r="I305" i="36" s="1"/>
  <c r="I306" i="36" s="1"/>
  <c r="I307" i="36" s="1"/>
  <c r="I308" i="36" s="1"/>
  <c r="I309" i="36" s="1"/>
  <c r="I310" i="36" s="1"/>
  <c r="I311" i="36" s="1"/>
  <c r="I312" i="36" s="1"/>
  <c r="I313" i="36" s="1"/>
  <c r="I314" i="36" s="1"/>
  <c r="I315" i="36" s="1"/>
  <c r="I316" i="36" s="1"/>
  <c r="I317" i="36" s="1"/>
  <c r="I318" i="36" s="1"/>
  <c r="I319" i="36" s="1"/>
  <c r="I320" i="36" s="1"/>
  <c r="I321" i="36" s="1"/>
  <c r="I322" i="36" s="1"/>
  <c r="I323" i="36" s="1"/>
  <c r="I324" i="36" s="1"/>
  <c r="I325" i="36" s="1"/>
  <c r="I326" i="36" s="1"/>
  <c r="I327" i="36" s="1"/>
  <c r="I328" i="36" s="1"/>
  <c r="I329" i="36" s="1"/>
  <c r="I330" i="36" s="1"/>
  <c r="I331" i="36" s="1"/>
  <c r="I332" i="36" s="1"/>
  <c r="I333" i="36" s="1"/>
  <c r="I334" i="36" s="1"/>
  <c r="I335" i="36" s="1"/>
  <c r="I336" i="36" s="1"/>
  <c r="I337" i="36" s="1"/>
  <c r="I338" i="36" s="1"/>
  <c r="I339" i="36" s="1"/>
  <c r="I340" i="36" s="1"/>
  <c r="I341" i="36" s="1"/>
  <c r="I342" i="36" s="1"/>
  <c r="I343" i="36" s="1"/>
  <c r="I344" i="36" s="1"/>
  <c r="I345" i="36" s="1"/>
  <c r="I346" i="36" s="1"/>
  <c r="I347" i="36" s="1"/>
  <c r="I348" i="36" s="1"/>
  <c r="I349" i="36" s="1"/>
  <c r="I350" i="36" s="1"/>
  <c r="I351" i="36" s="1"/>
  <c r="I352" i="36" s="1"/>
  <c r="I353" i="36" s="1"/>
  <c r="I354" i="36" s="1"/>
  <c r="I355" i="36" s="1"/>
  <c r="I356" i="36" s="1"/>
  <c r="I357" i="36" s="1"/>
  <c r="I358" i="36" s="1"/>
  <c r="I359" i="36" s="1"/>
  <c r="I360" i="36" s="1"/>
  <c r="I361" i="36" s="1"/>
  <c r="I362" i="36" s="1"/>
  <c r="I363" i="36" s="1"/>
  <c r="I364" i="36" s="1"/>
  <c r="I365" i="36" s="1"/>
  <c r="I366" i="36" s="1"/>
  <c r="I367" i="36" s="1"/>
  <c r="I368" i="36" s="1"/>
  <c r="I369" i="36" s="1"/>
  <c r="I370" i="36" s="1"/>
  <c r="I371" i="36" s="1"/>
  <c r="I372" i="36" s="1"/>
  <c r="I373" i="36" s="1"/>
  <c r="I374" i="36" s="1"/>
  <c r="I375" i="36" s="1"/>
  <c r="I376" i="36" s="1"/>
  <c r="I377" i="36" s="1"/>
  <c r="I378" i="36" s="1"/>
  <c r="I379" i="36" s="1"/>
  <c r="I380" i="36" s="1"/>
  <c r="I381" i="36" s="1"/>
  <c r="I382" i="36" s="1"/>
  <c r="I383" i="36" s="1"/>
  <c r="I384" i="36" s="1"/>
  <c r="I385" i="36" s="1"/>
  <c r="I386" i="36" s="1"/>
  <c r="I387" i="36" s="1"/>
  <c r="I388" i="36" s="1"/>
  <c r="I389" i="36" s="1"/>
  <c r="I390" i="36" s="1"/>
  <c r="I391" i="36" s="1"/>
  <c r="I392" i="36" s="1"/>
  <c r="I393" i="36" s="1"/>
  <c r="I394" i="36" s="1"/>
  <c r="I395" i="36" s="1"/>
  <c r="I396" i="36" s="1"/>
  <c r="I397" i="36" s="1"/>
  <c r="I398" i="36" s="1"/>
  <c r="I399" i="36" s="1"/>
  <c r="I400" i="36" s="1"/>
  <c r="I401" i="36" s="1"/>
  <c r="I402" i="36" s="1"/>
  <c r="I403" i="36" s="1"/>
  <c r="I404" i="36" s="1"/>
  <c r="I405" i="36" s="1"/>
  <c r="I406" i="36" s="1"/>
  <c r="I407" i="36" s="1"/>
  <c r="I408" i="36" s="1"/>
  <c r="I409" i="36" s="1"/>
  <c r="I410" i="36" s="1"/>
  <c r="I411" i="36" s="1"/>
  <c r="I412" i="36" s="1"/>
  <c r="I413" i="36" s="1"/>
  <c r="I414" i="36" s="1"/>
  <c r="I415" i="36" s="1"/>
  <c r="I416" i="36" s="1"/>
  <c r="I417" i="36" s="1"/>
  <c r="I418" i="36" s="1"/>
  <c r="I419" i="36" s="1"/>
  <c r="I420" i="36" s="1"/>
  <c r="I421" i="36" s="1"/>
  <c r="I422" i="36" s="1"/>
  <c r="I423" i="36" s="1"/>
  <c r="I424" i="36" s="1"/>
  <c r="I425" i="36" s="1"/>
  <c r="I426" i="36" s="1"/>
  <c r="I427" i="36" s="1"/>
  <c r="I428" i="36" s="1"/>
  <c r="I429" i="36" s="1"/>
  <c r="I430" i="36" s="1"/>
  <c r="I431" i="36" s="1"/>
  <c r="I432" i="36" s="1"/>
  <c r="I433" i="36" s="1"/>
  <c r="I434" i="36" s="1"/>
  <c r="I435" i="36" s="1"/>
  <c r="I436" i="36" s="1"/>
  <c r="I437" i="36" s="1"/>
  <c r="I438" i="36" s="1"/>
  <c r="I439" i="36" s="1"/>
  <c r="I440" i="36" s="1"/>
  <c r="I441" i="36" s="1"/>
  <c r="I442" i="36" s="1"/>
  <c r="I443" i="36" s="1"/>
  <c r="I444" i="36" s="1"/>
  <c r="I445" i="36" s="1"/>
  <c r="I446" i="36" s="1"/>
  <c r="I447" i="36" s="1"/>
  <c r="I448" i="36" s="1"/>
  <c r="I449" i="36" s="1"/>
  <c r="I450" i="36" s="1"/>
  <c r="I451" i="36" s="1"/>
  <c r="I452" i="36" s="1"/>
  <c r="I453" i="36" s="1"/>
  <c r="I454" i="36" s="1"/>
  <c r="I455" i="36" s="1"/>
  <c r="I456" i="36" s="1"/>
  <c r="I457" i="36" s="1"/>
  <c r="I458" i="36" s="1"/>
  <c r="I459" i="36" s="1"/>
  <c r="I460" i="36" s="1"/>
  <c r="I461" i="36" s="1"/>
  <c r="I462" i="36" s="1"/>
  <c r="I463" i="36" s="1"/>
  <c r="I464" i="36" s="1"/>
  <c r="I465" i="36" s="1"/>
  <c r="I466" i="36" s="1"/>
  <c r="I467" i="36" s="1"/>
  <c r="I468" i="36" s="1"/>
  <c r="I469" i="36" s="1"/>
  <c r="I470" i="36" s="1"/>
  <c r="I471" i="36" s="1"/>
  <c r="I472" i="36" s="1"/>
  <c r="I473" i="36" s="1"/>
  <c r="I474" i="36" s="1"/>
  <c r="I475" i="36" s="1"/>
  <c r="I476" i="36" s="1"/>
  <c r="I477" i="36" s="1"/>
  <c r="I478" i="36" s="1"/>
  <c r="I479" i="36" s="1"/>
  <c r="I480" i="36" s="1"/>
  <c r="I481" i="36" s="1"/>
  <c r="I482" i="36" s="1"/>
  <c r="I483" i="36" s="1"/>
  <c r="I484" i="36" s="1"/>
  <c r="I485" i="36" s="1"/>
  <c r="I486" i="36" s="1"/>
  <c r="I487" i="36" s="1"/>
  <c r="I488" i="36" s="1"/>
  <c r="I489" i="36" s="1"/>
  <c r="I490" i="36" s="1"/>
  <c r="I491" i="36" s="1"/>
  <c r="I492" i="36" s="1"/>
  <c r="I493" i="36" s="1"/>
  <c r="I494" i="36" s="1"/>
  <c r="I495" i="36" s="1"/>
  <c r="I496" i="36" s="1"/>
  <c r="I497" i="36" s="1"/>
  <c r="I498" i="36" s="1"/>
  <c r="I499" i="36" s="1"/>
  <c r="I500" i="36" s="1"/>
  <c r="I501" i="36" s="1"/>
  <c r="I502" i="36" s="1"/>
  <c r="I503" i="36" s="1"/>
  <c r="I504" i="36" s="1"/>
  <c r="I505" i="36" s="1"/>
  <c r="I506" i="36" s="1"/>
  <c r="I507" i="36" s="1"/>
  <c r="I508" i="36" s="1"/>
  <c r="I509" i="36" s="1"/>
  <c r="I510" i="36" s="1"/>
  <c r="I511" i="36" s="1"/>
  <c r="I512" i="36" s="1"/>
  <c r="I513" i="36" s="1"/>
  <c r="I514" i="36" s="1"/>
  <c r="I515" i="36" s="1"/>
  <c r="I516" i="36" s="1"/>
  <c r="I517" i="36" s="1"/>
  <c r="I518" i="36" s="1"/>
  <c r="I519" i="36" s="1"/>
  <c r="I520" i="36" s="1"/>
  <c r="I521" i="36" s="1"/>
  <c r="I522" i="36" s="1"/>
  <c r="I523" i="36" s="1"/>
  <c r="I524" i="36" s="1"/>
  <c r="I525" i="36" s="1"/>
  <c r="I526" i="36" s="1"/>
  <c r="I527" i="36" s="1"/>
  <c r="I528" i="36" s="1"/>
  <c r="I529" i="36" s="1"/>
  <c r="I530" i="36" s="1"/>
  <c r="I531" i="36" s="1"/>
  <c r="I532" i="36" s="1"/>
  <c r="I533" i="36" s="1"/>
  <c r="I534" i="36" s="1"/>
  <c r="I535" i="36" s="1"/>
  <c r="I536" i="36" s="1"/>
  <c r="I537" i="36" s="1"/>
  <c r="I538" i="36" s="1"/>
  <c r="I539" i="36" s="1"/>
  <c r="I540" i="36" s="1"/>
  <c r="I541" i="36" s="1"/>
  <c r="I542" i="36" s="1"/>
  <c r="I543" i="36" s="1"/>
  <c r="I544" i="36" s="1"/>
  <c r="I545" i="36" s="1"/>
  <c r="I546" i="36" s="1"/>
  <c r="I547" i="36" s="1"/>
  <c r="I548" i="36" s="1"/>
  <c r="I549" i="36" s="1"/>
  <c r="I550" i="36" s="1"/>
  <c r="I551" i="36" s="1"/>
  <c r="I552" i="36" s="1"/>
  <c r="I553" i="36" s="1"/>
  <c r="I554" i="36" s="1"/>
  <c r="I555" i="36" s="1"/>
  <c r="I556" i="36" s="1"/>
  <c r="I557" i="36" s="1"/>
  <c r="I558" i="36" s="1"/>
  <c r="I559" i="36" s="1"/>
  <c r="I560" i="36" s="1"/>
  <c r="I561" i="36" s="1"/>
  <c r="I562" i="36" s="1"/>
  <c r="I563" i="36" s="1"/>
  <c r="I564" i="36" s="1"/>
  <c r="I565" i="36" s="1"/>
  <c r="I566" i="36" s="1"/>
  <c r="I567" i="36" s="1"/>
  <c r="I568" i="36" s="1"/>
  <c r="I569" i="36" s="1"/>
  <c r="I570" i="36" s="1"/>
  <c r="I571" i="36" s="1"/>
  <c r="I572" i="36" s="1"/>
  <c r="I573" i="36" s="1"/>
  <c r="I574" i="36" s="1"/>
  <c r="I575" i="36" s="1"/>
  <c r="I576" i="36" s="1"/>
  <c r="I577" i="36" s="1"/>
  <c r="I578" i="36" s="1"/>
  <c r="I579" i="36" s="1"/>
  <c r="I580" i="36" s="1"/>
  <c r="I581" i="36" s="1"/>
  <c r="I582" i="36" s="1"/>
  <c r="I583" i="36" s="1"/>
  <c r="I584" i="36" s="1"/>
  <c r="I585" i="36" s="1"/>
  <c r="I586" i="36" s="1"/>
  <c r="I587" i="36" s="1"/>
  <c r="I588" i="36" s="1"/>
  <c r="I589" i="36" s="1"/>
  <c r="I590" i="36" s="1"/>
  <c r="I591" i="36" s="1"/>
  <c r="I592" i="36" s="1"/>
  <c r="I593" i="36" s="1"/>
  <c r="I594" i="36" s="1"/>
  <c r="I595" i="36" s="1"/>
  <c r="I596" i="36" s="1"/>
  <c r="I597" i="36" s="1"/>
  <c r="I598" i="36" s="1"/>
  <c r="I599" i="36" s="1"/>
  <c r="I600" i="36" s="1"/>
  <c r="I601" i="36" s="1"/>
  <c r="I602" i="36" s="1"/>
  <c r="I603" i="36" s="1"/>
  <c r="I604" i="36" s="1"/>
  <c r="I605" i="36" s="1"/>
  <c r="I606" i="36" s="1"/>
  <c r="I607" i="36" s="1"/>
  <c r="I608" i="36" s="1"/>
  <c r="I609" i="36" s="1"/>
  <c r="I610" i="36" s="1"/>
  <c r="I611" i="36" s="1"/>
  <c r="I612" i="36" s="1"/>
  <c r="I613" i="36" s="1"/>
  <c r="I614" i="36" s="1"/>
  <c r="I615" i="36" s="1"/>
  <c r="I616" i="36" s="1"/>
  <c r="I617" i="36" s="1"/>
  <c r="I618" i="36" s="1"/>
  <c r="I619" i="36" s="1"/>
  <c r="I620" i="36" s="1"/>
  <c r="I621" i="36" s="1"/>
  <c r="I622" i="36" s="1"/>
  <c r="I623" i="36" s="1"/>
  <c r="I624" i="36" s="1"/>
  <c r="I625" i="36" s="1"/>
  <c r="I626" i="36" s="1"/>
  <c r="I627" i="36" s="1"/>
  <c r="I628" i="36" s="1"/>
  <c r="I629" i="36" s="1"/>
  <c r="I630" i="36" s="1"/>
  <c r="I631" i="36" s="1"/>
  <c r="I632" i="36" s="1"/>
  <c r="I633" i="36" s="1"/>
  <c r="I634" i="36" s="1"/>
  <c r="I635" i="36" s="1"/>
  <c r="I636" i="36" s="1"/>
  <c r="I637" i="36" s="1"/>
  <c r="I638" i="36" s="1"/>
  <c r="I639" i="36" s="1"/>
  <c r="I640" i="36" s="1"/>
  <c r="I641" i="36" s="1"/>
  <c r="I642" i="36" s="1"/>
  <c r="I643" i="36" s="1"/>
  <c r="I644" i="36" s="1"/>
  <c r="I645" i="36" s="1"/>
  <c r="I646" i="36" s="1"/>
  <c r="I647" i="36" s="1"/>
  <c r="I648" i="36" s="1"/>
  <c r="I649" i="36" s="1"/>
  <c r="I650" i="36" s="1"/>
  <c r="I651" i="36" s="1"/>
  <c r="I652" i="36" s="1"/>
  <c r="I653" i="36" s="1"/>
  <c r="I654" i="36" s="1"/>
  <c r="I655" i="36" s="1"/>
  <c r="I656" i="36" s="1"/>
  <c r="I657" i="36" s="1"/>
  <c r="I658" i="36" s="1"/>
  <c r="I659" i="36" s="1"/>
  <c r="I660" i="36" s="1"/>
  <c r="I661" i="36" s="1"/>
  <c r="I662" i="36" s="1"/>
  <c r="I663" i="36" s="1"/>
  <c r="I664" i="36" s="1"/>
  <c r="I665" i="36" s="1"/>
  <c r="I666" i="36" s="1"/>
  <c r="I667" i="36" s="1"/>
  <c r="I668" i="36" s="1"/>
  <c r="I669" i="36" s="1"/>
  <c r="I670" i="36" s="1"/>
  <c r="I671" i="36" s="1"/>
  <c r="I672" i="36" s="1"/>
  <c r="I673" i="36" s="1"/>
  <c r="I674" i="36" s="1"/>
  <c r="I675" i="36" s="1"/>
  <c r="I676" i="36" s="1"/>
  <c r="I677" i="36" s="1"/>
  <c r="I678" i="36" s="1"/>
  <c r="I679" i="36" s="1"/>
  <c r="I680" i="36" s="1"/>
  <c r="I681" i="36" s="1"/>
  <c r="I682" i="36" s="1"/>
  <c r="I683" i="36" s="1"/>
  <c r="I684" i="36" s="1"/>
  <c r="I685" i="36" s="1"/>
  <c r="I686" i="36" s="1"/>
  <c r="I687" i="36" s="1"/>
  <c r="I688" i="36" s="1"/>
  <c r="I689" i="36" s="1"/>
  <c r="I690" i="36" s="1"/>
  <c r="I691" i="36" s="1"/>
  <c r="I692" i="36" s="1"/>
  <c r="I693" i="36" s="1"/>
  <c r="I694" i="36" s="1"/>
  <c r="I695" i="36" s="1"/>
  <c r="I696" i="36" s="1"/>
  <c r="I697" i="36" s="1"/>
  <c r="I698" i="36" s="1"/>
  <c r="I699" i="36" s="1"/>
  <c r="I700" i="36" s="1"/>
  <c r="I701" i="36" s="1"/>
  <c r="I702" i="36" s="1"/>
  <c r="I703" i="36" s="1"/>
  <c r="I704" i="36" s="1"/>
  <c r="I705" i="36" s="1"/>
  <c r="I706" i="36" s="1"/>
  <c r="I707" i="36" s="1"/>
  <c r="I708" i="36" s="1"/>
  <c r="I709" i="36" s="1"/>
  <c r="I710" i="36" s="1"/>
  <c r="I711" i="36" s="1"/>
  <c r="I712" i="36" s="1"/>
  <c r="I713" i="36" s="1"/>
  <c r="I714" i="36" s="1"/>
  <c r="I715" i="36" s="1"/>
  <c r="I716" i="36" s="1"/>
  <c r="I717" i="36" s="1"/>
  <c r="I718" i="36" s="1"/>
  <c r="I719" i="36" s="1"/>
  <c r="I720" i="36" s="1"/>
  <c r="I721" i="36" s="1"/>
  <c r="I722" i="36" s="1"/>
  <c r="I723" i="36" s="1"/>
  <c r="I724" i="36" s="1"/>
  <c r="I725" i="36" s="1"/>
  <c r="I726" i="36" s="1"/>
  <c r="I727" i="36" s="1"/>
  <c r="I728" i="36" s="1"/>
  <c r="I729" i="36" s="1"/>
  <c r="I730" i="36" s="1"/>
  <c r="I731" i="36" s="1"/>
  <c r="I732" i="36" s="1"/>
  <c r="I733" i="36" s="1"/>
  <c r="I734" i="36" s="1"/>
  <c r="I735" i="36" s="1"/>
  <c r="I736" i="36" s="1"/>
  <c r="I737" i="36" s="1"/>
  <c r="I738" i="36" s="1"/>
  <c r="I739" i="36" s="1"/>
  <c r="I740" i="36" s="1"/>
  <c r="I741" i="36" s="1"/>
  <c r="I742" i="36" s="1"/>
  <c r="I743" i="36" s="1"/>
  <c r="I744" i="36" s="1"/>
  <c r="I745" i="36" s="1"/>
  <c r="I746" i="36" s="1"/>
  <c r="I747" i="36" s="1"/>
  <c r="I748" i="36" s="1"/>
  <c r="I749" i="36" s="1"/>
  <c r="I750" i="36" s="1"/>
  <c r="I751" i="36" s="1"/>
  <c r="I752" i="36" s="1"/>
  <c r="I753" i="36" s="1"/>
  <c r="I754" i="36" s="1"/>
  <c r="I755" i="36" s="1"/>
  <c r="I756" i="36" s="1"/>
  <c r="I757" i="36" s="1"/>
  <c r="I758" i="36" s="1"/>
  <c r="I759" i="36" s="1"/>
  <c r="I760" i="36" s="1"/>
  <c r="I761" i="36" s="1"/>
  <c r="I762" i="36" s="1"/>
  <c r="I763" i="36" s="1"/>
  <c r="I764" i="36" s="1"/>
  <c r="I765" i="36" s="1"/>
  <c r="I766" i="36" s="1"/>
  <c r="I767" i="36" s="1"/>
  <c r="I768" i="36" s="1"/>
  <c r="I769" i="36" s="1"/>
  <c r="I770" i="36" s="1"/>
  <c r="I771" i="36" s="1"/>
  <c r="I772" i="36" s="1"/>
  <c r="I773" i="36" s="1"/>
  <c r="I774" i="36" s="1"/>
  <c r="I775" i="36" s="1"/>
  <c r="I776" i="36" s="1"/>
  <c r="I777" i="36" s="1"/>
  <c r="I778" i="36" s="1"/>
  <c r="I779" i="36" s="1"/>
  <c r="I780" i="36" s="1"/>
  <c r="I781" i="36" s="1"/>
  <c r="I782" i="36" s="1"/>
  <c r="I783" i="36" s="1"/>
  <c r="I784" i="36" s="1"/>
  <c r="I785" i="36" s="1"/>
  <c r="I786" i="36" s="1"/>
  <c r="I787" i="36" s="1"/>
  <c r="I788" i="36" s="1"/>
  <c r="I789" i="36" s="1"/>
  <c r="I790" i="36" s="1"/>
  <c r="I791" i="36" s="1"/>
  <c r="I792" i="36" s="1"/>
  <c r="I793" i="36" s="1"/>
  <c r="I794" i="36" s="1"/>
  <c r="I795" i="36" s="1"/>
  <c r="I796" i="36" s="1"/>
  <c r="I797" i="36" s="1"/>
  <c r="I798" i="36" s="1"/>
  <c r="I799" i="36" s="1"/>
  <c r="I800" i="36" s="1"/>
  <c r="I801" i="36" s="1"/>
  <c r="I802" i="36" s="1"/>
  <c r="I803" i="36" s="1"/>
  <c r="I804" i="36" s="1"/>
  <c r="I805" i="36" s="1"/>
  <c r="I806" i="36" s="1"/>
  <c r="I807" i="36" s="1"/>
  <c r="I808" i="36" s="1"/>
  <c r="I809" i="36" s="1"/>
  <c r="I810" i="36" s="1"/>
  <c r="I811" i="36" s="1"/>
  <c r="I812" i="36" s="1"/>
  <c r="I813" i="36" s="1"/>
  <c r="I814" i="36" s="1"/>
  <c r="I815" i="36" s="1"/>
  <c r="I816" i="36" s="1"/>
  <c r="I817" i="36" s="1"/>
  <c r="I818" i="36" s="1"/>
  <c r="I819" i="36" s="1"/>
  <c r="I820" i="36" s="1"/>
  <c r="I821" i="36" s="1"/>
  <c r="I822" i="36" s="1"/>
  <c r="I823" i="36" s="1"/>
  <c r="I824" i="36" s="1"/>
  <c r="I825" i="36" s="1"/>
  <c r="I826" i="36" s="1"/>
  <c r="I827" i="36" s="1"/>
  <c r="I828" i="36" s="1"/>
  <c r="I829" i="36" s="1"/>
  <c r="I830" i="36" s="1"/>
  <c r="I831" i="36" s="1"/>
  <c r="I832" i="36" s="1"/>
  <c r="I833" i="36" s="1"/>
  <c r="I834" i="36" s="1"/>
  <c r="I835" i="36" s="1"/>
  <c r="I836" i="36" s="1"/>
  <c r="I837" i="36" s="1"/>
  <c r="I838" i="36" s="1"/>
  <c r="I839" i="36" s="1"/>
  <c r="I840" i="36" s="1"/>
  <c r="I841" i="36" s="1"/>
  <c r="I842" i="36" s="1"/>
  <c r="I843" i="36" s="1"/>
  <c r="I844" i="36" s="1"/>
  <c r="I845" i="36" s="1"/>
  <c r="I846" i="36" s="1"/>
  <c r="I847" i="36" s="1"/>
  <c r="I848" i="36" s="1"/>
  <c r="I849" i="36" s="1"/>
  <c r="I850" i="36" s="1"/>
  <c r="I851" i="36" s="1"/>
  <c r="I852" i="36" s="1"/>
  <c r="I853" i="36" s="1"/>
  <c r="I854" i="36" s="1"/>
  <c r="I855" i="36" s="1"/>
  <c r="I856" i="36" s="1"/>
  <c r="I857" i="36" s="1"/>
  <c r="I858" i="36" s="1"/>
  <c r="I859" i="36" s="1"/>
  <c r="I860" i="36" s="1"/>
  <c r="I861" i="36" s="1"/>
  <c r="I862" i="36" s="1"/>
  <c r="I863" i="36" s="1"/>
  <c r="I864" i="36" s="1"/>
  <c r="I865" i="36" s="1"/>
  <c r="I866" i="36" s="1"/>
  <c r="I867" i="36" s="1"/>
  <c r="I868" i="36" s="1"/>
  <c r="I869" i="36" s="1"/>
  <c r="I870" i="36" s="1"/>
  <c r="I871" i="36" s="1"/>
  <c r="I872" i="36" s="1"/>
  <c r="I873" i="36" s="1"/>
  <c r="I874" i="36" s="1"/>
  <c r="I875" i="36" s="1"/>
  <c r="I876" i="36" s="1"/>
  <c r="I877" i="36" s="1"/>
  <c r="I878" i="36" s="1"/>
  <c r="I879" i="36" s="1"/>
  <c r="I880" i="36" s="1"/>
  <c r="I881" i="36" s="1"/>
  <c r="I882" i="36" s="1"/>
  <c r="I883" i="36" s="1"/>
  <c r="I884" i="36" s="1"/>
  <c r="I885" i="36" s="1"/>
  <c r="I886" i="36" s="1"/>
  <c r="I887" i="36" s="1"/>
  <c r="I888" i="36" s="1"/>
  <c r="I889" i="36" s="1"/>
  <c r="I890" i="36" s="1"/>
  <c r="I891" i="36" s="1"/>
  <c r="I892" i="36" s="1"/>
  <c r="I893" i="36" s="1"/>
  <c r="I894" i="36" s="1"/>
  <c r="I895" i="36" s="1"/>
  <c r="I896" i="36" s="1"/>
  <c r="I897" i="36" s="1"/>
  <c r="I898" i="36" s="1"/>
  <c r="I899" i="36" s="1"/>
  <c r="I900" i="36" s="1"/>
  <c r="I901" i="36" s="1"/>
  <c r="I902" i="36" s="1"/>
  <c r="I903" i="36" s="1"/>
  <c r="I904" i="36" s="1"/>
  <c r="I905" i="36" s="1"/>
  <c r="I906" i="36" s="1"/>
  <c r="I907" i="36" s="1"/>
  <c r="I908" i="36" s="1"/>
  <c r="I909" i="36" s="1"/>
  <c r="I910" i="36" s="1"/>
  <c r="I911" i="36" s="1"/>
  <c r="I912" i="36" s="1"/>
  <c r="I913" i="36" s="1"/>
  <c r="I914" i="36" s="1"/>
  <c r="I915" i="36" s="1"/>
  <c r="I916" i="36" s="1"/>
  <c r="I917" i="36" s="1"/>
  <c r="I918" i="36" s="1"/>
  <c r="I919" i="36" s="1"/>
  <c r="I920" i="36" s="1"/>
  <c r="I921" i="36" s="1"/>
  <c r="I922" i="36" s="1"/>
  <c r="I923" i="36" s="1"/>
  <c r="I924" i="36" s="1"/>
  <c r="I925" i="36" s="1"/>
  <c r="I926" i="36" s="1"/>
  <c r="I927" i="36" s="1"/>
  <c r="I928" i="36" s="1"/>
  <c r="I929" i="36" s="1"/>
  <c r="I930" i="36" s="1"/>
  <c r="I931" i="36" s="1"/>
  <c r="I932" i="36" s="1"/>
  <c r="I933" i="36" s="1"/>
  <c r="I934" i="36" s="1"/>
  <c r="I935" i="36" s="1"/>
  <c r="I936" i="36" s="1"/>
  <c r="I937" i="36" s="1"/>
  <c r="I938" i="36" s="1"/>
  <c r="I939" i="36" s="1"/>
  <c r="I940" i="36" s="1"/>
  <c r="I941" i="36" s="1"/>
  <c r="I942" i="36" s="1"/>
  <c r="I943" i="36" s="1"/>
  <c r="I944" i="36" s="1"/>
  <c r="I945" i="36" s="1"/>
  <c r="I946" i="36" s="1"/>
  <c r="I947" i="36" s="1"/>
  <c r="I948" i="36" s="1"/>
  <c r="I949" i="36" s="1"/>
  <c r="I950" i="36" s="1"/>
  <c r="I951" i="36" s="1"/>
  <c r="I952" i="36" s="1"/>
  <c r="I953" i="36" s="1"/>
  <c r="I954" i="36" s="1"/>
  <c r="I955" i="36" s="1"/>
  <c r="I956" i="36" s="1"/>
  <c r="I957" i="36" s="1"/>
  <c r="I958" i="36" s="1"/>
  <c r="I959" i="36" s="1"/>
  <c r="I960" i="36" s="1"/>
  <c r="I961" i="36" s="1"/>
  <c r="I962" i="36" s="1"/>
  <c r="I963" i="36" s="1"/>
  <c r="I964" i="36" s="1"/>
  <c r="I965" i="36" s="1"/>
  <c r="I966" i="36" s="1"/>
  <c r="I967" i="36" s="1"/>
  <c r="I968" i="36" s="1"/>
  <c r="I969" i="36" s="1"/>
  <c r="I970" i="36" s="1"/>
  <c r="I971" i="36" s="1"/>
  <c r="I972" i="36" s="1"/>
  <c r="I973" i="36" s="1"/>
  <c r="I974" i="36" s="1"/>
  <c r="I975" i="36" s="1"/>
  <c r="I976" i="36" s="1"/>
  <c r="I977" i="36" s="1"/>
  <c r="I978" i="36" s="1"/>
  <c r="I979" i="36" s="1"/>
  <c r="I980" i="36" s="1"/>
  <c r="I981" i="36" s="1"/>
  <c r="I982" i="36" s="1"/>
  <c r="I983" i="36" s="1"/>
  <c r="I984" i="36" s="1"/>
  <c r="I985" i="36" s="1"/>
  <c r="I986" i="36" s="1"/>
  <c r="I987" i="36" s="1"/>
  <c r="I988" i="36" s="1"/>
  <c r="I989" i="36" s="1"/>
  <c r="I990" i="36" s="1"/>
  <c r="I991" i="36" s="1"/>
  <c r="I992" i="36" s="1"/>
  <c r="I993" i="36" s="1"/>
  <c r="I994" i="36" s="1"/>
  <c r="I995" i="36" s="1"/>
  <c r="I996" i="36" s="1"/>
  <c r="I997" i="36" s="1"/>
  <c r="I998" i="36" s="1"/>
  <c r="I999" i="36" s="1"/>
  <c r="I1000" i="36" s="1"/>
  <c r="I1001" i="36" s="1"/>
  <c r="I1002" i="36" s="1"/>
  <c r="I1003" i="36" s="1"/>
  <c r="I1004" i="36" s="1"/>
  <c r="I1005" i="36" s="1"/>
  <c r="I1006" i="36" s="1"/>
  <c r="I1007" i="36" s="1"/>
  <c r="I1008" i="36" s="1"/>
  <c r="I1009" i="36" s="1"/>
  <c r="I1010" i="36" s="1"/>
  <c r="I1011" i="36" s="1"/>
  <c r="I1012" i="36" s="1"/>
  <c r="I1013" i="36" s="1"/>
  <c r="I1014" i="36" s="1"/>
  <c r="I1015" i="36" s="1"/>
  <c r="I1016" i="36" s="1"/>
  <c r="I1017" i="36" s="1"/>
  <c r="I1018" i="36" s="1"/>
  <c r="I1019" i="36" s="1"/>
  <c r="I1020" i="36" s="1"/>
  <c r="I1021" i="36" s="1"/>
  <c r="I1022" i="36" s="1"/>
  <c r="I1023" i="36" s="1"/>
  <c r="I1024" i="36" s="1"/>
  <c r="I1025" i="36" s="1"/>
  <c r="I1026" i="36" s="1"/>
  <c r="I1027" i="36" s="1"/>
  <c r="I1028" i="36" s="1"/>
  <c r="I1029" i="36" s="1"/>
  <c r="I1030" i="36" s="1"/>
  <c r="I1031" i="36" s="1"/>
  <c r="I1032" i="36" s="1"/>
  <c r="I1033" i="36" s="1"/>
  <c r="I1034" i="36" s="1"/>
  <c r="I1035" i="36" s="1"/>
  <c r="I1036" i="36" s="1"/>
  <c r="I1037" i="36" s="1"/>
  <c r="I1038" i="36" s="1"/>
  <c r="I1039" i="36" s="1"/>
  <c r="I1040" i="36" s="1"/>
  <c r="I1041" i="36" s="1"/>
  <c r="I1042" i="36" s="1"/>
  <c r="I1043" i="36" s="1"/>
  <c r="I1044" i="36" s="1"/>
  <c r="I1045" i="36" s="1"/>
  <c r="I1046" i="36" s="1"/>
  <c r="I1047" i="36" s="1"/>
  <c r="I1048" i="36" s="1"/>
  <c r="I1049" i="36" s="1"/>
  <c r="I1050" i="36" s="1"/>
  <c r="I1051" i="36" s="1"/>
  <c r="I1052" i="36" s="1"/>
  <c r="I1053" i="36" s="1"/>
  <c r="I1054" i="36" s="1"/>
  <c r="I1055" i="36" s="1"/>
  <c r="I1056" i="36" s="1"/>
  <c r="I1057" i="36" s="1"/>
  <c r="I1058" i="36" s="1"/>
  <c r="I1059" i="36" s="1"/>
  <c r="I1060" i="36" s="1"/>
  <c r="I1061" i="36" s="1"/>
  <c r="I1062" i="36" s="1"/>
  <c r="I1063" i="36" s="1"/>
  <c r="I1064" i="36" s="1"/>
  <c r="I1065" i="36" s="1"/>
  <c r="I1066" i="36" s="1"/>
  <c r="I1067" i="36" s="1"/>
  <c r="I1068" i="36" s="1"/>
  <c r="I1069" i="36" s="1"/>
  <c r="I1070" i="36" s="1"/>
  <c r="I1071" i="36" s="1"/>
  <c r="I1072" i="36" s="1"/>
  <c r="I1073" i="36" s="1"/>
  <c r="I1074" i="36" s="1"/>
  <c r="I1075" i="36" s="1"/>
  <c r="I1076" i="36" s="1"/>
  <c r="I1077" i="36" s="1"/>
  <c r="I1078" i="36" s="1"/>
  <c r="I1079" i="36" s="1"/>
  <c r="I1080" i="36" s="1"/>
  <c r="I1081" i="36" s="1"/>
  <c r="I1082" i="36" s="1"/>
  <c r="I1083" i="36" s="1"/>
  <c r="I1084" i="36" s="1"/>
  <c r="I1085" i="36" s="1"/>
  <c r="I1086" i="36" s="1"/>
  <c r="I1087" i="36" s="1"/>
  <c r="I1088" i="36" s="1"/>
  <c r="I1089" i="36" s="1"/>
  <c r="I1090" i="36" s="1"/>
  <c r="I1091" i="36" s="1"/>
  <c r="I1092" i="36" s="1"/>
  <c r="I1093" i="36" s="1"/>
  <c r="I1094" i="36" s="1"/>
  <c r="I1095" i="36" s="1"/>
  <c r="I1096" i="36" s="1"/>
  <c r="I1097" i="36" s="1"/>
  <c r="I1098" i="36" s="1"/>
  <c r="I1099" i="36" s="1"/>
  <c r="I1100" i="36" s="1"/>
  <c r="I1101" i="36" s="1"/>
  <c r="I1102" i="36" s="1"/>
  <c r="I1103" i="36" s="1"/>
  <c r="I1104" i="36" s="1"/>
  <c r="I1105" i="36" s="1"/>
  <c r="I1106" i="36" s="1"/>
  <c r="I1107" i="36" s="1"/>
  <c r="I1108" i="36" s="1"/>
  <c r="I1109" i="36" s="1"/>
  <c r="I1110" i="36" s="1"/>
  <c r="I1111" i="36" s="1"/>
  <c r="I1112" i="36" s="1"/>
  <c r="I1113" i="36" s="1"/>
  <c r="I1114" i="36" s="1"/>
  <c r="I1115" i="36" s="1"/>
  <c r="I1116" i="36" s="1"/>
  <c r="I1117" i="36" s="1"/>
  <c r="I1118" i="36" s="1"/>
  <c r="I1119" i="36" s="1"/>
  <c r="I1120" i="36" s="1"/>
  <c r="I1121" i="36" s="1"/>
  <c r="I1122" i="36" s="1"/>
  <c r="I1123" i="36" s="1"/>
  <c r="I1124" i="36" s="1"/>
  <c r="I1125" i="36" s="1"/>
  <c r="I1126" i="36" s="1"/>
  <c r="I1127" i="36" s="1"/>
  <c r="I1128" i="36" s="1"/>
  <c r="I1129" i="36" s="1"/>
  <c r="I1130" i="36" s="1"/>
  <c r="I1131" i="36" s="1"/>
  <c r="I1132" i="36" s="1"/>
  <c r="I1133" i="36" s="1"/>
  <c r="I1134" i="36" s="1"/>
  <c r="I1135" i="36" s="1"/>
  <c r="I1136" i="36" s="1"/>
  <c r="I1137" i="36" s="1"/>
  <c r="I1138" i="36" s="1"/>
  <c r="I1139" i="36" s="1"/>
  <c r="I1140" i="36" s="1"/>
  <c r="I1141" i="36" s="1"/>
  <c r="I1142" i="36" s="1"/>
  <c r="I1143" i="36" s="1"/>
  <c r="I1144" i="36" s="1"/>
  <c r="I1145" i="36" s="1"/>
  <c r="I1146" i="36" s="1"/>
  <c r="I1147" i="36" s="1"/>
  <c r="I1148" i="36" s="1"/>
  <c r="I1149" i="36" s="1"/>
  <c r="I1150" i="36" s="1"/>
  <c r="I1151" i="36" s="1"/>
  <c r="I1152" i="36" s="1"/>
  <c r="I1153" i="36" s="1"/>
  <c r="I1154" i="36" s="1"/>
  <c r="I1155" i="36" s="1"/>
  <c r="I1156" i="36" s="1"/>
  <c r="I1157" i="36" s="1"/>
  <c r="I1158" i="36" s="1"/>
  <c r="I1159" i="36" s="1"/>
  <c r="I1160" i="36" s="1"/>
  <c r="I1161" i="36" s="1"/>
  <c r="I1162" i="36" s="1"/>
  <c r="I1163" i="36" s="1"/>
  <c r="I1164" i="36" s="1"/>
  <c r="I1165" i="36" s="1"/>
  <c r="I1166" i="36" s="1"/>
  <c r="I1167" i="36" s="1"/>
  <c r="I1168" i="36" s="1"/>
  <c r="I1169" i="36" s="1"/>
  <c r="I1170" i="36" s="1"/>
  <c r="I1171" i="36" s="1"/>
  <c r="I1172" i="36" s="1"/>
  <c r="I1173" i="36" s="1"/>
  <c r="I1174" i="36" s="1"/>
  <c r="I1175" i="36" s="1"/>
  <c r="I1176" i="36" s="1"/>
  <c r="I1177" i="36" s="1"/>
  <c r="I1178" i="36" s="1"/>
  <c r="I1179" i="36" s="1"/>
  <c r="I1180" i="36" s="1"/>
  <c r="I1181" i="36" s="1"/>
  <c r="I1182" i="36" s="1"/>
  <c r="I1183" i="36" s="1"/>
  <c r="I1184" i="36" s="1"/>
  <c r="I1185" i="36" s="1"/>
  <c r="I1186" i="36" s="1"/>
  <c r="I1187" i="36" s="1"/>
  <c r="I1188" i="36" s="1"/>
  <c r="I1189" i="36" s="1"/>
  <c r="I1190" i="36" s="1"/>
  <c r="I1191" i="36" s="1"/>
  <c r="I1192" i="36" s="1"/>
  <c r="I1193" i="36" s="1"/>
  <c r="I1194" i="36" s="1"/>
  <c r="I1195" i="36" s="1"/>
  <c r="I1196" i="36" s="1"/>
  <c r="I1197" i="36" s="1"/>
  <c r="I1198" i="36" s="1"/>
  <c r="I1199" i="36" s="1"/>
  <c r="I1200" i="36" s="1"/>
  <c r="I1201" i="36" s="1"/>
  <c r="I1202" i="36" s="1"/>
  <c r="I1203" i="36" s="1"/>
  <c r="I1204" i="36" s="1"/>
  <c r="I1205" i="36" s="1"/>
  <c r="I1206" i="36" s="1"/>
  <c r="I1207" i="36" s="1"/>
  <c r="I1208" i="36" s="1"/>
  <c r="I1209" i="36" s="1"/>
  <c r="I1210" i="36" s="1"/>
  <c r="I1211" i="36" s="1"/>
  <c r="I1212" i="36" s="1"/>
  <c r="I1213" i="36" s="1"/>
  <c r="I1214" i="36" s="1"/>
  <c r="I1215" i="36" s="1"/>
  <c r="I1216" i="36" s="1"/>
  <c r="I1217" i="36" s="1"/>
  <c r="I1218" i="36" s="1"/>
  <c r="I1219" i="36" s="1"/>
  <c r="I1220" i="36" s="1"/>
  <c r="I1221" i="36" s="1"/>
  <c r="I1222" i="36" s="1"/>
  <c r="I1223" i="36" s="1"/>
  <c r="I1224" i="36" s="1"/>
  <c r="I1225" i="36" s="1"/>
  <c r="I1226" i="36" s="1"/>
  <c r="I1227" i="36" s="1"/>
  <c r="I1228" i="36" s="1"/>
  <c r="I1229" i="36" s="1"/>
  <c r="I1230" i="36" s="1"/>
  <c r="I1231" i="36" s="1"/>
  <c r="I1232" i="36" s="1"/>
  <c r="I1233" i="36" s="1"/>
  <c r="I1234" i="36" s="1"/>
  <c r="I1235" i="36" s="1"/>
  <c r="I1236" i="36" s="1"/>
  <c r="I1237" i="36" s="1"/>
  <c r="I1238" i="36" s="1"/>
  <c r="I1239" i="36" s="1"/>
  <c r="I1240" i="36" s="1"/>
  <c r="I1241" i="36" s="1"/>
  <c r="I1242" i="36" s="1"/>
  <c r="I1243" i="36" s="1"/>
  <c r="I1244" i="36" s="1"/>
  <c r="I1245" i="36" s="1"/>
  <c r="I1246" i="36" s="1"/>
  <c r="I1247" i="36" s="1"/>
  <c r="I1248" i="36" s="1"/>
  <c r="I1249" i="36" s="1"/>
  <c r="I1250" i="36" s="1"/>
  <c r="I1251" i="36" s="1"/>
  <c r="I1252" i="36" s="1"/>
  <c r="I1253" i="36" s="1"/>
  <c r="I1254" i="36" s="1"/>
  <c r="I1255" i="36" s="1"/>
  <c r="I1256" i="36" s="1"/>
  <c r="I1257" i="36" s="1"/>
  <c r="I1258" i="36" s="1"/>
  <c r="I1259" i="36" s="1"/>
  <c r="I1260" i="36" s="1"/>
  <c r="I1261" i="36" s="1"/>
  <c r="I1262" i="36" s="1"/>
  <c r="I1263" i="36" s="1"/>
  <c r="I1264" i="36" s="1"/>
  <c r="I1265" i="36" s="1"/>
  <c r="I1266" i="36" s="1"/>
  <c r="I1267" i="36" s="1"/>
  <c r="I1268" i="36" s="1"/>
  <c r="I1269" i="36" s="1"/>
  <c r="I1270" i="36" s="1"/>
  <c r="I1271" i="36" s="1"/>
  <c r="I1272" i="36" s="1"/>
  <c r="I1273" i="36" s="1"/>
  <c r="I1274" i="36" s="1"/>
  <c r="I1275" i="36" s="1"/>
  <c r="I1276" i="36" s="1"/>
  <c r="I1277" i="36" s="1"/>
  <c r="I1278" i="36" s="1"/>
  <c r="I1279" i="36" s="1"/>
  <c r="I1280" i="36" s="1"/>
  <c r="I1281" i="36" s="1"/>
  <c r="I1282" i="36" s="1"/>
  <c r="I1283" i="36" s="1"/>
  <c r="I1284" i="36" s="1"/>
  <c r="I1285" i="36" s="1"/>
  <c r="I1286" i="36" s="1"/>
  <c r="I1287" i="36" s="1"/>
  <c r="I1288" i="36" s="1"/>
  <c r="I1289" i="36" s="1"/>
  <c r="I1290" i="36" s="1"/>
  <c r="I1291" i="36" s="1"/>
  <c r="I1292" i="36" s="1"/>
  <c r="I1293" i="36" s="1"/>
  <c r="I1294" i="36" s="1"/>
  <c r="I1295" i="36" s="1"/>
  <c r="I1296" i="36" s="1"/>
  <c r="I1297" i="36" s="1"/>
  <c r="I1298" i="36" s="1"/>
  <c r="I1299" i="36" s="1"/>
  <c r="I1300" i="36" s="1"/>
  <c r="I1301" i="36" s="1"/>
  <c r="I1302" i="36" s="1"/>
  <c r="I1303" i="36" s="1"/>
  <c r="I1304" i="36" s="1"/>
  <c r="I1305" i="36" s="1"/>
  <c r="I1306" i="36" s="1"/>
  <c r="I1307" i="36" s="1"/>
  <c r="I1308" i="36" s="1"/>
  <c r="I1309" i="36" s="1"/>
  <c r="I1310" i="36" s="1"/>
  <c r="I1311" i="36" s="1"/>
  <c r="I1312" i="36" s="1"/>
  <c r="I1313" i="36" s="1"/>
  <c r="I1314" i="36" s="1"/>
  <c r="I1315" i="36" s="1"/>
  <c r="I1316" i="36" s="1"/>
  <c r="I1317" i="36" s="1"/>
  <c r="I1318" i="36" s="1"/>
  <c r="I1319" i="36" s="1"/>
  <c r="I1320" i="36" s="1"/>
  <c r="I1321" i="36" s="1"/>
  <c r="I1322" i="36" s="1"/>
  <c r="I1323" i="36" s="1"/>
  <c r="I1324" i="36" s="1"/>
  <c r="I1325" i="36" s="1"/>
  <c r="I1326" i="36" s="1"/>
  <c r="I1327" i="36" s="1"/>
  <c r="I1328" i="36" s="1"/>
  <c r="I1329" i="36" s="1"/>
  <c r="I1330" i="36" s="1"/>
  <c r="I1331" i="36" s="1"/>
  <c r="I1332" i="36" s="1"/>
  <c r="I1333" i="36" s="1"/>
  <c r="I1334" i="36" s="1"/>
  <c r="I1335" i="36" s="1"/>
  <c r="I1336" i="36" s="1"/>
  <c r="I1337" i="36" s="1"/>
  <c r="I1338" i="36" s="1"/>
  <c r="I1339" i="36" s="1"/>
  <c r="I1340" i="36" s="1"/>
  <c r="I1341" i="36" s="1"/>
  <c r="I1342" i="36" s="1"/>
  <c r="I1343" i="36" s="1"/>
  <c r="I1344" i="36" s="1"/>
  <c r="I1345" i="36" s="1"/>
  <c r="I1346" i="36" s="1"/>
  <c r="I1347" i="36" s="1"/>
  <c r="I1348" i="36" s="1"/>
  <c r="I1349" i="36" s="1"/>
  <c r="I1350" i="36" s="1"/>
  <c r="I1351" i="36" s="1"/>
  <c r="I1352" i="36" s="1"/>
  <c r="I1353" i="36" s="1"/>
  <c r="I1354" i="36" s="1"/>
  <c r="I1355" i="36" s="1"/>
  <c r="I1356" i="36" s="1"/>
  <c r="I1357" i="36" s="1"/>
  <c r="I1358" i="36" s="1"/>
  <c r="I1359" i="36" s="1"/>
  <c r="I1360" i="36" s="1"/>
  <c r="I1361" i="36" s="1"/>
  <c r="I1362" i="36" s="1"/>
  <c r="I1363" i="36" s="1"/>
  <c r="I1364" i="36" s="1"/>
  <c r="I1365" i="36" s="1"/>
  <c r="I1366" i="36" s="1"/>
  <c r="I1367" i="36" s="1"/>
  <c r="I1368" i="36" s="1"/>
  <c r="I1369" i="36" s="1"/>
  <c r="I1370" i="36" s="1"/>
  <c r="I1371" i="36" s="1"/>
  <c r="I1372" i="36" s="1"/>
  <c r="I1373" i="36" s="1"/>
  <c r="I1374" i="36" s="1"/>
  <c r="I1375" i="36" s="1"/>
  <c r="I1376" i="36" s="1"/>
  <c r="I1377" i="36" s="1"/>
  <c r="I1378" i="36" s="1"/>
  <c r="I1379" i="36" s="1"/>
  <c r="I1380" i="36" s="1"/>
  <c r="I1381" i="36" s="1"/>
  <c r="I1382" i="36" s="1"/>
  <c r="I1383" i="36" s="1"/>
  <c r="I1384" i="36" s="1"/>
  <c r="I1385" i="36" s="1"/>
  <c r="I1386" i="36" s="1"/>
  <c r="I1387" i="36" s="1"/>
  <c r="I1388" i="36" s="1"/>
  <c r="I1389" i="36" s="1"/>
  <c r="I1390" i="36" s="1"/>
  <c r="I1391" i="36" s="1"/>
  <c r="I1392" i="36" s="1"/>
  <c r="I1393" i="36" s="1"/>
  <c r="I1394" i="36" s="1"/>
  <c r="I1395" i="36" s="1"/>
  <c r="I1396" i="36" s="1"/>
  <c r="I1397" i="36" s="1"/>
  <c r="I1398" i="36" s="1"/>
  <c r="I1399" i="36" s="1"/>
  <c r="I1400" i="36" s="1"/>
  <c r="I1401" i="36" s="1"/>
  <c r="I1402" i="36" s="1"/>
  <c r="I1403" i="36" s="1"/>
  <c r="I1404" i="36" s="1"/>
  <c r="I1405" i="36" s="1"/>
  <c r="I1406" i="36" s="1"/>
  <c r="I1407" i="36" s="1"/>
  <c r="I1408" i="36" s="1"/>
  <c r="I1409" i="36" s="1"/>
  <c r="I1410" i="36" s="1"/>
  <c r="I1411" i="36" s="1"/>
  <c r="I1412" i="36" s="1"/>
  <c r="I1413" i="36" s="1"/>
  <c r="I1414" i="36" s="1"/>
  <c r="I1415" i="36" s="1"/>
  <c r="I1416" i="36" s="1"/>
  <c r="I1417" i="36" s="1"/>
  <c r="I1418" i="36" s="1"/>
  <c r="I1419" i="36" s="1"/>
  <c r="I1420" i="36" s="1"/>
  <c r="I1421" i="36" s="1"/>
  <c r="I1422" i="36" s="1"/>
  <c r="I1423" i="36" s="1"/>
  <c r="I1424" i="36" s="1"/>
  <c r="I1425" i="36" s="1"/>
  <c r="I1426" i="36" s="1"/>
  <c r="I1427" i="36" s="1"/>
  <c r="I1428" i="36" s="1"/>
  <c r="I1429" i="36" s="1"/>
  <c r="I1430" i="36" s="1"/>
  <c r="I1432" i="36" s="1"/>
  <c r="I1433" i="36" s="1"/>
  <c r="I1434" i="36" s="1"/>
  <c r="I1435" i="36" s="1"/>
  <c r="I1436" i="36" s="1"/>
  <c r="I1437" i="36" s="1"/>
  <c r="I1438" i="36" s="1"/>
  <c r="I1439" i="36" s="1"/>
  <c r="I1440" i="36" s="1"/>
  <c r="I1441" i="36" s="1"/>
  <c r="I1442" i="36" s="1"/>
  <c r="I1443" i="36" s="1"/>
  <c r="I1444" i="36" s="1"/>
  <c r="I1445" i="36" s="1"/>
  <c r="I1446" i="36" s="1"/>
  <c r="I1447" i="36" s="1"/>
  <c r="I1448" i="36" s="1"/>
  <c r="I1449" i="36" s="1"/>
  <c r="I1450" i="36" s="1"/>
  <c r="I1451" i="36" s="1"/>
  <c r="I1452" i="36" s="1"/>
  <c r="I1453" i="36" s="1"/>
  <c r="I1454" i="36" s="1"/>
  <c r="I1455" i="36" s="1"/>
  <c r="I1456" i="36" s="1"/>
  <c r="I1457" i="36" s="1"/>
  <c r="I1458" i="36" s="1"/>
  <c r="I1459" i="36" s="1"/>
  <c r="I1460" i="36" s="1"/>
  <c r="I1461" i="36" s="1"/>
  <c r="I1462" i="36" s="1"/>
  <c r="I1463" i="36" s="1"/>
  <c r="I1464" i="36" s="1"/>
  <c r="I1465" i="36" s="1"/>
  <c r="I1466" i="36" s="1"/>
  <c r="I1467" i="36" s="1"/>
  <c r="I1468" i="36" s="1"/>
  <c r="I1469" i="36" s="1"/>
  <c r="I1470" i="36" s="1"/>
  <c r="I1471" i="36" s="1"/>
  <c r="I1472" i="36" s="1"/>
  <c r="I1473" i="36" s="1"/>
  <c r="I1474" i="36" s="1"/>
  <c r="I1475" i="36" s="1"/>
  <c r="I1476" i="36" s="1"/>
  <c r="I1477" i="36" s="1"/>
  <c r="I1478" i="36" s="1"/>
  <c r="I1479" i="36" s="1"/>
  <c r="I1480" i="36" s="1"/>
  <c r="I1481" i="36" s="1"/>
  <c r="I1482" i="36" s="1"/>
  <c r="I1483" i="36" s="1"/>
  <c r="I1484" i="36" s="1"/>
  <c r="I1485" i="36" s="1"/>
  <c r="I1486" i="36" s="1"/>
  <c r="I1487" i="36" s="1"/>
  <c r="I1488" i="36" s="1"/>
  <c r="I1489" i="36" s="1"/>
  <c r="I1490" i="36" s="1"/>
  <c r="I1491" i="36" s="1"/>
  <c r="I1492" i="36" s="1"/>
  <c r="I1493" i="36" s="1"/>
  <c r="I1494" i="36" s="1"/>
  <c r="I1495" i="36" s="1"/>
  <c r="I1496" i="36" s="1"/>
  <c r="I1497" i="36" s="1"/>
  <c r="I1498" i="36" s="1"/>
  <c r="I1499" i="36" s="1"/>
  <c r="I1500" i="36" s="1"/>
  <c r="I1501" i="36" s="1"/>
  <c r="I1502" i="36" s="1"/>
  <c r="I1503" i="36" s="1"/>
  <c r="I1504" i="36" s="1"/>
  <c r="I1505" i="36" s="1"/>
  <c r="I1506" i="36" s="1"/>
  <c r="I1507" i="36" s="1"/>
  <c r="I1508" i="36" s="1"/>
  <c r="I1509" i="36" s="1"/>
  <c r="I1510" i="36" s="1"/>
  <c r="I1511" i="36" s="1"/>
  <c r="I1512" i="36" s="1"/>
  <c r="I1513" i="36" s="1"/>
  <c r="I1514" i="36" s="1"/>
  <c r="I1515" i="36" s="1"/>
  <c r="I1516" i="36" s="1"/>
  <c r="I1517" i="36" s="1"/>
  <c r="I1518" i="36" s="1"/>
  <c r="I1519" i="36" s="1"/>
  <c r="I1520" i="36" s="1"/>
  <c r="I1521" i="36" s="1"/>
  <c r="I1522" i="36" s="1"/>
  <c r="I1523" i="36" s="1"/>
  <c r="I1524" i="36" s="1"/>
  <c r="I1525" i="36" s="1"/>
  <c r="I1526" i="36" s="1"/>
  <c r="I1527" i="36" s="1"/>
  <c r="I1528" i="36" s="1"/>
  <c r="I1529" i="36" s="1"/>
  <c r="I1530" i="36" s="1"/>
  <c r="I1531" i="36" s="1"/>
  <c r="I1532" i="36" s="1"/>
  <c r="I1533" i="36" s="1"/>
  <c r="I1534" i="36" s="1"/>
  <c r="I1535" i="36" s="1"/>
  <c r="I1536" i="36" s="1"/>
  <c r="I1537" i="36" s="1"/>
  <c r="I1538" i="36" s="1"/>
  <c r="I1539" i="36" s="1"/>
  <c r="I1540" i="36" s="1"/>
  <c r="I1541" i="36" s="1"/>
  <c r="I1542" i="36" s="1"/>
  <c r="I1543" i="36" s="1"/>
  <c r="I1544" i="36" s="1"/>
  <c r="I1545" i="36" s="1"/>
  <c r="I1546" i="36" s="1"/>
  <c r="I1547" i="36" s="1"/>
  <c r="I1548" i="36" s="1"/>
  <c r="I1549" i="36" s="1"/>
  <c r="I1550" i="36" s="1"/>
  <c r="I1551" i="36" s="1"/>
  <c r="I1552" i="36" s="1"/>
  <c r="I1553" i="36" s="1"/>
  <c r="I1554" i="36" s="1"/>
  <c r="I1555" i="36" s="1"/>
  <c r="I1556" i="36" s="1"/>
  <c r="I1557" i="36" s="1"/>
  <c r="I1558" i="36" s="1"/>
  <c r="I1559" i="36" s="1"/>
  <c r="I1560" i="36" s="1"/>
  <c r="I1561" i="36" s="1"/>
  <c r="I1562" i="36" s="1"/>
  <c r="I1563" i="36" s="1"/>
  <c r="I1564" i="36" s="1"/>
  <c r="I1565" i="36" s="1"/>
  <c r="I1566" i="36" s="1"/>
  <c r="I1567" i="36" s="1"/>
  <c r="I1568" i="36" s="1"/>
  <c r="I1569" i="36" s="1"/>
  <c r="I1570" i="36" s="1"/>
  <c r="I1571" i="36" s="1"/>
  <c r="I1572" i="36" s="1"/>
  <c r="I1573" i="36" s="1"/>
  <c r="I1574" i="36" s="1"/>
  <c r="I1575" i="36" s="1"/>
  <c r="I1576" i="36" s="1"/>
  <c r="I1577" i="36" s="1"/>
  <c r="I1578" i="36" s="1"/>
  <c r="I1579" i="36" s="1"/>
  <c r="I1580" i="36" s="1"/>
  <c r="I1581" i="36" s="1"/>
  <c r="I1582" i="36" s="1"/>
  <c r="I1583" i="36" s="1"/>
  <c r="I1584" i="36" s="1"/>
  <c r="I1585" i="36" s="1"/>
  <c r="I1586" i="36" s="1"/>
  <c r="I1587" i="36" s="1"/>
  <c r="O15" i="9"/>
  <c r="W15" i="9"/>
  <c r="U16" i="9"/>
  <c r="N5" i="9"/>
  <c r="O11" i="9"/>
  <c r="U11" i="9"/>
  <c r="U10" i="9"/>
  <c r="W10" i="9"/>
  <c r="AS6" i="81"/>
  <c r="O40" i="27"/>
  <c r="I10" i="24"/>
  <c r="I11" i="24" s="1"/>
  <c r="I12" i="24" s="1"/>
  <c r="I13" i="24" s="1"/>
  <c r="I14" i="24" s="1"/>
  <c r="I15" i="24" s="1"/>
  <c r="I16" i="24" s="1"/>
  <c r="I17" i="24" s="1"/>
  <c r="I18" i="24" s="1"/>
  <c r="I19" i="24" s="1"/>
  <c r="I20" i="24" s="1"/>
  <c r="I21" i="24" s="1"/>
  <c r="I22" i="24" s="1"/>
  <c r="I23" i="24" s="1"/>
  <c r="I24" i="24" s="1"/>
  <c r="I25" i="24" s="1"/>
  <c r="I26" i="24" s="1"/>
  <c r="I27" i="24" s="1"/>
  <c r="I28" i="24" s="1"/>
  <c r="I29" i="24" s="1"/>
  <c r="I30" i="24" s="1"/>
  <c r="I31" i="24" s="1"/>
  <c r="I32" i="24" s="1"/>
  <c r="I33" i="24" s="1"/>
  <c r="I34" i="24" s="1"/>
  <c r="I35" i="24" s="1"/>
  <c r="I36" i="24" s="1"/>
  <c r="I37" i="24" s="1"/>
  <c r="I38" i="24" s="1"/>
  <c r="I39" i="24" s="1"/>
  <c r="I40" i="24" s="1"/>
  <c r="I41" i="24" s="1"/>
  <c r="I42" i="24" s="1"/>
  <c r="I43" i="24" s="1"/>
  <c r="I44" i="24" s="1"/>
  <c r="I45" i="24" s="1"/>
  <c r="I46" i="24" s="1"/>
  <c r="I47" i="24" s="1"/>
  <c r="I48" i="24" s="1"/>
  <c r="I49" i="24" s="1"/>
  <c r="I50" i="24" s="1"/>
  <c r="I51" i="24" s="1"/>
  <c r="I52" i="24" s="1"/>
  <c r="I53" i="24" s="1"/>
  <c r="I54" i="24" s="1"/>
  <c r="I55" i="24" s="1"/>
  <c r="I56" i="24" s="1"/>
  <c r="I57" i="24" s="1"/>
  <c r="I58" i="24" s="1"/>
  <c r="I59" i="24" s="1"/>
  <c r="I60" i="24" s="1"/>
  <c r="I61" i="24" s="1"/>
  <c r="I62" i="24" s="1"/>
  <c r="I63" i="24" s="1"/>
  <c r="I64" i="24" s="1"/>
  <c r="I65" i="24" s="1"/>
  <c r="I66" i="24" s="1"/>
  <c r="I67" i="24" s="1"/>
  <c r="I68" i="24" s="1"/>
  <c r="I69" i="24" s="1"/>
  <c r="I70" i="24" s="1"/>
  <c r="I71" i="24" s="1"/>
  <c r="I72" i="24" s="1"/>
  <c r="I73" i="24" s="1"/>
  <c r="I74" i="24" s="1"/>
  <c r="I75" i="24" s="1"/>
  <c r="I76" i="24" s="1"/>
  <c r="I77" i="24" s="1"/>
  <c r="I78" i="24" s="1"/>
  <c r="I79" i="24" s="1"/>
  <c r="I80" i="24" s="1"/>
  <c r="I81" i="24" s="1"/>
  <c r="I82" i="24" s="1"/>
  <c r="I83" i="24" s="1"/>
  <c r="I84" i="24" s="1"/>
  <c r="I85" i="24" s="1"/>
  <c r="I86" i="24" s="1"/>
  <c r="I87" i="24" s="1"/>
  <c r="I88" i="24" s="1"/>
  <c r="I89" i="24" s="1"/>
  <c r="I90" i="24" s="1"/>
  <c r="I91" i="24" s="1"/>
  <c r="I92" i="24" s="1"/>
  <c r="I93" i="24" s="1"/>
  <c r="I94" i="24" s="1"/>
  <c r="I95" i="24" s="1"/>
  <c r="I96" i="24" s="1"/>
  <c r="I97" i="24" s="1"/>
  <c r="I98" i="24" s="1"/>
  <c r="I99" i="24" s="1"/>
  <c r="I100" i="24" s="1"/>
  <c r="I101" i="24" s="1"/>
  <c r="I102" i="24" s="1"/>
  <c r="I103" i="24" s="1"/>
  <c r="I104" i="24" s="1"/>
  <c r="I105" i="24" s="1"/>
  <c r="I106" i="24" s="1"/>
  <c r="I107" i="24" s="1"/>
  <c r="I108" i="24" s="1"/>
  <c r="I109" i="24" s="1"/>
  <c r="I110" i="24" s="1"/>
  <c r="I111" i="24" s="1"/>
  <c r="I112" i="24" s="1"/>
  <c r="I113" i="24" s="1"/>
  <c r="I114" i="24" s="1"/>
  <c r="I115" i="24" s="1"/>
  <c r="I116" i="24" s="1"/>
  <c r="I117" i="24" s="1"/>
  <c r="I118" i="24" s="1"/>
  <c r="I119" i="24" s="1"/>
  <c r="I120" i="24" s="1"/>
  <c r="I121" i="24" s="1"/>
  <c r="I122" i="24" s="1"/>
  <c r="I123" i="24" s="1"/>
  <c r="I124" i="24" s="1"/>
  <c r="I125" i="24" s="1"/>
  <c r="I126" i="24" s="1"/>
  <c r="I127" i="24" s="1"/>
  <c r="I128" i="24" s="1"/>
  <c r="I129" i="24" s="1"/>
  <c r="I130" i="24" s="1"/>
  <c r="I131" i="24" s="1"/>
  <c r="I132" i="24" s="1"/>
  <c r="I133" i="24" s="1"/>
  <c r="I134" i="24" s="1"/>
  <c r="I135" i="24" s="1"/>
  <c r="I136" i="24" s="1"/>
  <c r="I137" i="24" s="1"/>
  <c r="I138" i="24" s="1"/>
  <c r="I139" i="24" s="1"/>
  <c r="I140" i="24" s="1"/>
  <c r="I141" i="24" s="1"/>
  <c r="I142" i="24" s="1"/>
  <c r="I143" i="24" s="1"/>
  <c r="I144" i="24" s="1"/>
  <c r="I145" i="24" s="1"/>
  <c r="I146" i="24" s="1"/>
  <c r="I147" i="24" s="1"/>
  <c r="I148" i="24" s="1"/>
  <c r="I149" i="24" s="1"/>
  <c r="I150" i="24" s="1"/>
  <c r="I151" i="24" s="1"/>
  <c r="I152" i="24" s="1"/>
  <c r="I153" i="24" s="1"/>
  <c r="I154" i="24" s="1"/>
  <c r="I155" i="24" s="1"/>
  <c r="I156" i="24" s="1"/>
  <c r="I157" i="24" s="1"/>
  <c r="I158" i="24" s="1"/>
  <c r="I159" i="24" s="1"/>
  <c r="I160" i="24" s="1"/>
  <c r="I161" i="24" s="1"/>
  <c r="I162" i="24" s="1"/>
  <c r="I163" i="24" s="1"/>
  <c r="I164" i="24" s="1"/>
  <c r="I165" i="24" s="1"/>
  <c r="I166" i="24" s="1"/>
  <c r="I167" i="24" s="1"/>
  <c r="I168" i="24" s="1"/>
  <c r="I169" i="24" s="1"/>
  <c r="I170" i="24" s="1"/>
  <c r="I171" i="24" s="1"/>
  <c r="I172" i="24" s="1"/>
  <c r="I173" i="24" s="1"/>
  <c r="I174" i="24" s="1"/>
  <c r="I175" i="24" s="1"/>
  <c r="I176" i="24" s="1"/>
  <c r="I177" i="24" s="1"/>
  <c r="I178" i="24" s="1"/>
  <c r="I179" i="24" s="1"/>
  <c r="I180" i="24" s="1"/>
  <c r="I181" i="24" s="1"/>
  <c r="I182" i="24" s="1"/>
  <c r="I183" i="24" s="1"/>
  <c r="I184" i="24" s="1"/>
  <c r="I185" i="24" s="1"/>
  <c r="I186" i="24" s="1"/>
  <c r="I187" i="24" s="1"/>
  <c r="I188" i="24" s="1"/>
  <c r="I189" i="24" s="1"/>
  <c r="I190" i="24" s="1"/>
  <c r="I191" i="24" s="1"/>
  <c r="I192" i="24" s="1"/>
  <c r="I193" i="24" s="1"/>
  <c r="I194" i="24" s="1"/>
  <c r="I195" i="24" s="1"/>
  <c r="I196" i="24" s="1"/>
  <c r="I197" i="24" s="1"/>
  <c r="I198" i="24" s="1"/>
  <c r="I199" i="24" s="1"/>
  <c r="I200" i="24" s="1"/>
  <c r="I201" i="24" s="1"/>
  <c r="I202" i="24" s="1"/>
  <c r="I203" i="24" s="1"/>
  <c r="I204" i="24" s="1"/>
  <c r="I205" i="24" s="1"/>
  <c r="I206" i="24" s="1"/>
  <c r="I207" i="24" s="1"/>
  <c r="I208" i="24" s="1"/>
  <c r="I209" i="24" s="1"/>
  <c r="I210" i="24" s="1"/>
  <c r="I211" i="24" s="1"/>
  <c r="I212" i="24" s="1"/>
  <c r="I213" i="24" s="1"/>
  <c r="I214" i="24" s="1"/>
  <c r="I215" i="24" s="1"/>
  <c r="I216" i="24" s="1"/>
  <c r="I217" i="24" s="1"/>
  <c r="I218" i="24" s="1"/>
  <c r="I219" i="24" s="1"/>
  <c r="I220" i="24" s="1"/>
  <c r="I221" i="24" s="1"/>
  <c r="I222" i="24" s="1"/>
  <c r="I223" i="24" s="1"/>
  <c r="I224" i="24" s="1"/>
  <c r="I225" i="24" s="1"/>
  <c r="I226" i="24" s="1"/>
  <c r="I227" i="24" s="1"/>
  <c r="I228" i="24" s="1"/>
  <c r="I229" i="24" s="1"/>
  <c r="I230" i="24" s="1"/>
  <c r="I231" i="24" s="1"/>
  <c r="I232" i="24" s="1"/>
  <c r="I233" i="24" s="1"/>
  <c r="I234" i="24" s="1"/>
  <c r="I235" i="24" s="1"/>
  <c r="I236" i="24" s="1"/>
  <c r="I237" i="24" s="1"/>
  <c r="I238" i="24" s="1"/>
  <c r="I239" i="24" s="1"/>
  <c r="I240" i="24" s="1"/>
  <c r="I241" i="24" s="1"/>
  <c r="I242" i="24" s="1"/>
  <c r="I243" i="24" s="1"/>
  <c r="I244" i="24" s="1"/>
  <c r="I245" i="24" s="1"/>
  <c r="I246" i="24" s="1"/>
  <c r="I247" i="24" s="1"/>
  <c r="I248" i="24" s="1"/>
  <c r="I249" i="24" s="1"/>
  <c r="I250" i="24" s="1"/>
  <c r="I251" i="24" s="1"/>
  <c r="I252" i="24" s="1"/>
  <c r="I253" i="24" s="1"/>
  <c r="I254" i="24" s="1"/>
  <c r="I255" i="24" s="1"/>
  <c r="I256" i="24" s="1"/>
  <c r="I257" i="24" s="1"/>
  <c r="I258" i="24" s="1"/>
  <c r="I259" i="24" s="1"/>
  <c r="I260" i="24" s="1"/>
  <c r="I261" i="24" s="1"/>
  <c r="I262" i="24" s="1"/>
  <c r="I263" i="24" s="1"/>
  <c r="I264" i="24" s="1"/>
  <c r="I265" i="24" s="1"/>
  <c r="I266" i="24" s="1"/>
  <c r="I267" i="24" s="1"/>
  <c r="I268" i="24" s="1"/>
  <c r="I269" i="24" s="1"/>
  <c r="I270" i="24" s="1"/>
  <c r="I271" i="24" s="1"/>
  <c r="I272" i="24" s="1"/>
  <c r="I273" i="24" s="1"/>
  <c r="I274" i="24" s="1"/>
  <c r="I275" i="24" s="1"/>
  <c r="I276" i="24" s="1"/>
  <c r="I277" i="24" s="1"/>
  <c r="I278" i="24" s="1"/>
  <c r="I279" i="24" s="1"/>
  <c r="I280" i="24" s="1"/>
  <c r="I281" i="24" s="1"/>
  <c r="I282" i="24" s="1"/>
  <c r="I283" i="24" s="1"/>
  <c r="I284" i="24" s="1"/>
  <c r="I285" i="24" s="1"/>
  <c r="I286" i="24" s="1"/>
  <c r="I287" i="24" s="1"/>
  <c r="I288" i="24" s="1"/>
  <c r="I289" i="24" s="1"/>
  <c r="I290" i="24" s="1"/>
  <c r="I291" i="24" s="1"/>
  <c r="I292" i="24" s="1"/>
  <c r="I293" i="24" s="1"/>
  <c r="I294" i="24" s="1"/>
  <c r="I295" i="24" s="1"/>
  <c r="I296" i="24" s="1"/>
  <c r="I297" i="24" s="1"/>
  <c r="I298" i="24" s="1"/>
  <c r="I299" i="24" s="1"/>
  <c r="I300" i="24" s="1"/>
  <c r="I301" i="24" s="1"/>
  <c r="I302" i="24" s="1"/>
  <c r="I303" i="24" s="1"/>
  <c r="I304" i="24" s="1"/>
  <c r="I305" i="24" s="1"/>
  <c r="I306" i="24" s="1"/>
  <c r="I307" i="24" s="1"/>
  <c r="I308" i="24" s="1"/>
  <c r="I309" i="24" s="1"/>
  <c r="I310" i="24" s="1"/>
  <c r="I311" i="24" s="1"/>
  <c r="I312" i="24" s="1"/>
  <c r="I313" i="24" s="1"/>
  <c r="I314" i="24" s="1"/>
  <c r="I315" i="24" s="1"/>
  <c r="I316" i="24" s="1"/>
  <c r="I317" i="24" s="1"/>
  <c r="I318" i="24" s="1"/>
  <c r="I319" i="24" s="1"/>
  <c r="I320" i="24" s="1"/>
  <c r="I321" i="24" s="1"/>
  <c r="I322" i="24" s="1"/>
  <c r="I323" i="24" s="1"/>
  <c r="I324" i="24" s="1"/>
  <c r="I325" i="24" s="1"/>
  <c r="I326" i="24" s="1"/>
  <c r="I327" i="24" s="1"/>
  <c r="I328" i="24" s="1"/>
  <c r="I329" i="24" s="1"/>
  <c r="I330" i="24" s="1"/>
  <c r="I331" i="24" s="1"/>
  <c r="I332" i="24" s="1"/>
  <c r="I333" i="24" s="1"/>
  <c r="I334" i="24" s="1"/>
  <c r="I335" i="24" s="1"/>
  <c r="I336" i="24" s="1"/>
  <c r="I337" i="24" s="1"/>
  <c r="I338" i="24" s="1"/>
  <c r="I339" i="24" s="1"/>
  <c r="I340" i="24" s="1"/>
  <c r="I341" i="24" s="1"/>
  <c r="I342" i="24" s="1"/>
  <c r="I343" i="24" s="1"/>
  <c r="I344" i="24" s="1"/>
  <c r="I345" i="24" s="1"/>
  <c r="I346" i="24" s="1"/>
  <c r="I347" i="24" s="1"/>
  <c r="I348" i="24" s="1"/>
  <c r="I349" i="24" s="1"/>
  <c r="I350" i="24" s="1"/>
  <c r="I351" i="24" s="1"/>
  <c r="I352" i="24" s="1"/>
  <c r="I353" i="24" s="1"/>
  <c r="I354" i="24" s="1"/>
  <c r="I355" i="24" s="1"/>
  <c r="I356" i="24" s="1"/>
  <c r="I357" i="24" s="1"/>
  <c r="I358" i="24" s="1"/>
  <c r="I359" i="24" s="1"/>
  <c r="I360" i="24" s="1"/>
  <c r="I361" i="24" s="1"/>
  <c r="I362" i="24" s="1"/>
  <c r="I363" i="24" s="1"/>
  <c r="I364" i="24" s="1"/>
  <c r="I365" i="24" s="1"/>
  <c r="I366" i="24" s="1"/>
  <c r="I367" i="24" s="1"/>
  <c r="I368" i="24" s="1"/>
  <c r="I369" i="24" s="1"/>
  <c r="I370" i="24" s="1"/>
  <c r="I371" i="24" s="1"/>
  <c r="I372" i="24" s="1"/>
  <c r="I373" i="24" s="1"/>
  <c r="I374" i="24" s="1"/>
  <c r="I375" i="24" s="1"/>
  <c r="I376" i="24" s="1"/>
  <c r="I377" i="24" s="1"/>
  <c r="I378" i="24" s="1"/>
  <c r="I379" i="24" s="1"/>
  <c r="I380" i="24" s="1"/>
  <c r="I381" i="24" s="1"/>
  <c r="I382" i="24" s="1"/>
  <c r="I383" i="24" s="1"/>
  <c r="I384" i="24" s="1"/>
  <c r="I385" i="24" s="1"/>
  <c r="I386" i="24" s="1"/>
  <c r="I387" i="24" s="1"/>
  <c r="I388" i="24" s="1"/>
  <c r="I389" i="24" s="1"/>
  <c r="I390" i="24" s="1"/>
  <c r="I391" i="24" s="1"/>
  <c r="I392" i="24" s="1"/>
  <c r="I393" i="24" s="1"/>
  <c r="I394" i="24" s="1"/>
  <c r="I395" i="24" s="1"/>
  <c r="I396" i="24" s="1"/>
  <c r="I397" i="24" s="1"/>
  <c r="I398" i="24" s="1"/>
  <c r="I399" i="24" s="1"/>
  <c r="I400" i="24" s="1"/>
  <c r="I401" i="24" s="1"/>
  <c r="I402" i="24" s="1"/>
  <c r="I403" i="24" s="1"/>
  <c r="I404" i="24" s="1"/>
  <c r="I405" i="24" s="1"/>
  <c r="I406" i="24" s="1"/>
  <c r="I407" i="24" s="1"/>
  <c r="I408" i="24" s="1"/>
  <c r="I409" i="24" s="1"/>
  <c r="I410" i="24" s="1"/>
  <c r="I411" i="24" s="1"/>
  <c r="I412" i="24" s="1"/>
  <c r="I413" i="24" s="1"/>
  <c r="I414" i="24" s="1"/>
  <c r="I415" i="24" s="1"/>
  <c r="I416" i="24" s="1"/>
  <c r="I417" i="24" s="1"/>
  <c r="I418" i="24" s="1"/>
  <c r="I419" i="24" s="1"/>
  <c r="I420" i="24" s="1"/>
  <c r="I421" i="24" s="1"/>
  <c r="I422" i="24" s="1"/>
  <c r="I423" i="24" s="1"/>
  <c r="I424" i="24" s="1"/>
  <c r="I425" i="24" s="1"/>
  <c r="I426" i="24" s="1"/>
  <c r="I427" i="24" s="1"/>
  <c r="I428" i="24" s="1"/>
  <c r="I429" i="24" s="1"/>
  <c r="I430" i="24" s="1"/>
  <c r="I431" i="24" s="1"/>
  <c r="I432" i="24" s="1"/>
  <c r="I433" i="24" s="1"/>
  <c r="I434" i="24" s="1"/>
  <c r="I435" i="24" s="1"/>
  <c r="I436" i="24" s="1"/>
  <c r="I437" i="24" s="1"/>
  <c r="I438" i="24" s="1"/>
  <c r="I439" i="24" s="1"/>
  <c r="I440" i="24" s="1"/>
  <c r="I441" i="24" s="1"/>
  <c r="I442" i="24" s="1"/>
  <c r="I443" i="24" s="1"/>
  <c r="I444" i="24" s="1"/>
  <c r="I445" i="24" s="1"/>
  <c r="I446" i="24" s="1"/>
  <c r="I447" i="24" s="1"/>
  <c r="I448" i="24" s="1"/>
  <c r="I449" i="24" s="1"/>
  <c r="I450" i="24" s="1"/>
  <c r="I451" i="24" s="1"/>
  <c r="I452" i="24" s="1"/>
  <c r="I453" i="24" s="1"/>
  <c r="I454" i="24" s="1"/>
  <c r="I455" i="24" s="1"/>
  <c r="I456" i="24" s="1"/>
  <c r="I457" i="24" s="1"/>
  <c r="I458" i="24" s="1"/>
  <c r="I459" i="24" s="1"/>
  <c r="I460" i="24" s="1"/>
  <c r="I461" i="24" s="1"/>
  <c r="I462" i="24" s="1"/>
  <c r="I463" i="24" s="1"/>
  <c r="I464" i="24" s="1"/>
  <c r="I465" i="24" s="1"/>
  <c r="I466" i="24" s="1"/>
  <c r="I467" i="24" s="1"/>
  <c r="I468" i="24" s="1"/>
  <c r="I469" i="24" s="1"/>
  <c r="I470" i="24" s="1"/>
  <c r="I471" i="24" s="1"/>
  <c r="I472" i="24" s="1"/>
  <c r="I473" i="24" s="1"/>
  <c r="I474" i="24" s="1"/>
  <c r="I475" i="24" s="1"/>
  <c r="I476" i="24" s="1"/>
  <c r="I477" i="24" s="1"/>
  <c r="I478" i="24" s="1"/>
  <c r="I479" i="24" s="1"/>
  <c r="I480" i="24" s="1"/>
  <c r="I481" i="24" s="1"/>
  <c r="I482" i="24" s="1"/>
  <c r="I483" i="24" s="1"/>
  <c r="I484" i="24" s="1"/>
  <c r="I485" i="24" s="1"/>
  <c r="I486" i="24" s="1"/>
  <c r="I487" i="24" s="1"/>
  <c r="I488" i="24" s="1"/>
  <c r="I489" i="24" s="1"/>
  <c r="I490" i="24" s="1"/>
  <c r="I491" i="24" s="1"/>
  <c r="I492" i="24" s="1"/>
  <c r="I493" i="24" s="1"/>
  <c r="I494" i="24" s="1"/>
  <c r="I495" i="24" s="1"/>
  <c r="I496" i="24" s="1"/>
  <c r="I497" i="24" s="1"/>
  <c r="I498" i="24" s="1"/>
  <c r="I499" i="24" s="1"/>
  <c r="I500" i="24" s="1"/>
  <c r="I501" i="24" s="1"/>
  <c r="I502" i="24" s="1"/>
  <c r="I503" i="24" s="1"/>
  <c r="I504" i="24" s="1"/>
  <c r="I505" i="24" s="1"/>
  <c r="I506" i="24" s="1"/>
  <c r="I507" i="24" s="1"/>
  <c r="I508" i="24" s="1"/>
  <c r="I509" i="24" s="1"/>
  <c r="I510" i="24" s="1"/>
  <c r="I511" i="24" s="1"/>
  <c r="I512" i="24" s="1"/>
  <c r="I513" i="24" s="1"/>
  <c r="I514" i="24" s="1"/>
  <c r="I515" i="24" s="1"/>
  <c r="I516" i="24" s="1"/>
  <c r="I517" i="24" s="1"/>
  <c r="I518" i="24" s="1"/>
  <c r="I519" i="24" s="1"/>
  <c r="I520" i="24" s="1"/>
  <c r="I521" i="24" s="1"/>
  <c r="I522" i="24" s="1"/>
  <c r="I523" i="24" s="1"/>
  <c r="I524" i="24" s="1"/>
  <c r="I525" i="24" s="1"/>
  <c r="I526" i="24" s="1"/>
  <c r="I527" i="24" s="1"/>
  <c r="I528" i="24" s="1"/>
  <c r="I529" i="24" s="1"/>
  <c r="I530" i="24" s="1"/>
  <c r="I531" i="24" s="1"/>
  <c r="I532" i="24" s="1"/>
  <c r="I533" i="24" s="1"/>
  <c r="I534" i="24" s="1"/>
  <c r="I535" i="24" s="1"/>
  <c r="I536" i="24" s="1"/>
  <c r="I537" i="24" s="1"/>
  <c r="I538" i="24" s="1"/>
  <c r="I539" i="24" s="1"/>
  <c r="I540" i="24" s="1"/>
  <c r="I541" i="24" s="1"/>
  <c r="I542" i="24" s="1"/>
  <c r="I543" i="24" s="1"/>
  <c r="I544" i="24" s="1"/>
  <c r="I545" i="24" s="1"/>
  <c r="I546" i="24" s="1"/>
  <c r="I547" i="24" s="1"/>
  <c r="I548" i="24" s="1"/>
  <c r="I549" i="24" s="1"/>
  <c r="I550" i="24" s="1"/>
  <c r="I551" i="24" s="1"/>
  <c r="I552" i="24" s="1"/>
  <c r="I553" i="24" s="1"/>
  <c r="I554" i="24" s="1"/>
  <c r="I555" i="24" s="1"/>
  <c r="I556" i="24" s="1"/>
  <c r="I557" i="24" s="1"/>
  <c r="I558" i="24" s="1"/>
  <c r="I559" i="24" s="1"/>
  <c r="I560" i="24" s="1"/>
  <c r="I561" i="24" s="1"/>
  <c r="I562" i="24" s="1"/>
  <c r="I563" i="24" s="1"/>
  <c r="I564" i="24" s="1"/>
  <c r="I565" i="24" s="1"/>
  <c r="I566" i="24" s="1"/>
  <c r="I567" i="24" s="1"/>
  <c r="I568" i="24" s="1"/>
  <c r="I569" i="24" s="1"/>
  <c r="I570" i="24" s="1"/>
  <c r="I571" i="24" s="1"/>
  <c r="I572" i="24" s="1"/>
  <c r="I573" i="24" s="1"/>
  <c r="I574" i="24" s="1"/>
  <c r="I575" i="24" s="1"/>
  <c r="I576" i="24" s="1"/>
  <c r="I577" i="24" s="1"/>
  <c r="I578" i="24" s="1"/>
  <c r="I579" i="24" s="1"/>
  <c r="I580" i="24" s="1"/>
  <c r="I581" i="24" s="1"/>
  <c r="I582" i="24" s="1"/>
  <c r="I583" i="24" s="1"/>
  <c r="I584" i="24" s="1"/>
  <c r="I585" i="24" s="1"/>
  <c r="I586" i="24" s="1"/>
  <c r="I587" i="24" s="1"/>
  <c r="I588" i="24" s="1"/>
  <c r="I589" i="24" s="1"/>
  <c r="I590" i="24" s="1"/>
  <c r="I591" i="24" s="1"/>
  <c r="I592" i="24" s="1"/>
  <c r="I593" i="24" s="1"/>
  <c r="I594" i="24" s="1"/>
  <c r="I595" i="24" s="1"/>
  <c r="I596" i="24" s="1"/>
  <c r="I597" i="24" s="1"/>
  <c r="I598" i="24" s="1"/>
  <c r="I599" i="24" s="1"/>
  <c r="I600" i="24" s="1"/>
  <c r="I601" i="24" s="1"/>
  <c r="I602" i="24" s="1"/>
  <c r="I603" i="24" s="1"/>
  <c r="I604" i="24" s="1"/>
  <c r="I605" i="24" s="1"/>
  <c r="I606" i="24" s="1"/>
  <c r="I607" i="24" s="1"/>
  <c r="I608" i="24" s="1"/>
  <c r="I609" i="24" s="1"/>
  <c r="I610" i="24" s="1"/>
  <c r="I611" i="24" s="1"/>
  <c r="I612" i="24" s="1"/>
  <c r="I613" i="24" s="1"/>
  <c r="I614" i="24" s="1"/>
  <c r="I615" i="24" s="1"/>
  <c r="I616" i="24" s="1"/>
  <c r="I617" i="24" s="1"/>
  <c r="I618" i="24" s="1"/>
  <c r="I619" i="24" s="1"/>
  <c r="I620" i="24" s="1"/>
  <c r="I621" i="24" s="1"/>
  <c r="I622" i="24" s="1"/>
  <c r="I623" i="24" s="1"/>
  <c r="I624" i="24" s="1"/>
  <c r="I625" i="24" s="1"/>
  <c r="I626" i="24" s="1"/>
  <c r="I627" i="24" s="1"/>
  <c r="I628" i="24" s="1"/>
  <c r="I629" i="24" s="1"/>
  <c r="I630" i="24" s="1"/>
  <c r="I631" i="24" s="1"/>
  <c r="I632" i="24" s="1"/>
  <c r="I633" i="24" s="1"/>
  <c r="I634" i="24" s="1"/>
  <c r="I635" i="24" s="1"/>
  <c r="I636" i="24" s="1"/>
  <c r="I637" i="24" s="1"/>
  <c r="I638" i="24" s="1"/>
  <c r="I639" i="24" s="1"/>
  <c r="I640" i="24" s="1"/>
  <c r="I641" i="24" s="1"/>
  <c r="I642" i="24" s="1"/>
  <c r="I643" i="24" s="1"/>
  <c r="I644" i="24" s="1"/>
  <c r="I645" i="24" s="1"/>
  <c r="I646" i="24" s="1"/>
  <c r="I647" i="24" s="1"/>
  <c r="I648" i="24" s="1"/>
  <c r="I649" i="24" s="1"/>
  <c r="I650" i="24" s="1"/>
  <c r="I651" i="24" s="1"/>
  <c r="I652" i="24" s="1"/>
  <c r="I653" i="24" s="1"/>
  <c r="I654" i="24" s="1"/>
  <c r="I655" i="24" s="1"/>
  <c r="I656" i="24" s="1"/>
  <c r="I657" i="24" s="1"/>
  <c r="I658" i="24" s="1"/>
  <c r="I659" i="24" s="1"/>
  <c r="I660" i="24" s="1"/>
  <c r="I661" i="24" s="1"/>
  <c r="I662" i="24" s="1"/>
  <c r="I663" i="24" s="1"/>
  <c r="I664" i="24" s="1"/>
  <c r="I665" i="24" s="1"/>
  <c r="I666" i="24" s="1"/>
  <c r="I667" i="24" s="1"/>
  <c r="I668" i="24" s="1"/>
  <c r="I669" i="24" s="1"/>
  <c r="I670" i="24" s="1"/>
  <c r="I671" i="24" s="1"/>
  <c r="I672" i="24" s="1"/>
  <c r="I673" i="24" s="1"/>
  <c r="I674" i="24" s="1"/>
  <c r="I675" i="24" s="1"/>
  <c r="I676" i="24" s="1"/>
  <c r="I677" i="24" s="1"/>
  <c r="I678" i="24" s="1"/>
  <c r="I679" i="24" s="1"/>
  <c r="I680" i="24" s="1"/>
  <c r="I681" i="24" s="1"/>
  <c r="I682" i="24" s="1"/>
  <c r="I683" i="24" s="1"/>
  <c r="I684" i="24" s="1"/>
  <c r="I685" i="24" s="1"/>
  <c r="I686" i="24" s="1"/>
  <c r="I687" i="24" s="1"/>
  <c r="I688" i="24" s="1"/>
  <c r="I689" i="24" s="1"/>
  <c r="I690" i="24" s="1"/>
  <c r="I691" i="24" s="1"/>
  <c r="I692" i="24" s="1"/>
  <c r="I693" i="24" s="1"/>
  <c r="I694" i="24" s="1"/>
  <c r="I695" i="24" s="1"/>
  <c r="I696" i="24" s="1"/>
  <c r="I697" i="24" s="1"/>
  <c r="I698" i="24" s="1"/>
  <c r="I699" i="24" s="1"/>
  <c r="I700" i="24" s="1"/>
  <c r="I701" i="24" s="1"/>
  <c r="I702" i="24" s="1"/>
  <c r="I703" i="24" s="1"/>
  <c r="I704" i="24" s="1"/>
  <c r="I705" i="24" s="1"/>
  <c r="I706" i="24" s="1"/>
  <c r="I707" i="24" s="1"/>
  <c r="I708" i="24" s="1"/>
  <c r="I709" i="24" s="1"/>
  <c r="I710" i="24" s="1"/>
  <c r="I711" i="24" s="1"/>
  <c r="I712" i="24" s="1"/>
  <c r="I713" i="24" s="1"/>
  <c r="I714" i="24" s="1"/>
  <c r="I715" i="24" s="1"/>
  <c r="I716" i="24" s="1"/>
  <c r="I717" i="24" s="1"/>
  <c r="I718" i="24" s="1"/>
  <c r="I719" i="24" s="1"/>
  <c r="I720" i="24" s="1"/>
  <c r="I721" i="24" s="1"/>
  <c r="I722" i="24" s="1"/>
  <c r="I723" i="24" s="1"/>
  <c r="I724" i="24" s="1"/>
  <c r="I725" i="24" s="1"/>
  <c r="I726" i="24" s="1"/>
  <c r="I727" i="24" s="1"/>
  <c r="I728" i="24" s="1"/>
  <c r="I729" i="24" s="1"/>
  <c r="I730" i="24" s="1"/>
  <c r="I731" i="24" s="1"/>
  <c r="I732" i="24" s="1"/>
  <c r="I733" i="24" s="1"/>
  <c r="I734" i="24" s="1"/>
  <c r="I735" i="24" s="1"/>
  <c r="I736" i="24" s="1"/>
  <c r="I737" i="24" s="1"/>
  <c r="I738" i="24" s="1"/>
  <c r="I739" i="24" s="1"/>
  <c r="I740" i="24" s="1"/>
  <c r="I741" i="24" s="1"/>
  <c r="I742" i="24" s="1"/>
  <c r="I743" i="24" s="1"/>
  <c r="I744" i="24" s="1"/>
  <c r="I745" i="24" s="1"/>
  <c r="I746" i="24" s="1"/>
  <c r="I747" i="24" s="1"/>
  <c r="I748" i="24" s="1"/>
  <c r="I749" i="24" s="1"/>
  <c r="I750" i="24" s="1"/>
  <c r="I751" i="24" s="1"/>
  <c r="I752" i="24" s="1"/>
  <c r="I753" i="24" s="1"/>
  <c r="I754" i="24" s="1"/>
  <c r="I755" i="24" s="1"/>
  <c r="I756" i="24" s="1"/>
  <c r="I757" i="24" s="1"/>
  <c r="I758" i="24" s="1"/>
  <c r="I759" i="24" s="1"/>
  <c r="I760" i="24" s="1"/>
  <c r="I761" i="24" s="1"/>
  <c r="I762" i="24" s="1"/>
  <c r="I763" i="24" s="1"/>
  <c r="I764" i="24" s="1"/>
  <c r="I765" i="24" s="1"/>
  <c r="I766" i="24" s="1"/>
  <c r="I767" i="24" s="1"/>
  <c r="I768" i="24" s="1"/>
  <c r="I769" i="24" s="1"/>
  <c r="I770" i="24" s="1"/>
  <c r="I771" i="24" s="1"/>
  <c r="I772" i="24" s="1"/>
  <c r="I773" i="24" s="1"/>
  <c r="I774" i="24" s="1"/>
  <c r="I775" i="24" s="1"/>
  <c r="I776" i="24" s="1"/>
  <c r="I777" i="24" s="1"/>
  <c r="I778" i="24" s="1"/>
  <c r="I779" i="24" s="1"/>
  <c r="I780" i="24" s="1"/>
  <c r="I781" i="24" s="1"/>
  <c r="I782" i="24" s="1"/>
  <c r="I783" i="24" s="1"/>
  <c r="I784" i="24" s="1"/>
  <c r="I785" i="24" s="1"/>
  <c r="I786" i="24" s="1"/>
  <c r="I787" i="24" s="1"/>
  <c r="I788" i="24" s="1"/>
  <c r="I789" i="24" s="1"/>
  <c r="I790" i="24" s="1"/>
  <c r="I791" i="24" s="1"/>
  <c r="I792" i="24" s="1"/>
  <c r="I793" i="24" s="1"/>
  <c r="I794" i="24" s="1"/>
  <c r="I795" i="24" s="1"/>
  <c r="I796" i="24" s="1"/>
  <c r="I797" i="24" s="1"/>
  <c r="I798" i="24" s="1"/>
  <c r="I799" i="24" s="1"/>
  <c r="I800" i="24" s="1"/>
  <c r="I801" i="24" s="1"/>
  <c r="I802" i="24" s="1"/>
  <c r="I803" i="24" s="1"/>
  <c r="I804" i="24" s="1"/>
  <c r="I805" i="24" s="1"/>
  <c r="I806" i="24" s="1"/>
  <c r="I807" i="24" s="1"/>
  <c r="I808" i="24" s="1"/>
  <c r="I809" i="24" s="1"/>
  <c r="I810" i="24" s="1"/>
  <c r="I811" i="24" s="1"/>
  <c r="I812" i="24" s="1"/>
  <c r="I813" i="24" s="1"/>
  <c r="I814" i="24" s="1"/>
  <c r="I815" i="24" s="1"/>
  <c r="I816" i="24" s="1"/>
  <c r="I817" i="24" s="1"/>
  <c r="I818" i="24" s="1"/>
  <c r="I819" i="24" s="1"/>
  <c r="I820" i="24" s="1"/>
  <c r="I821" i="24" s="1"/>
  <c r="I822" i="24" s="1"/>
  <c r="I823" i="24" s="1"/>
  <c r="I824" i="24" s="1"/>
  <c r="I825" i="24" s="1"/>
  <c r="I826" i="24" s="1"/>
  <c r="I827" i="24" s="1"/>
  <c r="I828" i="24" s="1"/>
  <c r="I829" i="24" s="1"/>
  <c r="I830" i="24" s="1"/>
  <c r="I831" i="24" s="1"/>
  <c r="I832" i="24" s="1"/>
  <c r="I833" i="24" s="1"/>
  <c r="I834" i="24" s="1"/>
  <c r="I835" i="24" s="1"/>
  <c r="I836" i="24" s="1"/>
  <c r="I837" i="24" s="1"/>
  <c r="I838" i="24" s="1"/>
  <c r="I839" i="24" s="1"/>
  <c r="I840" i="24" s="1"/>
  <c r="I841" i="24" s="1"/>
  <c r="I842" i="24" s="1"/>
  <c r="I843" i="24" s="1"/>
  <c r="I844" i="24" s="1"/>
  <c r="I845" i="24" s="1"/>
  <c r="I846" i="24" s="1"/>
  <c r="I847" i="24" s="1"/>
  <c r="I848" i="24" s="1"/>
  <c r="I849" i="24" s="1"/>
  <c r="I850" i="24" s="1"/>
  <c r="I851" i="24" s="1"/>
  <c r="I852" i="24" s="1"/>
  <c r="I853" i="24" s="1"/>
  <c r="I854" i="24" s="1"/>
  <c r="I855" i="24" s="1"/>
  <c r="I856" i="24" s="1"/>
  <c r="I857" i="24" s="1"/>
  <c r="I858" i="24" s="1"/>
  <c r="I859" i="24" s="1"/>
  <c r="I860" i="24" s="1"/>
  <c r="I861" i="24" s="1"/>
  <c r="I862" i="24" s="1"/>
  <c r="I863" i="24" s="1"/>
  <c r="I864" i="24" s="1"/>
  <c r="I865" i="24" s="1"/>
  <c r="I866" i="24" s="1"/>
  <c r="I867" i="24" s="1"/>
  <c r="I868" i="24" s="1"/>
  <c r="I869" i="24" s="1"/>
  <c r="I870" i="24" s="1"/>
  <c r="I871" i="24" s="1"/>
  <c r="I872" i="24" s="1"/>
  <c r="I873" i="24" s="1"/>
  <c r="I874" i="24" s="1"/>
  <c r="I875" i="24" s="1"/>
  <c r="I876" i="24" s="1"/>
  <c r="I877" i="24" s="1"/>
  <c r="I878" i="24" s="1"/>
  <c r="I879" i="24" s="1"/>
  <c r="I880" i="24" s="1"/>
  <c r="I881" i="24" s="1"/>
  <c r="I882" i="24" s="1"/>
  <c r="I883" i="24" s="1"/>
  <c r="I884" i="24" s="1"/>
  <c r="I885" i="24" s="1"/>
  <c r="I886" i="24" s="1"/>
  <c r="I887" i="24" s="1"/>
  <c r="I888" i="24" s="1"/>
  <c r="I889" i="24" s="1"/>
  <c r="I890" i="24" s="1"/>
  <c r="I891" i="24" s="1"/>
  <c r="I892" i="24" s="1"/>
  <c r="I893" i="24" s="1"/>
  <c r="I894" i="24" s="1"/>
  <c r="I895" i="24" s="1"/>
  <c r="I896" i="24" s="1"/>
  <c r="I897" i="24" s="1"/>
  <c r="I898" i="24" s="1"/>
  <c r="I899" i="24" s="1"/>
  <c r="I900" i="24" s="1"/>
  <c r="I901" i="24" s="1"/>
  <c r="I902" i="24" s="1"/>
  <c r="I903" i="24" s="1"/>
  <c r="I904" i="24" s="1"/>
  <c r="I905" i="24" s="1"/>
  <c r="I906" i="24" s="1"/>
  <c r="I907" i="24" s="1"/>
  <c r="I908" i="24" s="1"/>
  <c r="I909" i="24" s="1"/>
  <c r="I910" i="24" s="1"/>
  <c r="I911" i="24" s="1"/>
  <c r="I912" i="24" s="1"/>
  <c r="I913" i="24" s="1"/>
  <c r="I914" i="24" s="1"/>
  <c r="I915" i="24" s="1"/>
  <c r="I916" i="24" s="1"/>
  <c r="I917" i="24" s="1"/>
  <c r="I918" i="24" s="1"/>
  <c r="I919" i="24" s="1"/>
  <c r="I920" i="24" s="1"/>
  <c r="I921" i="24" s="1"/>
  <c r="I922" i="24" s="1"/>
  <c r="I923" i="24" s="1"/>
  <c r="I924" i="24" s="1"/>
  <c r="I925" i="24" s="1"/>
  <c r="I926" i="24" s="1"/>
  <c r="I927" i="24" s="1"/>
  <c r="I928" i="24" s="1"/>
  <c r="I929" i="24" s="1"/>
  <c r="I930" i="24" s="1"/>
  <c r="I931" i="24" s="1"/>
  <c r="I932" i="24" s="1"/>
  <c r="I933" i="24" s="1"/>
  <c r="I934" i="24" s="1"/>
  <c r="I935" i="24" s="1"/>
  <c r="I936" i="24" s="1"/>
  <c r="I937" i="24" s="1"/>
  <c r="I938" i="24" s="1"/>
  <c r="I939" i="24" s="1"/>
  <c r="I940" i="24" s="1"/>
  <c r="I941" i="24" s="1"/>
  <c r="I942" i="24" s="1"/>
  <c r="I943" i="24" s="1"/>
  <c r="I944" i="24" s="1"/>
  <c r="I945" i="24" s="1"/>
  <c r="I946" i="24" s="1"/>
  <c r="I947" i="24" s="1"/>
  <c r="I948" i="24" s="1"/>
  <c r="I949" i="24" s="1"/>
  <c r="I950" i="24" s="1"/>
  <c r="I951" i="24" s="1"/>
  <c r="I952" i="24" s="1"/>
  <c r="I962" i="24" s="1"/>
  <c r="I963" i="24" s="1"/>
  <c r="I964" i="24" s="1"/>
  <c r="I965" i="24" s="1"/>
  <c r="I966" i="24" s="1"/>
  <c r="I967" i="24" s="1"/>
  <c r="I968" i="24" s="1"/>
  <c r="I969" i="24" s="1"/>
  <c r="I970" i="24" s="1"/>
  <c r="I971" i="24" s="1"/>
  <c r="I972" i="24" s="1"/>
  <c r="I973" i="24" s="1"/>
  <c r="I974" i="24" s="1"/>
  <c r="I975" i="24" s="1"/>
  <c r="I976" i="24" s="1"/>
  <c r="I977" i="24" s="1"/>
  <c r="I978" i="24" s="1"/>
  <c r="I979" i="24" s="1"/>
  <c r="I980" i="24" s="1"/>
  <c r="I981" i="24" s="1"/>
  <c r="I982" i="24" s="1"/>
  <c r="I983" i="24" s="1"/>
  <c r="I984" i="24" s="1"/>
  <c r="I985" i="24" s="1"/>
  <c r="I986" i="24" s="1"/>
  <c r="I987" i="24" s="1"/>
  <c r="I988" i="24" s="1"/>
  <c r="I989" i="24" s="1"/>
  <c r="I990" i="24" s="1"/>
  <c r="I991" i="24" s="1"/>
  <c r="I992" i="24" s="1"/>
  <c r="I993" i="24" s="1"/>
  <c r="I994" i="24" s="1"/>
  <c r="I995" i="24" s="1"/>
  <c r="I996" i="24" s="1"/>
  <c r="I997" i="24" s="1"/>
  <c r="I998" i="24" s="1"/>
  <c r="I999" i="24" s="1"/>
  <c r="I1000" i="24" s="1"/>
  <c r="I1001" i="24" s="1"/>
  <c r="I1002" i="24" s="1"/>
  <c r="I1003" i="24" s="1"/>
  <c r="I1004" i="24" s="1"/>
  <c r="I1005" i="24" s="1"/>
  <c r="I1006" i="24" s="1"/>
  <c r="I1007" i="24" s="1"/>
  <c r="I1008" i="24" s="1"/>
  <c r="I1009" i="24" s="1"/>
  <c r="I1010" i="24" s="1"/>
  <c r="I1011" i="24" s="1"/>
  <c r="I1012" i="24" s="1"/>
  <c r="I1013" i="24" s="1"/>
  <c r="I1014" i="24" s="1"/>
  <c r="I1015" i="24" s="1"/>
  <c r="I1016" i="24" s="1"/>
  <c r="I1017" i="24" s="1"/>
  <c r="I1018" i="24" s="1"/>
  <c r="I1019" i="24" s="1"/>
  <c r="I1020" i="24" s="1"/>
  <c r="I1021" i="24" s="1"/>
  <c r="I1022" i="24" s="1"/>
  <c r="I1023" i="24" s="1"/>
  <c r="I1024" i="24" s="1"/>
  <c r="I1025" i="24" s="1"/>
  <c r="I1026" i="24" s="1"/>
  <c r="I1027" i="24" s="1"/>
  <c r="I1028" i="24" s="1"/>
  <c r="I1029" i="24" s="1"/>
  <c r="I1030" i="24" s="1"/>
  <c r="I1031" i="24" s="1"/>
  <c r="I1032" i="24" s="1"/>
  <c r="I1033" i="24" s="1"/>
  <c r="I1034" i="24" s="1"/>
  <c r="I1035" i="24" s="1"/>
  <c r="I1036" i="24" s="1"/>
  <c r="I1037" i="24" s="1"/>
  <c r="I1038" i="24" s="1"/>
  <c r="I1039" i="24" s="1"/>
  <c r="I1040" i="24" s="1"/>
  <c r="I1041" i="24" s="1"/>
  <c r="I1042" i="24" s="1"/>
  <c r="I1043" i="24" s="1"/>
  <c r="I1044" i="24" s="1"/>
  <c r="I1045" i="24" s="1"/>
  <c r="I1046" i="24" s="1"/>
  <c r="I1047" i="24" s="1"/>
  <c r="I1048" i="24" s="1"/>
  <c r="I1049" i="24" s="1"/>
  <c r="I1050" i="24" s="1"/>
  <c r="I1051" i="24" s="1"/>
  <c r="I1052" i="24" s="1"/>
  <c r="I1053" i="24" s="1"/>
  <c r="I1054" i="24" s="1"/>
  <c r="I1055" i="24" s="1"/>
  <c r="I1056" i="24" s="1"/>
  <c r="I1057" i="24" s="1"/>
  <c r="I1058" i="24" s="1"/>
  <c r="I1059" i="24" s="1"/>
  <c r="I1060" i="24" s="1"/>
  <c r="I1061" i="24" s="1"/>
  <c r="I1062" i="24" s="1"/>
  <c r="I1063" i="24" s="1"/>
  <c r="I1064" i="24" s="1"/>
  <c r="I1065" i="24" s="1"/>
  <c r="I1066" i="24" s="1"/>
  <c r="I1067" i="24" s="1"/>
  <c r="I1068" i="24" s="1"/>
  <c r="I1069" i="24" s="1"/>
  <c r="I1070" i="24" s="1"/>
  <c r="I1071" i="24" s="1"/>
  <c r="I1072" i="24" s="1"/>
  <c r="I1073" i="24" s="1"/>
  <c r="I1074" i="24" s="1"/>
  <c r="I1075" i="24" s="1"/>
  <c r="I1076" i="24" s="1"/>
  <c r="I1077" i="24" s="1"/>
  <c r="I1078" i="24" s="1"/>
  <c r="I1079" i="24" s="1"/>
  <c r="I1080" i="24" s="1"/>
  <c r="I1081" i="24" s="1"/>
  <c r="I1082" i="24" s="1"/>
  <c r="I1083" i="24" s="1"/>
  <c r="I1084" i="24" s="1"/>
  <c r="I1085" i="24" s="1"/>
  <c r="I1086" i="24" s="1"/>
  <c r="I1087" i="24" s="1"/>
  <c r="I1088" i="24" s="1"/>
  <c r="I1089" i="24" s="1"/>
  <c r="I1090" i="24" s="1"/>
  <c r="I1091" i="24" s="1"/>
  <c r="I1092" i="24" s="1"/>
  <c r="I1093" i="24" s="1"/>
  <c r="I1094" i="24" s="1"/>
  <c r="I1095" i="24" s="1"/>
  <c r="I1096" i="24" s="1"/>
  <c r="I1097" i="24" s="1"/>
  <c r="I1098" i="24" s="1"/>
  <c r="I1099" i="24" s="1"/>
  <c r="I1100" i="24" s="1"/>
  <c r="I1101" i="24" s="1"/>
  <c r="I1102" i="24" s="1"/>
  <c r="I1103" i="24" s="1"/>
  <c r="I1104" i="24" s="1"/>
  <c r="I1105" i="24" s="1"/>
  <c r="I1106" i="24" s="1"/>
  <c r="I1107" i="24" s="1"/>
  <c r="I1108" i="24" s="1"/>
  <c r="I1109" i="24" s="1"/>
  <c r="I1110" i="24" s="1"/>
  <c r="I1111" i="24" s="1"/>
  <c r="I1112" i="24" s="1"/>
  <c r="I1113" i="24" s="1"/>
  <c r="I1114" i="24" s="1"/>
  <c r="I1115" i="24" s="1"/>
  <c r="I1116" i="24" s="1"/>
  <c r="I1117" i="24" s="1"/>
  <c r="I1118" i="24" s="1"/>
  <c r="I1119" i="24" s="1"/>
  <c r="I1120" i="24" s="1"/>
  <c r="I1121" i="24" s="1"/>
  <c r="I1122" i="24" s="1"/>
  <c r="I1123" i="24" s="1"/>
  <c r="I1124" i="24" s="1"/>
  <c r="I1125" i="24" s="1"/>
  <c r="I1126" i="24" s="1"/>
  <c r="I1127" i="24" s="1"/>
  <c r="I1128" i="24" s="1"/>
  <c r="I1129" i="24" s="1"/>
  <c r="I1130" i="24" s="1"/>
  <c r="I1131" i="24" s="1"/>
  <c r="I1132" i="24" s="1"/>
  <c r="I1133" i="24" s="1"/>
  <c r="I1134" i="24" s="1"/>
  <c r="I1135" i="24" s="1"/>
  <c r="I1136" i="24" s="1"/>
  <c r="I1137" i="24" s="1"/>
  <c r="I1138" i="24" s="1"/>
  <c r="I1139" i="24" s="1"/>
  <c r="I1140" i="24" s="1"/>
  <c r="I1141" i="24" s="1"/>
  <c r="I1142" i="24" s="1"/>
  <c r="I1143" i="24" s="1"/>
  <c r="I1144" i="24" s="1"/>
  <c r="I1145" i="24" s="1"/>
  <c r="I1146" i="24" s="1"/>
  <c r="I1147" i="24" s="1"/>
  <c r="I1148" i="24" s="1"/>
  <c r="I1149" i="24" s="1"/>
  <c r="I1150" i="24" s="1"/>
  <c r="I1151" i="24" s="1"/>
  <c r="I1152" i="24" s="1"/>
  <c r="I1153" i="24" s="1"/>
  <c r="I1154" i="24" s="1"/>
  <c r="I1155" i="24" s="1"/>
  <c r="I1156" i="24" s="1"/>
  <c r="I1157" i="24" s="1"/>
  <c r="I1158" i="24" s="1"/>
  <c r="I1159" i="24" s="1"/>
  <c r="I1160" i="24" s="1"/>
  <c r="I1161" i="24" s="1"/>
  <c r="I1162" i="24" s="1"/>
  <c r="I1163" i="24" s="1"/>
  <c r="I1164" i="24" s="1"/>
  <c r="I1165" i="24" s="1"/>
  <c r="I1166" i="24" s="1"/>
  <c r="I1167" i="24" s="1"/>
  <c r="I1168" i="24" s="1"/>
  <c r="I1169" i="24" s="1"/>
  <c r="I1170" i="24" s="1"/>
  <c r="I1171" i="24" s="1"/>
  <c r="I1172" i="24" s="1"/>
  <c r="I1173" i="24" s="1"/>
  <c r="I1174" i="24" s="1"/>
  <c r="I1175" i="24" s="1"/>
  <c r="I1176" i="24" s="1"/>
  <c r="I1177" i="24" s="1"/>
  <c r="I1178" i="24" s="1"/>
  <c r="I1179" i="24" s="1"/>
  <c r="I1180" i="24" s="1"/>
  <c r="I1181" i="24" s="1"/>
  <c r="I1182" i="24" s="1"/>
  <c r="I1183" i="24" s="1"/>
  <c r="I1184" i="24" s="1"/>
  <c r="I1185" i="24" s="1"/>
  <c r="I1186" i="24" s="1"/>
  <c r="I1187" i="24" s="1"/>
  <c r="I1188" i="24" s="1"/>
  <c r="I1189" i="24" s="1"/>
  <c r="I1190" i="24" s="1"/>
  <c r="I1191" i="24" s="1"/>
  <c r="I1192" i="24" s="1"/>
  <c r="I1193" i="24" s="1"/>
  <c r="I1194" i="24" s="1"/>
  <c r="I1195" i="24" s="1"/>
  <c r="I1196" i="24" s="1"/>
  <c r="I1197" i="24" s="1"/>
  <c r="I1198" i="24" s="1"/>
  <c r="I1199" i="24" s="1"/>
  <c r="I1200" i="24" s="1"/>
  <c r="I1201" i="24" s="1"/>
  <c r="I1202" i="24" s="1"/>
  <c r="I1203" i="24" s="1"/>
  <c r="I1204" i="24" s="1"/>
  <c r="I1205" i="24" s="1"/>
  <c r="I1206" i="24" s="1"/>
  <c r="I1207" i="24" s="1"/>
  <c r="I1208" i="24" s="1"/>
  <c r="I1209" i="24" s="1"/>
  <c r="I1210" i="24" s="1"/>
  <c r="I1211" i="24" s="1"/>
  <c r="I1212" i="24" s="1"/>
  <c r="I1213" i="24" s="1"/>
  <c r="I1214" i="24" s="1"/>
  <c r="I1215" i="24" s="1"/>
  <c r="I1216" i="24" s="1"/>
  <c r="I1217" i="24" s="1"/>
  <c r="I1218" i="24" s="1"/>
  <c r="I1219" i="24" s="1"/>
  <c r="I1220" i="24" s="1"/>
  <c r="I1221" i="24" s="1"/>
  <c r="I1222" i="24" s="1"/>
  <c r="I1223" i="24" s="1"/>
  <c r="I1224" i="24" s="1"/>
  <c r="I1225" i="24" s="1"/>
  <c r="I1226" i="24" s="1"/>
  <c r="I1227" i="24" s="1"/>
  <c r="I1228" i="24" s="1"/>
  <c r="I1229" i="24" s="1"/>
  <c r="I1230" i="24" s="1"/>
  <c r="I1231" i="24" s="1"/>
  <c r="I1232" i="24" s="1"/>
  <c r="I1233" i="24" s="1"/>
  <c r="I1234" i="24" s="1"/>
  <c r="I1235" i="24" s="1"/>
  <c r="I1236" i="24" s="1"/>
  <c r="I1237" i="24" s="1"/>
  <c r="I1238" i="24" s="1"/>
  <c r="I1239" i="24" s="1"/>
  <c r="I1240" i="24" s="1"/>
  <c r="I1241" i="24" s="1"/>
  <c r="I1242" i="24" s="1"/>
  <c r="I1243" i="24" s="1"/>
  <c r="I1244" i="24" s="1"/>
  <c r="I1245" i="24" s="1"/>
  <c r="I1246" i="24" s="1"/>
  <c r="I1247" i="24" s="1"/>
  <c r="I1248" i="24" s="1"/>
  <c r="I1249" i="24" s="1"/>
  <c r="I1250" i="24" s="1"/>
  <c r="I1251" i="24" s="1"/>
  <c r="I1252" i="24" s="1"/>
  <c r="I1253" i="24" s="1"/>
  <c r="I1254" i="24" s="1"/>
  <c r="I1255" i="24" s="1"/>
  <c r="I1256" i="24" s="1"/>
  <c r="I1257" i="24" s="1"/>
  <c r="I1258" i="24" s="1"/>
  <c r="I1259" i="24" s="1"/>
  <c r="I1260" i="24" s="1"/>
  <c r="I1261" i="24" s="1"/>
  <c r="I1262" i="24" s="1"/>
  <c r="I1263" i="24" s="1"/>
  <c r="I1264" i="24" s="1"/>
  <c r="I1265" i="24" s="1"/>
  <c r="I1266" i="24" s="1"/>
  <c r="I1267" i="24" s="1"/>
  <c r="I1268" i="24" s="1"/>
  <c r="I1269" i="24" s="1"/>
  <c r="I1270" i="24" s="1"/>
  <c r="I1271" i="24" s="1"/>
  <c r="I1272" i="24" s="1"/>
  <c r="I1273" i="24" s="1"/>
  <c r="I1274" i="24" s="1"/>
  <c r="I1275" i="24" s="1"/>
  <c r="I1276" i="24" s="1"/>
  <c r="I1277" i="24" s="1"/>
  <c r="I1278" i="24" s="1"/>
  <c r="I1279" i="24" s="1"/>
  <c r="I1280" i="24" s="1"/>
  <c r="I1281" i="24" s="1"/>
  <c r="I1282" i="24" s="1"/>
  <c r="I1283" i="24" s="1"/>
  <c r="I1284" i="24" s="1"/>
  <c r="I1285" i="24" s="1"/>
  <c r="I1286" i="24" s="1"/>
  <c r="I1287" i="24" s="1"/>
  <c r="I1288" i="24" s="1"/>
  <c r="I1289" i="24" s="1"/>
  <c r="I1290" i="24" s="1"/>
  <c r="I1291" i="24" s="1"/>
  <c r="I1292" i="24" s="1"/>
  <c r="I1293" i="24" s="1"/>
  <c r="I1294" i="24" s="1"/>
  <c r="I1295" i="24" s="1"/>
  <c r="I1296" i="24" s="1"/>
  <c r="I1297" i="24" s="1"/>
  <c r="I1298" i="24" s="1"/>
  <c r="I1299" i="24" s="1"/>
  <c r="I1300" i="24" s="1"/>
  <c r="I1301" i="24" s="1"/>
  <c r="I1302" i="24" s="1"/>
  <c r="I1303" i="24" s="1"/>
  <c r="I1304" i="24" s="1"/>
  <c r="I1305" i="24" s="1"/>
  <c r="I1306" i="24" s="1"/>
  <c r="I1307" i="24" s="1"/>
  <c r="I1308" i="24" s="1"/>
  <c r="I1309" i="24" s="1"/>
  <c r="I1310" i="24" s="1"/>
  <c r="I1311" i="24" s="1"/>
  <c r="I1312" i="24" s="1"/>
  <c r="I1313" i="24" s="1"/>
  <c r="I1314" i="24" s="1"/>
  <c r="I1315" i="24" s="1"/>
  <c r="I1316" i="24" s="1"/>
  <c r="I1317" i="24" s="1"/>
  <c r="I1318" i="24" s="1"/>
  <c r="I1319" i="24" s="1"/>
  <c r="I1320" i="24" s="1"/>
  <c r="I1321" i="24" s="1"/>
  <c r="I1322" i="24" s="1"/>
  <c r="I1323" i="24" s="1"/>
  <c r="I1324" i="24" s="1"/>
  <c r="I1325" i="24" s="1"/>
  <c r="I1326" i="24" s="1"/>
  <c r="I1327" i="24" s="1"/>
  <c r="I1328" i="24" s="1"/>
  <c r="I1329" i="24" s="1"/>
  <c r="I1330" i="24" s="1"/>
  <c r="I1331" i="24" s="1"/>
  <c r="I1332" i="24" s="1"/>
  <c r="I1333" i="24" s="1"/>
  <c r="I1334" i="24" s="1"/>
  <c r="I1335" i="24" s="1"/>
  <c r="I1336" i="24" s="1"/>
  <c r="I1337" i="24" s="1"/>
  <c r="I1338" i="24" s="1"/>
  <c r="I1339" i="24" s="1"/>
  <c r="I1340" i="24" s="1"/>
  <c r="I1341" i="24" s="1"/>
  <c r="I1342" i="24" s="1"/>
  <c r="I1343" i="24" s="1"/>
  <c r="I1344" i="24" s="1"/>
  <c r="I1345" i="24" s="1"/>
  <c r="I1346" i="24" s="1"/>
  <c r="I1347" i="24" s="1"/>
  <c r="I1348" i="24" s="1"/>
  <c r="I1349" i="24" s="1"/>
  <c r="I1350" i="24" s="1"/>
  <c r="I1351" i="24" s="1"/>
  <c r="I1352" i="24" s="1"/>
  <c r="I1353" i="24" s="1"/>
  <c r="I1354" i="24" s="1"/>
  <c r="I1355" i="24" s="1"/>
  <c r="I1356" i="24" s="1"/>
  <c r="I1357" i="24" s="1"/>
  <c r="I1358" i="24" s="1"/>
  <c r="I1359" i="24" s="1"/>
  <c r="I1360" i="24" s="1"/>
  <c r="I1361" i="24" s="1"/>
  <c r="I1362" i="24" s="1"/>
  <c r="I1363" i="24" s="1"/>
  <c r="I1364" i="24" s="1"/>
  <c r="I1365" i="24" s="1"/>
  <c r="I1366" i="24" s="1"/>
  <c r="I1367" i="24" s="1"/>
  <c r="I1368" i="24" s="1"/>
  <c r="I1369" i="24" s="1"/>
  <c r="I1370" i="24" s="1"/>
  <c r="I1371" i="24" s="1"/>
  <c r="I1372" i="24" s="1"/>
  <c r="I1373" i="24" s="1"/>
  <c r="I1374" i="24" s="1"/>
  <c r="I1375" i="24" s="1"/>
  <c r="I1376" i="24" s="1"/>
  <c r="I1377" i="24" s="1"/>
  <c r="I1378" i="24" s="1"/>
  <c r="I1379" i="24" s="1"/>
  <c r="I1380" i="24" s="1"/>
  <c r="I1381" i="24" s="1"/>
  <c r="I1382" i="24" s="1"/>
  <c r="I1383" i="24" s="1"/>
  <c r="I1384" i="24" s="1"/>
  <c r="I1385" i="24" s="1"/>
  <c r="I1386" i="24" s="1"/>
  <c r="I1387" i="24" s="1"/>
  <c r="I1388" i="24" s="1"/>
  <c r="I1389" i="24" s="1"/>
  <c r="I1390" i="24" s="1"/>
  <c r="I1391" i="24" s="1"/>
  <c r="I1392" i="24" s="1"/>
  <c r="I1393" i="24" s="1"/>
  <c r="I1394" i="24" s="1"/>
  <c r="I1395" i="24" s="1"/>
  <c r="I1396" i="24" s="1"/>
  <c r="I1397" i="24" s="1"/>
  <c r="I1398" i="24" s="1"/>
  <c r="I1399" i="24" s="1"/>
  <c r="I1400" i="24" s="1"/>
  <c r="I1401" i="24" s="1"/>
  <c r="I1402" i="24" s="1"/>
  <c r="I1403" i="24" s="1"/>
  <c r="I1404" i="24" s="1"/>
  <c r="I1405" i="24" s="1"/>
  <c r="I1406" i="24" s="1"/>
  <c r="I1407" i="24" s="1"/>
  <c r="I1408" i="24" s="1"/>
  <c r="I1409" i="24" s="1"/>
  <c r="I1410" i="24" s="1"/>
  <c r="I1411" i="24" s="1"/>
  <c r="I1412" i="24" s="1"/>
  <c r="I1413" i="24" s="1"/>
  <c r="I1414" i="24" s="1"/>
  <c r="I1415" i="24" s="1"/>
  <c r="I1416" i="24" s="1"/>
  <c r="I1417" i="24" s="1"/>
  <c r="I1418" i="24" s="1"/>
  <c r="I1419" i="24" s="1"/>
  <c r="I1420" i="24" s="1"/>
  <c r="I1421" i="24" s="1"/>
  <c r="I1422" i="24" s="1"/>
  <c r="I1423" i="24" s="1"/>
  <c r="I1424" i="24" s="1"/>
  <c r="I1425" i="24" s="1"/>
  <c r="I1426" i="24" s="1"/>
  <c r="I1427" i="24" s="1"/>
  <c r="I1428" i="24" s="1"/>
  <c r="I1429" i="24" s="1"/>
  <c r="I1430" i="24" s="1"/>
  <c r="I1431" i="24" s="1"/>
  <c r="I1432" i="24" s="1"/>
  <c r="I1433" i="24" s="1"/>
  <c r="I1434" i="24" s="1"/>
  <c r="I1435" i="24" s="1"/>
  <c r="I1436" i="24" s="1"/>
  <c r="I1437" i="24" s="1"/>
  <c r="I1438" i="24" s="1"/>
  <c r="I1439" i="24" s="1"/>
  <c r="I1440" i="24" s="1"/>
  <c r="I1441" i="24" s="1"/>
  <c r="I1442" i="24" s="1"/>
  <c r="I1443" i="24" s="1"/>
  <c r="I1444" i="24" s="1"/>
  <c r="I1445" i="24" s="1"/>
  <c r="I1446" i="24" s="1"/>
  <c r="I1447" i="24" s="1"/>
  <c r="I1448" i="24" s="1"/>
  <c r="I1449" i="24" s="1"/>
  <c r="I1450" i="24" s="1"/>
  <c r="I1451" i="24" s="1"/>
  <c r="I1452" i="24" s="1"/>
  <c r="I1453" i="24" s="1"/>
  <c r="I1454" i="24" s="1"/>
  <c r="I1455" i="24" s="1"/>
  <c r="I1456" i="24" s="1"/>
  <c r="I1457" i="24" s="1"/>
  <c r="I1458" i="24" s="1"/>
  <c r="I1459" i="24" s="1"/>
  <c r="I1461" i="24" s="1"/>
  <c r="I1462" i="24" s="1"/>
  <c r="I1463" i="24" s="1"/>
  <c r="I1464" i="24" s="1"/>
  <c r="I1465" i="24" s="1"/>
  <c r="I1466" i="24" s="1"/>
  <c r="I1467" i="24" s="1"/>
  <c r="I1468" i="24" s="1"/>
  <c r="I1469" i="24" s="1"/>
  <c r="I1470" i="24" s="1"/>
  <c r="I1471" i="24" s="1"/>
  <c r="I1472" i="24" s="1"/>
  <c r="I1473" i="24" s="1"/>
  <c r="I1474" i="24" s="1"/>
  <c r="I1475" i="24" s="1"/>
  <c r="I1476" i="24" s="1"/>
  <c r="I1477" i="24" s="1"/>
  <c r="I1478" i="24" s="1"/>
  <c r="I1479" i="24" s="1"/>
  <c r="I1480" i="24" s="1"/>
  <c r="I1481" i="24" s="1"/>
  <c r="I1482" i="24" s="1"/>
  <c r="I1483" i="24" s="1"/>
  <c r="I1484" i="24" s="1"/>
  <c r="I1485" i="24" s="1"/>
  <c r="I1486" i="24" s="1"/>
  <c r="I1487" i="24" s="1"/>
  <c r="I1488" i="24" s="1"/>
  <c r="I1489" i="24" s="1"/>
  <c r="I1490" i="24" s="1"/>
  <c r="I1491" i="24" s="1"/>
  <c r="I1492" i="24" s="1"/>
  <c r="I1493" i="24" s="1"/>
  <c r="I1494" i="24" s="1"/>
  <c r="I1495" i="24" s="1"/>
  <c r="I1496" i="24" s="1"/>
  <c r="I1497" i="24" s="1"/>
  <c r="I1498" i="24" s="1"/>
  <c r="I1499" i="24" s="1"/>
  <c r="I1500" i="24" s="1"/>
  <c r="I1501" i="24" s="1"/>
  <c r="I1502" i="24" s="1"/>
  <c r="I1503" i="24" s="1"/>
  <c r="I1504" i="24" s="1"/>
  <c r="I1505" i="24" s="1"/>
  <c r="I1506" i="24" s="1"/>
  <c r="I1507" i="24" s="1"/>
  <c r="I1508" i="24" s="1"/>
  <c r="I1509" i="24" s="1"/>
  <c r="I1510" i="24" s="1"/>
  <c r="I1511" i="24" s="1"/>
  <c r="I1512" i="24" s="1"/>
  <c r="I1513" i="24" s="1"/>
  <c r="I1514" i="24" s="1"/>
  <c r="I1515" i="24" s="1"/>
  <c r="I1516" i="24" s="1"/>
  <c r="I1517" i="24" s="1"/>
  <c r="I1518" i="24" s="1"/>
  <c r="I1519" i="24" s="1"/>
  <c r="I1520" i="24" s="1"/>
  <c r="I1521" i="24" s="1"/>
  <c r="I1522" i="24" s="1"/>
  <c r="I1523" i="24" s="1"/>
  <c r="I1524" i="24" s="1"/>
  <c r="I1525" i="24" s="1"/>
  <c r="I1526" i="24" s="1"/>
  <c r="I1527" i="24" s="1"/>
  <c r="I1528" i="24" s="1"/>
  <c r="I1529" i="24" s="1"/>
  <c r="I1530" i="24" s="1"/>
  <c r="I1531" i="24" s="1"/>
  <c r="I1532" i="24" s="1"/>
  <c r="I1533" i="24" s="1"/>
  <c r="I1534" i="24" s="1"/>
  <c r="I1535" i="24" s="1"/>
  <c r="I1536" i="24" s="1"/>
  <c r="I1537" i="24" s="1"/>
  <c r="I1538" i="24" s="1"/>
  <c r="I1539" i="24" s="1"/>
  <c r="I1540" i="24" s="1"/>
  <c r="I1541" i="24" s="1"/>
  <c r="I1542" i="24" s="1"/>
  <c r="I1543" i="24" s="1"/>
  <c r="I1544" i="24" s="1"/>
  <c r="I1545" i="24" s="1"/>
  <c r="I1546" i="24" s="1"/>
  <c r="I1547" i="24" s="1"/>
  <c r="I1548" i="24" s="1"/>
  <c r="I1549" i="24" s="1"/>
  <c r="I1550" i="24" s="1"/>
  <c r="I1551" i="24" s="1"/>
  <c r="I1552" i="24" s="1"/>
  <c r="I1553" i="24" s="1"/>
  <c r="I1554" i="24" s="1"/>
  <c r="I1555" i="24" s="1"/>
  <c r="I1556" i="24" s="1"/>
  <c r="I1557" i="24" s="1"/>
  <c r="I1558" i="24" s="1"/>
  <c r="I1559" i="24" s="1"/>
  <c r="I1560" i="24" s="1"/>
  <c r="I1561" i="24" s="1"/>
  <c r="I1562" i="24" s="1"/>
  <c r="I1563" i="24" s="1"/>
  <c r="I1564" i="24" s="1"/>
  <c r="I1565" i="24" s="1"/>
  <c r="I1566" i="24" s="1"/>
  <c r="I1567" i="24" s="1"/>
  <c r="I1568" i="24" s="1"/>
  <c r="I1569" i="24" s="1"/>
  <c r="I1570" i="24" s="1"/>
  <c r="I1571" i="24" s="1"/>
  <c r="I1572" i="24" s="1"/>
  <c r="I1573" i="24" s="1"/>
  <c r="I1574" i="24" s="1"/>
  <c r="I1575" i="24" s="1"/>
  <c r="I1576" i="24" s="1"/>
  <c r="I1577" i="24" s="1"/>
  <c r="I1578" i="24" s="1"/>
  <c r="I1579" i="24" s="1"/>
  <c r="I1580" i="24" s="1"/>
  <c r="I1581" i="24" s="1"/>
  <c r="I1582" i="24" s="1"/>
  <c r="I1583" i="24" s="1"/>
  <c r="I1584" i="24" s="1"/>
  <c r="I1585" i="24" s="1"/>
  <c r="I1586" i="24" s="1"/>
  <c r="I1587" i="24" s="1"/>
  <c r="I1588" i="24" s="1"/>
  <c r="I1589" i="24" s="1"/>
  <c r="I1590" i="24" s="1"/>
  <c r="I1591" i="24" s="1"/>
  <c r="I1592" i="24" s="1"/>
  <c r="I1593" i="24" s="1"/>
  <c r="I1594" i="24" s="1"/>
  <c r="I1595" i="24" s="1"/>
  <c r="I1596" i="24" s="1"/>
  <c r="I1597" i="24" s="1"/>
  <c r="I1598" i="24" s="1"/>
  <c r="I1599" i="24" s="1"/>
  <c r="I1600" i="24" s="1"/>
  <c r="I1601" i="24" s="1"/>
  <c r="I1602" i="24" s="1"/>
  <c r="I1603" i="24" s="1"/>
  <c r="I1604" i="24" s="1"/>
  <c r="I1605" i="24" s="1"/>
  <c r="I1606" i="24" s="1"/>
  <c r="I1607" i="24" s="1"/>
  <c r="I1608" i="24" s="1"/>
  <c r="I1609" i="24" s="1"/>
  <c r="I1610" i="24" s="1"/>
  <c r="I1611" i="24" s="1"/>
  <c r="I1612" i="24" s="1"/>
  <c r="I1613" i="24" s="1"/>
  <c r="I1614" i="24" s="1"/>
  <c r="I1615" i="24" s="1"/>
  <c r="I1616" i="24" s="1"/>
  <c r="I1617" i="24" s="1"/>
  <c r="I1618" i="24" s="1"/>
  <c r="I1619" i="24" s="1"/>
  <c r="I1620" i="24" s="1"/>
  <c r="I1621" i="24" s="1"/>
  <c r="I1622" i="24" s="1"/>
  <c r="I1623" i="24" s="1"/>
  <c r="I1624" i="24" s="1"/>
  <c r="I1625" i="24" s="1"/>
  <c r="I1626" i="24" s="1"/>
  <c r="I1627" i="24" s="1"/>
  <c r="I1628" i="24" s="1"/>
  <c r="I1629" i="24" s="1"/>
  <c r="I1630" i="24" s="1"/>
  <c r="I1631" i="24" s="1"/>
  <c r="I1632" i="24" s="1"/>
  <c r="I1633" i="24" s="1"/>
  <c r="I1634" i="24" s="1"/>
  <c r="I1635" i="24" s="1"/>
  <c r="I1636" i="24" s="1"/>
  <c r="I1637" i="24" s="1"/>
  <c r="I1638" i="24" s="1"/>
  <c r="I1639" i="24" s="1"/>
  <c r="I1640" i="24" s="1"/>
  <c r="I1641" i="24" s="1"/>
  <c r="I1642" i="24" s="1"/>
  <c r="I1643" i="24" s="1"/>
  <c r="I1644" i="24" s="1"/>
  <c r="I1645" i="24" s="1"/>
  <c r="I1646" i="24" s="1"/>
  <c r="I1647" i="24" s="1"/>
  <c r="I1648" i="24" s="1"/>
  <c r="I1649" i="24" s="1"/>
  <c r="I1650" i="24" s="1"/>
  <c r="I1651" i="24" s="1"/>
  <c r="I1652" i="24" s="1"/>
  <c r="I1653" i="24" s="1"/>
  <c r="I1654" i="24" s="1"/>
  <c r="I1655" i="24" s="1"/>
  <c r="I1656" i="24" s="1"/>
  <c r="I1657" i="24" s="1"/>
  <c r="I1658" i="24" s="1"/>
  <c r="I1659" i="24" s="1"/>
  <c r="I1660" i="24" s="1"/>
  <c r="I1661" i="24" s="1"/>
  <c r="I1662" i="24" s="1"/>
  <c r="I1663" i="24" s="1"/>
  <c r="I1664" i="24" s="1"/>
  <c r="I1665" i="24" s="1"/>
  <c r="I1666" i="24" s="1"/>
  <c r="I1667" i="24" s="1"/>
  <c r="I1668" i="24" s="1"/>
  <c r="I1669" i="24" s="1"/>
  <c r="I1670" i="24" s="1"/>
  <c r="I1671" i="24" s="1"/>
  <c r="I1672" i="24" s="1"/>
  <c r="I1673" i="24" s="1"/>
  <c r="I1674" i="24" s="1"/>
  <c r="I1675" i="24" s="1"/>
  <c r="I1676" i="24" s="1"/>
  <c r="I1677" i="24" s="1"/>
  <c r="I1678" i="24" s="1"/>
  <c r="I1679" i="24" s="1"/>
  <c r="I1680" i="24" s="1"/>
  <c r="I1681" i="24" s="1"/>
  <c r="I1682" i="24" s="1"/>
  <c r="I1683" i="24" s="1"/>
  <c r="I1684" i="24" s="1"/>
  <c r="I1685" i="24" s="1"/>
  <c r="I1686" i="24" s="1"/>
  <c r="I1687" i="24" s="1"/>
  <c r="I1688" i="24" s="1"/>
  <c r="I1689" i="24" s="1"/>
  <c r="I1690" i="24" s="1"/>
  <c r="I1691" i="24" s="1"/>
  <c r="I1692" i="24" s="1"/>
  <c r="I1693" i="24" s="1"/>
  <c r="I1694" i="24" s="1"/>
  <c r="I1695" i="24" s="1"/>
  <c r="I1696" i="24" s="1"/>
  <c r="I1697" i="24" s="1"/>
  <c r="I1698" i="24" s="1"/>
  <c r="I1699" i="24" s="1"/>
  <c r="I1700" i="24" s="1"/>
  <c r="I1701" i="24" s="1"/>
  <c r="I1702" i="24" s="1"/>
  <c r="I1703" i="24" s="1"/>
  <c r="I1704" i="24" s="1"/>
  <c r="I1705" i="24" s="1"/>
  <c r="I1706" i="24" s="1"/>
  <c r="I1707" i="24" s="1"/>
  <c r="I1708" i="24" s="1"/>
  <c r="I1709" i="24" s="1"/>
  <c r="I1710" i="24" s="1"/>
  <c r="I1711" i="24" s="1"/>
  <c r="I1712" i="24" s="1"/>
  <c r="I1713" i="24" s="1"/>
  <c r="D4" i="36"/>
  <c r="O36" i="27"/>
  <c r="O29" i="27"/>
  <c r="V15" i="27"/>
  <c r="V13" i="27"/>
  <c r="O22" i="27"/>
  <c r="C54" i="80"/>
  <c r="C27" i="80"/>
  <c r="C220" i="80"/>
  <c r="N5" i="27"/>
  <c r="W13" i="27"/>
  <c r="U13" i="27"/>
  <c r="O16" i="27"/>
  <c r="W16" i="27"/>
  <c r="U16" i="27"/>
  <c r="W10" i="27"/>
  <c r="U10" i="27"/>
  <c r="W12" i="27"/>
  <c r="U12" i="27"/>
  <c r="U11" i="27"/>
  <c r="W11" i="27"/>
  <c r="U15" i="27"/>
  <c r="W15" i="27"/>
  <c r="O11" i="27"/>
  <c r="O39" i="7"/>
  <c r="O38" i="7"/>
  <c r="U14" i="27"/>
  <c r="W14" i="27"/>
  <c r="N5" i="7"/>
  <c r="O34" i="7"/>
  <c r="O33" i="7"/>
  <c r="O32" i="7"/>
  <c r="O31" i="7"/>
  <c r="V16" i="7"/>
  <c r="V15" i="7"/>
  <c r="O30" i="7"/>
  <c r="O27" i="7"/>
  <c r="O26" i="7"/>
  <c r="O22" i="7"/>
  <c r="C192" i="80"/>
  <c r="O21" i="7"/>
  <c r="W14" i="7"/>
  <c r="U14" i="7"/>
  <c r="O20" i="7"/>
  <c r="O19" i="7"/>
  <c r="U12" i="7"/>
  <c r="O18" i="7"/>
  <c r="O17" i="7"/>
  <c r="U16" i="7"/>
  <c r="W16" i="7"/>
  <c r="D10" i="37"/>
  <c r="O14" i="7"/>
  <c r="U15" i="7"/>
  <c r="W15" i="7"/>
  <c r="U13" i="7"/>
  <c r="O12" i="7"/>
  <c r="W13" i="7"/>
  <c r="U11" i="7"/>
  <c r="O10" i="7"/>
  <c r="W11" i="7"/>
  <c r="W12" i="7"/>
  <c r="O11" i="7"/>
  <c r="E1" i="36"/>
  <c r="V13" i="6"/>
  <c r="V11" i="6"/>
  <c r="V16" i="6"/>
  <c r="O29" i="6"/>
  <c r="V10" i="6"/>
  <c r="W13" i="6"/>
  <c r="O21" i="6"/>
  <c r="C164" i="80"/>
  <c r="D35" i="37"/>
  <c r="U11" i="6"/>
  <c r="W11" i="6"/>
  <c r="O17" i="6"/>
  <c r="U16" i="6"/>
  <c r="W16" i="6"/>
  <c r="D9" i="37"/>
  <c r="W15" i="6"/>
  <c r="U15" i="6"/>
  <c r="O16" i="6"/>
  <c r="V15" i="6"/>
  <c r="W14" i="6"/>
  <c r="U14" i="6"/>
  <c r="O15" i="6"/>
  <c r="V14" i="6"/>
  <c r="U13" i="6"/>
  <c r="V12" i="6"/>
  <c r="W12" i="6"/>
  <c r="U12" i="6"/>
  <c r="N5" i="6"/>
  <c r="W10" i="6"/>
  <c r="U10" i="6"/>
  <c r="N3" i="6"/>
  <c r="O11" i="6"/>
  <c r="N4" i="6"/>
  <c r="O10" i="6"/>
  <c r="O39" i="5"/>
  <c r="O38" i="5"/>
  <c r="V13" i="5"/>
  <c r="O33" i="5"/>
  <c r="O34" i="5"/>
  <c r="U10" i="5"/>
  <c r="O31" i="5"/>
  <c r="O30" i="5"/>
  <c r="O29" i="5"/>
  <c r="F1" i="36"/>
  <c r="O26" i="5"/>
  <c r="V15" i="5"/>
  <c r="O25" i="5"/>
  <c r="V14" i="5"/>
  <c r="O23" i="5"/>
  <c r="W12" i="5"/>
  <c r="U12" i="5"/>
  <c r="C137" i="80"/>
  <c r="W16" i="5"/>
  <c r="O20" i="5"/>
  <c r="U16" i="5"/>
  <c r="V16" i="5"/>
  <c r="O18" i="5"/>
  <c r="W10" i="5"/>
  <c r="O14" i="5"/>
  <c r="W11" i="5"/>
  <c r="U11" i="5"/>
  <c r="O15" i="5"/>
  <c r="O16" i="5"/>
  <c r="N5" i="5"/>
  <c r="U15" i="5"/>
  <c r="W15" i="5"/>
  <c r="N3" i="5"/>
  <c r="N4" i="5"/>
  <c r="U13" i="5"/>
  <c r="O10" i="5"/>
  <c r="W13" i="5"/>
  <c r="O39" i="4"/>
  <c r="O30" i="4"/>
  <c r="V12" i="4"/>
  <c r="O22" i="4"/>
  <c r="V15" i="4"/>
  <c r="O20" i="4"/>
  <c r="W12" i="4"/>
  <c r="O18" i="4"/>
  <c r="C109" i="80"/>
  <c r="W10" i="4"/>
  <c r="U10" i="4"/>
  <c r="O14" i="4"/>
  <c r="N5" i="4"/>
  <c r="W14" i="4"/>
  <c r="V14" i="4"/>
  <c r="U14" i="4"/>
  <c r="U12" i="4"/>
  <c r="O11" i="4"/>
  <c r="W11" i="4"/>
  <c r="O10" i="4"/>
  <c r="U11" i="4"/>
  <c r="O39" i="3"/>
  <c r="V13" i="3"/>
  <c r="W13" i="3"/>
  <c r="V12" i="3"/>
  <c r="W12" i="3"/>
  <c r="U12" i="3"/>
  <c r="F35" i="37"/>
  <c r="U14" i="3"/>
  <c r="W11" i="3"/>
  <c r="O35" i="3"/>
  <c r="V11" i="3"/>
  <c r="U11" i="3"/>
  <c r="W10" i="3"/>
  <c r="U10" i="3"/>
  <c r="Q2" i="2"/>
  <c r="Q2" i="3" s="1"/>
  <c r="Q2" i="4" s="1"/>
  <c r="Q2" i="5" s="1"/>
  <c r="Q2" i="6" s="1"/>
  <c r="O32" i="3"/>
  <c r="U15" i="3"/>
  <c r="W15" i="3"/>
  <c r="D80" i="80" l="1"/>
  <c r="C82" i="80" s="1"/>
  <c r="G5" i="12"/>
  <c r="N4" i="12" s="1"/>
  <c r="W14" i="11"/>
  <c r="U14" i="11"/>
  <c r="O23" i="11"/>
  <c r="O15" i="11"/>
  <c r="O14" i="11"/>
  <c r="O13" i="11"/>
  <c r="U11" i="11"/>
  <c r="O12" i="11"/>
  <c r="U16" i="11"/>
  <c r="O11" i="11"/>
  <c r="W15" i="11"/>
  <c r="I1589" i="36"/>
  <c r="I1590" i="36" s="1"/>
  <c r="I1591" i="36" s="1"/>
  <c r="I1592" i="36" s="1"/>
  <c r="I1593" i="36" s="1"/>
  <c r="I1594" i="36" s="1"/>
  <c r="I1595" i="36" s="1"/>
  <c r="I1596" i="36" s="1"/>
  <c r="I1597" i="36" s="1"/>
  <c r="I1598" i="36" s="1"/>
  <c r="I1599" i="36" s="1"/>
  <c r="I1600" i="36" s="1"/>
  <c r="I1601" i="36" s="1"/>
  <c r="I1602" i="36" s="1"/>
  <c r="I1603" i="36" s="1"/>
  <c r="I1604" i="36" s="1"/>
  <c r="I1605" i="36" s="1"/>
  <c r="I1606" i="36" s="1"/>
  <c r="I1607" i="36" s="1"/>
  <c r="I1608" i="36" s="1"/>
  <c r="I1609" i="36" s="1"/>
  <c r="I1610" i="36" s="1"/>
  <c r="I1611" i="36" s="1"/>
  <c r="I1612" i="36" s="1"/>
  <c r="I1613" i="36" s="1"/>
  <c r="I1614" i="36" s="1"/>
  <c r="I1615" i="36" s="1"/>
  <c r="I1616" i="36" s="1"/>
  <c r="I1617" i="36" s="1"/>
  <c r="I1618" i="36" s="1"/>
  <c r="I1619" i="36" s="1"/>
  <c r="I1620" i="36" s="1"/>
  <c r="I1621" i="36" s="1"/>
  <c r="I1622" i="36" s="1"/>
  <c r="I1623" i="36" s="1"/>
  <c r="I1624" i="36" s="1"/>
  <c r="I1625" i="36" s="1"/>
  <c r="I1626" i="36" s="1"/>
  <c r="I1627" i="36" s="1"/>
  <c r="I1628" i="36" s="1"/>
  <c r="I1629" i="36" s="1"/>
  <c r="I1630" i="36" s="1"/>
  <c r="I1631" i="36" s="1"/>
  <c r="I1632" i="36" s="1"/>
  <c r="I1633" i="36" s="1"/>
  <c r="I1634" i="36" s="1"/>
  <c r="I1635" i="36" s="1"/>
  <c r="I1636" i="36" s="1"/>
  <c r="I1637" i="36" s="1"/>
  <c r="I1638" i="36" s="1"/>
  <c r="I1639" i="36" s="1"/>
  <c r="I1640" i="36" s="1"/>
  <c r="I1641" i="36" s="1"/>
  <c r="I1642" i="36" s="1"/>
  <c r="I1643" i="36" s="1"/>
  <c r="I1644" i="36" s="1"/>
  <c r="I1645" i="36" s="1"/>
  <c r="I1646" i="36" s="1"/>
  <c r="I1647" i="36" s="1"/>
  <c r="I1648" i="36" s="1"/>
  <c r="I1649" i="36" s="1"/>
  <c r="I1650" i="36" s="1"/>
  <c r="I1651" i="36" s="1"/>
  <c r="I1652" i="36" s="1"/>
  <c r="I1653" i="36" s="1"/>
  <c r="I1654" i="36" s="1"/>
  <c r="I1655" i="36" s="1"/>
  <c r="I1656" i="36" s="1"/>
  <c r="I1657" i="36" s="1"/>
  <c r="I1658" i="36" s="1"/>
  <c r="I1659" i="36" s="1"/>
  <c r="I1660" i="36" s="1"/>
  <c r="I1661" i="36" s="1"/>
  <c r="I1662" i="36" s="1"/>
  <c r="I1663" i="36" s="1"/>
  <c r="I1664" i="36" s="1"/>
  <c r="I1665" i="36" s="1"/>
  <c r="I1666" i="36" s="1"/>
  <c r="I1667" i="36" s="1"/>
  <c r="I1668" i="36" s="1"/>
  <c r="I1669" i="36" s="1"/>
  <c r="I1670" i="36" s="1"/>
  <c r="I1671" i="36" s="1"/>
  <c r="I1672" i="36" s="1"/>
  <c r="I1673" i="36" s="1"/>
  <c r="I1674" i="36" s="1"/>
  <c r="I1675" i="36" s="1"/>
  <c r="I1676" i="36" s="1"/>
  <c r="I1677" i="36" s="1"/>
  <c r="I1678" i="36" s="1"/>
  <c r="I1679" i="36" s="1"/>
  <c r="I1680" i="36" s="1"/>
  <c r="I1681" i="36" s="1"/>
  <c r="I1682" i="36" s="1"/>
  <c r="I1683" i="36" s="1"/>
  <c r="I1684" i="36" s="1"/>
  <c r="I1685" i="36" s="1"/>
  <c r="I1686" i="36" s="1"/>
  <c r="I1687" i="36" s="1"/>
  <c r="I1688" i="36" s="1"/>
  <c r="I1689" i="36" s="1"/>
  <c r="I1690" i="36" s="1"/>
  <c r="I1691" i="36" s="1"/>
  <c r="I1692" i="36" s="1"/>
  <c r="I1693" i="36" s="1"/>
  <c r="I1694" i="36" s="1"/>
  <c r="I1695" i="36" s="1"/>
  <c r="I1696" i="36" s="1"/>
  <c r="I1697" i="36" s="1"/>
  <c r="I1698" i="36" s="1"/>
  <c r="I1699" i="36" s="1"/>
  <c r="I1700" i="36" s="1"/>
  <c r="I1701" i="36" s="1"/>
  <c r="I1702" i="36" s="1"/>
  <c r="I1703" i="36" s="1"/>
  <c r="I1704" i="36" s="1"/>
  <c r="I1705" i="36" s="1"/>
  <c r="I1706" i="36" s="1"/>
  <c r="I1707" i="36" s="1"/>
  <c r="I1708" i="36" s="1"/>
  <c r="I1709" i="36" s="1"/>
  <c r="I1588" i="36"/>
  <c r="I1714" i="24"/>
  <c r="I1715" i="24" s="1"/>
  <c r="I1716" i="24" s="1"/>
  <c r="I1717" i="24" s="1"/>
  <c r="I1718" i="24" s="1"/>
  <c r="I1719" i="24" s="1"/>
  <c r="I1720" i="24" s="1"/>
  <c r="I1721" i="24" s="1"/>
  <c r="I1722" i="24" s="1"/>
  <c r="I1723" i="24" s="1"/>
  <c r="I1724" i="24" s="1"/>
  <c r="I1725" i="24" s="1"/>
  <c r="I1726" i="24" s="1"/>
  <c r="I1727" i="24" s="1"/>
  <c r="I1728" i="24" s="1"/>
  <c r="I1729" i="24" s="1"/>
  <c r="I1730" i="24" s="1"/>
  <c r="I1731" i="24" s="1"/>
  <c r="I1732" i="24" s="1"/>
  <c r="I1733" i="24" s="1"/>
  <c r="I1734" i="24" s="1"/>
  <c r="I1735" i="24" s="1"/>
  <c r="I1736" i="24" s="1"/>
  <c r="I1737" i="24" s="1"/>
  <c r="I1738" i="24" s="1"/>
  <c r="I1739" i="24" s="1"/>
  <c r="I1740" i="24" s="1"/>
  <c r="I1741" i="24" s="1"/>
  <c r="I1742" i="24" s="1"/>
  <c r="I1743" i="24" s="1"/>
  <c r="I1744" i="24" s="1"/>
  <c r="I1745" i="24" s="1"/>
  <c r="I1746" i="24" s="1"/>
  <c r="I1747" i="24" s="1"/>
  <c r="I1748" i="24" s="1"/>
  <c r="I1749" i="24" s="1"/>
  <c r="I1750" i="24" s="1"/>
  <c r="I1751" i="24" s="1"/>
  <c r="I1752" i="24" s="1"/>
  <c r="I1753" i="24" s="1"/>
  <c r="I1754" i="24" s="1"/>
  <c r="I1755" i="24" s="1"/>
  <c r="I1756" i="24" s="1"/>
  <c r="I1757" i="24" s="1"/>
  <c r="I1758" i="24" s="1"/>
  <c r="I1759" i="24" s="1"/>
  <c r="I1760" i="24" s="1"/>
  <c r="I1761" i="24" s="1"/>
  <c r="I1762" i="24" s="1"/>
  <c r="I1763" i="24" s="1"/>
  <c r="I1764" i="24" s="1"/>
  <c r="I1765" i="24" s="1"/>
  <c r="I1766" i="24" s="1"/>
  <c r="I1767" i="24" s="1"/>
  <c r="I1768" i="24" s="1"/>
  <c r="I1769" i="24" s="1"/>
  <c r="I1770" i="24" s="1"/>
  <c r="I1771" i="24" s="1"/>
  <c r="I1772" i="24" s="1"/>
  <c r="I1773" i="24" s="1"/>
  <c r="I1774" i="24" s="1"/>
  <c r="I1775" i="24" s="1"/>
  <c r="I1776" i="24" s="1"/>
  <c r="I1777" i="24" s="1"/>
  <c r="I1778" i="24" s="1"/>
  <c r="I1779" i="24" s="1"/>
  <c r="I1780" i="24" s="1"/>
  <c r="I1781" i="24" s="1"/>
  <c r="I1782" i="24" s="1"/>
  <c r="I1783" i="24" s="1"/>
  <c r="I1784" i="24" s="1"/>
  <c r="I1785" i="24" s="1"/>
  <c r="I1786" i="24" s="1"/>
  <c r="I1787" i="24" s="1"/>
  <c r="I1788" i="24" s="1"/>
  <c r="I1789" i="24" s="1"/>
  <c r="I1790" i="24" s="1"/>
  <c r="I1791" i="24" s="1"/>
  <c r="I1792" i="24" s="1"/>
  <c r="I1793" i="24" s="1"/>
  <c r="I1794" i="24" s="1"/>
  <c r="I1795" i="24" s="1"/>
  <c r="I1796" i="24" s="1"/>
  <c r="I1797" i="24" s="1"/>
  <c r="I1798" i="24" s="1"/>
  <c r="I1799" i="24" s="1"/>
  <c r="I1800" i="24" s="1"/>
  <c r="I1801" i="24" s="1"/>
  <c r="I1802" i="24" s="1"/>
  <c r="I1803" i="24" s="1"/>
  <c r="I1804" i="24" s="1"/>
  <c r="I1805" i="24" s="1"/>
  <c r="I1806" i="24" s="1"/>
  <c r="I1807" i="24" s="1"/>
  <c r="I1808" i="24" s="1"/>
  <c r="I1809" i="24" s="1"/>
  <c r="I1810" i="24" s="1"/>
  <c r="I1811" i="24" s="1"/>
  <c r="I1812" i="24" s="1"/>
  <c r="I1813" i="24" s="1"/>
  <c r="I1814" i="24" s="1"/>
  <c r="I1815" i="24" s="1"/>
  <c r="I1816" i="24" s="1"/>
  <c r="I1817" i="24" s="1"/>
  <c r="I1818" i="24" s="1"/>
  <c r="I1819" i="24" s="1"/>
  <c r="I1820" i="24" s="1"/>
  <c r="I1821" i="24" s="1"/>
  <c r="I1822" i="24" s="1"/>
  <c r="I1823" i="24" s="1"/>
  <c r="I1824" i="24" s="1"/>
  <c r="I1825" i="24" s="1"/>
  <c r="I1826" i="24" s="1"/>
  <c r="I1827" i="24" s="1"/>
  <c r="I1828" i="24" s="1"/>
  <c r="I1829" i="24" s="1"/>
  <c r="I1830" i="24" s="1"/>
  <c r="I1831" i="24" s="1"/>
  <c r="I1832" i="24" s="1"/>
  <c r="I1833" i="24" s="1"/>
  <c r="I1834" i="24" s="1"/>
  <c r="I1835" i="24" s="1"/>
  <c r="I1836" i="24" s="1"/>
  <c r="I1837" i="24" s="1"/>
  <c r="I1838" i="24" s="1"/>
  <c r="I1839" i="24" s="1"/>
  <c r="I1840" i="24" s="1"/>
  <c r="I1841" i="24" s="1"/>
  <c r="I1842" i="24" s="1"/>
  <c r="I1843" i="24" s="1"/>
  <c r="I1844" i="24" s="1"/>
  <c r="I1845" i="24" s="1"/>
  <c r="I1846" i="24" s="1"/>
  <c r="I1847" i="24" s="1"/>
  <c r="I1848" i="24" s="1"/>
  <c r="I1849" i="24" s="1"/>
  <c r="I1850" i="24" s="1"/>
  <c r="I1851" i="24" s="1"/>
  <c r="I1852" i="24" s="1"/>
  <c r="I1853" i="24" s="1"/>
  <c r="I1854" i="24" s="1"/>
  <c r="I1855" i="24" s="1"/>
  <c r="I1856" i="24" s="1"/>
  <c r="I1857" i="24" s="1"/>
  <c r="I1858" i="24" s="1"/>
  <c r="I1859" i="24" s="1"/>
  <c r="I1860" i="24" s="1"/>
  <c r="I1861" i="24" s="1"/>
  <c r="I1862" i="24" s="1"/>
  <c r="I1863" i="24" s="1"/>
  <c r="I1864" i="24" s="1"/>
  <c r="I1865" i="24" s="1"/>
  <c r="I1866" i="24" s="1"/>
  <c r="I1867" i="24" s="1"/>
  <c r="I1868" i="24" s="1"/>
  <c r="I1869" i="24" s="1"/>
  <c r="I1870" i="24" s="1"/>
  <c r="I1871" i="24" s="1"/>
  <c r="I1872" i="24" s="1"/>
  <c r="I1873" i="24" s="1"/>
  <c r="I1874" i="24" s="1"/>
  <c r="I1875" i="24" s="1"/>
  <c r="I1876" i="24" s="1"/>
  <c r="I1877" i="24" s="1"/>
  <c r="I1878" i="24" s="1"/>
  <c r="I1879" i="24" s="1"/>
  <c r="I1880" i="24" s="1"/>
  <c r="I1881" i="24" s="1"/>
  <c r="I1882" i="24" s="1"/>
  <c r="I1883" i="24" s="1"/>
  <c r="I1884" i="24" s="1"/>
  <c r="I1885" i="24" s="1"/>
  <c r="I1886" i="24" s="1"/>
  <c r="I1887" i="24" s="1"/>
  <c r="I1888" i="24" s="1"/>
  <c r="I1889" i="24" s="1"/>
  <c r="I1890" i="24" s="1"/>
  <c r="I1891" i="24" s="1"/>
  <c r="I1892" i="24" s="1"/>
  <c r="I1893" i="24" s="1"/>
  <c r="I1894" i="24" s="1"/>
  <c r="I1895" i="24" s="1"/>
  <c r="I1896" i="24" s="1"/>
  <c r="I1897" i="24" s="1"/>
  <c r="I1898" i="24" s="1"/>
  <c r="I1899" i="24" s="1"/>
  <c r="I1900" i="24" s="1"/>
  <c r="I1901" i="24" s="1"/>
  <c r="I1902" i="24" s="1"/>
  <c r="I1903" i="24" s="1"/>
  <c r="I1904" i="24" s="1"/>
  <c r="I1905" i="24" s="1"/>
  <c r="I1906" i="24" s="1"/>
  <c r="I1907" i="24" s="1"/>
  <c r="I1908" i="24" s="1"/>
  <c r="I1909" i="24" s="1"/>
  <c r="I1910" i="24" s="1"/>
  <c r="I1911" i="24" s="1"/>
  <c r="I1912" i="24" s="1"/>
  <c r="I1913" i="24" s="1"/>
  <c r="I1914" i="24" s="1"/>
  <c r="I1915" i="24" s="1"/>
  <c r="I1916" i="24" s="1"/>
  <c r="I1917" i="24" s="1"/>
  <c r="I1918" i="24" s="1"/>
  <c r="I1919" i="24" s="1"/>
  <c r="I1920" i="24" s="1"/>
  <c r="I1921" i="24" s="1"/>
  <c r="I1922" i="24" s="1"/>
  <c r="I1923" i="24" s="1"/>
  <c r="I1924" i="24" s="1"/>
  <c r="I1925" i="24" s="1"/>
  <c r="I1926" i="24" s="1"/>
  <c r="I1927" i="24" s="1"/>
  <c r="I1928" i="24" s="1"/>
  <c r="I1929" i="24" s="1"/>
  <c r="I1930" i="24" s="1"/>
  <c r="I1931" i="24" s="1"/>
  <c r="I1932" i="24" s="1"/>
  <c r="I1933" i="24" s="1"/>
  <c r="I1934" i="24" s="1"/>
  <c r="I1935" i="24" s="1"/>
  <c r="I1936" i="24" s="1"/>
  <c r="I1937" i="24" s="1"/>
  <c r="I1938" i="24" s="1"/>
  <c r="I1939" i="24" s="1"/>
  <c r="I1940" i="24" s="1"/>
  <c r="I1941" i="24" s="1"/>
  <c r="I1942" i="24" s="1"/>
  <c r="I1943" i="24" s="1"/>
  <c r="I1944" i="24" s="1"/>
  <c r="I1945" i="24" s="1"/>
  <c r="I1946" i="24" s="1"/>
  <c r="I1947" i="24" s="1"/>
  <c r="I1948" i="24" s="1"/>
  <c r="I1949" i="24" s="1"/>
  <c r="I1950" i="24" s="1"/>
  <c r="I1951" i="24" s="1"/>
  <c r="I1952" i="24" s="1"/>
  <c r="I1953" i="24" s="1"/>
  <c r="I1954" i="24" s="1"/>
  <c r="I1955" i="24" s="1"/>
  <c r="I1956" i="24" s="1"/>
  <c r="I1957" i="24" s="1"/>
  <c r="I1958" i="24" s="1"/>
  <c r="I1959" i="24" s="1"/>
  <c r="I1960" i="24" s="1"/>
  <c r="I1961" i="24" s="1"/>
  <c r="I1962" i="24" s="1"/>
  <c r="I1963" i="24" s="1"/>
  <c r="I1964" i="24" s="1"/>
  <c r="I1965" i="24" s="1"/>
  <c r="I1966" i="24" s="1"/>
  <c r="I1967" i="24" s="1"/>
  <c r="I1968" i="24" s="1"/>
  <c r="I1969" i="24" s="1"/>
  <c r="I1970" i="24" s="1"/>
  <c r="I1971" i="24" s="1"/>
  <c r="I1972" i="24" s="1"/>
  <c r="I1973" i="24" s="1"/>
  <c r="I1974" i="24" s="1"/>
  <c r="I1975" i="24" s="1"/>
  <c r="I1976" i="24" s="1"/>
  <c r="I1977" i="24" s="1"/>
  <c r="I1978" i="24" s="1"/>
  <c r="I1979" i="24" s="1"/>
  <c r="I1980" i="24" s="1"/>
  <c r="I1981" i="24" s="1"/>
  <c r="I1982" i="24" s="1"/>
  <c r="I1983" i="24" s="1"/>
  <c r="I1984" i="24" s="1"/>
  <c r="I1985" i="24" s="1"/>
  <c r="I1986" i="24" s="1"/>
  <c r="I1987" i="24" s="1"/>
  <c r="I1988" i="24" s="1"/>
  <c r="I1989" i="24" s="1"/>
  <c r="I1990" i="24" s="1"/>
  <c r="I1991" i="24" s="1"/>
  <c r="I1992" i="24" s="1"/>
  <c r="I1993" i="24" s="1"/>
  <c r="I1994" i="24" s="1"/>
  <c r="I1995" i="24" s="1"/>
  <c r="I1996" i="24" s="1"/>
  <c r="I1997" i="24" s="1"/>
  <c r="I1998" i="24" s="1"/>
  <c r="I1999" i="24" s="1"/>
  <c r="I2000" i="24" s="1"/>
  <c r="I2001" i="24" s="1"/>
  <c r="I2002" i="24" s="1"/>
  <c r="I2003" i="24" s="1"/>
  <c r="I2004" i="24" s="1"/>
  <c r="I2005" i="24" s="1"/>
  <c r="I2006" i="24" s="1"/>
  <c r="I2007" i="24" s="1"/>
  <c r="I2008" i="24" s="1"/>
  <c r="I2009" i="24" s="1"/>
  <c r="I2010" i="24" s="1"/>
  <c r="I2011" i="24" s="1"/>
  <c r="I2012" i="24" s="1"/>
  <c r="I2013" i="24" s="1"/>
  <c r="I2014" i="24" s="1"/>
  <c r="I2015" i="24" s="1"/>
  <c r="I2016" i="24" s="1"/>
  <c r="I2017" i="24" s="1"/>
  <c r="I2018" i="24" s="1"/>
  <c r="I2019" i="24" s="1"/>
  <c r="I2020" i="24" s="1"/>
  <c r="I2021" i="24" s="1"/>
  <c r="I2022" i="24" s="1"/>
  <c r="I2023" i="24" s="1"/>
  <c r="I2024" i="24" s="1"/>
  <c r="I2025" i="24" s="1"/>
  <c r="I2026" i="24" s="1"/>
  <c r="I2027" i="24" s="1"/>
  <c r="I2028" i="24" s="1"/>
  <c r="I2029" i="24" s="1"/>
  <c r="I2030" i="24" s="1"/>
  <c r="I2031" i="24" s="1"/>
  <c r="I2032" i="24" s="1"/>
  <c r="I2033" i="24" s="1"/>
  <c r="I2034" i="24" s="1"/>
  <c r="I2035" i="24" s="1"/>
  <c r="I2036" i="24" s="1"/>
  <c r="I2037" i="24" s="1"/>
  <c r="I2038" i="24" s="1"/>
  <c r="I2039" i="24" s="1"/>
  <c r="I2040" i="24" s="1"/>
  <c r="I2041" i="24" s="1"/>
  <c r="I2042" i="24" s="1"/>
  <c r="I2043" i="24" s="1"/>
  <c r="I2044" i="24" s="1"/>
  <c r="I2045" i="24" s="1"/>
  <c r="I2046" i="24" s="1"/>
  <c r="I2047" i="24" s="1"/>
  <c r="I2048" i="24" s="1"/>
  <c r="I2049" i="24" s="1"/>
  <c r="I2050" i="24" s="1"/>
  <c r="I2051" i="24" s="1"/>
  <c r="I2052" i="24" s="1"/>
  <c r="D30" i="51"/>
  <c r="W11" i="10"/>
  <c r="U11" i="10"/>
  <c r="O16" i="10"/>
  <c r="W10" i="10"/>
  <c r="O15" i="10"/>
  <c r="U16" i="10"/>
  <c r="O14" i="10"/>
  <c r="U15" i="10"/>
  <c r="O13" i="10"/>
  <c r="AB5" i="51"/>
  <c r="E5" i="51" s="1"/>
  <c r="G5" i="9"/>
  <c r="G2" i="9"/>
  <c r="F9" i="51"/>
  <c r="G2" i="27"/>
  <c r="G5" i="27"/>
  <c r="U10" i="7"/>
  <c r="W10" i="7"/>
  <c r="D18" i="37"/>
  <c r="G1" i="36"/>
  <c r="G2" i="7"/>
  <c r="C10" i="37" s="1"/>
  <c r="G5" i="7"/>
  <c r="U14" i="5"/>
  <c r="W14" i="5"/>
  <c r="O11" i="5"/>
  <c r="G5" i="5" s="1"/>
  <c r="N2" i="5" s="1"/>
  <c r="Q2" i="7"/>
  <c r="O15" i="4"/>
  <c r="W15" i="4"/>
  <c r="U15" i="4"/>
  <c r="U13" i="4"/>
  <c r="W13" i="4"/>
  <c r="O12" i="4"/>
  <c r="G5" i="4"/>
  <c r="W14" i="3"/>
  <c r="O38" i="3"/>
  <c r="O37" i="3"/>
  <c r="G5" i="3" s="1"/>
  <c r="N2" i="3" s="1"/>
  <c r="U13" i="3"/>
  <c r="C15" i="37" l="1"/>
  <c r="G6" i="12"/>
  <c r="G4" i="12"/>
  <c r="N2" i="12"/>
  <c r="N3" i="12"/>
  <c r="G5" i="11"/>
  <c r="I1710" i="36"/>
  <c r="I1711" i="36" s="1"/>
  <c r="I1712" i="36" s="1"/>
  <c r="I1713" i="36" s="1"/>
  <c r="I1714" i="36" s="1"/>
  <c r="I1715" i="36" s="1"/>
  <c r="I1716" i="36" s="1"/>
  <c r="I1717" i="36" s="1"/>
  <c r="I1718" i="36" s="1"/>
  <c r="I1719" i="36" s="1"/>
  <c r="I1720" i="36" s="1"/>
  <c r="I1721" i="36" s="1"/>
  <c r="I1722" i="36" s="1"/>
  <c r="I1723" i="36" s="1"/>
  <c r="I1724" i="36" s="1"/>
  <c r="I1725" i="36" s="1"/>
  <c r="I1726" i="36" s="1"/>
  <c r="I1727" i="36" s="1"/>
  <c r="I1728" i="36" s="1"/>
  <c r="I1729" i="36" s="1"/>
  <c r="I1730" i="36" s="1"/>
  <c r="I1731" i="36" s="1"/>
  <c r="I1732" i="36" s="1"/>
  <c r="I1733" i="36" s="1"/>
  <c r="I1734" i="36" s="1"/>
  <c r="I1735" i="36" s="1"/>
  <c r="I1736" i="36" s="1"/>
  <c r="I1737" i="36" s="1"/>
  <c r="I1738" i="36" s="1"/>
  <c r="I1739" i="36" s="1"/>
  <c r="I1740" i="36" s="1"/>
  <c r="I1741" i="36" s="1"/>
  <c r="I1742" i="36" s="1"/>
  <c r="I1743" i="36" s="1"/>
  <c r="I1744" i="36" s="1"/>
  <c r="I1745" i="36" s="1"/>
  <c r="I1746" i="36" s="1"/>
  <c r="I1747" i="36" s="1"/>
  <c r="I1748" i="36" s="1"/>
  <c r="I1749" i="36" s="1"/>
  <c r="I1750" i="36" s="1"/>
  <c r="I1751" i="36" s="1"/>
  <c r="I1752" i="36" s="1"/>
  <c r="I1753" i="36" s="1"/>
  <c r="I1754" i="36" s="1"/>
  <c r="I1755" i="36" s="1"/>
  <c r="I1756" i="36" s="1"/>
  <c r="I1757" i="36" s="1"/>
  <c r="I1758" i="36" s="1"/>
  <c r="I1759" i="36" s="1"/>
  <c r="I1760" i="36" s="1"/>
  <c r="I1761" i="36" s="1"/>
  <c r="I1762" i="36" s="1"/>
  <c r="I1763" i="36" s="1"/>
  <c r="I1765" i="36" s="1"/>
  <c r="I1766" i="36" s="1"/>
  <c r="I1767" i="36" s="1"/>
  <c r="I1768" i="36" s="1"/>
  <c r="I1769" i="36" s="1"/>
  <c r="I1770" i="36" s="1"/>
  <c r="I1771" i="36" s="1"/>
  <c r="I1772" i="36" s="1"/>
  <c r="I1773" i="36" s="1"/>
  <c r="I1774" i="36" s="1"/>
  <c r="I1775" i="36" s="1"/>
  <c r="I1776" i="36" s="1"/>
  <c r="I1777" i="36" s="1"/>
  <c r="I1778" i="36" s="1"/>
  <c r="I1779" i="36" s="1"/>
  <c r="I1780" i="36" s="1"/>
  <c r="I2053" i="24"/>
  <c r="I2054" i="24" s="1"/>
  <c r="I2055" i="24" s="1"/>
  <c r="I2056" i="24" s="1"/>
  <c r="I2057" i="24" s="1"/>
  <c r="I2058" i="24" s="1"/>
  <c r="I2059" i="24" s="1"/>
  <c r="I2060" i="24" s="1"/>
  <c r="I2061" i="24" s="1"/>
  <c r="I2062" i="24" s="1"/>
  <c r="I2063" i="24" s="1"/>
  <c r="I2064" i="24" s="1"/>
  <c r="I2065" i="24" s="1"/>
  <c r="I2066" i="24" s="1"/>
  <c r="I2067" i="24" s="1"/>
  <c r="I2068" i="24" s="1"/>
  <c r="I2069" i="24" s="1"/>
  <c r="I2070" i="24" s="1"/>
  <c r="I2071" i="24" s="1"/>
  <c r="I2072" i="24" s="1"/>
  <c r="I2073" i="24" s="1"/>
  <c r="I2074" i="24" s="1"/>
  <c r="I2075" i="24" s="1"/>
  <c r="I2076" i="24" s="1"/>
  <c r="I2077" i="24" s="1"/>
  <c r="G2" i="10"/>
  <c r="G5" i="10"/>
  <c r="W5" i="51"/>
  <c r="AA5" i="51"/>
  <c r="Y5" i="51"/>
  <c r="U5" i="51"/>
  <c r="S5" i="51"/>
  <c r="Q5" i="51"/>
  <c r="O5" i="51"/>
  <c r="M5" i="51"/>
  <c r="K5" i="51"/>
  <c r="G5" i="51"/>
  <c r="I5" i="51"/>
  <c r="G6" i="9"/>
  <c r="G4" i="9"/>
  <c r="C12" i="37"/>
  <c r="N2" i="9"/>
  <c r="N3" i="9"/>
  <c r="N4" i="9"/>
  <c r="H9" i="51"/>
  <c r="C5" i="94"/>
  <c r="N4" i="27"/>
  <c r="N2" i="27"/>
  <c r="H30" i="37" s="1"/>
  <c r="H35" i="37" s="1"/>
  <c r="N3" i="27"/>
  <c r="G6" i="27"/>
  <c r="G4" i="27"/>
  <c r="C11" i="37"/>
  <c r="N3" i="7"/>
  <c r="N2" i="7"/>
  <c r="N4" i="7"/>
  <c r="G4" i="7"/>
  <c r="G6" i="7"/>
  <c r="G2" i="5"/>
  <c r="Q2" i="9"/>
  <c r="Q2" i="10" s="1"/>
  <c r="Q2" i="27"/>
  <c r="N4" i="4"/>
  <c r="N2" i="4"/>
  <c r="N3" i="4"/>
  <c r="G4" i="4"/>
  <c r="G6" i="4"/>
  <c r="N4" i="3"/>
  <c r="N3" i="3"/>
  <c r="G2" i="3"/>
  <c r="I2078" i="24" l="1"/>
  <c r="I2079" i="24" s="1"/>
  <c r="I2080" i="24" s="1"/>
  <c r="I2081" i="24" s="1"/>
  <c r="I2082" i="24" s="1"/>
  <c r="I2083" i="24" s="1"/>
  <c r="I2084" i="24" s="1"/>
  <c r="I2085" i="24" s="1"/>
  <c r="I2086" i="24" s="1"/>
  <c r="I2087" i="24" s="1"/>
  <c r="I2088" i="24" s="1"/>
  <c r="I2089" i="24" s="1"/>
  <c r="I2090" i="24" s="1"/>
  <c r="I2091" i="24" s="1"/>
  <c r="I2092" i="24" s="1"/>
  <c r="I2093" i="24" s="1"/>
  <c r="I953" i="24" s="1"/>
  <c r="I954" i="24" s="1"/>
  <c r="I955" i="24" s="1"/>
  <c r="I956" i="24" s="1"/>
  <c r="I957" i="24" s="1"/>
  <c r="I958" i="24" s="1"/>
  <c r="I959" i="24" s="1"/>
  <c r="I960" i="24" s="1"/>
  <c r="I961" i="24" s="1"/>
  <c r="I2094" i="24" s="1"/>
  <c r="I2095" i="24" s="1"/>
  <c r="I2096" i="24" s="1"/>
  <c r="I2097" i="24" s="1"/>
  <c r="I1764" i="36"/>
  <c r="G6" i="11"/>
  <c r="G4" i="11"/>
  <c r="C14" i="37"/>
  <c r="N2" i="11"/>
  <c r="N3" i="11"/>
  <c r="N4" i="11"/>
  <c r="N2" i="10"/>
  <c r="N3" i="10"/>
  <c r="N4" i="10"/>
  <c r="G6" i="10"/>
  <c r="G4" i="10"/>
  <c r="C13" i="37"/>
  <c r="I1781" i="36"/>
  <c r="I1783" i="36" s="1"/>
  <c r="I1784" i="36" s="1"/>
  <c r="I1785" i="36" s="1"/>
  <c r="I1786" i="36" s="1"/>
  <c r="I1787" i="36" s="1"/>
  <c r="I1788" i="36" s="1"/>
  <c r="I1789" i="36" s="1"/>
  <c r="I1790" i="36" s="1"/>
  <c r="I1791" i="36" s="1"/>
  <c r="I1792" i="36" s="1"/>
  <c r="I1793" i="36" s="1"/>
  <c r="I1794" i="36" s="1"/>
  <c r="I1795" i="36" s="1"/>
  <c r="I1796" i="36" s="1"/>
  <c r="I1797" i="36" s="1"/>
  <c r="I1798" i="36" s="1"/>
  <c r="I1799" i="36" s="1"/>
  <c r="I1800" i="36" s="1"/>
  <c r="I1801" i="36" s="1"/>
  <c r="I1802" i="36" s="1"/>
  <c r="I1803" i="36" s="1"/>
  <c r="I1804" i="36" s="1"/>
  <c r="I1805" i="36" s="1"/>
  <c r="I1806" i="36" s="1"/>
  <c r="I1807" i="36" s="1"/>
  <c r="I1808" i="36" s="1"/>
  <c r="I1809" i="36" s="1"/>
  <c r="I1810" i="36" s="1"/>
  <c r="I1811" i="36" s="1"/>
  <c r="I1812" i="36" s="1"/>
  <c r="I1813" i="36" s="1"/>
  <c r="I1814" i="36" s="1"/>
  <c r="I1815" i="36" s="1"/>
  <c r="I1816" i="36" s="1"/>
  <c r="I1817" i="36" s="1"/>
  <c r="I1818" i="36" s="1"/>
  <c r="I1819" i="36" s="1"/>
  <c r="I1820" i="36" s="1"/>
  <c r="I1782" i="36"/>
  <c r="J9" i="51"/>
  <c r="C8" i="37"/>
  <c r="G6" i="5"/>
  <c r="G4" i="5"/>
  <c r="Q2" i="11"/>
  <c r="Q2" i="12"/>
  <c r="G4" i="3"/>
  <c r="G6" i="3"/>
  <c r="C6" i="37"/>
  <c r="AA12" i="94" l="1"/>
  <c r="I1821" i="36"/>
  <c r="I1823" i="36" s="1"/>
  <c r="I1824" i="36" s="1"/>
  <c r="I1825" i="36" s="1"/>
  <c r="I1826" i="36" s="1"/>
  <c r="I1827" i="36" s="1"/>
  <c r="I1828" i="36" s="1"/>
  <c r="I1829" i="36" s="1"/>
  <c r="I1830" i="36" s="1"/>
  <c r="I1831" i="36" s="1"/>
  <c r="I1832" i="36" s="1"/>
  <c r="I1833" i="36" s="1"/>
  <c r="I1834" i="36" s="1"/>
  <c r="I1835" i="36" s="1"/>
  <c r="I1837" i="36" s="1"/>
  <c r="I1822" i="36"/>
  <c r="L9" i="51"/>
  <c r="I1836" i="36" l="1"/>
  <c r="I1838" i="36" s="1"/>
  <c r="I1839" i="36" s="1"/>
  <c r="I1840" i="36" s="1"/>
  <c r="I1841" i="36" s="1"/>
  <c r="I1842" i="36" s="1"/>
  <c r="I1843" i="36" s="1"/>
  <c r="I1844" i="36" s="1"/>
  <c r="I1845" i="36" s="1"/>
  <c r="I1846" i="36" s="1"/>
  <c r="I1847" i="36" s="1"/>
  <c r="I1848" i="36" s="1"/>
  <c r="I1849" i="36" s="1"/>
  <c r="I1850" i="36" s="1"/>
  <c r="I1851" i="36" s="1"/>
  <c r="I1852" i="36" s="1"/>
  <c r="I1853" i="36" s="1"/>
  <c r="I1854" i="36" s="1"/>
  <c r="I1855" i="36" s="1"/>
  <c r="I1856" i="36" s="1"/>
  <c r="I1857" i="36" s="1"/>
  <c r="I1858" i="36" s="1"/>
  <c r="I1859" i="36" s="1"/>
  <c r="I1860" i="36" s="1"/>
  <c r="I1861" i="36" s="1"/>
  <c r="I1862" i="36" s="1"/>
  <c r="I1863" i="36" s="1"/>
  <c r="I1864" i="36" s="1"/>
  <c r="I1865" i="36" s="1"/>
  <c r="I1866" i="36" s="1"/>
  <c r="I1867" i="36" s="1"/>
  <c r="I1868" i="36" s="1"/>
  <c r="I1869" i="36" s="1"/>
  <c r="I1870" i="36" s="1"/>
  <c r="I1871" i="36" s="1"/>
  <c r="I1872" i="36" s="1"/>
  <c r="I1873" i="36" s="1"/>
  <c r="I1874" i="36" s="1"/>
  <c r="I1875" i="36" s="1"/>
  <c r="I1876" i="36" s="1"/>
  <c r="I1877" i="36" s="1"/>
  <c r="I1878" i="36" s="1"/>
  <c r="I1879" i="36" s="1"/>
  <c r="I1880" i="36" s="1"/>
  <c r="I1881" i="36" s="1"/>
  <c r="I1882" i="36" s="1"/>
  <c r="I1883" i="36" s="1"/>
  <c r="I1884" i="36" s="1"/>
  <c r="I1885" i="36" s="1"/>
  <c r="N9" i="51"/>
  <c r="G5" i="6"/>
  <c r="N2" i="6" s="1"/>
  <c r="G2" i="6"/>
  <c r="G4" i="6" s="1"/>
  <c r="I1886" i="36" l="1"/>
  <c r="I1887" i="36" s="1"/>
  <c r="I1888" i="36" s="1"/>
  <c r="I1889" i="36" s="1"/>
  <c r="I1890" i="36" s="1"/>
  <c r="P9" i="51"/>
  <c r="C9" i="37"/>
  <c r="C19" i="37" s="1"/>
  <c r="G6" i="6"/>
  <c r="I1899" i="36" l="1"/>
  <c r="I1900" i="36" s="1"/>
  <c r="I1901" i="36" s="1"/>
  <c r="I1902" i="36" s="1"/>
  <c r="I1903" i="36" s="1"/>
  <c r="I1904" i="36" s="1"/>
  <c r="I1905" i="36" s="1"/>
  <c r="I1906" i="36" s="1"/>
  <c r="I1907" i="36" s="1"/>
  <c r="I1908" i="36" s="1"/>
  <c r="I1909" i="36" s="1"/>
  <c r="I1910" i="36" s="1"/>
  <c r="I1911" i="36" s="1"/>
  <c r="I1912" i="36" s="1"/>
  <c r="I1913" i="36" s="1"/>
  <c r="I1914" i="36" s="1"/>
  <c r="I1915" i="36" s="1"/>
  <c r="I1916" i="36" s="1"/>
  <c r="I1917" i="36" s="1"/>
  <c r="I1918" i="36" s="1"/>
  <c r="I1919" i="36" s="1"/>
  <c r="I1920" i="36" s="1"/>
  <c r="I1921" i="36" s="1"/>
  <c r="I1922" i="36" s="1"/>
  <c r="I1923" i="36" s="1"/>
  <c r="I1924" i="36" s="1"/>
  <c r="I1925" i="36" s="1"/>
  <c r="I1926" i="36" s="1"/>
  <c r="I1927" i="36" s="1"/>
  <c r="I1928" i="36" s="1"/>
  <c r="I1891" i="36"/>
  <c r="I1892" i="36" s="1"/>
  <c r="I1893" i="36" s="1"/>
  <c r="I1894" i="36" s="1"/>
  <c r="I1895" i="36" s="1"/>
  <c r="I1896" i="36" s="1"/>
  <c r="I1897" i="36" s="1"/>
  <c r="I1898" i="36" s="1"/>
  <c r="R9" i="51"/>
  <c r="C18" i="37"/>
  <c r="I113" i="39" s="1"/>
  <c r="I1929" i="36" l="1"/>
  <c r="I1930" i="36" s="1"/>
  <c r="I1931" i="36" s="1"/>
  <c r="I1932" i="36" s="1"/>
  <c r="I1933" i="36" s="1"/>
  <c r="I1934" i="36" s="1"/>
  <c r="I1935" i="36" s="1"/>
  <c r="I1936" i="36" s="1"/>
  <c r="I1937" i="36" s="1"/>
  <c r="I1938" i="36" s="1"/>
  <c r="I1939" i="36" s="1"/>
  <c r="I1940" i="36" s="1"/>
  <c r="I1941" i="36" s="1"/>
  <c r="I1942" i="36" s="1"/>
  <c r="I1943" i="36" s="1"/>
  <c r="I1944" i="36" s="1"/>
  <c r="I1945" i="36" s="1"/>
  <c r="I1946" i="36" s="1"/>
  <c r="I1947" i="36" s="1"/>
  <c r="I1948" i="36" s="1"/>
  <c r="I1949" i="36" s="1"/>
  <c r="I1950" i="36" s="1"/>
  <c r="I1951" i="36" s="1"/>
  <c r="I1952" i="36" s="1"/>
  <c r="I1953" i="36" s="1"/>
  <c r="I1954" i="36" s="1"/>
  <c r="I1955" i="36" s="1"/>
  <c r="I1956" i="36" s="1"/>
  <c r="I1957" i="36" s="1"/>
  <c r="I1958" i="36" s="1"/>
  <c r="I1959" i="36" s="1"/>
  <c r="I1960" i="36" s="1"/>
  <c r="I1961" i="36" s="1"/>
  <c r="I1962" i="36" s="1"/>
  <c r="I1963" i="36" s="1"/>
  <c r="I1964" i="36" s="1"/>
  <c r="I1965" i="36" s="1"/>
  <c r="I1966" i="36" s="1"/>
  <c r="I1967" i="36" s="1"/>
  <c r="I1968" i="36" s="1"/>
  <c r="I1969" i="36" s="1"/>
  <c r="I1970" i="36" s="1"/>
  <c r="I1971" i="36" s="1"/>
  <c r="I1972" i="36" s="1"/>
  <c r="I1973" i="36" s="1"/>
  <c r="I1974" i="36" s="1"/>
  <c r="I1975" i="36" s="1"/>
  <c r="I1976" i="36" s="1"/>
  <c r="I1977" i="36" s="1"/>
  <c r="I1978" i="36" s="1"/>
  <c r="I1979" i="36" s="1"/>
  <c r="I1980" i="36" s="1"/>
  <c r="I1981" i="36" s="1"/>
  <c r="I1982" i="36" s="1"/>
  <c r="I1983" i="36" s="1"/>
  <c r="I1984" i="36" s="1"/>
  <c r="I1985" i="36" s="1"/>
  <c r="I1986" i="36" s="1"/>
  <c r="I1987" i="36" s="1"/>
  <c r="I1988" i="36" s="1"/>
  <c r="I1989" i="36" s="1"/>
  <c r="I1990" i="36" s="1"/>
  <c r="I1991" i="36" s="1"/>
  <c r="I1992" i="36" s="1"/>
  <c r="I1993" i="36" s="1"/>
  <c r="I1994" i="36" s="1"/>
  <c r="I1995" i="36" s="1"/>
  <c r="I1996" i="36" s="1"/>
  <c r="I1997" i="36" s="1"/>
  <c r="I1998" i="36" s="1"/>
  <c r="I1999" i="36" s="1"/>
  <c r="I2000" i="36" s="1"/>
  <c r="I2001" i="36" s="1"/>
  <c r="I2002" i="36" s="1"/>
  <c r="I2003" i="36" s="1"/>
  <c r="I2004" i="36" s="1"/>
  <c r="I2005" i="36" s="1"/>
  <c r="I2006" i="36" s="1"/>
  <c r="I2007" i="36" s="1"/>
  <c r="I2008" i="36" s="1"/>
  <c r="I2009" i="36" s="1"/>
  <c r="I2010" i="36" s="1"/>
  <c r="I2011" i="36" s="1"/>
  <c r="I2012" i="36" s="1"/>
  <c r="I2013" i="36" s="1"/>
  <c r="I2014" i="36" s="1"/>
  <c r="I2015" i="36" s="1"/>
  <c r="I2016" i="36" s="1"/>
  <c r="I2017" i="36" s="1"/>
  <c r="I2018" i="36" s="1"/>
  <c r="I2019" i="36" s="1"/>
  <c r="I2020" i="36" s="1"/>
  <c r="I2021" i="36" s="1"/>
  <c r="I2022" i="36" s="1"/>
  <c r="I2023" i="36" s="1"/>
  <c r="I2024" i="36" s="1"/>
  <c r="I2025" i="36" s="1"/>
  <c r="I2026" i="36" s="1"/>
  <c r="I2027" i="36" s="1"/>
  <c r="I2028" i="36" s="1"/>
  <c r="I2029" i="36" s="1"/>
  <c r="I2030" i="36" s="1"/>
  <c r="I2031" i="36" s="1"/>
  <c r="I2032" i="36" s="1"/>
  <c r="I2033" i="36" s="1"/>
  <c r="I2034" i="36" s="1"/>
  <c r="I2035" i="36" s="1"/>
  <c r="I2036" i="36" s="1"/>
  <c r="I2037" i="36" s="1"/>
  <c r="I2038" i="36" s="1"/>
  <c r="I2039" i="36" s="1"/>
  <c r="I2040" i="36" s="1"/>
  <c r="I2041" i="36" s="1"/>
  <c r="I2042" i="36" s="1"/>
  <c r="I2043" i="36" s="1"/>
  <c r="I2044" i="36" s="1"/>
  <c r="I2045" i="36" s="1"/>
  <c r="I2046" i="36" s="1"/>
  <c r="I2047" i="36" s="1"/>
  <c r="I2048" i="36" s="1"/>
  <c r="I2049" i="36" s="1"/>
  <c r="I2050" i="36" s="1"/>
  <c r="I2051" i="36" s="1"/>
  <c r="I2052" i="36" s="1"/>
  <c r="I2053" i="36" s="1"/>
  <c r="I2054" i="36" s="1"/>
  <c r="I2055" i="36" s="1"/>
  <c r="I2056" i="36" s="1"/>
  <c r="I2057" i="36" s="1"/>
  <c r="I2058" i="36" s="1"/>
  <c r="I2059" i="36" s="1"/>
  <c r="I2060" i="36" s="1"/>
  <c r="I2061" i="36" s="1"/>
  <c r="I2062" i="36" s="1"/>
  <c r="I2063" i="36" s="1"/>
  <c r="I2064" i="36" s="1"/>
  <c r="I2065" i="36" s="1"/>
  <c r="I2066" i="36" s="1"/>
  <c r="I2067" i="36" s="1"/>
  <c r="I2068" i="36" s="1"/>
  <c r="I2069" i="36" s="1"/>
  <c r="I2070" i="36" s="1"/>
  <c r="I2071" i="36" s="1"/>
  <c r="I2072" i="36" s="1"/>
  <c r="I2073" i="36" s="1"/>
  <c r="I2074" i="36" s="1"/>
  <c r="I2075" i="36" s="1"/>
  <c r="I2076" i="36" s="1"/>
  <c r="I2077" i="36" s="1"/>
  <c r="I2078" i="36" s="1"/>
  <c r="I2079" i="36" s="1"/>
  <c r="I2080" i="36" s="1"/>
  <c r="I2081" i="36" s="1"/>
  <c r="I2082" i="36" s="1"/>
  <c r="I2083" i="36" s="1"/>
  <c r="I2084" i="36" s="1"/>
  <c r="I2085" i="36" s="1"/>
  <c r="I2086" i="36" s="1"/>
  <c r="I2087" i="36" s="1"/>
  <c r="I2088" i="36" s="1"/>
  <c r="I2089" i="36" s="1"/>
  <c r="I2090" i="36" s="1"/>
  <c r="I2091" i="36" s="1"/>
  <c r="I2092" i="36" s="1"/>
  <c r="I2093" i="36" s="1"/>
  <c r="I2094" i="36" s="1"/>
  <c r="I2095" i="36" s="1"/>
  <c r="I2096" i="36" s="1"/>
  <c r="I2097" i="36" s="1"/>
  <c r="I2098" i="36" s="1"/>
  <c r="I2099" i="36" s="1"/>
  <c r="I2100" i="36" s="1"/>
  <c r="I2101" i="36" s="1"/>
  <c r="I2102" i="36" s="1"/>
  <c r="I2103" i="36" s="1"/>
  <c r="I2104" i="36" s="1"/>
  <c r="I2105" i="36" s="1"/>
  <c r="I2106" i="36" s="1"/>
  <c r="I2107" i="36" s="1"/>
  <c r="I2108" i="36" s="1"/>
  <c r="I2109" i="36" s="1"/>
  <c r="I2110" i="36" s="1"/>
  <c r="I2111" i="36" s="1"/>
  <c r="I2112" i="36" s="1"/>
  <c r="I2113" i="36" s="1"/>
  <c r="I2114" i="36" s="1"/>
  <c r="I2115" i="36" s="1"/>
  <c r="I2116" i="36" s="1"/>
  <c r="I2117" i="36" s="1"/>
  <c r="I2118" i="36" s="1"/>
  <c r="I2119" i="36" s="1"/>
  <c r="I2120" i="36" s="1"/>
  <c r="I2121" i="36" s="1"/>
  <c r="I2122" i="36" s="1"/>
  <c r="I2123" i="36" s="1"/>
  <c r="I2124" i="36" s="1"/>
  <c r="I2125" i="36" s="1"/>
  <c r="I2126" i="36" s="1"/>
  <c r="I2127" i="36" s="1"/>
  <c r="I2128" i="36" s="1"/>
  <c r="I2129" i="36" s="1"/>
  <c r="I2130" i="36" s="1"/>
  <c r="I2131" i="36" s="1"/>
  <c r="I2132" i="36" s="1"/>
  <c r="I2133" i="36" s="1"/>
  <c r="I2134" i="36" s="1"/>
  <c r="I2135" i="36" s="1"/>
  <c r="I2136" i="36" s="1"/>
  <c r="I2137" i="36" s="1"/>
  <c r="I2138" i="36" s="1"/>
  <c r="I2139" i="36" s="1"/>
  <c r="I2140" i="36" s="1"/>
  <c r="I2141" i="36" s="1"/>
  <c r="I2142" i="36" s="1"/>
  <c r="I2143" i="36" s="1"/>
  <c r="I2144" i="36" s="1"/>
  <c r="I2145" i="36" s="1"/>
  <c r="I2146" i="36" s="1"/>
  <c r="I2147" i="36" s="1"/>
  <c r="I2148" i="36" s="1"/>
  <c r="I2149" i="36" s="1"/>
  <c r="I2150" i="36" s="1"/>
  <c r="I2151" i="36" s="1"/>
  <c r="I2152" i="36" s="1"/>
  <c r="I2153" i="36" s="1"/>
  <c r="I2154" i="36" s="1"/>
  <c r="I2155" i="36" s="1"/>
  <c r="I2156" i="36" s="1"/>
  <c r="I2157" i="36" s="1"/>
  <c r="I2158" i="36" s="1"/>
  <c r="I2159" i="36" s="1"/>
  <c r="I2160" i="36" s="1"/>
  <c r="I2161" i="36" s="1"/>
  <c r="I2162" i="36" s="1"/>
  <c r="I2163" i="36" s="1"/>
  <c r="I2164" i="36" s="1"/>
  <c r="I2165" i="36" s="1"/>
  <c r="I2166" i="36" s="1"/>
  <c r="I2167" i="36" s="1"/>
  <c r="I2168" i="36" s="1"/>
  <c r="I2169" i="36" s="1"/>
  <c r="I2170" i="36" s="1"/>
  <c r="I2171" i="36" s="1"/>
  <c r="I2172" i="36" s="1"/>
  <c r="I2173" i="36" s="1"/>
  <c r="I2174" i="36" s="1"/>
  <c r="I2175" i="36" s="1"/>
  <c r="I2176" i="36" s="1"/>
  <c r="I2177" i="36" s="1"/>
  <c r="I2178" i="36" s="1"/>
  <c r="I2179" i="36" s="1"/>
  <c r="I2180" i="36" s="1"/>
  <c r="I2181" i="36" s="1"/>
  <c r="I2182" i="36" s="1"/>
  <c r="I2183" i="36" s="1"/>
  <c r="I2184" i="36" s="1"/>
  <c r="I2185" i="36" s="1"/>
  <c r="I2186" i="36" s="1"/>
  <c r="I2187" i="36" s="1"/>
  <c r="I2188" i="36" s="1"/>
  <c r="I2189" i="36" s="1"/>
  <c r="I2190" i="36" s="1"/>
  <c r="I2191" i="36" s="1"/>
  <c r="I2192" i="36" s="1"/>
  <c r="I2193" i="36" s="1"/>
  <c r="I2194" i="36" s="1"/>
  <c r="I2195" i="36" s="1"/>
  <c r="I2196" i="36" s="1"/>
  <c r="I2197" i="36" s="1"/>
  <c r="I2198" i="36" s="1"/>
  <c r="I2199" i="36" s="1"/>
  <c r="I2200" i="36" s="1"/>
  <c r="I2201" i="36" s="1"/>
  <c r="I2202" i="36" s="1"/>
  <c r="I2203" i="36" s="1"/>
  <c r="I2204" i="36" s="1"/>
  <c r="I2205" i="36" s="1"/>
  <c r="I2206" i="36" s="1"/>
  <c r="I2207" i="36" s="1"/>
  <c r="I2208" i="36" s="1"/>
  <c r="I2209" i="36" s="1"/>
  <c r="I2210" i="36" s="1"/>
  <c r="I2211" i="36" s="1"/>
  <c r="I2212" i="36" s="1"/>
  <c r="I2213" i="36" s="1"/>
  <c r="I2214" i="36" s="1"/>
  <c r="I2215" i="36" s="1"/>
  <c r="I2216" i="36" s="1"/>
  <c r="I2217" i="36" s="1"/>
  <c r="I2218" i="36" s="1"/>
  <c r="I2219" i="36" s="1"/>
  <c r="I2220" i="36" s="1"/>
  <c r="I2221" i="36" s="1"/>
  <c r="I2222" i="36" s="1"/>
  <c r="I2223" i="36" s="1"/>
  <c r="I2224" i="36" s="1"/>
  <c r="I2225" i="36" s="1"/>
  <c r="I2226" i="36" s="1"/>
  <c r="I2227" i="36" s="1"/>
  <c r="I2228" i="36" s="1"/>
  <c r="I2229" i="36" s="1"/>
  <c r="I2230" i="36" s="1"/>
  <c r="I2231" i="36" s="1"/>
  <c r="I2232" i="36" s="1"/>
  <c r="I2233" i="36" s="1"/>
  <c r="I2234" i="36" s="1"/>
  <c r="I2235" i="36" s="1"/>
  <c r="I2236" i="36" s="1"/>
  <c r="I2237" i="36" s="1"/>
  <c r="I2238" i="36" s="1"/>
  <c r="I2239" i="36" s="1"/>
  <c r="I2240" i="36" s="1"/>
  <c r="I2241" i="36" s="1"/>
  <c r="I2242" i="36" s="1"/>
  <c r="I2243" i="36" s="1"/>
  <c r="I2244" i="36" s="1"/>
  <c r="I2245" i="36" s="1"/>
  <c r="I2246" i="36" s="1"/>
  <c r="I2247" i="36" s="1"/>
  <c r="I2248" i="36" s="1"/>
  <c r="I2249" i="36" s="1"/>
  <c r="I2250" i="36" s="1"/>
  <c r="I2251" i="36" s="1"/>
  <c r="I2252" i="36" s="1"/>
  <c r="I2253" i="36" s="1"/>
  <c r="I2254" i="36" s="1"/>
  <c r="I2255" i="36" s="1"/>
  <c r="I2256" i="36" s="1"/>
  <c r="I2257" i="36" s="1"/>
  <c r="I2258" i="36" s="1"/>
  <c r="I2259" i="36" s="1"/>
  <c r="I2260" i="36" s="1"/>
  <c r="I2261" i="36" s="1"/>
  <c r="I2262" i="36" s="1"/>
  <c r="I2263" i="36" s="1"/>
  <c r="I2264" i="36" s="1"/>
  <c r="I2265" i="36" s="1"/>
  <c r="I2266" i="36" s="1"/>
  <c r="I2267" i="36" s="1"/>
  <c r="I2268" i="36" s="1"/>
  <c r="I2269" i="36" s="1"/>
  <c r="I2270" i="36" s="1"/>
  <c r="I2271" i="36" s="1"/>
  <c r="I2272" i="36" s="1"/>
  <c r="I2273" i="36" s="1"/>
  <c r="I2274" i="36" s="1"/>
  <c r="I2275" i="36" s="1"/>
  <c r="I2276" i="36" s="1"/>
  <c r="I2277" i="36" s="1"/>
  <c r="I2278" i="36" s="1"/>
  <c r="I2279" i="36" s="1"/>
  <c r="I2280" i="36" s="1"/>
  <c r="I2281" i="36" s="1"/>
  <c r="I2282" i="36" s="1"/>
  <c r="I2283" i="36" s="1"/>
  <c r="I2284" i="36" s="1"/>
  <c r="I2285" i="36" s="1"/>
  <c r="I2286" i="36" s="1"/>
  <c r="I2287" i="36" s="1"/>
  <c r="I2288" i="36" s="1"/>
  <c r="I2289" i="36" s="1"/>
  <c r="I2290" i="36" s="1"/>
  <c r="I2291" i="36" s="1"/>
  <c r="I2292" i="36" s="1"/>
  <c r="I2293" i="36" s="1"/>
  <c r="I2294" i="36" s="1"/>
  <c r="I2295" i="36" s="1"/>
  <c r="I2296" i="36" s="1"/>
  <c r="I2297" i="36" s="1"/>
  <c r="I2298" i="36" s="1"/>
  <c r="I2299" i="36" s="1"/>
  <c r="I2300" i="36" s="1"/>
  <c r="I2301" i="36" s="1"/>
  <c r="I2302" i="36" s="1"/>
  <c r="I2303" i="36" s="1"/>
  <c r="I2304" i="36" s="1"/>
  <c r="I2305" i="36" s="1"/>
  <c r="I2306" i="36" s="1"/>
  <c r="I2307" i="36" s="1"/>
  <c r="I2308" i="36" s="1"/>
  <c r="I2309" i="36" s="1"/>
  <c r="I2310" i="36" s="1"/>
  <c r="I2311" i="36" s="1"/>
  <c r="I2312" i="36" s="1"/>
  <c r="I2313" i="36" s="1"/>
  <c r="I2314" i="36" s="1"/>
  <c r="I2315" i="36" s="1"/>
  <c r="I2316" i="36" s="1"/>
  <c r="I2317" i="36" s="1"/>
  <c r="I2318" i="36" s="1"/>
  <c r="I2319" i="36" s="1"/>
  <c r="I2320" i="36" s="1"/>
  <c r="I2321" i="36" s="1"/>
  <c r="I2322" i="36" s="1"/>
  <c r="I2323" i="36" s="1"/>
  <c r="I2324" i="36" s="1"/>
  <c r="I2325" i="36" s="1"/>
  <c r="I2326" i="36" s="1"/>
  <c r="I2327" i="36" s="1"/>
  <c r="I2328" i="36" s="1"/>
  <c r="I2329" i="36" s="1"/>
  <c r="I2330" i="36" s="1"/>
  <c r="I2331" i="36" s="1"/>
  <c r="I2332" i="36" s="1"/>
  <c r="I2333" i="36" s="1"/>
  <c r="I2334" i="36" s="1"/>
  <c r="I2335" i="36" s="1"/>
  <c r="I2336" i="36" s="1"/>
  <c r="I2337" i="36" s="1"/>
  <c r="I2338" i="36" s="1"/>
  <c r="I2339" i="36" s="1"/>
  <c r="I2340" i="36" s="1"/>
  <c r="I2341" i="36" s="1"/>
  <c r="I2342" i="36" s="1"/>
  <c r="I2343" i="36" s="1"/>
  <c r="I2344" i="36" s="1"/>
  <c r="I2345" i="36" s="1"/>
  <c r="I2346" i="36" s="1"/>
  <c r="I2347" i="36" s="1"/>
  <c r="I2348" i="36" s="1"/>
  <c r="I2349" i="36" s="1"/>
  <c r="I2350" i="36" s="1"/>
  <c r="I2351" i="36" s="1"/>
  <c r="I2352" i="36" s="1"/>
  <c r="I2353" i="36" s="1"/>
  <c r="I2354" i="36" s="1"/>
  <c r="I2355" i="36" s="1"/>
  <c r="I2356" i="36" s="1"/>
  <c r="I2357" i="36" s="1"/>
  <c r="I2358" i="36" s="1"/>
  <c r="I2359" i="36" s="1"/>
  <c r="I2360" i="36" s="1"/>
  <c r="I2361" i="36" s="1"/>
  <c r="I2362" i="36" s="1"/>
  <c r="I2363" i="36" s="1"/>
  <c r="I2364" i="36" s="1"/>
  <c r="I2365" i="36" s="1"/>
  <c r="I2366" i="36" s="1"/>
  <c r="I2367" i="36" s="1"/>
  <c r="I2368" i="36" s="1"/>
  <c r="I2369" i="36" s="1"/>
  <c r="I2370" i="36" s="1"/>
  <c r="I2371" i="36" s="1"/>
  <c r="I2372" i="36" s="1"/>
  <c r="I2373" i="36" s="1"/>
  <c r="I2374" i="36" s="1"/>
  <c r="I2375" i="36" s="1"/>
  <c r="I2376" i="36" s="1"/>
  <c r="I2377" i="36" s="1"/>
  <c r="I2378" i="36" s="1"/>
  <c r="I2379" i="36" s="1"/>
  <c r="I2380" i="36" s="1"/>
  <c r="I2381" i="36" s="1"/>
  <c r="I2382" i="36" s="1"/>
  <c r="I2383" i="36" s="1"/>
  <c r="I2384" i="36" s="1"/>
  <c r="I2385" i="36" s="1"/>
  <c r="I2386" i="36" s="1"/>
  <c r="I2387" i="36" s="1"/>
  <c r="I2388" i="36" s="1"/>
  <c r="D19" i="37"/>
  <c r="T9" i="51"/>
  <c r="I2389" i="36" l="1"/>
  <c r="I2390" i="36" s="1"/>
  <c r="I2391" i="36" s="1"/>
  <c r="I2392" i="36" s="1"/>
  <c r="I2393" i="36" s="1"/>
  <c r="I2394" i="36" s="1"/>
  <c r="I2395" i="36" s="1"/>
  <c r="I2396" i="36" s="1"/>
  <c r="I2397" i="36" s="1"/>
  <c r="I2398" i="36" s="1"/>
  <c r="I2399" i="36" s="1"/>
  <c r="I2400" i="36" s="1"/>
  <c r="I2401" i="36" s="1"/>
  <c r="I2402" i="36" s="1"/>
  <c r="I2403" i="36" s="1"/>
  <c r="I2404" i="36" s="1"/>
  <c r="I2405" i="36" s="1"/>
  <c r="I2406" i="36" s="1"/>
  <c r="I2407" i="36" s="1"/>
  <c r="I2408" i="36" s="1"/>
  <c r="I2409" i="36" s="1"/>
  <c r="I2410" i="36" s="1"/>
  <c r="I2411" i="36" s="1"/>
  <c r="I2412" i="36" s="1"/>
  <c r="I2413" i="36" s="1"/>
  <c r="I2414" i="36" s="1"/>
  <c r="I2415" i="36" s="1"/>
  <c r="I2416" i="36" s="1"/>
  <c r="I2417" i="36" s="1"/>
  <c r="I2418" i="36" s="1"/>
  <c r="I2419" i="36" s="1"/>
  <c r="I2420" i="36" s="1"/>
  <c r="I2421" i="36" s="1"/>
  <c r="I2422" i="36" s="1"/>
  <c r="I2423" i="36" s="1"/>
  <c r="I2424" i="36" s="1"/>
  <c r="I2425" i="36" s="1"/>
  <c r="I2426" i="36" s="1"/>
  <c r="I2427" i="36" s="1"/>
  <c r="I2428" i="36" s="1"/>
  <c r="I2429" i="36" s="1"/>
  <c r="I2430" i="36" s="1"/>
  <c r="I2431" i="36" s="1"/>
  <c r="I2432" i="36" s="1"/>
  <c r="I2433" i="36" s="1"/>
  <c r="I2434" i="36" s="1"/>
  <c r="I2435" i="36" s="1"/>
  <c r="I2436" i="36" s="1"/>
  <c r="I2437" i="36" s="1"/>
  <c r="I2438" i="36" s="1"/>
  <c r="I2439" i="36" s="1"/>
  <c r="I2440" i="36" s="1"/>
  <c r="I2441" i="36" s="1"/>
  <c r="I2442" i="36" s="1"/>
  <c r="I2443" i="36" s="1"/>
  <c r="I2444" i="36" s="1"/>
  <c r="I2445" i="36" s="1"/>
  <c r="I2446" i="36" s="1"/>
  <c r="I2447" i="36" s="1"/>
  <c r="I2448" i="36" s="1"/>
  <c r="I2449" i="36" s="1"/>
  <c r="I2450" i="36" s="1"/>
  <c r="I2451" i="36" s="1"/>
  <c r="I2453" i="36" s="1"/>
  <c r="I2454" i="36" s="1"/>
  <c r="I2455" i="36" s="1"/>
  <c r="I2456" i="36" s="1"/>
  <c r="I2457" i="36" s="1"/>
  <c r="I2458" i="36" s="1"/>
  <c r="I2459" i="36" s="1"/>
  <c r="I2460" i="36" s="1"/>
  <c r="I2461" i="36" s="1"/>
  <c r="I2462" i="36" s="1"/>
  <c r="I2463" i="36" s="1"/>
  <c r="I2464" i="36" s="1"/>
  <c r="I2465" i="36" s="1"/>
  <c r="I2466" i="36" s="1"/>
  <c r="V9" i="51" l="1"/>
  <c r="AB9" i="51" l="1"/>
  <c r="X9" i="51"/>
  <c r="Z9" i="51" l="1"/>
  <c r="I2467" i="36" l="1"/>
  <c r="I2468" i="36" s="1"/>
  <c r="I2469" i="36" s="1"/>
  <c r="I2470" i="36" s="1"/>
  <c r="I2471" i="36" s="1"/>
  <c r="I2472" i="36" s="1"/>
  <c r="I2473" i="36" s="1"/>
  <c r="I2474" i="36" s="1"/>
  <c r="I2475" i="36" s="1"/>
  <c r="I2476" i="36" s="1"/>
  <c r="I2477" i="36" s="1"/>
  <c r="I2478" i="36" s="1"/>
  <c r="I2479" i="36" s="1"/>
  <c r="I2480" i="36" s="1"/>
  <c r="I2481" i="36" s="1"/>
  <c r="I2486" i="36" s="1"/>
  <c r="I2487" i="36" s="1"/>
  <c r="I2488" i="36" s="1"/>
  <c r="I2489" i="36" s="1"/>
  <c r="I2490" i="36" s="1"/>
  <c r="I2491" i="36" s="1"/>
  <c r="I2492" i="36" s="1"/>
  <c r="I2493" i="36" s="1"/>
  <c r="I2494" i="36" s="1"/>
  <c r="I2495" i="36" s="1"/>
  <c r="I2496" i="36" s="1"/>
  <c r="I2497" i="36" s="1"/>
  <c r="I2498" i="36" s="1"/>
  <c r="I2499" i="36" s="1"/>
  <c r="I2500" i="36" s="1"/>
  <c r="I2501" i="36" s="1"/>
  <c r="I2502" i="36" s="1"/>
  <c r="I2503" i="36" s="1"/>
  <c r="I2504" i="36" s="1"/>
  <c r="I2505" i="36" s="1"/>
  <c r="I2506" i="36" s="1"/>
  <c r="I2507" i="36" s="1"/>
  <c r="I2508" i="36" s="1"/>
  <c r="I2509" i="36" s="1"/>
  <c r="I2510" i="36" s="1"/>
  <c r="I2511" i="36" s="1"/>
  <c r="AB59" i="51"/>
  <c r="D17" i="51" a="1"/>
  <c r="D17" i="51" s="1"/>
  <c r="E17" i="51" s="1"/>
  <c r="T18" i="51"/>
  <c r="D20" i="51" a="1"/>
  <c r="D20" i="51" s="1"/>
  <c r="AB20" i="51" s="1"/>
  <c r="AB35" i="51"/>
  <c r="D18" i="51"/>
  <c r="Z17" i="51" a="1"/>
  <c r="Z17" i="51" s="1"/>
  <c r="AA17" i="51" s="1"/>
  <c r="AB58" i="51"/>
  <c r="V18" i="51"/>
  <c r="R70" i="51"/>
  <c r="H70" i="51"/>
  <c r="AB65" i="51"/>
  <c r="AB60" i="51"/>
  <c r="AB64" i="51"/>
  <c r="AB61" i="51"/>
  <c r="AB66" i="51"/>
  <c r="L18" i="51"/>
  <c r="H17" i="51" a="1"/>
  <c r="H17" i="51" s="1"/>
  <c r="I17" i="51" s="1"/>
  <c r="V17" i="51" a="1"/>
  <c r="V17" i="51" s="1"/>
  <c r="W17" i="51" s="1"/>
  <c r="L17" i="51" a="1"/>
  <c r="L17" i="51" s="1"/>
  <c r="M17" i="51" s="1"/>
  <c r="T17" i="51" a="1"/>
  <c r="T17" i="51" s="1"/>
  <c r="U17" i="51" s="1"/>
  <c r="N20" i="51" a="1"/>
  <c r="N20" i="51" s="1"/>
  <c r="N17" i="51" a="1"/>
  <c r="N17" i="51" s="1"/>
  <c r="O17" i="51" s="1"/>
  <c r="X17" i="51" a="1"/>
  <c r="X17" i="51" s="1"/>
  <c r="Y17" i="51" s="1"/>
  <c r="R20" i="51" a="1"/>
  <c r="R20" i="51" s="1"/>
  <c r="H20" i="51" a="1"/>
  <c r="H20" i="51" s="1"/>
  <c r="J20" i="51" a="1"/>
  <c r="J20" i="51" s="1"/>
  <c r="X20" i="51" a="1"/>
  <c r="X20" i="51" s="1"/>
  <c r="F20" i="51" a="1"/>
  <c r="F20" i="51" s="1"/>
  <c r="L20" i="51" a="1"/>
  <c r="L20" i="51" s="1"/>
  <c r="V20" i="51" a="1"/>
  <c r="V20" i="51" s="1"/>
  <c r="P17" i="51" a="1"/>
  <c r="P17" i="51" s="1"/>
  <c r="Q17" i="51" s="1"/>
  <c r="R17" i="51" a="1"/>
  <c r="R17" i="51" s="1"/>
  <c r="S17" i="51" s="1"/>
  <c r="P20" i="51" a="1"/>
  <c r="P20" i="51" s="1"/>
  <c r="J17" i="51" a="1"/>
  <c r="J17" i="51" s="1"/>
  <c r="K17" i="51" s="1"/>
  <c r="F1" i="24"/>
  <c r="Z20" i="51" a="1"/>
  <c r="Z20" i="51" s="1"/>
  <c r="F17" i="51" a="1"/>
  <c r="F17" i="51" s="1"/>
  <c r="G17" i="51" s="1"/>
  <c r="T20" i="51" a="1"/>
  <c r="T20" i="51" s="1"/>
  <c r="I2512" i="36" l="1"/>
  <c r="I2513" i="36" s="1"/>
  <c r="I2514" i="36" s="1"/>
  <c r="I2515" i="36" s="1"/>
  <c r="I2516" i="36" s="1"/>
  <c r="I2517" i="36" s="1"/>
  <c r="I2518" i="36" s="1"/>
  <c r="I2519" i="36" s="1"/>
  <c r="I2520" i="36" s="1"/>
  <c r="I2521" i="36" s="1"/>
  <c r="I2522" i="36" s="1"/>
  <c r="I2523" i="36" s="1"/>
  <c r="I2524" i="36" s="1"/>
  <c r="I2525" i="36" s="1"/>
  <c r="I2526" i="36" s="1"/>
  <c r="I2527" i="36" s="1"/>
  <c r="I2528" i="36" s="1"/>
  <c r="I2529" i="36" s="1"/>
  <c r="I2530" i="36" s="1"/>
  <c r="I2531" i="36" s="1"/>
  <c r="I2532" i="36" s="1"/>
  <c r="I2533" i="36" s="1"/>
  <c r="I2534" i="36" s="1"/>
  <c r="I2535" i="36" s="1"/>
  <c r="I2536" i="36" s="1"/>
  <c r="I2537" i="36" s="1"/>
  <c r="I2538" i="36" s="1"/>
  <c r="I2539" i="36" s="1"/>
  <c r="I2540" i="36" s="1"/>
  <c r="I2541" i="36" s="1"/>
  <c r="I2542" i="36" s="1"/>
  <c r="I2543" i="36" s="1"/>
  <c r="I2544" i="36" s="1"/>
  <c r="I2545" i="36" s="1"/>
  <c r="I2546" i="36" s="1"/>
  <c r="I2547" i="36" s="1"/>
  <c r="I2548" i="36" s="1"/>
  <c r="I2549" i="36" s="1"/>
  <c r="I2550" i="36" s="1"/>
  <c r="I2551" i="36" s="1"/>
  <c r="I2552" i="36" s="1"/>
  <c r="I2553" i="36" s="1"/>
  <c r="I2554" i="36" s="1"/>
  <c r="I2555" i="36" s="1"/>
  <c r="I2556" i="36" s="1"/>
  <c r="I2557" i="36" s="1"/>
  <c r="I2558" i="36" s="1"/>
  <c r="I2559" i="36" s="1"/>
  <c r="I2560" i="36" s="1"/>
  <c r="I2561" i="36" s="1"/>
  <c r="I2562" i="36" s="1"/>
  <c r="I2563" i="36" s="1"/>
  <c r="I2564" i="36" s="1"/>
  <c r="I2565" i="36" s="1"/>
  <c r="I2566" i="36" s="1"/>
  <c r="I2567" i="36" s="1"/>
  <c r="I2568" i="36" s="1"/>
  <c r="I2569" i="36" s="1"/>
  <c r="I2570" i="36" s="1"/>
  <c r="I2571" i="36" s="1"/>
  <c r="I2572" i="36" s="1"/>
  <c r="I2573" i="36" s="1"/>
  <c r="I2574" i="36" s="1"/>
  <c r="I2575" i="36" s="1"/>
  <c r="I2576" i="36" s="1"/>
  <c r="I2577" i="36" s="1"/>
  <c r="I2578" i="36" s="1"/>
  <c r="I2579" i="36" s="1"/>
  <c r="I2580" i="36" s="1"/>
  <c r="I2581" i="36" s="1"/>
  <c r="I2582" i="36" s="1"/>
  <c r="I2583" i="36" s="1"/>
  <c r="I2584" i="36" s="1"/>
  <c r="I2585" i="36" s="1"/>
  <c r="I2586" i="36" s="1"/>
  <c r="I2587" i="36" s="1"/>
  <c r="I2588" i="36" s="1"/>
  <c r="I2589" i="36" s="1"/>
  <c r="I2590" i="36" s="1"/>
  <c r="I2591" i="36" s="1"/>
  <c r="I2592" i="36" s="1"/>
  <c r="I2593" i="36" s="1"/>
  <c r="I2594" i="36" s="1"/>
  <c r="I2595" i="36" s="1"/>
  <c r="I2596" i="36" s="1"/>
  <c r="I2597" i="36" s="1"/>
  <c r="I2598" i="36" s="1"/>
  <c r="I2599" i="36" s="1"/>
  <c r="I2600" i="36" s="1"/>
  <c r="I2601" i="36" s="1"/>
  <c r="I2602" i="36" s="1"/>
  <c r="I2603" i="36" s="1"/>
  <c r="I2604" i="36" s="1"/>
  <c r="I2605" i="36" s="1"/>
  <c r="I2606" i="36" s="1"/>
  <c r="I2607" i="36" s="1"/>
  <c r="I2608" i="36" s="1"/>
  <c r="I2609" i="36" s="1"/>
  <c r="I2610" i="36" s="1"/>
  <c r="I2611" i="36" s="1"/>
  <c r="I2612" i="36" s="1"/>
  <c r="I2613" i="36" s="1"/>
  <c r="I2614" i="36" s="1"/>
  <c r="I2615" i="36" s="1"/>
  <c r="I2616" i="36" s="1"/>
  <c r="I2617" i="36" s="1"/>
  <c r="I2618" i="36" s="1"/>
  <c r="I2619" i="36" s="1"/>
  <c r="I2620" i="36" s="1"/>
  <c r="I2621" i="36" s="1"/>
  <c r="I2622" i="36" s="1"/>
  <c r="I2623" i="36" s="1"/>
  <c r="I2624" i="36" s="1"/>
  <c r="I2625" i="36" s="1"/>
  <c r="I2626" i="36" s="1"/>
  <c r="I2627" i="36" s="1"/>
  <c r="I2628" i="36" s="1"/>
  <c r="I2629" i="36" s="1"/>
  <c r="I2630" i="36" s="1"/>
  <c r="I2631" i="36" s="1"/>
  <c r="I2632" i="36" s="1"/>
  <c r="I2633" i="36" s="1"/>
  <c r="I2634" i="36" s="1"/>
  <c r="I2635" i="36" s="1"/>
  <c r="I2636" i="36" s="1"/>
  <c r="I2637" i="36" s="1"/>
  <c r="I2638" i="36" s="1"/>
  <c r="I2639" i="36" s="1"/>
  <c r="I2640" i="36" s="1"/>
  <c r="I2641" i="36" s="1"/>
  <c r="I2642" i="36" s="1"/>
  <c r="I2643" i="36" s="1"/>
  <c r="I2644" i="36" s="1"/>
  <c r="I2645" i="36" s="1"/>
  <c r="I2646" i="36" s="1"/>
  <c r="I2647" i="36" s="1"/>
  <c r="I2648" i="36" s="1"/>
  <c r="I2649" i="36" s="1"/>
  <c r="I2650" i="36" s="1"/>
  <c r="I2651" i="36" s="1"/>
  <c r="I2652" i="36" s="1"/>
  <c r="I2653" i="36" s="1"/>
  <c r="I2654" i="36" s="1"/>
  <c r="I2655" i="36" s="1"/>
  <c r="I2656" i="36" s="1"/>
  <c r="I2657" i="36" s="1"/>
  <c r="I2658" i="36" s="1"/>
  <c r="I2659" i="36" s="1"/>
  <c r="I2660" i="36" s="1"/>
  <c r="I2661" i="36" s="1"/>
  <c r="I2662" i="36" s="1"/>
  <c r="I2663" i="36" s="1"/>
  <c r="I2664" i="36" s="1"/>
  <c r="I2665" i="36" s="1"/>
  <c r="I2666" i="36" s="1"/>
  <c r="I2667" i="36" s="1"/>
  <c r="I2668" i="36" s="1"/>
  <c r="I2669" i="36" s="1"/>
  <c r="I2670" i="36" s="1"/>
  <c r="I2671" i="36" s="1"/>
  <c r="I2672" i="36" s="1"/>
  <c r="I2673" i="36" s="1"/>
  <c r="I2674" i="36" s="1"/>
  <c r="I2675" i="36" s="1"/>
  <c r="I2676" i="36" s="1"/>
  <c r="I2677" i="36" s="1"/>
  <c r="I2678" i="36" s="1"/>
  <c r="I2679" i="36" s="1"/>
  <c r="I2680" i="36" s="1"/>
  <c r="I2681" i="36" s="1"/>
  <c r="I2682" i="36" s="1"/>
  <c r="I2683" i="36" s="1"/>
  <c r="I2684" i="36" s="1"/>
  <c r="I2685" i="36" s="1"/>
  <c r="I2686" i="36" s="1"/>
  <c r="I2687" i="36" s="1"/>
  <c r="I2688" i="36" s="1"/>
  <c r="I2689" i="36" s="1"/>
  <c r="I2690" i="36" s="1"/>
  <c r="I2691" i="36" s="1"/>
  <c r="I2692" i="36" s="1"/>
  <c r="I2693" i="36" s="1"/>
  <c r="I2694" i="36" s="1"/>
  <c r="I2695" i="36" s="1"/>
  <c r="I2696" i="36" s="1"/>
  <c r="I2697" i="36" s="1"/>
  <c r="I2698" i="36" s="1"/>
  <c r="I2699" i="36" s="1"/>
  <c r="I2700" i="36" s="1"/>
  <c r="I2701" i="36" s="1"/>
  <c r="I2702" i="36" s="1"/>
  <c r="I2703" i="36" s="1"/>
  <c r="I2704" i="36" s="1"/>
  <c r="I2705" i="36" s="1"/>
  <c r="I2706" i="36" s="1"/>
  <c r="I2707" i="36" s="1"/>
  <c r="I2708" i="36" s="1"/>
  <c r="I2709" i="36" s="1"/>
  <c r="I2710" i="36" s="1"/>
  <c r="I2711" i="36" s="1"/>
  <c r="I2712" i="36" s="1"/>
  <c r="I2713" i="36" s="1"/>
  <c r="I2714" i="36" s="1"/>
  <c r="I2715" i="36" s="1"/>
  <c r="I2716" i="36" s="1"/>
  <c r="I2717" i="36" s="1"/>
  <c r="I2718" i="36" s="1"/>
  <c r="I2719" i="36" s="1"/>
  <c r="I2720" i="36" s="1"/>
  <c r="I2721" i="36" s="1"/>
  <c r="I2722" i="36" s="1"/>
  <c r="I2723" i="36" s="1"/>
  <c r="I2724" i="36" s="1"/>
  <c r="I2725" i="36" s="1"/>
  <c r="I2726" i="36" s="1"/>
  <c r="I2727" i="36" s="1"/>
  <c r="I2728" i="36" s="1"/>
  <c r="I2729" i="36" s="1"/>
  <c r="I2730" i="36" s="1"/>
  <c r="I2731" i="36" s="1"/>
  <c r="I2732" i="36" s="1"/>
  <c r="I2733" i="36" s="1"/>
  <c r="I2734" i="36" s="1"/>
  <c r="I2735" i="36" s="1"/>
  <c r="I2736" i="36" s="1"/>
  <c r="I2737" i="36" s="1"/>
  <c r="I2738" i="36" s="1"/>
  <c r="I2739" i="36" s="1"/>
  <c r="I2740" i="36" s="1"/>
  <c r="I2741" i="36" s="1"/>
  <c r="I2742" i="36" s="1"/>
  <c r="I2743" i="36" s="1"/>
  <c r="I2744" i="36" s="1"/>
  <c r="I2745" i="36" s="1"/>
  <c r="I2746" i="36" s="1"/>
  <c r="I2747" i="36" s="1"/>
  <c r="I2748" i="36" s="1"/>
  <c r="I2749" i="36" s="1"/>
  <c r="I2750" i="36" s="1"/>
  <c r="I2751" i="36" s="1"/>
  <c r="I2752" i="36" s="1"/>
  <c r="I2753" i="36" s="1"/>
  <c r="I2754" i="36" s="1"/>
  <c r="I2755" i="36" s="1"/>
  <c r="I2756" i="36" s="1"/>
  <c r="I2757" i="36" s="1"/>
  <c r="I2758" i="36" s="1"/>
  <c r="I2759" i="36" s="1"/>
  <c r="I2760" i="36" s="1"/>
  <c r="I2761" i="36" s="1"/>
  <c r="I2762" i="36" s="1"/>
  <c r="I2763" i="36" s="1"/>
  <c r="I2764" i="36" s="1"/>
  <c r="I2765" i="36" s="1"/>
  <c r="I2766" i="36" s="1"/>
  <c r="I2767" i="36" s="1"/>
  <c r="I2768" i="36" s="1"/>
  <c r="I2769" i="36" s="1"/>
  <c r="I2770" i="36" s="1"/>
  <c r="I2771" i="36" s="1"/>
  <c r="I2772" i="36" s="1"/>
  <c r="I2773" i="36" s="1"/>
  <c r="I2774" i="36" s="1"/>
  <c r="I2775" i="36" s="1"/>
  <c r="I2776" i="36" s="1"/>
  <c r="I2777" i="36" s="1"/>
  <c r="I2778" i="36" s="1"/>
  <c r="I2779" i="36" s="1"/>
  <c r="I2780" i="36" s="1"/>
  <c r="I2781" i="36" s="1"/>
  <c r="I2782" i="36" s="1"/>
  <c r="I2783" i="36" s="1"/>
  <c r="I2784" i="36" s="1"/>
  <c r="I2785" i="36" s="1"/>
  <c r="I2786" i="36" s="1"/>
  <c r="I2787" i="36" s="1"/>
  <c r="I2788" i="36" s="1"/>
  <c r="I2789" i="36" s="1"/>
  <c r="I2790" i="36" s="1"/>
  <c r="I2791" i="36" s="1"/>
  <c r="I2792" i="36" s="1"/>
  <c r="I2793" i="36" s="1"/>
  <c r="I2794" i="36" s="1"/>
  <c r="I2795" i="36" s="1"/>
  <c r="I2796" i="36" s="1"/>
  <c r="I2797" i="36" s="1"/>
  <c r="I2798" i="36" s="1"/>
  <c r="I2799" i="36" s="1"/>
  <c r="I2800" i="36" s="1"/>
  <c r="I2801" i="36" s="1"/>
  <c r="I2802" i="36" s="1"/>
  <c r="I2803" i="36" s="1"/>
  <c r="I2804" i="36" s="1"/>
  <c r="I2805" i="36" s="1"/>
  <c r="I2806" i="36" s="1"/>
  <c r="I2807" i="36" s="1"/>
  <c r="I2808" i="36" s="1"/>
  <c r="I2809" i="36" s="1"/>
  <c r="I2810" i="36" s="1"/>
  <c r="I2811" i="36" s="1"/>
  <c r="I2812" i="36" s="1"/>
  <c r="I2813" i="36" s="1"/>
  <c r="I2814" i="36" s="1"/>
  <c r="I2815" i="36" s="1"/>
  <c r="I2816" i="36" s="1"/>
  <c r="I2817" i="36" s="1"/>
  <c r="I2818" i="36" s="1"/>
  <c r="I2819" i="36" s="1"/>
  <c r="I2820" i="36" s="1"/>
  <c r="I2821" i="36" s="1"/>
  <c r="I2822" i="36" s="1"/>
  <c r="I2823" i="36" s="1"/>
  <c r="I2824" i="36" s="1"/>
  <c r="I2825" i="36" s="1"/>
  <c r="I2826" i="36" s="1"/>
  <c r="I2827" i="36" s="1"/>
  <c r="I2828" i="36" s="1"/>
  <c r="I2829" i="36" s="1"/>
  <c r="I2830" i="36" s="1"/>
  <c r="I2831" i="36" s="1"/>
  <c r="I2832" i="36" s="1"/>
  <c r="I2833" i="36" s="1"/>
  <c r="I2834" i="36" s="1"/>
  <c r="I2835" i="36" s="1"/>
  <c r="I2836" i="36" s="1"/>
  <c r="I2837" i="36" s="1"/>
  <c r="I2838" i="36" s="1"/>
  <c r="I2839" i="36" s="1"/>
  <c r="I2840" i="36" s="1"/>
  <c r="I2841" i="36" s="1"/>
  <c r="I2842" i="36" s="1"/>
  <c r="I2843" i="36" s="1"/>
  <c r="I2844" i="36" s="1"/>
  <c r="I2845" i="36" s="1"/>
  <c r="I2846" i="36" s="1"/>
  <c r="I2847" i="36" s="1"/>
  <c r="I2848" i="36" s="1"/>
  <c r="I2849" i="36" s="1"/>
  <c r="I2850" i="36" s="1"/>
  <c r="I2851" i="36" s="1"/>
  <c r="I2852" i="36" s="1"/>
  <c r="I2853" i="36" s="1"/>
  <c r="I2854" i="36" s="1"/>
  <c r="I2855" i="36" s="1"/>
  <c r="I2856" i="36" s="1"/>
  <c r="I2857" i="36" s="1"/>
  <c r="I2858" i="36" s="1"/>
  <c r="I2859" i="36" s="1"/>
  <c r="I2860" i="36" s="1"/>
  <c r="I2861" i="36" s="1"/>
  <c r="I2862" i="36" s="1"/>
  <c r="I2863" i="36" s="1"/>
  <c r="I2864" i="36" s="1"/>
  <c r="I2865" i="36" s="1"/>
  <c r="I2866" i="36" s="1"/>
  <c r="I2867" i="36" s="1"/>
  <c r="I2868" i="36" s="1"/>
  <c r="I2869" i="36" s="1"/>
  <c r="I2870" i="36" s="1"/>
  <c r="I2871" i="36" s="1"/>
  <c r="I2872" i="36" s="1"/>
  <c r="I2873" i="36" s="1"/>
  <c r="I2874" i="36" s="1"/>
  <c r="I2875" i="36" s="1"/>
  <c r="I2876" i="36" s="1"/>
  <c r="I2877" i="36" s="1"/>
  <c r="I2878" i="36" s="1"/>
  <c r="I2879" i="36" s="1"/>
  <c r="I2880" i="36" s="1"/>
  <c r="I2881" i="36" s="1"/>
  <c r="I2882" i="36" s="1"/>
  <c r="I2883" i="36" s="1"/>
  <c r="I2884" i="36" s="1"/>
  <c r="I2885" i="36" s="1"/>
  <c r="I2886" i="36" s="1"/>
  <c r="I2887" i="36" s="1"/>
  <c r="I2888" i="36" s="1"/>
  <c r="I2889" i="36" s="1"/>
  <c r="I2890" i="36" s="1"/>
  <c r="I2891" i="36" s="1"/>
  <c r="I2892" i="36" s="1"/>
  <c r="I2893" i="36" s="1"/>
  <c r="I2894" i="36" s="1"/>
  <c r="I2895" i="36" s="1"/>
  <c r="I2896" i="36" s="1"/>
  <c r="I2897" i="36" s="1"/>
  <c r="I2898" i="36" s="1"/>
  <c r="I2899" i="36" s="1"/>
  <c r="I2900" i="36" s="1"/>
  <c r="I2901" i="36" s="1"/>
  <c r="I2902" i="36" s="1"/>
  <c r="I2903" i="36" s="1"/>
  <c r="I2904" i="36" s="1"/>
  <c r="I2905" i="36" s="1"/>
  <c r="I2906" i="36" s="1"/>
  <c r="I2907" i="36" s="1"/>
  <c r="I2908" i="36" s="1"/>
  <c r="I2909" i="36" s="1"/>
  <c r="I2910" i="36" s="1"/>
  <c r="I2911" i="36" s="1"/>
  <c r="I2912" i="36" s="1"/>
  <c r="I2913" i="36" s="1"/>
  <c r="I2914" i="36" s="1"/>
  <c r="I2915" i="36" s="1"/>
  <c r="I2916" i="36" s="1"/>
  <c r="I2917" i="36" s="1"/>
  <c r="I2918" i="36" s="1"/>
  <c r="I2919" i="36" s="1"/>
  <c r="I2920" i="36" s="1"/>
  <c r="I2921" i="36" s="1"/>
  <c r="I2922" i="36" s="1"/>
  <c r="I2923" i="36" s="1"/>
  <c r="I2924" i="36" s="1"/>
  <c r="I2925" i="36" s="1"/>
  <c r="I2926" i="36" s="1"/>
  <c r="I2927" i="36" s="1"/>
  <c r="I2928" i="36" s="1"/>
  <c r="I2929" i="36" s="1"/>
  <c r="I2930" i="36" s="1"/>
  <c r="I2931" i="36" s="1"/>
  <c r="I2932" i="36" s="1"/>
  <c r="I2933" i="36" s="1"/>
  <c r="I2934" i="36" s="1"/>
  <c r="I2935" i="36" s="1"/>
  <c r="I2936" i="36" s="1"/>
  <c r="I2937" i="36" s="1"/>
  <c r="I2938" i="36" s="1"/>
  <c r="I2939" i="36" s="1"/>
  <c r="I2940" i="36" s="1"/>
  <c r="I2941" i="36" s="1"/>
  <c r="I2942" i="36" s="1"/>
  <c r="I2943" i="36" s="1"/>
  <c r="I2944" i="36" s="1"/>
  <c r="I2945" i="36" s="1"/>
  <c r="I2946" i="36" s="1"/>
  <c r="I2947" i="36" s="1"/>
  <c r="I2948" i="36" s="1"/>
  <c r="I2949" i="36" s="1"/>
  <c r="I2950" i="36" s="1"/>
  <c r="I2951" i="36" s="1"/>
  <c r="I2952" i="36" s="1"/>
  <c r="I2953" i="36" s="1"/>
  <c r="I2954" i="36" s="1"/>
  <c r="I2955" i="36" s="1"/>
  <c r="I2956" i="36" s="1"/>
  <c r="I2957" i="36" s="1"/>
  <c r="I2958" i="36" s="1"/>
  <c r="I2959" i="36" s="1"/>
  <c r="I2960" i="36" s="1"/>
  <c r="I2961" i="36" s="1"/>
  <c r="I2962" i="36" s="1"/>
  <c r="I2963" i="36" s="1"/>
  <c r="I2964" i="36" s="1"/>
  <c r="I2965" i="36" s="1"/>
  <c r="I2966" i="36" s="1"/>
  <c r="I2967" i="36" s="1"/>
  <c r="I2968" i="36" s="1"/>
  <c r="I2969" i="36" s="1"/>
  <c r="I2970" i="36" s="1"/>
  <c r="I2971" i="36" s="1"/>
  <c r="I2972" i="36" s="1"/>
  <c r="I2973" i="36" s="1"/>
  <c r="I2974" i="36" s="1"/>
  <c r="I2975" i="36" s="1"/>
  <c r="I2976" i="36" s="1"/>
  <c r="I2977" i="36" s="1"/>
  <c r="I2978" i="36" s="1"/>
  <c r="I2979" i="36" s="1"/>
  <c r="I2980" i="36" s="1"/>
  <c r="I2981" i="36" s="1"/>
  <c r="I2982" i="36" s="1"/>
  <c r="I2983" i="36" s="1"/>
  <c r="I2984" i="36" s="1"/>
  <c r="I2985" i="36" s="1"/>
  <c r="I2986" i="36" s="1"/>
  <c r="I2987" i="36" s="1"/>
  <c r="I2988" i="36" s="1"/>
  <c r="I2989" i="36" s="1"/>
  <c r="I2990" i="36" s="1"/>
  <c r="I2991" i="36" s="1"/>
  <c r="I2992" i="36" s="1"/>
  <c r="I2993" i="36" s="1"/>
  <c r="I2994" i="36" s="1"/>
  <c r="I2995" i="36" s="1"/>
  <c r="I2996" i="36" s="1"/>
  <c r="I2997" i="36" s="1"/>
  <c r="I2998" i="36" s="1"/>
  <c r="I2999" i="36" s="1"/>
  <c r="I3000" i="36" s="1"/>
  <c r="I3001" i="36" s="1"/>
  <c r="I3002" i="36" s="1"/>
  <c r="I3003" i="36" s="1"/>
  <c r="I3004" i="36" s="1"/>
  <c r="I3005" i="36" s="1"/>
  <c r="I3006" i="36" s="1"/>
  <c r="I3007" i="36" s="1"/>
  <c r="I3008" i="36" s="1"/>
  <c r="I3009" i="36" s="1"/>
  <c r="I3010" i="36" s="1"/>
  <c r="I3011" i="36" s="1"/>
  <c r="I3012" i="36" s="1"/>
  <c r="I3013" i="36" s="1"/>
  <c r="I3014" i="36" s="1"/>
  <c r="I3015" i="36" s="1"/>
  <c r="I3016" i="36" s="1"/>
  <c r="I3017" i="36" s="1"/>
  <c r="I3018" i="36" s="1"/>
  <c r="I3019" i="36" s="1"/>
  <c r="I3020" i="36" s="1"/>
  <c r="I3021" i="36" s="1"/>
  <c r="I3022" i="36" s="1"/>
  <c r="I3023" i="36" s="1"/>
  <c r="I3024" i="36" s="1"/>
  <c r="I3025" i="36" s="1"/>
  <c r="I3026" i="36" s="1"/>
  <c r="I3027" i="36" s="1"/>
  <c r="I3028" i="36" s="1"/>
  <c r="I3029" i="36" s="1"/>
  <c r="I3030" i="36" s="1"/>
  <c r="I3031" i="36" s="1"/>
  <c r="I3032" i="36" s="1"/>
  <c r="I3033" i="36" s="1"/>
  <c r="I3034" i="36" s="1"/>
  <c r="I3035" i="36" s="1"/>
  <c r="I3036" i="36" s="1"/>
  <c r="I3037" i="36" s="1"/>
  <c r="I3038" i="36" s="1"/>
  <c r="I3039" i="36" s="1"/>
  <c r="I3040" i="36" s="1"/>
  <c r="I3041" i="36" s="1"/>
  <c r="I3042" i="36" s="1"/>
  <c r="I3043" i="36" s="1"/>
  <c r="I3044" i="36" s="1"/>
  <c r="I3045" i="36" s="1"/>
  <c r="I3046" i="36" s="1"/>
  <c r="I3047" i="36" s="1"/>
  <c r="I3048" i="36" s="1"/>
  <c r="I3049" i="36" s="1"/>
  <c r="I3050" i="36" s="1"/>
  <c r="I3051" i="36" s="1"/>
  <c r="I3052" i="36" s="1"/>
  <c r="I3053" i="36" s="1"/>
  <c r="I3054" i="36" s="1"/>
  <c r="I3055" i="36" s="1"/>
  <c r="I3056" i="36" s="1"/>
  <c r="I3057" i="36" s="1"/>
  <c r="I3058" i="36" s="1"/>
  <c r="I3059" i="36" s="1"/>
  <c r="I3060" i="36" s="1"/>
  <c r="I3061" i="36" s="1"/>
  <c r="I3062" i="36" s="1"/>
  <c r="I3063" i="36" s="1"/>
  <c r="I3064" i="36" s="1"/>
  <c r="I3065" i="36" s="1"/>
  <c r="I3066" i="36" s="1"/>
  <c r="I3067" i="36" s="1"/>
  <c r="I3068" i="36" s="1"/>
  <c r="I3069" i="36" s="1"/>
  <c r="I3070" i="36" s="1"/>
  <c r="I3071" i="36" s="1"/>
  <c r="I3072" i="36" s="1"/>
  <c r="I3073" i="36" s="1"/>
  <c r="I3074" i="36" s="1"/>
  <c r="I3075" i="36" s="1"/>
  <c r="I3076" i="36" s="1"/>
  <c r="I3077" i="36" s="1"/>
  <c r="I3078" i="36" s="1"/>
  <c r="I3079" i="36" s="1"/>
  <c r="I3080" i="36" s="1"/>
  <c r="I3081" i="36" s="1"/>
  <c r="I3082" i="36" s="1"/>
  <c r="I3083" i="36" s="1"/>
  <c r="I3084" i="36" s="1"/>
  <c r="I3085" i="36" s="1"/>
  <c r="I3086" i="36" s="1"/>
  <c r="I3087" i="36" s="1"/>
  <c r="I3088" i="36" s="1"/>
  <c r="I3089" i="36" s="1"/>
  <c r="I3090" i="36" s="1"/>
  <c r="I3091" i="36" s="1"/>
  <c r="I3092" i="36" s="1"/>
  <c r="I3093" i="36" s="1"/>
  <c r="I3094" i="36" s="1"/>
  <c r="I3095" i="36" s="1"/>
  <c r="I3096" i="36" s="1"/>
  <c r="I3097" i="36" s="1"/>
  <c r="I3098" i="36" s="1"/>
  <c r="I3099" i="36" s="1"/>
  <c r="I3100" i="36" s="1"/>
  <c r="I3101" i="36" s="1"/>
  <c r="I3102" i="36" s="1"/>
  <c r="I3103" i="36" s="1"/>
  <c r="I3104" i="36" s="1"/>
  <c r="I3105" i="36" s="1"/>
  <c r="I3106" i="36" s="1"/>
  <c r="I3107" i="36" s="1"/>
  <c r="I3108" i="36" s="1"/>
  <c r="I3109" i="36" s="1"/>
  <c r="I3110" i="36" s="1"/>
  <c r="I3111" i="36" s="1"/>
  <c r="I3112" i="36" s="1"/>
  <c r="I3113" i="36" s="1"/>
  <c r="I3114" i="36" s="1"/>
  <c r="I3115" i="36" s="1"/>
  <c r="I3116" i="36" s="1"/>
  <c r="I3117" i="36" s="1"/>
  <c r="I3118" i="36" s="1"/>
  <c r="I3119" i="36" s="1"/>
  <c r="I3120" i="36" s="1"/>
  <c r="I3121" i="36" s="1"/>
  <c r="I3122" i="36" s="1"/>
  <c r="I3123" i="36" s="1"/>
  <c r="I3124" i="36" s="1"/>
  <c r="I3125" i="36" s="1"/>
  <c r="I3126" i="36" s="1"/>
  <c r="I3127" i="36" s="1"/>
  <c r="I3128" i="36" s="1"/>
  <c r="I3129" i="36" s="1"/>
  <c r="I3130" i="36" s="1"/>
  <c r="I3131" i="36" s="1"/>
  <c r="I3132" i="36" s="1"/>
  <c r="I3133" i="36" s="1"/>
  <c r="I3134" i="36" s="1"/>
  <c r="I3135" i="36" s="1"/>
  <c r="I3136" i="36" s="1"/>
  <c r="I3137" i="36" s="1"/>
  <c r="I3138" i="36" s="1"/>
  <c r="I3139" i="36" s="1"/>
  <c r="I3140" i="36" s="1"/>
  <c r="I3141" i="36" s="1"/>
  <c r="I3142" i="36" s="1"/>
  <c r="I3143" i="36" s="1"/>
  <c r="I3144" i="36" s="1"/>
  <c r="I3145" i="36" s="1"/>
  <c r="I3146" i="36" s="1"/>
  <c r="I3147" i="36" s="1"/>
  <c r="I3148" i="36" s="1"/>
  <c r="I3149" i="36" s="1"/>
  <c r="I3150" i="36" s="1"/>
  <c r="I3151" i="36" s="1"/>
  <c r="I3152" i="36" s="1"/>
  <c r="I3153" i="36" s="1"/>
  <c r="I3154" i="36" s="1"/>
  <c r="I3155" i="36" s="1"/>
  <c r="I3156" i="36" s="1"/>
  <c r="I3157" i="36" s="1"/>
  <c r="I3158" i="36" s="1"/>
  <c r="I3159" i="36" s="1"/>
  <c r="I3160" i="36" s="1"/>
  <c r="I3161" i="36" s="1"/>
  <c r="I3162" i="36" s="1"/>
  <c r="I3163" i="36" s="1"/>
  <c r="I3164" i="36" s="1"/>
  <c r="I3165" i="36" s="1"/>
  <c r="I3166" i="36" s="1"/>
  <c r="I3167" i="36" s="1"/>
  <c r="I3168" i="36" s="1"/>
  <c r="I3169" i="36" s="1"/>
  <c r="I3170" i="36" s="1"/>
  <c r="I3171" i="36" s="1"/>
  <c r="I3172" i="36" s="1"/>
  <c r="I3173" i="36" s="1"/>
  <c r="I3174" i="36" s="1"/>
  <c r="I3175" i="36" s="1"/>
  <c r="I3176" i="36" s="1"/>
  <c r="I3177" i="36" s="1"/>
  <c r="I3178" i="36" s="1"/>
  <c r="I3179" i="36" s="1"/>
  <c r="I3180" i="36" s="1"/>
  <c r="I3181" i="36" s="1"/>
  <c r="I3182" i="36" s="1"/>
  <c r="I3183" i="36" s="1"/>
  <c r="I3184" i="36" s="1"/>
  <c r="I3185" i="36" s="1"/>
  <c r="I3186" i="36" s="1"/>
  <c r="I3187" i="36" s="1"/>
  <c r="I3188" i="36" s="1"/>
  <c r="I3189" i="36" s="1"/>
  <c r="I3190" i="36" s="1"/>
  <c r="I3191" i="36" s="1"/>
  <c r="I3192" i="36" s="1"/>
  <c r="I3193" i="36" s="1"/>
  <c r="I3194" i="36" s="1"/>
  <c r="I3195" i="36" s="1"/>
  <c r="I3196" i="36" s="1"/>
  <c r="I3197" i="36" s="1"/>
  <c r="I3198" i="36" s="1"/>
  <c r="I3199" i="36" s="1"/>
  <c r="I3200" i="36" s="1"/>
  <c r="I3201" i="36" s="1"/>
  <c r="I3202" i="36" s="1"/>
  <c r="I3203" i="36" s="1"/>
  <c r="I3204" i="36" s="1"/>
  <c r="I3205" i="36" s="1"/>
  <c r="I3206" i="36" s="1"/>
  <c r="I3207" i="36" s="1"/>
  <c r="I3208" i="36" s="1"/>
  <c r="I3209" i="36" s="1"/>
  <c r="I3210" i="36" s="1"/>
  <c r="I3211" i="36" s="1"/>
  <c r="I3212" i="36" s="1"/>
  <c r="I3213" i="36" s="1"/>
  <c r="I3214" i="36" s="1"/>
  <c r="I3215" i="36" s="1"/>
  <c r="I3216" i="36" s="1"/>
  <c r="I3217" i="36" s="1"/>
  <c r="I3218" i="36" s="1"/>
  <c r="I3219" i="36" s="1"/>
  <c r="I3220" i="36" s="1"/>
  <c r="I3221" i="36" s="1"/>
  <c r="I3222" i="36" s="1"/>
  <c r="I3223" i="36" s="1"/>
  <c r="I3224" i="36" s="1"/>
  <c r="I3225" i="36" s="1"/>
  <c r="I3226" i="36" s="1"/>
  <c r="I3227" i="36" s="1"/>
  <c r="I3228" i="36" s="1"/>
  <c r="I3229" i="36" s="1"/>
  <c r="I3230" i="36" s="1"/>
  <c r="I3231" i="36" s="1"/>
  <c r="I3232" i="36" s="1"/>
  <c r="I3233" i="36" s="1"/>
  <c r="I3234" i="36" s="1"/>
  <c r="I3235" i="36" s="1"/>
  <c r="I3236" i="36" s="1"/>
  <c r="I3237" i="36" s="1"/>
  <c r="I3238" i="36" s="1"/>
  <c r="I3239" i="36" s="1"/>
  <c r="I3240" i="36" s="1"/>
  <c r="I3241" i="36" s="1"/>
  <c r="I3242" i="36" s="1"/>
  <c r="I3243" i="36" s="1"/>
  <c r="I3244" i="36" s="1"/>
  <c r="I3245" i="36" s="1"/>
  <c r="I3246" i="36" s="1"/>
  <c r="I3247" i="36" s="1"/>
  <c r="I3248" i="36" s="1"/>
  <c r="I3249" i="36" s="1"/>
  <c r="I3250" i="36" s="1"/>
  <c r="I3251" i="36" s="1"/>
  <c r="I3252" i="36" s="1"/>
  <c r="I3253" i="36" s="1"/>
  <c r="I3254" i="36" s="1"/>
  <c r="I3255" i="36" s="1"/>
  <c r="I3256" i="36" s="1"/>
  <c r="I3257" i="36" s="1"/>
  <c r="I3258" i="36" s="1"/>
  <c r="I3259" i="36" s="1"/>
  <c r="I3260" i="36" s="1"/>
  <c r="I3261" i="36" s="1"/>
  <c r="I3262" i="36" s="1"/>
  <c r="I3263" i="36" s="1"/>
  <c r="I3264" i="36" s="1"/>
  <c r="I3265" i="36" s="1"/>
  <c r="I3266" i="36" s="1"/>
  <c r="I3267" i="36" s="1"/>
  <c r="I3268" i="36" s="1"/>
  <c r="I3269" i="36" s="1"/>
  <c r="I3270" i="36" s="1"/>
  <c r="I3271" i="36" s="1"/>
  <c r="I3272" i="36" s="1"/>
  <c r="I3273" i="36" s="1"/>
  <c r="I3274" i="36" s="1"/>
  <c r="I3275" i="36" s="1"/>
  <c r="I3276" i="36" s="1"/>
  <c r="I3277" i="36" s="1"/>
  <c r="I3278" i="36" s="1"/>
  <c r="I3279" i="36" s="1"/>
  <c r="I3280" i="36" s="1"/>
  <c r="I3281" i="36" s="1"/>
  <c r="I3282" i="36" s="1"/>
  <c r="I3283" i="36" s="1"/>
  <c r="I3284" i="36" s="1"/>
  <c r="I3285" i="36" s="1"/>
  <c r="I3286" i="36" s="1"/>
  <c r="I3287" i="36" s="1"/>
  <c r="I3288" i="36" s="1"/>
  <c r="I3289" i="36" s="1"/>
  <c r="I3290" i="36" s="1"/>
  <c r="I3291" i="36" s="1"/>
  <c r="I3292" i="36" s="1"/>
  <c r="I3293" i="36" s="1"/>
  <c r="I3294" i="36" s="1"/>
  <c r="I3295" i="36" s="1"/>
  <c r="I3296" i="36" s="1"/>
  <c r="I3297" i="36" s="1"/>
  <c r="I3298" i="36" s="1"/>
  <c r="I3299" i="36" s="1"/>
  <c r="I3300" i="36" s="1"/>
  <c r="I3301" i="36" s="1"/>
  <c r="I3302" i="36" s="1"/>
  <c r="I3303" i="36" s="1"/>
  <c r="I3304" i="36" s="1"/>
  <c r="I3305" i="36" s="1"/>
  <c r="I3306" i="36" s="1"/>
  <c r="I3307" i="36" s="1"/>
  <c r="I3308" i="36" s="1"/>
  <c r="I3309" i="36" s="1"/>
  <c r="I3310" i="36" s="1"/>
  <c r="I3311" i="36" s="1"/>
  <c r="I3312" i="36" s="1"/>
  <c r="I3313" i="36" s="1"/>
  <c r="I3314" i="36" s="1"/>
  <c r="I3315" i="36" s="1"/>
  <c r="I3316" i="36" s="1"/>
  <c r="I3317" i="36" s="1"/>
  <c r="I3318" i="36" s="1"/>
  <c r="I3319" i="36" s="1"/>
  <c r="I3320" i="36" s="1"/>
  <c r="I3321" i="36" s="1"/>
  <c r="I3322" i="36" s="1"/>
  <c r="I3323" i="36" s="1"/>
  <c r="I3324" i="36" s="1"/>
  <c r="I3325" i="36" s="1"/>
  <c r="I3326" i="36" s="1"/>
  <c r="I3327" i="36" s="1"/>
  <c r="I3328" i="36" s="1"/>
  <c r="I3329" i="36" s="1"/>
  <c r="I3330" i="36" s="1"/>
  <c r="I3331" i="36" s="1"/>
  <c r="I3332" i="36" s="1"/>
  <c r="I3333" i="36" s="1"/>
  <c r="I3334" i="36" s="1"/>
  <c r="I3335" i="36" s="1"/>
  <c r="I3336" i="36" s="1"/>
  <c r="I3337" i="36" s="1"/>
  <c r="I3338" i="36" s="1"/>
  <c r="I3339" i="36" s="1"/>
  <c r="I3340" i="36" s="1"/>
  <c r="I3341" i="36" s="1"/>
  <c r="I3342" i="36" s="1"/>
  <c r="I3343" i="36" s="1"/>
  <c r="I3344" i="36" s="1"/>
  <c r="I3345" i="36" s="1"/>
  <c r="I3346" i="36" s="1"/>
  <c r="I3347" i="36" s="1"/>
  <c r="I3348" i="36" s="1"/>
  <c r="I3349" i="36" s="1"/>
  <c r="I3350" i="36" s="1"/>
  <c r="I3351" i="36" s="1"/>
  <c r="I3352" i="36" s="1"/>
  <c r="I3353" i="36" s="1"/>
  <c r="I3354" i="36" s="1"/>
  <c r="I3355" i="36" s="1"/>
  <c r="I3356" i="36" s="1"/>
  <c r="I3357" i="36" s="1"/>
  <c r="I3358" i="36" s="1"/>
  <c r="I3359" i="36" s="1"/>
  <c r="I3360" i="36" s="1"/>
  <c r="I3361" i="36" s="1"/>
  <c r="I3362" i="36" s="1"/>
  <c r="I3363" i="36" s="1"/>
  <c r="I3364" i="36" s="1"/>
  <c r="I3365" i="36" s="1"/>
  <c r="I3366" i="36" s="1"/>
  <c r="I3367" i="36" s="1"/>
  <c r="I3368" i="36" s="1"/>
  <c r="I3369" i="36" s="1"/>
  <c r="I3370" i="36" s="1"/>
  <c r="I3371" i="36" s="1"/>
  <c r="I3372" i="36" s="1"/>
  <c r="I3373" i="36" s="1"/>
  <c r="I3374" i="36" s="1"/>
  <c r="I3375" i="36" s="1"/>
  <c r="I3376" i="36" s="1"/>
  <c r="I3377" i="36" s="1"/>
  <c r="I3378" i="36" s="1"/>
  <c r="I3379" i="36" s="1"/>
  <c r="I3380" i="36" s="1"/>
  <c r="I3381" i="36" s="1"/>
  <c r="I3382" i="36" s="1"/>
  <c r="I3383" i="36" s="1"/>
  <c r="I3384" i="36" s="1"/>
  <c r="I3385" i="36" s="1"/>
  <c r="I3386" i="36" s="1"/>
  <c r="I3387" i="36" s="1"/>
  <c r="I3388" i="36" s="1"/>
  <c r="I3389" i="36" s="1"/>
  <c r="I3390" i="36" s="1"/>
  <c r="I3391" i="36" s="1"/>
  <c r="I3392" i="36" s="1"/>
  <c r="I3393" i="36" s="1"/>
  <c r="I3394" i="36" s="1"/>
  <c r="I3395" i="36" s="1"/>
  <c r="I3396" i="36" s="1"/>
  <c r="I3397" i="36" s="1"/>
  <c r="I3398" i="36" s="1"/>
  <c r="I3399" i="36" s="1"/>
  <c r="I3400" i="36" s="1"/>
  <c r="I3401" i="36" s="1"/>
  <c r="I3402" i="36" s="1"/>
  <c r="I3403" i="36" s="1"/>
  <c r="I3404" i="36" s="1"/>
  <c r="I3405" i="36" s="1"/>
  <c r="I3406" i="36" s="1"/>
  <c r="I3407" i="36" s="1"/>
  <c r="I3408" i="36" s="1"/>
  <c r="I3409" i="36" s="1"/>
  <c r="I3410" i="36" s="1"/>
  <c r="I3411" i="36" s="1"/>
  <c r="I3412" i="36" s="1"/>
  <c r="I3413" i="36" s="1"/>
  <c r="I3414" i="36" s="1"/>
  <c r="I3415" i="36" s="1"/>
  <c r="I3416" i="36" s="1"/>
  <c r="I3417" i="36" s="1"/>
  <c r="I3418" i="36" s="1"/>
  <c r="I3419" i="36" s="1"/>
  <c r="I3420" i="36" s="1"/>
  <c r="I3421" i="36" s="1"/>
  <c r="I3422" i="36" s="1"/>
  <c r="I3423" i="36" s="1"/>
  <c r="I3424" i="36" s="1"/>
  <c r="I3425" i="36" s="1"/>
  <c r="I3426" i="36" s="1"/>
  <c r="I3427" i="36" s="1"/>
  <c r="I3428" i="36" s="1"/>
  <c r="I3429" i="36" s="1"/>
  <c r="I3430" i="36" s="1"/>
  <c r="I3431" i="36" s="1"/>
  <c r="I3432" i="36" s="1"/>
  <c r="I3433" i="36" s="1"/>
  <c r="I3434" i="36" s="1"/>
  <c r="I3435" i="36" s="1"/>
  <c r="I3436" i="36" s="1"/>
  <c r="I3437" i="36" s="1"/>
  <c r="I3438" i="36" s="1"/>
  <c r="I3439" i="36" s="1"/>
  <c r="I3440" i="36" s="1"/>
  <c r="I3441" i="36" s="1"/>
  <c r="I3442" i="36" s="1"/>
  <c r="I3443" i="36" s="1"/>
  <c r="I3444" i="36" s="1"/>
  <c r="I3445" i="36" s="1"/>
  <c r="I3446" i="36" s="1"/>
  <c r="I3447" i="36" s="1"/>
  <c r="I3448" i="36" s="1"/>
  <c r="I3449" i="36" s="1"/>
  <c r="I3450" i="36" s="1"/>
  <c r="I3451" i="36" s="1"/>
  <c r="I3452" i="36" s="1"/>
  <c r="I3453" i="36" s="1"/>
  <c r="I3454" i="36" s="1"/>
  <c r="I3455" i="36" s="1"/>
  <c r="I3456" i="36" s="1"/>
  <c r="I3457" i="36" s="1"/>
  <c r="I3458" i="36" s="1"/>
  <c r="I3459" i="36" s="1"/>
  <c r="I3460" i="36" s="1"/>
  <c r="I3461" i="36" s="1"/>
  <c r="I3462" i="36" s="1"/>
  <c r="I3463" i="36" s="1"/>
  <c r="I3464" i="36" s="1"/>
  <c r="I3465" i="36" s="1"/>
  <c r="I3466" i="36" s="1"/>
  <c r="I3467" i="36" s="1"/>
  <c r="I3468" i="36" s="1"/>
  <c r="I3469" i="36" s="1"/>
  <c r="I3470" i="36" s="1"/>
  <c r="I3471" i="36" s="1"/>
  <c r="I3472" i="36" s="1"/>
  <c r="I3473" i="36" s="1"/>
  <c r="I3474" i="36" s="1"/>
  <c r="I3475" i="36" s="1"/>
  <c r="I3476" i="36" s="1"/>
  <c r="I3477" i="36" s="1"/>
  <c r="I3478" i="36" s="1"/>
  <c r="H18" i="51"/>
  <c r="N70" i="51"/>
  <c r="N18" i="51"/>
  <c r="F70" i="51"/>
  <c r="F18" i="51"/>
  <c r="Z18" i="51"/>
  <c r="Z70" i="51"/>
  <c r="T70" i="51"/>
  <c r="V70" i="51"/>
  <c r="J70" i="51"/>
  <c r="J18" i="51"/>
  <c r="P18" i="51"/>
  <c r="P70" i="51"/>
  <c r="AB24" i="51"/>
  <c r="D70" i="51"/>
  <c r="AB69" i="51"/>
  <c r="AB70" i="51" s="1"/>
  <c r="L70" i="51"/>
  <c r="AB17" i="51"/>
  <c r="AC17" i="51" s="1"/>
  <c r="R18" i="51"/>
  <c r="X70" i="51"/>
  <c r="X18" i="51"/>
  <c r="AB18" i="51" l="1"/>
  <c r="AC18" i="51" s="1"/>
  <c r="I2098" i="24"/>
  <c r="I2099" i="24" s="1"/>
  <c r="I2100" i="24" s="1"/>
  <c r="I2101" i="24" s="1"/>
  <c r="I2102" i="24" s="1"/>
  <c r="I2103" i="24" s="1"/>
  <c r="I2104" i="24" s="1"/>
  <c r="I2105" i="24" s="1"/>
  <c r="I2106" i="24" s="1"/>
  <c r="I2107" i="24" s="1"/>
  <c r="I2108" i="24" s="1"/>
  <c r="I2109" i="24" s="1"/>
  <c r="I2110" i="24" s="1"/>
  <c r="I2111" i="24" s="1"/>
  <c r="I2112" i="24" s="1"/>
  <c r="I2113" i="24" s="1"/>
  <c r="I2114" i="24" s="1"/>
  <c r="I2115" i="24" s="1"/>
  <c r="I2116" i="24" s="1"/>
  <c r="I2117" i="24" s="1"/>
  <c r="I2118" i="24" s="1"/>
  <c r="I2119" i="24" s="1"/>
  <c r="I2120" i="24" s="1"/>
  <c r="I2121" i="24" s="1"/>
  <c r="I2122" i="24" s="1"/>
  <c r="I2123" i="24" s="1"/>
  <c r="I2124" i="24" s="1"/>
  <c r="I2125" i="24" s="1"/>
  <c r="I2126" i="24" s="1"/>
  <c r="I2127" i="24" s="1"/>
  <c r="I2128" i="24" s="1"/>
  <c r="I2129" i="24" s="1"/>
  <c r="I2130" i="24" s="1"/>
  <c r="I2131" i="24" s="1"/>
  <c r="I2132" i="24" s="1"/>
  <c r="I2133" i="24" s="1"/>
  <c r="I2134" i="24" s="1"/>
  <c r="I2135" i="24" s="1"/>
  <c r="I2136" i="24" s="1"/>
  <c r="I2137" i="24" s="1"/>
  <c r="I2138" i="24" s="1"/>
  <c r="I2139" i="24" s="1"/>
  <c r="I2140" i="24" s="1"/>
  <c r="I2141" i="24" s="1"/>
  <c r="I2142" i="24" s="1"/>
  <c r="I2143" i="24" s="1"/>
  <c r="I2144" i="24" s="1"/>
  <c r="I2145" i="24" s="1"/>
  <c r="I2146" i="24" s="1"/>
  <c r="I2147" i="24" s="1"/>
  <c r="I2148" i="24" s="1"/>
  <c r="I2149" i="24" s="1"/>
  <c r="I2150" i="24" s="1"/>
  <c r="I2151" i="24" s="1"/>
  <c r="I2152" i="24" s="1"/>
  <c r="I2153" i="24" s="1"/>
  <c r="I2154" i="24" s="1"/>
  <c r="I2155" i="24" s="1"/>
  <c r="I2156" i="24" s="1"/>
  <c r="I2157" i="24" s="1"/>
  <c r="I2158" i="24" s="1"/>
  <c r="I2159" i="24" s="1"/>
  <c r="I2160" i="24" s="1"/>
  <c r="I2161" i="24" s="1"/>
  <c r="I2162" i="24" s="1"/>
  <c r="I2163" i="24" s="1"/>
  <c r="I2164" i="24" s="1"/>
  <c r="I2165" i="24" s="1"/>
  <c r="I2166" i="24" s="1"/>
  <c r="I2167" i="24" s="1"/>
  <c r="I2168" i="24" s="1"/>
  <c r="I2169" i="24" s="1"/>
  <c r="AB54" i="51"/>
  <c r="T73" i="51"/>
  <c r="AB56" i="51"/>
  <c r="AB29" i="51"/>
  <c r="AB39" i="51"/>
  <c r="D4" i="24"/>
  <c r="U5" i="94" s="1"/>
  <c r="AB41" i="51"/>
  <c r="X14" i="51"/>
  <c r="Y14" i="51" s="1"/>
  <c r="AB52" i="51"/>
  <c r="F14" i="51"/>
  <c r="G14" i="51" s="1"/>
  <c r="AB62" i="51"/>
  <c r="AB53" i="51"/>
  <c r="R73" i="51"/>
  <c r="P36" i="51"/>
  <c r="L16" i="51"/>
  <c r="M16" i="51" s="1"/>
  <c r="AB55" i="51"/>
  <c r="L14" i="51"/>
  <c r="M14" i="51" s="1"/>
  <c r="AB57" i="51"/>
  <c r="AB34" i="51"/>
  <c r="AB28" i="51"/>
  <c r="P15" i="51"/>
  <c r="Q15" i="51" s="1"/>
  <c r="AB40" i="51"/>
  <c r="Z14" i="51"/>
  <c r="T78" i="51"/>
  <c r="T21" i="51" s="1"/>
  <c r="Z19" i="51"/>
  <c r="P78" i="51"/>
  <c r="P21" i="51" s="1"/>
  <c r="Z78" i="51"/>
  <c r="Z21" i="51" s="1"/>
  <c r="AB27" i="51"/>
  <c r="X15" i="51"/>
  <c r="Y15" i="51" s="1"/>
  <c r="D78" i="51"/>
  <c r="X19" i="51"/>
  <c r="R78" i="51"/>
  <c r="R21" i="51" s="1"/>
  <c r="AB26" i="51"/>
  <c r="AB47" i="51"/>
  <c r="N73" i="51"/>
  <c r="R42" i="51"/>
  <c r="V78" i="51"/>
  <c r="V21" i="51" s="1"/>
  <c r="H78" i="51"/>
  <c r="H21" i="51" s="1"/>
  <c r="AB46" i="51"/>
  <c r="V48" i="51"/>
  <c r="F78" i="51"/>
  <c r="F21" i="51" s="1"/>
  <c r="V16" i="51"/>
  <c r="W16" i="51" s="1"/>
  <c r="N78" i="51"/>
  <c r="N21" i="51" s="1"/>
  <c r="L78" i="51"/>
  <c r="L21" i="51" s="1"/>
  <c r="X78" i="51"/>
  <c r="X21" i="51" s="1"/>
  <c r="AB63" i="51"/>
  <c r="V73" i="51"/>
  <c r="J78" i="51"/>
  <c r="J21" i="51" s="1"/>
  <c r="E1" i="24"/>
  <c r="G1" i="24" s="1"/>
  <c r="I2170" i="24" l="1"/>
  <c r="I2171" i="24" s="1"/>
  <c r="I2172" i="24" s="1"/>
  <c r="I2173" i="24" s="1"/>
  <c r="I2174" i="24" s="1"/>
  <c r="I2175" i="24" s="1"/>
  <c r="I2176" i="24" s="1"/>
  <c r="I2177" i="24" s="1"/>
  <c r="I2178" i="24" s="1"/>
  <c r="I2179" i="24" s="1"/>
  <c r="I2180" i="24" s="1"/>
  <c r="I2181" i="24" s="1"/>
  <c r="I2182" i="24" s="1"/>
  <c r="I2183" i="24" s="1"/>
  <c r="I2184" i="24" s="1"/>
  <c r="I2185" i="24" s="1"/>
  <c r="I2186" i="24" s="1"/>
  <c r="I2187" i="24" s="1"/>
  <c r="I2188" i="24" s="1"/>
  <c r="I2189" i="24" s="1"/>
  <c r="I2190" i="24" s="1"/>
  <c r="I2191" i="24" s="1"/>
  <c r="I2192" i="24" s="1"/>
  <c r="J30" i="51"/>
  <c r="J12" i="51"/>
  <c r="J42" i="51" s="1"/>
  <c r="X30" i="51"/>
  <c r="X12" i="51"/>
  <c r="X42" i="51" s="1"/>
  <c r="F12" i="51"/>
  <c r="F30" i="51"/>
  <c r="R30" i="51"/>
  <c r="R12" i="51"/>
  <c r="T12" i="51"/>
  <c r="T42" i="51" s="1"/>
  <c r="T30" i="51"/>
  <c r="N12" i="51"/>
  <c r="N42" i="51" s="1"/>
  <c r="N30" i="51"/>
  <c r="P12" i="51"/>
  <c r="P42" i="51" s="1"/>
  <c r="P30" i="51"/>
  <c r="L12" i="51"/>
  <c r="L42" i="51" s="1"/>
  <c r="L30" i="51"/>
  <c r="Z12" i="51"/>
  <c r="Z30" i="51"/>
  <c r="AB25" i="51"/>
  <c r="AB30" i="51" s="1"/>
  <c r="D12" i="51"/>
  <c r="V30" i="51"/>
  <c r="V12" i="51"/>
  <c r="V42" i="51" s="1"/>
  <c r="H12" i="51"/>
  <c r="H30" i="51"/>
  <c r="V15" i="51"/>
  <c r="W15" i="51" s="1"/>
  <c r="V19" i="51"/>
  <c r="D14" i="51"/>
  <c r="E14" i="51" s="1"/>
  <c r="P19" i="51"/>
  <c r="P73" i="51"/>
  <c r="N19" i="51"/>
  <c r="H73" i="51"/>
  <c r="H19" i="51"/>
  <c r="H16" i="51"/>
  <c r="I16" i="51" s="1"/>
  <c r="H67" i="51"/>
  <c r="L48" i="51"/>
  <c r="L15" i="51"/>
  <c r="M15" i="51" s="1"/>
  <c r="L73" i="51"/>
  <c r="L19" i="51"/>
  <c r="Z36" i="51"/>
  <c r="Z13" i="51"/>
  <c r="AA13" i="51" s="1"/>
  <c r="X48" i="51"/>
  <c r="AB38" i="51"/>
  <c r="AB42" i="51" s="1"/>
  <c r="R14" i="51"/>
  <c r="S14" i="51" s="1"/>
  <c r="R19" i="51"/>
  <c r="T48" i="51"/>
  <c r="T15" i="51"/>
  <c r="U15" i="51" s="1"/>
  <c r="J19" i="51"/>
  <c r="J73" i="51"/>
  <c r="C10" i="39"/>
  <c r="C80" i="39"/>
  <c r="C41" i="39"/>
  <c r="C37" i="39"/>
  <c r="C71" i="39"/>
  <c r="C18" i="39"/>
  <c r="C17" i="39"/>
  <c r="C40" i="39"/>
  <c r="C69" i="39"/>
  <c r="C83" i="39"/>
  <c r="C42" i="39"/>
  <c r="C60" i="39"/>
  <c r="C97" i="39"/>
  <c r="C68" i="39"/>
  <c r="C92" i="39"/>
  <c r="C43" i="39"/>
  <c r="C39" i="39"/>
  <c r="C53" i="39"/>
  <c r="C78" i="39"/>
  <c r="C33" i="39"/>
  <c r="C14" i="39"/>
  <c r="G5" i="39"/>
  <c r="C87" i="39"/>
  <c r="C81" i="39"/>
  <c r="C35" i="39"/>
  <c r="C31" i="39"/>
  <c r="C66" i="39"/>
  <c r="C26" i="39"/>
  <c r="C24" i="39"/>
  <c r="C103" i="39"/>
  <c r="G6" i="39"/>
  <c r="C65" i="39"/>
  <c r="C12" i="39"/>
  <c r="C82" i="39"/>
  <c r="C6" i="39"/>
  <c r="C36" i="39"/>
  <c r="G9" i="39"/>
  <c r="G8" i="39" s="1"/>
  <c r="C64" i="39"/>
  <c r="C13" i="39"/>
  <c r="C9" i="39"/>
  <c r="C89" i="39"/>
  <c r="C38" i="39"/>
  <c r="C93" i="39"/>
  <c r="C88" i="39"/>
  <c r="C86" i="39"/>
  <c r="C15" i="39"/>
  <c r="C51" i="39"/>
  <c r="C44" i="39"/>
  <c r="C27" i="39"/>
  <c r="C121" i="39"/>
  <c r="C94" i="39"/>
  <c r="C99" i="39"/>
  <c r="C79" i="39"/>
  <c r="C59" i="39"/>
  <c r="C120" i="39"/>
  <c r="C52" i="39"/>
  <c r="C104" i="39"/>
  <c r="C19" i="39"/>
  <c r="C25" i="39"/>
  <c r="C7" i="39"/>
  <c r="C72" i="39"/>
  <c r="C57" i="39"/>
  <c r="C5" i="39"/>
  <c r="C34" i="39"/>
  <c r="C16" i="39"/>
  <c r="C11" i="39"/>
  <c r="C95" i="39"/>
  <c r="C50" i="39"/>
  <c r="C96" i="39"/>
  <c r="C67" i="39"/>
  <c r="C8" i="39"/>
  <c r="C48" i="39"/>
  <c r="C28" i="39"/>
  <c r="C32" i="39"/>
  <c r="C118" i="39" s="1"/>
  <c r="C70" i="39"/>
  <c r="C122" i="39" s="1"/>
  <c r="C58" i="39"/>
  <c r="C49" i="39"/>
  <c r="C77" i="39"/>
  <c r="C29" i="39"/>
  <c r="C117" i="39" s="1"/>
  <c r="C30" i="39"/>
  <c r="C116" i="39" s="1"/>
  <c r="P14" i="51"/>
  <c r="Q14" i="51" s="1"/>
  <c r="T16" i="51"/>
  <c r="U16" i="51" s="1"/>
  <c r="T67" i="51"/>
  <c r="F19" i="51"/>
  <c r="F73" i="51"/>
  <c r="D19" i="51"/>
  <c r="AB72" i="51"/>
  <c r="AB73" i="51" s="1"/>
  <c r="D73" i="51"/>
  <c r="F67" i="51"/>
  <c r="F16" i="51"/>
  <c r="G16" i="51" s="1"/>
  <c r="D21" i="51"/>
  <c r="AB21" i="51" s="1"/>
  <c r="AB78" i="51"/>
  <c r="J48" i="51"/>
  <c r="J15" i="51"/>
  <c r="K15" i="51" s="1"/>
  <c r="N13" i="51"/>
  <c r="O13" i="51" s="1"/>
  <c r="N36" i="51"/>
  <c r="V67" i="51"/>
  <c r="AB33" i="51"/>
  <c r="AB36" i="51" s="1"/>
  <c r="D13" i="51"/>
  <c r="E13" i="51" s="1"/>
  <c r="D36" i="51"/>
  <c r="Z15" i="51"/>
  <c r="Z48" i="51"/>
  <c r="Z73" i="51" s="1"/>
  <c r="J16" i="51"/>
  <c r="K16" i="51" s="1"/>
  <c r="J67" i="51"/>
  <c r="X13" i="51"/>
  <c r="Y13" i="51" s="1"/>
  <c r="X36" i="51"/>
  <c r="L13" i="51"/>
  <c r="M13" i="51" s="1"/>
  <c r="L36" i="51"/>
  <c r="J14" i="51"/>
  <c r="K14" i="51" s="1"/>
  <c r="X67" i="51"/>
  <c r="X16" i="51"/>
  <c r="Y16" i="51" s="1"/>
  <c r="J13" i="51"/>
  <c r="K13" i="51" s="1"/>
  <c r="J36" i="51"/>
  <c r="V13" i="51"/>
  <c r="W13" i="51" s="1"/>
  <c r="V36" i="51"/>
  <c r="R48" i="51"/>
  <c r="R15" i="51"/>
  <c r="S15" i="51" s="1"/>
  <c r="N14" i="51"/>
  <c r="O14" i="51" s="1"/>
  <c r="AA14" i="51"/>
  <c r="H14" i="51"/>
  <c r="I14" i="51" s="1"/>
  <c r="H13" i="51"/>
  <c r="I13" i="51" s="1"/>
  <c r="H36" i="51"/>
  <c r="T14" i="51"/>
  <c r="U14" i="51" s="1"/>
  <c r="L67" i="51"/>
  <c r="R67" i="51"/>
  <c r="R16" i="51"/>
  <c r="S16" i="51" s="1"/>
  <c r="R36" i="51"/>
  <c r="R13" i="51"/>
  <c r="S13" i="51" s="1"/>
  <c r="H48" i="51"/>
  <c r="H15" i="51"/>
  <c r="I15" i="51" s="1"/>
  <c r="F13" i="51"/>
  <c r="G13" i="51" s="1"/>
  <c r="F36" i="51"/>
  <c r="N48" i="51"/>
  <c r="N15" i="51"/>
  <c r="O15" i="51" s="1"/>
  <c r="D48" i="51"/>
  <c r="D15" i="51"/>
  <c r="E15" i="51" s="1"/>
  <c r="AB45" i="51"/>
  <c r="AB48" i="51" s="1"/>
  <c r="T36" i="51"/>
  <c r="T13" i="51"/>
  <c r="U13" i="51" s="1"/>
  <c r="N16" i="51"/>
  <c r="O16" i="51" s="1"/>
  <c r="N67" i="51"/>
  <c r="Z16" i="51"/>
  <c r="Z67" i="51"/>
  <c r="P13" i="51"/>
  <c r="Q13" i="51" s="1"/>
  <c r="F48" i="51"/>
  <c r="F15" i="51"/>
  <c r="G15" i="51" s="1"/>
  <c r="D67" i="51"/>
  <c r="D16" i="51"/>
  <c r="E16" i="51" s="1"/>
  <c r="P67" i="51"/>
  <c r="P16" i="51"/>
  <c r="Q16" i="51" s="1"/>
  <c r="V14" i="51"/>
  <c r="W14" i="51" s="1"/>
  <c r="X73" i="51"/>
  <c r="P48" i="51"/>
  <c r="AB51" i="51"/>
  <c r="AB67" i="51" s="1"/>
  <c r="I2193" i="24" l="1"/>
  <c r="I2194" i="24" s="1"/>
  <c r="I2195" i="24" s="1"/>
  <c r="I2196" i="24" s="1"/>
  <c r="I2197" i="24" s="1"/>
  <c r="I2198" i="24" s="1"/>
  <c r="I2199" i="24" s="1"/>
  <c r="I2200" i="24" s="1"/>
  <c r="D6" i="51"/>
  <c r="D8" i="51" s="1"/>
  <c r="E12" i="51"/>
  <c r="O12" i="51"/>
  <c r="N6" i="51"/>
  <c r="U12" i="51"/>
  <c r="T6" i="51"/>
  <c r="AA12" i="51"/>
  <c r="Z6" i="51"/>
  <c r="AB12" i="51"/>
  <c r="AC12" i="51" s="1"/>
  <c r="AA28" i="94" s="1"/>
  <c r="R6" i="51"/>
  <c r="S12" i="51"/>
  <c r="M12" i="51"/>
  <c r="L6" i="51"/>
  <c r="L8" i="51" s="1"/>
  <c r="Z42" i="51"/>
  <c r="H6" i="51"/>
  <c r="I12" i="51"/>
  <c r="G12" i="51"/>
  <c r="F6" i="51"/>
  <c r="F42" i="51"/>
  <c r="D42" i="51"/>
  <c r="Q12" i="51"/>
  <c r="P6" i="51"/>
  <c r="P8" i="51" s="1"/>
  <c r="X6" i="51"/>
  <c r="Y12" i="51"/>
  <c r="W12" i="51"/>
  <c r="V6" i="51"/>
  <c r="H42" i="51"/>
  <c r="J6" i="51"/>
  <c r="J8" i="51" s="1"/>
  <c r="K12" i="51"/>
  <c r="C76" i="39"/>
  <c r="C105" i="39"/>
  <c r="I5" i="94" s="1"/>
  <c r="C85" i="39"/>
  <c r="G4" i="39"/>
  <c r="G3" i="39" s="1"/>
  <c r="C47" i="39"/>
  <c r="C126" i="39"/>
  <c r="C91" i="39"/>
  <c r="AA16" i="51"/>
  <c r="AB16" i="51"/>
  <c r="AC16" i="51" s="1"/>
  <c r="AB19" i="51"/>
  <c r="AC19" i="51" s="1"/>
  <c r="AB13" i="51"/>
  <c r="AA15" i="51"/>
  <c r="AB15" i="51"/>
  <c r="AC15" i="51" s="1"/>
  <c r="C4" i="39"/>
  <c r="C56" i="39"/>
  <c r="C23" i="39"/>
  <c r="AB14" i="51"/>
  <c r="AC14" i="51" s="1"/>
  <c r="C63" i="39"/>
  <c r="I2201" i="24" l="1"/>
  <c r="I2202" i="24" s="1"/>
  <c r="I2203" i="24" s="1"/>
  <c r="I2204" i="24" s="1"/>
  <c r="I2205" i="24" s="1"/>
  <c r="I2206" i="24" s="1"/>
  <c r="I2207" i="24" s="1"/>
  <c r="I2208" i="24" s="1"/>
  <c r="I2209" i="24" s="1"/>
  <c r="I2210" i="24" s="1"/>
  <c r="I2211" i="24" s="1"/>
  <c r="I2212" i="24" s="1"/>
  <c r="I2213" i="24" s="1"/>
  <c r="I2214" i="24" s="1"/>
  <c r="I2215" i="24" s="1"/>
  <c r="I2216" i="24" s="1"/>
  <c r="I2217" i="24" s="1"/>
  <c r="I2218" i="24" s="1"/>
  <c r="I2219" i="24" s="1"/>
  <c r="I2220" i="24" s="1"/>
  <c r="I2221" i="24" s="1"/>
  <c r="I2222" i="24" s="1"/>
  <c r="I2223" i="24" s="1"/>
  <c r="I2224" i="24" s="1"/>
  <c r="I2225" i="24" s="1"/>
  <c r="I2226" i="24" s="1"/>
  <c r="I2227" i="24" s="1"/>
  <c r="I2228" i="24" s="1"/>
  <c r="I2229" i="24" s="1"/>
  <c r="I2230" i="24" s="1"/>
  <c r="I2231" i="24" s="1"/>
  <c r="I2232" i="24" s="1"/>
  <c r="I2233" i="24" s="1"/>
  <c r="I2234" i="24" s="1"/>
  <c r="I2235" i="24" s="1"/>
  <c r="I2236" i="24" s="1"/>
  <c r="I2237" i="24" s="1"/>
  <c r="I2238" i="24" s="1"/>
  <c r="I2239" i="24" s="1"/>
  <c r="I2240" i="24" s="1"/>
  <c r="I2241" i="24" s="1"/>
  <c r="I2242" i="24" s="1"/>
  <c r="I2243" i="24" s="1"/>
  <c r="I2244" i="24" s="1"/>
  <c r="I2245" i="24" s="1"/>
  <c r="I2246" i="24" s="1"/>
  <c r="I2247" i="24" s="1"/>
  <c r="I2248" i="24" s="1"/>
  <c r="I2249" i="24" s="1"/>
  <c r="I2250" i="24" s="1"/>
  <c r="I2251" i="24" s="1"/>
  <c r="I2252" i="24" s="1"/>
  <c r="I2253" i="24" s="1"/>
  <c r="I2254" i="24" s="1"/>
  <c r="I2255" i="24" s="1"/>
  <c r="I2256" i="24" s="1"/>
  <c r="I2257" i="24" s="1"/>
  <c r="I2258" i="24" s="1"/>
  <c r="I2259" i="24" s="1"/>
  <c r="I2260" i="24" s="1"/>
  <c r="I2261" i="24" s="1"/>
  <c r="I2262" i="24" s="1"/>
  <c r="I2263" i="24" s="1"/>
  <c r="I2264" i="24" s="1"/>
  <c r="I2265" i="24" s="1"/>
  <c r="I2266" i="24" s="1"/>
  <c r="I2267" i="24" s="1"/>
  <c r="I2268" i="24" s="1"/>
  <c r="I2269" i="24" s="1"/>
  <c r="I2270" i="24" s="1"/>
  <c r="I2271" i="24" s="1"/>
  <c r="I2272" i="24" s="1"/>
  <c r="I2273" i="24" s="1"/>
  <c r="I2274" i="24" s="1"/>
  <c r="I2275" i="24" s="1"/>
  <c r="V3" i="51"/>
  <c r="V7" i="51"/>
  <c r="V8" i="51"/>
  <c r="H3" i="51"/>
  <c r="H7" i="51"/>
  <c r="J3" i="51"/>
  <c r="J7" i="51"/>
  <c r="X7" i="51"/>
  <c r="X3" i="51"/>
  <c r="X8" i="51"/>
  <c r="T7" i="51"/>
  <c r="T3" i="51"/>
  <c r="T8" i="51"/>
  <c r="H8" i="51"/>
  <c r="P3" i="51"/>
  <c r="P7" i="51"/>
  <c r="F7" i="51"/>
  <c r="F3" i="51"/>
  <c r="N3" i="51"/>
  <c r="N7" i="51"/>
  <c r="R3" i="51"/>
  <c r="R7" i="51"/>
  <c r="R8" i="51"/>
  <c r="D3" i="51"/>
  <c r="D7" i="51"/>
  <c r="L7" i="51"/>
  <c r="L3" i="51"/>
  <c r="N8" i="51"/>
  <c r="Z7" i="51"/>
  <c r="Z3" i="51"/>
  <c r="AB6" i="51"/>
  <c r="E6" i="51" s="1"/>
  <c r="Z8" i="51"/>
  <c r="F8" i="51"/>
  <c r="C73" i="39"/>
  <c r="C45" i="39"/>
  <c r="C21" i="39"/>
  <c r="C54" i="39"/>
  <c r="C3" i="39"/>
  <c r="C100" i="39" s="1"/>
  <c r="C20" i="39"/>
  <c r="C115" i="39" s="1"/>
  <c r="AA36" i="94"/>
  <c r="AC13" i="51"/>
  <c r="AA32" i="94" s="1"/>
  <c r="C61" i="39"/>
  <c r="C119" i="39"/>
  <c r="I2276" i="24" l="1"/>
  <c r="I2277" i="24" s="1"/>
  <c r="I2278" i="24" s="1"/>
  <c r="I2279" i="24" s="1"/>
  <c r="I2280" i="24" s="1"/>
  <c r="I2281" i="24" s="1"/>
  <c r="I2282" i="24" s="1"/>
  <c r="I2283" i="24" s="1"/>
  <c r="I2284" i="24" s="1"/>
  <c r="I2285" i="24" s="1"/>
  <c r="I2286" i="24" s="1"/>
  <c r="I2287" i="24" s="1"/>
  <c r="I2288" i="24" s="1"/>
  <c r="I2289" i="24" s="1"/>
  <c r="I2290" i="24" s="1"/>
  <c r="I2291" i="24" s="1"/>
  <c r="I2292" i="24" s="1"/>
  <c r="I2293" i="24" s="1"/>
  <c r="I2294" i="24" s="1"/>
  <c r="I2295" i="24" s="1"/>
  <c r="I2296" i="24" s="1"/>
  <c r="I2297" i="24" s="1"/>
  <c r="I2298" i="24" s="1"/>
  <c r="I2299" i="24" s="1"/>
  <c r="I2300" i="24" s="1"/>
  <c r="I2301" i="24" s="1"/>
  <c r="I2302" i="24" s="1"/>
  <c r="I2303" i="24" s="1"/>
  <c r="I2304" i="24" s="1"/>
  <c r="I2305" i="24" s="1"/>
  <c r="I2306" i="24" s="1"/>
  <c r="I2307" i="24" s="1"/>
  <c r="I2308" i="24" s="1"/>
  <c r="I2309" i="24" s="1"/>
  <c r="I2310" i="24" s="1"/>
  <c r="I2311" i="24" s="1"/>
  <c r="I2312" i="24" s="1"/>
  <c r="I2313" i="24" s="1"/>
  <c r="I2314" i="24" s="1"/>
  <c r="I2315" i="24" s="1"/>
  <c r="I2316" i="24" s="1"/>
  <c r="I2317" i="24" s="1"/>
  <c r="I2318" i="24" s="1"/>
  <c r="I2319" i="24" s="1"/>
  <c r="I2320" i="24" s="1"/>
  <c r="I2321" i="24" s="1"/>
  <c r="I2322" i="24" s="1"/>
  <c r="I2323" i="24" s="1"/>
  <c r="AB8" i="51"/>
  <c r="K6" i="51"/>
  <c r="S6" i="51"/>
  <c r="AA6" i="51"/>
  <c r="AB3" i="51"/>
  <c r="G3" i="51" s="1"/>
  <c r="AB7" i="51"/>
  <c r="G7" i="51" s="1"/>
  <c r="O6" i="51"/>
  <c r="I6" i="51"/>
  <c r="G6" i="51"/>
  <c r="W6" i="51"/>
  <c r="U6" i="51"/>
  <c r="M6" i="51"/>
  <c r="Y6" i="51"/>
  <c r="Q6" i="51"/>
  <c r="C113" i="39"/>
  <c r="C124" i="39" s="1"/>
  <c r="I2444" i="24" l="1"/>
  <c r="I2445" i="24" s="1"/>
  <c r="I2446" i="24" s="1"/>
  <c r="I2447" i="24" s="1"/>
  <c r="I2448" i="24" s="1"/>
  <c r="I2449" i="24" s="1"/>
  <c r="I2450" i="24" s="1"/>
  <c r="I2451" i="24" s="1"/>
  <c r="I2452" i="24" s="1"/>
  <c r="I2453" i="24" s="1"/>
  <c r="I2454" i="24" s="1"/>
  <c r="I2455" i="24" s="1"/>
  <c r="I2456" i="24" s="1"/>
  <c r="I2457" i="24" s="1"/>
  <c r="I2458" i="24" s="1"/>
  <c r="I2459" i="24" s="1"/>
  <c r="I2460" i="24" s="1"/>
  <c r="I2461" i="24" s="1"/>
  <c r="I2462" i="24" s="1"/>
  <c r="I2463" i="24" s="1"/>
  <c r="I2464" i="24" s="1"/>
  <c r="I2465" i="24" s="1"/>
  <c r="I2466" i="24" s="1"/>
  <c r="I2467" i="24" s="1"/>
  <c r="I2468" i="24" s="1"/>
  <c r="I2469" i="24" s="1"/>
  <c r="I2470" i="24" s="1"/>
  <c r="I2471" i="24" s="1"/>
  <c r="I2472" i="24" s="1"/>
  <c r="I2473" i="24" s="1"/>
  <c r="I2474" i="24" s="1"/>
  <c r="I2475" i="24" s="1"/>
  <c r="I2476" i="24" s="1"/>
  <c r="I2477" i="24" s="1"/>
  <c r="I2478" i="24" s="1"/>
  <c r="I2479" i="24" s="1"/>
  <c r="I2480" i="24" s="1"/>
  <c r="I2481" i="24" s="1"/>
  <c r="I2482" i="24" s="1"/>
  <c r="I2483" i="24" s="1"/>
  <c r="I2484" i="24" s="1"/>
  <c r="I2485" i="24" s="1"/>
  <c r="I2486" i="24" s="1"/>
  <c r="I2487" i="24" s="1"/>
  <c r="I2488" i="24" s="1"/>
  <c r="I2489" i="24" s="1"/>
  <c r="I2490" i="24" s="1"/>
  <c r="I2491" i="24" s="1"/>
  <c r="I2492" i="24" s="1"/>
  <c r="I2493" i="24" s="1"/>
  <c r="I2494" i="24" s="1"/>
  <c r="I2495" i="24" s="1"/>
  <c r="I2496" i="24" s="1"/>
  <c r="I2497" i="24" s="1"/>
  <c r="I2498" i="24" s="1"/>
  <c r="I2499" i="24" s="1"/>
  <c r="I2500" i="24" s="1"/>
  <c r="I2501" i="24" s="1"/>
  <c r="I2502" i="24" s="1"/>
  <c r="I2503" i="24" s="1"/>
  <c r="I2504" i="24" s="1"/>
  <c r="I2505" i="24" s="1"/>
  <c r="I2506" i="24" s="1"/>
  <c r="I2507" i="24" s="1"/>
  <c r="I2508" i="24" s="1"/>
  <c r="I2509" i="24" s="1"/>
  <c r="I2510" i="24" s="1"/>
  <c r="I2511" i="24" s="1"/>
  <c r="I2512" i="24" s="1"/>
  <c r="I2513" i="24" s="1"/>
  <c r="I2514" i="24" s="1"/>
  <c r="I2515" i="24" s="1"/>
  <c r="I2516" i="24" s="1"/>
  <c r="I2517" i="24" s="1"/>
  <c r="I2518" i="24" s="1"/>
  <c r="I2519" i="24" s="1"/>
  <c r="I2520" i="24" s="1"/>
  <c r="I2521" i="24" s="1"/>
  <c r="I2522" i="24" s="1"/>
  <c r="I2523" i="24" s="1"/>
  <c r="I2524" i="24" s="1"/>
  <c r="I2525" i="24" s="1"/>
  <c r="I2526" i="24" s="1"/>
  <c r="I2527" i="24" s="1"/>
  <c r="I2528" i="24" s="1"/>
  <c r="I2529" i="24" s="1"/>
  <c r="I2530" i="24" s="1"/>
  <c r="I2531" i="24" s="1"/>
  <c r="I2532" i="24" s="1"/>
  <c r="I2533" i="24" s="1"/>
  <c r="I2534" i="24" s="1"/>
  <c r="I2535" i="24" s="1"/>
  <c r="I2536" i="24" s="1"/>
  <c r="I2537" i="24" s="1"/>
  <c r="I2538" i="24" s="1"/>
  <c r="I2539" i="24" s="1"/>
  <c r="I2540" i="24" s="1"/>
  <c r="I2541" i="24" s="1"/>
  <c r="I2542" i="24" s="1"/>
  <c r="I2543" i="24" s="1"/>
  <c r="I2544" i="24" s="1"/>
  <c r="I2545" i="24" s="1"/>
  <c r="I2546" i="24" s="1"/>
  <c r="I2547" i="24" s="1"/>
  <c r="I2548" i="24" s="1"/>
  <c r="I2549" i="24" s="1"/>
  <c r="I2550" i="24" s="1"/>
  <c r="I2551" i="24" s="1"/>
  <c r="I2552" i="24" s="1"/>
  <c r="I2553" i="24" s="1"/>
  <c r="I2554" i="24" s="1"/>
  <c r="I2555" i="24" s="1"/>
  <c r="I2556" i="24" s="1"/>
  <c r="I2557" i="24" s="1"/>
  <c r="I2558" i="24" s="1"/>
  <c r="I2559" i="24" s="1"/>
  <c r="I2560" i="24" s="1"/>
  <c r="I2561" i="24" s="1"/>
  <c r="I2562" i="24" s="1"/>
  <c r="I2563" i="24" s="1"/>
  <c r="I2564" i="24" s="1"/>
  <c r="I2565" i="24" s="1"/>
  <c r="I2566" i="24" s="1"/>
  <c r="I2567" i="24" s="1"/>
  <c r="I2568" i="24" s="1"/>
  <c r="I2569" i="24" s="1"/>
  <c r="I2570" i="24" s="1"/>
  <c r="I2571" i="24" s="1"/>
  <c r="I2572" i="24" s="1"/>
  <c r="I2573" i="24" s="1"/>
  <c r="I2574" i="24" s="1"/>
  <c r="I2575" i="24" s="1"/>
  <c r="I2576" i="24" s="1"/>
  <c r="I2577" i="24" s="1"/>
  <c r="I2578" i="24" s="1"/>
  <c r="I2579" i="24" s="1"/>
  <c r="I2580" i="24" s="1"/>
  <c r="I2581" i="24" s="1"/>
  <c r="I2582" i="24" s="1"/>
  <c r="I2583" i="24" s="1"/>
  <c r="I2584" i="24" s="1"/>
  <c r="I2585" i="24" s="1"/>
  <c r="I2586" i="24" s="1"/>
  <c r="I2587" i="24" s="1"/>
  <c r="I2588" i="24" s="1"/>
  <c r="I2589" i="24" s="1"/>
  <c r="I2590" i="24" s="1"/>
  <c r="I2591" i="24" s="1"/>
  <c r="I2592" i="24" s="1"/>
  <c r="I2593" i="24" s="1"/>
  <c r="I2594" i="24" s="1"/>
  <c r="I2595" i="24" s="1"/>
  <c r="I2596" i="24" s="1"/>
  <c r="I2597" i="24" s="1"/>
  <c r="I2598" i="24" s="1"/>
  <c r="I2599" i="24" s="1"/>
  <c r="I2600" i="24" s="1"/>
  <c r="I2601" i="24" s="1"/>
  <c r="I2602" i="24" s="1"/>
  <c r="I2603" i="24" s="1"/>
  <c r="I2604" i="24" s="1"/>
  <c r="I2605" i="24" s="1"/>
  <c r="I2606" i="24" s="1"/>
  <c r="I2607" i="24" s="1"/>
  <c r="I2608" i="24" s="1"/>
  <c r="I2609" i="24" s="1"/>
  <c r="I2610" i="24" s="1"/>
  <c r="I2611" i="24" s="1"/>
  <c r="I2612" i="24" s="1"/>
  <c r="I2613" i="24" s="1"/>
  <c r="I2614" i="24" s="1"/>
  <c r="I2615" i="24" s="1"/>
  <c r="I2616" i="24" s="1"/>
  <c r="I2617" i="24" s="1"/>
  <c r="I2618" i="24" s="1"/>
  <c r="I2619" i="24" s="1"/>
  <c r="I2620" i="24" s="1"/>
  <c r="I2621" i="24" s="1"/>
  <c r="I2622" i="24" s="1"/>
  <c r="I2623" i="24" s="1"/>
  <c r="I2624" i="24" s="1"/>
  <c r="I2625" i="24" s="1"/>
  <c r="I2626" i="24" s="1"/>
  <c r="I2627" i="24" s="1"/>
  <c r="I2628" i="24" s="1"/>
  <c r="I2629" i="24" s="1"/>
  <c r="I2630" i="24" s="1"/>
  <c r="I2631" i="24" s="1"/>
  <c r="I2632" i="24" s="1"/>
  <c r="I2633" i="24" s="1"/>
  <c r="I2634" i="24" s="1"/>
  <c r="I2635" i="24" s="1"/>
  <c r="I2636" i="24" s="1"/>
  <c r="I2637" i="24" s="1"/>
  <c r="I2638" i="24" s="1"/>
  <c r="I2639" i="24" s="1"/>
  <c r="I2640" i="24" s="1"/>
  <c r="I2641" i="24" s="1"/>
  <c r="I2642" i="24" s="1"/>
  <c r="I2643" i="24" s="1"/>
  <c r="I2644" i="24" s="1"/>
  <c r="I2645" i="24" s="1"/>
  <c r="I2646" i="24" s="1"/>
  <c r="I2647" i="24" s="1"/>
  <c r="I2648" i="24" s="1"/>
  <c r="I2649" i="24" s="1"/>
  <c r="I2650" i="24" s="1"/>
  <c r="I2651" i="24" s="1"/>
  <c r="I2652" i="24" s="1"/>
  <c r="I2653" i="24" s="1"/>
  <c r="I2654" i="24" s="1"/>
  <c r="I2655" i="24" s="1"/>
  <c r="I2656" i="24" s="1"/>
  <c r="I2657" i="24" s="1"/>
  <c r="I2658" i="24" s="1"/>
  <c r="I2659" i="24" s="1"/>
  <c r="I2660" i="24" s="1"/>
  <c r="I2661" i="24" s="1"/>
  <c r="I2662" i="24" s="1"/>
  <c r="I2663" i="24" s="1"/>
  <c r="I2664" i="24" s="1"/>
  <c r="I2665" i="24" s="1"/>
  <c r="K7" i="51"/>
  <c r="Y3" i="51"/>
  <c r="E3" i="51"/>
  <c r="Q7" i="51"/>
  <c r="S3" i="51"/>
  <c r="AA3" i="51"/>
  <c r="W7" i="51"/>
  <c r="E7" i="51"/>
  <c r="U3" i="51"/>
  <c r="W3" i="51"/>
  <c r="I7" i="51"/>
  <c r="M7" i="51"/>
  <c r="U7" i="51"/>
  <c r="K3" i="51"/>
  <c r="I3" i="51"/>
  <c r="O3" i="51"/>
  <c r="AA7" i="51"/>
  <c r="O7" i="51"/>
  <c r="S7" i="51"/>
  <c r="M3" i="51"/>
  <c r="AA40" i="94"/>
  <c r="O5" i="94"/>
  <c r="Q3" i="51"/>
  <c r="Y7" i="51"/>
  <c r="I2666" i="24" l="1"/>
  <c r="I2667" i="24" s="1"/>
  <c r="I2668" i="24" s="1"/>
  <c r="I2669" i="24" s="1"/>
  <c r="I2670" i="24" s="1"/>
  <c r="I2671" i="24" s="1"/>
  <c r="I2672" i="24" s="1"/>
  <c r="I2673" i="24" s="1"/>
  <c r="I2674" i="24" s="1"/>
  <c r="I2675" i="24" s="1"/>
  <c r="I2676" i="24" s="1"/>
  <c r="I2677" i="24" s="1"/>
  <c r="I2678" i="24" s="1"/>
  <c r="I2679" i="24" s="1"/>
  <c r="I2680" i="24" s="1"/>
  <c r="I2681" i="24" s="1"/>
  <c r="I2682" i="24" s="1"/>
  <c r="I2683" i="24" s="1"/>
  <c r="I2684" i="24" s="1"/>
  <c r="I2685" i="24" s="1"/>
  <c r="I2686" i="24" s="1"/>
  <c r="I2687" i="24" s="1"/>
  <c r="I2688" i="24" s="1"/>
  <c r="I2689" i="24" s="1"/>
  <c r="I2690" i="24" s="1"/>
  <c r="I2691" i="24" s="1"/>
  <c r="I2692" i="24" s="1"/>
  <c r="I2693" i="24" s="1"/>
  <c r="I2694" i="24" s="1"/>
  <c r="I2695" i="24" s="1"/>
  <c r="I2696" i="24" s="1"/>
  <c r="I2697" i="24" s="1"/>
  <c r="I2698" i="24" s="1"/>
  <c r="I2699" i="24" s="1"/>
  <c r="I2700" i="24" s="1"/>
  <c r="I2701" i="24" s="1"/>
  <c r="I2702" i="24" s="1"/>
  <c r="I2703" i="24" s="1"/>
  <c r="I2704" i="24" s="1"/>
  <c r="I2705" i="24" s="1"/>
  <c r="I2706" i="24" s="1"/>
  <c r="I2707" i="24" s="1"/>
  <c r="I2708" i="24" s="1"/>
  <c r="I2709" i="24" s="1"/>
  <c r="I2710" i="24" s="1"/>
  <c r="I2711" i="24" s="1"/>
  <c r="I2712" i="24" s="1"/>
  <c r="I2713" i="24" s="1"/>
  <c r="I2714" i="24" s="1"/>
  <c r="I2715" i="24" s="1"/>
  <c r="I2716" i="24" s="1"/>
  <c r="I2717" i="24" s="1"/>
  <c r="I2718" i="24" s="1"/>
  <c r="I2719" i="24" s="1"/>
  <c r="I2720" i="24" s="1"/>
  <c r="I2721" i="24" s="1"/>
  <c r="I2722" i="24" s="1"/>
  <c r="I2723" i="24" s="1"/>
  <c r="I2724" i="24" s="1"/>
  <c r="I2725" i="24" s="1"/>
  <c r="I2726" i="24" s="1"/>
  <c r="I2727" i="24" s="1"/>
  <c r="I2728" i="24" s="1"/>
  <c r="I2729" i="24" s="1"/>
  <c r="I2730" i="24" s="1"/>
  <c r="I2731" i="24" s="1"/>
  <c r="I2732" i="24" s="1"/>
  <c r="I2733" i="24" s="1"/>
  <c r="I2734" i="24" s="1"/>
  <c r="I2735" i="24" s="1"/>
  <c r="I2736" i="24" s="1"/>
  <c r="I2737" i="24" s="1"/>
  <c r="I2738" i="24" s="1"/>
  <c r="I2739" i="24" s="1"/>
  <c r="I2740" i="24" s="1"/>
  <c r="I2741" i="24" s="1"/>
  <c r="I2742" i="24" s="1"/>
  <c r="I2743" i="24" s="1"/>
  <c r="I2744" i="24" s="1"/>
  <c r="I2745" i="24" s="1"/>
  <c r="I2746" i="24" s="1"/>
  <c r="I2747" i="24" s="1"/>
  <c r="I2748" i="24" s="1"/>
  <c r="I2749" i="24" s="1"/>
  <c r="I2750" i="24" s="1"/>
  <c r="I2751" i="24" s="1"/>
  <c r="I2752" i="24" s="1"/>
  <c r="I2753" i="24" s="1"/>
  <c r="I2754" i="24" s="1"/>
  <c r="I2755" i="24" s="1"/>
  <c r="I2756" i="24" s="1"/>
  <c r="I2757" i="24" s="1"/>
  <c r="I2758" i="24" s="1"/>
  <c r="I2759" i="24" s="1"/>
  <c r="I2760" i="24" s="1"/>
  <c r="I2761" i="24" s="1"/>
  <c r="I2762" i="24" s="1"/>
  <c r="I2763" i="24" s="1"/>
  <c r="I2764" i="24" s="1"/>
  <c r="I2765" i="24" s="1"/>
  <c r="I2766" i="24" s="1"/>
  <c r="I2767" i="24" s="1"/>
  <c r="I2768" i="24" s="1"/>
  <c r="I2769" i="24" s="1"/>
  <c r="I2770" i="24" s="1"/>
  <c r="I2771" i="24" s="1"/>
  <c r="I2772" i="24" s="1"/>
  <c r="I2773" i="24" s="1"/>
  <c r="I2774" i="24" s="1"/>
  <c r="I2775" i="24" s="1"/>
  <c r="I2776" i="24" s="1"/>
  <c r="I2777" i="24" s="1"/>
  <c r="I2778" i="24" s="1"/>
  <c r="I2779" i="24" s="1"/>
  <c r="I2780" i="24" s="1"/>
  <c r="I2781" i="24" s="1"/>
  <c r="I2782" i="24" s="1"/>
  <c r="I2783" i="24" s="1"/>
  <c r="I2784" i="24" s="1"/>
  <c r="I2785" i="24" s="1"/>
  <c r="I2786" i="24" s="1"/>
  <c r="I2787" i="24" s="1"/>
  <c r="I2788" i="24" s="1"/>
  <c r="I2789" i="24" s="1"/>
  <c r="I2790" i="24" s="1"/>
  <c r="I2791" i="24" s="1"/>
  <c r="I2792" i="24" s="1"/>
  <c r="I2793" i="24" s="1"/>
  <c r="I2794" i="24" s="1"/>
  <c r="I2795" i="24" s="1"/>
  <c r="I2796" i="24" s="1"/>
  <c r="I2797" i="24" s="1"/>
  <c r="I2798" i="24" s="1"/>
  <c r="I2799" i="24" s="1"/>
  <c r="I2800" i="24" s="1"/>
  <c r="I2801" i="24" s="1"/>
  <c r="I2802" i="24" s="1"/>
  <c r="I2803" i="24" s="1"/>
  <c r="I2804" i="24" s="1"/>
  <c r="I2805" i="24" s="1"/>
  <c r="I2806" i="24" s="1"/>
  <c r="I2807" i="24" s="1"/>
  <c r="I2808" i="24" s="1"/>
  <c r="I2809" i="24" s="1"/>
  <c r="I2810" i="24" s="1"/>
  <c r="I2811" i="24" s="1"/>
  <c r="I2812" i="24" s="1"/>
  <c r="I2813" i="24" s="1"/>
  <c r="I2814" i="24" s="1"/>
  <c r="I2815" i="24" s="1"/>
  <c r="I2816" i="24" s="1"/>
  <c r="I2817" i="24" s="1"/>
  <c r="I2818" i="24" s="1"/>
  <c r="I2819" i="24" s="1"/>
  <c r="I2820" i="24" s="1"/>
  <c r="I2821" i="24" s="1"/>
  <c r="I2822" i="24" s="1"/>
  <c r="I2823" i="24" s="1"/>
  <c r="I2824" i="24" s="1"/>
  <c r="I2825" i="24" s="1"/>
  <c r="I2826" i="24" s="1"/>
  <c r="I2827" i="24" s="1"/>
  <c r="I2828" i="24" s="1"/>
  <c r="I2829" i="24" s="1"/>
  <c r="I2830" i="24" s="1"/>
  <c r="I2831" i="24" s="1"/>
  <c r="I2832" i="24" s="1"/>
  <c r="I2833" i="24" s="1"/>
  <c r="I2834" i="24" s="1"/>
  <c r="I2835" i="24" s="1"/>
  <c r="I2836" i="24" s="1"/>
  <c r="I2837" i="24" s="1"/>
  <c r="I2838" i="24" s="1"/>
  <c r="I2839" i="24" s="1"/>
  <c r="I2840" i="24" s="1"/>
  <c r="I2841" i="24" s="1"/>
  <c r="I2842" i="24" s="1"/>
  <c r="I2843" i="24" s="1"/>
  <c r="I2844" i="24" s="1"/>
  <c r="I2845" i="24" s="1"/>
  <c r="I2846" i="24" s="1"/>
  <c r="I2847" i="24" s="1"/>
  <c r="I2848" i="24" s="1"/>
  <c r="I2849" i="24" s="1"/>
  <c r="I2850" i="24" s="1"/>
  <c r="I2851" i="24" s="1"/>
  <c r="I2852" i="24" s="1"/>
  <c r="I2853" i="24" s="1"/>
  <c r="I2854" i="24" s="1"/>
  <c r="I2855" i="24" s="1"/>
  <c r="I2856" i="24" s="1"/>
  <c r="I2857" i="24" s="1"/>
  <c r="I2858" i="24" s="1"/>
  <c r="I2859" i="24" s="1"/>
  <c r="I2860" i="24" s="1"/>
  <c r="I2861" i="24" s="1"/>
  <c r="I2862" i="24" s="1"/>
  <c r="I2863" i="24" s="1"/>
  <c r="I2864" i="24" s="1"/>
  <c r="I2865" i="24" s="1"/>
  <c r="I2866" i="24" s="1"/>
  <c r="I2867" i="24" s="1"/>
  <c r="I2868" i="24" s="1"/>
  <c r="I2869" i="24" s="1"/>
  <c r="I2870" i="24" s="1"/>
  <c r="I2871" i="24" s="1"/>
  <c r="I2872" i="24" s="1"/>
  <c r="I2873" i="24" s="1"/>
  <c r="I2874" i="24" s="1"/>
  <c r="I2875" i="24" s="1"/>
  <c r="I2876" i="24" s="1"/>
  <c r="I2877" i="24" s="1"/>
  <c r="I2878" i="24" s="1"/>
  <c r="I2879" i="24" s="1"/>
  <c r="I2880" i="24" s="1"/>
  <c r="I2881" i="24" s="1"/>
  <c r="I2882" i="24" s="1"/>
  <c r="I2883" i="24" s="1"/>
  <c r="I2884" i="24" s="1"/>
  <c r="I2885" i="24" s="1"/>
  <c r="I2886" i="24" s="1"/>
  <c r="I2887" i="24" s="1"/>
  <c r="I2888" i="24" s="1"/>
  <c r="I2889" i="24" s="1"/>
  <c r="I2890" i="24" s="1"/>
  <c r="I2891" i="24" s="1"/>
  <c r="I2892" i="24" s="1"/>
  <c r="I2893" i="24" s="1"/>
  <c r="I2894" i="24" s="1"/>
  <c r="I2895" i="24" s="1"/>
  <c r="I2896" i="24" s="1"/>
  <c r="I2897" i="24" s="1"/>
  <c r="I2898" i="24" s="1"/>
  <c r="I2899" i="24" s="1"/>
  <c r="I2900" i="24" s="1"/>
  <c r="I2901" i="24" s="1"/>
  <c r="I2902" i="24" s="1"/>
  <c r="I2903" i="24" s="1"/>
  <c r="I2904" i="24" s="1"/>
  <c r="I2905" i="24" s="1"/>
  <c r="I2906" i="24" s="1"/>
  <c r="I2907" i="24" s="1"/>
  <c r="I2908" i="24" s="1"/>
  <c r="I2909" i="24" s="1"/>
  <c r="I2910" i="24" s="1"/>
  <c r="I2911" i="24" s="1"/>
  <c r="I2912" i="24" s="1"/>
  <c r="I2913" i="24" s="1"/>
  <c r="I2914" i="24" s="1"/>
  <c r="I2915" i="24" s="1"/>
  <c r="I2916" i="24" s="1"/>
  <c r="I2917" i="24" s="1"/>
  <c r="I2918" i="24" s="1"/>
  <c r="I2919" i="24" s="1"/>
  <c r="I2920" i="24" s="1"/>
  <c r="I2921" i="24" s="1"/>
  <c r="I2922" i="24" s="1"/>
  <c r="I2923" i="24" s="1"/>
  <c r="I2924" i="24" s="1"/>
  <c r="I2925" i="24" s="1"/>
  <c r="I2926" i="24" s="1"/>
  <c r="I2927" i="24" s="1"/>
  <c r="I2928" i="24" s="1"/>
  <c r="I2929" i="24" s="1"/>
  <c r="I2930" i="24" s="1"/>
  <c r="I2931" i="24" s="1"/>
  <c r="I2932" i="24" s="1"/>
  <c r="I2933" i="24" s="1"/>
  <c r="I2934" i="24" s="1"/>
  <c r="I2935" i="24" s="1"/>
  <c r="I2936" i="24" s="1"/>
  <c r="I2937" i="24" s="1"/>
  <c r="I2938" i="24" s="1"/>
  <c r="I2939" i="24" s="1"/>
  <c r="I2940" i="24" s="1"/>
  <c r="I2941" i="24" s="1"/>
  <c r="I2942" i="24" s="1"/>
  <c r="I2943" i="24" s="1"/>
  <c r="I2944" i="24" s="1"/>
  <c r="I2945" i="24" s="1"/>
  <c r="I2946" i="24" s="1"/>
  <c r="I2947" i="24" s="1"/>
  <c r="I2948" i="24" s="1"/>
  <c r="I2949" i="24" s="1"/>
  <c r="I2950" i="24" s="1"/>
  <c r="I2951" i="24" s="1"/>
  <c r="I2952" i="24" s="1"/>
  <c r="I2953" i="24" s="1"/>
  <c r="I2954" i="24" s="1"/>
  <c r="I2955" i="24" s="1"/>
  <c r="I2956" i="24" s="1"/>
  <c r="I2957" i="24" s="1"/>
  <c r="I2958" i="24" s="1"/>
  <c r="I2959" i="24" s="1"/>
  <c r="I2960" i="24" s="1"/>
  <c r="I2961" i="24" s="1"/>
  <c r="I2962" i="24" s="1"/>
  <c r="I2963" i="24" s="1"/>
  <c r="I2964" i="24" s="1"/>
  <c r="I2965" i="24" s="1"/>
  <c r="I2966" i="24" s="1"/>
  <c r="I2967" i="24" s="1"/>
  <c r="I2968" i="24" s="1"/>
  <c r="I2969" i="24" s="1"/>
  <c r="I2970" i="24" s="1"/>
  <c r="I2971" i="24" s="1"/>
  <c r="I2972" i="24" s="1"/>
  <c r="I2973" i="24" s="1"/>
  <c r="I2974" i="24" s="1"/>
  <c r="I2975" i="24" s="1"/>
  <c r="I2976" i="24" s="1"/>
  <c r="I2977" i="24" s="1"/>
  <c r="I2978" i="24" s="1"/>
  <c r="I2979" i="24" s="1"/>
  <c r="I2980" i="24" s="1"/>
  <c r="I2981" i="24" s="1"/>
  <c r="I2982" i="24" s="1"/>
  <c r="I2983" i="24" s="1"/>
  <c r="I2984" i="24" s="1"/>
  <c r="I2985" i="24" s="1"/>
  <c r="I2986" i="24" s="1"/>
  <c r="I2987" i="24" s="1"/>
  <c r="I2988" i="24" s="1"/>
  <c r="I2989" i="24" s="1"/>
  <c r="I2990" i="24" s="1"/>
  <c r="I2991" i="24" s="1"/>
  <c r="I2992" i="24" s="1"/>
  <c r="I2993" i="24" s="1"/>
  <c r="I2994" i="24" s="1"/>
  <c r="I2995" i="24" s="1"/>
  <c r="I2996" i="24" s="1"/>
  <c r="I2997" i="24" s="1"/>
  <c r="I2998" i="24" s="1"/>
  <c r="I2999" i="24" s="1"/>
  <c r="I3000" i="24" s="1"/>
  <c r="I3001" i="24" s="1"/>
  <c r="I3002" i="24" s="1"/>
  <c r="I3003" i="24" s="1"/>
  <c r="I3004" i="24" s="1"/>
  <c r="I3005" i="24" s="1"/>
  <c r="I3006" i="24" s="1"/>
  <c r="I3007" i="24" s="1"/>
  <c r="I3008" i="24" s="1"/>
  <c r="I3009" i="24" s="1"/>
  <c r="I3010" i="24" s="1"/>
  <c r="I3011" i="24" s="1"/>
  <c r="I3012" i="24" s="1"/>
  <c r="I3013" i="24" s="1"/>
  <c r="I3014" i="24" s="1"/>
  <c r="I3015" i="24" s="1"/>
  <c r="I3016" i="24" s="1"/>
  <c r="I3017" i="24" s="1"/>
  <c r="I3018" i="24" s="1"/>
  <c r="I3019" i="24" s="1"/>
  <c r="I3020" i="24" s="1"/>
  <c r="I3021" i="24" s="1"/>
  <c r="I3022" i="24" s="1"/>
  <c r="I3023" i="24" s="1"/>
  <c r="I3024" i="24" s="1"/>
  <c r="I3025" i="24" s="1"/>
  <c r="I3026" i="24" s="1"/>
  <c r="I3027" i="24" s="1"/>
  <c r="I3028" i="24" s="1"/>
  <c r="I3029" i="24" s="1"/>
  <c r="I3030" i="24" s="1"/>
  <c r="I3031" i="24" s="1"/>
  <c r="I3032" i="24" s="1"/>
  <c r="I3033" i="24" s="1"/>
  <c r="I3034" i="24" s="1"/>
  <c r="I3035" i="24" s="1"/>
  <c r="I3036" i="24" s="1"/>
  <c r="I3037" i="24" s="1"/>
  <c r="I3038" i="24" s="1"/>
  <c r="I3039" i="24" s="1"/>
  <c r="I3040" i="24" s="1"/>
  <c r="I3041" i="24" s="1"/>
  <c r="I3042" i="24" s="1"/>
  <c r="I3043" i="24" s="1"/>
  <c r="I3044" i="24" s="1"/>
  <c r="I3045" i="24" s="1"/>
  <c r="I3046" i="24" s="1"/>
  <c r="I3047" i="24" s="1"/>
  <c r="I3048" i="24" s="1"/>
  <c r="I3049" i="24" s="1"/>
  <c r="I3050" i="24" s="1"/>
  <c r="I3051" i="24" s="1"/>
  <c r="I3052" i="24" s="1"/>
  <c r="I3053" i="24" s="1"/>
  <c r="I3054" i="24" s="1"/>
  <c r="I3055" i="24" s="1"/>
  <c r="I3056" i="24" s="1"/>
  <c r="I3057" i="24" s="1"/>
  <c r="I3058" i="24" s="1"/>
  <c r="I3059" i="24" s="1"/>
  <c r="I3060" i="24" s="1"/>
  <c r="I3061" i="24" s="1"/>
  <c r="I3062" i="24" s="1"/>
  <c r="I3063" i="24" s="1"/>
  <c r="I3064" i="24" s="1"/>
  <c r="I3065" i="24" s="1"/>
  <c r="I3066" i="24" s="1"/>
  <c r="I3067" i="24" s="1"/>
  <c r="I3068" i="24" s="1"/>
  <c r="I3069" i="24" s="1"/>
  <c r="I3070" i="24" s="1"/>
  <c r="I3071" i="24" s="1"/>
  <c r="I3072" i="24" s="1"/>
  <c r="I3073" i="24" s="1"/>
  <c r="I3074" i="24" s="1"/>
  <c r="I3075" i="24" s="1"/>
  <c r="I3076" i="24" s="1"/>
  <c r="I3077" i="24" s="1"/>
  <c r="I3078" i="24" s="1"/>
  <c r="I3079" i="24" s="1"/>
  <c r="I3080" i="24" s="1"/>
  <c r="I3081" i="24" s="1"/>
  <c r="I3082" i="24" s="1"/>
  <c r="I3083" i="24" s="1"/>
  <c r="I3084" i="24" s="1"/>
  <c r="I3085" i="24" s="1"/>
  <c r="I3086" i="24" s="1"/>
  <c r="I3087" i="24" s="1"/>
  <c r="I3088" i="24" s="1"/>
  <c r="I3089" i="24" s="1"/>
  <c r="I3090" i="24" s="1"/>
  <c r="I3091" i="24" s="1"/>
  <c r="I3092" i="24" s="1"/>
  <c r="I3093" i="24" s="1"/>
  <c r="I3094" i="24" s="1"/>
  <c r="I3095" i="24" s="1"/>
  <c r="I3096" i="24" s="1"/>
  <c r="I3097" i="24" s="1"/>
  <c r="I3098" i="24" s="1"/>
  <c r="I3099" i="24" s="1"/>
  <c r="I3100" i="24" s="1"/>
  <c r="I3101" i="24" s="1"/>
  <c r="I3102" i="24" s="1"/>
  <c r="I3103" i="24" s="1"/>
  <c r="I3104" i="24" s="1"/>
  <c r="I3105" i="24" s="1"/>
  <c r="I3106" i="24" s="1"/>
  <c r="I3107" i="24" s="1"/>
  <c r="I3108" i="24" s="1"/>
  <c r="I3109" i="24" s="1"/>
  <c r="I3110" i="24" s="1"/>
  <c r="I3111" i="24" s="1"/>
  <c r="I3112" i="24" s="1"/>
  <c r="I3113" i="24" s="1"/>
  <c r="I3114" i="24" s="1"/>
  <c r="I3115" i="24" s="1"/>
  <c r="I3116" i="24" s="1"/>
  <c r="I3117" i="24" s="1"/>
  <c r="I3118" i="24" s="1"/>
  <c r="I3119" i="24" s="1"/>
  <c r="I3120" i="24" s="1"/>
  <c r="I3121" i="24" s="1"/>
  <c r="I3122" i="24" s="1"/>
  <c r="I3123" i="24" s="1"/>
  <c r="I3124" i="24" s="1"/>
  <c r="I3125" i="24" s="1"/>
  <c r="I3126" i="24" s="1"/>
  <c r="I3127" i="24" s="1"/>
  <c r="I3128" i="24" s="1"/>
  <c r="I3129" i="24" s="1"/>
  <c r="I3130" i="24" s="1"/>
  <c r="I3131" i="24" s="1"/>
  <c r="I3132" i="24" s="1"/>
  <c r="I3133" i="24" s="1"/>
  <c r="I3134" i="24" s="1"/>
  <c r="I3135" i="24" s="1"/>
  <c r="I3136" i="24" s="1"/>
  <c r="I3137" i="24" s="1"/>
  <c r="I3138" i="24" s="1"/>
  <c r="I3139" i="24" s="1"/>
  <c r="I3140" i="24" s="1"/>
  <c r="I3141" i="24" s="1"/>
  <c r="I3142" i="24" s="1"/>
  <c r="I3143" i="24" s="1"/>
  <c r="I3144" i="24" s="1"/>
  <c r="I3145" i="24" s="1"/>
  <c r="I3146" i="24" s="1"/>
  <c r="I3147" i="24" s="1"/>
  <c r="I3148" i="24" s="1"/>
  <c r="I3149" i="24" s="1"/>
  <c r="I3150" i="24" s="1"/>
  <c r="I3151" i="24" s="1"/>
  <c r="I3152" i="24" s="1"/>
  <c r="I3153" i="24" s="1"/>
  <c r="I3154" i="24" s="1"/>
  <c r="I3155" i="24" s="1"/>
  <c r="I3156" i="24" s="1"/>
  <c r="I3157" i="24" s="1"/>
  <c r="I3158" i="24" s="1"/>
  <c r="I3159" i="24" s="1"/>
  <c r="I3160" i="24" s="1"/>
  <c r="I3161" i="24" s="1"/>
  <c r="I3162" i="24" s="1"/>
  <c r="I3163" i="24" s="1"/>
  <c r="I3164" i="24" s="1"/>
  <c r="I3165" i="24" s="1"/>
  <c r="I3166" i="24" s="1"/>
  <c r="I3167" i="24" s="1"/>
  <c r="I3168" i="24" s="1"/>
  <c r="I3169" i="24" s="1"/>
  <c r="I3170" i="24" s="1"/>
  <c r="I3171" i="24" s="1"/>
  <c r="I3172" i="24" s="1"/>
  <c r="I3173" i="24" s="1"/>
  <c r="I3174" i="24" s="1"/>
  <c r="I3175" i="24" s="1"/>
  <c r="I3176" i="24" s="1"/>
  <c r="I3177" i="24" s="1"/>
  <c r="I3178" i="24" s="1"/>
  <c r="I3179" i="24" s="1"/>
  <c r="I3180" i="24" s="1"/>
  <c r="I3181" i="24" s="1"/>
  <c r="I3182" i="24" s="1"/>
  <c r="I3183" i="24" s="1"/>
  <c r="I3184" i="24" s="1"/>
  <c r="I3185" i="24" s="1"/>
  <c r="I3186" i="24" s="1"/>
  <c r="I3187" i="24" s="1"/>
  <c r="I3188" i="24" s="1"/>
  <c r="I3189" i="24" s="1"/>
  <c r="I3190" i="24" s="1"/>
  <c r="I3191" i="24" s="1"/>
  <c r="I3192" i="24" s="1"/>
  <c r="I3193" i="24" s="1"/>
  <c r="I3194" i="24" s="1"/>
  <c r="I3195" i="24" s="1"/>
  <c r="I3196" i="24" s="1"/>
  <c r="I3197" i="24" s="1"/>
  <c r="I3198" i="24" s="1"/>
  <c r="I3199" i="24" s="1"/>
  <c r="I3200" i="24" s="1"/>
  <c r="I3201" i="24" s="1"/>
  <c r="I3202" i="24" s="1"/>
  <c r="I3203" i="24" s="1"/>
  <c r="I3204" i="24" s="1"/>
  <c r="I3205" i="24" s="1"/>
  <c r="I3206" i="24" s="1"/>
  <c r="I3207" i="24" s="1"/>
  <c r="I3208" i="24" s="1"/>
  <c r="I3209" i="24" s="1"/>
  <c r="I3210" i="24" s="1"/>
  <c r="I3211" i="24" s="1"/>
  <c r="I3212" i="24" s="1"/>
  <c r="I3213" i="24" s="1"/>
  <c r="I3214" i="24" s="1"/>
  <c r="I3215" i="24" s="1"/>
  <c r="I3216" i="24" s="1"/>
  <c r="I3217" i="24" s="1"/>
  <c r="I3218" i="24" s="1"/>
  <c r="I3219" i="24" s="1"/>
  <c r="I3220" i="24" s="1"/>
  <c r="I3221" i="24" s="1"/>
  <c r="I3222" i="24" s="1"/>
  <c r="I3223" i="24" s="1"/>
  <c r="I3224" i="24" s="1"/>
  <c r="I3225" i="24" s="1"/>
  <c r="I3226" i="24" s="1"/>
  <c r="I3227" i="24" s="1"/>
  <c r="I3228" i="24" s="1"/>
  <c r="I3229" i="24" s="1"/>
  <c r="I3230" i="24" s="1"/>
  <c r="I3231" i="24" s="1"/>
  <c r="I3232" i="24" s="1"/>
  <c r="I3233" i="24" s="1"/>
  <c r="I3234" i="24" s="1"/>
  <c r="I3235" i="24" s="1"/>
  <c r="I3236" i="24" s="1"/>
  <c r="I3237" i="24" s="1"/>
  <c r="I3238" i="24" s="1"/>
  <c r="I3239" i="24" s="1"/>
  <c r="I3240" i="24" s="1"/>
  <c r="I3241" i="24" s="1"/>
  <c r="I3242" i="24" s="1"/>
  <c r="I3243" i="24" s="1"/>
  <c r="I3244" i="24" s="1"/>
  <c r="I3245" i="24" s="1"/>
  <c r="I3246" i="24" s="1"/>
  <c r="I3247" i="24" s="1"/>
  <c r="I3248" i="24" s="1"/>
  <c r="I3249" i="24" s="1"/>
  <c r="I3250" i="24" s="1"/>
  <c r="I3251" i="24" s="1"/>
  <c r="I3252" i="24" s="1"/>
  <c r="I3253" i="24" s="1"/>
  <c r="I3254" i="24" s="1"/>
  <c r="I3255" i="24" s="1"/>
  <c r="I3256" i="24" s="1"/>
  <c r="I3257" i="24" s="1"/>
  <c r="I3258" i="24" s="1"/>
  <c r="I3259" i="24" s="1"/>
  <c r="I3260" i="24" s="1"/>
  <c r="I3261" i="24" s="1"/>
  <c r="I3262" i="24" s="1"/>
  <c r="I3263" i="24" s="1"/>
  <c r="I3264" i="24" s="1"/>
  <c r="I3265" i="24" s="1"/>
  <c r="I3266" i="24" s="1"/>
  <c r="I3267" i="24" s="1"/>
  <c r="I3268" i="24" s="1"/>
  <c r="I3269" i="24" s="1"/>
  <c r="I3270" i="24" s="1"/>
  <c r="I3271" i="24" s="1"/>
  <c r="I3272" i="24" s="1"/>
  <c r="I3273" i="24" s="1"/>
  <c r="I3274" i="24" s="1"/>
  <c r="I3275" i="24" s="1"/>
  <c r="I3276" i="24" s="1"/>
  <c r="I3277" i="24" s="1"/>
  <c r="I3278" i="24" s="1"/>
  <c r="I3279" i="24" s="1"/>
  <c r="I3280" i="24" s="1"/>
  <c r="I3281" i="24" s="1"/>
  <c r="I3282" i="24" s="1"/>
  <c r="I3283" i="24" s="1"/>
  <c r="I3284" i="24" s="1"/>
  <c r="I3285" i="24" s="1"/>
  <c r="I3286" i="24" s="1"/>
  <c r="I3287" i="24" s="1"/>
  <c r="I3288" i="24" s="1"/>
  <c r="I3289" i="24" s="1"/>
  <c r="I3290" i="24" s="1"/>
  <c r="I3291" i="24" s="1"/>
  <c r="I3292" i="24" s="1"/>
  <c r="I3293" i="24" s="1"/>
  <c r="I3294" i="24" s="1"/>
  <c r="I3295" i="24" s="1"/>
  <c r="I3296" i="24" s="1"/>
  <c r="I3297" i="24" s="1"/>
  <c r="I3298" i="24" s="1"/>
  <c r="I3299" i="24" s="1"/>
  <c r="I3300" i="24" s="1"/>
  <c r="I3301" i="24" s="1"/>
  <c r="I3302" i="24" s="1"/>
  <c r="I3303" i="24" s="1"/>
  <c r="I3304" i="24" s="1"/>
  <c r="I3305" i="24" s="1"/>
  <c r="I3306" i="24" s="1"/>
  <c r="I3307" i="24" s="1"/>
  <c r="I3308" i="24" s="1"/>
  <c r="I3309" i="24" s="1"/>
  <c r="I3310" i="24" s="1"/>
  <c r="I3311" i="24" s="1"/>
  <c r="I3312" i="24" s="1"/>
  <c r="I3313" i="24" s="1"/>
  <c r="I3314" i="24" s="1"/>
  <c r="I3315" i="24" s="1"/>
  <c r="I3316" i="24" s="1"/>
  <c r="I3317" i="24" s="1"/>
  <c r="I3318" i="24" s="1"/>
  <c r="I3319" i="24" s="1"/>
  <c r="I3320" i="24" s="1"/>
  <c r="I3321" i="24" s="1"/>
  <c r="I3322" i="24" s="1"/>
  <c r="I3323" i="24" s="1"/>
  <c r="I3324" i="24" s="1"/>
  <c r="I3325" i="24" s="1"/>
  <c r="I3326" i="24" s="1"/>
  <c r="I3327" i="24" s="1"/>
  <c r="I3328" i="24" s="1"/>
  <c r="I3329" i="24" s="1"/>
  <c r="I3330" i="24" s="1"/>
  <c r="I3331" i="24" s="1"/>
  <c r="I3332" i="24" s="1"/>
  <c r="I3333" i="24" s="1"/>
  <c r="I3334" i="24" s="1"/>
  <c r="I3335" i="24" s="1"/>
  <c r="I3336" i="24" s="1"/>
  <c r="I3337" i="24" s="1"/>
  <c r="I3338" i="24" s="1"/>
  <c r="I3339" i="24" s="1"/>
  <c r="I3340" i="24" s="1"/>
  <c r="I3341" i="24" s="1"/>
  <c r="I3342" i="24" s="1"/>
  <c r="I3343" i="24" s="1"/>
  <c r="I3344" i="24" s="1"/>
  <c r="I3345" i="24" s="1"/>
  <c r="I3346" i="24" s="1"/>
  <c r="I3347" i="24" s="1"/>
  <c r="I3348" i="24" s="1"/>
  <c r="I3349" i="24" s="1"/>
  <c r="I3350" i="24" s="1"/>
  <c r="I3351" i="24" s="1"/>
  <c r="I3352" i="24" s="1"/>
  <c r="I3353" i="24" s="1"/>
  <c r="I3354" i="24" s="1"/>
  <c r="I3355" i="24" s="1"/>
  <c r="I3356" i="24" s="1"/>
  <c r="I3357" i="24" s="1"/>
  <c r="I3358" i="24" s="1"/>
  <c r="I3359" i="24" s="1"/>
  <c r="I3360" i="24" s="1"/>
  <c r="I3361" i="24" s="1"/>
  <c r="I3362" i="24" s="1"/>
  <c r="I3363" i="24" s="1"/>
  <c r="I3364" i="24" s="1"/>
  <c r="I3365" i="24" s="1"/>
  <c r="I3366" i="24" s="1"/>
  <c r="I3367" i="24" s="1"/>
  <c r="I3368" i="24" s="1"/>
  <c r="I3369" i="24" s="1"/>
  <c r="I3370" i="24" s="1"/>
  <c r="I3371" i="24" s="1"/>
  <c r="I3372" i="24" s="1"/>
  <c r="I3373" i="24" s="1"/>
  <c r="I3374" i="24" s="1"/>
  <c r="I3375" i="24" s="1"/>
  <c r="I3376" i="24" s="1"/>
  <c r="I3377" i="24" s="1"/>
  <c r="I3378" i="24" s="1"/>
  <c r="I3379" i="24" s="1"/>
  <c r="I3380" i="24" s="1"/>
  <c r="I3381" i="24" s="1"/>
  <c r="I3382" i="24" s="1"/>
  <c r="I3383" i="24" s="1"/>
  <c r="I3384" i="24" s="1"/>
  <c r="I3385" i="24" s="1"/>
  <c r="I3386" i="24" s="1"/>
  <c r="I3387" i="24" s="1"/>
  <c r="I3388" i="24" s="1"/>
  <c r="I3389" i="24" s="1"/>
  <c r="I3390" i="24" s="1"/>
  <c r="I3391" i="24" s="1"/>
  <c r="I3392" i="24" s="1"/>
  <c r="I3393" i="24" s="1"/>
  <c r="I3394" i="24" s="1"/>
  <c r="I3395" i="24" s="1"/>
  <c r="I3396" i="24" s="1"/>
  <c r="I3397" i="24" s="1"/>
  <c r="I3398" i="24" s="1"/>
  <c r="I3399" i="24" s="1"/>
  <c r="I3400" i="24" s="1"/>
  <c r="I3401" i="24" s="1"/>
  <c r="I3402" i="24" s="1"/>
  <c r="I3403" i="24" s="1"/>
  <c r="I3404" i="24" s="1"/>
  <c r="I3405" i="24" s="1"/>
  <c r="I3406" i="24" s="1"/>
  <c r="I3407" i="24" s="1"/>
  <c r="I3408" i="24" s="1"/>
  <c r="I3409" i="24" s="1"/>
  <c r="I3410" i="24" s="1"/>
  <c r="I3411" i="24" s="1"/>
  <c r="I3412" i="24" s="1"/>
  <c r="I3413" i="24" s="1"/>
  <c r="I3414" i="24" s="1"/>
  <c r="I3415" i="24" s="1"/>
  <c r="I3416" i="24" s="1"/>
  <c r="I3417" i="24" s="1"/>
  <c r="I3418" i="24" s="1"/>
  <c r="I3419" i="24" s="1"/>
  <c r="I3420" i="24" s="1"/>
  <c r="I3421" i="24" s="1"/>
  <c r="I3422" i="24" s="1"/>
  <c r="I3423" i="24" s="1"/>
  <c r="I3424" i="24" s="1"/>
  <c r="I3425" i="24" s="1"/>
  <c r="I3426" i="24" s="1"/>
  <c r="I3427" i="24" s="1"/>
  <c r="I3428" i="24" s="1"/>
  <c r="I3429" i="24" s="1"/>
  <c r="I3430" i="24" s="1"/>
  <c r="I3431" i="24" s="1"/>
  <c r="I3432" i="24" s="1"/>
  <c r="I3433" i="24" s="1"/>
  <c r="I3434" i="24" s="1"/>
  <c r="I3435" i="24" s="1"/>
  <c r="I3436" i="24" s="1"/>
  <c r="I3437" i="24" s="1"/>
  <c r="I3438" i="24" s="1"/>
  <c r="I3439" i="24" s="1"/>
  <c r="I3440" i="24" s="1"/>
  <c r="I3441" i="24" s="1"/>
  <c r="I3442" i="24" s="1"/>
  <c r="I3443" i="24" s="1"/>
  <c r="I3444" i="24" s="1"/>
  <c r="I3445" i="24" s="1"/>
  <c r="I3446" i="24" s="1"/>
  <c r="I3447" i="24" s="1"/>
  <c r="I3448" i="24" s="1"/>
  <c r="I3449" i="24" s="1"/>
  <c r="I3450" i="24" s="1"/>
  <c r="I3451" i="24" s="1"/>
  <c r="I3452" i="24" s="1"/>
  <c r="I3453" i="24" s="1"/>
  <c r="I3454" i="24" s="1"/>
  <c r="I3455" i="24" s="1"/>
  <c r="I3456" i="24" s="1"/>
  <c r="I3457" i="24" s="1"/>
  <c r="I3458" i="24" s="1"/>
  <c r="I3459" i="24" s="1"/>
  <c r="I3460" i="24" s="1"/>
  <c r="I3461" i="24" s="1"/>
  <c r="I3462" i="24" s="1"/>
  <c r="I3463" i="24" s="1"/>
  <c r="I3464" i="24" s="1"/>
  <c r="I3465" i="24" s="1"/>
  <c r="I3466" i="24" s="1"/>
  <c r="I3467" i="24" s="1"/>
  <c r="I3468" i="24" s="1"/>
  <c r="I3469" i="24" s="1"/>
  <c r="I3470" i="24" s="1"/>
  <c r="I3471" i="24" s="1"/>
  <c r="I3472" i="24" s="1"/>
  <c r="I3473" i="24" s="1"/>
  <c r="I3474" i="24" s="1"/>
  <c r="I3475" i="24" s="1"/>
  <c r="I3476" i="24" s="1"/>
  <c r="I3477" i="24" s="1"/>
  <c r="I3478" i="24" s="1"/>
  <c r="I3479" i="24" s="1"/>
  <c r="I3480" i="24" s="1"/>
  <c r="I3481" i="24" s="1"/>
  <c r="I3482" i="24" s="1"/>
  <c r="I3483" i="24" s="1"/>
  <c r="I3484" i="24" s="1"/>
  <c r="I3485" i="24" s="1"/>
  <c r="I3486" i="24" s="1"/>
  <c r="I3487" i="24" s="1"/>
  <c r="I3488" i="24" s="1"/>
  <c r="I3489" i="24" s="1"/>
  <c r="I3490" i="24" s="1"/>
  <c r="I3491" i="24" s="1"/>
  <c r="I3492" i="24" s="1"/>
  <c r="I3493" i="24" s="1"/>
  <c r="I3494" i="24" s="1"/>
  <c r="I3495" i="24" s="1"/>
  <c r="I3496" i="24" s="1"/>
  <c r="I3497" i="24" s="1"/>
  <c r="I3498" i="24" s="1"/>
  <c r="I3499" i="24" s="1"/>
  <c r="I3500" i="24" s="1"/>
  <c r="I3501" i="24" s="1"/>
  <c r="I3502" i="24" s="1"/>
  <c r="I3503" i="24" s="1"/>
  <c r="I3504" i="24" s="1"/>
  <c r="I3505" i="24" s="1"/>
  <c r="I3506" i="24" s="1"/>
  <c r="I3507" i="24" s="1"/>
  <c r="I3508" i="24" s="1"/>
  <c r="I3509" i="24" s="1"/>
  <c r="I3510" i="24" s="1"/>
  <c r="I3511" i="24" s="1"/>
  <c r="I3512" i="24" s="1"/>
  <c r="I3513" i="24" s="1"/>
  <c r="I3514" i="24" s="1"/>
  <c r="I3515" i="24" s="1"/>
  <c r="I3516" i="24" s="1"/>
  <c r="I3517" i="24" s="1"/>
  <c r="I3518" i="24" s="1"/>
  <c r="I3519" i="24" s="1"/>
  <c r="I3520" i="24" s="1"/>
  <c r="I3521" i="24" s="1"/>
  <c r="I3522" i="24" s="1"/>
  <c r="I3523" i="24" s="1"/>
  <c r="I3524" i="24" s="1"/>
  <c r="I3525" i="24" s="1"/>
  <c r="I3526" i="24" s="1"/>
  <c r="I3527" i="24" s="1"/>
  <c r="I3528" i="24" s="1"/>
  <c r="I3529" i="24" s="1"/>
  <c r="I3530" i="24" s="1"/>
  <c r="I3531" i="24" s="1"/>
  <c r="I3532" i="24" s="1"/>
  <c r="I3533" i="24" s="1"/>
  <c r="I3534" i="24" s="1"/>
  <c r="I3535" i="24" s="1"/>
  <c r="I3536" i="24" s="1"/>
  <c r="I3537" i="24" s="1"/>
  <c r="I3538" i="24" s="1"/>
  <c r="I3539" i="24" s="1"/>
  <c r="I3540" i="24" s="1"/>
  <c r="I3541" i="24" s="1"/>
  <c r="I3542" i="24" s="1"/>
  <c r="I3543" i="24" s="1"/>
  <c r="I3544" i="24" s="1"/>
  <c r="I3545" i="24" s="1"/>
  <c r="I3546" i="24" s="1"/>
  <c r="I3547" i="24" s="1"/>
  <c r="I3548" i="24" s="1"/>
  <c r="I3549" i="24" s="1"/>
  <c r="I3550" i="24" s="1"/>
  <c r="I3551" i="24" s="1"/>
  <c r="I3552" i="24" s="1"/>
  <c r="I3553" i="24" s="1"/>
  <c r="I3554" i="24" s="1"/>
  <c r="I3555" i="24" s="1"/>
  <c r="I3556" i="24" s="1"/>
  <c r="I3557" i="24" s="1"/>
  <c r="I3558" i="24" s="1"/>
  <c r="I3559" i="24" s="1"/>
  <c r="I3560" i="24" s="1"/>
  <c r="I3561" i="24" s="1"/>
  <c r="I3562" i="24" s="1"/>
  <c r="I3563" i="24" s="1"/>
  <c r="I3564" i="24" s="1"/>
  <c r="I3565" i="24" s="1"/>
  <c r="I3566" i="24" s="1"/>
  <c r="I3567" i="24" s="1"/>
  <c r="I3568" i="24" s="1"/>
  <c r="I3569" i="24" s="1"/>
  <c r="I3570" i="24" s="1"/>
  <c r="I3571" i="24" s="1"/>
  <c r="I3572" i="24" s="1"/>
  <c r="I3573" i="24" s="1"/>
  <c r="I3574" i="24" s="1"/>
  <c r="I3575" i="24" s="1"/>
  <c r="I3576" i="24" s="1"/>
  <c r="I3577" i="24" s="1"/>
  <c r="I3578" i="24" s="1"/>
  <c r="I3579" i="24" s="1"/>
  <c r="I3580" i="24" s="1"/>
  <c r="I3581" i="24" s="1"/>
  <c r="I3582" i="24" s="1"/>
  <c r="I3583" i="24" s="1"/>
  <c r="I3584" i="24" s="1"/>
  <c r="I3585" i="24" s="1"/>
  <c r="I3586" i="24" s="1"/>
  <c r="I3587" i="24" s="1"/>
  <c r="I3588" i="24" s="1"/>
  <c r="I3589" i="24" s="1"/>
  <c r="I3590" i="24" s="1"/>
  <c r="I3591" i="24" s="1"/>
  <c r="I3592" i="24" s="1"/>
  <c r="I3593" i="24" s="1"/>
  <c r="I3594" i="24" s="1"/>
  <c r="I3595" i="24" s="1"/>
  <c r="I3596" i="24" s="1"/>
  <c r="I3597" i="24" s="1"/>
  <c r="I3598" i="24" s="1"/>
  <c r="I3599" i="24" s="1"/>
  <c r="I3600" i="24" s="1"/>
  <c r="I3601" i="24" s="1"/>
  <c r="I3602" i="24" s="1"/>
  <c r="I3603" i="24" s="1"/>
  <c r="I3604" i="24" s="1"/>
  <c r="I3605" i="24" s="1"/>
  <c r="I3606" i="24" s="1"/>
  <c r="I3607" i="24" s="1"/>
  <c r="I3608" i="24" s="1"/>
  <c r="I3609" i="24" s="1"/>
  <c r="I3610" i="24" s="1"/>
  <c r="I3611" i="24" s="1"/>
  <c r="I3612" i="24" s="1"/>
  <c r="I3613" i="24" s="1"/>
  <c r="I3614" i="24" s="1"/>
  <c r="I3615" i="24" s="1"/>
  <c r="I3616" i="24" s="1"/>
  <c r="I3617" i="24" s="1"/>
  <c r="I3618" i="24" s="1"/>
  <c r="I3619" i="24" s="1"/>
  <c r="I3620" i="24" s="1"/>
  <c r="I3621" i="24" s="1"/>
  <c r="I3622" i="24" s="1"/>
  <c r="I3623" i="24" s="1"/>
  <c r="I3624" i="24" s="1"/>
  <c r="I3625" i="24" s="1"/>
  <c r="I3626" i="24" s="1"/>
  <c r="I3627" i="24" s="1"/>
  <c r="I3628" i="24" s="1"/>
  <c r="I3629" i="24" s="1"/>
  <c r="I3630" i="24" s="1"/>
  <c r="I3631" i="24" s="1"/>
  <c r="I3632" i="24" s="1"/>
  <c r="I3633" i="24" s="1"/>
  <c r="I3634" i="24" s="1"/>
  <c r="I3635" i="24" s="1"/>
  <c r="I3636" i="24" s="1"/>
  <c r="I3637" i="24" s="1"/>
  <c r="I3638" i="24" s="1"/>
  <c r="I3639"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 Scarpa</author>
  </authors>
  <commentList>
    <comment ref="AG2" authorId="0" shapeId="0" xr:uid="{133734E7-DE63-B745-981A-3EE5A7F1B80C}">
      <text>
        <r>
          <rPr>
            <b/>
            <sz val="10"/>
            <color rgb="FF000000"/>
            <rFont val="Tahoma"/>
            <family val="2"/>
          </rPr>
          <t>Nicola Scarpa:</t>
        </r>
        <r>
          <rPr>
            <sz val="10"/>
            <color rgb="FF000000"/>
            <rFont val="Tahoma"/>
            <family val="2"/>
          </rPr>
          <t xml:space="preserve">
</t>
        </r>
        <r>
          <rPr>
            <sz val="10"/>
            <color rgb="FF000000"/>
            <rFont val="Tahoma"/>
            <family val="2"/>
          </rPr>
          <t xml:space="preserve">FORSE NO DELZO
</t>
        </r>
      </text>
    </comment>
    <comment ref="AJ8" authorId="0" shapeId="0" xr:uid="{6DB6159A-73F0-0248-BEE9-DFBB0B738464}">
      <text>
        <r>
          <rPr>
            <b/>
            <sz val="10"/>
            <color rgb="FF000000"/>
            <rFont val="Tahoma"/>
            <family val="2"/>
          </rPr>
          <t>Nicola Scarpa:</t>
        </r>
        <r>
          <rPr>
            <sz val="10"/>
            <color rgb="FF000000"/>
            <rFont val="Tahoma"/>
            <family val="2"/>
          </rPr>
          <t xml:space="preserve">
</t>
        </r>
        <r>
          <rPr>
            <sz val="10"/>
            <color rgb="FF000000"/>
            <rFont val="Tahoma"/>
            <family val="2"/>
          </rPr>
          <t>NO DELZO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Nicola Scarpa</author>
  </authors>
  <commentList>
    <comment ref="AB3" authorId="0" shapeId="0" xr:uid="{63FA98DC-78DD-924E-9D63-45486B83919E}">
      <text>
        <r>
          <rPr>
            <b/>
            <sz val="10"/>
            <color rgb="FF000000"/>
            <rFont val="Tahoma"/>
            <family val="2"/>
          </rPr>
          <t>Nicola Scarpa:</t>
        </r>
        <r>
          <rPr>
            <sz val="10"/>
            <color rgb="FF000000"/>
            <rFont val="Tahoma"/>
            <family val="2"/>
          </rPr>
          <t xml:space="preserve">
</t>
        </r>
        <r>
          <rPr>
            <sz val="10"/>
            <color rgb="FF000000"/>
            <rFont val="Tahoma"/>
            <family val="2"/>
          </rPr>
          <t>Utile al netto del compenso amministratore</t>
        </r>
      </text>
    </comment>
    <comment ref="B7" authorId="0" shapeId="0" xr:uid="{B710862D-A41F-354E-9B1E-EF23C5BD70CA}">
      <text>
        <r>
          <rPr>
            <b/>
            <sz val="10"/>
            <color rgb="FF000000"/>
            <rFont val="Tahoma"/>
            <family val="2"/>
          </rPr>
          <t>Nicola Scarpa:</t>
        </r>
        <r>
          <rPr>
            <sz val="10"/>
            <color rgb="FF000000"/>
            <rFont val="Tahoma"/>
            <family val="2"/>
          </rPr>
          <t xml:space="preserve">
</t>
        </r>
        <r>
          <rPr>
            <sz val="10"/>
            <color rgb="FF000000"/>
            <rFont val="Tahoma"/>
            <family val="2"/>
          </rPr>
          <t>RICAVI - COSTI - COMPENSI</t>
        </r>
      </text>
    </comment>
    <comment ref="P26" authorId="0" shapeId="0" xr:uid="{8FA5861C-4EBE-D848-93E8-A969AC3BA190}">
      <text>
        <r>
          <rPr>
            <b/>
            <sz val="10"/>
            <color rgb="FF000000"/>
            <rFont val="Tahoma"/>
            <family val="2"/>
          </rPr>
          <t>Nicola Scarpa:</t>
        </r>
        <r>
          <rPr>
            <sz val="10"/>
            <color rgb="FF000000"/>
            <rFont val="Tahoma"/>
            <family val="2"/>
          </rPr>
          <t xml:space="preserve">
</t>
        </r>
        <r>
          <rPr>
            <sz val="10"/>
            <color rgb="FF000000"/>
            <rFont val="Calibri"/>
            <family val="2"/>
            <scheme val="minor"/>
          </rPr>
          <t>Dimissioni Esposito, liquidazione TFR Rol Ferie e indennità</t>
        </r>
        <r>
          <rPr>
            <sz val="10"/>
            <color rgb="FF000000"/>
            <rFont val="Calibri"/>
            <family val="2"/>
            <scheme val="minor"/>
          </rPr>
          <t xml:space="preserve">
</t>
        </r>
      </text>
    </comment>
    <comment ref="P29" authorId="0" shapeId="0" xr:uid="{A9BC0051-5AE4-B648-9028-87EE2F971834}">
      <text>
        <r>
          <rPr>
            <b/>
            <sz val="10"/>
            <color rgb="FF000000"/>
            <rFont val="Tahoma"/>
            <family val="2"/>
          </rPr>
          <t>Nicola Scarpa:</t>
        </r>
        <r>
          <rPr>
            <sz val="10"/>
            <color rgb="FF000000"/>
            <rFont val="Tahoma"/>
            <family val="2"/>
          </rPr>
          <t xml:space="preserve">
</t>
        </r>
        <r>
          <rPr>
            <sz val="10"/>
            <color rgb="FF000000"/>
            <rFont val="Calibri"/>
            <family val="2"/>
            <scheme val="minor"/>
          </rPr>
          <t>Dimissioni Esposito, liquidazione TFR Rol Ferie e indennità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Nicola Scarpa</author>
    <author>Annalisa Amadio</author>
  </authors>
  <commentList>
    <comment ref="D1668" authorId="0" shapeId="0" xr:uid="{CBB57D36-5F5F-AB4E-9E8B-8185E8165E36}">
      <text>
        <r>
          <rPr>
            <b/>
            <sz val="10"/>
            <color rgb="FF000000"/>
            <rFont val="Tahoma"/>
            <family val="2"/>
          </rPr>
          <t>Nicola Scarpa:</t>
        </r>
        <r>
          <rPr>
            <sz val="10"/>
            <color rgb="FF000000"/>
            <rFont val="Tahoma"/>
            <family val="2"/>
          </rPr>
          <t xml:space="preserve">
</t>
        </r>
        <r>
          <rPr>
            <sz val="10"/>
            <color rgb="FF000000"/>
            <rFont val="Tahoma"/>
            <family val="2"/>
          </rPr>
          <t xml:space="preserve">Campari 36bt
</t>
        </r>
        <r>
          <rPr>
            <sz val="10"/>
            <color rgb="FF000000"/>
            <rFont val="Tahoma"/>
            <family val="2"/>
          </rPr>
          <t xml:space="preserve">Aperol 36bt
</t>
        </r>
        <r>
          <rPr>
            <sz val="10"/>
            <color rgb="FF000000"/>
            <rFont val="Tahoma"/>
            <family val="2"/>
          </rPr>
          <t xml:space="preserve">Montenegro 0.7L 18bt
</t>
        </r>
        <r>
          <rPr>
            <sz val="10"/>
            <color rgb="FF000000"/>
            <rFont val="Tahoma"/>
            <family val="2"/>
          </rPr>
          <t xml:space="preserve">Bicchieri 3ct
</t>
        </r>
        <r>
          <rPr>
            <sz val="10"/>
            <color rgb="FF000000"/>
            <rFont val="Tahoma"/>
            <family val="2"/>
          </rPr>
          <t xml:space="preserve">42Below 48bt
</t>
        </r>
      </text>
    </comment>
    <comment ref="D1685" authorId="0" shapeId="0" xr:uid="{80429530-7652-D640-BAF5-BB19C95CA20E}">
      <text>
        <r>
          <rPr>
            <b/>
            <sz val="10"/>
            <color rgb="FF000000"/>
            <rFont val="Tahoma"/>
            <family val="2"/>
          </rPr>
          <t>Nicola Scarpa:</t>
        </r>
        <r>
          <rPr>
            <sz val="10"/>
            <color rgb="FF000000"/>
            <rFont val="Tahoma"/>
            <family val="2"/>
          </rPr>
          <t xml:space="preserve">
</t>
        </r>
        <r>
          <rPr>
            <sz val="10"/>
            <color rgb="FF000000"/>
            <rFont val="Calibri"/>
            <family val="2"/>
            <scheme val="minor"/>
          </rPr>
          <t>Bombay 36bt
Bacardi 18bt
Lazzaroni Triplo 6bt
Grey Goose 12bt
Martini Rosso 18bt
Martini Bitter 18bt</t>
        </r>
        <r>
          <rPr>
            <sz val="10"/>
            <color rgb="FF000000"/>
            <rFont val="Calibri"/>
            <family val="2"/>
            <scheme val="minor"/>
          </rPr>
          <t xml:space="preserve">
</t>
        </r>
      </text>
    </comment>
    <comment ref="D1686" authorId="0" shapeId="0" xr:uid="{1D3844B3-10B7-804D-8593-686950AE6EA9}">
      <text>
        <r>
          <rPr>
            <b/>
            <sz val="10"/>
            <color rgb="FF000000"/>
            <rFont val="Tahoma"/>
            <family val="2"/>
          </rPr>
          <t>Nicola Scarpa:</t>
        </r>
        <r>
          <rPr>
            <sz val="10"/>
            <color rgb="FF000000"/>
            <rFont val="Tahoma"/>
            <family val="2"/>
          </rPr>
          <t xml:space="preserve">
</t>
        </r>
        <r>
          <rPr>
            <sz val="10"/>
            <color rgb="FF000000"/>
            <rFont val="Tahoma"/>
            <family val="2"/>
          </rPr>
          <t xml:space="preserve">Bicchieri 2ct
Red Bull 11ct
Havana 1L 6bt
</t>
        </r>
      </text>
    </comment>
    <comment ref="D1703" authorId="0" shapeId="0" xr:uid="{BA18BEEC-6A7D-8846-AD67-A2096CF19DAF}">
      <text>
        <r>
          <rPr>
            <b/>
            <sz val="10"/>
            <color rgb="FF000000"/>
            <rFont val="Tahoma"/>
            <family val="2"/>
          </rPr>
          <t>Nicola Scarpa:</t>
        </r>
        <r>
          <rPr>
            <sz val="10"/>
            <color rgb="FF000000"/>
            <rFont val="Tahoma"/>
            <family val="2"/>
          </rPr>
          <t xml:space="preserve">
</t>
        </r>
        <r>
          <rPr>
            <sz val="10"/>
            <color rgb="FF000000"/>
            <rFont val="Tahoma"/>
            <family val="2"/>
          </rPr>
          <t xml:space="preserve">Bicchieri 5ct </t>
        </r>
        <r>
          <rPr>
            <b/>
            <sz val="10"/>
            <color rgb="FF000000"/>
            <rFont val="Tahoma"/>
            <family val="2"/>
          </rPr>
          <t>190€</t>
        </r>
        <r>
          <rPr>
            <sz val="10"/>
            <color rgb="FF000000"/>
            <rFont val="Tahoma"/>
            <family val="2"/>
          </rPr>
          <t xml:space="preserve">
</t>
        </r>
        <r>
          <rPr>
            <sz val="10"/>
            <color rgb="FF000000"/>
            <rFont val="Tahoma"/>
            <family val="2"/>
          </rPr>
          <t xml:space="preserve">Cannucce lunghe 1ct </t>
        </r>
        <r>
          <rPr>
            <b/>
            <sz val="10"/>
            <color rgb="FF000000"/>
            <rFont val="Tahoma"/>
            <family val="2"/>
          </rPr>
          <t>85€</t>
        </r>
        <r>
          <rPr>
            <sz val="10"/>
            <color rgb="FF000000"/>
            <rFont val="Tahoma"/>
            <family val="2"/>
          </rPr>
          <t xml:space="preserve">
</t>
        </r>
        <r>
          <rPr>
            <sz val="10"/>
            <color rgb="FF000000"/>
            <rFont val="Tahoma"/>
            <family val="2"/>
          </rPr>
          <t xml:space="preserve">Fever Indian 6ct </t>
        </r>
        <r>
          <rPr>
            <b/>
            <sz val="10"/>
            <color rgb="FF000000"/>
            <rFont val="Calibri"/>
            <family val="2"/>
          </rPr>
          <t>151€</t>
        </r>
        <r>
          <rPr>
            <sz val="10"/>
            <color rgb="FF000000"/>
            <rFont val="Calibri"/>
            <family val="2"/>
          </rPr>
          <t xml:space="preserve"> </t>
        </r>
      </text>
    </comment>
    <comment ref="D1727" authorId="0" shapeId="0" xr:uid="{FDDAE5B7-B059-F24C-9743-2EF6EA011BEC}">
      <text>
        <r>
          <rPr>
            <b/>
            <sz val="10"/>
            <color rgb="FF000000"/>
            <rFont val="Tahoma"/>
            <family val="2"/>
          </rPr>
          <t>Nicola Scarpa:</t>
        </r>
        <r>
          <rPr>
            <sz val="10"/>
            <color rgb="FF000000"/>
            <rFont val="Tahoma"/>
            <family val="2"/>
          </rPr>
          <t xml:space="preserve">
</t>
        </r>
        <r>
          <rPr>
            <sz val="10"/>
            <color rgb="FF000000"/>
            <rFont val="Tahoma"/>
            <family val="2"/>
          </rPr>
          <t>SCALATI 765,60€ DI RESO MERCE</t>
        </r>
      </text>
    </comment>
    <comment ref="D1737" authorId="0" shapeId="0" xr:uid="{85B33C8B-D446-9447-B5BE-2A8291658467}">
      <text>
        <r>
          <rPr>
            <b/>
            <sz val="10"/>
            <color rgb="FF000000"/>
            <rFont val="Tahoma"/>
            <family val="2"/>
          </rPr>
          <t>Nicola Scarpa:</t>
        </r>
        <r>
          <rPr>
            <sz val="10"/>
            <color rgb="FF000000"/>
            <rFont val="Tahoma"/>
            <family val="2"/>
          </rPr>
          <t xml:space="preserve">
</t>
        </r>
        <r>
          <rPr>
            <sz val="10"/>
            <color rgb="FF000000"/>
            <rFont val="Tahoma"/>
            <family val="2"/>
          </rPr>
          <t xml:space="preserve">Malfy Rosa 6bt </t>
        </r>
        <r>
          <rPr>
            <b/>
            <sz val="10"/>
            <color rgb="FF000000"/>
            <rFont val="Tahoma"/>
            <family val="2"/>
          </rPr>
          <t>145€</t>
        </r>
        <r>
          <rPr>
            <sz val="10"/>
            <color rgb="FF000000"/>
            <rFont val="Tahoma"/>
            <family val="2"/>
          </rPr>
          <t xml:space="preserve">
</t>
        </r>
        <r>
          <rPr>
            <sz val="10"/>
            <color rgb="FF000000"/>
            <rFont val="Tahoma"/>
            <family val="2"/>
          </rPr>
          <t xml:space="preserve">Triplo Lazzaroni 2bt </t>
        </r>
        <r>
          <rPr>
            <b/>
            <sz val="10"/>
            <color rgb="FF000000"/>
            <rFont val="Tahoma"/>
            <family val="2"/>
          </rPr>
          <t>30€</t>
        </r>
        <r>
          <rPr>
            <sz val="10"/>
            <color rgb="FF000000"/>
            <rFont val="Tahoma"/>
            <family val="2"/>
          </rPr>
          <t xml:space="preserve">
</t>
        </r>
        <r>
          <rPr>
            <sz val="10"/>
            <color rgb="FF000000"/>
            <rFont val="Tahoma"/>
            <family val="2"/>
          </rPr>
          <t xml:space="preserve">Montenegro 1.5L 6bt </t>
        </r>
        <r>
          <rPr>
            <b/>
            <sz val="10"/>
            <color rgb="FF000000"/>
            <rFont val="Calibri"/>
            <family val="2"/>
          </rPr>
          <t xml:space="preserve">174€
</t>
        </r>
        <r>
          <rPr>
            <sz val="10"/>
            <color rgb="FF000000"/>
            <rFont val="Calibri"/>
            <family val="2"/>
          </rPr>
          <t xml:space="preserve">Bombay 1L 12bt  </t>
        </r>
        <r>
          <rPr>
            <b/>
            <sz val="10"/>
            <color rgb="FF000000"/>
            <rFont val="Calibri"/>
            <family val="2"/>
          </rPr>
          <t>205€</t>
        </r>
      </text>
    </comment>
    <comment ref="D1825" authorId="0" shapeId="0" xr:uid="{B68F9D47-6A35-0247-A5B7-71753ED14687}">
      <text>
        <r>
          <rPr>
            <b/>
            <sz val="10"/>
            <color rgb="FF000000"/>
            <rFont val="Tahoma"/>
            <family val="2"/>
          </rPr>
          <t>Nicola Scarpa:</t>
        </r>
        <r>
          <rPr>
            <sz val="10"/>
            <color rgb="FF000000"/>
            <rFont val="Tahoma"/>
            <family val="2"/>
          </rPr>
          <t xml:space="preserve">
</t>
        </r>
        <r>
          <rPr>
            <sz val="10"/>
            <color rgb="FF000000"/>
            <rFont val="Tahoma"/>
            <family val="2"/>
          </rPr>
          <t xml:space="preserve">Jagermeister 1ct 95,50€
</t>
        </r>
        <r>
          <rPr>
            <sz val="10"/>
            <color rgb="FF000000"/>
            <rFont val="Tahoma"/>
            <family val="2"/>
          </rPr>
          <t xml:space="preserve">Jose Cuervo 1ct 105€
</t>
        </r>
        <r>
          <rPr>
            <sz val="10"/>
            <color rgb="FF000000"/>
            <rFont val="Tahoma"/>
            <family val="2"/>
          </rPr>
          <t xml:space="preserve">Aperol 10ct 744€
</t>
        </r>
        <r>
          <rPr>
            <sz val="10"/>
            <color rgb="FF000000"/>
            <rFont val="Tahoma"/>
            <family val="2"/>
          </rPr>
          <t xml:space="preserve">Campari 5ct 501€
</t>
        </r>
        <r>
          <rPr>
            <sz val="10"/>
            <color rgb="FF000000"/>
            <rFont val="Tahoma"/>
            <family val="2"/>
          </rPr>
          <t xml:space="preserve">Malfy Rosa 1ct 143,50€
</t>
        </r>
        <r>
          <rPr>
            <sz val="10"/>
            <color rgb="FF000000"/>
            <rFont val="Tahoma"/>
            <family val="2"/>
          </rPr>
          <t xml:space="preserve">Gingerino 1ct 16€
</t>
        </r>
        <r>
          <rPr>
            <sz val="10"/>
            <color rgb="FF000000"/>
            <rFont val="Tahoma"/>
            <family val="2"/>
          </rPr>
          <t>Crodino 20bt 10€</t>
        </r>
      </text>
    </comment>
    <comment ref="D1852" authorId="0" shapeId="0" xr:uid="{0607DA9C-E531-C049-8673-74E358547CE3}">
      <text>
        <r>
          <rPr>
            <b/>
            <sz val="10"/>
            <color rgb="FF000000"/>
            <rFont val="Tahoma"/>
            <family val="2"/>
          </rPr>
          <t>Nicola Scarpa:</t>
        </r>
        <r>
          <rPr>
            <sz val="10"/>
            <color rgb="FF000000"/>
            <rFont val="Tahoma"/>
            <family val="2"/>
          </rPr>
          <t xml:space="preserve">
</t>
        </r>
        <r>
          <rPr>
            <sz val="10"/>
            <color rgb="FF000000"/>
            <rFont val="Tahoma"/>
            <family val="2"/>
          </rPr>
          <t xml:space="preserve">Beluga 0.7L 1ct 195€	</t>
        </r>
      </text>
    </comment>
    <comment ref="D1903" authorId="0" shapeId="0" xr:uid="{8E983F3E-58A4-BF45-8A64-0C1C3C316B66}">
      <text>
        <r>
          <rPr>
            <b/>
            <sz val="10"/>
            <color rgb="FF000000"/>
            <rFont val="Tahoma"/>
            <family val="2"/>
          </rPr>
          <t>Nicola Scarpa:</t>
        </r>
        <r>
          <rPr>
            <sz val="10"/>
            <color rgb="FF000000"/>
            <rFont val="Tahoma"/>
            <family val="2"/>
          </rPr>
          <t xml:space="preserve">
</t>
        </r>
        <r>
          <rPr>
            <sz val="10"/>
            <color rgb="FF000000"/>
            <rFont val="Tahoma"/>
            <family val="2"/>
          </rPr>
          <t>Fusto Soda 21,50€
Hendrick's 1ct 165€
Fever Tree Varie 10ct 255€
Corona 3ct 71€
Moet Ice Imperial 106€</t>
        </r>
      </text>
    </comment>
    <comment ref="D1938" authorId="0" shapeId="0" xr:uid="{2E9D743E-117C-724A-94D5-E2895C35D092}">
      <text>
        <r>
          <rPr>
            <b/>
            <sz val="10"/>
            <color rgb="FF000000"/>
            <rFont val="Tahoma"/>
            <family val="2"/>
          </rPr>
          <t>Nicola Scarpa:</t>
        </r>
        <r>
          <rPr>
            <sz val="10"/>
            <color rgb="FF000000"/>
            <rFont val="Tahoma"/>
            <family val="2"/>
          </rPr>
          <t xml:space="preserve">
</t>
        </r>
        <r>
          <rPr>
            <sz val="10"/>
            <color rgb="FF000000"/>
            <rFont val="Tahoma"/>
            <family val="2"/>
          </rPr>
          <t>Montenegro 1.5L 6ct</t>
        </r>
      </text>
    </comment>
    <comment ref="D1943" authorId="0" shapeId="0" xr:uid="{98EFCB7C-FE01-024E-B302-17EFECB2568C}">
      <text>
        <r>
          <rPr>
            <b/>
            <sz val="10"/>
            <color rgb="FF000000"/>
            <rFont val="Tahoma"/>
            <family val="2"/>
          </rPr>
          <t>Nicola Scarpa:</t>
        </r>
        <r>
          <rPr>
            <sz val="10"/>
            <color rgb="FF000000"/>
            <rFont val="Tahoma"/>
            <family val="2"/>
          </rPr>
          <t xml:space="preserve">
</t>
        </r>
        <r>
          <rPr>
            <sz val="10"/>
            <color rgb="FF000000"/>
            <rFont val="Tahoma"/>
            <family val="2"/>
          </rPr>
          <t>Beluga Gold Line 2ct</t>
        </r>
      </text>
    </comment>
    <comment ref="D1950" authorId="0" shapeId="0" xr:uid="{4DF2B099-2717-254F-A650-6AF8243CE5C7}">
      <text>
        <r>
          <rPr>
            <b/>
            <sz val="10"/>
            <color rgb="FF000000"/>
            <rFont val="Tahoma"/>
            <family val="2"/>
          </rPr>
          <t>Nicola Scarpa:</t>
        </r>
        <r>
          <rPr>
            <sz val="10"/>
            <color rgb="FF000000"/>
            <rFont val="Tahoma"/>
            <family val="2"/>
          </rPr>
          <t xml:space="preserve">
</t>
        </r>
        <r>
          <rPr>
            <sz val="10"/>
            <color rgb="FF000000"/>
            <rFont val="Tahoma"/>
            <family val="2"/>
          </rPr>
          <t xml:space="preserve">Montenegro 0.7L 1ct 95€
Tonica 0.25L 2ct 27€
Coca Cola 2L 4ct 35,50€ </t>
        </r>
      </text>
    </comment>
    <comment ref="D1969" authorId="0" shapeId="0" xr:uid="{C32A9AA3-7497-784F-B75B-83B6C8169A8B}">
      <text>
        <r>
          <rPr>
            <b/>
            <sz val="10"/>
            <color rgb="FF000000"/>
            <rFont val="Tahoma"/>
            <family val="2"/>
          </rPr>
          <t>Nicola Scarpa:</t>
        </r>
        <r>
          <rPr>
            <sz val="10"/>
            <color rgb="FF000000"/>
            <rFont val="Tahoma"/>
            <family val="2"/>
          </rPr>
          <t xml:space="preserve">
</t>
        </r>
      </text>
    </comment>
    <comment ref="D2186" authorId="0" shapeId="0" xr:uid="{959F5666-11B1-954A-887A-5E098C35461B}">
      <text>
        <r>
          <rPr>
            <b/>
            <sz val="10"/>
            <color rgb="FF000000"/>
            <rFont val="Tahoma"/>
            <family val="2"/>
          </rPr>
          <t>Nicola Scarpa:</t>
        </r>
        <r>
          <rPr>
            <sz val="10"/>
            <color rgb="FF000000"/>
            <rFont val="Tahoma"/>
            <family val="2"/>
          </rPr>
          <t xml:space="preserve">
</t>
        </r>
        <r>
          <rPr>
            <sz val="10"/>
            <color rgb="FF000000"/>
            <rFont val="Tahoma"/>
            <family val="2"/>
          </rPr>
          <t xml:space="preserve">Select 1L 2b7 25€
</t>
        </r>
        <r>
          <rPr>
            <sz val="10"/>
            <color rgb="FF000000"/>
            <rFont val="Tahoma"/>
            <family val="2"/>
          </rPr>
          <t xml:space="preserve">Nino Franco 4ct 190€
</t>
        </r>
        <r>
          <rPr>
            <sz val="10"/>
            <color rgb="FF000000"/>
            <rFont val="Tahoma"/>
            <family val="2"/>
          </rPr>
          <t xml:space="preserve">Ciliegiolo 2ct 48€
</t>
        </r>
        <r>
          <rPr>
            <sz val="10"/>
            <color rgb="FF000000"/>
            <rFont val="Tahoma"/>
            <family val="2"/>
          </rPr>
          <t>Club Fontana 162€</t>
        </r>
      </text>
    </comment>
    <comment ref="D2190" authorId="1" shapeId="0" xr:uid="{5B1D57D3-33EE-3449-944B-16C02D6B90D9}">
      <text>
        <r>
          <rPr>
            <b/>
            <sz val="10"/>
            <color rgb="FF000000"/>
            <rFont val="Tahoma"/>
            <family val="2"/>
          </rPr>
          <t>Annalisa Amadio:</t>
        </r>
        <r>
          <rPr>
            <sz val="10"/>
            <color rgb="FF000000"/>
            <rFont val="Tahoma"/>
            <family val="2"/>
          </rPr>
          <t xml:space="preserve">
</t>
        </r>
        <r>
          <rPr>
            <sz val="10"/>
            <color rgb="FF000000"/>
            <rFont val="Tahoma"/>
            <family val="2"/>
          </rPr>
          <t xml:space="preserve">4ct MONTE 
</t>
        </r>
      </text>
    </comment>
    <comment ref="F2305" authorId="1" shapeId="0" xr:uid="{42D5FB36-BA45-FA4C-9AC1-F4CBD9EB1568}">
      <text>
        <r>
          <rPr>
            <b/>
            <sz val="10"/>
            <color rgb="FF000000"/>
            <rFont val="Tahoma"/>
            <family val="2"/>
          </rPr>
          <t>Annalisa Amadio:</t>
        </r>
        <r>
          <rPr>
            <sz val="10"/>
            <color rgb="FF000000"/>
            <rFont val="Tahoma"/>
            <family val="2"/>
          </rPr>
          <t xml:space="preserve">
</t>
        </r>
        <r>
          <rPr>
            <sz val="10"/>
            <color rgb="FF000000"/>
            <rFont val="Tahoma"/>
            <family val="2"/>
          </rPr>
          <t xml:space="preserve">31.10.25
</t>
        </r>
      </text>
    </comment>
    <comment ref="H2359" authorId="1" shapeId="0" xr:uid="{4C10ACD2-B26F-A249-9DA2-50375DB4029C}">
      <text>
        <r>
          <rPr>
            <b/>
            <sz val="10"/>
            <color rgb="FF000000"/>
            <rFont val="Tahoma"/>
            <family val="2"/>
          </rPr>
          <t>Annalisa Amadio:</t>
        </r>
        <r>
          <rPr>
            <sz val="10"/>
            <color rgb="FF000000"/>
            <rFont val="Tahoma"/>
            <family val="2"/>
          </rPr>
          <t xml:space="preserve">
</t>
        </r>
        <r>
          <rPr>
            <sz val="10"/>
            <color rgb="FF000000"/>
            <rFont val="Tahoma"/>
            <family val="2"/>
          </rPr>
          <t xml:space="preserve">CONTANTI?
</t>
        </r>
      </text>
    </comment>
    <comment ref="E2374" authorId="1" shapeId="0" xr:uid="{BA3FF735-48C8-9049-9EAA-43B7B36F2FBC}">
      <text>
        <r>
          <rPr>
            <b/>
            <sz val="10"/>
            <color rgb="FF000000"/>
            <rFont val="Tahoma"/>
            <family val="2"/>
          </rPr>
          <t>Annalisa Amadio:</t>
        </r>
        <r>
          <rPr>
            <sz val="10"/>
            <color rgb="FF000000"/>
            <rFont val="Tahoma"/>
            <family val="2"/>
          </rPr>
          <t xml:space="preserve">
</t>
        </r>
        <r>
          <rPr>
            <sz val="10"/>
            <color rgb="FF000000"/>
            <rFont val="Tahoma"/>
            <family val="2"/>
          </rPr>
          <t xml:space="preserve">DA SISTEMARE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Nicola Scarpa</author>
    <author>Annalisa Amadio</author>
  </authors>
  <commentList>
    <comment ref="D265" authorId="0" shapeId="0" xr:uid="{2999895F-9CCE-0E47-B56D-8600FBB90058}">
      <text>
        <r>
          <rPr>
            <b/>
            <sz val="10"/>
            <color rgb="FF000000"/>
            <rFont val="Tahoma"/>
            <family val="2"/>
          </rPr>
          <t>Nicola Scarpa:</t>
        </r>
        <r>
          <rPr>
            <sz val="10"/>
            <color rgb="FF000000"/>
            <rFont val="Tahoma"/>
            <family val="2"/>
          </rPr>
          <t xml:space="preserve">
</t>
        </r>
        <r>
          <rPr>
            <sz val="10"/>
            <color rgb="FF000000"/>
            <rFont val="Tahoma"/>
            <family val="2"/>
          </rPr>
          <t xml:space="preserve">Da aggiungere:
</t>
        </r>
        <r>
          <rPr>
            <sz val="10"/>
            <color rgb="FF000000"/>
            <rFont val="Tahoma"/>
            <family val="2"/>
          </rPr>
          <t xml:space="preserve">GIUGNO 325€
</t>
        </r>
        <r>
          <rPr>
            <sz val="10"/>
            <color rgb="FF000000"/>
            <rFont val="Tahoma"/>
            <family val="2"/>
          </rPr>
          <t xml:space="preserve">LUGLIO 215€
</t>
        </r>
        <r>
          <rPr>
            <sz val="10"/>
            <color rgb="FF000000"/>
            <rFont val="Tahoma"/>
            <family val="2"/>
          </rPr>
          <t xml:space="preserve">tot uscita 470€
</t>
        </r>
      </text>
    </comment>
    <comment ref="B286" authorId="1" shapeId="0" xr:uid="{C883AF41-86A9-CA40-B1AE-AAAC44F6C18F}">
      <text>
        <r>
          <rPr>
            <b/>
            <sz val="10"/>
            <color rgb="FF000000"/>
            <rFont val="Tahoma"/>
            <family val="2"/>
          </rPr>
          <t>Annalisa Amadio:</t>
        </r>
        <r>
          <rPr>
            <sz val="10"/>
            <color rgb="FF000000"/>
            <rFont val="Tahoma"/>
            <family val="2"/>
          </rPr>
          <t xml:space="preserve">
</t>
        </r>
        <r>
          <rPr>
            <sz val="10"/>
            <color rgb="FF000000"/>
            <rFont val="Tahoma"/>
            <family val="2"/>
          </rPr>
          <t xml:space="preserve">+ casetta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Nicola Scarpa</author>
    <author>Annalisa Amadio</author>
  </authors>
  <commentList>
    <comment ref="AN9" authorId="0" shapeId="0" xr:uid="{A01CF005-BF6A-2E4D-813A-5B390FAE48F6}">
      <text>
        <r>
          <rPr>
            <b/>
            <sz val="10"/>
            <color rgb="FF000000"/>
            <rFont val="Tahoma"/>
            <family val="2"/>
          </rPr>
          <t>Nicola Scarpa:</t>
        </r>
        <r>
          <rPr>
            <sz val="10"/>
            <color rgb="FF000000"/>
            <rFont val="Tahoma"/>
            <family val="2"/>
          </rPr>
          <t xml:space="preserve">
</t>
        </r>
        <r>
          <rPr>
            <sz val="10"/>
            <color rgb="FF000000"/>
            <rFont val="Tahoma"/>
            <family val="2"/>
          </rPr>
          <t xml:space="preserve">Inizio 01.08.25
</t>
        </r>
      </text>
    </comment>
    <comment ref="AN10" authorId="0" shapeId="0" xr:uid="{7ABD663F-AF31-7548-BE5C-970A5B27DC22}">
      <text>
        <r>
          <rPr>
            <b/>
            <sz val="10"/>
            <color rgb="FF000000"/>
            <rFont val="Tahoma"/>
            <family val="2"/>
          </rPr>
          <t>Nicola Scarpa:</t>
        </r>
        <r>
          <rPr>
            <sz val="10"/>
            <color rgb="FF000000"/>
            <rFont val="Tahoma"/>
            <family val="2"/>
          </rPr>
          <t xml:space="preserve">
</t>
        </r>
        <r>
          <rPr>
            <sz val="10"/>
            <color rgb="FF000000"/>
            <rFont val="Tahoma"/>
            <family val="2"/>
          </rPr>
          <t xml:space="preserve">Inizio 12.09.25
</t>
        </r>
        <r>
          <rPr>
            <sz val="10"/>
            <color rgb="FF000000"/>
            <rFont val="Tahoma"/>
            <family val="2"/>
          </rPr>
          <t xml:space="preserve">
</t>
        </r>
      </text>
    </comment>
    <comment ref="J170" authorId="1" shapeId="0" xr:uid="{DBD5B9A2-FA14-E24E-83F1-5F2A5138E31B}">
      <text>
        <r>
          <rPr>
            <b/>
            <sz val="10"/>
            <color rgb="FF000000"/>
            <rFont val="Tahoma"/>
            <family val="2"/>
          </rPr>
          <t>Annalisa Amadio:</t>
        </r>
        <r>
          <rPr>
            <sz val="10"/>
            <color rgb="FF000000"/>
            <rFont val="Tahoma"/>
            <family val="2"/>
          </rPr>
          <t xml:space="preserve">
</t>
        </r>
        <r>
          <rPr>
            <sz val="10"/>
            <color rgb="FF000000"/>
            <rFont val="Tahoma"/>
            <family val="2"/>
          </rPr>
          <t xml:space="preserve">8+3 casetta
</t>
        </r>
      </text>
    </comment>
    <comment ref="T170" authorId="1" shapeId="0" xr:uid="{60E73E71-3D08-BD4B-AEAC-B16175B99793}">
      <text>
        <r>
          <rPr>
            <b/>
            <sz val="10"/>
            <color rgb="FF000000"/>
            <rFont val="Tahoma"/>
            <family val="2"/>
          </rPr>
          <t>Annalisa Amadio:</t>
        </r>
        <r>
          <rPr>
            <sz val="10"/>
            <color rgb="FF000000"/>
            <rFont val="Tahoma"/>
            <family val="2"/>
          </rPr>
          <t xml:space="preserve">
</t>
        </r>
        <r>
          <rPr>
            <sz val="10"/>
            <color rgb="FF000000"/>
            <rFont val="Tahoma"/>
            <family val="2"/>
          </rPr>
          <t xml:space="preserve">10,5
</t>
        </r>
      </text>
    </comment>
    <comment ref="T174" authorId="1" shapeId="0" xr:uid="{2FD5E80B-1FA0-A44E-A158-0C9344A34A16}">
      <text>
        <r>
          <rPr>
            <b/>
            <sz val="10"/>
            <color rgb="FF000000"/>
            <rFont val="Tahoma"/>
            <family val="2"/>
          </rPr>
          <t>Annalisa Amadio:</t>
        </r>
        <r>
          <rPr>
            <sz val="10"/>
            <color rgb="FF000000"/>
            <rFont val="Tahoma"/>
            <family val="2"/>
          </rPr>
          <t xml:space="preserve">
</t>
        </r>
        <r>
          <rPr>
            <sz val="10"/>
            <color rgb="FF000000"/>
            <rFont val="Tahoma"/>
            <family val="2"/>
          </rPr>
          <t xml:space="preserve">8+2 casetta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Nicola Scarpa</author>
  </authors>
  <commentList>
    <comment ref="P13" authorId="0" shapeId="0" xr:uid="{C4742675-B667-7042-B568-FF2132E71C86}">
      <text>
        <r>
          <rPr>
            <b/>
            <sz val="10"/>
            <color rgb="FF000000"/>
            <rFont val="Tahoma"/>
            <family val="2"/>
          </rPr>
          <t>Nicola Scarpa:</t>
        </r>
        <r>
          <rPr>
            <sz val="10"/>
            <color rgb="FF000000"/>
            <rFont val="Tahoma"/>
            <family val="2"/>
          </rPr>
          <t xml:space="preserve">
</t>
        </r>
        <r>
          <rPr>
            <sz val="10"/>
            <color rgb="FF000000"/>
            <rFont val="Calibri"/>
            <family val="2"/>
          </rPr>
          <t>Aggiungere corrispettivo Casetta</t>
        </r>
        <r>
          <rPr>
            <sz val="10"/>
            <color rgb="FF000000"/>
            <rFont val="Tahoma"/>
            <family val="2"/>
          </rPr>
          <t xml:space="preserve">
</t>
        </r>
      </text>
    </comment>
    <comment ref="P14" authorId="0" shapeId="0" xr:uid="{359D6AB1-B903-0B47-B45F-8793EED4E68E}">
      <text>
        <r>
          <rPr>
            <b/>
            <sz val="10"/>
            <color rgb="FF000000"/>
            <rFont val="Tahoma"/>
            <family val="2"/>
          </rPr>
          <t>Nicola Scarpa:</t>
        </r>
        <r>
          <rPr>
            <sz val="10"/>
            <color rgb="FF000000"/>
            <rFont val="Tahoma"/>
            <family val="2"/>
          </rPr>
          <t xml:space="preserve">
</t>
        </r>
        <r>
          <rPr>
            <sz val="10"/>
            <color rgb="FF000000"/>
            <rFont val="Calibri"/>
            <family val="2"/>
          </rPr>
          <t xml:space="preserve">Aggiungere corrispettivo Casetta
</t>
        </r>
      </text>
    </comment>
    <comment ref="P15" authorId="0" shapeId="0" xr:uid="{118F9E32-D126-D440-A561-C1D8982C4937}">
      <text>
        <r>
          <rPr>
            <b/>
            <sz val="10"/>
            <color rgb="FF000000"/>
            <rFont val="Tahoma"/>
            <family val="2"/>
          </rPr>
          <t>Nicola Scarpa:</t>
        </r>
        <r>
          <rPr>
            <sz val="10"/>
            <color rgb="FF000000"/>
            <rFont val="Tahoma"/>
            <family val="2"/>
          </rPr>
          <t xml:space="preserve">
</t>
        </r>
        <r>
          <rPr>
            <sz val="10"/>
            <color rgb="FF000000"/>
            <rFont val="Calibri"/>
            <family val="2"/>
          </rPr>
          <t xml:space="preserve">Aggiungere corrispettivo Casetta
</t>
        </r>
        <r>
          <rPr>
            <sz val="10"/>
            <color rgb="FF000000"/>
            <rFont val="Tahoma"/>
            <family val="2"/>
          </rPr>
          <t xml:space="preserve">
</t>
        </r>
      </text>
    </comment>
    <comment ref="P16" authorId="0" shapeId="0" xr:uid="{A560707A-4FD8-024F-A8A5-AEB92901342B}">
      <text>
        <r>
          <rPr>
            <b/>
            <sz val="10"/>
            <color rgb="FF000000"/>
            <rFont val="Tahoma"/>
            <family val="2"/>
          </rPr>
          <t>Nicola Scarpa:</t>
        </r>
        <r>
          <rPr>
            <sz val="10"/>
            <color rgb="FF000000"/>
            <rFont val="Tahoma"/>
            <family val="2"/>
          </rPr>
          <t xml:space="preserve">
</t>
        </r>
        <r>
          <rPr>
            <sz val="10"/>
            <color rgb="FF000000"/>
            <rFont val="Calibri"/>
            <family val="2"/>
          </rPr>
          <t xml:space="preserve">Aggiungere corrispettivo Casetta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Annalisa Amadio</author>
  </authors>
  <commentList>
    <comment ref="J29" authorId="0" shapeId="0" xr:uid="{7988120D-3B4D-9F40-B57D-8FFB1973F1D6}">
      <text>
        <r>
          <rPr>
            <b/>
            <sz val="10"/>
            <color rgb="FF000000"/>
            <rFont val="Tahoma"/>
            <family val="2"/>
          </rPr>
          <t>Annalisa Amadio:</t>
        </r>
        <r>
          <rPr>
            <sz val="10"/>
            <color rgb="FF000000"/>
            <rFont val="Tahoma"/>
            <family val="2"/>
          </rPr>
          <t xml:space="preserve">
</t>
        </r>
        <r>
          <rPr>
            <sz val="10"/>
            <color rgb="FF000000"/>
            <rFont val="Tahoma"/>
            <family val="2"/>
          </rPr>
          <t xml:space="preserve">40 x espresso martini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<sst xmlns="http://schemas.openxmlformats.org/spreadsheetml/2006/main" count="24485" uniqueCount="2424">
  <si>
    <t>NOVEMBRE</t>
  </si>
  <si>
    <t>DICEMBRE</t>
  </si>
  <si>
    <t>GENNAIO</t>
  </si>
  <si>
    <t>FEBBRAIO</t>
  </si>
  <si>
    <t>MARZO</t>
  </si>
  <si>
    <t>APRILE</t>
  </si>
  <si>
    <t>€</t>
  </si>
  <si>
    <t>ORE</t>
  </si>
  <si>
    <t>€/ORE</t>
  </si>
  <si>
    <t>Endri Vora</t>
  </si>
  <si>
    <t>Alessia De Nardi</t>
  </si>
  <si>
    <t>Daniele Diana</t>
  </si>
  <si>
    <t>Nicola Scarpa</t>
  </si>
  <si>
    <t>Waldy Vasquez</t>
  </si>
  <si>
    <t>Vanessa Basso</t>
  </si>
  <si>
    <t>Elena Battisti</t>
  </si>
  <si>
    <t>Luca Casagrande</t>
  </si>
  <si>
    <t>Francesko Xhaja</t>
  </si>
  <si>
    <t>Sara Rimolo</t>
  </si>
  <si>
    <t>Melissa Pongan</t>
  </si>
  <si>
    <t>01/11/20 - 27/12/20</t>
  </si>
  <si>
    <t>01/02/21 - 25/04/21</t>
  </si>
  <si>
    <t>1</t>
  </si>
  <si>
    <t>2</t>
  </si>
  <si>
    <t>TEO BAZZO</t>
  </si>
  <si>
    <t>VANESSA BASSO</t>
  </si>
  <si>
    <t>GIULIA ESPOSITO</t>
  </si>
  <si>
    <t>R</t>
  </si>
  <si>
    <t>ANDREA SEGATTO</t>
  </si>
  <si>
    <t>BRIAN MONFERONE</t>
  </si>
  <si>
    <t>DANIELE FELETTO</t>
  </si>
  <si>
    <t>DANIEL ZANCHETTA</t>
  </si>
  <si>
    <t>Gennaio</t>
  </si>
  <si>
    <t>Febbraio</t>
  </si>
  <si>
    <t>Marzo</t>
  </si>
  <si>
    <t>Aprile</t>
  </si>
  <si>
    <t>Maggio</t>
  </si>
  <si>
    <t>Giugno</t>
  </si>
  <si>
    <t>Luglio</t>
  </si>
  <si>
    <t>Agosto</t>
  </si>
  <si>
    <t>Settembre</t>
  </si>
  <si>
    <t>Ottobre</t>
  </si>
  <si>
    <t>Novembre</t>
  </si>
  <si>
    <t>Dicembre</t>
  </si>
  <si>
    <t>M</t>
  </si>
  <si>
    <t>S</t>
  </si>
  <si>
    <t>APERTURA VILLA VARDA</t>
  </si>
  <si>
    <t>G</t>
  </si>
  <si>
    <t>BOTANICO</t>
  </si>
  <si>
    <t>D</t>
  </si>
  <si>
    <t>xtreme days</t>
  </si>
  <si>
    <t>V</t>
  </si>
  <si>
    <t>MATTEO B - Guest DANIELI Bassano</t>
  </si>
  <si>
    <t>L</t>
  </si>
  <si>
    <t>QMD</t>
  </si>
  <si>
    <t>CJF</t>
  </si>
  <si>
    <r>
      <t xml:space="preserve">SEBA - BUMBU </t>
    </r>
    <r>
      <rPr>
        <b/>
        <sz val="7"/>
        <color theme="1"/>
        <rFont val="Avenir Next LT Pro"/>
      </rPr>
      <t>CONF</t>
    </r>
  </si>
  <si>
    <t>PIANCA</t>
  </si>
  <si>
    <t>BOCCALON - Don Julio / Casamigos</t>
  </si>
  <si>
    <r>
      <rPr>
        <b/>
        <sz val="8"/>
        <color theme="1"/>
        <rFont val="Avenir Next LT Pro"/>
        <family val="2"/>
      </rPr>
      <t>S QUIRINO</t>
    </r>
    <r>
      <rPr>
        <sz val="8"/>
        <color theme="1"/>
        <rFont val="Avenir Next LT Pro"/>
        <family val="2"/>
      </rPr>
      <t xml:space="preserve"> + BOT</t>
    </r>
  </si>
  <si>
    <r>
      <t xml:space="preserve">NEGOZI APERTI + MOOKI - TANQ TEN </t>
    </r>
    <r>
      <rPr>
        <b/>
        <sz val="7"/>
        <color theme="1"/>
        <rFont val="Avenir Next LT Pro"/>
      </rPr>
      <t>CONF</t>
    </r>
  </si>
  <si>
    <r>
      <rPr>
        <b/>
        <sz val="7"/>
        <color theme="1"/>
        <rFont val="Avenir Next LT Pro"/>
      </rPr>
      <t>^^^^</t>
    </r>
    <r>
      <rPr>
        <sz val="7"/>
        <color theme="1"/>
        <rFont val="Avenir Next LT Pro"/>
        <family val="2"/>
      </rPr>
      <t xml:space="preserve"> MODULAR VV </t>
    </r>
    <r>
      <rPr>
        <b/>
        <sz val="7"/>
        <color theme="1"/>
        <rFont val="Avenir Next LT Pro"/>
      </rPr>
      <t>^^^^</t>
    </r>
  </si>
  <si>
    <t>SOUND GARDEN VV</t>
  </si>
  <si>
    <t xml:space="preserve">BOCCALON - </t>
  </si>
  <si>
    <t>??  - ??</t>
  </si>
  <si>
    <t>da portare station da Villa Varda</t>
  </si>
  <si>
    <r>
      <t xml:space="preserve">RITA + CUERTO + BOCCALON </t>
    </r>
    <r>
      <rPr>
        <b/>
        <sz val="7"/>
        <color theme="1"/>
        <rFont val="Avenir Next LT Pro"/>
      </rPr>
      <t>CONF</t>
    </r>
  </si>
  <si>
    <t>FIGHT CLUB</t>
  </si>
  <si>
    <r>
      <t xml:space="preserve">NEGOZI APERTI - Lorenzo Dolcevita - Campari Soda </t>
    </r>
    <r>
      <rPr>
        <b/>
        <sz val="7"/>
        <color theme="1"/>
        <rFont val="Avenir Next LT Pro"/>
      </rPr>
      <t>CONF</t>
    </r>
  </si>
  <si>
    <t>QMD - PASQUA ANT</t>
  </si>
  <si>
    <t xml:space="preserve">  -</t>
  </si>
  <si>
    <t>STEREO KIDZ -</t>
  </si>
  <si>
    <t>Comple Mamilla Albert</t>
  </si>
  <si>
    <r>
      <t xml:space="preserve">MATTEO B - Monkey </t>
    </r>
    <r>
      <rPr>
        <b/>
        <sz val="7"/>
        <color theme="1"/>
        <rFont val="Avenir Next LT Pro"/>
      </rPr>
      <t>CONF</t>
    </r>
    <r>
      <rPr>
        <sz val="7"/>
        <color theme="1"/>
        <rFont val="Avenir Next LT Pro"/>
        <family val="2"/>
      </rPr>
      <t xml:space="preserve"> 18/23</t>
    </r>
  </si>
  <si>
    <t>Borgo delle Rose</t>
  </si>
  <si>
    <t>Sagra Primaverile</t>
  </si>
  <si>
    <r>
      <t xml:space="preserve">STEREO KIDZ - Roby Marton </t>
    </r>
    <r>
      <rPr>
        <b/>
        <sz val="7"/>
        <color theme="1"/>
        <rFont val="Avenir Next LT Pro"/>
      </rPr>
      <t>CONF</t>
    </r>
  </si>
  <si>
    <r>
      <t xml:space="preserve">BOCCALON - Palomitas Tour </t>
    </r>
    <r>
      <rPr>
        <b/>
        <sz val="7"/>
        <color theme="1"/>
        <rFont val="Avenir Next LT Pro"/>
      </rPr>
      <t>CONF</t>
    </r>
  </si>
  <si>
    <t>XTREME AFTERPARTY</t>
  </si>
  <si>
    <t>da definire:</t>
  </si>
  <si>
    <t>Altos Tequila</t>
  </si>
  <si>
    <t>PR</t>
  </si>
  <si>
    <t>ok</t>
  </si>
  <si>
    <t>Malfy</t>
  </si>
  <si>
    <t>da programmare con fede</t>
  </si>
  <si>
    <t>Italicus</t>
  </si>
  <si>
    <t>Jameson</t>
  </si>
  <si>
    <t>Monkey 47</t>
  </si>
  <si>
    <t>Mezcal + Del Maguey</t>
  </si>
  <si>
    <t>Bumbu</t>
  </si>
  <si>
    <t>da programmare 4 O 11</t>
  </si>
  <si>
    <t>Venturo</t>
  </si>
  <si>
    <t>DIAGEO</t>
  </si>
  <si>
    <t>Tanqueray 0.0</t>
  </si>
  <si>
    <t>Tanqueray TEN</t>
  </si>
  <si>
    <t>Casamigos / Don Julio</t>
  </si>
  <si>
    <t>Mezzo &amp; Mezzo</t>
  </si>
  <si>
    <t>RIMOLO</t>
  </si>
  <si>
    <t>Select</t>
  </si>
  <si>
    <t>Portofino</t>
  </si>
  <si>
    <t>VELIER</t>
  </si>
  <si>
    <t>London N 3</t>
  </si>
  <si>
    <t>CORR</t>
  </si>
  <si>
    <t xml:space="preserve">Ø GIORN </t>
  </si>
  <si>
    <t xml:space="preserve"> GEN</t>
  </si>
  <si>
    <t xml:space="preserve"> FEB</t>
  </si>
  <si>
    <t xml:space="preserve"> MAR</t>
  </si>
  <si>
    <t xml:space="preserve"> APR</t>
  </si>
  <si>
    <t xml:space="preserve"> MAG</t>
  </si>
  <si>
    <t xml:space="preserve"> GIU</t>
  </si>
  <si>
    <t xml:space="preserve"> LUG</t>
  </si>
  <si>
    <t xml:space="preserve"> AGO</t>
  </si>
  <si>
    <t xml:space="preserve"> SET</t>
  </si>
  <si>
    <t xml:space="preserve"> OTT</t>
  </si>
  <si>
    <t xml:space="preserve"> NOV</t>
  </si>
  <si>
    <t xml:space="preserve"> DIC</t>
  </si>
  <si>
    <t>TOT</t>
  </si>
  <si>
    <t>-</t>
  </si>
  <si>
    <t>Ø</t>
  </si>
  <si>
    <t>MATTINA</t>
  </si>
  <si>
    <t>Ø 2025</t>
  </si>
  <si>
    <t>Ø 2024</t>
  </si>
  <si>
    <t>Ø 2023</t>
  </si>
  <si>
    <t>Ø 2022</t>
  </si>
  <si>
    <t>Ø 2021</t>
  </si>
  <si>
    <t>Ø 2020</t>
  </si>
  <si>
    <t>Ø 2019</t>
  </si>
  <si>
    <t>FATTURATO</t>
  </si>
  <si>
    <t>CASSA INIZIALE</t>
  </si>
  <si>
    <t>UTILE</t>
  </si>
  <si>
    <t>TOTALE</t>
  </si>
  <si>
    <t>BUDGET</t>
  </si>
  <si>
    <t>RICAVI</t>
  </si>
  <si>
    <t>COSTI</t>
  </si>
  <si>
    <t>CASSA</t>
  </si>
  <si>
    <t>Costo Personale</t>
  </si>
  <si>
    <t>Rimb Capitale Finanziamenti</t>
  </si>
  <si>
    <t>Investimenti</t>
  </si>
  <si>
    <t>Saldo IVA</t>
  </si>
  <si>
    <t>Compenso Amministratore</t>
  </si>
  <si>
    <t>Costo personale</t>
  </si>
  <si>
    <t>Costo personale EXTRA</t>
  </si>
  <si>
    <t>Costo personale MATTINA</t>
  </si>
  <si>
    <t>Pulizie</t>
  </si>
  <si>
    <t>Sicurezza</t>
  </si>
  <si>
    <t>TFR, F24 e altri costi</t>
  </si>
  <si>
    <t>Spese per eventi</t>
  </si>
  <si>
    <t>Materie Prime</t>
  </si>
  <si>
    <t>Mat. di consumo, cancell e pulizia</t>
  </si>
  <si>
    <t>Acquisto di beni e attrezzatura</t>
  </si>
  <si>
    <t>Leasing &amp; Affitti</t>
  </si>
  <si>
    <t>ILIA &amp; TARI</t>
  </si>
  <si>
    <t>Spese Condominiali</t>
  </si>
  <si>
    <t>Energia</t>
  </si>
  <si>
    <t>Demanio Idrico</t>
  </si>
  <si>
    <t>Commercialista</t>
  </si>
  <si>
    <t>Consulente del lavoro</t>
  </si>
  <si>
    <t>Telefonia</t>
  </si>
  <si>
    <t>Leasing Strumentali</t>
  </si>
  <si>
    <t>Assicurazione</t>
  </si>
  <si>
    <t>Servizi di vigilanza</t>
  </si>
  <si>
    <t>Servizi fotografici &amp; Social</t>
  </si>
  <si>
    <t>Costi per consulenze</t>
  </si>
  <si>
    <t>Costi di manutenzione</t>
  </si>
  <si>
    <t>Altri costi per servizi</t>
  </si>
  <si>
    <t>Oneri diversi di gestione</t>
  </si>
  <si>
    <t>Oneri finanziari</t>
  </si>
  <si>
    <t>Commissioni bancarie</t>
  </si>
  <si>
    <t>IVA</t>
  </si>
  <si>
    <t>CREDITO IVA 2024</t>
  </si>
  <si>
    <t>Iva a credito</t>
  </si>
  <si>
    <t>Iva a debito</t>
  </si>
  <si>
    <t>SALDO COMPLESSIVO</t>
  </si>
  <si>
    <t>OTTOBRE</t>
  </si>
  <si>
    <t>MAGGIO</t>
  </si>
  <si>
    <t>VEN</t>
  </si>
  <si>
    <t>SAB</t>
  </si>
  <si>
    <t>DOM</t>
  </si>
  <si>
    <t>CONTRIBUZIONE</t>
  </si>
  <si>
    <t>BENEDIKTINER HELL</t>
  </si>
  <si>
    <t>RIEGELE SIMCO 3</t>
  </si>
  <si>
    <t>BITBURGER PILS</t>
  </si>
  <si>
    <t>DUCATO FREERIDE</t>
  </si>
  <si>
    <t>ICE BREAKER</t>
  </si>
  <si>
    <t>MALTEUR PRINCIPESCA</t>
  </si>
  <si>
    <t>CONTRIBUTO</t>
  </si>
  <si>
    <t>RIMANENZA</t>
  </si>
  <si>
    <t>PIANO DEI CONTI</t>
  </si>
  <si>
    <t>COSTI DELLA PRODUZIONE</t>
  </si>
  <si>
    <t>VALORE DELLA PRODUZIONE</t>
  </si>
  <si>
    <t>Corrispettivi</t>
  </si>
  <si>
    <t>Costi per materie prime, sussidiarie</t>
  </si>
  <si>
    <t>Ricavi delle vendite e delle prestazioni</t>
  </si>
  <si>
    <t>Ricavi EVENTI</t>
  </si>
  <si>
    <t>Acquisto beni per produzione di servizi</t>
  </si>
  <si>
    <t>Proventi vari</t>
  </si>
  <si>
    <t>Acquisto di vino</t>
  </si>
  <si>
    <t xml:space="preserve">         </t>
  </si>
  <si>
    <t>Acquisto di caffè</t>
  </si>
  <si>
    <t>Acquisto di beni alimentari</t>
  </si>
  <si>
    <t>Altri ricavi e proventi</t>
  </si>
  <si>
    <t>Acquisto di frutta</t>
  </si>
  <si>
    <t>Acquisti di materiali di consumo</t>
  </si>
  <si>
    <t>Acquisto di bicchieri USA &amp; GETTA</t>
  </si>
  <si>
    <t>Acquisto di bicchieri VETRO</t>
  </si>
  <si>
    <t>Cancelleria e stampati</t>
  </si>
  <si>
    <t>Materiale bar - igiene e pulizia</t>
  </si>
  <si>
    <t>Acquisti di beni &lt; 516,46€ ded. 100%</t>
  </si>
  <si>
    <t>Acquisto attrezzatura varia e minuta</t>
  </si>
  <si>
    <t>Resi, sconti, premi, variazioni su acquisto merce</t>
  </si>
  <si>
    <t>Rimanenze iniziali</t>
  </si>
  <si>
    <t>Rimanenze finali</t>
  </si>
  <si>
    <t>% Materie Prime e Sussidiarie</t>
  </si>
  <si>
    <t>% Materia Prima</t>
  </si>
  <si>
    <t>Costi per servizi</t>
  </si>
  <si>
    <t>_</t>
  </si>
  <si>
    <t>Costi per altri servizi</t>
  </si>
  <si>
    <t>Costi altri servizi indeducibili</t>
  </si>
  <si>
    <t>Riparazioni e manutenzioni diverse</t>
  </si>
  <si>
    <t>Consulenze e collaborazioni tecniche</t>
  </si>
  <si>
    <t>Consulenze legali</t>
  </si>
  <si>
    <t>Consulenze contabilità e dichiarazioni fiscali</t>
  </si>
  <si>
    <t>Servizi elaborazione paghe</t>
  </si>
  <si>
    <t>Servizi fotografici &amp; social</t>
  </si>
  <si>
    <t>Somministrazione energia elettrica</t>
  </si>
  <si>
    <t>Spese telefoniche</t>
  </si>
  <si>
    <t>Servizi di vigilanza uffici</t>
  </si>
  <si>
    <t>Personale EVENTI</t>
  </si>
  <si>
    <t>Servizi di pulizia EVENTI</t>
  </si>
  <si>
    <t>PR EVENTI</t>
  </si>
  <si>
    <t>DJ EVENTI</t>
  </si>
  <si>
    <t>Sicurezza EVENTI</t>
  </si>
  <si>
    <t>Sponsorizzate EVENTI</t>
  </si>
  <si>
    <t>Foto &amp; Grafiche EVENTI</t>
  </si>
  <si>
    <t>DJ Compleanni</t>
  </si>
  <si>
    <t>% Costi Servizi</t>
  </si>
  <si>
    <t>__</t>
  </si>
  <si>
    <t>Affitti e locazioni immobili</t>
  </si>
  <si>
    <t>Noleggio altri beni</t>
  </si>
  <si>
    <t>Costi per godimento beni di terzi</t>
  </si>
  <si>
    <t>Canone utilizzo specchio acqueo Livenza</t>
  </si>
  <si>
    <t>Spese condominiali</t>
  </si>
  <si>
    <t>___</t>
  </si>
  <si>
    <t>Retribuzione del personale</t>
  </si>
  <si>
    <t>% Godimento beni di terzi</t>
  </si>
  <si>
    <t>Retribuzione del personale EXTRA</t>
  </si>
  <si>
    <t>Retribuzione del personale MATTINA</t>
  </si>
  <si>
    <t>Costi per il personale</t>
  </si>
  <si>
    <t>Retribuzione del personale EXTRA MATTINA</t>
  </si>
  <si>
    <t>Retribuzione del personale PULIZIE</t>
  </si>
  <si>
    <t>F24</t>
  </si>
  <si>
    <t>TFR corrisposto nell'anno</t>
  </si>
  <si>
    <t>Altri costi per personale dipendente</t>
  </si>
  <si>
    <t>____</t>
  </si>
  <si>
    <t>Imposta di bollo</t>
  </si>
  <si>
    <t>Tassa annuale libri sociali</t>
  </si>
  <si>
    <t>Abbonamenti e pubblicazioni</t>
  </si>
  <si>
    <t>Spese camerali, catastali e diritti vari</t>
  </si>
  <si>
    <t>% Costo personale dipendente</t>
  </si>
  <si>
    <t>Sanzioni tributarie e previdenziali</t>
  </si>
  <si>
    <t>Altri oneri di gestione</t>
  </si>
  <si>
    <t>_____</t>
  </si>
  <si>
    <t>Interessi sui muti</t>
  </si>
  <si>
    <t>Interessi di mora verso i fornitori</t>
  </si>
  <si>
    <t>Interessi da ravvedimenti operosi</t>
  </si>
  <si>
    <t>Spese e servizi bancari (finanziari)</t>
  </si>
  <si>
    <t>Commissioni Pagobancomat</t>
  </si>
  <si>
    <t>Commissioni Carte Internazionali</t>
  </si>
  <si>
    <t>ONERI FINANZIARI</t>
  </si>
  <si>
    <t>Commissioni SumUp</t>
  </si>
  <si>
    <t>Commissioni Axerve</t>
  </si>
  <si>
    <t>Commissioni RID</t>
  </si>
  <si>
    <t>Commissioni Bonifici</t>
  </si>
  <si>
    <t>______</t>
  </si>
  <si>
    <t>IVA a credito</t>
  </si>
  <si>
    <t>Commissioni Bancarie</t>
  </si>
  <si>
    <t>IVA a debito</t>
  </si>
  <si>
    <t>Versamento contanti</t>
  </si>
  <si>
    <t>Rimborso finanziamento SOCIO</t>
  </si>
  <si>
    <t>Rimborso capitale mutuo</t>
  </si>
  <si>
    <t>Utile d'esercizio*</t>
  </si>
  <si>
    <t>*Utile al lordo degli investimenti dell'esercizio</t>
  </si>
  <si>
    <t>SALDO IVA</t>
  </si>
  <si>
    <t>INCASSO</t>
  </si>
  <si>
    <t>DA VERSARE</t>
  </si>
  <si>
    <t>CORRISPETTIVI</t>
  </si>
  <si>
    <t>NICOLA</t>
  </si>
  <si>
    <t>% CORRISPETTIVI</t>
  </si>
  <si>
    <t>GIORNI LAVORATIVI</t>
  </si>
  <si>
    <t>INCASSO MEDIO</t>
  </si>
  <si>
    <t>POS</t>
  </si>
  <si>
    <t>DATA</t>
  </si>
  <si>
    <t>NOTE</t>
  </si>
  <si>
    <t>17</t>
  </si>
  <si>
    <t>MAR</t>
  </si>
  <si>
    <t>☀️</t>
  </si>
  <si>
    <t>24</t>
  </si>
  <si>
    <t>8</t>
  </si>
  <si>
    <t>15</t>
  </si>
  <si>
    <t>22</t>
  </si>
  <si>
    <t>29</t>
  </si>
  <si>
    <t>CASSA ATTUALE</t>
  </si>
  <si>
    <t>DOC</t>
  </si>
  <si>
    <t>CAUSALE</t>
  </si>
  <si>
    <t>DARE</t>
  </si>
  <si>
    <t>AVERE</t>
  </si>
  <si>
    <t>TOSANO</t>
  </si>
  <si>
    <t>INCASSO POS</t>
  </si>
  <si>
    <t>FRUTTA</t>
  </si>
  <si>
    <t>FATTURE IN SCADENZA</t>
  </si>
  <si>
    <t>FATTURE SCADUTE</t>
  </si>
  <si>
    <t>* al netto dei compensi amministratore</t>
  </si>
  <si>
    <t>#</t>
  </si>
  <si>
    <t>FORNITORE</t>
  </si>
  <si>
    <t>STATO</t>
  </si>
  <si>
    <t>SCADENZA</t>
  </si>
  <si>
    <t>PAGATA</t>
  </si>
  <si>
    <t>8438/00/2024</t>
  </si>
  <si>
    <t>MAINCART</t>
  </si>
  <si>
    <t>VERIFICARE I 427€</t>
  </si>
  <si>
    <t>NICOLA SCARPA</t>
  </si>
  <si>
    <t>473</t>
  </si>
  <si>
    <t>DEL PIERO MODOLO</t>
  </si>
  <si>
    <t>SCADUTA</t>
  </si>
  <si>
    <t>DA PAGARE A METÀ WEISS E VILLA VARDA</t>
  </si>
  <si>
    <t>10301/00/2024</t>
  </si>
  <si>
    <t>SCALARE 978,56€</t>
  </si>
  <si>
    <t>1036/00/2025</t>
  </si>
  <si>
    <t>PRO 35</t>
  </si>
  <si>
    <t>STUDIO DEL PIERO MODOLO</t>
  </si>
  <si>
    <t>1.127,60€ da AVERE DA VILLA VARDA</t>
  </si>
  <si>
    <t xml:space="preserve">000000000002358/02	</t>
  </si>
  <si>
    <t>FERRO</t>
  </si>
  <si>
    <t xml:space="preserve">2826/FE	</t>
  </si>
  <si>
    <t>MEREGALLI</t>
  </si>
  <si>
    <t>1895</t>
  </si>
  <si>
    <t>MANUEL</t>
  </si>
  <si>
    <t>2-958</t>
  </si>
  <si>
    <t>KALTERN</t>
  </si>
  <si>
    <t>AMERICAN EXPRESS</t>
  </si>
  <si>
    <t>2614/A2</t>
  </si>
  <si>
    <t>EUROBEVANDE</t>
  </si>
  <si>
    <t>1787/A9</t>
  </si>
  <si>
    <t>2611/A2</t>
  </si>
  <si>
    <t xml:space="preserve">2134/A9	</t>
  </si>
  <si>
    <t xml:space="preserve">2611/A9	</t>
  </si>
  <si>
    <t>000269RI</t>
  </si>
  <si>
    <t>ECOFIN</t>
  </si>
  <si>
    <t xml:space="preserve">2/505	</t>
  </si>
  <si>
    <t>BOSCARATO</t>
  </si>
  <si>
    <t xml:space="preserve">1895/U01	</t>
  </si>
  <si>
    <t xml:space="preserve">01-0068763-2025	</t>
  </si>
  <si>
    <t>FRAER</t>
  </si>
  <si>
    <t xml:space="preserve">0007794	</t>
  </si>
  <si>
    <t>0007794</t>
  </si>
  <si>
    <t>DA PAGARE</t>
  </si>
  <si>
    <t xml:space="preserve">3546/A9	</t>
  </si>
  <si>
    <t>2/317</t>
  </si>
  <si>
    <t>0000154</t>
  </si>
  <si>
    <t>TOP 1</t>
  </si>
  <si>
    <t xml:space="preserve">2025-FDFE-0002060	</t>
  </si>
  <si>
    <t>GELCO</t>
  </si>
  <si>
    <t xml:space="preserve">000000000001094/01	</t>
  </si>
  <si>
    <t>FRIULBRAU</t>
  </si>
  <si>
    <t xml:space="preserve">2025-FDFE-0003036	</t>
  </si>
  <si>
    <t>795/00/2025</t>
  </si>
  <si>
    <t xml:space="preserve">1071/U01	</t>
  </si>
  <si>
    <t xml:space="preserve">000024RI	</t>
  </si>
  <si>
    <t>0002039</t>
  </si>
  <si>
    <t xml:space="preserve">1400/A2	</t>
  </si>
  <si>
    <t xml:space="preserve">1716/A2	</t>
  </si>
  <si>
    <t>1955/A2</t>
  </si>
  <si>
    <t xml:space="preserve">2054/A2	</t>
  </si>
  <si>
    <t xml:space="preserve">2175/A2	</t>
  </si>
  <si>
    <t xml:space="preserve">1509/A9	</t>
  </si>
  <si>
    <t xml:space="preserve">2227/A2	</t>
  </si>
  <si>
    <t xml:space="preserve">2225/A2	</t>
  </si>
  <si>
    <t xml:space="preserve">000000000001885/02	</t>
  </si>
  <si>
    <t xml:space="preserve">01-0044522-2025	</t>
  </si>
  <si>
    <t>FRAER LEASING</t>
  </si>
  <si>
    <t>01922/B2B</t>
  </si>
  <si>
    <t>IPRATICO</t>
  </si>
  <si>
    <t>1290/00</t>
  </si>
  <si>
    <t>ROMA</t>
  </si>
  <si>
    <t>125503209</t>
  </si>
  <si>
    <t>MONTENEGRO</t>
  </si>
  <si>
    <t>SPESE CONDOMINIALI</t>
  </si>
  <si>
    <t>EE00294392/2025</t>
  </si>
  <si>
    <t>SEGNOVERDE</t>
  </si>
  <si>
    <t xml:space="preserve">FDI/0000729	</t>
  </si>
  <si>
    <t>PICCIN FRIGORIFERI</t>
  </si>
  <si>
    <t xml:space="preserve">01-0028913-2025	</t>
  </si>
  <si>
    <t>RID</t>
  </si>
  <si>
    <t xml:space="preserve">548/00	</t>
  </si>
  <si>
    <t>ROMA GIANFRANCO</t>
  </si>
  <si>
    <t xml:space="preserve">2/169	</t>
  </si>
  <si>
    <t>BOSCARATO LORENZO</t>
  </si>
  <si>
    <t xml:space="preserve">4/A	</t>
  </si>
  <si>
    <t>SALVADOR LUCA</t>
  </si>
  <si>
    <t>1700€ da riavere CASH</t>
  </si>
  <si>
    <t xml:space="preserve">41/A2	</t>
  </si>
  <si>
    <t xml:space="preserve">319/A2	</t>
  </si>
  <si>
    <t xml:space="preserve">564/A2	</t>
  </si>
  <si>
    <t xml:space="preserve">874/A2	</t>
  </si>
  <si>
    <t xml:space="preserve">1151/A2	</t>
  </si>
  <si>
    <t xml:space="preserve">347/C2	</t>
  </si>
  <si>
    <t>RESI CASETTA</t>
  </si>
  <si>
    <t xml:space="preserve">348/CF	</t>
  </si>
  <si>
    <t>PREMIO SUI CONSUMI</t>
  </si>
  <si>
    <t xml:space="preserve">89/U01	</t>
  </si>
  <si>
    <t xml:space="preserve">2025-FDFE-0001031	</t>
  </si>
  <si>
    <t>4230425800022962</t>
  </si>
  <si>
    <t>TIM</t>
  </si>
  <si>
    <t xml:space="preserve">980/IQ	</t>
  </si>
  <si>
    <t>DRZ OFFICE</t>
  </si>
  <si>
    <t>155€ VILLA VARDA - SEGNATO</t>
  </si>
  <si>
    <t xml:space="preserve">1131/IQ	</t>
  </si>
  <si>
    <t xml:space="preserve">2024-FDFE-0011900	</t>
  </si>
  <si>
    <t xml:space="preserve">10031/U01	</t>
  </si>
  <si>
    <t>2024-FDFE-0012684</t>
  </si>
  <si>
    <t>18</t>
  </si>
  <si>
    <t>TENNIS CLUB CANEVA</t>
  </si>
  <si>
    <t xml:space="preserve">39/2025	</t>
  </si>
  <si>
    <t>LOVADINA PAOLO</t>
  </si>
  <si>
    <t xml:space="preserve">175/C2	</t>
  </si>
  <si>
    <t xml:space="preserve">176/CD	</t>
  </si>
  <si>
    <t>124529014</t>
  </si>
  <si>
    <t xml:space="preserve">8004/00	</t>
  </si>
  <si>
    <t>VERIFICARE</t>
  </si>
  <si>
    <t xml:space="preserve">8846/00	</t>
  </si>
  <si>
    <t>DA INCASSARE</t>
  </si>
  <si>
    <t>E-2</t>
  </si>
  <si>
    <t>PERNOD RICARD</t>
  </si>
  <si>
    <t>CATT FVG</t>
  </si>
  <si>
    <t>1801486530</t>
  </si>
  <si>
    <t>MARTINI &amp; ROSSI</t>
  </si>
  <si>
    <t>INCASSATO</t>
  </si>
  <si>
    <t>3600€ VILLA VARDA</t>
  </si>
  <si>
    <t>E-3</t>
  </si>
  <si>
    <t>IMP</t>
  </si>
  <si>
    <t>F24 DIC 2019</t>
  </si>
  <si>
    <t>F24 NON PAGATO</t>
  </si>
  <si>
    <t>20VDBA-0117</t>
  </si>
  <si>
    <t>CHIURLO</t>
  </si>
  <si>
    <t>5 DI 10</t>
  </si>
  <si>
    <t>PALAZZO PEGOLO</t>
  </si>
  <si>
    <t>PARTESA</t>
  </si>
  <si>
    <t>8172</t>
  </si>
  <si>
    <t>BRHEMA PAINT</t>
  </si>
  <si>
    <t>6 DI 10</t>
  </si>
  <si>
    <t>F24 OTT 2020</t>
  </si>
  <si>
    <t>di cui 4204,97€ INPS e INAIL e 2081,75€ IRPEF</t>
  </si>
  <si>
    <t>7X03570896</t>
  </si>
  <si>
    <t>4487</t>
  </si>
  <si>
    <t>7 DI 10</t>
  </si>
  <si>
    <t>F24 NOV 2020</t>
  </si>
  <si>
    <t>di cui 1889,97€ pagabile fino al 16/03/2021</t>
  </si>
  <si>
    <t>618</t>
  </si>
  <si>
    <t>BORTOLIN</t>
  </si>
  <si>
    <t>LUANA BUSCEMI</t>
  </si>
  <si>
    <t>8 DI 10</t>
  </si>
  <si>
    <t>23</t>
  </si>
  <si>
    <t>STUDIO ZAMBELLI</t>
  </si>
  <si>
    <t>7X04284609</t>
  </si>
  <si>
    <t>9 DI 10</t>
  </si>
  <si>
    <t>578</t>
  </si>
  <si>
    <t>2/339</t>
  </si>
  <si>
    <t>3 DI 4</t>
  </si>
  <si>
    <t>RATEAZIONE FATT 12388 12831 13801 13320</t>
  </si>
  <si>
    <t>ELEPHANT COMMUNICATION</t>
  </si>
  <si>
    <t>58/11</t>
  </si>
  <si>
    <t>GIACOMINI</t>
  </si>
  <si>
    <t>10 DI 10</t>
  </si>
  <si>
    <r>
      <rPr>
        <b/>
        <sz val="10"/>
        <color theme="1"/>
        <rFont val="Helvetica Leggero"/>
      </rPr>
      <t>SPESE CONDOMINIALI</t>
    </r>
    <r>
      <rPr>
        <sz val="10"/>
        <color theme="1"/>
        <rFont val="Helvetica Leggero"/>
      </rPr>
      <t xml:space="preserve"> - DA DEDURRE 1490€ ?</t>
    </r>
  </si>
  <si>
    <t>1031</t>
  </si>
  <si>
    <t>1000003635</t>
  </si>
  <si>
    <t>1230</t>
  </si>
  <si>
    <t>212110497</t>
  </si>
  <si>
    <t>SINERGAS</t>
  </si>
  <si>
    <t>728</t>
  </si>
  <si>
    <t>705</t>
  </si>
  <si>
    <t>228</t>
  </si>
  <si>
    <t>DRZ</t>
  </si>
  <si>
    <t>937</t>
  </si>
  <si>
    <t>1586</t>
  </si>
  <si>
    <t>915</t>
  </si>
  <si>
    <t>21000183</t>
  </si>
  <si>
    <t>4 DI 4</t>
  </si>
  <si>
    <t>1824</t>
  </si>
  <si>
    <t>151</t>
  </si>
  <si>
    <t>1256</t>
  </si>
  <si>
    <t>80</t>
  </si>
  <si>
    <t>IMPRESA POLESE</t>
  </si>
  <si>
    <t>MADIA</t>
  </si>
  <si>
    <t>21000272</t>
  </si>
  <si>
    <t>64</t>
  </si>
  <si>
    <t>261</t>
  </si>
  <si>
    <t>2266</t>
  </si>
  <si>
    <t>200</t>
  </si>
  <si>
    <t>DI.BE</t>
  </si>
  <si>
    <t>21000360</t>
  </si>
  <si>
    <t>*comprensivo di fondo cassa e cambio moneta</t>
  </si>
  <si>
    <t>VILLA VARDA</t>
  </si>
  <si>
    <t>CONTO</t>
  </si>
  <si>
    <t>SCALARE</t>
  </si>
  <si>
    <t>DASH</t>
  </si>
  <si>
    <t>SERVIZI PULIZIE</t>
  </si>
  <si>
    <t>EUROSPAR</t>
  </si>
  <si>
    <t>INCASSO IVA</t>
  </si>
  <si>
    <t>PAUSA CAFFE</t>
  </si>
  <si>
    <t>SERGIO MACCAN</t>
  </si>
  <si>
    <t>DDT 410/29</t>
  </si>
  <si>
    <t>SOLIGO</t>
  </si>
  <si>
    <t>PERSONALE</t>
  </si>
  <si>
    <t>ASIA CASONATO</t>
  </si>
  <si>
    <t>BINGO SUPERMERCATI</t>
  </si>
  <si>
    <t>SACILFRUTTA</t>
  </si>
  <si>
    <t>FEDERICO PESSOTTO</t>
  </si>
  <si>
    <t>GIUST PANIFICIO</t>
  </si>
  <si>
    <t>MP MARKET</t>
  </si>
  <si>
    <t>COMPENSO AMMINISTRATORE</t>
  </si>
  <si>
    <t>Servizi di pulizia</t>
  </si>
  <si>
    <t>ENRICO ZOLDAN</t>
  </si>
  <si>
    <t>ERIC APRILE</t>
  </si>
  <si>
    <t>SERENA ROSSITTO</t>
  </si>
  <si>
    <t>EMANUELE FONTI</t>
  </si>
  <si>
    <t>TOMMASO SARTORI</t>
  </si>
  <si>
    <t>FRANCESCO DEL ZOTTO</t>
  </si>
  <si>
    <t>RICCARDO PASQUAL</t>
  </si>
  <si>
    <t>PIETRO MARCOLINI</t>
  </si>
  <si>
    <t>LUCA SALVADOR</t>
  </si>
  <si>
    <t>MATTIA CETTOLIN</t>
  </si>
  <si>
    <t>GIS</t>
  </si>
  <si>
    <t>NICO BIGNUCOLO</t>
  </si>
  <si>
    <t>MATTEO D'ELIA</t>
  </si>
  <si>
    <t>VOUCHER INPS</t>
  </si>
  <si>
    <t>VOUCHER D'ELIA</t>
  </si>
  <si>
    <t>ANDREA CARLOMAGNO</t>
  </si>
  <si>
    <t>GIANLUCA PILAN</t>
  </si>
  <si>
    <r>
      <t xml:space="preserve">VOUCHER FELETTO - </t>
    </r>
    <r>
      <rPr>
        <b/>
        <sz val="10"/>
        <color theme="1"/>
        <rFont val="Avenir Next LT Pro"/>
        <family val="2"/>
      </rPr>
      <t>LA PIAZZA</t>
    </r>
  </si>
  <si>
    <t>DDT 410/124</t>
  </si>
  <si>
    <t>VERSAMENTO</t>
  </si>
  <si>
    <t>VERSAMENTO CONTANTI</t>
  </si>
  <si>
    <t>EMANUELE BIANCO</t>
  </si>
  <si>
    <t>FLORTEC</t>
  </si>
  <si>
    <t>AMAZON</t>
  </si>
  <si>
    <t>Compresi 200€ Caparra 22.02</t>
  </si>
  <si>
    <t>Caparra 04.03</t>
  </si>
  <si>
    <t>Compleanno 11.01</t>
  </si>
  <si>
    <t>EDICOLA BRUNETTA</t>
  </si>
  <si>
    <t>RIMOLO WINE STORE</t>
  </si>
  <si>
    <t>Mezzo e Mezzo</t>
  </si>
  <si>
    <t>Val d'Oca 600bt</t>
  </si>
  <si>
    <t>UTILE CASETTA</t>
  </si>
  <si>
    <t>2024</t>
  </si>
  <si>
    <t>LORENZO DIMA</t>
  </si>
  <si>
    <t>BATEME</t>
  </si>
  <si>
    <t>ANNALISA AMADIO</t>
  </si>
  <si>
    <t>MATTEO MOMESSO</t>
  </si>
  <si>
    <t>SILVIA CARNIELLO</t>
  </si>
  <si>
    <t>ALESSANDRO FONTANA</t>
  </si>
  <si>
    <t>MARTINA DAL CIN</t>
  </si>
  <si>
    <t>GABRIELLA PULIZIE</t>
  </si>
  <si>
    <t>NUNZIA PULIZIE</t>
  </si>
  <si>
    <t>RIPARAZIONE PALMARE</t>
  </si>
  <si>
    <t>Compleanno 18.01 - Caparra 200€</t>
  </si>
  <si>
    <t>GIRLZ</t>
  </si>
  <si>
    <t>MARTINA VICENZOTTO</t>
  </si>
  <si>
    <t>SEBASTIANO DEL BEN</t>
  </si>
  <si>
    <t xml:space="preserve">3160	</t>
  </si>
  <si>
    <t>ESIBIRSI</t>
  </si>
  <si>
    <t>ANDREA COLOMBEROTTO</t>
  </si>
  <si>
    <t>SPOTIFY</t>
  </si>
  <si>
    <t>PULIZIE</t>
  </si>
  <si>
    <t>DDT 342</t>
  </si>
  <si>
    <t>Caparra 22.03 + 04.10</t>
  </si>
  <si>
    <t>MICHELA BERTOLO</t>
  </si>
  <si>
    <t>BUFFETTI</t>
  </si>
  <si>
    <t>PIVA FERRUCCIO</t>
  </si>
  <si>
    <t>PULIZE</t>
  </si>
  <si>
    <t>DDT 464</t>
  </si>
  <si>
    <t>SCRITTURE DI RETTIFICA</t>
  </si>
  <si>
    <t>INCASSO EVENTI</t>
  </si>
  <si>
    <t>CAPARRA COMPLEANNO?</t>
  </si>
  <si>
    <t>Caparra 31.05 + 26.04 + 30.04 + 17.05 + 31.01</t>
  </si>
  <si>
    <t>ERRORE CESTINO</t>
  </si>
  <si>
    <t>VOUCHER VICENZOTTO</t>
  </si>
  <si>
    <t>LINO LODI</t>
  </si>
  <si>
    <t xml:space="preserve">7I 000000093	</t>
  </si>
  <si>
    <t>UNICOMM</t>
  </si>
  <si>
    <t>CHILLER THE CLEANER</t>
  </si>
  <si>
    <t>RIMBORSO SPESE MAMMA</t>
  </si>
  <si>
    <t>WEISSHAUS</t>
  </si>
  <si>
    <t>Caparra 01.03</t>
  </si>
  <si>
    <t>CAPCUT</t>
  </si>
  <si>
    <t>LINKTREE</t>
  </si>
  <si>
    <t>EMISFERO</t>
  </si>
  <si>
    <t xml:space="preserve">00800001000256	</t>
  </si>
  <si>
    <t>NICOLA POSOCCO</t>
  </si>
  <si>
    <t>Caparra 29.03</t>
  </si>
  <si>
    <t>408-5867304-4328348</t>
  </si>
  <si>
    <t>408-0603916-0377901</t>
  </si>
  <si>
    <t>408-2576944-5674705</t>
  </si>
  <si>
    <t>408-5544237-1009120</t>
  </si>
  <si>
    <t>408-2102839-9641906</t>
  </si>
  <si>
    <t>408-1703220-3569942</t>
  </si>
  <si>
    <t>ADOBE ACROBAT PRO</t>
  </si>
  <si>
    <t>TUTTO IL 2025 GIÀ PAGATO</t>
  </si>
  <si>
    <t>ADOBE CREATIVE CLOUD</t>
  </si>
  <si>
    <t>MICROSOFT 365</t>
  </si>
  <si>
    <t>DDT 720</t>
  </si>
  <si>
    <t>Caparra 15.03</t>
  </si>
  <si>
    <t>MATTEO B</t>
  </si>
  <si>
    <t>406-5785275-7827515</t>
  </si>
  <si>
    <t>BINGO</t>
  </si>
  <si>
    <t>DESPAR</t>
  </si>
  <si>
    <t>ENERGYCA</t>
  </si>
  <si>
    <t>408-7876679-1229130</t>
  </si>
  <si>
    <t>DDT 5826</t>
  </si>
  <si>
    <t>Caparra 12.04</t>
  </si>
  <si>
    <t>ACROBAT PRO</t>
  </si>
  <si>
    <t xml:space="preserve">25FV00052	</t>
  </si>
  <si>
    <t>RIME CRAFT DISTILLERS</t>
  </si>
  <si>
    <t>FARMACIA SACILE</t>
  </si>
  <si>
    <t>DDT 0965</t>
  </si>
  <si>
    <t>673</t>
  </si>
  <si>
    <t>406-4152129-8016311</t>
  </si>
  <si>
    <t>MARCO BAXO</t>
  </si>
  <si>
    <t>DAVIDE ZANETTI</t>
  </si>
  <si>
    <t>MARCO BORTOLIN</t>
  </si>
  <si>
    <t>RICCARDO SALMASO</t>
  </si>
  <si>
    <t>VOUCHER SALMASO</t>
  </si>
  <si>
    <t>VOUCHER ZANCHETTA</t>
  </si>
  <si>
    <t>SVUOTACANTINE</t>
  </si>
  <si>
    <t>LIDL</t>
  </si>
  <si>
    <t>FERRAMENTA CEOLIN</t>
  </si>
  <si>
    <t>ORTOFRUTTA LA CASTAGNA</t>
  </si>
  <si>
    <t>4/A</t>
  </si>
  <si>
    <t>DDT 1093</t>
  </si>
  <si>
    <t>RESTITUZIONE CAPARRA</t>
  </si>
  <si>
    <t>Caparra 03.05</t>
  </si>
  <si>
    <t>406-0410598-0514731</t>
  </si>
  <si>
    <t>408-4147829-0279513</t>
  </si>
  <si>
    <t>408-0347577-4386750</t>
  </si>
  <si>
    <t>408-9288806-6892334</t>
  </si>
  <si>
    <t>408-6378024-1146727</t>
  </si>
  <si>
    <t>LA MECCANOGRAFICA</t>
  </si>
  <si>
    <t>VEDRENNE POMPELMO ROSA</t>
  </si>
  <si>
    <t>406-2486635-4057169</t>
  </si>
  <si>
    <t>406-1542699-4927548</t>
  </si>
  <si>
    <t>FERRO DISTRIBUZIONE</t>
  </si>
  <si>
    <t>406-7050038-8549957</t>
  </si>
  <si>
    <t>406-0194609-6019539</t>
  </si>
  <si>
    <t>ELEONORA LUISOTTO</t>
  </si>
  <si>
    <t>408-7466586-6407535</t>
  </si>
  <si>
    <t>406-1380893-9795550</t>
  </si>
  <si>
    <t>406-6029546-9421929</t>
  </si>
  <si>
    <t>406-4012506-1959524</t>
  </si>
  <si>
    <t>406-4832227-0505933</t>
  </si>
  <si>
    <t>406-7651452-7863544</t>
  </si>
  <si>
    <t>DDT 1210</t>
  </si>
  <si>
    <t>Caparra 05.04</t>
  </si>
  <si>
    <t>ANTONIO BUCOLO</t>
  </si>
  <si>
    <t>12380</t>
  </si>
  <si>
    <t>SEBASTIANO DEL DEBN</t>
  </si>
  <si>
    <t>194</t>
  </si>
  <si>
    <t>DECORI</t>
  </si>
  <si>
    <t>ALIEXPRESS</t>
  </si>
  <si>
    <t>CROSSROADS CONSULTING</t>
  </si>
  <si>
    <t>GARCIA DE POU</t>
  </si>
  <si>
    <t>406-7145732-6222714</t>
  </si>
  <si>
    <t>406-6786236-5642751</t>
  </si>
  <si>
    <t>406-1721108-2119542</t>
  </si>
  <si>
    <t>Caparra 23.04 e 11.05</t>
  </si>
  <si>
    <t>TOFFOLI EMPORIO</t>
  </si>
  <si>
    <t>DROGHERIA SACILE</t>
  </si>
  <si>
    <t>APEROL 6CT + MENTA 1 TANICA</t>
  </si>
  <si>
    <t>DDT 1334</t>
  </si>
  <si>
    <t>RACCOMANDATA EDOARDO-DORIANA</t>
  </si>
  <si>
    <t>PICCANTINO</t>
  </si>
  <si>
    <t>MAURIZIO MATTIA</t>
  </si>
  <si>
    <t>12631</t>
  </si>
  <si>
    <t>GRETA ZANOLIN</t>
  </si>
  <si>
    <t>DDT 1461</t>
  </si>
  <si>
    <t>CHATGPT</t>
  </si>
  <si>
    <t>PLAYSTATION NETWORK</t>
  </si>
  <si>
    <t>FIFA 25</t>
  </si>
  <si>
    <t>PORTA INGRESSO</t>
  </si>
  <si>
    <t>ANDREA NADIN</t>
  </si>
  <si>
    <t>INDEED</t>
  </si>
  <si>
    <t>LARIOS</t>
  </si>
  <si>
    <t>PIZZOL FLAVIO</t>
  </si>
  <si>
    <t>RACCOMANDATE</t>
  </si>
  <si>
    <t>DDT 1596</t>
  </si>
  <si>
    <t>ARDIT CAPA</t>
  </si>
  <si>
    <t>Caparra 10.05</t>
  </si>
  <si>
    <t>APEROL 4CT</t>
  </si>
  <si>
    <t>DDT 1723</t>
  </si>
  <si>
    <t>MANCA USCITA SUL FOGLIO</t>
  </si>
  <si>
    <t>AURORA TESOLIN</t>
  </si>
  <si>
    <t>VOUCHER TESOLIN</t>
  </si>
  <si>
    <t>NOLEGGIO BAR</t>
  </si>
  <si>
    <t>MULTA SPAZZATURA</t>
  </si>
  <si>
    <t>ANDREA MARTINI</t>
  </si>
  <si>
    <t>NICO</t>
  </si>
  <si>
    <t>SPRAY FORMICHE</t>
  </si>
  <si>
    <t>EMPORIO TOFFOLI</t>
  </si>
  <si>
    <t>CEOLIN</t>
  </si>
  <si>
    <t>DDT 1842</t>
  </si>
  <si>
    <t>DELZO</t>
  </si>
  <si>
    <t>VOUCHER FELETTO</t>
  </si>
  <si>
    <t>SERVIZI PULIZIA</t>
  </si>
  <si>
    <t>CANNUCCE LUNGHE</t>
  </si>
  <si>
    <t>BENZINA FURGONE</t>
  </si>
  <si>
    <t>LA PIAZZA</t>
  </si>
  <si>
    <t>SVEVA GRAFICHE</t>
  </si>
  <si>
    <t>FERRAMENTA LUCCHESE</t>
  </si>
  <si>
    <t>MARZOTTO VALTER</t>
  </si>
  <si>
    <t>CEOLIN FERRAMENTA</t>
  </si>
  <si>
    <t>19</t>
  </si>
  <si>
    <t>PERUCH</t>
  </si>
  <si>
    <t>468</t>
  </si>
  <si>
    <t>VERONICA PAIERO</t>
  </si>
  <si>
    <t>VOUCHER PAIERO</t>
  </si>
  <si>
    <t>STENO</t>
  </si>
  <si>
    <t>FEDERICO ELLE</t>
  </si>
  <si>
    <t>LORENZO PICCIN</t>
  </si>
  <si>
    <t>DDT 1945</t>
  </si>
  <si>
    <t>951</t>
  </si>
  <si>
    <t>GRETA MENEGHEL</t>
  </si>
  <si>
    <t>Caparra 07.06</t>
  </si>
  <si>
    <t>DDT 1965</t>
  </si>
  <si>
    <t>Caparra 13.06</t>
  </si>
  <si>
    <t>Dash</t>
  </si>
  <si>
    <t>DDT 2038</t>
  </si>
  <si>
    <t>Saldo compleanno 03.05</t>
  </si>
  <si>
    <t>DDT 2076</t>
  </si>
  <si>
    <t>393</t>
  </si>
  <si>
    <t>1131</t>
  </si>
  <si>
    <t>Caparra 24.05</t>
  </si>
  <si>
    <t>3137</t>
  </si>
  <si>
    <t>ALDO CORAZZA</t>
  </si>
  <si>
    <t>SAN QUIRINO</t>
  </si>
  <si>
    <t>BILLOO</t>
  </si>
  <si>
    <t>GIERRE</t>
  </si>
  <si>
    <t>FRITTATINE SALS FRIAR VV</t>
  </si>
  <si>
    <t>DDT 2200</t>
  </si>
  <si>
    <t>GHIACCIO VILLA VARDA</t>
  </si>
  <si>
    <t>PAPION</t>
  </si>
  <si>
    <t>1 CT PATRON REPOSADO</t>
  </si>
  <si>
    <t>1 BT ENGINE</t>
  </si>
  <si>
    <t>00800001001112</t>
  </si>
  <si>
    <t>XTREME DAYS</t>
  </si>
  <si>
    <t>DATA RETTIFICATA</t>
  </si>
  <si>
    <t>RIMBORSO SPESE SOCIAL ANNALISA</t>
  </si>
  <si>
    <t>DDT 2324</t>
  </si>
  <si>
    <t>Caparra 18.10</t>
  </si>
  <si>
    <t>Macallan</t>
  </si>
  <si>
    <t>MERCE VILLA VARDA</t>
  </si>
  <si>
    <t>CAUZIONE FUSTO SODA</t>
  </si>
  <si>
    <t>408-1475112-9403540</t>
  </si>
  <si>
    <t>Torcia</t>
  </si>
  <si>
    <t>408-3321844-0549956</t>
  </si>
  <si>
    <t>408-0671924-5260330</t>
  </si>
  <si>
    <t>406-9756512-0621112</t>
  </si>
  <si>
    <t>Radioline</t>
  </si>
  <si>
    <t>408-8609502-9258714</t>
  </si>
  <si>
    <t>Dischi levigatrice</t>
  </si>
  <si>
    <t>406-2283761-2278730</t>
  </si>
  <si>
    <t>Scotch</t>
  </si>
  <si>
    <t>406-3984249-5619536</t>
  </si>
  <si>
    <t>Cartelline</t>
  </si>
  <si>
    <t>406-4236170-6748362</t>
  </si>
  <si>
    <t>406-6152422-6111534</t>
  </si>
  <si>
    <t>Buste plastificatrice</t>
  </si>
  <si>
    <t>406-0270694-0850706</t>
  </si>
  <si>
    <t>406-9702269-9852308</t>
  </si>
  <si>
    <t>Faretti Led</t>
  </si>
  <si>
    <t>408-4419340-5717146</t>
  </si>
  <si>
    <t>406-1743608-4568366</t>
  </si>
  <si>
    <t>406-0192381-9188311</t>
  </si>
  <si>
    <t>406-4100847-7892367</t>
  </si>
  <si>
    <t>406-5587709-4561959</t>
  </si>
  <si>
    <t>406-0343599-5909901</t>
  </si>
  <si>
    <t>406-2146226-4657965</t>
  </si>
  <si>
    <t>406-8206569-7530741</t>
  </si>
  <si>
    <t>406-6159031-6198761</t>
  </si>
  <si>
    <t>406-2811462-4762769</t>
  </si>
  <si>
    <t>408-3593620-5335519</t>
  </si>
  <si>
    <t>FA 001209</t>
  </si>
  <si>
    <t>ROTOLI POS VILLA VARDA</t>
  </si>
  <si>
    <t>348/IEL</t>
  </si>
  <si>
    <t>EMPORIO ELETTRICO TOFFOLI</t>
  </si>
  <si>
    <t>NINO FRANCO</t>
  </si>
  <si>
    <t>60bt</t>
  </si>
  <si>
    <t>BELUGA</t>
  </si>
  <si>
    <t>6bt</t>
  </si>
  <si>
    <t>NOLEGGIO TAVOLI</t>
  </si>
  <si>
    <t>NOLEGGIO STATION</t>
  </si>
  <si>
    <t>BICCHIERI PLASTICA</t>
  </si>
  <si>
    <t>2ct</t>
  </si>
  <si>
    <t>6223</t>
  </si>
  <si>
    <t>TIC TAC STAMPA</t>
  </si>
  <si>
    <t>Sagomati Giovediamo</t>
  </si>
  <si>
    <t>1690</t>
  </si>
  <si>
    <t>DDT 2448</t>
  </si>
  <si>
    <t>HOSTINGER</t>
  </si>
  <si>
    <t>GIORGIA CANDIAGO</t>
  </si>
  <si>
    <t>MENTA</t>
  </si>
  <si>
    <t>ARIANNA SIMONUT</t>
  </si>
  <si>
    <t>MESSAGGERO VENETO</t>
  </si>
  <si>
    <t>DDT 2535</t>
  </si>
  <si>
    <t>TAVOLI VILLA VARDA</t>
  </si>
  <si>
    <t>TOSANO - BERNARDINI</t>
  </si>
  <si>
    <t>NOW TV</t>
  </si>
  <si>
    <t>406-9235768-3852350</t>
  </si>
  <si>
    <t>ARTEPIZZA</t>
  </si>
  <si>
    <t>COMPRESSORE</t>
  </si>
  <si>
    <t>ALESSIA COLAMARINO</t>
  </si>
  <si>
    <t>MIRKO CAMPANERUTTO</t>
  </si>
  <si>
    <t>VOUCHER NADIN</t>
  </si>
  <si>
    <t>VOUCHER BERTOLO</t>
  </si>
  <si>
    <t>MERCE DA VILLA VARDA</t>
  </si>
  <si>
    <t>SCRITTURA DI RETTIFICA</t>
  </si>
  <si>
    <t>RESTITUZIONE DEBITO VILLA VARDA</t>
  </si>
  <si>
    <t>DDT 2659</t>
  </si>
  <si>
    <t>SPONSORIZZAZIONE M9</t>
  </si>
  <si>
    <t>DDT 2688</t>
  </si>
  <si>
    <t>ALEX CORAZZA</t>
  </si>
  <si>
    <t>MERCE A VILLA VARDA</t>
  </si>
  <si>
    <t>MERCE BERNARDINI</t>
  </si>
  <si>
    <t>FARMACIA</t>
  </si>
  <si>
    <t>3bt Hendricks + 1ct Fusette</t>
  </si>
  <si>
    <t>DDT 2802</t>
  </si>
  <si>
    <t>GABRIELLA</t>
  </si>
  <si>
    <t>DANIELE BOCCALON</t>
  </si>
  <si>
    <t>408-2888717-0797969</t>
  </si>
  <si>
    <t>408-7942107-2867503</t>
  </si>
  <si>
    <t>408-1074379-7475538</t>
  </si>
  <si>
    <t>406-3992647-4319545</t>
  </si>
  <si>
    <t>CAPARRA 20.09</t>
  </si>
  <si>
    <t>TENUTE TOMASELLA</t>
  </si>
  <si>
    <t>R: Richiesta svuotamenti</t>
  </si>
  <si>
    <t>MARCA DA BOLLO</t>
  </si>
  <si>
    <t>CENTROCOPIE SACILE</t>
  </si>
  <si>
    <t>DDT 2026</t>
  </si>
  <si>
    <t>TRISCHITTA</t>
  </si>
  <si>
    <t>CAPARRA 26.07</t>
  </si>
  <si>
    <t>ANDREA VERARDO</t>
  </si>
  <si>
    <t>DDT 3047</t>
  </si>
  <si>
    <t>DOPPIOZERO</t>
  </si>
  <si>
    <t>MEGA</t>
  </si>
  <si>
    <t xml:space="preserve">131/A	</t>
  </si>
  <si>
    <t>OSSI AGRICOLTURA</t>
  </si>
  <si>
    <t>GOMIERO NATALE</t>
  </si>
  <si>
    <t>MR. CHARLIE</t>
  </si>
  <si>
    <t>1266</t>
  </si>
  <si>
    <t>ISAQ</t>
  </si>
  <si>
    <t>244</t>
  </si>
  <si>
    <t>ITALIANA ASSICURAZIONI</t>
  </si>
  <si>
    <t>DDT 3158</t>
  </si>
  <si>
    <t>FERMENTO</t>
  </si>
  <si>
    <t>STEFANO CANCIAN</t>
  </si>
  <si>
    <t>RED BULL</t>
  </si>
  <si>
    <t>PARCHEGGIO FURGONE</t>
  </si>
  <si>
    <t>RISPARMIO CASA</t>
  </si>
  <si>
    <t>DDT 3278</t>
  </si>
  <si>
    <t>MOOKIE</t>
  </si>
  <si>
    <t>ANANAS/PEPERONI</t>
  </si>
  <si>
    <t>VISOTTO</t>
  </si>
  <si>
    <t>DOM PERIGNON DINING VIBE</t>
  </si>
  <si>
    <t>NOLACCOB</t>
  </si>
  <si>
    <t>ANTICA SACILE</t>
  </si>
  <si>
    <t>ALESSANDRA PIAZZON</t>
  </si>
  <si>
    <t>LORENZO DOLCEVITA</t>
  </si>
  <si>
    <t>ALTOS DA VILLA VARDA</t>
  </si>
  <si>
    <t>408-4135548-8873943</t>
  </si>
  <si>
    <t>408-0966426-4552351</t>
  </si>
  <si>
    <t>UFFICIO</t>
  </si>
  <si>
    <t>408-6645311-4313917</t>
  </si>
  <si>
    <t>408-0768861-9262766</t>
  </si>
  <si>
    <t>408-4305657-124352</t>
  </si>
  <si>
    <t>406-1619537-9443554</t>
  </si>
  <si>
    <t>408-4771231-6109942</t>
  </si>
  <si>
    <t>408-1615968-2488302</t>
  </si>
  <si>
    <t>406-4841197-3374766</t>
  </si>
  <si>
    <t>406-0132590-0399560</t>
  </si>
  <si>
    <t>408-0769411-3097112</t>
  </si>
  <si>
    <t>SISTEMARE - VILLA VARDA</t>
  </si>
  <si>
    <t>SISTEMARE - LA PIAZZA</t>
  </si>
  <si>
    <t>APEROL</t>
  </si>
  <si>
    <t>CARAFFE</t>
  </si>
  <si>
    <t>MOET &amp; HENNESSY</t>
  </si>
  <si>
    <t>GHIACCIO</t>
  </si>
  <si>
    <t>ANTICIPATO</t>
  </si>
  <si>
    <t>60gg</t>
  </si>
  <si>
    <t>CT</t>
  </si>
  <si>
    <t>BANCA</t>
  </si>
  <si>
    <t>SALDO INIZIALE</t>
  </si>
  <si>
    <t>SALDO CONTABILE</t>
  </si>
  <si>
    <t>ENTRATE</t>
  </si>
  <si>
    <t>USCITE</t>
  </si>
  <si>
    <t>RIMBORSO FINANZIAMENTO INFRUTTIFERO</t>
  </si>
  <si>
    <t>COMMISSIONI BONIFICO</t>
  </si>
  <si>
    <t>67</t>
  </si>
  <si>
    <t>MANCA FATTURA</t>
  </si>
  <si>
    <t>STORNO SCRITTURE</t>
  </si>
  <si>
    <t>????</t>
  </si>
  <si>
    <t>IMPOSTA DI BOLLO</t>
  </si>
  <si>
    <t>INCASSO SUMUP</t>
  </si>
  <si>
    <t>LA PIAZZA 2024</t>
  </si>
  <si>
    <t>COMMISSIONI SUMUP</t>
  </si>
  <si>
    <t>INCASSO AXERVE</t>
  </si>
  <si>
    <t>INTERESSI E COMPETENZE</t>
  </si>
  <si>
    <t>COMMISSIONI PAGOBANCOMAT</t>
  </si>
  <si>
    <t>COMMISSIONI CARTE INTERNAZIONALI</t>
  </si>
  <si>
    <t>INCASSO PAYPAL</t>
  </si>
  <si>
    <t>SINCLAIR CORNACCHIA</t>
  </si>
  <si>
    <t>COMMISSIONI AXERVE</t>
  </si>
  <si>
    <t xml:space="preserve">01-0228495-2024	</t>
  </si>
  <si>
    <t>POLIZZA VITA MUTUO</t>
  </si>
  <si>
    <t>COMMISSIONI RID</t>
  </si>
  <si>
    <t>MOET HENNESSY</t>
  </si>
  <si>
    <t>VARIE</t>
  </si>
  <si>
    <t xml:space="preserve">8D00214687	</t>
  </si>
  <si>
    <t xml:space="preserve">EE01074235/2024	</t>
  </si>
  <si>
    <t xml:space="preserve">02/5322	</t>
  </si>
  <si>
    <t xml:space="preserve">02/5904	</t>
  </si>
  <si>
    <t xml:space="preserve">02/6381	</t>
  </si>
  <si>
    <t>48000000000002939</t>
  </si>
  <si>
    <t>FABRICK</t>
  </si>
  <si>
    <t>48000000000002940</t>
  </si>
  <si>
    <t>1/1</t>
  </si>
  <si>
    <t>ZANCHETTA &amp; C SRL</t>
  </si>
  <si>
    <t xml:space="preserve">7410/00/2024	</t>
  </si>
  <si>
    <t xml:space="preserve">8439/00/2024	</t>
  </si>
  <si>
    <t xml:space="preserve">9114/CF	</t>
  </si>
  <si>
    <t>NUMERO DOCUMENTO ? 2024</t>
  </si>
  <si>
    <t>RIMBORSO VERBALE 2024010207016</t>
  </si>
  <si>
    <t xml:space="preserve">0002690	</t>
  </si>
  <si>
    <t>209</t>
  </si>
  <si>
    <t>THE SHOP</t>
  </si>
  <si>
    <t>7242014201</t>
  </si>
  <si>
    <t>PIXARTPRINTING</t>
  </si>
  <si>
    <t>AMERICAN EXPRESS GENNAIO 2025</t>
  </si>
  <si>
    <t>FBADS-726-103979489</t>
  </si>
  <si>
    <t>FACEBOOK</t>
  </si>
  <si>
    <t xml:space="preserve">OC025147/2024	</t>
  </si>
  <si>
    <t>GRUPPO ADAM</t>
  </si>
  <si>
    <t xml:space="preserve">514/CEPRO	</t>
  </si>
  <si>
    <t>COCKTAIL ENGINEERING</t>
  </si>
  <si>
    <t>9250043251</t>
  </si>
  <si>
    <t>SIAE</t>
  </si>
  <si>
    <t>9250043252</t>
  </si>
  <si>
    <t xml:space="preserve">W1-12027	</t>
  </si>
  <si>
    <t>AGRICOLA LUSIA</t>
  </si>
  <si>
    <t>CARTA BCC DICEMBRE 2024</t>
  </si>
  <si>
    <t>0120170006200</t>
  </si>
  <si>
    <t>TECNOMAT</t>
  </si>
  <si>
    <t xml:space="preserve">0106-003100	</t>
  </si>
  <si>
    <t>TOFFOLI</t>
  </si>
  <si>
    <t>COMMISSIONI CARTA DI CREDITO</t>
  </si>
  <si>
    <t>MUTUO</t>
  </si>
  <si>
    <t>RATA MUTUO 39 - QUOTA CAPITALE</t>
  </si>
  <si>
    <t>RATA MUTUO 39 - QUOTA INTERESSI</t>
  </si>
  <si>
    <t>SPESE MUTUO</t>
  </si>
  <si>
    <t>Spese e servizi bancari (non finanziari)</t>
  </si>
  <si>
    <t xml:space="preserve">1007/TV2	</t>
  </si>
  <si>
    <t>RANGERS</t>
  </si>
  <si>
    <t xml:space="preserve">01-0239909-2024	</t>
  </si>
  <si>
    <t>2024 ?</t>
  </si>
  <si>
    <t>8788/V1</t>
  </si>
  <si>
    <t xml:space="preserve">8787/CF	</t>
  </si>
  <si>
    <t xml:space="preserve">18435/A2	</t>
  </si>
  <si>
    <t xml:space="preserve">17957/A2	</t>
  </si>
  <si>
    <t xml:space="preserve">17636/A2	</t>
  </si>
  <si>
    <t>000080</t>
  </si>
  <si>
    <t>12</t>
  </si>
  <si>
    <t xml:space="preserve">18327/A2	</t>
  </si>
  <si>
    <t xml:space="preserve">17959/A2	</t>
  </si>
  <si>
    <t xml:space="preserve">17635/A2	</t>
  </si>
  <si>
    <t xml:space="preserve">000000000014307/01	</t>
  </si>
  <si>
    <t xml:space="preserve">01-0013326-2025	</t>
  </si>
  <si>
    <t xml:space="preserve">13	</t>
  </si>
  <si>
    <t>ARD SERVICE</t>
  </si>
  <si>
    <t xml:space="preserve">004994-1C0	</t>
  </si>
  <si>
    <t>BCC POS</t>
  </si>
  <si>
    <t>8004</t>
  </si>
  <si>
    <t>8846</t>
  </si>
  <si>
    <t>84</t>
  </si>
  <si>
    <t>STUDIO VOLPINI GARATTI</t>
  </si>
  <si>
    <t xml:space="preserve">2024-FDFE-0010166	</t>
  </si>
  <si>
    <t xml:space="preserve">2024-FDFE-0010801	</t>
  </si>
  <si>
    <t xml:space="preserve">EE00048397/2025	</t>
  </si>
  <si>
    <t>000000000012958</t>
  </si>
  <si>
    <t>8D00007146</t>
  </si>
  <si>
    <t>16</t>
  </si>
  <si>
    <t>175/C2</t>
  </si>
  <si>
    <t>176/CD</t>
  </si>
  <si>
    <t>E-1</t>
  </si>
  <si>
    <t xml:space="preserve">124529014	</t>
  </si>
  <si>
    <t>Caparra 07.03</t>
  </si>
  <si>
    <t>CONDOMINIO FABIO PEGOLO</t>
  </si>
  <si>
    <t>MARTINI E ROSSI</t>
  </si>
  <si>
    <t xml:space="preserve">2024-FDFE-0012684	</t>
  </si>
  <si>
    <t xml:space="preserve">A1/00006	</t>
  </si>
  <si>
    <t>ASSEMEC</t>
  </si>
  <si>
    <t>CARTA BCC GENNAIO 2025</t>
  </si>
  <si>
    <t xml:space="preserve">9250101026	</t>
  </si>
  <si>
    <t xml:space="preserve">2025/0816	</t>
  </si>
  <si>
    <t>GHILARDI SELEZIONI</t>
  </si>
  <si>
    <t>IT53GT2ABEI</t>
  </si>
  <si>
    <t xml:space="preserve">EC_2025_0022218	</t>
  </si>
  <si>
    <t>IKEA</t>
  </si>
  <si>
    <t xml:space="preserve">42/CEPRO	</t>
  </si>
  <si>
    <t>7251076077</t>
  </si>
  <si>
    <t>4230425800375490</t>
  </si>
  <si>
    <t>4230424800338481</t>
  </si>
  <si>
    <t>E3</t>
  </si>
  <si>
    <t>85</t>
  </si>
  <si>
    <t>GIROCONTO</t>
  </si>
  <si>
    <t xml:space="preserve">9250400887	</t>
  </si>
  <si>
    <t xml:space="preserve">78/TV1	</t>
  </si>
  <si>
    <t>0008734</t>
  </si>
  <si>
    <t xml:space="preserve">EE00294392/2025	</t>
  </si>
  <si>
    <t>8D00023635</t>
  </si>
  <si>
    <t xml:space="preserve">1181-2025-FE	</t>
  </si>
  <si>
    <t>CHECKS SPA</t>
  </si>
  <si>
    <t>28</t>
  </si>
  <si>
    <t>394/03</t>
  </si>
  <si>
    <t>TERZIARIA FORMAZIONE</t>
  </si>
  <si>
    <t xml:space="preserve">168	</t>
  </si>
  <si>
    <t>STUDIO GARATTI</t>
  </si>
  <si>
    <t>VIDIMAZIONE LIBRI SOCIALI</t>
  </si>
  <si>
    <t xml:space="preserve">125503209	</t>
  </si>
  <si>
    <t xml:space="preserve">1290/00	</t>
  </si>
  <si>
    <t>0010162</t>
  </si>
  <si>
    <t xml:space="preserve">6100/1	</t>
  </si>
  <si>
    <t>ONESTI</t>
  </si>
  <si>
    <t>SERVICE LAB</t>
  </si>
  <si>
    <t>30</t>
  </si>
  <si>
    <t xml:space="preserve">0002039	</t>
  </si>
  <si>
    <t xml:space="preserve">4701526714	</t>
  </si>
  <si>
    <t xml:space="preserve">01694/B2B	</t>
  </si>
  <si>
    <t>FBADS-726-104154274</t>
  </si>
  <si>
    <t>META</t>
  </si>
  <si>
    <t>AMERICAN EXPRESS FEBBRAIO 2025</t>
  </si>
  <si>
    <t xml:space="preserve">9250223761	</t>
  </si>
  <si>
    <t xml:space="preserve">9250223760	</t>
  </si>
  <si>
    <t>IT5EFSLABEI</t>
  </si>
  <si>
    <t>IT5EJK2ABEI</t>
  </si>
  <si>
    <t xml:space="preserve">IT5EZLNABEI	</t>
  </si>
  <si>
    <t xml:space="preserve">IT5EZLKABEI	</t>
  </si>
  <si>
    <t>BRACCIALETTA</t>
  </si>
  <si>
    <t>IT5HP86ABEI</t>
  </si>
  <si>
    <t>IT5HQSAABEI</t>
  </si>
  <si>
    <t>9250336641</t>
  </si>
  <si>
    <t xml:space="preserve">103/CEPRO	</t>
  </si>
  <si>
    <t>4230425800039119</t>
  </si>
  <si>
    <t xml:space="preserve">4230425800083812	</t>
  </si>
  <si>
    <t>600195003001710625</t>
  </si>
  <si>
    <t>MAISON DU MIONDE</t>
  </si>
  <si>
    <t>CARTA BCC FEBBRAIO 2025</t>
  </si>
  <si>
    <t>RATA MUTUO 40 - QUOTA CAPITALE</t>
  </si>
  <si>
    <t>RATA MUTUO 40 - QUOTA INTERESSI</t>
  </si>
  <si>
    <t xml:space="preserve">1955/A2	</t>
  </si>
  <si>
    <t>DARIO IANNOTTA</t>
  </si>
  <si>
    <t>118</t>
  </si>
  <si>
    <t>0012474</t>
  </si>
  <si>
    <t xml:space="preserve">A1/00012	</t>
  </si>
  <si>
    <t xml:space="preserve">1284/00	</t>
  </si>
  <si>
    <t>GABER</t>
  </si>
  <si>
    <t>33</t>
  </si>
  <si>
    <t>7409/00/2024</t>
  </si>
  <si>
    <t xml:space="preserve">9174/00/2024	</t>
  </si>
  <si>
    <t xml:space="preserve">9757/00/2024	</t>
  </si>
  <si>
    <t xml:space="preserve">795/00/2025	</t>
  </si>
  <si>
    <t>CANONE DEMANIALE SPECCHIO ACQUEO</t>
  </si>
  <si>
    <t xml:space="preserve">EE00476945/2025	</t>
  </si>
  <si>
    <t>RETTIFICA VOUCHER</t>
  </si>
  <si>
    <t>8D00038259</t>
  </si>
  <si>
    <t xml:space="preserve">2I-296	</t>
  </si>
  <si>
    <t>SOC AGRICOLA BARDIN</t>
  </si>
  <si>
    <t>36</t>
  </si>
  <si>
    <t>37</t>
  </si>
  <si>
    <t>371</t>
  </si>
  <si>
    <t>PFSTILE</t>
  </si>
  <si>
    <t>2979</t>
  </si>
  <si>
    <t>VENICA &amp; VENICA</t>
  </si>
  <si>
    <t>LOTTO 2 CONCORDATO 4/2019</t>
  </si>
  <si>
    <t xml:space="preserve">FPR 67/25	</t>
  </si>
  <si>
    <t>ALBERTO FRANCESCUTTO</t>
  </si>
  <si>
    <t>928</t>
  </si>
  <si>
    <t xml:space="preserve">1/1492	</t>
  </si>
  <si>
    <t>RG MANIA</t>
  </si>
  <si>
    <t>AMERICAN EXPRESS MARZO 2025</t>
  </si>
  <si>
    <t>7251180692</t>
  </si>
  <si>
    <t xml:space="preserve">7251180693	</t>
  </si>
  <si>
    <t xml:space="preserve">002422/25A	</t>
  </si>
  <si>
    <t xml:space="preserve">LEONE </t>
  </si>
  <si>
    <t xml:space="preserve">148Shopify	</t>
  </si>
  <si>
    <t>SPECIAL INGREDIENTS</t>
  </si>
  <si>
    <t xml:space="preserve">FPR 56/25	</t>
  </si>
  <si>
    <t>ARTGEL</t>
  </si>
  <si>
    <t xml:space="preserve">4103-VFAINV0266053	</t>
  </si>
  <si>
    <t>LUSINI</t>
  </si>
  <si>
    <t xml:space="preserve">9250480938	</t>
  </si>
  <si>
    <t>IT20250317000272</t>
  </si>
  <si>
    <t>VEVOR</t>
  </si>
  <si>
    <t>1254154966</t>
  </si>
  <si>
    <t>INFOCERT</t>
  </si>
  <si>
    <t>EC_2025_0120792</t>
  </si>
  <si>
    <t>9250514268</t>
  </si>
  <si>
    <t xml:space="preserve">143/CEPRO	</t>
  </si>
  <si>
    <t>4148937</t>
  </si>
  <si>
    <t>REOLINK</t>
  </si>
  <si>
    <t>4146001</t>
  </si>
  <si>
    <t>104645503</t>
  </si>
  <si>
    <t>9250556925</t>
  </si>
  <si>
    <t>9250556923</t>
  </si>
  <si>
    <t>9250556817</t>
  </si>
  <si>
    <t>9250556818</t>
  </si>
  <si>
    <t>EDOARDO DE NARDI</t>
  </si>
  <si>
    <t>RATA MUTUO 41 - QUOTA CAPITALE</t>
  </si>
  <si>
    <t>RATA MUTUO 41 - QUOTA INTERESSI</t>
  </si>
  <si>
    <t>PF STILE</t>
  </si>
  <si>
    <t>82</t>
  </si>
  <si>
    <t>PRO SACILE</t>
  </si>
  <si>
    <t>AFFITTO CASETTA</t>
  </si>
  <si>
    <t xml:space="preserve">01-0054890-2025	</t>
  </si>
  <si>
    <t xml:space="preserve">153/00/2025	</t>
  </si>
  <si>
    <t xml:space="preserve">000000000003174/02	</t>
  </si>
  <si>
    <t>000112RI</t>
  </si>
  <si>
    <t>0018375</t>
  </si>
  <si>
    <t>PILAN GIANLUCA</t>
  </si>
  <si>
    <t>0002274</t>
  </si>
  <si>
    <t>FINE SPIRITS</t>
  </si>
  <si>
    <t>125507147</t>
  </si>
  <si>
    <t>161</t>
  </si>
  <si>
    <t>505</t>
  </si>
  <si>
    <t>CANONE CARTA DI CREDITO</t>
  </si>
  <si>
    <t xml:space="preserve">126267-1C0	</t>
  </si>
  <si>
    <t xml:space="preserve">2065/00	</t>
  </si>
  <si>
    <t xml:space="preserve">2850/00	</t>
  </si>
  <si>
    <t>OFFICE SOLUTIONS</t>
  </si>
  <si>
    <t>XM TEXTILES</t>
  </si>
  <si>
    <t>8D00061985</t>
  </si>
  <si>
    <t xml:space="preserve">10301/00/2024	</t>
  </si>
  <si>
    <t xml:space="preserve">1036/00/2025	</t>
  </si>
  <si>
    <t xml:space="preserve">8438/00/2024	</t>
  </si>
  <si>
    <t>FI000027</t>
  </si>
  <si>
    <t>CEOLIN RENATO</t>
  </si>
  <si>
    <t xml:space="preserve">EE00650555/2025	</t>
  </si>
  <si>
    <t xml:space="preserve">9250799035	</t>
  </si>
  <si>
    <t>53</t>
  </si>
  <si>
    <t>CREATIVAMENTE TERRITORIO</t>
  </si>
  <si>
    <t>2588</t>
  </si>
  <si>
    <t>SISTEMARE</t>
  </si>
  <si>
    <t>INFOCAMERE</t>
  </si>
  <si>
    <t>CARTA BCC APRILE 2025</t>
  </si>
  <si>
    <t>FPR 169/25</t>
  </si>
  <si>
    <t>PIPROMOTION</t>
  </si>
  <si>
    <t xml:space="preserve">FPR 169/25	</t>
  </si>
  <si>
    <t>INPS VOUCHER</t>
  </si>
  <si>
    <t>ADDEBITO CARTA BCC COSA?</t>
  </si>
  <si>
    <t>346</t>
  </si>
  <si>
    <t>DUEGI</t>
  </si>
  <si>
    <t>F53-4618</t>
  </si>
  <si>
    <t>LEDKIA</t>
  </si>
  <si>
    <t>AMERICAN EXPRESS APRILE 2025</t>
  </si>
  <si>
    <t>V2164051</t>
  </si>
  <si>
    <t xml:space="preserve">2025-106368	</t>
  </si>
  <si>
    <t>IUBENDA</t>
  </si>
  <si>
    <t xml:space="preserve">102353/E	</t>
  </si>
  <si>
    <t>NETENDERS</t>
  </si>
  <si>
    <t xml:space="preserve">280	</t>
  </si>
  <si>
    <t>VIGO CONTRACT</t>
  </si>
  <si>
    <t>FBADS-726-104339422</t>
  </si>
  <si>
    <t xml:space="preserve">179/CEPRO	</t>
  </si>
  <si>
    <t>299</t>
  </si>
  <si>
    <t>RATA MUTUO 42 - QUOTA CAPITALE</t>
  </si>
  <si>
    <t>RATA MUTUO 42 - QUOTA INTERESSI</t>
  </si>
  <si>
    <t>AGENZIA DELLE ENTRATE</t>
  </si>
  <si>
    <t>220</t>
  </si>
  <si>
    <t xml:space="preserve">01-0084562-2025	</t>
  </si>
  <si>
    <t xml:space="preserve">4131/A9	</t>
  </si>
  <si>
    <t xml:space="preserve">4697/A9	</t>
  </si>
  <si>
    <t xml:space="preserve">5857/A9	</t>
  </si>
  <si>
    <t xml:space="preserve">000000000004416/02	</t>
  </si>
  <si>
    <t xml:space="preserve">000000000004418/02	</t>
  </si>
  <si>
    <t>MANCA FT</t>
  </si>
  <si>
    <t>25/015</t>
  </si>
  <si>
    <t>ANGELO MIO</t>
  </si>
  <si>
    <t>STRIPE</t>
  </si>
  <si>
    <t xml:space="preserve">0023910	</t>
  </si>
  <si>
    <t>ICA SYSTEM</t>
  </si>
  <si>
    <t>8D00082153</t>
  </si>
  <si>
    <t>CAPARRA UFFICIO</t>
  </si>
  <si>
    <t>FPR 5/25</t>
  </si>
  <si>
    <t>TOSONI RICCARDO</t>
  </si>
  <si>
    <t xml:space="preserve">2/751	</t>
  </si>
  <si>
    <t xml:space="preserve">2/948	</t>
  </si>
  <si>
    <t xml:space="preserve">2-958	</t>
  </si>
  <si>
    <t xml:space="preserve">ILIA </t>
  </si>
  <si>
    <t xml:space="preserve">878/2025	</t>
  </si>
  <si>
    <t>LOVADINA</t>
  </si>
  <si>
    <t>PILAN</t>
  </si>
  <si>
    <t xml:space="preserve">EE00815680/2025	</t>
  </si>
  <si>
    <t>PONTICIELLO ANDREA</t>
  </si>
  <si>
    <t xml:space="preserve">0027599	</t>
  </si>
  <si>
    <t>WORLDLINE</t>
  </si>
  <si>
    <t xml:space="preserve">3722/00	</t>
  </si>
  <si>
    <t xml:space="preserve">8/800648	</t>
  </si>
  <si>
    <t>CASOLARO</t>
  </si>
  <si>
    <t>AMERICAN EXPRESS MAGGIO 2025</t>
  </si>
  <si>
    <t xml:space="preserve">1/3264	</t>
  </si>
  <si>
    <t>RG COMMERCIALE</t>
  </si>
  <si>
    <t>BOTTIGLIE E VASI</t>
  </si>
  <si>
    <t xml:space="preserve">12235CFH	</t>
  </si>
  <si>
    <t>CLOUDFINANCE</t>
  </si>
  <si>
    <t xml:space="preserve">IT519U8AABEI	</t>
  </si>
  <si>
    <t>TIC TAC</t>
  </si>
  <si>
    <t xml:space="preserve">225/CEPRO	</t>
  </si>
  <si>
    <t>COMUNE DI LIGNANO</t>
  </si>
  <si>
    <t xml:space="preserve">IT51BMQ6ABEI	</t>
  </si>
  <si>
    <t>IT51CWEKABEI</t>
  </si>
  <si>
    <t xml:space="preserve">9250867000	</t>
  </si>
  <si>
    <t xml:space="preserve">1/1987	</t>
  </si>
  <si>
    <t>THE PITCH</t>
  </si>
  <si>
    <t>4230425800083810</t>
  </si>
  <si>
    <t>4230425800111062</t>
  </si>
  <si>
    <t xml:space="preserve">4230425800146969	</t>
  </si>
  <si>
    <t xml:space="preserve">989/2	</t>
  </si>
  <si>
    <t>BEVINGROSSO</t>
  </si>
  <si>
    <t>RATA MUTUO 43 - QUOTA CAPITALE</t>
  </si>
  <si>
    <t>RATA MUTUO 43 - QUOTA INTERESSI</t>
  </si>
  <si>
    <t xml:space="preserve">000000000005751/02	</t>
  </si>
  <si>
    <t xml:space="preserve">000000000005749/02	</t>
  </si>
  <si>
    <t>MANCA</t>
  </si>
  <si>
    <t>264</t>
  </si>
  <si>
    <t xml:space="preserve">01-0100140-2025		</t>
  </si>
  <si>
    <t xml:space="preserve">01-0100140-2025	</t>
  </si>
  <si>
    <t>CASE E CASE</t>
  </si>
  <si>
    <t xml:space="preserve">244	</t>
  </si>
  <si>
    <t>DRZ  OFFICE</t>
  </si>
  <si>
    <t xml:space="preserve">393	</t>
  </si>
  <si>
    <t>BALLIANA AUGUSTO</t>
  </si>
  <si>
    <t>30.6542298</t>
  </si>
  <si>
    <t>0004773</t>
  </si>
  <si>
    <t>Q2-217</t>
  </si>
  <si>
    <t>P&amp;P SRL</t>
  </si>
  <si>
    <t>1359</t>
  </si>
  <si>
    <t xml:space="preserve">VELIER </t>
  </si>
  <si>
    <t>D'ALESSIO DISTRIBUZIONE</t>
  </si>
  <si>
    <t>4686</t>
  </si>
  <si>
    <t xml:space="preserve">GELCO </t>
  </si>
  <si>
    <t>MOËT HENNESSY</t>
  </si>
  <si>
    <t>CORAZZA SNC</t>
  </si>
  <si>
    <t>AGB SELEZIONE</t>
  </si>
  <si>
    <t>00028</t>
  </si>
  <si>
    <t>ASSEMEC SNC</t>
  </si>
  <si>
    <t xml:space="preserve">WORLDLINE </t>
  </si>
  <si>
    <t>8D00094125</t>
  </si>
  <si>
    <t xml:space="preserve">TIM </t>
  </si>
  <si>
    <t>ASSEGNO</t>
  </si>
  <si>
    <t>CANDIAGO GIORGIA</t>
  </si>
  <si>
    <t xml:space="preserve">000348/25	</t>
  </si>
  <si>
    <t>MONGETTO</t>
  </si>
  <si>
    <t xml:space="preserve">EE00973307/2025	</t>
  </si>
  <si>
    <t xml:space="preserve">00585/H/2025	</t>
  </si>
  <si>
    <t>HOTEL DUE LEONI</t>
  </si>
  <si>
    <t>OFFICE SOLUTIONS SISTEMI S.R.L</t>
  </si>
  <si>
    <t>OFFICE SOLUTIONS SISTEMI S.R.L IVA</t>
  </si>
  <si>
    <t>0033808</t>
  </si>
  <si>
    <t>VELIER IVA</t>
  </si>
  <si>
    <t>2025/3729</t>
  </si>
  <si>
    <t xml:space="preserve">GHILARDI SELEZIONI </t>
  </si>
  <si>
    <t xml:space="preserve">GHILARDI SELEZIONI IVA </t>
  </si>
  <si>
    <t xml:space="preserve">ROBERTO PASQUALI </t>
  </si>
  <si>
    <t xml:space="preserve">INCASSO </t>
  </si>
  <si>
    <t xml:space="preserve">COMMISSIONI AXERVE </t>
  </si>
  <si>
    <t>276</t>
  </si>
  <si>
    <t xml:space="preserve">ALBERGO DUE FIUMI </t>
  </si>
  <si>
    <t>IT51FN9XABEI</t>
  </si>
  <si>
    <t>IT51H97PABEI</t>
  </si>
  <si>
    <t>IT51HFBHABEI</t>
  </si>
  <si>
    <t>IT51I6HKABEI</t>
  </si>
  <si>
    <t>DRINK FACTORY</t>
  </si>
  <si>
    <t>R25-02926696</t>
  </si>
  <si>
    <t>METRO</t>
  </si>
  <si>
    <t>263/CEPRO</t>
  </si>
  <si>
    <t>EC_2025_0259585</t>
  </si>
  <si>
    <t>1403487600</t>
  </si>
  <si>
    <t>DELL</t>
  </si>
  <si>
    <t>Periodo</t>
  </si>
  <si>
    <t>Dicembre 2024</t>
  </si>
  <si>
    <t>Azienda</t>
  </si>
  <si>
    <t>Weiss Cafè</t>
  </si>
  <si>
    <t>Cognome e Nome</t>
  </si>
  <si>
    <t>Ore</t>
  </si>
  <si>
    <t>Netto</t>
  </si>
  <si>
    <t>Straordinario</t>
  </si>
  <si>
    <t>Note</t>
  </si>
  <si>
    <t>Basso Vanessa</t>
  </si>
  <si>
    <t>PAGATO</t>
  </si>
  <si>
    <t>Amadio Annalisa</t>
  </si>
  <si>
    <t>Dal Cin Martina</t>
  </si>
  <si>
    <t>Segatto Andrea</t>
  </si>
  <si>
    <t>850€ EXTRA CASETTA</t>
  </si>
  <si>
    <t>Monferone Brian</t>
  </si>
  <si>
    <t>Carniello Silvia</t>
  </si>
  <si>
    <t>830€ EXTRA CASETTA</t>
  </si>
  <si>
    <t>D'Elia Matteo</t>
  </si>
  <si>
    <t>Momesso Matteo</t>
  </si>
  <si>
    <t>Fontana Alessandro</t>
  </si>
  <si>
    <t>Nunzia Pulizie</t>
  </si>
  <si>
    <t>Gabriella Pulizie</t>
  </si>
  <si>
    <t>Totale aziendale</t>
  </si>
  <si>
    <t>Gennaio 2025</t>
  </si>
  <si>
    <t>280€ TENERIFE</t>
  </si>
  <si>
    <t>Febbraio 2025</t>
  </si>
  <si>
    <t>Teo Bazzo</t>
  </si>
  <si>
    <t>Marzo 2025</t>
  </si>
  <si>
    <t>PAGATO ANCHE APRILE</t>
  </si>
  <si>
    <t>RECUPERARE 100€ VILLA VARDA</t>
  </si>
  <si>
    <t>36+36+36 voucher</t>
  </si>
  <si>
    <t>Togliere 175€ di corso</t>
  </si>
  <si>
    <t>Daniel Zanchetta</t>
  </si>
  <si>
    <t>36+36 Voucher</t>
  </si>
  <si>
    <t>MENO 30€ BOTANICO</t>
  </si>
  <si>
    <t>CREDITO IVA</t>
  </si>
  <si>
    <t>Aprile 2025</t>
  </si>
  <si>
    <r>
      <rPr>
        <b/>
        <sz val="10"/>
        <color theme="1"/>
        <rFont val="Avenir Next LT Pro"/>
      </rPr>
      <t>V:</t>
    </r>
    <r>
      <rPr>
        <sz val="10"/>
        <color theme="1"/>
        <rFont val="Avenir Next LT Pro"/>
        <family val="2"/>
      </rPr>
      <t xml:space="preserve"> 06.04 </t>
    </r>
    <r>
      <rPr>
        <b/>
        <sz val="10"/>
        <color theme="1"/>
        <rFont val="Avenir Next LT Pro"/>
      </rPr>
      <t>36€</t>
    </r>
    <r>
      <rPr>
        <sz val="10"/>
        <color theme="1"/>
        <rFont val="Avenir Next LT Pro"/>
        <family val="2"/>
      </rPr>
      <t xml:space="preserve"> - 13.04 </t>
    </r>
    <r>
      <rPr>
        <b/>
        <sz val="10"/>
        <color theme="1"/>
        <rFont val="Avenir Next LT Pro"/>
      </rPr>
      <t>36€</t>
    </r>
    <r>
      <rPr>
        <sz val="10"/>
        <color theme="1"/>
        <rFont val="Avenir Next LT Pro"/>
        <family val="2"/>
      </rPr>
      <t xml:space="preserve"> - 19.04 </t>
    </r>
    <r>
      <rPr>
        <b/>
        <sz val="10"/>
        <color theme="1"/>
        <rFont val="Avenir Next LT Pro"/>
      </rPr>
      <t>36€</t>
    </r>
    <r>
      <rPr>
        <sz val="10"/>
        <color theme="1"/>
        <rFont val="Avenir Next LT Pro"/>
        <family val="2"/>
      </rPr>
      <t xml:space="preserve"> - 27.04 </t>
    </r>
    <r>
      <rPr>
        <b/>
        <sz val="10"/>
        <color theme="1"/>
        <rFont val="Avenir Next LT Pro"/>
      </rPr>
      <t>72€</t>
    </r>
  </si>
  <si>
    <r>
      <rPr>
        <b/>
        <sz val="10"/>
        <color theme="1"/>
        <rFont val="Avenir Next LT Pro"/>
      </rPr>
      <t>V:</t>
    </r>
    <r>
      <rPr>
        <sz val="10"/>
        <color theme="1"/>
        <rFont val="Avenir Next LT Pro"/>
        <family val="2"/>
      </rPr>
      <t xml:space="preserve"> 06.04 </t>
    </r>
    <r>
      <rPr>
        <b/>
        <sz val="10"/>
        <color theme="1"/>
        <rFont val="Avenir Next LT Pro"/>
      </rPr>
      <t>36€</t>
    </r>
    <r>
      <rPr>
        <sz val="10"/>
        <color theme="1"/>
        <rFont val="Avenir Next LT Pro"/>
        <family val="2"/>
      </rPr>
      <t xml:space="preserve"> - 24.04 </t>
    </r>
    <r>
      <rPr>
        <b/>
        <sz val="10"/>
        <color theme="1"/>
        <rFont val="Avenir Next LT Pro"/>
      </rPr>
      <t>36€</t>
    </r>
  </si>
  <si>
    <t>Aurora Tesolin</t>
  </si>
  <si>
    <r>
      <rPr>
        <b/>
        <sz val="10"/>
        <color theme="1"/>
        <rFont val="Avenir Next LT Pro"/>
      </rPr>
      <t>V:</t>
    </r>
    <r>
      <rPr>
        <sz val="10"/>
        <color theme="1"/>
        <rFont val="Avenir Next LT Pro"/>
        <family val="2"/>
      </rPr>
      <t xml:space="preserve"> 12.04 </t>
    </r>
    <r>
      <rPr>
        <b/>
        <sz val="10"/>
        <color theme="1"/>
        <rFont val="Avenir Next LT Pro"/>
      </rPr>
      <t>36€</t>
    </r>
    <r>
      <rPr>
        <sz val="10"/>
        <color theme="1"/>
        <rFont val="Avenir Next LT Pro"/>
        <family val="2"/>
      </rPr>
      <t xml:space="preserve"> - 19.04 </t>
    </r>
    <r>
      <rPr>
        <b/>
        <sz val="10"/>
        <color theme="1"/>
        <rFont val="Avenir Next LT Pro"/>
      </rPr>
      <t>36€</t>
    </r>
    <r>
      <rPr>
        <sz val="10"/>
        <color theme="1"/>
        <rFont val="Avenir Next LT Pro"/>
        <family val="2"/>
      </rPr>
      <t xml:space="preserve"> - 24.04 </t>
    </r>
    <r>
      <rPr>
        <b/>
        <sz val="10"/>
        <color theme="1"/>
        <rFont val="Avenir Next LT Pro"/>
      </rPr>
      <t>36€</t>
    </r>
    <r>
      <rPr>
        <sz val="10"/>
        <color theme="1"/>
        <rFont val="Avenir Next LT Pro"/>
        <family val="2"/>
      </rPr>
      <t xml:space="preserve"> - </t>
    </r>
    <r>
      <rPr>
        <i/>
        <u/>
        <sz val="10"/>
        <color theme="1"/>
        <rFont val="Avenir Next LT Pro"/>
      </rPr>
      <t xml:space="preserve">27.04 </t>
    </r>
    <r>
      <rPr>
        <b/>
        <i/>
        <u/>
        <sz val="10"/>
        <color theme="1"/>
        <rFont val="Avenir Next LT Pro"/>
      </rPr>
      <t>63€</t>
    </r>
    <r>
      <rPr>
        <i/>
        <u/>
        <sz val="10"/>
        <color theme="1"/>
        <rFont val="Avenir Next LT Pro"/>
      </rPr>
      <t xml:space="preserve"> LA PIAZZA</t>
    </r>
  </si>
  <si>
    <t>Daniele Feletto</t>
  </si>
  <si>
    <r>
      <rPr>
        <b/>
        <sz val="10"/>
        <color theme="1"/>
        <rFont val="Avenir Next LT Pro"/>
      </rPr>
      <t>V:</t>
    </r>
    <r>
      <rPr>
        <sz val="10"/>
        <color theme="1"/>
        <rFont val="Avenir Next LT Pro"/>
        <family val="2"/>
      </rPr>
      <t xml:space="preserve"> 19.04 </t>
    </r>
    <r>
      <rPr>
        <b/>
        <sz val="10"/>
        <color theme="1"/>
        <rFont val="Avenir Next LT Pro"/>
      </rPr>
      <t>36€</t>
    </r>
    <r>
      <rPr>
        <sz val="10"/>
        <color theme="1"/>
        <rFont val="Avenir Next LT Pro"/>
        <family val="2"/>
      </rPr>
      <t xml:space="preserve"> - </t>
    </r>
    <r>
      <rPr>
        <i/>
        <u/>
        <sz val="10"/>
        <color theme="1"/>
        <rFont val="Avenir Next LT Pro"/>
      </rPr>
      <t xml:space="preserve">27.04 </t>
    </r>
    <r>
      <rPr>
        <b/>
        <i/>
        <u/>
        <sz val="10"/>
        <color theme="1"/>
        <rFont val="Avenir Next LT Pro"/>
      </rPr>
      <t>63€</t>
    </r>
    <r>
      <rPr>
        <i/>
        <u/>
        <sz val="10"/>
        <color theme="1"/>
        <rFont val="Avenir Next LT Pro"/>
      </rPr>
      <t xml:space="preserve"> LA PIAZZA</t>
    </r>
  </si>
  <si>
    <t>Maggio 2025</t>
  </si>
  <si>
    <t>Giorgia Candiago</t>
  </si>
  <si>
    <t>PAGATO 18.05</t>
  </si>
  <si>
    <t>PAGATO FINO AL 22.05</t>
  </si>
  <si>
    <t>Giugno 2025</t>
  </si>
  <si>
    <t>239€ RIMBORSO 730</t>
  </si>
  <si>
    <t>Paiero Veronica</t>
  </si>
  <si>
    <t>VOUCHER 31.05 01.06 02.06 + SERVIZI MAGGIO</t>
  </si>
  <si>
    <t>VOUCHER 13.06</t>
  </si>
  <si>
    <t>Luglio 2025</t>
  </si>
  <si>
    <t>Agosto 2025</t>
  </si>
  <si>
    <t>Settembre 2025</t>
  </si>
  <si>
    <t>Ottobre 2025</t>
  </si>
  <si>
    <t>Novembre 2025</t>
  </si>
  <si>
    <t>Dicembre 2025</t>
  </si>
  <si>
    <t>GENNAIO 2025</t>
  </si>
  <si>
    <t>Annalisa</t>
  </si>
  <si>
    <t>FE</t>
  </si>
  <si>
    <t>C</t>
  </si>
  <si>
    <t>Vanessa</t>
  </si>
  <si>
    <t>Sega</t>
  </si>
  <si>
    <t>Brian</t>
  </si>
  <si>
    <t>Silvia</t>
  </si>
  <si>
    <t>Matteo D</t>
  </si>
  <si>
    <t>Voucher 36€ + 36€</t>
  </si>
  <si>
    <t>Matteo M</t>
  </si>
  <si>
    <t>Alessandro</t>
  </si>
  <si>
    <t>FEBBRAIO 2025</t>
  </si>
  <si>
    <t>/</t>
  </si>
  <si>
    <t>Andrea</t>
  </si>
  <si>
    <t>MARZO 2025</t>
  </si>
  <si>
    <t>APRILE 2025</t>
  </si>
  <si>
    <t>MA</t>
  </si>
  <si>
    <t>MAGGIO 2025</t>
  </si>
  <si>
    <t>GIUGNO 2025</t>
  </si>
  <si>
    <t>LUGLIO 2025</t>
  </si>
  <si>
    <t>?</t>
  </si>
  <si>
    <t>AGOSTO 2025</t>
  </si>
  <si>
    <t>SETTEMBRE 2025</t>
  </si>
  <si>
    <t>OTTOBRE 2025</t>
  </si>
  <si>
    <t>NOVEMBRE 2025</t>
  </si>
  <si>
    <t>DICEMBRE 2025</t>
  </si>
  <si>
    <t>LUNEDI 30</t>
  </si>
  <si>
    <t>MARTEDI 31</t>
  </si>
  <si>
    <t>MERCOLEDI 1</t>
  </si>
  <si>
    <t>GIOVEDI 2</t>
  </si>
  <si>
    <t>VENERDI 3</t>
  </si>
  <si>
    <t>SABATO 4</t>
  </si>
  <si>
    <t>DOMENICA 5</t>
  </si>
  <si>
    <t>CHIUSO</t>
  </si>
  <si>
    <t>Asia</t>
  </si>
  <si>
    <t>SERA</t>
  </si>
  <si>
    <t>Ale F</t>
  </si>
  <si>
    <t>LUNEDI 6</t>
  </si>
  <si>
    <t>MARTEDI 7</t>
  </si>
  <si>
    <t>MERCOLEDI 8</t>
  </si>
  <si>
    <t>GIOVEDI 9</t>
  </si>
  <si>
    <t>VENERDI 10</t>
  </si>
  <si>
    <t>SABATO 11</t>
  </si>
  <si>
    <t>DOMENICA 12</t>
  </si>
  <si>
    <t>BOTTIGLIE</t>
  </si>
  <si>
    <t>Momesso</t>
  </si>
  <si>
    <t>BAR</t>
  </si>
  <si>
    <t>Sinclair</t>
  </si>
  <si>
    <t>SALA</t>
  </si>
  <si>
    <t>Pilan</t>
  </si>
  <si>
    <t>Nicola</t>
  </si>
  <si>
    <t>LUNEDI 13</t>
  </si>
  <si>
    <t>MARTEDI 14</t>
  </si>
  <si>
    <t>MERCOLEDI 15</t>
  </si>
  <si>
    <t>GIOVEDI 16</t>
  </si>
  <si>
    <t>VENERDI 17</t>
  </si>
  <si>
    <t>SABATO 18</t>
  </si>
  <si>
    <t>DOMENICA 19</t>
  </si>
  <si>
    <t>FERIE</t>
  </si>
  <si>
    <t>Martina</t>
  </si>
  <si>
    <t>Martina V</t>
  </si>
  <si>
    <t>Carlos</t>
  </si>
  <si>
    <t>Andrea C</t>
  </si>
  <si>
    <t>LUNEDI 20</t>
  </si>
  <si>
    <t>MARTEDI 21</t>
  </si>
  <si>
    <t>MERCOLEDI 22</t>
  </si>
  <si>
    <t>GIOVEDI 23</t>
  </si>
  <si>
    <t>VENERDI 24</t>
  </si>
  <si>
    <t>SABATO 25</t>
  </si>
  <si>
    <t>DOMENICA 26</t>
  </si>
  <si>
    <t>LUNEDI 27</t>
  </si>
  <si>
    <t>MARTEDI 28</t>
  </si>
  <si>
    <t>MERCOLEDI 29</t>
  </si>
  <si>
    <t>GIOVEDI 30</t>
  </si>
  <si>
    <t>VENERDI 31</t>
  </si>
  <si>
    <t>SABATO 1</t>
  </si>
  <si>
    <t>DOMENICA 2</t>
  </si>
  <si>
    <t>LUNEDI 3</t>
  </si>
  <si>
    <t>MARTEDI 4</t>
  </si>
  <si>
    <t>MERCOLEDI 5</t>
  </si>
  <si>
    <t>GIOVEDI 6</t>
  </si>
  <si>
    <t>VENERDI 7</t>
  </si>
  <si>
    <t>SABATO 8</t>
  </si>
  <si>
    <t>DOMENICA 9</t>
  </si>
  <si>
    <t xml:space="preserve">Ale F </t>
  </si>
  <si>
    <t>LUNEDI 10</t>
  </si>
  <si>
    <t>MARTEDI 11</t>
  </si>
  <si>
    <t>MERCOLEDI 12</t>
  </si>
  <si>
    <t>GIOVEDI 13</t>
  </si>
  <si>
    <t>VENERDI 14</t>
  </si>
  <si>
    <t>SABATO 15</t>
  </si>
  <si>
    <t>DOMENICA 16</t>
  </si>
  <si>
    <t>SACELLUM</t>
  </si>
  <si>
    <t>LUNEDI 17</t>
  </si>
  <si>
    <t>MARTEDI 18</t>
  </si>
  <si>
    <t>MERCOLEDI 19</t>
  </si>
  <si>
    <t>GIOVEDI 20</t>
  </si>
  <si>
    <t>VENERDI 21</t>
  </si>
  <si>
    <t>SABATO 22</t>
  </si>
  <si>
    <t>DOMENICA 23</t>
  </si>
  <si>
    <t>Michela</t>
  </si>
  <si>
    <t>Teo</t>
  </si>
  <si>
    <t>Teo?</t>
  </si>
  <si>
    <t>CARNEVALE</t>
  </si>
  <si>
    <t>LUNEDI 24</t>
  </si>
  <si>
    <t>MARTEDI 25</t>
  </si>
  <si>
    <t>MERCOLEDI 26</t>
  </si>
  <si>
    <t>GIOVEDI 27</t>
  </si>
  <si>
    <t>VENERDI 28</t>
  </si>
  <si>
    <t>Ale Z</t>
  </si>
  <si>
    <t>ESTERNO</t>
  </si>
  <si>
    <t>Daniel</t>
  </si>
  <si>
    <t>ESTERNO SALA</t>
  </si>
  <si>
    <t>NO SEGA</t>
  </si>
  <si>
    <t>Mome</t>
  </si>
  <si>
    <t>Nic</t>
  </si>
  <si>
    <t>Martina ?</t>
  </si>
  <si>
    <t>Michela ?</t>
  </si>
  <si>
    <t>SABATO 29</t>
  </si>
  <si>
    <t>DOMENICA 30</t>
  </si>
  <si>
    <t>Festa Friuli</t>
  </si>
  <si>
    <t>LUNEDI 31</t>
  </si>
  <si>
    <t>MARTEDI 1</t>
  </si>
  <si>
    <t>MERCOLEDI 2</t>
  </si>
  <si>
    <t>GIOVEDI 3</t>
  </si>
  <si>
    <t>VENERDI 4</t>
  </si>
  <si>
    <t>SABATO 5</t>
  </si>
  <si>
    <t>DOMENICA 6</t>
  </si>
  <si>
    <t>Tesolin</t>
  </si>
  <si>
    <t>MERCATO</t>
  </si>
  <si>
    <t>LUNEDI 7</t>
  </si>
  <si>
    <t>MARTEDI 8</t>
  </si>
  <si>
    <t>MERCOLEDI 9</t>
  </si>
  <si>
    <t>GIOVEDI 10</t>
  </si>
  <si>
    <t>VENERDI 11</t>
  </si>
  <si>
    <t>SABATO 12</t>
  </si>
  <si>
    <t>DOMENICA 13</t>
  </si>
  <si>
    <t>Eleonora</t>
  </si>
  <si>
    <t>PASQUA</t>
  </si>
  <si>
    <t>LUNEDI 14</t>
  </si>
  <si>
    <t>MARTEDI 15</t>
  </si>
  <si>
    <t>MERCOLEDI 16</t>
  </si>
  <si>
    <t>GIOVEDI 17</t>
  </si>
  <si>
    <t>VENERDI 18</t>
  </si>
  <si>
    <t>SABATO 19</t>
  </si>
  <si>
    <t>DOMENICA 20</t>
  </si>
  <si>
    <t>Feletto</t>
  </si>
  <si>
    <t xml:space="preserve">Andrea </t>
  </si>
  <si>
    <t>GALLERIA</t>
  </si>
  <si>
    <t>PASQUETTA</t>
  </si>
  <si>
    <t>Sacellum</t>
  </si>
  <si>
    <t>Primaverile</t>
  </si>
  <si>
    <t>LUNEDI 21</t>
  </si>
  <si>
    <t>MARTEDI 22</t>
  </si>
  <si>
    <t>MERCOLEDI 23</t>
  </si>
  <si>
    <t>GIOVEDI 24</t>
  </si>
  <si>
    <t>VENERDI 25</t>
  </si>
  <si>
    <t>SABATO 26</t>
  </si>
  <si>
    <t>DOMENICA 27</t>
  </si>
  <si>
    <t>_________</t>
  </si>
  <si>
    <t>Sega VV?</t>
  </si>
  <si>
    <t>LUNEDI 28</t>
  </si>
  <si>
    <t>MARTEDI 29</t>
  </si>
  <si>
    <t>MERCOLEDI 30</t>
  </si>
  <si>
    <t>GIOVEDI 1</t>
  </si>
  <si>
    <t>VENERDI 2</t>
  </si>
  <si>
    <t>SABATO 3</t>
  </si>
  <si>
    <t>DOMENICA 4</t>
  </si>
  <si>
    <t>LUNEDI 5</t>
  </si>
  <si>
    <t>MARTEDI 6</t>
  </si>
  <si>
    <t>MERCOLEDI 7</t>
  </si>
  <si>
    <t>GIOVEDI 8</t>
  </si>
  <si>
    <t>VENERDI 9</t>
  </si>
  <si>
    <t>SABATO 10</t>
  </si>
  <si>
    <t>DOMENICA 11</t>
  </si>
  <si>
    <t>LUNEDI 12</t>
  </si>
  <si>
    <t>MARTEDI 13</t>
  </si>
  <si>
    <t>MERCOLEDI 14</t>
  </si>
  <si>
    <t>GIOVEDI 15</t>
  </si>
  <si>
    <t>VENERDI 16</t>
  </si>
  <si>
    <t>SABATO 17</t>
  </si>
  <si>
    <t>DOMENICA 18</t>
  </si>
  <si>
    <t>LUNEDI 19</t>
  </si>
  <si>
    <t>MARTEDI 20</t>
  </si>
  <si>
    <t>MERCOLEDI 21</t>
  </si>
  <si>
    <t>GIOVEDI 22</t>
  </si>
  <si>
    <t>VENERDI 23</t>
  </si>
  <si>
    <t>SABATO 24</t>
  </si>
  <si>
    <t>DOMENICA 25</t>
  </si>
  <si>
    <t>INCASSO MEDIO MATTINA</t>
  </si>
  <si>
    <t>INCASSO MEDIO APERITIVO</t>
  </si>
  <si>
    <t>VERSATI</t>
  </si>
  <si>
    <t>INCASSO MEDIO SERA</t>
  </si>
  <si>
    <t>STANZA SOTTO</t>
  </si>
  <si>
    <t>€ AM</t>
  </si>
  <si>
    <t>POS AM</t>
  </si>
  <si>
    <t>☕</t>
  </si>
  <si>
    <t>€ APE</t>
  </si>
  <si>
    <t>POS APE</t>
  </si>
  <si>
    <t>€ PM</t>
  </si>
  <si>
    <t>POS PM</t>
  </si>
  <si>
    <t>APERITIVO</t>
  </si>
  <si>
    <t>DOPOCENA</t>
  </si>
  <si>
    <t>MER</t>
  </si>
  <si>
    <t>GIO</t>
  </si>
  <si>
    <t>3</t>
  </si>
  <si>
    <t>SALA SOTTO 1060€ - CASETTE APERTE</t>
  </si>
  <si>
    <t>4</t>
  </si>
  <si>
    <t>SALA SOTTO 600€ - CASETTE APERTE</t>
  </si>
  <si>
    <t>5</t>
  </si>
  <si>
    <t>🌥️</t>
  </si>
  <si>
    <t>SALA SOTTO 620€ - CASETTE APERTE</t>
  </si>
  <si>
    <t>6</t>
  </si>
  <si>
    <t>LUN</t>
  </si>
  <si>
    <t>QMD - CASETTE APERTE</t>
  </si>
  <si>
    <t>7</t>
  </si>
  <si>
    <t>06.01</t>
  </si>
  <si>
    <t>19.01</t>
  </si>
  <si>
    <t>9</t>
  </si>
  <si>
    <t>Luca Salvador</t>
  </si>
  <si>
    <t>10</t>
  </si>
  <si>
    <t>SALA SOTTO 1450€</t>
  </si>
  <si>
    <t>Emanuele Fonti</t>
  </si>
  <si>
    <t>11</t>
  </si>
  <si>
    <t>SALA SOTTO 750€</t>
  </si>
  <si>
    <t>Mattia Cettolin</t>
  </si>
  <si>
    <t>Tommaso Sartori</t>
  </si>
  <si>
    <t>13</t>
  </si>
  <si>
    <t>Girlz</t>
  </si>
  <si>
    <t>14</t>
  </si>
  <si>
    <t>Grafica</t>
  </si>
  <si>
    <t>Francesco Del Zotto</t>
  </si>
  <si>
    <t>Riccardo Pasqual</t>
  </si>
  <si>
    <t>SALA SOTTO 600€</t>
  </si>
  <si>
    <t>Sponsorizzata</t>
  </si>
  <si>
    <t>🌦️</t>
  </si>
  <si>
    <t>QMD - BELLA VERA</t>
  </si>
  <si>
    <t>20</t>
  </si>
  <si>
    <t>Matteo D'Elia</t>
  </si>
  <si>
    <t>21</t>
  </si>
  <si>
    <t>ANTICA E DOPPIO CHIUSI</t>
  </si>
  <si>
    <t>Andrea Segatto</t>
  </si>
  <si>
    <t>🌧️</t>
  </si>
  <si>
    <t>Brian Monferone</t>
  </si>
  <si>
    <t>Silvia Carniello</t>
  </si>
  <si>
    <t>MOV &amp; THE FACTORY</t>
  </si>
  <si>
    <t>Andrea Carlomagno</t>
  </si>
  <si>
    <t>25</t>
  </si>
  <si>
    <t>EVENTO ANTICA - SALA SOTTO 975€</t>
  </si>
  <si>
    <t>Alessandro Fontana</t>
  </si>
  <si>
    <t>26</t>
  </si>
  <si>
    <t>MAMILLA EVENTO</t>
  </si>
  <si>
    <t>Sinclair Cornacchia</t>
  </si>
  <si>
    <t>27</t>
  </si>
  <si>
    <t>Matteo Momesso</t>
  </si>
  <si>
    <t>Gianluca Pilan</t>
  </si>
  <si>
    <t>GIOVEDIAMO + ANTICA</t>
  </si>
  <si>
    <t>31</t>
  </si>
  <si>
    <t>Dj</t>
  </si>
  <si>
    <t>SALA SOTTO 740€</t>
  </si>
  <si>
    <t>Mov</t>
  </si>
  <si>
    <t>02.02</t>
  </si>
  <si>
    <t>16.02</t>
  </si>
  <si>
    <t>SALA SOTTO 2100€</t>
  </si>
  <si>
    <t>ANTICA E DOPPIO CHIUSI ALLE 21:30 - Sanremo</t>
  </si>
  <si>
    <t>Sanremo</t>
  </si>
  <si>
    <t>Sanremo + San Valentino + The Factory</t>
  </si>
  <si>
    <r>
      <t xml:space="preserve">Evento Antica (VUOTO) - </t>
    </r>
    <r>
      <rPr>
        <b/>
        <sz val="10"/>
        <color theme="1"/>
        <rFont val="Avenir Next LT Pro"/>
        <family val="2"/>
      </rPr>
      <t>SALA SOTTO 600€</t>
    </r>
  </si>
  <si>
    <r>
      <t xml:space="preserve">QMD </t>
    </r>
    <r>
      <rPr>
        <sz val="10"/>
        <color theme="1"/>
        <rFont val="Avenir Next LT Pro"/>
        <family val="2"/>
      </rPr>
      <t>- Juve vs Inter</t>
    </r>
  </si>
  <si>
    <t>LAVORI TERRAZZA</t>
  </si>
  <si>
    <t>LAVORI TERRAZZA - Compleanno Mamilla</t>
  </si>
  <si>
    <t>LAVORI TERRAZZA - Albert Marzinotto Mamilla</t>
  </si>
  <si>
    <t>LAVORI TERRAZZA - Mov - Jameson Night</t>
  </si>
  <si>
    <t>FIGHT CLUB - 2.250€</t>
  </si>
  <si>
    <t>EVENTO ANTICA + CASETTE GODEGA</t>
  </si>
  <si>
    <t>THE FACTORY + CASETTE GODEGA</t>
  </si>
  <si>
    <t>Martina Vicenzotto</t>
  </si>
  <si>
    <r>
      <t xml:space="preserve">CARRI - SALA SOTTO 675€  </t>
    </r>
    <r>
      <rPr>
        <sz val="10"/>
        <color theme="1"/>
        <rFont val="Avenir Next LT Pro"/>
        <family val="2"/>
      </rPr>
      <t>+ CASETTE GODEGA</t>
    </r>
  </si>
  <si>
    <r>
      <rPr>
        <b/>
        <sz val="10"/>
        <color theme="1"/>
        <rFont val="Avenir Next LT Pro"/>
        <family val="2"/>
      </rPr>
      <t>QMD</t>
    </r>
    <r>
      <rPr>
        <sz val="10"/>
        <color theme="1"/>
        <rFont val="Avenir Next LT Pro"/>
        <family val="2"/>
      </rPr>
      <t xml:space="preserve"> - BELLA VERA + CASETTE GODEGA</t>
    </r>
  </si>
  <si>
    <t>CASETTE GODEGA IGOR S &amp; LADY BRIAN</t>
  </si>
  <si>
    <r>
      <rPr>
        <b/>
        <sz val="10"/>
        <color theme="1"/>
        <rFont val="Avenir Next LT Pro"/>
        <family val="2"/>
      </rPr>
      <t>SALA SOTTO 850€</t>
    </r>
    <r>
      <rPr>
        <sz val="10"/>
        <color theme="1"/>
        <rFont val="Avenir Next LT Pro"/>
        <family val="2"/>
      </rPr>
      <t xml:space="preserve"> - CASETTE GODEGA</t>
    </r>
  </si>
  <si>
    <t>MOV + SALA SOTTO 1.600€</t>
  </si>
  <si>
    <t>02.03</t>
  </si>
  <si>
    <t>16.03</t>
  </si>
  <si>
    <t>23.03</t>
  </si>
  <si>
    <t>THE FACTORY</t>
  </si>
  <si>
    <t>SALA SOTTO 1.770€</t>
  </si>
  <si>
    <t>MOV</t>
  </si>
  <si>
    <r>
      <rPr>
        <i/>
        <sz val="10"/>
        <color theme="1"/>
        <rFont val="Avenir Next LT Pro"/>
        <family val="2"/>
      </rPr>
      <t>EVENTO ANTICA</t>
    </r>
    <r>
      <rPr>
        <b/>
        <sz val="10"/>
        <color theme="1"/>
        <rFont val="Avenir Next LT Pro"/>
        <family val="2"/>
      </rPr>
      <t xml:space="preserve"> - SALA SOTTO 670€</t>
    </r>
  </si>
  <si>
    <t>SACELLUM - QMD - MAMILLA</t>
  </si>
  <si>
    <t>EVENTO ANTICA + GIOVEDIAMO MAMILLA</t>
  </si>
  <si>
    <t>Riccardo Salmaso</t>
  </si>
  <si>
    <t>SALA SOTTO 960€</t>
  </si>
  <si>
    <t>Americani a casa</t>
  </si>
  <si>
    <t>MOV + THE FACTORY</t>
  </si>
  <si>
    <t>QMD - PIOLA - MAREA</t>
  </si>
  <si>
    <t>Terrazza e zattera chiuse - molto freddo</t>
  </si>
  <si>
    <t>06.04</t>
  </si>
  <si>
    <t>13.04</t>
  </si>
  <si>
    <t>19.04</t>
  </si>
  <si>
    <t>QMD - MAMILLA</t>
  </si>
  <si>
    <t>INTER - BAYERN</t>
  </si>
  <si>
    <t>Fotografie</t>
  </si>
  <si>
    <r>
      <t xml:space="preserve">MOV + THE FACTORY - </t>
    </r>
    <r>
      <rPr>
        <i/>
        <sz val="10"/>
        <color theme="1"/>
        <rFont val="Avenir Next LT Pro"/>
      </rPr>
      <t>Tanti americani</t>
    </r>
  </si>
  <si>
    <t>Servizi pulizia</t>
  </si>
  <si>
    <t>Matteo Ferrazzo</t>
  </si>
  <si>
    <t>SALA SOTTO 550€</t>
  </si>
  <si>
    <t>Jacopo Corazza</t>
  </si>
  <si>
    <r>
      <t xml:space="preserve">PRIMAVERILE - </t>
    </r>
    <r>
      <rPr>
        <b/>
        <i/>
        <sz val="10"/>
        <color theme="1"/>
        <rFont val="Avenir Next LT Pro"/>
      </rPr>
      <t>GIOVEDIAMO AL WEISS</t>
    </r>
    <r>
      <rPr>
        <i/>
        <sz val="10"/>
        <color theme="1"/>
        <rFont val="Avenir Next LT Pro"/>
      </rPr>
      <t xml:space="preserve"> - PIOLA</t>
    </r>
  </si>
  <si>
    <t>Max Paradise</t>
  </si>
  <si>
    <r>
      <t>SACELLUM + PRIMAVERILE -</t>
    </r>
    <r>
      <rPr>
        <b/>
        <i/>
        <sz val="10"/>
        <color theme="1"/>
        <rFont val="Avenir Next LT Pro"/>
      </rPr>
      <t xml:space="preserve"> VILLA VARDA</t>
    </r>
  </si>
  <si>
    <t>Alice Bianchin</t>
  </si>
  <si>
    <r>
      <t xml:space="preserve">PRIMAVERILE - </t>
    </r>
    <r>
      <rPr>
        <b/>
        <i/>
        <sz val="10"/>
        <color theme="1"/>
        <rFont val="Avenir Next LT Pro"/>
      </rPr>
      <t>SALA SOTTO 600€</t>
    </r>
  </si>
  <si>
    <t>Alessandro Zanette</t>
  </si>
  <si>
    <t>PRIMAVERILE + CASETTA</t>
  </si>
  <si>
    <t>Giovanni Mariotto</t>
  </si>
  <si>
    <t>Ardit Capa</t>
  </si>
  <si>
    <t>Martina Valvassori</t>
  </si>
  <si>
    <t>INTER - BARCELLONA - SALA SOTTO 700€</t>
  </si>
  <si>
    <t>Matteo P + Brian</t>
  </si>
  <si>
    <t>DJ</t>
  </si>
  <si>
    <t>CASETTE FIERA PRIMAVERILE</t>
  </si>
  <si>
    <t>POS WEISS</t>
  </si>
  <si>
    <t>CORRISPETTIVO WEISS</t>
  </si>
  <si>
    <t>SALA SOTTO 600€ - VILLA VARDA</t>
  </si>
  <si>
    <t>PIOLA</t>
  </si>
  <si>
    <t>INTER BARCELLONA SEMI UCL</t>
  </si>
  <si>
    <t>FINALE COPPA ITALIA</t>
  </si>
  <si>
    <t>RADIO PITER PAN FIASCHETTI</t>
  </si>
  <si>
    <t>SALA SOTTO 1.000€ - VILLA VARDA</t>
  </si>
  <si>
    <t>SFIDA SCUDETTO INTER NAPOLI</t>
  </si>
  <si>
    <t>COLAZIONE MATURA 1050€ - SALA SOTTO 600€</t>
  </si>
  <si>
    <t>GIOVEDIAMO</t>
  </si>
  <si>
    <t>XTREME DAYS SOLO SERA</t>
  </si>
  <si>
    <t>FINALE UCL + XTREME AFTER PARTY + XTREME DAYS</t>
  </si>
  <si>
    <t>XTREME - AFTERPARTY LADRI</t>
  </si>
  <si>
    <t>XTREME</t>
  </si>
  <si>
    <t>CHIUSURA SCUOLE + ALBERT + PAPI ON</t>
  </si>
  <si>
    <t>CHIUSURA SCUOLE + PAGANTE AL CHARLIE</t>
  </si>
  <si>
    <t>SALA SOTTO 600€ + DROP 💧 - CORDIGNANO - FUORI TUTTI - PAPI</t>
  </si>
  <si>
    <t>984€ CORR TOMASELLA</t>
  </si>
  <si>
    <t>JUNETEENTH - FESTA NAZ 🇺🇸</t>
  </si>
  <si>
    <r>
      <t>DROP 💧</t>
    </r>
    <r>
      <rPr>
        <sz val="10"/>
        <color theme="1"/>
        <rFont val="Avenir Next LT Pro"/>
      </rPr>
      <t>- MONKEY47</t>
    </r>
  </si>
  <si>
    <t>948€ CORR TOMASELLA</t>
  </si>
  <si>
    <t>⛈️</t>
  </si>
  <si>
    <t>Grandine + Festa dello Sport Francenigo</t>
  </si>
  <si>
    <r>
      <t xml:space="preserve">DROP 💧 </t>
    </r>
    <r>
      <rPr>
        <sz val="10"/>
        <color theme="1"/>
        <rFont val="Avenir Next LT Pro"/>
      </rPr>
      <t>- ALTOS</t>
    </r>
  </si>
  <si>
    <t>CHARLIE - FESTA DEI BAR</t>
  </si>
  <si>
    <t>GIOVEDIAMO + CJF</t>
  </si>
  <si>
    <t>DROP 💧- BUMBU + GARA CICLISTICA</t>
  </si>
  <si>
    <t>ZATTERA CHIUSA</t>
  </si>
  <si>
    <r>
      <rPr>
        <i/>
        <sz val="10"/>
        <color theme="1"/>
        <rFont val="Avenir Next Regular"/>
      </rPr>
      <t xml:space="preserve">ZATTERA CHIUSA </t>
    </r>
    <r>
      <rPr>
        <b/>
        <sz val="10"/>
        <color theme="1"/>
        <rFont val="Avenir Next Regular"/>
      </rPr>
      <t>- VILLA VARDA + CIAL DE BRENT</t>
    </r>
  </si>
  <si>
    <t>NEGOZI APERTI + DROP</t>
  </si>
  <si>
    <t>GUEST NIGHT - EDOARDO NONO + ALVISE ZONTA</t>
  </si>
  <si>
    <t>Federico Fabris</t>
  </si>
  <si>
    <t>Samuele Del Col</t>
  </si>
  <si>
    <t>Impianto</t>
  </si>
  <si>
    <t>Max Piai</t>
  </si>
  <si>
    <t>01.10</t>
  </si>
  <si>
    <t>15.10</t>
  </si>
  <si>
    <t>29.10</t>
  </si>
  <si>
    <t>William Cosolo</t>
  </si>
  <si>
    <t>12.11</t>
  </si>
  <si>
    <t>26.11</t>
  </si>
  <si>
    <t>05.01</t>
  </si>
  <si>
    <t>Pietro Marcolini</t>
  </si>
  <si>
    <t>Riccardo Puppi</t>
  </si>
  <si>
    <t>Morena Mascolo</t>
  </si>
  <si>
    <t>LUNEDI 18</t>
  </si>
  <si>
    <t>MARTEDI</t>
  </si>
  <si>
    <t>MERCOLEDI</t>
  </si>
  <si>
    <t>GIOVEDI</t>
  </si>
  <si>
    <t>VENERDI</t>
  </si>
  <si>
    <t>SABATO</t>
  </si>
  <si>
    <t>DOMENICA</t>
  </si>
  <si>
    <t>Endri</t>
  </si>
  <si>
    <t>Alessia</t>
  </si>
  <si>
    <t>Babi</t>
  </si>
  <si>
    <t>Waldy</t>
  </si>
  <si>
    <t>Melissa</t>
  </si>
  <si>
    <t>Coletta</t>
  </si>
  <si>
    <t>Zaza</t>
  </si>
  <si>
    <t>LUNEDI 25</t>
  </si>
  <si>
    <t>Luca</t>
  </si>
  <si>
    <t>LUNEDI 1</t>
  </si>
  <si>
    <t>LUNEDI 8</t>
  </si>
  <si>
    <t>MARTEDI 9</t>
  </si>
  <si>
    <t>MERCOLEDI 10</t>
  </si>
  <si>
    <t>GIOVEDI 11</t>
  </si>
  <si>
    <t>VENERDI 12</t>
  </si>
  <si>
    <t>SABATO 13</t>
  </si>
  <si>
    <t>DOMENICA 14</t>
  </si>
  <si>
    <t>Claudio</t>
  </si>
  <si>
    <t>LUNEDI 15</t>
  </si>
  <si>
    <t>MARTEDI 16</t>
  </si>
  <si>
    <t>MERCOLEDI 17</t>
  </si>
  <si>
    <t>GIOVEDI 18</t>
  </si>
  <si>
    <t>VENERDI 19</t>
  </si>
  <si>
    <t>SABATO 20</t>
  </si>
  <si>
    <t>DOMENICA 21</t>
  </si>
  <si>
    <t>LUNEDI 22</t>
  </si>
  <si>
    <t>MARTEDI 23</t>
  </si>
  <si>
    <t>MERCOLEDI 24</t>
  </si>
  <si>
    <t>GIOVEDI 25</t>
  </si>
  <si>
    <t>VENERDI 26</t>
  </si>
  <si>
    <t>SABATO 27</t>
  </si>
  <si>
    <t>DOMENICA 28</t>
  </si>
  <si>
    <t>LUNEDI 29</t>
  </si>
  <si>
    <t>MARTEDI 30</t>
  </si>
  <si>
    <t>Elisabetta</t>
  </si>
  <si>
    <t>Daniele</t>
  </si>
  <si>
    <t>Corrina</t>
  </si>
  <si>
    <t>Colle</t>
  </si>
  <si>
    <t>Allison</t>
  </si>
  <si>
    <t>Laura</t>
  </si>
  <si>
    <t>Giorgia C</t>
  </si>
  <si>
    <t>Mattia DR</t>
  </si>
  <si>
    <t>Kejda</t>
  </si>
  <si>
    <t>Sara</t>
  </si>
  <si>
    <t>Giorgia</t>
  </si>
  <si>
    <t>LUNEDI 26</t>
  </si>
  <si>
    <t>MARTEDI 27</t>
  </si>
  <si>
    <t>MERCOLEDI 28</t>
  </si>
  <si>
    <t>GIOVEDI 29</t>
  </si>
  <si>
    <t>VENERDI 30</t>
  </si>
  <si>
    <t>SABATO 31</t>
  </si>
  <si>
    <t>DOMENICA 1</t>
  </si>
  <si>
    <t>LUNEDI 2</t>
  </si>
  <si>
    <t>MARTEDI 3</t>
  </si>
  <si>
    <t>MERCOLEDI 4</t>
  </si>
  <si>
    <t>GIOVEDI 5</t>
  </si>
  <si>
    <t>VENERDI 6</t>
  </si>
  <si>
    <t>SABATO 7</t>
  </si>
  <si>
    <t>DOMENICA 8</t>
  </si>
  <si>
    <t>LUNEDI 9</t>
  </si>
  <si>
    <t>MARTEDI 10</t>
  </si>
  <si>
    <t>MERCOLEDI 11</t>
  </si>
  <si>
    <t>GIOVEDI 12</t>
  </si>
  <si>
    <t>VENERDI 13</t>
  </si>
  <si>
    <t>SABATO 14</t>
  </si>
  <si>
    <t>DOMENICA 15</t>
  </si>
  <si>
    <t>LUNEDI 16</t>
  </si>
  <si>
    <t>MARTEDI 17</t>
  </si>
  <si>
    <t>MERCOLEDI 18</t>
  </si>
  <si>
    <t>GIOVEDI 19</t>
  </si>
  <si>
    <t>VENERDI 20</t>
  </si>
  <si>
    <t>SABATO 21</t>
  </si>
  <si>
    <t>DOMENICA 22</t>
  </si>
  <si>
    <t>LUNEDI 23</t>
  </si>
  <si>
    <t>MARTEDI 24</t>
  </si>
  <si>
    <t>MERCOLEDI 25</t>
  </si>
  <si>
    <t>GIOVEDI 26</t>
  </si>
  <si>
    <t>VENERDI 27</t>
  </si>
  <si>
    <t>SABATO 28</t>
  </si>
  <si>
    <t>DOMENICA 29</t>
  </si>
  <si>
    <t>NO WALDY</t>
  </si>
  <si>
    <t>GIOVEDI 31</t>
  </si>
  <si>
    <t>VENERDI 1</t>
  </si>
  <si>
    <t>SABATO 2</t>
  </si>
  <si>
    <t>DOMENICA 3</t>
  </si>
  <si>
    <t>LUNEDI 4</t>
  </si>
  <si>
    <t>MARTEDI 5</t>
  </si>
  <si>
    <t>MERCOLEDI 6</t>
  </si>
  <si>
    <t>GIOVEDI 7</t>
  </si>
  <si>
    <t>VENERDI 8</t>
  </si>
  <si>
    <t>SABATO 9</t>
  </si>
  <si>
    <t>DOMENICA 10</t>
  </si>
  <si>
    <t xml:space="preserve">  </t>
  </si>
  <si>
    <t>ALIBABA</t>
  </si>
  <si>
    <t>TOFFOLI ELETTRODOMESTICI</t>
  </si>
  <si>
    <t>VILLA VARDA - CONTROLLARE SE PAGATI</t>
  </si>
  <si>
    <t>LORELLA PULIZIE</t>
  </si>
  <si>
    <t>CAPARRA 08.08</t>
  </si>
  <si>
    <t>ALESSANDRO DOZZO</t>
  </si>
  <si>
    <t>DDT 3519</t>
  </si>
  <si>
    <t>STEREO KIDZ</t>
  </si>
  <si>
    <t>NICOLA LUISE</t>
  </si>
  <si>
    <t xml:space="preserve">540DE	</t>
  </si>
  <si>
    <t>DANIELE DEL COL</t>
  </si>
  <si>
    <t>DROP 💧- ROBY MARTON</t>
  </si>
  <si>
    <t>ART &amp; PIZZA</t>
  </si>
  <si>
    <t xml:space="preserve">Giroconto villa varda per errato bonifico </t>
  </si>
  <si>
    <t xml:space="preserve">TAPPEZZERIA IL FIORE </t>
  </si>
  <si>
    <t>TAPEZZERIA IL FIORE IVA</t>
  </si>
  <si>
    <t>COMMISSIONI SU BONIFICO</t>
  </si>
  <si>
    <t>STUDIO VOLPINI GARATTI IVA</t>
  </si>
  <si>
    <t>RIMOLO IVA</t>
  </si>
  <si>
    <t xml:space="preserve">MANUEL </t>
  </si>
  <si>
    <t>3453</t>
  </si>
  <si>
    <t>MANUEL IVA</t>
  </si>
  <si>
    <t>22/000613</t>
  </si>
  <si>
    <t xml:space="preserve">ECOFIN </t>
  </si>
  <si>
    <t xml:space="preserve">ECOFIN IVA </t>
  </si>
  <si>
    <t>20/000720</t>
  </si>
  <si>
    <t>IMPOSTE E TASSE</t>
  </si>
  <si>
    <t>791/02</t>
  </si>
  <si>
    <t xml:space="preserve">FRAER LEASING </t>
  </si>
  <si>
    <t xml:space="preserve">STUDIO DEL PIERO MODOLO </t>
  </si>
  <si>
    <t>2509</t>
  </si>
  <si>
    <t>GIOVEDIAMO + FESTA PEDROCCHINO</t>
  </si>
  <si>
    <t>DROP 💧- GUEST LEONE + PALYGROUND + CAVOLANO</t>
  </si>
  <si>
    <t>CAVOLANO + NIGHT SKINNY @ PLAYGROUND</t>
  </si>
  <si>
    <t>GIOVEDIAMO + CIAL + COCO LOCO + CAVOLANO + PLAYGROUND</t>
  </si>
  <si>
    <t>Costi amministrativi</t>
  </si>
  <si>
    <t>Affitti e locazioni immobili - UFFICIO</t>
  </si>
  <si>
    <t>Retribuzione del personale - UFFICIO</t>
  </si>
  <si>
    <t>Somministrazione energia elettrica - UFFICIO</t>
  </si>
  <si>
    <t>Acquisti di beni &lt; 516,46€ ded. 100% - UFFICIO</t>
  </si>
  <si>
    <t>Altri costi amministrativi</t>
  </si>
  <si>
    <t>COSTI AMMINISTRATIVI</t>
  </si>
  <si>
    <t>Affitti e utenze</t>
  </si>
  <si>
    <t>Cancelleria e stampati - UFFICIO</t>
  </si>
  <si>
    <t>Altri costi amministrativi - UFFICIO</t>
  </si>
  <si>
    <t>406-8430643-4273133</t>
  </si>
  <si>
    <t>SPLASHBALL CAVOLANO</t>
  </si>
  <si>
    <t>Serena</t>
  </si>
  <si>
    <t>22.04 Recupero gg libero del 31.03</t>
  </si>
  <si>
    <t>Andrea N</t>
  </si>
  <si>
    <t>Michela B</t>
  </si>
  <si>
    <t>Daniel Z</t>
  </si>
  <si>
    <t>Aurora T</t>
  </si>
  <si>
    <t>Veronica P</t>
  </si>
  <si>
    <t>Giacomo C</t>
  </si>
  <si>
    <t>Nicola L</t>
  </si>
  <si>
    <t>Asia C</t>
  </si>
  <si>
    <t>Martina DC</t>
  </si>
  <si>
    <t xml:space="preserve">Teo </t>
  </si>
  <si>
    <t xml:space="preserve">PERSONALE </t>
  </si>
  <si>
    <t xml:space="preserve">GIACOMO CARNIELLO </t>
  </si>
  <si>
    <t xml:space="preserve">TOSANO A VILLA VARDA </t>
  </si>
  <si>
    <t xml:space="preserve">LIDL </t>
  </si>
  <si>
    <t xml:space="preserve">ROMA </t>
  </si>
  <si>
    <t>MICHELE CANTON</t>
  </si>
  <si>
    <t xml:space="preserve">SOLIGO </t>
  </si>
  <si>
    <t>DDT 3638</t>
  </si>
  <si>
    <t>200€ CAPARRA COMPLEANNO 17/10</t>
  </si>
  <si>
    <t>ANTONELLA</t>
  </si>
  <si>
    <t>BOBINE CARTA</t>
  </si>
  <si>
    <t xml:space="preserve">BRICOMAN </t>
  </si>
  <si>
    <t>0120120005167</t>
  </si>
  <si>
    <t>NOLEGGIO STATION, TAVOLI, GHIACCIO 8.8</t>
  </si>
  <si>
    <t xml:space="preserve">NOLEGGIO STATION, TAVOLI, GHIACCIO 7.8 </t>
  </si>
  <si>
    <t xml:space="preserve">SERYMARK </t>
  </si>
  <si>
    <t>001089/25</t>
  </si>
  <si>
    <t>NUMIA SPA</t>
  </si>
  <si>
    <t>SARATOGA SNC</t>
  </si>
  <si>
    <t>50</t>
  </si>
  <si>
    <t>da togliere??</t>
  </si>
  <si>
    <t>TC CANEVA</t>
  </si>
  <si>
    <t>DDT 3747</t>
  </si>
  <si>
    <t>W1-9698</t>
  </si>
  <si>
    <t>LIME VILLA VARDA</t>
  </si>
  <si>
    <t>MERCE FERRO A VILLA VARDA</t>
  </si>
  <si>
    <t>MERCE WEISS</t>
  </si>
  <si>
    <t>SALA SOTTO</t>
  </si>
  <si>
    <t>Z</t>
  </si>
  <si>
    <t>RIPOSI TOT</t>
  </si>
  <si>
    <t>PERMESSI TOT</t>
  </si>
  <si>
    <t>FERIE TOT</t>
  </si>
  <si>
    <t>SALA SOTTO 1.040€</t>
  </si>
  <si>
    <t>DROP 💧- SALA SOTTO 600€</t>
  </si>
  <si>
    <t>DONNA PULIZIE</t>
  </si>
  <si>
    <t>COSTRUZIONI METALLICHE MORAS</t>
  </si>
  <si>
    <t>MERCE WEISS A VILLA VARDA</t>
  </si>
  <si>
    <t>NOLEGGIO STATION, TAVOLI, GHIACCIO 12.8</t>
  </si>
  <si>
    <t>ASSICURAZIONE FURGONE</t>
  </si>
  <si>
    <t>€/h</t>
  </si>
  <si>
    <t>SERYMARK</t>
  </si>
  <si>
    <t>158</t>
  </si>
  <si>
    <t>E-6</t>
  </si>
  <si>
    <t xml:space="preserve">2/1320	</t>
  </si>
  <si>
    <t>8D00107631</t>
  </si>
  <si>
    <t>SERENA RUI</t>
  </si>
  <si>
    <t>Costi Amministrativi</t>
  </si>
  <si>
    <t>% Costi Amministrativi</t>
  </si>
  <si>
    <t>DDT 3809</t>
  </si>
  <si>
    <t>STATION TAVOLI GHIACCIO A VILLA VARDA</t>
  </si>
  <si>
    <t>RIMBORSO TRENITALIA</t>
  </si>
  <si>
    <t>406-4628291-3178704</t>
  </si>
  <si>
    <t>0106-001841</t>
  </si>
  <si>
    <t>FINO A LUGLIO</t>
  </si>
  <si>
    <t>DOWNLOAD HELPER</t>
  </si>
  <si>
    <t>THOMANN</t>
  </si>
  <si>
    <t>CLAUDE AI</t>
  </si>
  <si>
    <t>Retribuzione personale</t>
  </si>
  <si>
    <t>COSTO MATERIE PRIME</t>
  </si>
  <si>
    <t>Costi Materie Prime e Sussidiarie</t>
  </si>
  <si>
    <t>Costi per Servizi</t>
  </si>
  <si>
    <t>APEROL E CAMPARI</t>
  </si>
  <si>
    <t>CASH FLOW OPERATIVO</t>
  </si>
  <si>
    <t xml:space="preserve">     </t>
  </si>
  <si>
    <t>DATI MEDI</t>
  </si>
  <si>
    <t>GANCI TEQUILA</t>
  </si>
  <si>
    <t>ISAAC JR</t>
  </si>
  <si>
    <t>Giornaliero</t>
  </si>
  <si>
    <t>Mensile</t>
  </si>
  <si>
    <t>LIQUIDITÀ</t>
  </si>
  <si>
    <t>INVESTIMENTI</t>
  </si>
  <si>
    <t>AGGIUNGERE MOL E EBIT</t>
  </si>
  <si>
    <t>AGGIUNGERE INCIDENZA DEI COSTI</t>
  </si>
  <si>
    <t>FREE CASH FLOW</t>
  </si>
  <si>
    <t>LIQUIDITÀ FORMULA</t>
  </si>
  <si>
    <t>DROP 💧</t>
  </si>
  <si>
    <t>Imposte e tasse</t>
  </si>
  <si>
    <t>IMPOSTE E TASSE VILLA VARDA</t>
  </si>
  <si>
    <t xml:space="preserve">COMMISSIONI SU BONIFICO </t>
  </si>
  <si>
    <t>COSTI PER SERVIZI</t>
  </si>
  <si>
    <t>GODIMENTO BENI DI TERZI</t>
  </si>
  <si>
    <t>COSTI PERSONALE</t>
  </si>
  <si>
    <t>Godimento beni di terzi</t>
  </si>
  <si>
    <t xml:space="preserve">MAINCART </t>
  </si>
  <si>
    <t>GIROCONTO A VILLA VARDA ERRATO BONIF</t>
  </si>
  <si>
    <t>COMPENSAZIONE CREDITO IVA</t>
  </si>
  <si>
    <t>GIOVEDIAMO ANNULLATO</t>
  </si>
  <si>
    <t>TOSANO VILLA VARDA</t>
  </si>
  <si>
    <t>DA RIMBORSARE</t>
  </si>
  <si>
    <t>DDT 3927</t>
  </si>
  <si>
    <t>DROP 💧 + BAXO VILLA VARDA</t>
  </si>
  <si>
    <t>STANDUP COMEDY VILLA VARDA</t>
  </si>
  <si>
    <t>CAPARRA 11.10</t>
  </si>
  <si>
    <t>CT24-0578</t>
  </si>
  <si>
    <t>INKPRES</t>
  </si>
  <si>
    <t xml:space="preserve">LE CONTRADE SACILE </t>
  </si>
  <si>
    <t xml:space="preserve">COMMISSIONI CARTA DI CREDITO </t>
  </si>
  <si>
    <t>IT51QA8XABEI</t>
  </si>
  <si>
    <t xml:space="preserve">AMAZON </t>
  </si>
  <si>
    <t>manca ft</t>
  </si>
  <si>
    <t>MOONEY MOONEY</t>
  </si>
  <si>
    <t>TRENITALIA</t>
  </si>
  <si>
    <t xml:space="preserve">TRENITALIA </t>
  </si>
  <si>
    <t>293/CEPRO</t>
  </si>
  <si>
    <t>7261075464 </t>
  </si>
  <si>
    <t>4230425800221613 </t>
  </si>
  <si>
    <t>RATA MUTUO 46 - QUOTA CAPITALE</t>
  </si>
  <si>
    <t>RATA MUTUO 46 - QUOTA INTERESSI</t>
  </si>
  <si>
    <t>Roberto</t>
  </si>
  <si>
    <t>IT5002NF3PYZZI</t>
  </si>
  <si>
    <t>LIQUIDAZIONE ART. 100 CATT</t>
  </si>
  <si>
    <t xml:space="preserve">CATT FVG S.R.L. </t>
  </si>
  <si>
    <t>OK</t>
  </si>
  <si>
    <t>CONTROLLARE</t>
  </si>
  <si>
    <t>LABOR COST</t>
  </si>
  <si>
    <t>MOL</t>
  </si>
  <si>
    <t>F&amp;B COST</t>
  </si>
  <si>
    <t>DDT 4039</t>
  </si>
  <si>
    <t>2016</t>
  </si>
  <si>
    <t>EBIT</t>
  </si>
  <si>
    <t>GHIACCIO A VILLA VARDA</t>
  </si>
  <si>
    <t>QMD VV</t>
  </si>
  <si>
    <t>SEBA</t>
  </si>
  <si>
    <t xml:space="preserve"> BOCCALON</t>
  </si>
  <si>
    <t>SAGRA DEI OSEI + BOTANICO</t>
  </si>
  <si>
    <t>FONTANAFREDDA</t>
  </si>
  <si>
    <t>ITALIANISSIMA VILLA VARDA</t>
  </si>
  <si>
    <t>TOT ORE</t>
  </si>
  <si>
    <t>Costi per materie prime e sussidiarie</t>
  </si>
  <si>
    <t>MARGINE DI CONTRIBUZIONE SUL FATTURATO</t>
  </si>
  <si>
    <t>RISULTATO</t>
  </si>
  <si>
    <t>Incidenza costi personale</t>
  </si>
  <si>
    <t>SALSA DIP</t>
  </si>
  <si>
    <t>CRUCIANI IN PIAZZA</t>
  </si>
  <si>
    <t>000587RI</t>
  </si>
  <si>
    <t>8576/02</t>
  </si>
  <si>
    <t>6581/02</t>
  </si>
  <si>
    <t>8578/02</t>
  </si>
  <si>
    <t>01-0103223-2025</t>
  </si>
  <si>
    <t>01-0138984-2025</t>
  </si>
  <si>
    <t>DDT 4153</t>
  </si>
  <si>
    <t>TOSANO CASETTE</t>
  </si>
  <si>
    <t>DESPAR CASETTE</t>
  </si>
  <si>
    <t>SAGRA DEI OSEI + CASETTA</t>
  </si>
  <si>
    <t>GIOVEDIAMO + CASETTA</t>
  </si>
  <si>
    <t>LA PIAZZA - DA PAGARE</t>
  </si>
  <si>
    <t>INTEMA SRL</t>
  </si>
  <si>
    <t xml:space="preserve">1/120 </t>
  </si>
  <si>
    <t xml:space="preserve">NUMIA SPA </t>
  </si>
  <si>
    <t>Rui Serena</t>
  </si>
  <si>
    <t>5323/U01</t>
  </si>
  <si>
    <t>6299/U01</t>
  </si>
  <si>
    <t>PERSONALE PULIZIE</t>
  </si>
  <si>
    <t>SPESE VARIE MAMMA</t>
  </si>
  <si>
    <t>CAPARRA 25.10 + 08.11</t>
  </si>
  <si>
    <t>ASTOLFI ERICH</t>
  </si>
  <si>
    <t>TAPPEZZERIA IL FIORE</t>
  </si>
  <si>
    <t>290€ RIMBORSI 730</t>
  </si>
  <si>
    <t>429€ RIMBORSI 730</t>
  </si>
  <si>
    <t>200€ GIA PAGATI IL 06.09</t>
  </si>
  <si>
    <t>218€ TRATTENUTE 730</t>
  </si>
  <si>
    <t>DDT 4267</t>
  </si>
  <si>
    <t>CAPARRA 22.11</t>
  </si>
  <si>
    <t>CAPARRA 29.11</t>
  </si>
  <si>
    <t>408-8221521-8747510</t>
  </si>
  <si>
    <t>408-5906738-0312314</t>
  </si>
  <si>
    <t>408-6859206-2283540</t>
  </si>
  <si>
    <t>408-6164527-0486750</t>
  </si>
  <si>
    <t>408-3823806-0033935</t>
  </si>
  <si>
    <t>408-7812761-6581166</t>
  </si>
  <si>
    <t>408-7154890-2001121</t>
  </si>
  <si>
    <t>VILLA VARDA DA PAGARE</t>
  </si>
  <si>
    <t>8D00125772 </t>
  </si>
  <si>
    <t>6093/00</t>
  </si>
  <si>
    <t xml:space="preserve">PRO SACILE </t>
  </si>
  <si>
    <t xml:space="preserve">MODOLO ALESSANDRO </t>
  </si>
  <si>
    <t>ELISA DEL PIERO</t>
  </si>
  <si>
    <t xml:space="preserve">MONTENEGRO </t>
  </si>
  <si>
    <t xml:space="preserve">COMPAGNIA DEI CARAIBI </t>
  </si>
  <si>
    <t>RIME CRAFT SRL</t>
  </si>
  <si>
    <t>SALDO 2024 O ACCONTO 2025?</t>
  </si>
  <si>
    <t>ROBERTO VERZIAGI</t>
  </si>
  <si>
    <t>FLORA PULIZIE</t>
  </si>
  <si>
    <t>COS'È?</t>
  </si>
  <si>
    <t xml:space="preserve">1208/2025	</t>
  </si>
  <si>
    <t>SALA SOTTO 700€</t>
  </si>
  <si>
    <t>BOTANICO + VINYL MARKET</t>
  </si>
  <si>
    <t>DROP 💧 - CASETTA</t>
  </si>
  <si>
    <t>DDT 4389</t>
  </si>
  <si>
    <t>SIMONE MILANESE</t>
  </si>
  <si>
    <t>2167</t>
  </si>
  <si>
    <t>408-5149526-8185121</t>
  </si>
  <si>
    <t>406-2900274-6262769</t>
  </si>
  <si>
    <t>408-0091172-3305157</t>
  </si>
  <si>
    <t>406-8254153-1571520</t>
  </si>
  <si>
    <t>25FV00265</t>
  </si>
  <si>
    <t>EE01300112/2025</t>
  </si>
  <si>
    <t>VITI</t>
  </si>
  <si>
    <t xml:space="preserve">LUCCHETTO VILLA VARDA </t>
  </si>
  <si>
    <t xml:space="preserve">DESPAR </t>
  </si>
  <si>
    <t>POMPELMI</t>
  </si>
  <si>
    <t>ALESSANDRO POLESE</t>
  </si>
  <si>
    <t>DDT 4507</t>
  </si>
  <si>
    <t>Compleanno 27.09</t>
  </si>
  <si>
    <t>DJ COMPLEANNO</t>
  </si>
  <si>
    <t>RATA MUTUO 47 - QUOTA CAPITALE</t>
  </si>
  <si>
    <t>RATA MUTUO 47 - QUOTA INTERESSI</t>
  </si>
  <si>
    <t xml:space="preserve">TOP 1 </t>
  </si>
  <si>
    <t>FREDDO</t>
  </si>
  <si>
    <t>GELCO </t>
  </si>
  <si>
    <t xml:space="preserve">01-0153227-2025	</t>
  </si>
  <si>
    <t>RESTITUZIONE DEBITO VILLA VARDA ?</t>
  </si>
  <si>
    <t xml:space="preserve">SINCLAIR'S </t>
  </si>
  <si>
    <t>APPLE</t>
  </si>
  <si>
    <t>IT523B3WABEI</t>
  </si>
  <si>
    <t xml:space="preserve">IT523ECXABEI </t>
  </si>
  <si>
    <t>1/6437</t>
  </si>
  <si>
    <t>324/CEPRO</t>
  </si>
  <si>
    <t>KIWI STORE</t>
  </si>
  <si>
    <t>1009/25</t>
  </si>
  <si>
    <t>IT524PXMABEI</t>
  </si>
  <si>
    <t>7261125199</t>
  </si>
  <si>
    <t>IT524KDIABEI</t>
  </si>
  <si>
    <t>IT527J7IABEI</t>
  </si>
  <si>
    <t>1/6652</t>
  </si>
  <si>
    <t>IT5287JLABEI</t>
  </si>
  <si>
    <t>IT523ECXABEI</t>
  </si>
  <si>
    <t>0106-001983</t>
  </si>
  <si>
    <t>IA12025000004490</t>
  </si>
  <si>
    <t xml:space="preserve">SALA SOTTO 600€ </t>
  </si>
  <si>
    <t>PROFUMI E SAPORI + QMD</t>
  </si>
  <si>
    <t>PROFUMI E SAPORI + MOV + THE FACTORY</t>
  </si>
  <si>
    <t>GIACOMO SCAREL</t>
  </si>
  <si>
    <t>STEFANO GALLIGONI</t>
  </si>
  <si>
    <t>DORIAN CHIAROT</t>
  </si>
  <si>
    <t xml:space="preserve">MATTEO D'ELIA </t>
  </si>
  <si>
    <t>MOMESSO+BRIAN+SILVIA+SEGA</t>
  </si>
  <si>
    <t>MORETTIN</t>
  </si>
  <si>
    <t>MORETTI</t>
  </si>
  <si>
    <t xml:space="preserve">EMANUELE FONTI </t>
  </si>
  <si>
    <t xml:space="preserve">MATTEO B </t>
  </si>
  <si>
    <t>SICUREZZA</t>
  </si>
  <si>
    <t>TELEGRAM</t>
  </si>
  <si>
    <t xml:space="preserve">TOFFOLI EMPORIO </t>
  </si>
  <si>
    <t>7087EL</t>
  </si>
  <si>
    <t xml:space="preserve">708/EL </t>
  </si>
  <si>
    <t>709/EL</t>
  </si>
  <si>
    <t xml:space="preserve">709/EL </t>
  </si>
  <si>
    <t>VIVO</t>
  </si>
  <si>
    <t xml:space="preserve">120€ CASETTA </t>
  </si>
  <si>
    <t>CAPARRA 17.01</t>
  </si>
  <si>
    <t>408-7287501-6280343</t>
  </si>
  <si>
    <t>4188943</t>
  </si>
  <si>
    <t>BIZAY</t>
  </si>
  <si>
    <t>LA PIAZZA - da pagare</t>
  </si>
  <si>
    <t xml:space="preserve">PIOLA + BOTANICO </t>
  </si>
  <si>
    <t>ZANUTTA</t>
  </si>
  <si>
    <t>4731</t>
  </si>
  <si>
    <t>Compleanno 11.10</t>
  </si>
  <si>
    <t>MERCE VILLA VARDA A WEISS</t>
  </si>
  <si>
    <t xml:space="preserve">SALA SOTTO 710€ </t>
  </si>
  <si>
    <t>LIQUIDAZIONE TFR FERIE ROL</t>
  </si>
  <si>
    <t>TARI</t>
  </si>
  <si>
    <t>OC016793</t>
  </si>
  <si>
    <t xml:space="preserve">187/FE	</t>
  </si>
  <si>
    <t>SIMPLE BUDGET EXCEL</t>
  </si>
  <si>
    <t>FBADS-726-104752891</t>
  </si>
  <si>
    <t>Nicola Luise</t>
  </si>
  <si>
    <t>AMERICAN EXPRESS AGOSTO 2025</t>
  </si>
  <si>
    <t>384/COM</t>
  </si>
  <si>
    <t>8D00145599</t>
  </si>
  <si>
    <t>EE01388456</t>
  </si>
  <si>
    <t xml:space="preserve"> 13/10/25</t>
  </si>
  <si>
    <t>1300€ al mese riparametrati, a settembre 2026 3.600€ EXTRA</t>
  </si>
  <si>
    <t xml:space="preserve">ALBERTO FRANCESCUTTO </t>
  </si>
  <si>
    <t>169/25</t>
  </si>
  <si>
    <t>240€ dalla Casetta</t>
  </si>
  <si>
    <t xml:space="preserve">MATTEO MOMESSO </t>
  </si>
  <si>
    <t xml:space="preserve">TEO BAZZO </t>
  </si>
  <si>
    <t xml:space="preserve">SERENA RUI </t>
  </si>
  <si>
    <t>31/06/25</t>
  </si>
  <si>
    <t>GLOBAL INVESTIGATION</t>
  </si>
  <si>
    <t xml:space="preserve">VILLA VARDA </t>
  </si>
  <si>
    <t>GIROCONTO VILLA VARDA</t>
  </si>
  <si>
    <t>45€ Voucher Casetta</t>
  </si>
  <si>
    <t>Caparra 03.04</t>
  </si>
  <si>
    <t>9788/02</t>
  </si>
  <si>
    <t>CASETTA</t>
  </si>
  <si>
    <t>9786/02</t>
  </si>
  <si>
    <t>1741</t>
  </si>
  <si>
    <t>2110</t>
  </si>
  <si>
    <t>2469</t>
  </si>
  <si>
    <t>SALA SOTTO 889,50€ + MOV + THE FACTORY</t>
  </si>
  <si>
    <t>FA002418</t>
  </si>
  <si>
    <t>ALESSIO CIAN</t>
  </si>
  <si>
    <t>caparra 29.11</t>
  </si>
  <si>
    <t xml:space="preserve">SALA SOTTO </t>
  </si>
  <si>
    <t xml:space="preserve">SALA SOTTO 700€ </t>
  </si>
  <si>
    <t>MAINSTREAM</t>
  </si>
  <si>
    <t xml:space="preserve"> 15/10/25</t>
  </si>
  <si>
    <t xml:space="preserve"> 16/10/25</t>
  </si>
  <si>
    <t xml:space="preserve"> 17/10/25</t>
  </si>
  <si>
    <t xml:space="preserve"> 14/10/25</t>
  </si>
  <si>
    <t>SARATOGA</t>
  </si>
  <si>
    <t xml:space="preserve">A.S.D. TENNIS CLUB CANEVA </t>
  </si>
  <si>
    <t>15345/1</t>
  </si>
  <si>
    <t>FERRARI</t>
  </si>
  <si>
    <t xml:space="preserve">GUEST NIGHT-MARIO FARULLA </t>
  </si>
  <si>
    <t>GIOVEDÌ ITALIANO ANTICA</t>
  </si>
  <si>
    <t>MOV + SALA SOTTO 1918€</t>
  </si>
  <si>
    <t>FILO+MAMILLA+POSTA + QMD</t>
  </si>
  <si>
    <t xml:space="preserve">BOSCARATO </t>
  </si>
  <si>
    <t>MARIO FARULLA</t>
  </si>
  <si>
    <t>269</t>
  </si>
  <si>
    <t>CHIARA DAL MOLIN</t>
  </si>
  <si>
    <t>TOM SARTORI</t>
  </si>
  <si>
    <t>FRANCESCO TORRE</t>
  </si>
  <si>
    <t>HOTEL 2 LEONI</t>
  </si>
  <si>
    <t>00832/H</t>
  </si>
  <si>
    <t>SUNVISTA GMBH</t>
  </si>
  <si>
    <t>RESTAURANT PERFORMANCE</t>
  </si>
  <si>
    <t>ADOBE</t>
  </si>
  <si>
    <t>IEE2025012924649</t>
  </si>
  <si>
    <t>FBADS-726-104869128</t>
  </si>
  <si>
    <t>FBADS-726-104869167</t>
  </si>
  <si>
    <t>329/A</t>
  </si>
  <si>
    <t>IL PRATO FINTO</t>
  </si>
  <si>
    <t xml:space="preserve">SUMUP </t>
  </si>
  <si>
    <t>PRISMICA</t>
  </si>
  <si>
    <t>F53-10575</t>
  </si>
  <si>
    <t>360/CEPRO</t>
  </si>
  <si>
    <t>ARUBA</t>
  </si>
  <si>
    <t>EC_2025_0384903</t>
  </si>
  <si>
    <t xml:space="preserve">FLASCHENLAN </t>
  </si>
  <si>
    <t>IT52HF10ABEI</t>
  </si>
  <si>
    <t>IT52HOGXABEI</t>
  </si>
  <si>
    <t>IT52HYTYABEI</t>
  </si>
  <si>
    <t>IA22025000031220</t>
  </si>
  <si>
    <t>ELLEPI</t>
  </si>
  <si>
    <t>RATA MUTUO 48 - QUOTA CAPITALE</t>
  </si>
  <si>
    <t>RATA MUTUO 48 - QUOTA INTERESSI</t>
  </si>
  <si>
    <t>E-7</t>
  </si>
  <si>
    <t>E-5</t>
  </si>
  <si>
    <t>GOURMET EN CASA</t>
  </si>
  <si>
    <t>2025-3343752</t>
  </si>
  <si>
    <t>HALLOWEN + SALA SOTTO 2518,5€</t>
  </si>
  <si>
    <t>01-0163126-2025</t>
  </si>
  <si>
    <t>01-0124316-2025</t>
  </si>
  <si>
    <t>2025-FDFE-0009277</t>
  </si>
  <si>
    <t xml:space="preserve"> QMD + ANTICA</t>
  </si>
  <si>
    <t>FOTOGRAFO</t>
  </si>
  <si>
    <t xml:space="preserve">STENO </t>
  </si>
  <si>
    <t xml:space="preserve">PATRICK MORTATI </t>
  </si>
  <si>
    <t xml:space="preserve">SICUREZZA EXTRA </t>
  </si>
  <si>
    <t>TOM %</t>
  </si>
  <si>
    <t xml:space="preserve">SALA SOTTO AMERICANI </t>
  </si>
  <si>
    <t>COFIN</t>
  </si>
  <si>
    <t>11177/02</t>
  </si>
  <si>
    <t>11179/02</t>
  </si>
  <si>
    <t>7190/U01</t>
  </si>
  <si>
    <t xml:space="preserve">MARTINI E ROSSI </t>
  </si>
  <si>
    <t>E-8</t>
  </si>
  <si>
    <t>01-0164204-2025</t>
  </si>
  <si>
    <t>PS SANITY</t>
  </si>
  <si>
    <t xml:space="preserve">TAVOLO PING PONG </t>
  </si>
  <si>
    <t>Patrick</t>
  </si>
  <si>
    <t>DDT 4620</t>
  </si>
  <si>
    <t>DDT 4732</t>
  </si>
  <si>
    <t>DDT 4855</t>
  </si>
  <si>
    <t>DDT 5106</t>
  </si>
  <si>
    <t>DDT 5208</t>
  </si>
  <si>
    <t>DDT 4975</t>
  </si>
  <si>
    <t xml:space="preserve">400€ sala sotto </t>
  </si>
  <si>
    <t>SALA SOTTO €700</t>
  </si>
  <si>
    <t>04.10 5 ore casetta</t>
  </si>
  <si>
    <t>1214/2025</t>
  </si>
  <si>
    <t>1556283/2025</t>
  </si>
  <si>
    <t>8D00161991</t>
  </si>
  <si>
    <t>MONFERONE BRIAN</t>
  </si>
  <si>
    <t xml:space="preserve">MATTEO MOMESSO  </t>
  </si>
  <si>
    <t xml:space="preserve">FERRARI </t>
  </si>
  <si>
    <t>TOT -46€</t>
  </si>
  <si>
    <t>VOUCHER 26.10 36€</t>
  </si>
  <si>
    <t>Flora Tanushi</t>
  </si>
  <si>
    <t>SERIPIAVE</t>
  </si>
  <si>
    <t xml:space="preserve">MERSIM TANUSHI </t>
  </si>
  <si>
    <t xml:space="preserve">CANTINA COOPERATIVA VIGNAIOLI DI SCANSANO </t>
  </si>
  <si>
    <t xml:space="preserve">C </t>
  </si>
  <si>
    <t>GUEST NIGHT PIETRO TRINCA + MOV + THE FACTORY | 600€ POS COMPLEANNO MAMMA BURI</t>
  </si>
  <si>
    <t xml:space="preserve">APERTURA CASETTE </t>
  </si>
  <si>
    <t>CASETTE</t>
  </si>
  <si>
    <t xml:space="preserve">MICHELE CANTON </t>
  </si>
  <si>
    <t>Caparra ?</t>
  </si>
  <si>
    <t>Caparra 22/12/25</t>
  </si>
  <si>
    <t>1448</t>
  </si>
  <si>
    <t>BOTTEGA DEL COLORE</t>
  </si>
  <si>
    <t>806/IEL</t>
  </si>
  <si>
    <t>807/IEL</t>
  </si>
  <si>
    <t xml:space="preserve">LICOREA </t>
  </si>
  <si>
    <t>5335</t>
  </si>
  <si>
    <t>ANTONIO BUTTAFUORI</t>
  </si>
  <si>
    <t xml:space="preserve">BARMAN TRINCA </t>
  </si>
  <si>
    <t>1060</t>
  </si>
  <si>
    <t>LA PIOLA</t>
  </si>
  <si>
    <t>DJ EMANUELE</t>
  </si>
  <si>
    <t>CETTO</t>
  </si>
  <si>
    <t>MELE</t>
  </si>
  <si>
    <t xml:space="preserve">SPESA </t>
  </si>
  <si>
    <t>FA 002716</t>
  </si>
  <si>
    <t>5452</t>
  </si>
  <si>
    <t xml:space="preserve">FERRO </t>
  </si>
  <si>
    <t>ELETTROVENETA SPA</t>
  </si>
  <si>
    <t xml:space="preserve">PIOLA + BOTANICO + MAMILLA </t>
  </si>
  <si>
    <t xml:space="preserve">CASETTE + PIOLA </t>
  </si>
  <si>
    <t>ALIMENTATORE</t>
  </si>
  <si>
    <t>5568</t>
  </si>
  <si>
    <t>Caparra 06.12</t>
  </si>
  <si>
    <t>1306/2025</t>
  </si>
  <si>
    <t>FDI/0000584</t>
  </si>
  <si>
    <t>IEE2025014902841</t>
  </si>
  <si>
    <t>IT52MA8JABEI</t>
  </si>
  <si>
    <t>LEARNN</t>
  </si>
  <si>
    <t>FBADS-726-104976774</t>
  </si>
  <si>
    <t xml:space="preserve">IT52O60GABEI </t>
  </si>
  <si>
    <t>LA SPILLATURA</t>
  </si>
  <si>
    <t xml:space="preserve">LA SPILLATURA </t>
  </si>
  <si>
    <t xml:space="preserve">SPIRIT ACADEMY </t>
  </si>
  <si>
    <t>SPIRIT ACADEMY</t>
  </si>
  <si>
    <t>0007654/S</t>
  </si>
  <si>
    <t>392/CEPRO</t>
  </si>
  <si>
    <t xml:space="preserve">PIXARTPRINTING </t>
  </si>
  <si>
    <t>SAO SAO</t>
  </si>
  <si>
    <t>SCONTO SAFEKEY</t>
  </si>
  <si>
    <t>IT52XES0ABEI</t>
  </si>
  <si>
    <t>SOFTER VOLUMES</t>
  </si>
  <si>
    <t>AMERICAN EXPRESS OTTOBRE 2025</t>
  </si>
  <si>
    <t>8067/U01</t>
  </si>
  <si>
    <t>2025-FDFE-0010074</t>
  </si>
  <si>
    <t>01-0190785-2025</t>
  </si>
  <si>
    <t>408-1931045-4682743</t>
  </si>
  <si>
    <t>408-5759289-9502702</t>
  </si>
  <si>
    <t>406-3899619-0899539</t>
  </si>
  <si>
    <t>406-4248732-8033145</t>
  </si>
  <si>
    <t>408-9876726-5980300</t>
  </si>
  <si>
    <t>408-0019610-8196337</t>
  </si>
  <si>
    <t>406-6912823-9941103</t>
  </si>
  <si>
    <t>408-1436760-3817102</t>
  </si>
  <si>
    <t>408-9940411-7114739</t>
  </si>
  <si>
    <t>408-3711989-1032343</t>
  </si>
  <si>
    <t>408-7626592-4863529</t>
  </si>
  <si>
    <t>408-2343968-7205949</t>
  </si>
  <si>
    <t>408-6401015-1405913</t>
  </si>
  <si>
    <t>408-4913644-2133936</t>
  </si>
  <si>
    <t>408-5128131-9224320</t>
  </si>
  <si>
    <t xml:space="preserve"> 408-5713259-6135546</t>
  </si>
  <si>
    <t>408-0256938-0129134</t>
  </si>
  <si>
    <t>408-7461683-3799540</t>
  </si>
  <si>
    <t>406-4657589-4841957</t>
  </si>
  <si>
    <t>406-9739079-3641129</t>
  </si>
  <si>
    <t>000690RI</t>
  </si>
  <si>
    <t xml:space="preserve">FERRO DISTRIBUZIONE </t>
  </si>
  <si>
    <t>2025/4712</t>
  </si>
  <si>
    <t>IVA è da mettere?</t>
  </si>
  <si>
    <t>1288/2025</t>
  </si>
  <si>
    <t>B/4611/2025</t>
  </si>
  <si>
    <t>FDI/0000706</t>
  </si>
  <si>
    <t>00093336/S</t>
  </si>
  <si>
    <t>CASETTE + SALA SOTTO €700</t>
  </si>
  <si>
    <t>QMD + MAMILLA SPECIAL GUEST + CASETTE</t>
  </si>
  <si>
    <t xml:space="preserve">TRISCHITTA </t>
  </si>
  <si>
    <t>CAFFÈ</t>
  </si>
  <si>
    <t>PIZZA</t>
  </si>
  <si>
    <t>0120120008114</t>
  </si>
  <si>
    <t>BRICOMAN</t>
  </si>
  <si>
    <t>5682</t>
  </si>
  <si>
    <t>MIRKO</t>
  </si>
  <si>
    <t>ANNA FRANKY</t>
  </si>
  <si>
    <t xml:space="preserve">MORETTI </t>
  </si>
  <si>
    <t>TOM SARTORI %</t>
  </si>
  <si>
    <t xml:space="preserve"> 530€ tredicesima - 90€</t>
  </si>
  <si>
    <t>250€ tredicesima</t>
  </si>
  <si>
    <t>B/4952/2025</t>
  </si>
  <si>
    <t>000988RI</t>
  </si>
  <si>
    <t>MAGIC STORE</t>
  </si>
  <si>
    <t>4597/25</t>
  </si>
  <si>
    <t>RE25-6557</t>
  </si>
  <si>
    <t>379B</t>
  </si>
  <si>
    <t>EE01722243</t>
  </si>
  <si>
    <t>8D00199239</t>
  </si>
  <si>
    <t>1Rim</t>
  </si>
  <si>
    <t xml:space="preserve">GIANLUCA PILAN </t>
  </si>
  <si>
    <t>7/001</t>
  </si>
  <si>
    <t xml:space="preserve">FINE SPIRIT </t>
  </si>
  <si>
    <t>8502/00</t>
  </si>
  <si>
    <t>2025/6533</t>
  </si>
  <si>
    <t>42/25</t>
  </si>
  <si>
    <t>Mortati Patrick</t>
  </si>
  <si>
    <t>Luise Nicola</t>
  </si>
  <si>
    <t>Tanushi Flora</t>
  </si>
  <si>
    <t>-200€ Clase Azul</t>
  </si>
  <si>
    <t>1600€ tredicesima</t>
  </si>
  <si>
    <t>1500€ tredicesima</t>
  </si>
  <si>
    <t>2100€ tredicesima</t>
  </si>
  <si>
    <t>1700€ tredicesima</t>
  </si>
  <si>
    <t xml:space="preserve">LOVADINA PAOLO </t>
  </si>
  <si>
    <t>1655/2025</t>
  </si>
  <si>
    <t>1656/2025</t>
  </si>
  <si>
    <t>TANUSJI FLORA</t>
  </si>
  <si>
    <t>Kevin</t>
  </si>
  <si>
    <t>c</t>
  </si>
  <si>
    <t xml:space="preserve"> 🌧️</t>
  </si>
  <si>
    <t>5788</t>
  </si>
  <si>
    <t>1592</t>
  </si>
  <si>
    <t xml:space="preserve">TOFFOLI </t>
  </si>
  <si>
    <t>926IEL</t>
  </si>
  <si>
    <t xml:space="preserve">926IEL </t>
  </si>
  <si>
    <t>MANU DJ</t>
  </si>
  <si>
    <t xml:space="preserve">MELE </t>
  </si>
  <si>
    <t>AGRICOLTURA LUISA</t>
  </si>
  <si>
    <t>W1-14925</t>
  </si>
  <si>
    <t>0106-002971</t>
  </si>
  <si>
    <t>1002736</t>
  </si>
  <si>
    <t>Caparra 30.12</t>
  </si>
  <si>
    <t>5893</t>
  </si>
  <si>
    <t>Caparra 29,12</t>
  </si>
  <si>
    <t>Caparra 7.2</t>
  </si>
  <si>
    <t>FORATO</t>
  </si>
  <si>
    <t>MIRCO CAMPANERUTTO</t>
  </si>
  <si>
    <t>Caparra 20.12</t>
  </si>
  <si>
    <t>Sala sotto</t>
  </si>
  <si>
    <t>caparra 24.01</t>
  </si>
  <si>
    <t>Molto freddo</t>
  </si>
  <si>
    <t>Molto freddo + Derby + Mamilla + Vivila Così</t>
  </si>
  <si>
    <r>
      <t xml:space="preserve">Molto freddo - </t>
    </r>
    <r>
      <rPr>
        <b/>
        <sz val="8"/>
        <color theme="1"/>
        <rFont val="Avenir Next Regular"/>
      </rPr>
      <t>APERTURA CASETTE PN &amp; CORDENONS</t>
    </r>
  </si>
  <si>
    <r>
      <t xml:space="preserve">Molto freddo - </t>
    </r>
    <r>
      <rPr>
        <b/>
        <sz val="8"/>
        <color theme="1"/>
        <rFont val="Avenir Next Regular"/>
      </rPr>
      <t>RADUNO ALFA</t>
    </r>
  </si>
  <si>
    <t>001656/25</t>
  </si>
  <si>
    <t>SID000203695</t>
  </si>
  <si>
    <t>CREDITSAFE</t>
  </si>
  <si>
    <t>POLETTO PIANTE</t>
  </si>
  <si>
    <t>116/C00</t>
  </si>
  <si>
    <t xml:space="preserve">ITALIANA ASSICURAZIONI </t>
  </si>
  <si>
    <t>CELANT FABIO</t>
  </si>
  <si>
    <t>51E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</si>
</sst>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quot;€&quot;* #,##0.00_);_(&quot;€&quot;* \(#,##0.00\);_(&quot;€&quot;* &quot;-&quot;??_);_(@_)"/>
    <numFmt numFmtId="166" formatCode="#,##0.00\ &quot;€&quot;"/>
    <numFmt numFmtId="167" formatCode="dd/mm/yy;@"/>
    <numFmt numFmtId="169" formatCode="[$-410]mmmm\-yy;@"/>
    <numFmt numFmtId="170" formatCode="#,##0\ &quot;€&quot;"/>
    <numFmt numFmtId="171" formatCode="0.0000%"/>
    <numFmt numFmtId="176" formatCode="#,##0.00\ &quot;€&quot;;[Red]#,##0.00\ &quot;€&quot;"/>
    <numFmt numFmtId="177" formatCode="[$-410]mmm\-yy;@"/>
  </numFmts>
  <fonts count="165">
    <font>
      <sz val="12"/>
      <color theme="1"/>
      <name val="Calibri"/>
      <family val="2"/>
      <scheme val="minor"/>
    </font>
    <font>
      <sz val="12"/>
      <color theme="1"/>
      <name val="Helvetica"/>
      <family val="2"/>
    </font>
    <font>
      <sz val="10"/>
      <color theme="1"/>
      <name val="Helvetica"/>
      <family val="2"/>
    </font>
    <font>
      <b/>
      <sz val="12"/>
      <color theme="1"/>
      <name val="Helvetica"/>
      <family val="2"/>
    </font>
    <font>
      <b/>
      <sz val="12"/>
      <color theme="0"/>
      <name val="Helvetica"/>
      <family val="2"/>
    </font>
    <font>
      <b/>
      <sz val="10"/>
      <color theme="1"/>
      <name val="Helvetica"/>
      <family val="2"/>
    </font>
    <font>
      <sz val="10"/>
      <color theme="1"/>
      <name val="Helvetica Leggero"/>
    </font>
    <font>
      <b/>
      <sz val="10"/>
      <color theme="1"/>
      <name val="Helvetica Leggero"/>
    </font>
    <font>
      <sz val="8"/>
      <name val="Calibri"/>
      <family val="2"/>
      <scheme val="minor"/>
    </font>
    <font>
      <b/>
      <sz val="11"/>
      <color theme="1"/>
      <name val="Helvetica Leggero"/>
    </font>
    <font>
      <b/>
      <sz val="12"/>
      <color theme="1"/>
      <name val="Calibri"/>
      <family val="2"/>
      <scheme val="minor"/>
    </font>
    <font>
      <sz val="12"/>
      <color theme="0"/>
      <name val="Calibri"/>
      <family val="2"/>
      <scheme val="minor"/>
    </font>
    <font>
      <b/>
      <sz val="12"/>
      <color theme="0"/>
      <name val="Helvetica Leggero"/>
    </font>
    <font>
      <b/>
      <sz val="12"/>
      <name val="Calibri"/>
      <family val="2"/>
      <scheme val="minor"/>
    </font>
    <font>
      <sz val="12"/>
      <name val="Calibri"/>
      <family val="2"/>
      <scheme val="minor"/>
    </font>
    <font>
      <sz val="10"/>
      <color theme="1"/>
      <name val="Calibri"/>
      <family val="2"/>
      <scheme val="minor"/>
    </font>
    <font>
      <sz val="12"/>
      <color rgb="FF000000"/>
      <name val="Calibri"/>
      <family val="2"/>
      <scheme val="minor"/>
    </font>
    <font>
      <sz val="11"/>
      <color theme="1"/>
      <name val="Calibri"/>
      <family val="2"/>
      <scheme val="minor"/>
    </font>
    <font>
      <b/>
      <sz val="18"/>
      <color theme="1"/>
      <name val="Calibri"/>
      <family val="2"/>
      <scheme val="minor"/>
    </font>
    <font>
      <b/>
      <sz val="16"/>
      <color theme="1"/>
      <name val="Calibri"/>
      <family val="2"/>
      <scheme val="minor"/>
    </font>
    <font>
      <sz val="16"/>
      <color theme="1"/>
      <name val="Calibri"/>
      <family val="2"/>
      <scheme val="minor"/>
    </font>
    <font>
      <b/>
      <sz val="12"/>
      <color theme="0"/>
      <name val="Helvetica Neue Light"/>
    </font>
    <font>
      <sz val="10"/>
      <color rgb="FF000000"/>
      <name val="Helvetica Neue Light"/>
    </font>
    <font>
      <sz val="10"/>
      <color theme="1"/>
      <name val="Helvetica Neue Light"/>
    </font>
    <font>
      <sz val="10"/>
      <color theme="0"/>
      <name val="Helvetica Leggero"/>
    </font>
    <font>
      <sz val="12"/>
      <color theme="0"/>
      <name val="Helvetica"/>
      <family val="2"/>
    </font>
    <font>
      <sz val="12"/>
      <color theme="1"/>
      <name val="Calibri"/>
      <family val="2"/>
      <scheme val="minor"/>
    </font>
    <font>
      <sz val="10"/>
      <color theme="1"/>
      <name val="Helvetica Light"/>
    </font>
    <font>
      <b/>
      <sz val="12"/>
      <color theme="1"/>
      <name val="Helvetica Leggero"/>
    </font>
    <font>
      <b/>
      <sz val="12"/>
      <name val="Avenir Next Regular"/>
    </font>
    <font>
      <sz val="12"/>
      <color theme="1"/>
      <name val="Avenir Next Regular"/>
    </font>
    <font>
      <b/>
      <sz val="12"/>
      <color theme="1"/>
      <name val="Avenir Next Regular"/>
    </font>
    <font>
      <sz val="12"/>
      <name val="Avenir Next Regular"/>
    </font>
    <font>
      <b/>
      <sz val="11"/>
      <name val="Avenir Next Regular"/>
    </font>
    <font>
      <sz val="11"/>
      <color theme="1"/>
      <name val="Avenir Next Regular"/>
    </font>
    <font>
      <b/>
      <sz val="11"/>
      <color theme="1"/>
      <name val="Avenir Next Regular"/>
    </font>
    <font>
      <sz val="10"/>
      <color theme="1"/>
      <name val="Avenir Next Regular"/>
    </font>
    <font>
      <b/>
      <sz val="10"/>
      <color theme="1"/>
      <name val="Avenir Next Regular"/>
    </font>
    <font>
      <sz val="10"/>
      <name val="Avenir Next Regular"/>
    </font>
    <font>
      <b/>
      <sz val="16"/>
      <color theme="1"/>
      <name val="Avenir Next Regular"/>
    </font>
    <font>
      <b/>
      <sz val="9"/>
      <color theme="1"/>
      <name val="Avenir Next Regular"/>
    </font>
    <font>
      <sz val="9"/>
      <color theme="1"/>
      <name val="Avenir Next Regular"/>
    </font>
    <font>
      <i/>
      <sz val="10"/>
      <color theme="1"/>
      <name val="Avenir Next Regular"/>
    </font>
    <font>
      <b/>
      <sz val="10"/>
      <name val="Avenir Next Regular"/>
    </font>
    <font>
      <sz val="12"/>
      <color theme="1"/>
      <name val="Avenir Next LT Pro"/>
      <family val="2"/>
    </font>
    <font>
      <sz val="12"/>
      <color rgb="FF008F00"/>
      <name val="Avenir Next LT Pro"/>
      <family val="2"/>
    </font>
    <font>
      <sz val="12"/>
      <color rgb="FFC00000"/>
      <name val="Avenir Next LT Pro"/>
      <family val="2"/>
    </font>
    <font>
      <b/>
      <sz val="36"/>
      <color theme="1"/>
      <name val="Avenir Next LT Pro"/>
      <family val="2"/>
    </font>
    <font>
      <b/>
      <sz val="12"/>
      <color theme="1"/>
      <name val="Avenir Next LT Pro"/>
      <family val="2"/>
    </font>
    <font>
      <b/>
      <sz val="14"/>
      <color theme="1"/>
      <name val="Avenir Next LT Pro"/>
      <family val="2"/>
    </font>
    <font>
      <b/>
      <sz val="12"/>
      <color rgb="FF008F00"/>
      <name val="Avenir Next LT Pro"/>
      <family val="2"/>
    </font>
    <font>
      <b/>
      <sz val="12"/>
      <color rgb="FFC00000"/>
      <name val="Avenir Next LT Pro"/>
      <family val="2"/>
    </font>
    <font>
      <sz val="10"/>
      <color theme="1"/>
      <name val="Avenir Next LT Pro"/>
      <family val="2"/>
    </font>
    <font>
      <b/>
      <sz val="10"/>
      <color theme="1"/>
      <name val="Avenir Next LT Pro"/>
      <family val="2"/>
    </font>
    <font>
      <sz val="10"/>
      <color rgb="FF000000"/>
      <name val="Avenir Next LT Pro"/>
      <family val="2"/>
    </font>
    <font>
      <i/>
      <sz val="10"/>
      <color theme="1"/>
      <name val="Avenir Next LT Pro"/>
      <family val="2"/>
    </font>
    <font>
      <b/>
      <sz val="16"/>
      <color theme="1"/>
      <name val="Avenir Next LT Pro"/>
      <family val="2"/>
    </font>
    <font>
      <sz val="36"/>
      <color theme="1"/>
      <name val="Avenir Next LT Pro"/>
      <family val="2"/>
    </font>
    <font>
      <b/>
      <sz val="28"/>
      <color theme="1"/>
      <name val="Avenir Next LT Pro"/>
      <family val="2"/>
    </font>
    <font>
      <sz val="11"/>
      <color theme="1"/>
      <name val="Avenir Next LT Pro"/>
      <family val="2"/>
    </font>
    <font>
      <sz val="12"/>
      <color theme="0"/>
      <name val="Avenir Next LT Pro"/>
      <family val="2"/>
    </font>
    <font>
      <b/>
      <sz val="12"/>
      <color theme="0"/>
      <name val="Avenir Next LT Pro"/>
      <family val="2"/>
    </font>
    <font>
      <b/>
      <sz val="11"/>
      <color theme="1"/>
      <name val="Avenir Next LT Pro"/>
      <family val="2"/>
    </font>
    <font>
      <sz val="9"/>
      <color theme="1"/>
      <name val="Avenir Next LT Pro"/>
      <family val="2"/>
    </font>
    <font>
      <sz val="9"/>
      <name val="Avenir Next LT Pro"/>
      <family val="2"/>
    </font>
    <font>
      <b/>
      <sz val="9"/>
      <color theme="1"/>
      <name val="Avenir Next LT Pro"/>
      <family val="2"/>
    </font>
    <font>
      <b/>
      <sz val="8"/>
      <color theme="1"/>
      <name val="Avenir Next LT Pro"/>
      <family val="2"/>
    </font>
    <font>
      <sz val="8"/>
      <color theme="1"/>
      <name val="Avenir Next LT Pro"/>
      <family val="2"/>
    </font>
    <font>
      <sz val="12"/>
      <color rgb="FFFFFFFF"/>
      <name val="Avenir Next LT Pro"/>
      <family val="2"/>
    </font>
    <font>
      <sz val="7"/>
      <color theme="1"/>
      <name val="Avenir Next LT Pro"/>
      <family val="2"/>
    </font>
    <font>
      <sz val="8"/>
      <color theme="1" tint="0.249977111117893"/>
      <name val="Avenir Next LT Pro"/>
      <family val="2"/>
    </font>
    <font>
      <b/>
      <sz val="7"/>
      <color theme="1"/>
      <name val="Avenir Next LT Pro"/>
      <family val="2"/>
    </font>
    <font>
      <b/>
      <sz val="8"/>
      <color theme="1" tint="0.249977111117893"/>
      <name val="Avenir Next LT Pro"/>
      <family val="2"/>
    </font>
    <font>
      <b/>
      <sz val="7"/>
      <color rgb="FF000000"/>
      <name val="Avenir Next LT Pro"/>
      <family val="2"/>
    </font>
    <font>
      <i/>
      <sz val="8"/>
      <color theme="1"/>
      <name val="Avenir Next LT Pro"/>
      <family val="2"/>
    </font>
    <font>
      <i/>
      <sz val="12"/>
      <color theme="1"/>
      <name val="Avenir Next LT Pro"/>
      <family val="2"/>
    </font>
    <font>
      <sz val="16"/>
      <color theme="1"/>
      <name val="Avenir Next LT Pro"/>
      <family val="2"/>
    </font>
    <font>
      <i/>
      <sz val="16"/>
      <color theme="1"/>
      <name val="Avenir Next LT Pro"/>
      <family val="2"/>
    </font>
    <font>
      <b/>
      <sz val="11"/>
      <name val="Avenir Next LT Pro"/>
      <family val="2"/>
    </font>
    <font>
      <b/>
      <sz val="10"/>
      <color rgb="FF000000"/>
      <name val="Avenir Next LT Pro"/>
      <family val="2"/>
    </font>
    <font>
      <sz val="10"/>
      <name val="Avenir Next LT Pro"/>
      <family val="2"/>
    </font>
    <font>
      <sz val="10"/>
      <color theme="0"/>
      <name val="Avenir Next LT Pro"/>
      <family val="2"/>
    </font>
    <font>
      <sz val="10"/>
      <color theme="1"/>
      <name val="Avenir Next LT Pro"/>
    </font>
    <font>
      <sz val="12"/>
      <color theme="1"/>
      <name val="Avenir Next LT Pro"/>
    </font>
    <font>
      <b/>
      <sz val="10"/>
      <color theme="1"/>
      <name val="Avenir Next LT Pro"/>
    </font>
    <font>
      <b/>
      <sz val="12"/>
      <color theme="1"/>
      <name val="Avenir Next LT Pro"/>
    </font>
    <font>
      <sz val="6"/>
      <color theme="1"/>
      <name val="Avenir Next LT Pro"/>
      <family val="2"/>
    </font>
    <font>
      <b/>
      <sz val="6"/>
      <color theme="1"/>
      <name val="Avenir Next LT Pro"/>
      <family val="2"/>
    </font>
    <font>
      <sz val="12"/>
      <color rgb="FF008F00"/>
      <name val="Avenir Next Regular"/>
    </font>
    <font>
      <sz val="12"/>
      <color rgb="FFC00000"/>
      <name val="Avenir Next Regular"/>
    </font>
    <font>
      <b/>
      <sz val="36"/>
      <color theme="1"/>
      <name val="Avenir Next Regular"/>
    </font>
    <font>
      <b/>
      <sz val="14"/>
      <color theme="1"/>
      <name val="Avenir Next Regular"/>
    </font>
    <font>
      <b/>
      <sz val="12"/>
      <color rgb="FF008F00"/>
      <name val="Avenir Next Regular"/>
    </font>
    <font>
      <b/>
      <sz val="12"/>
      <color rgb="FFC00000"/>
      <name val="Avenir Next Regular"/>
    </font>
    <font>
      <sz val="10"/>
      <color rgb="FF000000"/>
      <name val="Avenir Next Regular"/>
    </font>
    <font>
      <sz val="12"/>
      <color rgb="FF000000"/>
      <name val="Avenir Next Regular"/>
    </font>
    <font>
      <i/>
      <sz val="10"/>
      <color theme="1"/>
      <name val="Avenir Next LT Pro"/>
    </font>
    <font>
      <b/>
      <i/>
      <sz val="10"/>
      <color theme="1"/>
      <name val="Avenir Next LT Pro"/>
    </font>
    <font>
      <sz val="12"/>
      <color theme="0"/>
      <name val="Avenir Next Regular"/>
    </font>
    <font>
      <b/>
      <sz val="11"/>
      <color rgb="FF9C5700"/>
      <name val="Avenir Next Regular"/>
    </font>
    <font>
      <b/>
      <sz val="11"/>
      <color rgb="FFC00000"/>
      <name val="Avenir Next Regular"/>
    </font>
    <font>
      <b/>
      <sz val="12"/>
      <color theme="0"/>
      <name val="Avenir Next Regular"/>
    </font>
    <font>
      <b/>
      <sz val="14"/>
      <color theme="1"/>
      <name val="Avenir Next LT Pro"/>
    </font>
    <font>
      <sz val="12"/>
      <color rgb="FF006100"/>
      <name val="Avenir Next Regular"/>
    </font>
    <font>
      <sz val="11"/>
      <color theme="1"/>
      <name val="Avenir Next LT Pro"/>
    </font>
    <font>
      <i/>
      <u/>
      <sz val="10"/>
      <color theme="1"/>
      <name val="Avenir Next LT Pro"/>
    </font>
    <font>
      <b/>
      <i/>
      <u/>
      <sz val="10"/>
      <color theme="1"/>
      <name val="Avenir Next LT Pro"/>
    </font>
    <font>
      <sz val="10"/>
      <color rgb="FFFF0000"/>
      <name val="Avenir Next LT Pro"/>
      <family val="2"/>
    </font>
    <font>
      <b/>
      <sz val="11"/>
      <color theme="1"/>
      <name val="Avenir Next LT Pro"/>
    </font>
    <font>
      <b/>
      <sz val="7"/>
      <color theme="1"/>
      <name val="Avenir Next LT Pro"/>
    </font>
    <font>
      <sz val="7"/>
      <color theme="1"/>
      <name val="Avenir Next LT Pro"/>
    </font>
    <font>
      <sz val="6"/>
      <color theme="1"/>
      <name val="Avenir Next LT Pro"/>
    </font>
    <font>
      <b/>
      <i/>
      <sz val="16"/>
      <color theme="1"/>
      <name val="Avenir Next LT Pro"/>
    </font>
    <font>
      <sz val="6"/>
      <color rgb="FF000000"/>
      <name val="Avenir Next LT Pro"/>
      <charset val="1"/>
    </font>
    <font>
      <b/>
      <sz val="10"/>
      <color rgb="FF000000"/>
      <name val="Avenir Next Regular"/>
    </font>
    <font>
      <sz val="6"/>
      <color rgb="FF000000"/>
      <name val="Avenir Next LT Pro"/>
      <family val="2"/>
    </font>
    <font>
      <sz val="10"/>
      <color rgb="FF000000"/>
      <name val="Avenir Next LT Pro"/>
      <charset val="1"/>
    </font>
    <font>
      <sz val="12"/>
      <color rgb="FF008F00"/>
      <name val="Avenir Next LT Pro"/>
    </font>
    <font>
      <sz val="12"/>
      <color rgb="FFC00000"/>
      <name val="Avenir Next LT Pro"/>
    </font>
    <font>
      <sz val="10"/>
      <color rgb="FF000000"/>
      <name val="Tahoma"/>
      <family val="2"/>
    </font>
    <font>
      <b/>
      <sz val="10"/>
      <color rgb="FF000000"/>
      <name val="Tahoma"/>
      <family val="2"/>
    </font>
    <font>
      <sz val="10"/>
      <color rgb="FF000000"/>
      <name val="Calibri"/>
      <family val="2"/>
      <scheme val="minor"/>
    </font>
    <font>
      <b/>
      <sz val="10"/>
      <color rgb="FF000000"/>
      <name val="Calibri"/>
      <family val="2"/>
    </font>
    <font>
      <sz val="10"/>
      <color rgb="FF000000"/>
      <name val="Calibri"/>
      <family val="2"/>
    </font>
    <font>
      <sz val="9"/>
      <color theme="1"/>
      <name val="Avenir Next LT Pro"/>
    </font>
    <font>
      <i/>
      <sz val="11"/>
      <color theme="1"/>
      <name val="Avenir Next LT Pro Demi Italic"/>
    </font>
    <font>
      <b/>
      <sz val="11"/>
      <color theme="1"/>
      <name val="Avenir Next LT Pro Demi Italic"/>
    </font>
    <font>
      <sz val="11"/>
      <color theme="1"/>
      <name val="Avenir Next LT Pro Demi Italic"/>
    </font>
    <font>
      <i/>
      <sz val="11"/>
      <color theme="1"/>
      <name val="Avenir Next LT Pro"/>
    </font>
    <font>
      <i/>
      <sz val="12"/>
      <color theme="1"/>
      <name val="Avenir Next LT Pro"/>
    </font>
    <font>
      <b/>
      <sz val="22"/>
      <color theme="8" tint="-0.249977111117893"/>
      <name val="Avenir Next LT Pro Demi"/>
    </font>
    <font>
      <b/>
      <sz val="22"/>
      <color theme="7" tint="-0.249977111117893"/>
      <name val="Avenir Next LT Pro Demi"/>
    </font>
    <font>
      <b/>
      <sz val="22"/>
      <color theme="9" tint="-0.249977111117893"/>
      <name val="Avenir Next LT Pro Demi"/>
    </font>
    <font>
      <b/>
      <sz val="22"/>
      <color theme="6" tint="-0.249977111117893"/>
      <name val="Avenir Next LT Pro Demi"/>
    </font>
    <font>
      <b/>
      <sz val="18"/>
      <color theme="6" tint="-0.249977111117893"/>
      <name val="Avenir Next LT Pro Demi"/>
    </font>
    <font>
      <b/>
      <sz val="18"/>
      <color theme="9" tint="-0.249977111117893"/>
      <name val="Avenir Next LT Pro Demi"/>
    </font>
    <font>
      <b/>
      <sz val="18"/>
      <color theme="7" tint="-0.249977111117893"/>
      <name val="Avenir Next LT Pro Demi"/>
    </font>
    <font>
      <b/>
      <sz val="18"/>
      <color theme="8" tint="-0.249977111117893"/>
      <name val="Avenir Next LT Pro Demi"/>
    </font>
    <font>
      <b/>
      <sz val="18"/>
      <color theme="1" tint="0.249977111117893"/>
      <name val="Avenir Next LT Pro Bold"/>
    </font>
    <font>
      <b/>
      <sz val="22"/>
      <color theme="1" tint="0.249977111117893"/>
      <name val="Avenir Next LT Pro Demi"/>
    </font>
    <font>
      <b/>
      <sz val="18"/>
      <color rgb="FF2E74B5"/>
      <name val="Avenir Next LT Pro Bold"/>
      <charset val="1"/>
    </font>
    <font>
      <sz val="14"/>
      <color rgb="FF2E74B5"/>
      <name val="Avenir Next LT Pro"/>
    </font>
    <font>
      <sz val="14"/>
      <color rgb="FF2E74B5"/>
      <name val="Avenir Next LT Pro Demi"/>
    </font>
    <font>
      <b/>
      <sz val="18"/>
      <color rgb="FF538234"/>
      <name val="Avenir Next LT Pro Bold"/>
    </font>
    <font>
      <sz val="14"/>
      <color rgb="FF538234"/>
      <name val="Avenir Next LT Pro"/>
    </font>
    <font>
      <sz val="14"/>
      <color rgb="FF538234"/>
      <name val="Avenir Next LT Pro Demi"/>
    </font>
    <font>
      <b/>
      <i/>
      <sz val="11"/>
      <color theme="1"/>
      <name val="Avenir Next LT Pro Demi Italic"/>
    </font>
    <font>
      <sz val="11"/>
      <color theme="1"/>
      <name val="Avenir Next LT Pro Demi"/>
    </font>
    <font>
      <sz val="14"/>
      <color theme="1"/>
      <name val="Avenir Next LT Pro"/>
    </font>
    <font>
      <b/>
      <sz val="18"/>
      <color theme="1" tint="0.34998626667073579"/>
      <name val="Avenir Next LT Pro Bold"/>
      <charset val="1"/>
    </font>
    <font>
      <sz val="14"/>
      <color theme="1" tint="0.34998626667073579"/>
      <name val="Avenir Next LT Pro Demi"/>
    </font>
    <font>
      <b/>
      <sz val="20"/>
      <color theme="1"/>
      <name val="Avenir Next Regular"/>
    </font>
    <font>
      <sz val="7"/>
      <color theme="1"/>
      <name val="Avenir Next Regular"/>
    </font>
    <font>
      <i/>
      <sz val="11"/>
      <color theme="1"/>
      <name val="Avenir Next Regular"/>
    </font>
    <font>
      <b/>
      <sz val="6"/>
      <color theme="1"/>
      <name val="Avenir Next LT Pro"/>
    </font>
    <font>
      <sz val="12"/>
      <color theme="1"/>
      <name val="Avenir Next"/>
      <family val="2"/>
    </font>
    <font>
      <b/>
      <sz val="10"/>
      <color rgb="FF000000"/>
      <name val="Avenir Next LT Pro"/>
      <family val="2"/>
      <charset val="1"/>
    </font>
    <font>
      <sz val="10"/>
      <color rgb="FF000000"/>
      <name val="Avenir Next LT Pro"/>
      <family val="2"/>
      <charset val="1"/>
    </font>
    <font>
      <sz val="12"/>
      <color rgb="FF000000"/>
      <name val="Avenir Next LT Pro"/>
      <family val="2"/>
      <charset val="1"/>
    </font>
    <font>
      <sz val="12"/>
      <color rgb="FF008F00"/>
      <name val="Avenir Next LT Pro"/>
      <family val="2"/>
      <charset val="1"/>
    </font>
    <font>
      <sz val="12"/>
      <color rgb="FFC00000"/>
      <name val="Avenir Next LT Pro"/>
      <family val="2"/>
      <charset val="1"/>
    </font>
    <font>
      <sz val="12"/>
      <color rgb="FF9C5700"/>
      <name val="Avenir Next Regular"/>
    </font>
    <font>
      <b/>
      <sz val="8"/>
      <color theme="1"/>
      <name val="Avenir Next LT Pro"/>
    </font>
    <font>
      <sz val="8"/>
      <color theme="1"/>
      <name val="Avenir Next Regular"/>
    </font>
    <font>
      <b/>
      <sz val="8"/>
      <color theme="1"/>
      <name val="Avenir Next Regular"/>
    </font>
  </fonts>
  <fills count="65">
    <fill>
      <patternFill patternType="none"/>
    </fill>
    <fill>
      <patternFill patternType="gray125"/>
    </fill>
    <fill>
      <patternFill patternType="solid">
        <fgColor rgb="FF78AAD6"/>
        <bgColor indexed="64"/>
      </patternFill>
    </fill>
    <fill>
      <patternFill patternType="solid">
        <fgColor theme="0"/>
        <bgColor indexed="64"/>
      </patternFill>
    </fill>
    <fill>
      <patternFill patternType="solid">
        <fgColor rgb="FFD4FB00"/>
        <bgColor indexed="64"/>
      </patternFill>
    </fill>
    <fill>
      <patternFill patternType="solid">
        <fgColor rgb="FFFFFF00"/>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rgb="FFFF0000"/>
        <bgColor indexed="64"/>
      </patternFill>
    </fill>
    <fill>
      <patternFill patternType="solid">
        <fgColor rgb="FFFF7E79"/>
        <bgColor indexed="64"/>
      </patternFill>
    </fill>
    <fill>
      <patternFill patternType="solid">
        <fgColor rgb="FFC7EFCE"/>
        <bgColor indexed="64"/>
      </patternFill>
    </fill>
    <fill>
      <patternFill patternType="solid">
        <fgColor theme="2"/>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8DF31"/>
        <bgColor indexed="64"/>
      </patternFill>
    </fill>
    <fill>
      <patternFill patternType="solid">
        <fgColor rgb="FF5B9CD5"/>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FFFF00"/>
        <bgColor rgb="FF000000"/>
      </patternFill>
    </fill>
    <fill>
      <patternFill patternType="solid">
        <fgColor theme="0"/>
        <bgColor rgb="FF000000"/>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7F7F7F"/>
        <bgColor rgb="FF000000"/>
      </patternFill>
    </fill>
    <fill>
      <patternFill patternType="solid">
        <fgColor rgb="FFF2F2F2"/>
        <bgColor rgb="FF000000"/>
      </patternFill>
    </fill>
    <fill>
      <patternFill patternType="solid">
        <fgColor rgb="FFFFC000"/>
        <bgColor rgb="FF000000"/>
      </patternFill>
    </fill>
    <fill>
      <patternFill patternType="solid">
        <fgColor indexed="9"/>
        <bgColor indexed="8"/>
      </patternFill>
    </fill>
    <fill>
      <patternFill patternType="solid">
        <fgColor rgb="FFF7D005"/>
        <bgColor indexed="64"/>
      </patternFill>
    </fill>
    <fill>
      <patternFill patternType="solid">
        <fgColor theme="0" tint="-0.249977111117893"/>
        <bgColor indexed="64"/>
      </patternFill>
    </fill>
    <fill>
      <patternFill patternType="solid">
        <fgColor rgb="FFF8D003"/>
        <bgColor indexed="64"/>
      </patternFill>
    </fill>
    <fill>
      <patternFill patternType="solid">
        <fgColor rgb="FFBFBFBF"/>
        <bgColor indexed="64"/>
      </patternFill>
    </fill>
    <fill>
      <patternFill patternType="solid">
        <fgColor rgb="FFA0A0A0"/>
        <bgColor rgb="FF000000"/>
      </patternFill>
    </fill>
    <fill>
      <patternFill patternType="solid">
        <fgColor rgb="FFB8B383"/>
        <bgColor rgb="FF000000"/>
      </patternFill>
    </fill>
    <fill>
      <patternFill patternType="solid">
        <fgColor theme="6"/>
        <bgColor indexed="64"/>
      </patternFill>
    </fill>
    <fill>
      <patternFill patternType="solid">
        <fgColor theme="9" tint="0.59999389629810485"/>
        <bgColor indexed="64"/>
      </patternFill>
    </fill>
    <fill>
      <patternFill patternType="solid">
        <fgColor rgb="FFFCE4D6"/>
        <bgColor rgb="FF000000"/>
      </patternFill>
    </fill>
    <fill>
      <patternFill patternType="solid">
        <fgColor rgb="FFFFC9C0"/>
        <bgColor indexed="64"/>
      </patternFill>
    </fill>
    <fill>
      <patternFill patternType="solid">
        <fgColor rgb="FFFFEB9C"/>
        <bgColor indexed="64"/>
      </patternFill>
    </fill>
    <fill>
      <patternFill patternType="solid">
        <fgColor rgb="FFFFC7CE"/>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B8B383"/>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E1F2"/>
        <bgColor indexed="64"/>
      </patternFill>
    </fill>
    <fill>
      <patternFill patternType="solid">
        <fgColor rgb="FFFFF2CC"/>
        <bgColor indexed="64"/>
      </patternFill>
    </fill>
    <fill>
      <patternFill patternType="solid">
        <fgColor theme="5" tint="0.79998168889431442"/>
        <bgColor rgb="FF000000"/>
      </patternFill>
    </fill>
    <fill>
      <patternFill patternType="solid">
        <fgColor theme="7" tint="0.79998168889431442"/>
        <bgColor rgb="FF000000"/>
      </patternFill>
    </fill>
    <fill>
      <patternFill patternType="solid">
        <fgColor rgb="FFBDB662"/>
        <bgColor indexed="64"/>
      </patternFill>
    </fill>
    <fill>
      <patternFill patternType="solid">
        <fgColor rgb="FF898560"/>
        <bgColor indexed="64"/>
      </patternFill>
    </fill>
    <fill>
      <patternFill patternType="solid">
        <fgColor rgb="FF8EFA00"/>
        <bgColor indexed="64"/>
      </patternFill>
    </fill>
    <fill>
      <patternFill patternType="solid">
        <fgColor rgb="FFFFF3CC"/>
        <bgColor indexed="64"/>
      </patternFill>
    </fill>
    <fill>
      <patternFill patternType="solid">
        <fgColor rgb="FFC6EFCE"/>
        <bgColor rgb="FF000000"/>
      </patternFill>
    </fill>
    <fill>
      <patternFill patternType="solid">
        <fgColor rgb="FFC7EFCE"/>
        <bgColor rgb="FF000000"/>
      </patternFill>
    </fill>
    <fill>
      <patternFill patternType="solid">
        <fgColor rgb="FFFF7E79"/>
        <bgColor rgb="FF000000"/>
      </patternFill>
    </fill>
    <fill>
      <patternFill patternType="solid">
        <fgColor theme="8"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C9C9C9"/>
        <bgColor indexed="64"/>
      </patternFill>
    </fill>
    <fill>
      <patternFill patternType="solid">
        <fgColor theme="2" tint="-9.9978637043366805E-2"/>
        <bgColor indexed="64"/>
      </patternFill>
    </fill>
    <fill>
      <patternFill patternType="solid">
        <fgColor rgb="FFBDB662"/>
        <bgColor rgb="FF000000"/>
      </patternFill>
    </fill>
    <fill>
      <patternFill patternType="solid">
        <fgColor rgb="FFFFE699"/>
        <bgColor indexed="64"/>
      </patternFill>
    </fill>
    <fill>
      <patternFill patternType="solid">
        <fgColor rgb="FFFFEB9C"/>
        <bgColor rgb="FF000000"/>
      </patternFill>
    </fill>
  </fills>
  <borders count="94">
    <border>
      <left/>
      <right/>
      <top/>
      <bottom/>
      <diagonal/>
    </border>
    <border>
      <left style="dashed">
        <color theme="0" tint="-0.14999847407452621"/>
      </left>
      <right style="dashed">
        <color theme="0" tint="-0.14999847407452621"/>
      </right>
      <top style="dashed">
        <color theme="0" tint="-0.14999847407452621"/>
      </top>
      <bottom style="dashed">
        <color theme="0" tint="-0.14999847407452621"/>
      </bottom>
      <diagonal/>
    </border>
    <border>
      <left style="dashed">
        <color theme="0" tint="-0.14999847407452621"/>
      </left>
      <right style="dashed">
        <color theme="0" tint="-0.14999847407452621"/>
      </right>
      <top/>
      <bottom style="dashed">
        <color theme="0" tint="-0.1499984740745262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hair">
        <color indexed="64"/>
      </left>
      <right style="hair">
        <color indexed="64"/>
      </right>
      <top style="hair">
        <color indexed="64"/>
      </top>
      <bottom style="hair">
        <color indexed="64"/>
      </bottom>
      <diagonal/>
    </border>
    <border>
      <left style="hair">
        <color theme="1"/>
      </left>
      <right style="hair">
        <color theme="1"/>
      </right>
      <top/>
      <bottom style="hair">
        <color theme="1"/>
      </bottom>
      <diagonal/>
    </border>
    <border>
      <left style="hair">
        <color theme="1"/>
      </left>
      <right style="hair">
        <color theme="1"/>
      </right>
      <top style="hair">
        <color theme="1"/>
      </top>
      <bottom style="hair">
        <color theme="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top style="medium">
        <color indexed="64"/>
      </top>
      <bottom style="mediumDashed">
        <color indexed="64"/>
      </bottom>
      <diagonal/>
    </border>
    <border>
      <left style="thin">
        <color indexed="64"/>
      </left>
      <right/>
      <top/>
      <bottom/>
      <diagonal/>
    </border>
    <border>
      <left/>
      <right/>
      <top/>
      <bottom style="mediumDashed">
        <color indexed="64"/>
      </bottom>
      <diagonal/>
    </border>
    <border>
      <left/>
      <right/>
      <top/>
      <bottom style="hair">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hair">
        <color indexed="64"/>
      </left>
      <right style="medium">
        <color indexed="64"/>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hair">
        <color indexed="64"/>
      </left>
      <right/>
      <top/>
      <bottom style="hair">
        <color indexed="64"/>
      </bottom>
      <diagonal/>
    </border>
    <border>
      <left style="hair">
        <color indexed="64"/>
      </left>
      <right/>
      <top style="hair">
        <color indexed="64"/>
      </top>
      <bottom/>
      <diagonal/>
    </border>
    <border>
      <left/>
      <right style="medium">
        <color indexed="64"/>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medium">
        <color indexed="64"/>
      </right>
      <top/>
      <bottom style="medium">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top/>
      <bottom style="dotted">
        <color indexed="64"/>
      </bottom>
      <diagonal/>
    </border>
    <border>
      <left style="thin">
        <color theme="0"/>
      </left>
      <right style="thin">
        <color theme="0"/>
      </right>
      <top style="thin">
        <color theme="0"/>
      </top>
      <bottom style="thin">
        <color theme="0"/>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style="hair">
        <color indexed="64"/>
      </right>
      <top/>
      <bottom/>
      <diagonal/>
    </border>
    <border>
      <left/>
      <right style="hair">
        <color indexed="64"/>
      </right>
      <top style="medium">
        <color indexed="64"/>
      </top>
      <bottom style="hair">
        <color indexed="64"/>
      </bottom>
      <diagonal/>
    </border>
    <border>
      <left/>
      <right style="hair">
        <color indexed="64"/>
      </right>
      <top style="hair">
        <color indexed="64"/>
      </top>
      <bottom style="medium">
        <color indexed="64"/>
      </bottom>
      <diagonal/>
    </border>
    <border>
      <left/>
      <right style="hair">
        <color indexed="64"/>
      </right>
      <top style="hair">
        <color indexed="64"/>
      </top>
      <bottom/>
      <diagonal/>
    </border>
    <border>
      <left style="hair">
        <color indexed="64"/>
      </left>
      <right/>
      <top/>
      <bottom/>
      <diagonal/>
    </border>
    <border>
      <left style="hair">
        <color indexed="64"/>
      </left>
      <right/>
      <top/>
      <bottom style="medium">
        <color indexed="64"/>
      </bottom>
      <diagonal/>
    </border>
    <border>
      <left/>
      <right style="hair">
        <color indexed="64"/>
      </right>
      <top/>
      <bottom style="medium">
        <color indexed="64"/>
      </bottom>
      <diagonal/>
    </border>
    <border>
      <left style="hair">
        <color indexed="64"/>
      </left>
      <right/>
      <top style="medium">
        <color indexed="64"/>
      </top>
      <bottom/>
      <diagonal/>
    </border>
    <border>
      <left/>
      <right style="hair">
        <color indexed="64"/>
      </right>
      <top style="medium">
        <color indexed="64"/>
      </top>
      <bottom/>
      <diagonal/>
    </border>
    <border>
      <left/>
      <right style="medium">
        <color indexed="64"/>
      </right>
      <top style="hair">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1" tint="0.34998626667073579"/>
      </top>
      <bottom/>
      <diagonal/>
    </border>
    <border>
      <left/>
      <right style="thin">
        <color theme="1" tint="0.34998626667073579"/>
      </right>
      <top/>
      <bottom style="thin">
        <color theme="1" tint="0.34998626667073579"/>
      </bottom>
      <diagonal/>
    </border>
    <border>
      <left style="thin">
        <color indexed="11"/>
      </left>
      <right/>
      <top/>
      <bottom/>
      <diagonal/>
    </border>
    <border>
      <left style="thin">
        <color rgb="FF595959"/>
      </left>
      <right style="thin">
        <color rgb="FF595959"/>
      </right>
      <top style="thin">
        <color rgb="FF595959"/>
      </top>
      <bottom style="thin">
        <color rgb="FF595959"/>
      </bottom>
      <diagonal/>
    </border>
    <border>
      <left/>
      <right/>
      <top style="dotted">
        <color indexed="64"/>
      </top>
      <bottom style="dotted">
        <color indexed="64"/>
      </bottom>
      <diagonal/>
    </border>
    <border>
      <left style="dotted">
        <color rgb="FFD9DADA"/>
      </left>
      <right style="dotted">
        <color rgb="FFD9DADA"/>
      </right>
      <top style="dotted">
        <color rgb="FFD9DADA"/>
      </top>
      <bottom style="dotted">
        <color rgb="FFD9DADA"/>
      </bottom>
      <diagonal/>
    </border>
    <border>
      <left/>
      <right/>
      <top/>
      <bottom style="dotted">
        <color rgb="FFD9DADA"/>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dashed">
        <color rgb="FFD9D9D9"/>
      </left>
      <right style="dashed">
        <color rgb="FFD9D9D9"/>
      </right>
      <top/>
      <bottom style="dashed">
        <color rgb="FFD9D9D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rgb="FF595959"/>
      </left>
      <right/>
      <top style="thin">
        <color rgb="FF595959"/>
      </top>
      <bottom style="thin">
        <color rgb="FF595959"/>
      </bottom>
      <diagonal/>
    </border>
    <border>
      <left style="dashed">
        <color rgb="FFD9D9D9"/>
      </left>
      <right style="dashed">
        <color rgb="FFD9D9D9"/>
      </right>
      <top style="dashed">
        <color rgb="FFD9D9D9"/>
      </top>
      <bottom style="dashed">
        <color rgb="FFD9D9D9"/>
      </bottom>
      <diagonal/>
    </border>
    <border>
      <left/>
      <right/>
      <top/>
      <bottom style="thin">
        <color theme="1" tint="0.34998626667073579"/>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top style="dotted">
        <color indexed="64"/>
      </top>
      <bottom/>
      <diagonal/>
    </border>
  </borders>
  <cellStyleXfs count="2">
    <xf numFmtId="0" fontId="0" fillId="0" borderId="0"/>
    <xf numFmtId="9" fontId="26" fillId="0" borderId="0" applyFont="0" applyFill="0" applyBorder="0" applyAlignment="0" applyProtection="0"/>
  </cellStyleXfs>
  <cellXfs count="1062">
    <xf numFmtId="0" fontId="0" fillId="0" borderId="0" xfId="0"/>
    <xf numFmtId="0" fontId="1" fillId="0" borderId="0" xfId="0" applyFont="1"/>
    <xf numFmtId="49" fontId="1" fillId="0" borderId="0" xfId="0" applyNumberFormat="1"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166" fontId="1" fillId="0" borderId="0" xfId="0" applyNumberFormat="1" applyFont="1" applyAlignment="1">
      <alignment horizontal="center" vertical="center"/>
    </xf>
    <xf numFmtId="166" fontId="1" fillId="0" borderId="0" xfId="0" applyNumberFormat="1" applyFont="1"/>
    <xf numFmtId="0" fontId="3" fillId="3" borderId="0" xfId="0" applyFont="1" applyFill="1" applyAlignment="1">
      <alignment horizontal="center" vertical="center"/>
    </xf>
    <xf numFmtId="166" fontId="1" fillId="3" borderId="0" xfId="0" applyNumberFormat="1" applyFont="1" applyFill="1" applyAlignment="1">
      <alignment horizontal="center" vertical="center"/>
    </xf>
    <xf numFmtId="0" fontId="1" fillId="3" borderId="0" xfId="0" applyFont="1" applyFill="1" applyAlignment="1">
      <alignment horizontal="center" vertical="center"/>
    </xf>
    <xf numFmtId="0" fontId="1" fillId="3" borderId="0" xfId="0" applyFont="1" applyFill="1"/>
    <xf numFmtId="166" fontId="1" fillId="3" borderId="0" xfId="0" applyNumberFormat="1" applyFont="1" applyFill="1"/>
    <xf numFmtId="49" fontId="1" fillId="3" borderId="0" xfId="0" applyNumberFormat="1" applyFont="1" applyFill="1" applyAlignment="1">
      <alignment horizontal="center" vertical="center"/>
    </xf>
    <xf numFmtId="0" fontId="2" fillId="3" borderId="0" xfId="0" applyFont="1" applyFill="1" applyAlignment="1">
      <alignment vertical="center"/>
    </xf>
    <xf numFmtId="0" fontId="2" fillId="3" borderId="0" xfId="0" applyFont="1" applyFill="1"/>
    <xf numFmtId="166" fontId="4" fillId="2" borderId="4" xfId="0" applyNumberFormat="1"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1" xfId="0" applyNumberFormat="1" applyFont="1" applyFill="1" applyBorder="1" applyAlignment="1">
      <alignment horizontal="center" vertical="center"/>
    </xf>
    <xf numFmtId="166" fontId="5" fillId="3" borderId="0" xfId="0" applyNumberFormat="1" applyFont="1" applyFill="1" applyAlignment="1">
      <alignment horizontal="left" vertical="center"/>
    </xf>
    <xf numFmtId="166" fontId="6" fillId="3" borderId="0" xfId="0" applyNumberFormat="1" applyFont="1" applyFill="1" applyAlignment="1">
      <alignment horizontal="right" vertical="center"/>
    </xf>
    <xf numFmtId="0" fontId="1" fillId="3" borderId="0" xfId="0" applyFont="1" applyFill="1" applyAlignment="1">
      <alignment vertical="center"/>
    </xf>
    <xf numFmtId="166" fontId="1" fillId="3" borderId="0" xfId="0" applyNumberFormat="1" applyFont="1" applyFill="1" applyAlignment="1">
      <alignment vertical="center"/>
    </xf>
    <xf numFmtId="0" fontId="0" fillId="3" borderId="0" xfId="0" applyFill="1"/>
    <xf numFmtId="0" fontId="0" fillId="3" borderId="0" xfId="0" applyFill="1" applyAlignment="1">
      <alignment horizontal="center" vertical="center"/>
    </xf>
    <xf numFmtId="0" fontId="6" fillId="3" borderId="0" xfId="0" applyFont="1" applyFill="1" applyAlignment="1">
      <alignment horizontal="left" vertical="center"/>
    </xf>
    <xf numFmtId="0" fontId="11" fillId="3" borderId="0" xfId="0" applyFont="1" applyFill="1" applyAlignment="1">
      <alignment horizontal="center" vertical="center"/>
    </xf>
    <xf numFmtId="0" fontId="11" fillId="3" borderId="0" xfId="0" applyFont="1" applyFill="1" applyAlignment="1">
      <alignment horizontal="center"/>
    </xf>
    <xf numFmtId="0" fontId="10" fillId="3" borderId="0" xfId="0" applyFont="1" applyFill="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165" fontId="12" fillId="2" borderId="4" xfId="0" applyNumberFormat="1" applyFont="1" applyFill="1" applyBorder="1" applyAlignment="1">
      <alignment horizontal="center" vertical="center"/>
    </xf>
    <xf numFmtId="0" fontId="13" fillId="3" borderId="0" xfId="0" applyFont="1" applyFill="1" applyAlignment="1">
      <alignment horizontal="center" vertical="center"/>
    </xf>
    <xf numFmtId="0" fontId="10" fillId="0" borderId="0" xfId="0" applyFont="1" applyAlignment="1">
      <alignment horizontal="center" vertical="center"/>
    </xf>
    <xf numFmtId="14" fontId="6" fillId="3" borderId="7" xfId="0" applyNumberFormat="1" applyFont="1" applyFill="1" applyBorder="1" applyAlignment="1">
      <alignment horizontal="center" vertical="center"/>
    </xf>
    <xf numFmtId="165" fontId="6" fillId="3" borderId="7" xfId="0" applyNumberFormat="1" applyFont="1" applyFill="1" applyBorder="1" applyAlignment="1">
      <alignment horizontal="right"/>
    </xf>
    <xf numFmtId="0" fontId="9" fillId="3" borderId="7" xfId="0" applyFont="1" applyFill="1" applyBorder="1" applyAlignment="1">
      <alignment horizontal="center" vertical="center"/>
    </xf>
    <xf numFmtId="0" fontId="14" fillId="3" borderId="0" xfId="0" applyFont="1" applyFill="1"/>
    <xf numFmtId="0" fontId="14" fillId="3" borderId="0" xfId="0" applyFont="1" applyFill="1" applyAlignment="1">
      <alignment horizontal="center"/>
    </xf>
    <xf numFmtId="0" fontId="15" fillId="3" borderId="0" xfId="0" applyFont="1" applyFill="1" applyAlignment="1">
      <alignment horizontal="center" vertical="center"/>
    </xf>
    <xf numFmtId="165" fontId="15" fillId="3" borderId="0" xfId="0" applyNumberFormat="1" applyFont="1" applyFill="1" applyAlignment="1">
      <alignment horizontal="right"/>
    </xf>
    <xf numFmtId="0" fontId="15" fillId="0" borderId="0" xfId="0" applyFont="1" applyAlignment="1">
      <alignment horizontal="center" vertical="center"/>
    </xf>
    <xf numFmtId="165" fontId="15" fillId="0" borderId="0" xfId="0" applyNumberFormat="1" applyFont="1" applyAlignment="1">
      <alignment horizontal="right"/>
    </xf>
    <xf numFmtId="0" fontId="0" fillId="0" borderId="0" xfId="0" applyAlignment="1">
      <alignment horizontal="center" vertical="center"/>
    </xf>
    <xf numFmtId="0" fontId="0" fillId="0" borderId="6" xfId="0" applyBorder="1"/>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xf numFmtId="0" fontId="0" fillId="0" borderId="17" xfId="0" applyBorder="1" applyAlignment="1">
      <alignment horizontal="center" vertical="center"/>
    </xf>
    <xf numFmtId="0" fontId="0" fillId="0" borderId="18" xfId="0" applyBorder="1"/>
    <xf numFmtId="0" fontId="0" fillId="0" borderId="20" xfId="0" applyBorder="1" applyAlignment="1">
      <alignment horizontal="center" vertical="center"/>
    </xf>
    <xf numFmtId="0" fontId="0" fillId="0" borderId="21" xfId="0" applyBorder="1"/>
    <xf numFmtId="0" fontId="0" fillId="3" borderId="6" xfId="0" applyFill="1" applyBorder="1"/>
    <xf numFmtId="14" fontId="6" fillId="0" borderId="7" xfId="0" applyNumberFormat="1" applyFont="1" applyBorder="1" applyAlignment="1">
      <alignment horizontal="center" vertical="center"/>
    </xf>
    <xf numFmtId="0" fontId="0" fillId="5" borderId="0" xfId="0" applyFill="1"/>
    <xf numFmtId="167" fontId="6" fillId="3" borderId="7" xfId="0" applyNumberFormat="1" applyFont="1" applyFill="1" applyBorder="1" applyAlignment="1">
      <alignment horizontal="center" vertical="center"/>
    </xf>
    <xf numFmtId="167" fontId="0" fillId="3" borderId="0" xfId="0" applyNumberFormat="1" applyFill="1" applyAlignment="1">
      <alignment horizontal="center" vertical="center"/>
    </xf>
    <xf numFmtId="167" fontId="0" fillId="0" borderId="0" xfId="0" applyNumberFormat="1" applyAlignment="1">
      <alignment horizontal="center" vertical="center"/>
    </xf>
    <xf numFmtId="0" fontId="7" fillId="3" borderId="0" xfId="0" applyFont="1" applyFill="1" applyAlignment="1">
      <alignment horizontal="left" vertical="center"/>
    </xf>
    <xf numFmtId="167" fontId="6" fillId="5" borderId="7" xfId="0" applyNumberFormat="1" applyFont="1" applyFill="1" applyBorder="1" applyAlignment="1">
      <alignment horizontal="center" vertical="center"/>
    </xf>
    <xf numFmtId="164" fontId="6" fillId="3" borderId="8" xfId="0" applyNumberFormat="1" applyFont="1" applyFill="1" applyBorder="1" applyAlignment="1">
      <alignment horizontal="center" vertical="center"/>
    </xf>
    <xf numFmtId="164" fontId="6" fillId="3" borderId="7" xfId="0" applyNumberFormat="1" applyFont="1" applyFill="1" applyBorder="1" applyAlignment="1">
      <alignment horizontal="center" vertical="center"/>
    </xf>
    <xf numFmtId="0" fontId="0" fillId="0" borderId="0" xfId="0" applyAlignment="1">
      <alignment horizontal="center"/>
    </xf>
    <xf numFmtId="0" fontId="0" fillId="0" borderId="26" xfId="0" applyBorder="1"/>
    <xf numFmtId="0" fontId="0" fillId="0" borderId="26" xfId="0" applyBorder="1" applyAlignment="1">
      <alignment horizontal="center"/>
    </xf>
    <xf numFmtId="0" fontId="0" fillId="13" borderId="6" xfId="0" applyFill="1" applyBorder="1"/>
    <xf numFmtId="165" fontId="6" fillId="5" borderId="7" xfId="0" applyNumberFormat="1" applyFont="1" applyFill="1" applyBorder="1" applyAlignment="1">
      <alignment horizontal="right"/>
    </xf>
    <xf numFmtId="164" fontId="7" fillId="3" borderId="7" xfId="0" applyNumberFormat="1" applyFont="1" applyFill="1" applyBorder="1" applyAlignment="1">
      <alignment horizontal="center" vertical="center"/>
    </xf>
    <xf numFmtId="0" fontId="16" fillId="0" borderId="6" xfId="0" applyFont="1" applyBorder="1"/>
    <xf numFmtId="0" fontId="0" fillId="5" borderId="15" xfId="0" applyFill="1" applyBorder="1"/>
    <xf numFmtId="0" fontId="0" fillId="5" borderId="21" xfId="0" applyFill="1" applyBorder="1"/>
    <xf numFmtId="0" fontId="0" fillId="5" borderId="6" xfId="0" applyFill="1" applyBorder="1"/>
    <xf numFmtId="0" fontId="0" fillId="5" borderId="18" xfId="0" applyFill="1" applyBorder="1"/>
    <xf numFmtId="0" fontId="0" fillId="10" borderId="0" xfId="0" applyFill="1"/>
    <xf numFmtId="0" fontId="0" fillId="10" borderId="0" xfId="0" applyFill="1" applyAlignment="1">
      <alignment horizontal="center"/>
    </xf>
    <xf numFmtId="0" fontId="0" fillId="15" borderId="0" xfId="0" applyFill="1"/>
    <xf numFmtId="0" fontId="0" fillId="15" borderId="0" xfId="0" applyFill="1" applyAlignment="1">
      <alignment horizontal="center"/>
    </xf>
    <xf numFmtId="0" fontId="14" fillId="15" borderId="0" xfId="0" applyFont="1" applyFill="1"/>
    <xf numFmtId="0" fontId="14" fillId="15" borderId="0" xfId="0" applyFont="1" applyFill="1" applyAlignment="1">
      <alignment horizontal="center"/>
    </xf>
    <xf numFmtId="0" fontId="14" fillId="0" borderId="0" xfId="0" applyFont="1"/>
    <xf numFmtId="0" fontId="14" fillId="0" borderId="0" xfId="0" applyFont="1" applyAlignment="1">
      <alignment horizontal="center"/>
    </xf>
    <xf numFmtId="0" fontId="14" fillId="10" borderId="0" xfId="0" applyFont="1" applyFill="1" applyAlignment="1">
      <alignment horizontal="center"/>
    </xf>
    <xf numFmtId="3" fontId="0" fillId="0" borderId="0" xfId="0" applyNumberFormat="1" applyAlignment="1">
      <alignment horizontal="center" vertical="center"/>
    </xf>
    <xf numFmtId="3" fontId="0" fillId="0" borderId="26" xfId="0" applyNumberFormat="1" applyBorder="1" applyAlignment="1">
      <alignment horizontal="center" vertical="center"/>
    </xf>
    <xf numFmtId="3" fontId="17" fillId="0" borderId="0" xfId="0" applyNumberFormat="1" applyFont="1" applyAlignment="1">
      <alignment horizontal="center" vertical="center"/>
    </xf>
    <xf numFmtId="3" fontId="14" fillId="0" borderId="0" xfId="0" applyNumberFormat="1" applyFont="1" applyAlignment="1">
      <alignment horizontal="center" vertical="center"/>
    </xf>
    <xf numFmtId="1" fontId="0" fillId="0" borderId="0" xfId="0" applyNumberFormat="1" applyAlignment="1">
      <alignment horizontal="center" vertical="center"/>
    </xf>
    <xf numFmtId="1" fontId="0" fillId="0" borderId="26" xfId="0" applyNumberFormat="1" applyBorder="1" applyAlignment="1">
      <alignment horizontal="center" vertical="center"/>
    </xf>
    <xf numFmtId="1" fontId="17" fillId="0" borderId="0" xfId="0" applyNumberFormat="1" applyFont="1" applyAlignment="1">
      <alignment horizontal="center" vertical="center"/>
    </xf>
    <xf numFmtId="1" fontId="14" fillId="0" borderId="0" xfId="0" applyNumberFormat="1" applyFont="1" applyAlignment="1">
      <alignment horizontal="center" vertical="center"/>
    </xf>
    <xf numFmtId="0" fontId="0" fillId="0" borderId="6" xfId="0" applyBorder="1" applyAlignment="1">
      <alignment horizontal="center"/>
    </xf>
    <xf numFmtId="3" fontId="0" fillId="14" borderId="6" xfId="0" applyNumberFormat="1" applyFill="1" applyBorder="1" applyAlignment="1">
      <alignment horizontal="center" vertical="center"/>
    </xf>
    <xf numFmtId="1" fontId="0" fillId="6" borderId="6" xfId="0" applyNumberFormat="1" applyFill="1" applyBorder="1" applyAlignment="1">
      <alignment horizontal="center" vertical="center"/>
    </xf>
    <xf numFmtId="14" fontId="6" fillId="5" borderId="7" xfId="0" applyNumberFormat="1" applyFont="1" applyFill="1" applyBorder="1" applyAlignment="1">
      <alignment horizontal="center" vertical="center"/>
    </xf>
    <xf numFmtId="0" fontId="10" fillId="0" borderId="15" xfId="0" applyFont="1" applyBorder="1"/>
    <xf numFmtId="165" fontId="6" fillId="0" borderId="7" xfId="0" applyNumberFormat="1" applyFont="1" applyBorder="1" applyAlignment="1">
      <alignment horizontal="right"/>
    </xf>
    <xf numFmtId="167" fontId="6" fillId="0" borderId="7" xfId="0" applyNumberFormat="1" applyFont="1" applyBorder="1" applyAlignment="1">
      <alignment horizontal="center" vertical="center"/>
    </xf>
    <xf numFmtId="166" fontId="0" fillId="0" borderId="0" xfId="0" applyNumberFormat="1" applyAlignment="1">
      <alignment horizontal="center"/>
    </xf>
    <xf numFmtId="166" fontId="0" fillId="5" borderId="0" xfId="0" applyNumberFormat="1" applyFill="1"/>
    <xf numFmtId="166" fontId="0" fillId="0" borderId="0" xfId="0" applyNumberFormat="1"/>
    <xf numFmtId="49" fontId="21" fillId="2" borderId="4" xfId="0" applyNumberFormat="1" applyFont="1" applyFill="1" applyBorder="1" applyAlignment="1">
      <alignment horizontal="center" vertical="center"/>
    </xf>
    <xf numFmtId="167" fontId="12" fillId="2" borderId="4" xfId="0" applyNumberFormat="1" applyFont="1" applyFill="1" applyBorder="1" applyAlignment="1">
      <alignment horizontal="center" vertical="center"/>
    </xf>
    <xf numFmtId="0" fontId="17" fillId="3" borderId="0" xfId="0" applyFont="1" applyFill="1" applyAlignment="1">
      <alignment horizontal="left" vertical="center"/>
    </xf>
    <xf numFmtId="0" fontId="17" fillId="0" borderId="0" xfId="0" applyFont="1" applyAlignment="1">
      <alignment horizontal="left" vertical="center"/>
    </xf>
    <xf numFmtId="49" fontId="22" fillId="3" borderId="8" xfId="0" applyNumberFormat="1" applyFont="1" applyFill="1" applyBorder="1" applyAlignment="1">
      <alignment horizontal="center" vertical="center"/>
    </xf>
    <xf numFmtId="49" fontId="23" fillId="3" borderId="0" xfId="0" applyNumberFormat="1" applyFont="1" applyFill="1" applyAlignment="1">
      <alignment horizontal="center" vertical="center"/>
    </xf>
    <xf numFmtId="49" fontId="23" fillId="0" borderId="0" xfId="0" applyNumberFormat="1" applyFont="1" applyAlignment="1">
      <alignment horizontal="center" vertical="center"/>
    </xf>
    <xf numFmtId="0" fontId="24" fillId="3" borderId="0" xfId="0" applyFont="1" applyFill="1" applyAlignment="1">
      <alignment horizontal="left" vertical="center"/>
    </xf>
    <xf numFmtId="166" fontId="24" fillId="3" borderId="0" xfId="0" applyNumberFormat="1" applyFont="1" applyFill="1" applyAlignment="1">
      <alignment horizontal="left" vertical="center"/>
    </xf>
    <xf numFmtId="0" fontId="25" fillId="3" borderId="0" xfId="0" applyFont="1" applyFill="1"/>
    <xf numFmtId="165" fontId="6" fillId="9" borderId="7" xfId="0" applyNumberFormat="1" applyFont="1" applyFill="1" applyBorder="1" applyAlignment="1">
      <alignment horizontal="right"/>
    </xf>
    <xf numFmtId="165" fontId="6" fillId="7" borderId="7" xfId="0" applyNumberFormat="1" applyFont="1" applyFill="1" applyBorder="1" applyAlignment="1">
      <alignment horizontal="right"/>
    </xf>
    <xf numFmtId="164" fontId="6" fillId="9" borderId="7" xfId="0" applyNumberFormat="1" applyFont="1" applyFill="1" applyBorder="1" applyAlignment="1">
      <alignment horizontal="center" vertical="center"/>
    </xf>
    <xf numFmtId="0" fontId="10" fillId="0" borderId="0" xfId="0" applyFont="1"/>
    <xf numFmtId="0" fontId="10" fillId="0" borderId="0" xfId="0" applyFont="1" applyAlignment="1">
      <alignment horizontal="center"/>
    </xf>
    <xf numFmtId="165" fontId="10" fillId="0" borderId="0" xfId="0" applyNumberFormat="1" applyFont="1" applyAlignment="1">
      <alignment horizontal="center"/>
    </xf>
    <xf numFmtId="165" fontId="0" fillId="0" borderId="0" xfId="0" applyNumberFormat="1"/>
    <xf numFmtId="165" fontId="6" fillId="9" borderId="8" xfId="0" applyNumberFormat="1" applyFont="1" applyFill="1" applyBorder="1" applyAlignment="1">
      <alignment horizontal="right"/>
    </xf>
    <xf numFmtId="49" fontId="22" fillId="5" borderId="8" xfId="0" applyNumberFormat="1" applyFont="1" applyFill="1" applyBorder="1" applyAlignment="1">
      <alignment horizontal="center" vertical="center"/>
    </xf>
    <xf numFmtId="0" fontId="9" fillId="5" borderId="7" xfId="0" applyFont="1" applyFill="1" applyBorder="1" applyAlignment="1">
      <alignment horizontal="center" vertical="center"/>
    </xf>
    <xf numFmtId="164" fontId="6" fillId="5" borderId="7" xfId="0" applyNumberFormat="1" applyFont="1" applyFill="1" applyBorder="1" applyAlignment="1">
      <alignment horizontal="center" vertical="center"/>
    </xf>
    <xf numFmtId="0" fontId="14" fillId="5" borderId="0" xfId="0" applyFont="1" applyFill="1"/>
    <xf numFmtId="0" fontId="11" fillId="5" borderId="0" xfId="0" applyFont="1" applyFill="1" applyAlignment="1">
      <alignment horizontal="center"/>
    </xf>
    <xf numFmtId="0" fontId="14" fillId="5" borderId="0" xfId="0" applyFont="1" applyFill="1" applyAlignment="1">
      <alignment horizontal="center"/>
    </xf>
    <xf numFmtId="0" fontId="19" fillId="0" borderId="0" xfId="0" applyFont="1" applyAlignment="1">
      <alignment horizontal="center"/>
    </xf>
    <xf numFmtId="170" fontId="0" fillId="3" borderId="0" xfId="0" applyNumberFormat="1" applyFill="1"/>
    <xf numFmtId="164" fontId="19" fillId="0" borderId="0" xfId="0" applyNumberFormat="1" applyFont="1" applyAlignment="1">
      <alignment horizontal="center"/>
    </xf>
    <xf numFmtId="166" fontId="10" fillId="0" borderId="0" xfId="0" applyNumberFormat="1" applyFont="1" applyAlignment="1">
      <alignment horizontal="center"/>
    </xf>
    <xf numFmtId="0" fontId="0" fillId="0" borderId="49" xfId="0" applyBorder="1"/>
    <xf numFmtId="0" fontId="0" fillId="0" borderId="18" xfId="0" applyBorder="1" applyAlignment="1">
      <alignment horizontal="center"/>
    </xf>
    <xf numFmtId="166" fontId="0" fillId="0" borderId="18" xfId="0" applyNumberFormat="1" applyBorder="1" applyAlignment="1">
      <alignment horizontal="center"/>
    </xf>
    <xf numFmtId="0" fontId="0" fillId="0" borderId="50" xfId="0" applyBorder="1"/>
    <xf numFmtId="166" fontId="0" fillId="0" borderId="6" xfId="0" applyNumberFormat="1" applyBorder="1" applyAlignment="1">
      <alignment horizontal="center"/>
    </xf>
    <xf numFmtId="0" fontId="0" fillId="5" borderId="50" xfId="0" applyFill="1" applyBorder="1"/>
    <xf numFmtId="0" fontId="0" fillId="5" borderId="6" xfId="0" applyFill="1" applyBorder="1" applyAlignment="1">
      <alignment horizontal="center"/>
    </xf>
    <xf numFmtId="166" fontId="0" fillId="5" borderId="6" xfId="0" applyNumberFormat="1" applyFill="1" applyBorder="1" applyAlignment="1">
      <alignment horizontal="center"/>
    </xf>
    <xf numFmtId="0" fontId="0" fillId="5" borderId="49" xfId="0" applyFill="1" applyBorder="1"/>
    <xf numFmtId="0" fontId="0" fillId="5" borderId="18" xfId="0" applyFill="1" applyBorder="1" applyAlignment="1">
      <alignment horizontal="center"/>
    </xf>
    <xf numFmtId="166" fontId="0" fillId="5" borderId="18" xfId="0" applyNumberFormat="1" applyFill="1" applyBorder="1" applyAlignment="1">
      <alignment horizontal="center"/>
    </xf>
    <xf numFmtId="0" fontId="20" fillId="0" borderId="0" xfId="0" applyFont="1" applyAlignment="1">
      <alignment vertical="center"/>
    </xf>
    <xf numFmtId="170" fontId="0" fillId="18" borderId="6" xfId="0" applyNumberFormat="1" applyFill="1" applyBorder="1" applyAlignment="1">
      <alignment horizontal="center" vertical="center"/>
    </xf>
    <xf numFmtId="0" fontId="19" fillId="3" borderId="0" xfId="0" applyFont="1" applyFill="1" applyAlignment="1">
      <alignment vertical="center"/>
    </xf>
    <xf numFmtId="0" fontId="20" fillId="3" borderId="0" xfId="0" applyFont="1" applyFill="1" applyAlignment="1">
      <alignment vertical="center"/>
    </xf>
    <xf numFmtId="170" fontId="0" fillId="3" borderId="6" xfId="0" applyNumberFormat="1" applyFill="1" applyBorder="1" applyAlignment="1">
      <alignment horizontal="center" vertical="center"/>
    </xf>
    <xf numFmtId="166" fontId="27" fillId="3" borderId="0" xfId="0" applyNumberFormat="1" applyFont="1" applyFill="1" applyAlignment="1">
      <alignment horizontal="right" vertical="center"/>
    </xf>
    <xf numFmtId="166" fontId="27" fillId="3" borderId="0" xfId="0" applyNumberFormat="1" applyFont="1" applyFill="1" applyAlignment="1">
      <alignment horizontal="left" vertical="center"/>
    </xf>
    <xf numFmtId="49" fontId="5" fillId="4" borderId="29" xfId="0" applyNumberFormat="1" applyFont="1" applyFill="1" applyBorder="1" applyAlignment="1">
      <alignment horizontal="left" vertical="center"/>
    </xf>
    <xf numFmtId="49" fontId="5" fillId="4" borderId="27" xfId="0" applyNumberFormat="1" applyFont="1" applyFill="1" applyBorder="1" applyAlignment="1">
      <alignment vertical="center"/>
    </xf>
    <xf numFmtId="49" fontId="5" fillId="4" borderId="29" xfId="0" applyNumberFormat="1" applyFont="1" applyFill="1" applyBorder="1" applyAlignment="1">
      <alignment vertical="center"/>
    </xf>
    <xf numFmtId="49" fontId="5" fillId="4" borderId="28" xfId="0" applyNumberFormat="1" applyFont="1" applyFill="1" applyBorder="1" applyAlignment="1">
      <alignment vertical="center"/>
    </xf>
    <xf numFmtId="166" fontId="5" fillId="4" borderId="27" xfId="0" applyNumberFormat="1" applyFont="1" applyFill="1" applyBorder="1" applyAlignment="1">
      <alignment vertical="center"/>
    </xf>
    <xf numFmtId="166" fontId="5" fillId="4" borderId="29" xfId="0" applyNumberFormat="1" applyFont="1" applyFill="1" applyBorder="1" applyAlignment="1">
      <alignment vertical="center"/>
    </xf>
    <xf numFmtId="166" fontId="5" fillId="4" borderId="28" xfId="0" applyNumberFormat="1" applyFont="1" applyFill="1" applyBorder="1" applyAlignment="1">
      <alignment vertical="center"/>
    </xf>
    <xf numFmtId="1" fontId="4" fillId="2" borderId="4" xfId="0" applyNumberFormat="1" applyFont="1" applyFill="1" applyBorder="1" applyAlignment="1">
      <alignment horizontal="center" vertical="center"/>
    </xf>
    <xf numFmtId="166" fontId="7" fillId="3" borderId="0" xfId="0" applyNumberFormat="1" applyFont="1" applyFill="1" applyAlignment="1">
      <alignment horizontal="center" vertical="center"/>
    </xf>
    <xf numFmtId="166" fontId="27" fillId="3" borderId="0" xfId="0" applyNumberFormat="1" applyFont="1" applyFill="1" applyAlignment="1">
      <alignment horizontal="center" vertical="center"/>
    </xf>
    <xf numFmtId="0" fontId="27" fillId="3" borderId="0" xfId="0" applyFont="1" applyFill="1"/>
    <xf numFmtId="166" fontId="28" fillId="3" borderId="52" xfId="0" applyNumberFormat="1" applyFont="1" applyFill="1" applyBorder="1" applyAlignment="1">
      <alignment horizontal="right" vertical="center"/>
    </xf>
    <xf numFmtId="166" fontId="6" fillId="3" borderId="52" xfId="0" applyNumberFormat="1" applyFont="1" applyFill="1" applyBorder="1" applyAlignment="1">
      <alignment horizontal="right" vertical="center"/>
    </xf>
    <xf numFmtId="0" fontId="6" fillId="3" borderId="27" xfId="0" applyFont="1" applyFill="1" applyBorder="1" applyAlignment="1">
      <alignment horizontal="left" vertical="center"/>
    </xf>
    <xf numFmtId="0" fontId="6" fillId="3" borderId="28" xfId="0" applyFont="1" applyFill="1" applyBorder="1" applyAlignment="1">
      <alignment horizontal="left" vertical="center"/>
    </xf>
    <xf numFmtId="0" fontId="1" fillId="3" borderId="0" xfId="0" applyFont="1" applyFill="1" applyAlignment="1">
      <alignment horizontal="right" vertical="center"/>
    </xf>
    <xf numFmtId="0" fontId="30" fillId="0" borderId="0" xfId="0" applyFont="1"/>
    <xf numFmtId="0" fontId="30" fillId="0" borderId="0" xfId="0" applyFont="1" applyAlignment="1">
      <alignment horizontal="center" vertical="center"/>
    </xf>
    <xf numFmtId="0" fontId="30" fillId="3" borderId="0" xfId="0" applyFont="1" applyFill="1"/>
    <xf numFmtId="0" fontId="31" fillId="3" borderId="0" xfId="0" applyFont="1" applyFill="1" applyAlignment="1">
      <alignment horizontal="center" vertical="center"/>
    </xf>
    <xf numFmtId="0" fontId="30" fillId="3" borderId="0" xfId="0" applyFont="1" applyFill="1" applyAlignment="1">
      <alignment horizontal="center" vertical="center"/>
    </xf>
    <xf numFmtId="0" fontId="30" fillId="3" borderId="0" xfId="0" applyFont="1" applyFill="1" applyAlignment="1">
      <alignment vertical="center"/>
    </xf>
    <xf numFmtId="0" fontId="30" fillId="0" borderId="0" xfId="0" applyFont="1" applyAlignment="1">
      <alignment vertical="center"/>
    </xf>
    <xf numFmtId="0" fontId="29" fillId="3" borderId="0" xfId="0" applyFont="1" applyFill="1" applyAlignment="1">
      <alignment horizontal="center" vertical="center"/>
    </xf>
    <xf numFmtId="0" fontId="32" fillId="3" borderId="0" xfId="0" applyFont="1" applyFill="1"/>
    <xf numFmtId="0" fontId="36" fillId="3" borderId="0" xfId="0" applyFont="1" applyFill="1" applyAlignment="1">
      <alignment horizontal="center" vertical="center"/>
    </xf>
    <xf numFmtId="0" fontId="36" fillId="0" borderId="0" xfId="0" applyFont="1" applyAlignment="1">
      <alignment horizontal="center" vertical="center"/>
    </xf>
    <xf numFmtId="0" fontId="34" fillId="3" borderId="0" xfId="0" applyFont="1" applyFill="1"/>
    <xf numFmtId="0" fontId="40" fillId="3" borderId="0" xfId="0" applyFont="1" applyFill="1" applyAlignment="1">
      <alignment horizontal="center" vertical="center"/>
    </xf>
    <xf numFmtId="0" fontId="30" fillId="3" borderId="30" xfId="0" applyFont="1" applyFill="1" applyBorder="1"/>
    <xf numFmtId="0" fontId="39" fillId="3" borderId="32" xfId="0" applyFont="1" applyFill="1" applyBorder="1" applyAlignment="1">
      <alignment horizontal="center" vertical="center"/>
    </xf>
    <xf numFmtId="0" fontId="39" fillId="3" borderId="33" xfId="0" applyFont="1" applyFill="1" applyBorder="1" applyAlignment="1">
      <alignment horizontal="center" vertical="center"/>
    </xf>
    <xf numFmtId="0" fontId="39" fillId="3" borderId="0" xfId="0" applyFont="1" applyFill="1" applyAlignment="1">
      <alignment horizontal="center" vertical="center"/>
    </xf>
    <xf numFmtId="0" fontId="36" fillId="3" borderId="0" xfId="0" applyFont="1" applyFill="1"/>
    <xf numFmtId="166" fontId="36" fillId="3" borderId="0" xfId="0" applyNumberFormat="1" applyFont="1" applyFill="1"/>
    <xf numFmtId="0" fontId="33" fillId="3" borderId="0" xfId="0" applyFont="1" applyFill="1"/>
    <xf numFmtId="0" fontId="31" fillId="3" borderId="34" xfId="0" applyFont="1" applyFill="1" applyBorder="1" applyAlignment="1">
      <alignment vertical="center"/>
    </xf>
    <xf numFmtId="0" fontId="31" fillId="3" borderId="0" xfId="0" applyFont="1" applyFill="1" applyAlignment="1">
      <alignment vertical="center"/>
    </xf>
    <xf numFmtId="166" fontId="31" fillId="3" borderId="34" xfId="0" applyNumberFormat="1" applyFont="1" applyFill="1" applyBorder="1" applyAlignment="1">
      <alignment vertical="center"/>
    </xf>
    <xf numFmtId="166" fontId="31" fillId="3" borderId="0" xfId="0" applyNumberFormat="1" applyFont="1" applyFill="1" applyAlignment="1">
      <alignment vertical="center"/>
    </xf>
    <xf numFmtId="0" fontId="38" fillId="3" borderId="0" xfId="0" applyFont="1" applyFill="1"/>
    <xf numFmtId="166" fontId="41" fillId="3" borderId="0" xfId="0" applyNumberFormat="1" applyFont="1" applyFill="1" applyAlignment="1">
      <alignment horizontal="center" vertical="center"/>
    </xf>
    <xf numFmtId="0" fontId="35" fillId="3" borderId="0" xfId="0" applyFont="1" applyFill="1" applyAlignment="1">
      <alignment vertical="center"/>
    </xf>
    <xf numFmtId="165" fontId="35" fillId="3" borderId="0" xfId="0" applyNumberFormat="1" applyFont="1" applyFill="1" applyAlignment="1">
      <alignment vertical="center"/>
    </xf>
    <xf numFmtId="165" fontId="36" fillId="3" borderId="0" xfId="0" applyNumberFormat="1" applyFont="1" applyFill="1"/>
    <xf numFmtId="165" fontId="34" fillId="3" borderId="0" xfId="0" applyNumberFormat="1" applyFont="1" applyFill="1"/>
    <xf numFmtId="166" fontId="35" fillId="3" borderId="0" xfId="0" applyNumberFormat="1" applyFont="1" applyFill="1" applyAlignment="1">
      <alignment vertical="center"/>
    </xf>
    <xf numFmtId="171" fontId="36" fillId="3" borderId="0" xfId="1" applyNumberFormat="1" applyFont="1" applyFill="1"/>
    <xf numFmtId="0" fontId="38" fillId="3" borderId="0" xfId="0" applyFont="1" applyFill="1" applyAlignment="1">
      <alignment vertical="center"/>
    </xf>
    <xf numFmtId="0" fontId="36" fillId="5" borderId="0" xfId="0" applyFont="1" applyFill="1" applyAlignment="1">
      <alignment vertical="center"/>
    </xf>
    <xf numFmtId="166" fontId="36" fillId="3" borderId="0" xfId="0" applyNumberFormat="1" applyFont="1" applyFill="1" applyAlignment="1">
      <alignment horizontal="center" vertical="center"/>
    </xf>
    <xf numFmtId="0" fontId="31" fillId="3" borderId="36" xfId="0" applyFont="1" applyFill="1" applyBorder="1" applyAlignment="1">
      <alignment vertical="center"/>
    </xf>
    <xf numFmtId="165" fontId="31" fillId="3" borderId="36" xfId="0" applyNumberFormat="1" applyFont="1" applyFill="1" applyBorder="1" applyAlignment="1">
      <alignment vertical="center"/>
    </xf>
    <xf numFmtId="0" fontId="35" fillId="3" borderId="0" xfId="0" applyFont="1" applyFill="1" applyAlignment="1">
      <alignment horizontal="left" vertical="center"/>
    </xf>
    <xf numFmtId="166" fontId="35" fillId="3" borderId="0" xfId="0" applyNumberFormat="1" applyFont="1" applyFill="1" applyAlignment="1">
      <alignment horizontal="right" vertical="center"/>
    </xf>
    <xf numFmtId="0" fontId="41" fillId="3" borderId="0" xfId="0" applyFont="1" applyFill="1" applyAlignment="1">
      <alignment horizontal="left" vertical="center"/>
    </xf>
    <xf numFmtId="0" fontId="43" fillId="3" borderId="0" xfId="0" applyFont="1" applyFill="1"/>
    <xf numFmtId="165" fontId="37" fillId="3" borderId="0" xfId="0" applyNumberFormat="1" applyFont="1" applyFill="1"/>
    <xf numFmtId="166" fontId="37" fillId="3" borderId="0" xfId="0" applyNumberFormat="1" applyFont="1" applyFill="1" applyAlignment="1">
      <alignment horizontal="center" vertical="center"/>
    </xf>
    <xf numFmtId="166" fontId="36" fillId="3" borderId="1" xfId="0" applyNumberFormat="1" applyFont="1" applyFill="1" applyBorder="1" applyAlignment="1">
      <alignment horizontal="center" vertical="center"/>
    </xf>
    <xf numFmtId="1" fontId="36" fillId="3" borderId="1" xfId="0" applyNumberFormat="1" applyFont="1" applyFill="1" applyBorder="1" applyAlignment="1">
      <alignment horizontal="center" vertical="center"/>
    </xf>
    <xf numFmtId="166" fontId="37" fillId="3" borderId="1" xfId="0" applyNumberFormat="1" applyFont="1" applyFill="1" applyBorder="1" applyAlignment="1">
      <alignment vertical="center"/>
    </xf>
    <xf numFmtId="166" fontId="36" fillId="3" borderId="1" xfId="0" applyNumberFormat="1" applyFont="1" applyFill="1" applyBorder="1"/>
    <xf numFmtId="0" fontId="37" fillId="3" borderId="2" xfId="0" applyFont="1" applyFill="1" applyBorder="1" applyAlignment="1">
      <alignment horizontal="center" vertical="center"/>
    </xf>
    <xf numFmtId="0" fontId="36" fillId="6" borderId="27" xfId="0" applyFont="1" applyFill="1" applyBorder="1" applyAlignment="1">
      <alignment horizontal="left" vertical="center"/>
    </xf>
    <xf numFmtId="0" fontId="36" fillId="6" borderId="28" xfId="0" applyFont="1" applyFill="1" applyBorder="1" applyAlignment="1">
      <alignment horizontal="left" vertical="center"/>
    </xf>
    <xf numFmtId="166" fontId="36" fillId="6" borderId="52" xfId="0" applyNumberFormat="1" applyFont="1" applyFill="1" applyBorder="1" applyAlignment="1">
      <alignment horizontal="right" vertical="center"/>
    </xf>
    <xf numFmtId="0" fontId="36" fillId="7" borderId="27" xfId="0" applyFont="1" applyFill="1" applyBorder="1" applyAlignment="1">
      <alignment horizontal="left" vertical="center"/>
    </xf>
    <xf numFmtId="0" fontId="36" fillId="7" borderId="28" xfId="0" applyFont="1" applyFill="1" applyBorder="1" applyAlignment="1">
      <alignment horizontal="left" vertical="center"/>
    </xf>
    <xf numFmtId="166" fontId="36" fillId="7" borderId="52" xfId="0" applyNumberFormat="1" applyFont="1" applyFill="1" applyBorder="1" applyAlignment="1">
      <alignment horizontal="right" vertical="center"/>
    </xf>
    <xf numFmtId="0" fontId="36" fillId="8" borderId="27" xfId="0" applyFont="1" applyFill="1" applyBorder="1" applyAlignment="1">
      <alignment horizontal="left" vertical="center"/>
    </xf>
    <xf numFmtId="0" fontId="36" fillId="8" borderId="28" xfId="0" applyFont="1" applyFill="1" applyBorder="1" applyAlignment="1">
      <alignment horizontal="left" vertical="center"/>
    </xf>
    <xf numFmtId="166" fontId="36" fillId="8" borderId="52" xfId="0" applyNumberFormat="1" applyFont="1" applyFill="1" applyBorder="1" applyAlignment="1">
      <alignment horizontal="right" vertical="center"/>
    </xf>
    <xf numFmtId="0" fontId="36" fillId="9" borderId="27" xfId="0" applyFont="1" applyFill="1" applyBorder="1" applyAlignment="1">
      <alignment horizontal="left" vertical="center"/>
    </xf>
    <xf numFmtId="0" fontId="36" fillId="9" borderId="28" xfId="0" applyFont="1" applyFill="1" applyBorder="1" applyAlignment="1">
      <alignment horizontal="left" vertical="center"/>
    </xf>
    <xf numFmtId="166" fontId="36" fillId="9" borderId="52" xfId="0" applyNumberFormat="1" applyFont="1" applyFill="1" applyBorder="1" applyAlignment="1">
      <alignment horizontal="right" vertical="center"/>
    </xf>
    <xf numFmtId="0" fontId="31" fillId="3" borderId="27" xfId="0" applyFont="1" applyFill="1" applyBorder="1" applyAlignment="1">
      <alignment horizontal="left" vertical="center"/>
    </xf>
    <xf numFmtId="0" fontId="31" fillId="3" borderId="28" xfId="0" applyFont="1" applyFill="1" applyBorder="1" applyAlignment="1">
      <alignment horizontal="left" vertical="center"/>
    </xf>
    <xf numFmtId="166" fontId="31" fillId="0" borderId="52" xfId="0" applyNumberFormat="1" applyFont="1" applyBorder="1" applyAlignment="1">
      <alignment horizontal="right" vertical="center"/>
    </xf>
    <xf numFmtId="166" fontId="42" fillId="8" borderId="52" xfId="0" applyNumberFormat="1" applyFont="1" applyFill="1" applyBorder="1" applyAlignment="1">
      <alignment horizontal="right" vertical="center"/>
    </xf>
    <xf numFmtId="1" fontId="30" fillId="3" borderId="1" xfId="0" applyNumberFormat="1" applyFont="1" applyFill="1" applyBorder="1" applyAlignment="1">
      <alignment horizontal="center" vertical="center"/>
    </xf>
    <xf numFmtId="10" fontId="36" fillId="5" borderId="0" xfId="1" applyNumberFormat="1" applyFont="1" applyFill="1" applyAlignment="1">
      <alignment vertical="center"/>
    </xf>
    <xf numFmtId="165" fontId="31" fillId="3" borderId="34" xfId="0" applyNumberFormat="1" applyFont="1" applyFill="1" applyBorder="1" applyAlignment="1">
      <alignment horizontal="center" vertical="center"/>
    </xf>
    <xf numFmtId="165" fontId="36" fillId="3" borderId="0" xfId="0" applyNumberFormat="1" applyFont="1" applyFill="1" applyAlignment="1">
      <alignment vertical="center"/>
    </xf>
    <xf numFmtId="165" fontId="35" fillId="3" borderId="0" xfId="0" applyNumberFormat="1" applyFont="1" applyFill="1" applyAlignment="1">
      <alignment horizontal="right" vertical="center"/>
    </xf>
    <xf numFmtId="0" fontId="44" fillId="3" borderId="0" xfId="0" applyFont="1" applyFill="1" applyAlignment="1">
      <alignment vertical="center"/>
    </xf>
    <xf numFmtId="167" fontId="44" fillId="3" borderId="0" xfId="0" applyNumberFormat="1" applyFont="1" applyFill="1" applyAlignment="1">
      <alignment horizontal="center" vertical="center"/>
    </xf>
    <xf numFmtId="0" fontId="44" fillId="3" borderId="0" xfId="0" applyFont="1" applyFill="1" applyAlignment="1">
      <alignment horizontal="center" vertical="center"/>
    </xf>
    <xf numFmtId="166" fontId="45" fillId="3" borderId="0" xfId="0" applyNumberFormat="1" applyFont="1" applyFill="1" applyAlignment="1">
      <alignment horizontal="center" vertical="center"/>
    </xf>
    <xf numFmtId="166" fontId="46" fillId="3" borderId="0" xfId="0" applyNumberFormat="1" applyFont="1" applyFill="1" applyAlignment="1">
      <alignment horizontal="center" vertical="center"/>
    </xf>
    <xf numFmtId="166" fontId="44" fillId="3" borderId="0" xfId="0" applyNumberFormat="1" applyFont="1" applyFill="1" applyAlignment="1">
      <alignment horizontal="center" vertical="center"/>
    </xf>
    <xf numFmtId="49" fontId="44" fillId="3" borderId="0" xfId="0" applyNumberFormat="1" applyFont="1" applyFill="1" applyAlignment="1">
      <alignment horizontal="center" vertical="center"/>
    </xf>
    <xf numFmtId="166" fontId="44" fillId="3" borderId="0" xfId="0" applyNumberFormat="1" applyFont="1" applyFill="1"/>
    <xf numFmtId="0" fontId="44" fillId="0" borderId="0" xfId="0" applyFont="1" applyAlignment="1">
      <alignment vertical="center"/>
    </xf>
    <xf numFmtId="166" fontId="49" fillId="3" borderId="0" xfId="0" applyNumberFormat="1" applyFont="1" applyFill="1" applyAlignment="1">
      <alignment horizontal="left" vertical="center"/>
    </xf>
    <xf numFmtId="0" fontId="48" fillId="3" borderId="0" xfId="0" applyFont="1" applyFill="1" applyAlignment="1">
      <alignment horizontal="center" vertical="center"/>
    </xf>
    <xf numFmtId="166" fontId="44" fillId="3" borderId="0" xfId="0" applyNumberFormat="1" applyFont="1" applyFill="1" applyAlignment="1">
      <alignment vertical="center"/>
    </xf>
    <xf numFmtId="166" fontId="47" fillId="3" borderId="37" xfId="0" applyNumberFormat="1" applyFont="1" applyFill="1" applyBorder="1" applyAlignment="1">
      <alignment horizontal="center" vertical="center"/>
    </xf>
    <xf numFmtId="167" fontId="48" fillId="0" borderId="6" xfId="0" applyNumberFormat="1" applyFont="1" applyBorder="1" applyAlignment="1">
      <alignment horizontal="center" vertical="center"/>
    </xf>
    <xf numFmtId="0" fontId="48" fillId="0" borderId="6" xfId="0" applyFont="1" applyBorder="1" applyAlignment="1">
      <alignment horizontal="center" vertical="center"/>
    </xf>
    <xf numFmtId="166" fontId="50" fillId="12" borderId="6" xfId="0" applyNumberFormat="1" applyFont="1" applyFill="1" applyBorder="1" applyAlignment="1">
      <alignment horizontal="center" vertical="center"/>
    </xf>
    <xf numFmtId="166" fontId="51" fillId="11" borderId="6" xfId="0" applyNumberFormat="1" applyFont="1" applyFill="1" applyBorder="1" applyAlignment="1">
      <alignment horizontal="center" vertical="center"/>
    </xf>
    <xf numFmtId="0" fontId="48" fillId="3" borderId="6" xfId="0" applyFont="1" applyFill="1" applyBorder="1" applyAlignment="1">
      <alignment horizontal="center" vertical="center"/>
    </xf>
    <xf numFmtId="49" fontId="48" fillId="3" borderId="6" xfId="0" applyNumberFormat="1" applyFont="1" applyFill="1" applyBorder="1" applyAlignment="1">
      <alignment horizontal="center" vertical="center"/>
    </xf>
    <xf numFmtId="166" fontId="48" fillId="3" borderId="6" xfId="0" applyNumberFormat="1" applyFont="1" applyFill="1" applyBorder="1" applyAlignment="1">
      <alignment horizontal="center" vertical="center"/>
    </xf>
    <xf numFmtId="0" fontId="48" fillId="0" borderId="0" xfId="0" applyFont="1" applyAlignment="1">
      <alignment horizontal="center" vertical="center"/>
    </xf>
    <xf numFmtId="167" fontId="44" fillId="0" borderId="6" xfId="0" applyNumberFormat="1" applyFont="1" applyBorder="1" applyAlignment="1">
      <alignment horizontal="center" vertical="center"/>
    </xf>
    <xf numFmtId="0" fontId="44" fillId="3" borderId="6" xfId="0" applyFont="1" applyFill="1" applyBorder="1" applyAlignment="1">
      <alignment horizontal="center" vertical="center"/>
    </xf>
    <xf numFmtId="0" fontId="44" fillId="3" borderId="6" xfId="0" applyFont="1" applyFill="1" applyBorder="1" applyAlignment="1">
      <alignment vertical="center"/>
    </xf>
    <xf numFmtId="166" fontId="45" fillId="12" borderId="6" xfId="0" applyNumberFormat="1" applyFont="1" applyFill="1" applyBorder="1" applyAlignment="1">
      <alignment horizontal="right" vertical="center"/>
    </xf>
    <xf numFmtId="166" fontId="46" fillId="11" borderId="6" xfId="0" applyNumberFormat="1" applyFont="1" applyFill="1" applyBorder="1" applyAlignment="1">
      <alignment horizontal="right" vertical="center"/>
    </xf>
    <xf numFmtId="167" fontId="52" fillId="3" borderId="6" xfId="0" applyNumberFormat="1" applyFont="1" applyFill="1" applyBorder="1" applyAlignment="1">
      <alignment horizontal="center" vertical="center"/>
    </xf>
    <xf numFmtId="49" fontId="52" fillId="3" borderId="6" xfId="0" applyNumberFormat="1" applyFont="1" applyFill="1" applyBorder="1" applyAlignment="1">
      <alignment horizontal="center" vertical="center"/>
    </xf>
    <xf numFmtId="49" fontId="44" fillId="5" borderId="6" xfId="0" applyNumberFormat="1" applyFont="1" applyFill="1" applyBorder="1" applyAlignment="1">
      <alignment horizontal="center" vertical="center"/>
    </xf>
    <xf numFmtId="0" fontId="44" fillId="0" borderId="6" xfId="0" applyFont="1" applyBorder="1" applyAlignment="1">
      <alignment vertical="center"/>
    </xf>
    <xf numFmtId="49" fontId="52" fillId="5" borderId="6" xfId="0" applyNumberFormat="1" applyFont="1" applyFill="1" applyBorder="1" applyAlignment="1">
      <alignment horizontal="center" vertical="center"/>
    </xf>
    <xf numFmtId="49" fontId="44" fillId="0" borderId="6" xfId="0" applyNumberFormat="1" applyFont="1" applyBorder="1" applyAlignment="1">
      <alignment horizontal="center" vertical="center"/>
    </xf>
    <xf numFmtId="49" fontId="53" fillId="3" borderId="6" xfId="0" applyNumberFormat="1" applyFont="1" applyFill="1" applyBorder="1" applyAlignment="1">
      <alignment horizontal="center" vertical="center"/>
    </xf>
    <xf numFmtId="49" fontId="44" fillId="3" borderId="6" xfId="0" applyNumberFormat="1" applyFont="1" applyFill="1" applyBorder="1" applyAlignment="1">
      <alignment horizontal="center" vertical="center"/>
    </xf>
    <xf numFmtId="49" fontId="55" fillId="3" borderId="6" xfId="0" applyNumberFormat="1" applyFont="1" applyFill="1" applyBorder="1" applyAlignment="1">
      <alignment horizontal="center" vertical="center"/>
    </xf>
    <xf numFmtId="0" fontId="44" fillId="0" borderId="0" xfId="0" applyFont="1" applyAlignment="1">
      <alignment horizontal="center" vertical="center"/>
    </xf>
    <xf numFmtId="167" fontId="44" fillId="46" borderId="6" xfId="0" applyNumberFormat="1" applyFont="1" applyFill="1" applyBorder="1" applyAlignment="1">
      <alignment horizontal="center" vertical="center"/>
    </xf>
    <xf numFmtId="166" fontId="45" fillId="12" borderId="0" xfId="0" applyNumberFormat="1" applyFont="1" applyFill="1" applyAlignment="1">
      <alignment horizontal="right" vertical="center"/>
    </xf>
    <xf numFmtId="166" fontId="46" fillId="11" borderId="0" xfId="0" applyNumberFormat="1" applyFont="1" applyFill="1" applyAlignment="1">
      <alignment horizontal="right" vertical="center"/>
    </xf>
    <xf numFmtId="167" fontId="44" fillId="0" borderId="0" xfId="0" applyNumberFormat="1" applyFont="1" applyAlignment="1">
      <alignment horizontal="center" vertical="center"/>
    </xf>
    <xf numFmtId="0" fontId="44" fillId="3" borderId="0" xfId="0" applyFont="1" applyFill="1"/>
    <xf numFmtId="0" fontId="44" fillId="0" borderId="0" xfId="0" applyFont="1"/>
    <xf numFmtId="0" fontId="52" fillId="3" borderId="0" xfId="0" applyFont="1" applyFill="1" applyAlignment="1">
      <alignment horizontal="left" vertical="center"/>
    </xf>
    <xf numFmtId="0" fontId="47" fillId="3" borderId="37" xfId="0" applyFont="1" applyFill="1" applyBorder="1" applyAlignment="1">
      <alignment horizontal="center" vertical="center"/>
    </xf>
    <xf numFmtId="49" fontId="47" fillId="3" borderId="37" xfId="0" applyNumberFormat="1" applyFont="1" applyFill="1" applyBorder="1" applyAlignment="1">
      <alignment horizontal="center" vertical="center"/>
    </xf>
    <xf numFmtId="49" fontId="48" fillId="0" borderId="6" xfId="0" applyNumberFormat="1" applyFont="1" applyBorder="1" applyAlignment="1">
      <alignment horizontal="center" vertical="center"/>
    </xf>
    <xf numFmtId="49" fontId="58" fillId="3" borderId="0" xfId="0" applyNumberFormat="1" applyFont="1" applyFill="1" applyAlignment="1">
      <alignment horizontal="center" vertical="center" textRotation="90"/>
    </xf>
    <xf numFmtId="0" fontId="52" fillId="3" borderId="0" xfId="0" applyFont="1" applyFill="1" applyAlignment="1">
      <alignment horizontal="center" vertical="center"/>
    </xf>
    <xf numFmtId="49" fontId="52" fillId="3" borderId="0" xfId="0" applyNumberFormat="1" applyFont="1" applyFill="1" applyAlignment="1">
      <alignment horizontal="center" vertical="center"/>
    </xf>
    <xf numFmtId="0" fontId="59" fillId="3" borderId="0" xfId="0" applyFont="1" applyFill="1" applyAlignment="1">
      <alignment horizontal="left" vertical="center"/>
    </xf>
    <xf numFmtId="0" fontId="61" fillId="2" borderId="4" xfId="0" applyFont="1" applyFill="1" applyBorder="1" applyAlignment="1">
      <alignment horizontal="center" vertical="center"/>
    </xf>
    <xf numFmtId="0" fontId="52" fillId="0" borderId="0" xfId="0" applyFont="1" applyAlignment="1">
      <alignment horizontal="center" vertical="center"/>
    </xf>
    <xf numFmtId="170" fontId="44" fillId="3" borderId="0" xfId="0" applyNumberFormat="1" applyFont="1" applyFill="1" applyAlignment="1">
      <alignment horizontal="center" vertical="center"/>
    </xf>
    <xf numFmtId="169" fontId="44" fillId="3" borderId="0" xfId="0" applyNumberFormat="1" applyFont="1" applyFill="1" applyAlignment="1">
      <alignment horizontal="center" vertical="center"/>
    </xf>
    <xf numFmtId="169" fontId="44" fillId="3" borderId="0" xfId="0" applyNumberFormat="1" applyFont="1" applyFill="1"/>
    <xf numFmtId="169" fontId="59" fillId="3" borderId="0" xfId="0" applyNumberFormat="1" applyFont="1" applyFill="1"/>
    <xf numFmtId="169" fontId="59" fillId="3" borderId="0" xfId="0" applyNumberFormat="1" applyFont="1" applyFill="1" applyAlignment="1">
      <alignment horizontal="center" vertical="center"/>
    </xf>
    <xf numFmtId="170" fontId="59" fillId="15" borderId="51" xfId="0" applyNumberFormat="1" applyFont="1" applyFill="1" applyBorder="1" applyAlignment="1">
      <alignment horizontal="center" vertical="center"/>
    </xf>
    <xf numFmtId="170" fontId="59" fillId="44" borderId="51" xfId="0" applyNumberFormat="1" applyFont="1" applyFill="1" applyBorder="1" applyAlignment="1">
      <alignment horizontal="center" vertical="center"/>
    </xf>
    <xf numFmtId="170" fontId="59" fillId="3" borderId="0" xfId="0" applyNumberFormat="1" applyFont="1" applyFill="1" applyAlignment="1">
      <alignment horizontal="center" vertical="center"/>
    </xf>
    <xf numFmtId="170" fontId="59" fillId="22" borderId="51" xfId="0" applyNumberFormat="1" applyFont="1" applyFill="1" applyBorder="1" applyAlignment="1">
      <alignment horizontal="center" vertical="center"/>
    </xf>
    <xf numFmtId="170" fontId="59" fillId="37" borderId="51" xfId="0" applyNumberFormat="1" applyFont="1" applyFill="1" applyBorder="1" applyAlignment="1">
      <alignment horizontal="center" vertical="center"/>
    </xf>
    <xf numFmtId="170" fontId="59" fillId="45" borderId="51" xfId="0" applyNumberFormat="1" applyFont="1" applyFill="1" applyBorder="1" applyAlignment="1">
      <alignment horizontal="center" vertical="center"/>
    </xf>
    <xf numFmtId="170" fontId="62" fillId="3" borderId="0" xfId="0" applyNumberFormat="1" applyFont="1" applyFill="1" applyAlignment="1">
      <alignment horizontal="center" vertical="center"/>
    </xf>
    <xf numFmtId="0" fontId="62" fillId="3" borderId="0" xfId="0" applyFont="1" applyFill="1" applyAlignment="1">
      <alignment horizontal="left" vertical="center"/>
    </xf>
    <xf numFmtId="170" fontId="59" fillId="3" borderId="51" xfId="0" applyNumberFormat="1" applyFont="1" applyFill="1" applyBorder="1" applyAlignment="1">
      <alignment horizontal="center" vertical="center"/>
    </xf>
    <xf numFmtId="170" fontId="60" fillId="3" borderId="0" xfId="0" applyNumberFormat="1" applyFont="1" applyFill="1" applyAlignment="1">
      <alignment horizontal="center" vertical="center"/>
    </xf>
    <xf numFmtId="170" fontId="59" fillId="3" borderId="51" xfId="0" applyNumberFormat="1" applyFont="1" applyFill="1" applyBorder="1" applyAlignment="1">
      <alignment horizontal="center" vertical="center" wrapText="1"/>
    </xf>
    <xf numFmtId="0" fontId="59" fillId="3" borderId="0" xfId="0" applyFont="1" applyFill="1" applyAlignment="1">
      <alignment horizontal="left"/>
    </xf>
    <xf numFmtId="10" fontId="59" fillId="3" borderId="0" xfId="1" applyNumberFormat="1" applyFont="1" applyFill="1" applyBorder="1" applyAlignment="1">
      <alignment horizontal="center" vertical="center"/>
    </xf>
    <xf numFmtId="0" fontId="59" fillId="3" borderId="0" xfId="0" applyFont="1" applyFill="1"/>
    <xf numFmtId="0" fontId="53" fillId="3" borderId="47" xfId="0" applyFont="1" applyFill="1" applyBorder="1" applyAlignment="1">
      <alignment vertical="center"/>
    </xf>
    <xf numFmtId="166" fontId="63" fillId="13" borderId="47" xfId="0" applyNumberFormat="1" applyFont="1" applyFill="1" applyBorder="1" applyAlignment="1">
      <alignment horizontal="center" vertical="center"/>
    </xf>
    <xf numFmtId="166" fontId="63" fillId="28" borderId="47" xfId="0" applyNumberFormat="1" applyFont="1" applyFill="1" applyBorder="1" applyAlignment="1">
      <alignment horizontal="center" vertical="center"/>
    </xf>
    <xf numFmtId="166" fontId="63" fillId="3" borderId="47" xfId="0" applyNumberFormat="1" applyFont="1" applyFill="1" applyBorder="1" applyAlignment="1">
      <alignment horizontal="center" vertical="center"/>
    </xf>
    <xf numFmtId="166" fontId="64" fillId="3" borderId="47" xfId="0" applyNumberFormat="1" applyFont="1" applyFill="1" applyBorder="1" applyAlignment="1">
      <alignment horizontal="center" vertical="center"/>
    </xf>
    <xf numFmtId="0" fontId="44" fillId="16" borderId="47" xfId="0" applyFont="1" applyFill="1" applyBorder="1"/>
    <xf numFmtId="0" fontId="63" fillId="16" borderId="47" xfId="0" applyFont="1" applyFill="1" applyBorder="1" applyAlignment="1">
      <alignment horizontal="center" vertical="center"/>
    </xf>
    <xf numFmtId="166" fontId="52" fillId="13" borderId="47" xfId="0" applyNumberFormat="1" applyFont="1" applyFill="1" applyBorder="1" applyAlignment="1">
      <alignment horizontal="center" vertical="center"/>
    </xf>
    <xf numFmtId="166" fontId="52" fillId="3" borderId="47" xfId="0" applyNumberFormat="1" applyFont="1" applyFill="1" applyBorder="1" applyAlignment="1">
      <alignment horizontal="center" vertical="center"/>
    </xf>
    <xf numFmtId="10" fontId="52" fillId="13" borderId="47" xfId="1" applyNumberFormat="1" applyFont="1" applyFill="1" applyBorder="1" applyAlignment="1">
      <alignment horizontal="center" vertical="center"/>
    </xf>
    <xf numFmtId="166" fontId="52" fillId="3" borderId="0" xfId="0" applyNumberFormat="1" applyFont="1" applyFill="1" applyAlignment="1">
      <alignment horizontal="center" vertical="center"/>
    </xf>
    <xf numFmtId="0" fontId="65" fillId="3" borderId="0" xfId="0" applyFont="1" applyFill="1" applyAlignment="1">
      <alignment horizontal="center" vertical="center"/>
    </xf>
    <xf numFmtId="166" fontId="63" fillId="30" borderId="47" xfId="0" applyNumberFormat="1" applyFont="1" applyFill="1" applyBorder="1" applyAlignment="1">
      <alignment horizontal="center" vertical="center"/>
    </xf>
    <xf numFmtId="0" fontId="63" fillId="16" borderId="47" xfId="0" applyFont="1" applyFill="1" applyBorder="1"/>
    <xf numFmtId="0" fontId="69" fillId="25" borderId="56" xfId="0" applyFont="1" applyFill="1" applyBorder="1" applyAlignment="1">
      <alignment horizontal="center" vertical="center"/>
    </xf>
    <xf numFmtId="0" fontId="70" fillId="32" borderId="57" xfId="0" applyFont="1" applyFill="1" applyBorder="1" applyAlignment="1">
      <alignment horizontal="center" vertical="center"/>
    </xf>
    <xf numFmtId="0" fontId="70" fillId="19" borderId="57" xfId="0" applyFont="1" applyFill="1" applyBorder="1" applyAlignment="1">
      <alignment horizontal="center" vertical="center"/>
    </xf>
    <xf numFmtId="0" fontId="70" fillId="33" borderId="57" xfId="0" applyFont="1" applyFill="1" applyBorder="1" applyAlignment="1">
      <alignment horizontal="center" vertical="center"/>
    </xf>
    <xf numFmtId="0" fontId="67" fillId="32" borderId="57" xfId="0" applyFont="1" applyFill="1" applyBorder="1" applyAlignment="1">
      <alignment horizontal="center" vertical="center"/>
    </xf>
    <xf numFmtId="0" fontId="69" fillId="48" borderId="57" xfId="0" applyFont="1" applyFill="1" applyBorder="1" applyAlignment="1">
      <alignment horizontal="center" vertical="center"/>
    </xf>
    <xf numFmtId="0" fontId="69" fillId="19" borderId="57" xfId="0" applyFont="1" applyFill="1" applyBorder="1" applyAlignment="1">
      <alignment horizontal="center" vertical="center"/>
    </xf>
    <xf numFmtId="0" fontId="66" fillId="32" borderId="57" xfId="0" applyFont="1" applyFill="1" applyBorder="1" applyAlignment="1">
      <alignment horizontal="center" vertical="center"/>
    </xf>
    <xf numFmtId="0" fontId="70" fillId="20" borderId="57" xfId="0" applyFont="1" applyFill="1" applyBorder="1" applyAlignment="1">
      <alignment horizontal="center" vertical="center"/>
    </xf>
    <xf numFmtId="0" fontId="69" fillId="26" borderId="57" xfId="0" applyFont="1" applyFill="1" applyBorder="1" applyAlignment="1">
      <alignment horizontal="center" vertical="center"/>
    </xf>
    <xf numFmtId="0" fontId="71" fillId="32" borderId="57" xfId="0" applyFont="1" applyFill="1" applyBorder="1" applyAlignment="1">
      <alignment horizontal="center" vertical="center"/>
    </xf>
    <xf numFmtId="0" fontId="69" fillId="47" borderId="57" xfId="0" applyFont="1" applyFill="1" applyBorder="1" applyAlignment="1">
      <alignment horizontal="center" vertical="center"/>
    </xf>
    <xf numFmtId="0" fontId="69" fillId="32" borderId="57" xfId="0" applyFont="1" applyFill="1" applyBorder="1" applyAlignment="1">
      <alignment horizontal="center" vertical="center"/>
    </xf>
    <xf numFmtId="0" fontId="72" fillId="32" borderId="57" xfId="0" applyFont="1" applyFill="1" applyBorder="1" applyAlignment="1">
      <alignment horizontal="center" vertical="center"/>
    </xf>
    <xf numFmtId="0" fontId="72" fillId="19" borderId="57" xfId="0" applyFont="1" applyFill="1" applyBorder="1" applyAlignment="1">
      <alignment horizontal="center" vertical="center"/>
    </xf>
    <xf numFmtId="0" fontId="72" fillId="20" borderId="57" xfId="0" applyFont="1" applyFill="1" applyBorder="1" applyAlignment="1">
      <alignment horizontal="center" vertical="center"/>
    </xf>
    <xf numFmtId="0" fontId="67" fillId="19" borderId="57" xfId="0" applyFont="1" applyFill="1" applyBorder="1" applyAlignment="1">
      <alignment horizontal="center" vertical="center"/>
    </xf>
    <xf numFmtId="0" fontId="67" fillId="23" borderId="57" xfId="0" applyFont="1" applyFill="1" applyBorder="1" applyAlignment="1">
      <alignment horizontal="center" vertical="center"/>
    </xf>
    <xf numFmtId="0" fontId="70" fillId="27" borderId="71" xfId="0" applyFont="1" applyFill="1" applyBorder="1" applyAlignment="1">
      <alignment vertical="center"/>
    </xf>
    <xf numFmtId="0" fontId="70" fillId="27" borderId="0" xfId="0" applyFont="1" applyFill="1" applyAlignment="1">
      <alignment vertical="center"/>
    </xf>
    <xf numFmtId="0" fontId="73" fillId="32" borderId="57" xfId="0" applyFont="1" applyFill="1" applyBorder="1" applyAlignment="1">
      <alignment horizontal="center" vertical="center"/>
    </xf>
    <xf numFmtId="0" fontId="63" fillId="3" borderId="0" xfId="0" applyFont="1" applyFill="1"/>
    <xf numFmtId="0" fontId="66" fillId="3" borderId="0" xfId="0" applyFont="1" applyFill="1"/>
    <xf numFmtId="0" fontId="74" fillId="3" borderId="0" xfId="0" applyFont="1" applyFill="1"/>
    <xf numFmtId="0" fontId="75" fillId="3" borderId="0" xfId="0" applyFont="1" applyFill="1"/>
    <xf numFmtId="0" fontId="65" fillId="3" borderId="0" xfId="0" applyFont="1" applyFill="1"/>
    <xf numFmtId="0" fontId="48" fillId="3" borderId="0" xfId="0" applyFont="1" applyFill="1"/>
    <xf numFmtId="0" fontId="67" fillId="3" borderId="0" xfId="0" applyFont="1" applyFill="1"/>
    <xf numFmtId="0" fontId="76" fillId="3" borderId="0" xfId="0" applyFont="1" applyFill="1" applyAlignment="1">
      <alignment horizontal="right"/>
    </xf>
    <xf numFmtId="0" fontId="76" fillId="3" borderId="0" xfId="0" applyFont="1" applyFill="1"/>
    <xf numFmtId="0" fontId="75" fillId="29" borderId="68" xfId="0" applyFont="1" applyFill="1" applyBorder="1" applyAlignment="1">
      <alignment horizontal="center" vertical="center"/>
    </xf>
    <xf numFmtId="0" fontId="52" fillId="3" borderId="68" xfId="0" applyFont="1" applyFill="1" applyBorder="1" applyAlignment="1">
      <alignment horizontal="left" vertical="center"/>
    </xf>
    <xf numFmtId="0" fontId="52" fillId="3" borderId="68" xfId="0" applyFont="1" applyFill="1" applyBorder="1" applyAlignment="1">
      <alignment horizontal="center" vertical="center"/>
    </xf>
    <xf numFmtId="166" fontId="52" fillId="3" borderId="68" xfId="0" applyNumberFormat="1" applyFont="1" applyFill="1" applyBorder="1" applyAlignment="1">
      <alignment horizontal="right" vertical="center"/>
    </xf>
    <xf numFmtId="0" fontId="52" fillId="3" borderId="0" xfId="0" applyFont="1" applyFill="1" applyAlignment="1">
      <alignment vertical="center"/>
    </xf>
    <xf numFmtId="0" fontId="52" fillId="29" borderId="68" xfId="0" applyFont="1" applyFill="1" applyBorder="1" applyAlignment="1">
      <alignment horizontal="left" vertical="center"/>
    </xf>
    <xf numFmtId="0" fontId="52" fillId="29" borderId="68" xfId="0" applyFont="1" applyFill="1" applyBorder="1" applyAlignment="1">
      <alignment horizontal="center" vertical="center"/>
    </xf>
    <xf numFmtId="166" fontId="52" fillId="29" borderId="68" xfId="0" applyNumberFormat="1" applyFont="1" applyFill="1" applyBorder="1" applyAlignment="1">
      <alignment horizontal="right" vertical="center"/>
    </xf>
    <xf numFmtId="0" fontId="52" fillId="31" borderId="68" xfId="0" applyFont="1" applyFill="1" applyBorder="1" applyAlignment="1">
      <alignment horizontal="left" vertical="center"/>
    </xf>
    <xf numFmtId="0" fontId="59" fillId="3" borderId="69" xfId="0" applyFont="1" applyFill="1" applyBorder="1" applyAlignment="1">
      <alignment horizontal="left" vertical="center"/>
    </xf>
    <xf numFmtId="0" fontId="59" fillId="3" borderId="69" xfId="0" applyFont="1" applyFill="1" applyBorder="1" applyAlignment="1">
      <alignment horizontal="center" vertical="center"/>
    </xf>
    <xf numFmtId="166" fontId="59" fillId="3" borderId="69" xfId="0" applyNumberFormat="1" applyFont="1" applyFill="1" applyBorder="1" applyAlignment="1">
      <alignment horizontal="right" vertical="center"/>
    </xf>
    <xf numFmtId="0" fontId="59" fillId="3" borderId="0" xfId="0" applyFont="1" applyFill="1" applyAlignment="1">
      <alignment vertical="center"/>
    </xf>
    <xf numFmtId="0" fontId="75" fillId="3" borderId="0" xfId="0" applyFont="1" applyFill="1" applyAlignment="1">
      <alignment vertical="center"/>
    </xf>
    <xf numFmtId="166" fontId="75" fillId="3" borderId="0" xfId="0" applyNumberFormat="1" applyFont="1" applyFill="1" applyAlignment="1">
      <alignment vertical="center"/>
    </xf>
    <xf numFmtId="0" fontId="53" fillId="3" borderId="68" xfId="0" applyFont="1" applyFill="1" applyBorder="1" applyAlignment="1">
      <alignment horizontal="center" vertical="center"/>
    </xf>
    <xf numFmtId="166" fontId="52" fillId="3" borderId="68" xfId="0" quotePrefix="1" applyNumberFormat="1" applyFont="1" applyFill="1" applyBorder="1" applyAlignment="1">
      <alignment horizontal="right" vertical="center"/>
    </xf>
    <xf numFmtId="0" fontId="59" fillId="3" borderId="0" xfId="0" applyFont="1" applyFill="1" applyAlignment="1">
      <alignment horizontal="center" vertical="center"/>
    </xf>
    <xf numFmtId="166" fontId="59" fillId="3" borderId="0" xfId="0" applyNumberFormat="1" applyFont="1" applyFill="1" applyAlignment="1">
      <alignment horizontal="right" vertical="center"/>
    </xf>
    <xf numFmtId="0" fontId="71" fillId="29" borderId="68" xfId="0" applyFont="1" applyFill="1" applyBorder="1" applyAlignment="1">
      <alignment horizontal="center" vertical="center"/>
    </xf>
    <xf numFmtId="0" fontId="71" fillId="0" borderId="68" xfId="0" applyFont="1" applyBorder="1" applyAlignment="1">
      <alignment horizontal="center" vertical="center"/>
    </xf>
    <xf numFmtId="0" fontId="52" fillId="3" borderId="0" xfId="0" applyFont="1" applyFill="1"/>
    <xf numFmtId="0" fontId="52" fillId="3" borderId="0" xfId="0" applyFont="1" applyFill="1" applyAlignment="1">
      <alignment horizontal="center"/>
    </xf>
    <xf numFmtId="0" fontId="53" fillId="3" borderId="0" xfId="0" applyFont="1" applyFill="1" applyAlignment="1">
      <alignment horizontal="center"/>
    </xf>
    <xf numFmtId="0" fontId="59" fillId="3" borderId="12" xfId="0" applyFont="1" applyFill="1" applyBorder="1" applyAlignment="1">
      <alignment horizontal="center" vertical="center"/>
    </xf>
    <xf numFmtId="0" fontId="52" fillId="3" borderId="44" xfId="0" applyFont="1" applyFill="1" applyBorder="1"/>
    <xf numFmtId="0" fontId="52" fillId="3" borderId="50" xfId="0" applyFont="1" applyFill="1" applyBorder="1" applyAlignment="1">
      <alignment horizontal="center" vertical="center"/>
    </xf>
    <xf numFmtId="0" fontId="54" fillId="19" borderId="44" xfId="0" applyFont="1" applyFill="1" applyBorder="1"/>
    <xf numFmtId="0" fontId="52" fillId="3" borderId="42" xfId="0" applyFont="1" applyFill="1" applyBorder="1"/>
    <xf numFmtId="0" fontId="59" fillId="3" borderId="20" xfId="0" applyFont="1" applyFill="1" applyBorder="1" applyAlignment="1">
      <alignment horizontal="center" vertical="center"/>
    </xf>
    <xf numFmtId="0" fontId="52" fillId="3" borderId="45" xfId="0" applyFont="1" applyFill="1" applyBorder="1"/>
    <xf numFmtId="0" fontId="59" fillId="3" borderId="14" xfId="0" applyFont="1" applyFill="1" applyBorder="1" applyAlignment="1">
      <alignment horizontal="center" vertical="center"/>
    </xf>
    <xf numFmtId="0" fontId="52" fillId="3" borderId="43" xfId="0" applyFont="1" applyFill="1" applyBorder="1"/>
    <xf numFmtId="0" fontId="52" fillId="3" borderId="60" xfId="0" applyFont="1" applyFill="1" applyBorder="1" applyAlignment="1">
      <alignment horizontal="center" vertical="center"/>
    </xf>
    <xf numFmtId="0" fontId="59" fillId="3" borderId="17" xfId="0" applyFont="1" applyFill="1" applyBorder="1" applyAlignment="1">
      <alignment horizontal="center" vertical="center"/>
    </xf>
    <xf numFmtId="0" fontId="52" fillId="3" borderId="59" xfId="0" applyFont="1" applyFill="1" applyBorder="1" applyAlignment="1">
      <alignment horizontal="center" vertical="center"/>
    </xf>
    <xf numFmtId="0" fontId="52" fillId="5" borderId="42" xfId="0" applyFont="1" applyFill="1" applyBorder="1"/>
    <xf numFmtId="0" fontId="52" fillId="5" borderId="59" xfId="0" applyFont="1" applyFill="1" applyBorder="1" applyAlignment="1">
      <alignment horizontal="center" vertical="center"/>
    </xf>
    <xf numFmtId="0" fontId="52" fillId="5" borderId="50" xfId="0" applyFont="1" applyFill="1" applyBorder="1" applyAlignment="1">
      <alignment horizontal="center" vertical="center"/>
    </xf>
    <xf numFmtId="0" fontId="52" fillId="14" borderId="42" xfId="0" applyFont="1" applyFill="1" applyBorder="1"/>
    <xf numFmtId="0" fontId="52" fillId="14" borderId="50" xfId="0" applyFont="1" applyFill="1" applyBorder="1" applyAlignment="1">
      <alignment horizontal="center" vertical="center"/>
    </xf>
    <xf numFmtId="0" fontId="52" fillId="9" borderId="42" xfId="0" applyFont="1" applyFill="1" applyBorder="1"/>
    <xf numFmtId="0" fontId="52" fillId="9" borderId="50" xfId="0" applyFont="1" applyFill="1" applyBorder="1" applyAlignment="1">
      <alignment horizontal="center" vertical="center"/>
    </xf>
    <xf numFmtId="0" fontId="52" fillId="3" borderId="61" xfId="0" applyFont="1" applyFill="1" applyBorder="1" applyAlignment="1">
      <alignment horizontal="center" vertical="center"/>
    </xf>
    <xf numFmtId="0" fontId="52" fillId="9" borderId="43" xfId="0" applyFont="1" applyFill="1" applyBorder="1"/>
    <xf numFmtId="0" fontId="52" fillId="9" borderId="60" xfId="0" applyFont="1" applyFill="1" applyBorder="1" applyAlignment="1">
      <alignment horizontal="center" vertical="center"/>
    </xf>
    <xf numFmtId="0" fontId="44" fillId="5" borderId="0" xfId="0" applyFont="1" applyFill="1"/>
    <xf numFmtId="0" fontId="63" fillId="5" borderId="0" xfId="0" applyFont="1" applyFill="1"/>
    <xf numFmtId="0" fontId="79" fillId="19" borderId="0" xfId="0" applyFont="1" applyFill="1" applyAlignment="1">
      <alignment horizontal="center"/>
    </xf>
    <xf numFmtId="0" fontId="53" fillId="3" borderId="44" xfId="0" applyFont="1" applyFill="1" applyBorder="1"/>
    <xf numFmtId="0" fontId="53" fillId="3" borderId="42" xfId="0" applyFont="1" applyFill="1" applyBorder="1"/>
    <xf numFmtId="0" fontId="53" fillId="3" borderId="45" xfId="0" applyFont="1" applyFill="1" applyBorder="1"/>
    <xf numFmtId="0" fontId="53" fillId="10" borderId="43" xfId="0" applyFont="1" applyFill="1" applyBorder="1"/>
    <xf numFmtId="0" fontId="52" fillId="10" borderId="60" xfId="0" applyFont="1" applyFill="1" applyBorder="1" applyAlignment="1">
      <alignment horizontal="center" vertical="center"/>
    </xf>
    <xf numFmtId="0" fontId="52" fillId="5" borderId="0" xfId="0" applyFont="1" applyFill="1"/>
    <xf numFmtId="0" fontId="80" fillId="3" borderId="42" xfId="0" applyFont="1" applyFill="1" applyBorder="1"/>
    <xf numFmtId="0" fontId="80" fillId="3" borderId="50" xfId="0" applyFont="1" applyFill="1" applyBorder="1" applyAlignment="1">
      <alignment horizontal="center" vertical="center"/>
    </xf>
    <xf numFmtId="0" fontId="53" fillId="5" borderId="42" xfId="0" applyFont="1" applyFill="1" applyBorder="1"/>
    <xf numFmtId="0" fontId="52" fillId="0" borderId="0" xfId="0" applyFont="1"/>
    <xf numFmtId="0" fontId="60" fillId="3" borderId="0" xfId="0" applyFont="1" applyFill="1"/>
    <xf numFmtId="49" fontId="53" fillId="4" borderId="29" xfId="0" applyNumberFormat="1" applyFont="1" applyFill="1" applyBorder="1" applyAlignment="1">
      <alignment horizontal="left" vertical="center"/>
    </xf>
    <xf numFmtId="166" fontId="52" fillId="3" borderId="0" xfId="0" applyNumberFormat="1" applyFont="1" applyFill="1" applyAlignment="1">
      <alignment horizontal="right" vertical="center"/>
    </xf>
    <xf numFmtId="166" fontId="52" fillId="3" borderId="0" xfId="0" applyNumberFormat="1" applyFont="1" applyFill="1" applyAlignment="1">
      <alignment horizontal="left" vertical="center"/>
    </xf>
    <xf numFmtId="0" fontId="81" fillId="3" borderId="0" xfId="0" applyFont="1" applyFill="1" applyAlignment="1">
      <alignment horizontal="left" vertical="center"/>
    </xf>
    <xf numFmtId="166" fontId="81" fillId="3" borderId="0" xfId="0" applyNumberFormat="1" applyFont="1" applyFill="1" applyAlignment="1">
      <alignment horizontal="left" vertical="center"/>
    </xf>
    <xf numFmtId="49" fontId="53" fillId="4" borderId="27" xfId="0" applyNumberFormat="1" applyFont="1" applyFill="1" applyBorder="1" applyAlignment="1">
      <alignment vertical="center"/>
    </xf>
    <xf numFmtId="49" fontId="53" fillId="4" borderId="29" xfId="0" applyNumberFormat="1" applyFont="1" applyFill="1" applyBorder="1" applyAlignment="1">
      <alignment vertical="center"/>
    </xf>
    <xf numFmtId="49" fontId="53" fillId="4" borderId="28" xfId="0" applyNumberFormat="1" applyFont="1" applyFill="1" applyBorder="1" applyAlignment="1">
      <alignment vertical="center"/>
    </xf>
    <xf numFmtId="166" fontId="53" fillId="4" borderId="27" xfId="0" applyNumberFormat="1" applyFont="1" applyFill="1" applyBorder="1" applyAlignment="1">
      <alignment vertical="center"/>
    </xf>
    <xf numFmtId="166" fontId="53" fillId="4" borderId="29" xfId="0" applyNumberFormat="1" applyFont="1" applyFill="1" applyBorder="1" applyAlignment="1">
      <alignment vertical="center"/>
    </xf>
    <xf numFmtId="166" fontId="53" fillId="4" borderId="28" xfId="0" applyNumberFormat="1" applyFont="1" applyFill="1" applyBorder="1" applyAlignment="1">
      <alignment vertical="center"/>
    </xf>
    <xf numFmtId="166" fontId="53" fillId="3" borderId="0" xfId="0" applyNumberFormat="1" applyFont="1" applyFill="1" applyAlignment="1">
      <alignment horizontal="left" vertical="center"/>
    </xf>
    <xf numFmtId="166" fontId="61" fillId="2" borderId="4" xfId="0" applyNumberFormat="1" applyFont="1" applyFill="1" applyBorder="1" applyAlignment="1">
      <alignment horizontal="center" vertical="center"/>
    </xf>
    <xf numFmtId="1" fontId="61" fillId="2" borderId="4" xfId="0" applyNumberFormat="1" applyFont="1" applyFill="1" applyBorder="1" applyAlignment="1">
      <alignment horizontal="center" vertical="center"/>
    </xf>
    <xf numFmtId="0" fontId="61" fillId="2" borderId="5" xfId="0" applyFont="1" applyFill="1" applyBorder="1" applyAlignment="1">
      <alignment horizontal="center" vertical="center"/>
    </xf>
    <xf numFmtId="166" fontId="53" fillId="3" borderId="0" xfId="0" applyNumberFormat="1" applyFont="1" applyFill="1" applyAlignment="1">
      <alignment horizontal="center" vertical="center"/>
    </xf>
    <xf numFmtId="49" fontId="52" fillId="3" borderId="2" xfId="0" applyNumberFormat="1" applyFont="1" applyFill="1" applyBorder="1" applyAlignment="1">
      <alignment horizontal="center" vertical="center"/>
    </xf>
    <xf numFmtId="49" fontId="52" fillId="3" borderId="1" xfId="0" applyNumberFormat="1" applyFont="1" applyFill="1" applyBorder="1" applyAlignment="1">
      <alignment horizontal="center" vertical="center"/>
    </xf>
    <xf numFmtId="166" fontId="52" fillId="3" borderId="1" xfId="0" applyNumberFormat="1" applyFont="1" applyFill="1" applyBorder="1" applyAlignment="1">
      <alignment horizontal="center" vertical="center"/>
    </xf>
    <xf numFmtId="1" fontId="52" fillId="3" borderId="1" xfId="0" applyNumberFormat="1" applyFont="1" applyFill="1" applyBorder="1" applyAlignment="1">
      <alignment horizontal="center" vertical="center"/>
    </xf>
    <xf numFmtId="0" fontId="52" fillId="3" borderId="1" xfId="0" applyFont="1" applyFill="1" applyBorder="1" applyAlignment="1">
      <alignment horizontal="center" vertical="center"/>
    </xf>
    <xf numFmtId="166" fontId="53" fillId="3" borderId="1" xfId="0" applyNumberFormat="1" applyFont="1" applyFill="1" applyBorder="1" applyAlignment="1">
      <alignment vertical="center"/>
    </xf>
    <xf numFmtId="166" fontId="52" fillId="3" borderId="1" xfId="0" applyNumberFormat="1" applyFont="1" applyFill="1" applyBorder="1"/>
    <xf numFmtId="0" fontId="53" fillId="3" borderId="2" xfId="0" applyFont="1" applyFill="1" applyBorder="1" applyAlignment="1">
      <alignment horizontal="center" vertical="center"/>
    </xf>
    <xf numFmtId="0" fontId="53" fillId="14" borderId="2" xfId="0" applyFont="1" applyFill="1" applyBorder="1" applyAlignment="1">
      <alignment horizontal="center" vertical="center"/>
    </xf>
    <xf numFmtId="0" fontId="53" fillId="3" borderId="0" xfId="0" applyFont="1" applyFill="1" applyAlignment="1">
      <alignment horizontal="left" vertical="center"/>
    </xf>
    <xf numFmtId="0" fontId="52" fillId="6" borderId="27" xfId="0" applyFont="1" applyFill="1" applyBorder="1" applyAlignment="1">
      <alignment horizontal="left" vertical="center"/>
    </xf>
    <xf numFmtId="0" fontId="52" fillId="6" borderId="28" xfId="0" applyFont="1" applyFill="1" applyBorder="1" applyAlignment="1">
      <alignment horizontal="left" vertical="center"/>
    </xf>
    <xf numFmtId="166" fontId="52" fillId="6" borderId="52" xfId="0" applyNumberFormat="1" applyFont="1" applyFill="1" applyBorder="1" applyAlignment="1">
      <alignment horizontal="right" vertical="center"/>
    </xf>
    <xf numFmtId="0" fontId="52" fillId="7" borderId="27" xfId="0" applyFont="1" applyFill="1" applyBorder="1" applyAlignment="1">
      <alignment horizontal="left" vertical="center"/>
    </xf>
    <xf numFmtId="0" fontId="52" fillId="7" borderId="28" xfId="0" applyFont="1" applyFill="1" applyBorder="1" applyAlignment="1">
      <alignment horizontal="left" vertical="center"/>
    </xf>
    <xf numFmtId="166" fontId="52" fillId="7" borderId="52" xfId="0" applyNumberFormat="1" applyFont="1" applyFill="1" applyBorder="1" applyAlignment="1">
      <alignment horizontal="right" vertical="center"/>
    </xf>
    <xf numFmtId="0" fontId="52" fillId="8" borderId="27" xfId="0" applyFont="1" applyFill="1" applyBorder="1" applyAlignment="1">
      <alignment horizontal="left" vertical="center"/>
    </xf>
    <xf numFmtId="0" fontId="52" fillId="8" borderId="28" xfId="0" applyFont="1" applyFill="1" applyBorder="1" applyAlignment="1">
      <alignment horizontal="left" vertical="center"/>
    </xf>
    <xf numFmtId="166" fontId="52" fillId="8" borderId="52" xfId="0" applyNumberFormat="1" applyFont="1" applyFill="1" applyBorder="1" applyAlignment="1">
      <alignment horizontal="right" vertical="center"/>
    </xf>
    <xf numFmtId="0" fontId="52" fillId="9" borderId="27" xfId="0" applyFont="1" applyFill="1" applyBorder="1" applyAlignment="1">
      <alignment horizontal="left" vertical="center"/>
    </xf>
    <xf numFmtId="0" fontId="52" fillId="9" borderId="28" xfId="0" applyFont="1" applyFill="1" applyBorder="1" applyAlignment="1">
      <alignment horizontal="left" vertical="center"/>
    </xf>
    <xf numFmtId="166" fontId="52" fillId="9" borderId="52" xfId="0" applyNumberFormat="1" applyFont="1" applyFill="1" applyBorder="1" applyAlignment="1">
      <alignment horizontal="right" vertical="center"/>
    </xf>
    <xf numFmtId="166" fontId="52" fillId="3" borderId="0" xfId="0" applyNumberFormat="1" applyFont="1" applyFill="1"/>
    <xf numFmtId="0" fontId="48" fillId="0" borderId="27" xfId="0" applyFont="1" applyBorder="1" applyAlignment="1">
      <alignment horizontal="left" vertical="center"/>
    </xf>
    <xf numFmtId="0" fontId="48" fillId="0" borderId="28" xfId="0" applyFont="1" applyBorder="1" applyAlignment="1">
      <alignment horizontal="left" vertical="center"/>
    </xf>
    <xf numFmtId="166" fontId="48" fillId="0" borderId="52" xfId="0" applyNumberFormat="1" applyFont="1" applyBorder="1" applyAlignment="1">
      <alignment horizontal="right" vertical="center"/>
    </xf>
    <xf numFmtId="49" fontId="44" fillId="0" borderId="0" xfId="0" applyNumberFormat="1" applyFont="1" applyAlignment="1">
      <alignment horizontal="center" vertical="center"/>
    </xf>
    <xf numFmtId="166" fontId="44" fillId="0" borderId="0" xfId="0" applyNumberFormat="1" applyFont="1" applyAlignment="1">
      <alignment horizontal="center" vertical="center"/>
    </xf>
    <xf numFmtId="166" fontId="44" fillId="0" borderId="0" xfId="0" applyNumberFormat="1" applyFont="1"/>
    <xf numFmtId="0" fontId="52" fillId="3" borderId="2" xfId="0" applyFont="1" applyFill="1" applyBorder="1" applyAlignment="1">
      <alignment horizontal="center" vertical="center"/>
    </xf>
    <xf numFmtId="1" fontId="44" fillId="3" borderId="1" xfId="0" applyNumberFormat="1" applyFont="1" applyFill="1" applyBorder="1" applyAlignment="1">
      <alignment horizontal="center" vertical="center"/>
    </xf>
    <xf numFmtId="0" fontId="55" fillId="3" borderId="2" xfId="0" applyFont="1" applyFill="1" applyBorder="1" applyAlignment="1">
      <alignment horizontal="center" vertical="center"/>
    </xf>
    <xf numFmtId="0" fontId="48" fillId="3" borderId="27" xfId="0" applyFont="1" applyFill="1" applyBorder="1" applyAlignment="1">
      <alignment horizontal="left" vertical="center"/>
    </xf>
    <xf numFmtId="0" fontId="48" fillId="3" borderId="28" xfId="0" applyFont="1" applyFill="1" applyBorder="1" applyAlignment="1">
      <alignment horizontal="left" vertical="center"/>
    </xf>
    <xf numFmtId="166" fontId="48" fillId="3" borderId="52" xfId="0" applyNumberFormat="1" applyFont="1" applyFill="1" applyBorder="1" applyAlignment="1">
      <alignment horizontal="right" vertical="center"/>
    </xf>
    <xf numFmtId="0" fontId="52" fillId="14" borderId="2" xfId="0" applyFont="1" applyFill="1" applyBorder="1" applyAlignment="1">
      <alignment horizontal="center" vertical="center"/>
    </xf>
    <xf numFmtId="166" fontId="55" fillId="8" borderId="52" xfId="0" applyNumberFormat="1" applyFont="1" applyFill="1" applyBorder="1" applyAlignment="1">
      <alignment horizontal="right" vertical="center"/>
    </xf>
    <xf numFmtId="0" fontId="52" fillId="3" borderId="74" xfId="0" applyFont="1" applyFill="1" applyBorder="1" applyAlignment="1">
      <alignment horizontal="center" vertical="center"/>
    </xf>
    <xf numFmtId="49" fontId="52" fillId="3" borderId="74" xfId="0" applyNumberFormat="1" applyFont="1" applyFill="1" applyBorder="1" applyAlignment="1">
      <alignment horizontal="center" vertical="center"/>
    </xf>
    <xf numFmtId="166" fontId="52" fillId="3" borderId="74" xfId="0" applyNumberFormat="1" applyFont="1" applyFill="1" applyBorder="1"/>
    <xf numFmtId="0" fontId="53" fillId="3" borderId="74" xfId="0" applyFont="1" applyFill="1" applyBorder="1" applyAlignment="1">
      <alignment horizontal="center" vertical="center"/>
    </xf>
    <xf numFmtId="0" fontId="53" fillId="0" borderId="74" xfId="0" applyFont="1" applyBorder="1" applyAlignment="1">
      <alignment horizontal="center" vertical="center"/>
    </xf>
    <xf numFmtId="0" fontId="82" fillId="3" borderId="1" xfId="0" applyFont="1" applyFill="1" applyBorder="1" applyAlignment="1">
      <alignment horizontal="center" vertical="center"/>
    </xf>
    <xf numFmtId="166" fontId="82" fillId="3" borderId="0" xfId="0" applyNumberFormat="1" applyFont="1" applyFill="1" applyAlignment="1">
      <alignment horizontal="right" vertical="center"/>
    </xf>
    <xf numFmtId="166" fontId="82" fillId="3" borderId="1" xfId="0" applyNumberFormat="1" applyFont="1" applyFill="1" applyBorder="1" applyAlignment="1">
      <alignment horizontal="center" vertical="center"/>
    </xf>
    <xf numFmtId="0" fontId="86" fillId="29" borderId="68" xfId="0" applyFont="1" applyFill="1" applyBorder="1" applyAlignment="1">
      <alignment horizontal="center" vertical="center"/>
    </xf>
    <xf numFmtId="0" fontId="86" fillId="15" borderId="68" xfId="0" applyFont="1" applyFill="1" applyBorder="1" applyAlignment="1">
      <alignment horizontal="center" vertical="center"/>
    </xf>
    <xf numFmtId="0" fontId="87" fillId="29" borderId="68" xfId="0" applyFont="1" applyFill="1" applyBorder="1" applyAlignment="1">
      <alignment horizontal="center" vertical="center"/>
    </xf>
    <xf numFmtId="0" fontId="86" fillId="0" borderId="68" xfId="0" applyFont="1" applyBorder="1" applyAlignment="1">
      <alignment horizontal="center" vertical="center"/>
    </xf>
    <xf numFmtId="0" fontId="69" fillId="29" borderId="68" xfId="0" applyFont="1" applyFill="1" applyBorder="1" applyAlignment="1">
      <alignment horizontal="left" vertical="center"/>
    </xf>
    <xf numFmtId="0" fontId="69" fillId="0" borderId="68" xfId="0" applyFont="1" applyBorder="1" applyAlignment="1">
      <alignment horizontal="left" vertical="center"/>
    </xf>
    <xf numFmtId="167" fontId="30" fillId="3" borderId="0" xfId="0" applyNumberFormat="1" applyFont="1" applyFill="1" applyAlignment="1">
      <alignment horizontal="center" vertical="center"/>
    </xf>
    <xf numFmtId="166" fontId="88" fillId="3" borderId="0" xfId="0" applyNumberFormat="1" applyFont="1" applyFill="1" applyAlignment="1">
      <alignment horizontal="center" vertical="center"/>
    </xf>
    <xf numFmtId="166" fontId="89" fillId="3" borderId="0" xfId="0" applyNumberFormat="1" applyFont="1" applyFill="1" applyAlignment="1">
      <alignment horizontal="center" vertical="center"/>
    </xf>
    <xf numFmtId="166" fontId="30" fillId="3" borderId="0" xfId="0" applyNumberFormat="1" applyFont="1" applyFill="1" applyAlignment="1">
      <alignment horizontal="center" vertical="center"/>
    </xf>
    <xf numFmtId="49" fontId="30" fillId="3" borderId="0" xfId="0" applyNumberFormat="1" applyFont="1" applyFill="1" applyAlignment="1">
      <alignment horizontal="center" vertical="center"/>
    </xf>
    <xf numFmtId="166" fontId="30" fillId="3" borderId="0" xfId="0" applyNumberFormat="1" applyFont="1" applyFill="1"/>
    <xf numFmtId="0" fontId="31" fillId="3" borderId="0" xfId="0" applyFont="1" applyFill="1" applyAlignment="1">
      <alignment horizontal="left" vertical="center"/>
    </xf>
    <xf numFmtId="166" fontId="91" fillId="3" borderId="0" xfId="0" applyNumberFormat="1" applyFont="1" applyFill="1" applyAlignment="1">
      <alignment horizontal="left" vertical="center"/>
    </xf>
    <xf numFmtId="166" fontId="31" fillId="3" borderId="0" xfId="0" applyNumberFormat="1" applyFont="1" applyFill="1" applyAlignment="1">
      <alignment horizontal="center" vertical="center"/>
    </xf>
    <xf numFmtId="49" fontId="31" fillId="3" borderId="0" xfId="0" applyNumberFormat="1" applyFont="1" applyFill="1" applyAlignment="1">
      <alignment horizontal="center" vertical="center"/>
    </xf>
    <xf numFmtId="166" fontId="30" fillId="3" borderId="0" xfId="0" applyNumberFormat="1" applyFont="1" applyFill="1" applyAlignment="1">
      <alignment vertical="center"/>
    </xf>
    <xf numFmtId="0" fontId="31" fillId="3" borderId="37" xfId="0" applyFont="1" applyFill="1" applyBorder="1" applyAlignment="1">
      <alignment horizontal="center" vertical="center"/>
    </xf>
    <xf numFmtId="49" fontId="31" fillId="3" borderId="37" xfId="0" applyNumberFormat="1" applyFont="1" applyFill="1" applyBorder="1" applyAlignment="1">
      <alignment horizontal="center" vertical="center"/>
    </xf>
    <xf numFmtId="166" fontId="90" fillId="3" borderId="37" xfId="0" applyNumberFormat="1" applyFont="1" applyFill="1" applyBorder="1" applyAlignment="1">
      <alignment horizontal="center" vertical="center"/>
    </xf>
    <xf numFmtId="167" fontId="31" fillId="0" borderId="6" xfId="0" applyNumberFormat="1" applyFont="1" applyBorder="1" applyAlignment="1">
      <alignment horizontal="center" vertical="center"/>
    </xf>
    <xf numFmtId="0" fontId="31" fillId="0" borderId="6" xfId="0" applyFont="1" applyBorder="1" applyAlignment="1">
      <alignment horizontal="center" vertical="center"/>
    </xf>
    <xf numFmtId="166" fontId="92" fillId="12" borderId="6" xfId="0" applyNumberFormat="1" applyFont="1" applyFill="1" applyBorder="1" applyAlignment="1">
      <alignment horizontal="center" vertical="center"/>
    </xf>
    <xf numFmtId="166" fontId="93" fillId="11" borderId="6" xfId="0" applyNumberFormat="1" applyFont="1" applyFill="1" applyBorder="1" applyAlignment="1">
      <alignment horizontal="center" vertical="center"/>
    </xf>
    <xf numFmtId="0" fontId="31" fillId="3" borderId="6" xfId="0" applyFont="1" applyFill="1" applyBorder="1" applyAlignment="1">
      <alignment horizontal="center" vertical="center"/>
    </xf>
    <xf numFmtId="49" fontId="31" fillId="3" borderId="6" xfId="0" applyNumberFormat="1" applyFont="1" applyFill="1" applyBorder="1" applyAlignment="1">
      <alignment horizontal="center" vertical="center"/>
    </xf>
    <xf numFmtId="166" fontId="31" fillId="3" borderId="6" xfId="0" applyNumberFormat="1" applyFont="1" applyFill="1" applyBorder="1" applyAlignment="1">
      <alignment horizontal="center" vertical="center"/>
    </xf>
    <xf numFmtId="0" fontId="31" fillId="0" borderId="0" xfId="0" applyFont="1" applyAlignment="1">
      <alignment horizontal="center" vertical="center"/>
    </xf>
    <xf numFmtId="167" fontId="30" fillId="0" borderId="6" xfId="0" applyNumberFormat="1" applyFont="1" applyBorder="1" applyAlignment="1">
      <alignment horizontal="center" vertical="center"/>
    </xf>
    <xf numFmtId="0" fontId="30" fillId="3" borderId="6" xfId="0" applyFont="1" applyFill="1" applyBorder="1" applyAlignment="1">
      <alignment horizontal="center" vertical="center"/>
    </xf>
    <xf numFmtId="0" fontId="30" fillId="3" borderId="6" xfId="0" applyFont="1" applyFill="1" applyBorder="1" applyAlignment="1">
      <alignment vertical="center"/>
    </xf>
    <xf numFmtId="166" fontId="88" fillId="12" borderId="6" xfId="0" applyNumberFormat="1" applyFont="1" applyFill="1" applyBorder="1" applyAlignment="1">
      <alignment horizontal="right" vertical="center"/>
    </xf>
    <xf numFmtId="166" fontId="89" fillId="11" borderId="6" xfId="0" applyNumberFormat="1" applyFont="1" applyFill="1" applyBorder="1" applyAlignment="1">
      <alignment horizontal="right" vertical="center"/>
    </xf>
    <xf numFmtId="167" fontId="36" fillId="3" borderId="6" xfId="0" applyNumberFormat="1" applyFont="1" applyFill="1" applyBorder="1" applyAlignment="1">
      <alignment horizontal="center" vertical="center"/>
    </xf>
    <xf numFmtId="49" fontId="36" fillId="3" borderId="6" xfId="0" applyNumberFormat="1" applyFont="1" applyFill="1" applyBorder="1" applyAlignment="1">
      <alignment horizontal="center" vertical="center"/>
    </xf>
    <xf numFmtId="166" fontId="36" fillId="3" borderId="6" xfId="0" applyNumberFormat="1" applyFont="1" applyFill="1" applyBorder="1" applyAlignment="1">
      <alignment horizontal="center"/>
    </xf>
    <xf numFmtId="49" fontId="30" fillId="5" borderId="6" xfId="0" applyNumberFormat="1" applyFont="1" applyFill="1" applyBorder="1" applyAlignment="1">
      <alignment horizontal="center" vertical="center"/>
    </xf>
    <xf numFmtId="0" fontId="30" fillId="0" borderId="6" xfId="0" applyFont="1" applyBorder="1" applyAlignment="1">
      <alignment vertical="center"/>
    </xf>
    <xf numFmtId="49" fontId="36" fillId="5" borderId="6" xfId="0" applyNumberFormat="1" applyFont="1" applyFill="1" applyBorder="1" applyAlignment="1">
      <alignment horizontal="center" vertical="center"/>
    </xf>
    <xf numFmtId="49" fontId="30" fillId="0" borderId="6" xfId="0" applyNumberFormat="1" applyFont="1" applyBorder="1" applyAlignment="1">
      <alignment horizontal="center" vertical="center"/>
    </xf>
    <xf numFmtId="49" fontId="37" fillId="3" borderId="6" xfId="0" applyNumberFormat="1" applyFont="1" applyFill="1" applyBorder="1" applyAlignment="1">
      <alignment horizontal="center" vertical="center"/>
    </xf>
    <xf numFmtId="167" fontId="36" fillId="3" borderId="6" xfId="0" applyNumberFormat="1" applyFont="1" applyFill="1" applyBorder="1" applyAlignment="1">
      <alignment horizontal="center"/>
    </xf>
    <xf numFmtId="0" fontId="30" fillId="5" borderId="6" xfId="0" applyFont="1" applyFill="1" applyBorder="1" applyAlignment="1">
      <alignment horizontal="center" vertical="center"/>
    </xf>
    <xf numFmtId="49" fontId="30" fillId="3" borderId="6" xfId="0" applyNumberFormat="1" applyFont="1" applyFill="1" applyBorder="1" applyAlignment="1">
      <alignment horizontal="center" vertical="center"/>
    </xf>
    <xf numFmtId="167" fontId="30" fillId="0" borderId="6" xfId="0" applyNumberFormat="1" applyFont="1" applyBorder="1" applyAlignment="1">
      <alignment horizontal="center"/>
    </xf>
    <xf numFmtId="49" fontId="30" fillId="0" borderId="6" xfId="0" applyNumberFormat="1" applyFont="1" applyBorder="1" applyAlignment="1">
      <alignment horizontal="center"/>
    </xf>
    <xf numFmtId="0" fontId="30" fillId="0" borderId="6" xfId="0" applyFont="1" applyBorder="1"/>
    <xf numFmtId="166" fontId="88" fillId="12" borderId="6" xfId="0" applyNumberFormat="1" applyFont="1" applyFill="1" applyBorder="1" applyAlignment="1">
      <alignment horizontal="right"/>
    </xf>
    <xf numFmtId="166" fontId="89" fillId="11" borderId="6" xfId="0" applyNumberFormat="1" applyFont="1" applyFill="1" applyBorder="1" applyAlignment="1">
      <alignment horizontal="right"/>
    </xf>
    <xf numFmtId="49" fontId="36" fillId="35" borderId="6" xfId="0" applyNumberFormat="1" applyFont="1" applyFill="1" applyBorder="1" applyAlignment="1">
      <alignment horizontal="center" vertical="center"/>
    </xf>
    <xf numFmtId="49" fontId="94" fillId="3" borderId="8" xfId="0" applyNumberFormat="1" applyFont="1" applyFill="1" applyBorder="1" applyAlignment="1">
      <alignment horizontal="center" vertical="center"/>
    </xf>
    <xf numFmtId="0" fontId="30" fillId="3" borderId="6" xfId="0" applyFont="1" applyFill="1" applyBorder="1"/>
    <xf numFmtId="0" fontId="30" fillId="5" borderId="6" xfId="0" applyFont="1" applyFill="1" applyBorder="1" applyAlignment="1">
      <alignment vertical="center"/>
    </xf>
    <xf numFmtId="49" fontId="36" fillId="5" borderId="6" xfId="0" applyNumberFormat="1" applyFont="1" applyFill="1" applyBorder="1" applyAlignment="1">
      <alignment horizontal="center"/>
    </xf>
    <xf numFmtId="167" fontId="36" fillId="0" borderId="6" xfId="0" applyNumberFormat="1" applyFont="1" applyBorder="1" applyAlignment="1">
      <alignment horizontal="center"/>
    </xf>
    <xf numFmtId="49" fontId="37" fillId="5" borderId="6" xfId="0" applyNumberFormat="1" applyFont="1" applyFill="1" applyBorder="1" applyAlignment="1">
      <alignment horizontal="center" vertical="center"/>
    </xf>
    <xf numFmtId="49" fontId="42" fillId="3" borderId="6" xfId="0" applyNumberFormat="1" applyFont="1" applyFill="1" applyBorder="1" applyAlignment="1">
      <alignment horizontal="center" vertical="center"/>
    </xf>
    <xf numFmtId="49" fontId="36" fillId="43" borderId="6" xfId="0" applyNumberFormat="1" applyFont="1" applyFill="1" applyBorder="1" applyAlignment="1">
      <alignment horizontal="center" vertical="center"/>
    </xf>
    <xf numFmtId="49" fontId="36" fillId="42" borderId="6" xfId="0" applyNumberFormat="1" applyFont="1" applyFill="1" applyBorder="1" applyAlignment="1">
      <alignment horizontal="center"/>
    </xf>
    <xf numFmtId="49" fontId="36" fillId="3" borderId="50" xfId="0" applyNumberFormat="1" applyFont="1" applyFill="1" applyBorder="1" applyAlignment="1">
      <alignment horizontal="center" vertical="center"/>
    </xf>
    <xf numFmtId="167" fontId="30" fillId="46" borderId="6" xfId="0" applyNumberFormat="1" applyFont="1" applyFill="1" applyBorder="1" applyAlignment="1">
      <alignment horizontal="center" vertical="center"/>
    </xf>
    <xf numFmtId="49" fontId="30" fillId="3" borderId="6" xfId="0" applyNumberFormat="1" applyFont="1" applyFill="1" applyBorder="1" applyAlignment="1">
      <alignment horizontal="center"/>
    </xf>
    <xf numFmtId="167" fontId="94" fillId="19" borderId="6" xfId="0" applyNumberFormat="1" applyFont="1" applyFill="1" applyBorder="1" applyAlignment="1">
      <alignment horizontal="center" vertical="center"/>
    </xf>
    <xf numFmtId="167" fontId="36" fillId="5" borderId="6" xfId="0" applyNumberFormat="1" applyFont="1" applyFill="1" applyBorder="1" applyAlignment="1">
      <alignment horizontal="center" vertical="center"/>
    </xf>
    <xf numFmtId="0" fontId="30" fillId="0" borderId="6" xfId="0" applyFont="1" applyBorder="1" applyAlignment="1">
      <alignment horizontal="center"/>
    </xf>
    <xf numFmtId="0" fontId="95" fillId="0" borderId="6" xfId="0" applyFont="1" applyBorder="1" applyAlignment="1">
      <alignment vertical="center"/>
    </xf>
    <xf numFmtId="0" fontId="30" fillId="3" borderId="0" xfId="0" applyFont="1" applyFill="1" applyAlignment="1">
      <alignment horizontal="left" vertical="center"/>
    </xf>
    <xf numFmtId="3" fontId="30" fillId="3" borderId="6" xfId="0" applyNumberFormat="1" applyFont="1" applyFill="1" applyBorder="1" applyAlignment="1">
      <alignment horizontal="center" vertical="center"/>
    </xf>
    <xf numFmtId="49" fontId="37" fillId="3" borderId="6" xfId="0" applyNumberFormat="1" applyFont="1" applyFill="1" applyBorder="1" applyAlignment="1">
      <alignment horizontal="center"/>
    </xf>
    <xf numFmtId="166" fontId="88" fillId="12" borderId="0" xfId="0" applyNumberFormat="1" applyFont="1" applyFill="1" applyAlignment="1">
      <alignment horizontal="right" vertical="center"/>
    </xf>
    <xf numFmtId="166" fontId="89" fillId="11" borderId="0" xfId="0" applyNumberFormat="1" applyFont="1" applyFill="1" applyAlignment="1">
      <alignment horizontal="right" vertical="center"/>
    </xf>
    <xf numFmtId="167" fontId="30" fillId="0" borderId="0" xfId="0" applyNumberFormat="1" applyFont="1" applyAlignment="1">
      <alignment horizontal="center" vertical="center"/>
    </xf>
    <xf numFmtId="49" fontId="52" fillId="42" borderId="6" xfId="0" applyNumberFormat="1" applyFont="1" applyFill="1" applyBorder="1" applyAlignment="1">
      <alignment horizontal="center" vertical="center"/>
    </xf>
    <xf numFmtId="166" fontId="52" fillId="3" borderId="6" xfId="0" applyNumberFormat="1" applyFont="1" applyFill="1" applyBorder="1" applyAlignment="1">
      <alignment horizontal="center" vertical="center"/>
    </xf>
    <xf numFmtId="49" fontId="55" fillId="41" borderId="6" xfId="0" applyNumberFormat="1" applyFont="1" applyFill="1" applyBorder="1" applyAlignment="1">
      <alignment horizontal="center" vertical="center"/>
    </xf>
    <xf numFmtId="49" fontId="54" fillId="21" borderId="6" xfId="0" applyNumberFormat="1" applyFont="1" applyFill="1" applyBorder="1" applyAlignment="1">
      <alignment horizontal="center" vertical="center"/>
    </xf>
    <xf numFmtId="49" fontId="55" fillId="3" borderId="50" xfId="0" applyNumberFormat="1" applyFont="1" applyFill="1" applyBorder="1" applyAlignment="1">
      <alignment horizontal="center" vertical="center"/>
    </xf>
    <xf numFmtId="166" fontId="45" fillId="3" borderId="0" xfId="0" applyNumberFormat="1" applyFont="1" applyFill="1" applyAlignment="1">
      <alignment horizontal="right" vertical="center"/>
    </xf>
    <xf numFmtId="166" fontId="46" fillId="3" borderId="0" xfId="0" applyNumberFormat="1" applyFont="1" applyFill="1" applyAlignment="1">
      <alignment horizontal="right" vertical="center"/>
    </xf>
    <xf numFmtId="166" fontId="46" fillId="5" borderId="6" xfId="0" applyNumberFormat="1" applyFont="1" applyFill="1" applyBorder="1" applyAlignment="1">
      <alignment horizontal="right" vertical="center"/>
    </xf>
    <xf numFmtId="0" fontId="96" fillId="3" borderId="2" xfId="0" applyFont="1" applyFill="1" applyBorder="1" applyAlignment="1">
      <alignment horizontal="center" vertical="center"/>
    </xf>
    <xf numFmtId="0" fontId="84" fillId="3" borderId="45" xfId="0" applyFont="1" applyFill="1" applyBorder="1"/>
    <xf numFmtId="0" fontId="84" fillId="3" borderId="42" xfId="0" applyFont="1" applyFill="1" applyBorder="1"/>
    <xf numFmtId="0" fontId="84" fillId="3" borderId="43" xfId="0" applyFont="1" applyFill="1" applyBorder="1"/>
    <xf numFmtId="49" fontId="36" fillId="3" borderId="0" xfId="0" applyNumberFormat="1" applyFont="1" applyFill="1" applyAlignment="1">
      <alignment horizontal="center" vertical="center"/>
    </xf>
    <xf numFmtId="0" fontId="34" fillId="3" borderId="0" xfId="0" applyFont="1" applyFill="1" applyAlignment="1">
      <alignment horizontal="left" vertical="center"/>
    </xf>
    <xf numFmtId="165" fontId="36" fillId="3" borderId="0" xfId="0" applyNumberFormat="1" applyFont="1" applyFill="1" applyAlignment="1">
      <alignment horizontal="right"/>
    </xf>
    <xf numFmtId="0" fontId="98" fillId="3" borderId="0" xfId="0" applyFont="1" applyFill="1" applyAlignment="1">
      <alignment horizontal="center"/>
    </xf>
    <xf numFmtId="49" fontId="99" fillId="38" borderId="0" xfId="0" applyNumberFormat="1" applyFont="1" applyFill="1" applyAlignment="1">
      <alignment horizontal="left" vertical="center"/>
    </xf>
    <xf numFmtId="166" fontId="99" fillId="38" borderId="0" xfId="0" applyNumberFormat="1" applyFont="1" applyFill="1" applyAlignment="1">
      <alignment horizontal="right" vertical="center"/>
    </xf>
    <xf numFmtId="49" fontId="100" fillId="39" borderId="0" xfId="0" applyNumberFormat="1" applyFont="1" applyFill="1" applyAlignment="1">
      <alignment horizontal="left" vertical="center"/>
    </xf>
    <xf numFmtId="166" fontId="100" fillId="39" borderId="0" xfId="0" applyNumberFormat="1" applyFont="1" applyFill="1" applyAlignment="1">
      <alignment horizontal="right" vertical="center"/>
    </xf>
    <xf numFmtId="165" fontId="36" fillId="3" borderId="0" xfId="0" applyNumberFormat="1" applyFont="1" applyFill="1" applyAlignment="1">
      <alignment horizontal="left"/>
    </xf>
    <xf numFmtId="0" fontId="101" fillId="2" borderId="3" xfId="0" applyFont="1" applyFill="1" applyBorder="1" applyAlignment="1">
      <alignment horizontal="center" vertical="center"/>
    </xf>
    <xf numFmtId="49" fontId="101" fillId="2" borderId="4" xfId="0" applyNumberFormat="1" applyFont="1" applyFill="1" applyBorder="1" applyAlignment="1">
      <alignment horizontal="center" vertical="center"/>
    </xf>
    <xf numFmtId="165" fontId="101" fillId="2" borderId="4" xfId="0" applyNumberFormat="1" applyFont="1" applyFill="1" applyBorder="1" applyAlignment="1">
      <alignment horizontal="center" vertical="center"/>
    </xf>
    <xf numFmtId="0" fontId="101" fillId="2" borderId="4" xfId="0" applyFont="1" applyFill="1" applyBorder="1" applyAlignment="1">
      <alignment horizontal="center" vertical="center"/>
    </xf>
    <xf numFmtId="167" fontId="101" fillId="2" borderId="4" xfId="0" applyNumberFormat="1" applyFont="1" applyFill="1" applyBorder="1" applyAlignment="1">
      <alignment horizontal="center" vertical="center"/>
    </xf>
    <xf numFmtId="0" fontId="98" fillId="3" borderId="0" xfId="0" applyFont="1" applyFill="1" applyAlignment="1">
      <alignment horizontal="center" vertical="center"/>
    </xf>
    <xf numFmtId="14" fontId="36" fillId="0" borderId="7" xfId="0" applyNumberFormat="1" applyFont="1" applyBorder="1" applyAlignment="1">
      <alignment horizontal="center" vertical="center"/>
    </xf>
    <xf numFmtId="0" fontId="35" fillId="3" borderId="7" xfId="0" applyFont="1" applyFill="1" applyBorder="1" applyAlignment="1">
      <alignment horizontal="center" vertical="center"/>
    </xf>
    <xf numFmtId="165" fontId="36" fillId="3" borderId="7" xfId="0" applyNumberFormat="1" applyFont="1" applyFill="1" applyBorder="1" applyAlignment="1">
      <alignment horizontal="right"/>
    </xf>
    <xf numFmtId="164" fontId="37" fillId="3" borderId="7" xfId="0" applyNumberFormat="1" applyFont="1" applyFill="1" applyBorder="1" applyAlignment="1">
      <alignment horizontal="center" vertical="center"/>
    </xf>
    <xf numFmtId="49" fontId="94" fillId="40" borderId="8" xfId="0" applyNumberFormat="1" applyFont="1" applyFill="1" applyBorder="1" applyAlignment="1">
      <alignment horizontal="center" vertical="center"/>
    </xf>
    <xf numFmtId="0" fontId="35" fillId="40" borderId="7" xfId="0" applyFont="1" applyFill="1" applyBorder="1" applyAlignment="1">
      <alignment horizontal="center" vertical="center"/>
    </xf>
    <xf numFmtId="165" fontId="36" fillId="40" borderId="7" xfId="0" applyNumberFormat="1" applyFont="1" applyFill="1" applyBorder="1" applyAlignment="1">
      <alignment horizontal="right"/>
    </xf>
    <xf numFmtId="14" fontId="36" fillId="3" borderId="7" xfId="0" applyNumberFormat="1" applyFont="1" applyFill="1" applyBorder="1" applyAlignment="1">
      <alignment horizontal="center" vertical="center"/>
    </xf>
    <xf numFmtId="164" fontId="36" fillId="3" borderId="7" xfId="0" applyNumberFormat="1" applyFont="1" applyFill="1" applyBorder="1" applyAlignment="1">
      <alignment horizontal="center" vertical="center"/>
    </xf>
    <xf numFmtId="49" fontId="94" fillId="5" borderId="8" xfId="0" applyNumberFormat="1" applyFont="1" applyFill="1" applyBorder="1" applyAlignment="1">
      <alignment horizontal="center" vertical="center"/>
    </xf>
    <xf numFmtId="14" fontId="36" fillId="15" borderId="7" xfId="0" applyNumberFormat="1" applyFont="1" applyFill="1" applyBorder="1" applyAlignment="1">
      <alignment horizontal="center" vertical="center"/>
    </xf>
    <xf numFmtId="49" fontId="94" fillId="15" borderId="8" xfId="0" applyNumberFormat="1" applyFont="1" applyFill="1" applyBorder="1" applyAlignment="1">
      <alignment horizontal="center" vertical="center"/>
    </xf>
    <xf numFmtId="0" fontId="35" fillId="15" borderId="7" xfId="0" applyFont="1" applyFill="1" applyBorder="1" applyAlignment="1">
      <alignment horizontal="center" vertical="center"/>
    </xf>
    <xf numFmtId="165" fontId="36" fillId="15" borderId="7" xfId="0" applyNumberFormat="1" applyFont="1" applyFill="1" applyBorder="1" applyAlignment="1">
      <alignment horizontal="right"/>
    </xf>
    <xf numFmtId="164" fontId="37" fillId="15" borderId="7" xfId="0" applyNumberFormat="1" applyFont="1" applyFill="1" applyBorder="1" applyAlignment="1">
      <alignment horizontal="center" vertical="center"/>
    </xf>
    <xf numFmtId="164" fontId="36" fillId="15" borderId="7" xfId="0" applyNumberFormat="1" applyFont="1" applyFill="1" applyBorder="1" applyAlignment="1">
      <alignment horizontal="center" vertical="center"/>
    </xf>
    <xf numFmtId="167" fontId="36" fillId="3" borderId="7" xfId="0" applyNumberFormat="1" applyFont="1" applyFill="1" applyBorder="1" applyAlignment="1">
      <alignment horizontal="center" vertical="center"/>
    </xf>
    <xf numFmtId="167" fontId="37" fillId="3" borderId="7" xfId="0" applyNumberFormat="1" applyFont="1" applyFill="1" applyBorder="1" applyAlignment="1">
      <alignment horizontal="center" vertical="center"/>
    </xf>
    <xf numFmtId="49" fontId="36" fillId="0" borderId="0" xfId="0" applyNumberFormat="1" applyFont="1" applyAlignment="1">
      <alignment horizontal="center" vertical="center"/>
    </xf>
    <xf numFmtId="0" fontId="34" fillId="0" borderId="0" xfId="0" applyFont="1" applyAlignment="1">
      <alignment horizontal="left" vertical="center"/>
    </xf>
    <xf numFmtId="165" fontId="36" fillId="0" borderId="0" xfId="0" applyNumberFormat="1" applyFont="1" applyAlignment="1">
      <alignment horizontal="right"/>
    </xf>
    <xf numFmtId="49" fontId="69" fillId="3" borderId="0" xfId="0" applyNumberFormat="1" applyFont="1" applyFill="1"/>
    <xf numFmtId="49" fontId="52" fillId="9" borderId="6" xfId="0" applyNumberFormat="1" applyFont="1" applyFill="1" applyBorder="1" applyAlignment="1">
      <alignment horizontal="center" vertical="center"/>
    </xf>
    <xf numFmtId="0" fontId="96" fillId="14" borderId="2" xfId="0" applyFont="1" applyFill="1" applyBorder="1" applyAlignment="1">
      <alignment horizontal="center" vertical="center"/>
    </xf>
    <xf numFmtId="49" fontId="102" fillId="3" borderId="0" xfId="0" applyNumberFormat="1" applyFont="1" applyFill="1" applyAlignment="1">
      <alignment horizontal="center" vertical="center"/>
    </xf>
    <xf numFmtId="166" fontId="102" fillId="3" borderId="0" xfId="0" applyNumberFormat="1" applyFont="1" applyFill="1" applyAlignment="1">
      <alignment horizontal="center" vertical="center"/>
    </xf>
    <xf numFmtId="0" fontId="102" fillId="3" borderId="0" xfId="0" applyFont="1" applyFill="1" applyAlignment="1">
      <alignment horizontal="center" vertical="center"/>
    </xf>
    <xf numFmtId="166" fontId="102" fillId="3" borderId="0" xfId="0" applyNumberFormat="1" applyFont="1" applyFill="1"/>
    <xf numFmtId="0" fontId="102" fillId="3" borderId="0" xfId="0" applyFont="1" applyFill="1"/>
    <xf numFmtId="49" fontId="97" fillId="42" borderId="6" xfId="0" applyNumberFormat="1" applyFont="1" applyFill="1" applyBorder="1" applyAlignment="1">
      <alignment horizontal="center" vertical="center"/>
    </xf>
    <xf numFmtId="49" fontId="52" fillId="49" borderId="6" xfId="0" applyNumberFormat="1" applyFont="1" applyFill="1" applyBorder="1" applyAlignment="1">
      <alignment horizontal="center" vertical="center"/>
    </xf>
    <xf numFmtId="49" fontId="52" fillId="50" borderId="6" xfId="0" applyNumberFormat="1" applyFont="1" applyFill="1" applyBorder="1" applyAlignment="1">
      <alignment horizontal="center" vertical="center"/>
    </xf>
    <xf numFmtId="0" fontId="30" fillId="3" borderId="0" xfId="0" applyFont="1" applyFill="1" applyAlignment="1">
      <alignment horizontal="center"/>
    </xf>
    <xf numFmtId="166" fontId="90" fillId="3" borderId="0" xfId="0" applyNumberFormat="1" applyFont="1" applyFill="1" applyAlignment="1">
      <alignment horizontal="center" vertical="center"/>
    </xf>
    <xf numFmtId="166" fontId="104" fillId="5" borderId="0" xfId="0" applyNumberFormat="1" applyFont="1" applyFill="1" applyAlignment="1">
      <alignment horizontal="center" vertical="center"/>
    </xf>
    <xf numFmtId="0" fontId="104" fillId="5" borderId="0" xfId="0" applyFont="1" applyFill="1" applyAlignment="1">
      <alignment vertical="center"/>
    </xf>
    <xf numFmtId="166" fontId="104" fillId="5" borderId="0" xfId="0" applyNumberFormat="1" applyFont="1" applyFill="1" applyAlignment="1">
      <alignment vertical="center"/>
    </xf>
    <xf numFmtId="0" fontId="82" fillId="29" borderId="68" xfId="0" applyFont="1" applyFill="1" applyBorder="1" applyAlignment="1">
      <alignment horizontal="center" vertical="center"/>
    </xf>
    <xf numFmtId="0" fontId="82" fillId="3" borderId="68" xfId="0" applyFont="1" applyFill="1" applyBorder="1" applyAlignment="1">
      <alignment horizontal="center" vertical="center"/>
    </xf>
    <xf numFmtId="166" fontId="107" fillId="29" borderId="68" xfId="0" applyNumberFormat="1" applyFont="1" applyFill="1" applyBorder="1" applyAlignment="1">
      <alignment horizontal="right" vertical="center"/>
    </xf>
    <xf numFmtId="49" fontId="36" fillId="51" borderId="6" xfId="0" applyNumberFormat="1" applyFont="1" applyFill="1" applyBorder="1" applyAlignment="1">
      <alignment horizontal="center" vertical="center"/>
    </xf>
    <xf numFmtId="166" fontId="52" fillId="3" borderId="1" xfId="0" applyNumberFormat="1" applyFont="1" applyFill="1" applyBorder="1" applyAlignment="1">
      <alignment vertical="center"/>
    </xf>
    <xf numFmtId="0" fontId="110" fillId="19" borderId="57" xfId="0" applyFont="1" applyFill="1" applyBorder="1" applyAlignment="1">
      <alignment horizontal="center" vertical="center"/>
    </xf>
    <xf numFmtId="0" fontId="67" fillId="22" borderId="0" xfId="0" applyFont="1" applyFill="1"/>
    <xf numFmtId="0" fontId="111" fillId="29" borderId="68" xfId="0" applyFont="1" applyFill="1" applyBorder="1" applyAlignment="1">
      <alignment horizontal="center" vertical="center"/>
    </xf>
    <xf numFmtId="0" fontId="111" fillId="15" borderId="68" xfId="0" applyFont="1" applyFill="1" applyBorder="1" applyAlignment="1">
      <alignment horizontal="center" vertical="center"/>
    </xf>
    <xf numFmtId="0" fontId="111" fillId="0" borderId="68" xfId="0" applyFont="1" applyBorder="1" applyAlignment="1">
      <alignment horizontal="center" vertical="center"/>
    </xf>
    <xf numFmtId="166" fontId="80" fillId="3" borderId="68" xfId="0" applyNumberFormat="1" applyFont="1" applyFill="1" applyBorder="1" applyAlignment="1">
      <alignment horizontal="right" vertical="center"/>
    </xf>
    <xf numFmtId="167" fontId="44" fillId="52" borderId="6" xfId="0" applyNumberFormat="1" applyFont="1" applyFill="1" applyBorder="1" applyAlignment="1">
      <alignment horizontal="center" vertical="center"/>
    </xf>
    <xf numFmtId="167" fontId="95" fillId="0" borderId="6" xfId="0" applyNumberFormat="1" applyFont="1" applyBorder="1" applyAlignment="1">
      <alignment horizontal="center" vertical="center"/>
    </xf>
    <xf numFmtId="49" fontId="103" fillId="53" borderId="6" xfId="0" applyNumberFormat="1" applyFont="1" applyFill="1" applyBorder="1" applyAlignment="1">
      <alignment horizontal="center" vertical="center"/>
    </xf>
    <xf numFmtId="0" fontId="103" fillId="53" borderId="6" xfId="0" applyFont="1" applyFill="1" applyBorder="1" applyAlignment="1">
      <alignment vertical="center"/>
    </xf>
    <xf numFmtId="166" fontId="88" fillId="54" borderId="50" xfId="0" applyNumberFormat="1" applyFont="1" applyFill="1" applyBorder="1" applyAlignment="1">
      <alignment horizontal="right" vertical="center"/>
    </xf>
    <xf numFmtId="166" fontId="89" fillId="55" borderId="50" xfId="0" applyNumberFormat="1" applyFont="1" applyFill="1" applyBorder="1" applyAlignment="1">
      <alignment horizontal="right" vertical="center"/>
    </xf>
    <xf numFmtId="167" fontId="94" fillId="19" borderId="50" xfId="0" applyNumberFormat="1" applyFont="1" applyFill="1" applyBorder="1" applyAlignment="1">
      <alignment horizontal="center" vertical="center"/>
    </xf>
    <xf numFmtId="0" fontId="111" fillId="0" borderId="0" xfId="0" applyFont="1" applyAlignment="1">
      <alignment horizontal="center" vertical="center"/>
    </xf>
    <xf numFmtId="0" fontId="44" fillId="3" borderId="0" xfId="0" applyFont="1" applyFill="1" applyAlignment="1">
      <alignment horizontal="left" vertical="center"/>
    </xf>
    <xf numFmtId="0" fontId="53" fillId="5" borderId="2" xfId="0" applyFont="1" applyFill="1" applyBorder="1" applyAlignment="1">
      <alignment horizontal="center" vertical="center"/>
    </xf>
    <xf numFmtId="0" fontId="82" fillId="3" borderId="2" xfId="0" applyFont="1" applyFill="1" applyBorder="1" applyAlignment="1">
      <alignment horizontal="center" vertical="center"/>
    </xf>
    <xf numFmtId="167" fontId="30" fillId="52" borderId="6" xfId="0" applyNumberFormat="1" applyFont="1" applyFill="1" applyBorder="1" applyAlignment="1">
      <alignment horizontal="center" vertical="center"/>
    </xf>
    <xf numFmtId="166" fontId="64" fillId="30" borderId="47" xfId="0" applyNumberFormat="1" applyFont="1" applyFill="1" applyBorder="1" applyAlignment="1">
      <alignment horizontal="center" vertical="center"/>
    </xf>
    <xf numFmtId="167" fontId="36" fillId="40" borderId="6" xfId="0" applyNumberFormat="1" applyFont="1" applyFill="1" applyBorder="1" applyAlignment="1">
      <alignment horizontal="center" vertical="center"/>
    </xf>
    <xf numFmtId="49" fontId="37" fillId="40" borderId="6" xfId="0" applyNumberFormat="1" applyFont="1" applyFill="1" applyBorder="1" applyAlignment="1">
      <alignment horizontal="center" vertical="center"/>
    </xf>
    <xf numFmtId="167" fontId="36" fillId="0" borderId="6" xfId="0" applyNumberFormat="1" applyFont="1" applyBorder="1" applyAlignment="1">
      <alignment horizontal="center" vertical="center"/>
    </xf>
    <xf numFmtId="0" fontId="84" fillId="29" borderId="68" xfId="0" applyFont="1" applyFill="1" applyBorder="1" applyAlignment="1">
      <alignment horizontal="center" vertical="center"/>
    </xf>
    <xf numFmtId="166" fontId="89" fillId="11" borderId="6" xfId="0" applyNumberFormat="1" applyFont="1" applyFill="1" applyBorder="1" applyAlignment="1">
      <alignment horizontal="right" vertical="center" wrapText="1"/>
    </xf>
    <xf numFmtId="167" fontId="36" fillId="15" borderId="6" xfId="0" applyNumberFormat="1" applyFont="1" applyFill="1" applyBorder="1" applyAlignment="1">
      <alignment horizontal="center" vertical="center"/>
    </xf>
    <xf numFmtId="49" fontId="36" fillId="15" borderId="6" xfId="0" applyNumberFormat="1" applyFont="1" applyFill="1" applyBorder="1" applyAlignment="1">
      <alignment horizontal="center" vertical="center"/>
    </xf>
    <xf numFmtId="0" fontId="36" fillId="43" borderId="0" xfId="0" applyFont="1" applyFill="1"/>
    <xf numFmtId="165" fontId="36" fillId="43" borderId="0" xfId="0" applyNumberFormat="1" applyFont="1" applyFill="1"/>
    <xf numFmtId="0" fontId="42" fillId="11" borderId="2" xfId="0" applyFont="1" applyFill="1" applyBorder="1" applyAlignment="1">
      <alignment horizontal="center" vertical="center"/>
    </xf>
    <xf numFmtId="0" fontId="37" fillId="11" borderId="2" xfId="0" applyFont="1" applyFill="1" applyBorder="1" applyAlignment="1">
      <alignment horizontal="center" vertical="center"/>
    </xf>
    <xf numFmtId="49" fontId="84" fillId="50" borderId="6" xfId="0" applyNumberFormat="1" applyFont="1" applyFill="1" applyBorder="1" applyAlignment="1">
      <alignment horizontal="center" vertical="center"/>
    </xf>
    <xf numFmtId="0" fontId="113" fillId="36" borderId="72" xfId="0" applyFont="1" applyFill="1" applyBorder="1" applyAlignment="1">
      <alignment horizontal="center" vertical="center"/>
    </xf>
    <xf numFmtId="0" fontId="30" fillId="0" borderId="6" xfId="0" applyFont="1" applyBorder="1" applyAlignment="1">
      <alignment horizontal="center" vertical="center"/>
    </xf>
    <xf numFmtId="0" fontId="114" fillId="19" borderId="79" xfId="0" applyFont="1" applyFill="1" applyBorder="1" applyAlignment="1">
      <alignment horizontal="center" vertical="center"/>
    </xf>
    <xf numFmtId="0" fontId="111" fillId="15" borderId="81" xfId="0" applyFont="1" applyFill="1" applyBorder="1" applyAlignment="1">
      <alignment horizontal="center" vertical="center"/>
    </xf>
    <xf numFmtId="0" fontId="111" fillId="0" borderId="81" xfId="0" applyFont="1" applyBorder="1" applyAlignment="1">
      <alignment horizontal="center" vertical="center"/>
    </xf>
    <xf numFmtId="0" fontId="111" fillId="29" borderId="81" xfId="0" applyFont="1" applyFill="1" applyBorder="1" applyAlignment="1">
      <alignment horizontal="center" vertical="center"/>
    </xf>
    <xf numFmtId="0" fontId="111" fillId="29" borderId="80" xfId="0" applyFont="1" applyFill="1" applyBorder="1" applyAlignment="1">
      <alignment horizontal="center" vertical="center"/>
    </xf>
    <xf numFmtId="0" fontId="111" fillId="15" borderId="80" xfId="0" applyFont="1" applyFill="1" applyBorder="1" applyAlignment="1">
      <alignment horizontal="center" vertical="center"/>
    </xf>
    <xf numFmtId="0" fontId="111" fillId="0" borderId="80" xfId="0" applyFont="1" applyBorder="1" applyAlignment="1">
      <alignment horizontal="center" vertical="center"/>
    </xf>
    <xf numFmtId="0" fontId="87" fillId="29" borderId="81" xfId="0" applyFont="1" applyFill="1" applyBorder="1" applyAlignment="1">
      <alignment horizontal="center" vertical="center"/>
    </xf>
    <xf numFmtId="0" fontId="87" fillId="29" borderId="80" xfId="0" applyFont="1" applyFill="1" applyBorder="1" applyAlignment="1">
      <alignment horizontal="center" vertical="center"/>
    </xf>
    <xf numFmtId="0" fontId="86" fillId="29" borderId="81" xfId="0" applyFont="1" applyFill="1" applyBorder="1" applyAlignment="1">
      <alignment horizontal="center" vertical="center"/>
    </xf>
    <xf numFmtId="0" fontId="86" fillId="0" borderId="81" xfId="0" applyFont="1" applyBorder="1" applyAlignment="1">
      <alignment horizontal="center" vertical="center"/>
    </xf>
    <xf numFmtId="0" fontId="86" fillId="29" borderId="80" xfId="0" applyFont="1" applyFill="1" applyBorder="1" applyAlignment="1">
      <alignment horizontal="center" vertical="center"/>
    </xf>
    <xf numFmtId="0" fontId="86" fillId="0" borderId="80" xfId="0" applyFont="1" applyBorder="1" applyAlignment="1">
      <alignment horizontal="center" vertical="center"/>
    </xf>
    <xf numFmtId="0" fontId="86" fillId="15" borderId="81" xfId="0" applyFont="1" applyFill="1" applyBorder="1" applyAlignment="1">
      <alignment horizontal="center" vertical="center"/>
    </xf>
    <xf numFmtId="0" fontId="86" fillId="15" borderId="80" xfId="0" applyFont="1" applyFill="1" applyBorder="1" applyAlignment="1">
      <alignment horizontal="center" vertical="center"/>
    </xf>
    <xf numFmtId="0" fontId="69" fillId="29" borderId="81" xfId="0" applyFont="1" applyFill="1" applyBorder="1" applyAlignment="1">
      <alignment horizontal="left" vertical="center"/>
    </xf>
    <xf numFmtId="0" fontId="69" fillId="0" borderId="81" xfId="0" applyFont="1" applyBorder="1" applyAlignment="1">
      <alignment horizontal="left" vertical="center"/>
    </xf>
    <xf numFmtId="0" fontId="115" fillId="36" borderId="72" xfId="0" applyFont="1" applyFill="1" applyBorder="1" applyAlignment="1">
      <alignment horizontal="center" vertical="center"/>
    </xf>
    <xf numFmtId="0" fontId="87" fillId="43" borderId="68" xfId="0" applyFont="1" applyFill="1" applyBorder="1" applyAlignment="1">
      <alignment horizontal="center" vertical="center"/>
    </xf>
    <xf numFmtId="0" fontId="87" fillId="43" borderId="81" xfId="0" applyFont="1" applyFill="1" applyBorder="1" applyAlignment="1">
      <alignment horizontal="center" vertical="center"/>
    </xf>
    <xf numFmtId="0" fontId="87" fillId="43" borderId="80" xfId="0" applyFont="1" applyFill="1" applyBorder="1" applyAlignment="1">
      <alignment horizontal="center" vertical="center"/>
    </xf>
    <xf numFmtId="0" fontId="44" fillId="3" borderId="0" xfId="0" applyFont="1" applyFill="1" applyAlignment="1">
      <alignment horizontal="center"/>
    </xf>
    <xf numFmtId="0" fontId="63" fillId="3" borderId="0" xfId="0" applyFont="1" applyFill="1" applyAlignment="1">
      <alignment horizontal="center"/>
    </xf>
    <xf numFmtId="0" fontId="67" fillId="3" borderId="0" xfId="0" applyFont="1" applyFill="1" applyAlignment="1">
      <alignment horizontal="center"/>
    </xf>
    <xf numFmtId="0" fontId="109" fillId="0" borderId="68" xfId="0" applyFont="1" applyBorder="1" applyAlignment="1">
      <alignment horizontal="center" vertical="center"/>
    </xf>
    <xf numFmtId="0" fontId="87" fillId="56" borderId="68" xfId="0" applyFont="1" applyFill="1" applyBorder="1" applyAlignment="1">
      <alignment horizontal="center" vertical="center"/>
    </xf>
    <xf numFmtId="0" fontId="69" fillId="3" borderId="0" xfId="0" applyFont="1" applyFill="1" applyAlignment="1">
      <alignment horizontal="left" vertical="center"/>
    </xf>
    <xf numFmtId="0" fontId="69" fillId="0" borderId="70" xfId="0" applyFont="1" applyBorder="1" applyAlignment="1">
      <alignment horizontal="left" vertical="center"/>
    </xf>
    <xf numFmtId="0" fontId="69" fillId="0" borderId="0" xfId="0" applyFont="1" applyAlignment="1">
      <alignment horizontal="left" vertical="center"/>
    </xf>
    <xf numFmtId="0" fontId="86" fillId="3" borderId="80" xfId="0" applyFont="1" applyFill="1" applyBorder="1" applyAlignment="1">
      <alignment horizontal="center" vertical="center"/>
    </xf>
    <xf numFmtId="0" fontId="113" fillId="36" borderId="82" xfId="0" applyFont="1" applyFill="1" applyBorder="1" applyAlignment="1">
      <alignment horizontal="center" vertical="center"/>
    </xf>
    <xf numFmtId="0" fontId="116" fillId="19" borderId="83" xfId="0" applyFont="1" applyFill="1" applyBorder="1" applyAlignment="1">
      <alignment horizontal="center" vertical="center"/>
    </xf>
    <xf numFmtId="167" fontId="83" fillId="0" borderId="6" xfId="0" applyNumberFormat="1" applyFont="1" applyBorder="1" applyAlignment="1">
      <alignment horizontal="center" vertical="center"/>
    </xf>
    <xf numFmtId="49" fontId="83" fillId="0" borderId="6" xfId="0" applyNumberFormat="1" applyFont="1" applyBorder="1" applyAlignment="1">
      <alignment horizontal="center" vertical="center"/>
    </xf>
    <xf numFmtId="0" fontId="83" fillId="3" borderId="6" xfId="0" applyFont="1" applyFill="1" applyBorder="1" applyAlignment="1">
      <alignment vertical="center"/>
    </xf>
    <xf numFmtId="166" fontId="117" fillId="12" borderId="6" xfId="0" applyNumberFormat="1" applyFont="1" applyFill="1" applyBorder="1" applyAlignment="1">
      <alignment horizontal="right" vertical="center"/>
    </xf>
    <xf numFmtId="166" fontId="118" fillId="11" borderId="6" xfId="0" applyNumberFormat="1" applyFont="1" applyFill="1" applyBorder="1" applyAlignment="1">
      <alignment horizontal="right" vertical="center"/>
    </xf>
    <xf numFmtId="167" fontId="82" fillId="3" borderId="6" xfId="0" applyNumberFormat="1" applyFont="1" applyFill="1" applyBorder="1" applyAlignment="1">
      <alignment horizontal="center" vertical="center"/>
    </xf>
    <xf numFmtId="0" fontId="95" fillId="19" borderId="6" xfId="0" applyFont="1" applyFill="1" applyBorder="1" applyAlignment="1">
      <alignment vertical="center"/>
    </xf>
    <xf numFmtId="49" fontId="84" fillId="3" borderId="6" xfId="0" applyNumberFormat="1" applyFont="1" applyFill="1" applyBorder="1" applyAlignment="1">
      <alignment horizontal="center" vertical="center"/>
    </xf>
    <xf numFmtId="0" fontId="63" fillId="3" borderId="0" xfId="0" applyFont="1" applyFill="1" applyAlignment="1">
      <alignment horizontal="center" vertical="center"/>
    </xf>
    <xf numFmtId="0" fontId="71" fillId="14" borderId="68" xfId="0" applyFont="1" applyFill="1" applyBorder="1" applyAlignment="1">
      <alignment horizontal="center" vertical="center"/>
    </xf>
    <xf numFmtId="0" fontId="71" fillId="0" borderId="81" xfId="0" applyFont="1" applyBorder="1" applyAlignment="1">
      <alignment horizontal="center" vertical="center"/>
    </xf>
    <xf numFmtId="0" fontId="71" fillId="29" borderId="81" xfId="0" applyFont="1" applyFill="1" applyBorder="1" applyAlignment="1">
      <alignment horizontal="center" vertical="center"/>
    </xf>
    <xf numFmtId="0" fontId="71" fillId="3" borderId="81" xfId="0" applyFont="1" applyFill="1" applyBorder="1" applyAlignment="1">
      <alignment horizontal="center" vertical="center"/>
    </xf>
    <xf numFmtId="0" fontId="71" fillId="3" borderId="68" xfId="0" applyFont="1" applyFill="1" applyBorder="1" applyAlignment="1">
      <alignment horizontal="center" vertical="center"/>
    </xf>
    <xf numFmtId="0" fontId="86" fillId="11" borderId="68" xfId="0" applyFont="1" applyFill="1" applyBorder="1" applyAlignment="1">
      <alignment horizontal="center" vertical="center"/>
    </xf>
    <xf numFmtId="0" fontId="111" fillId="11" borderId="68" xfId="0" applyFont="1" applyFill="1" applyBorder="1" applyAlignment="1">
      <alignment horizontal="center" vertical="center"/>
    </xf>
    <xf numFmtId="0" fontId="110" fillId="3" borderId="0" xfId="0" applyFont="1" applyFill="1" applyAlignment="1">
      <alignment horizontal="center" vertical="center"/>
    </xf>
    <xf numFmtId="0" fontId="110" fillId="0" borderId="0" xfId="0" applyFont="1" applyAlignment="1">
      <alignment horizontal="center" vertical="center"/>
    </xf>
    <xf numFmtId="0" fontId="109" fillId="3" borderId="0" xfId="0" applyFont="1" applyFill="1" applyAlignment="1">
      <alignment vertical="center"/>
    </xf>
    <xf numFmtId="0" fontId="71" fillId="3" borderId="0" xfId="0" applyFont="1" applyFill="1" applyAlignment="1">
      <alignment vertical="center"/>
    </xf>
    <xf numFmtId="0" fontId="109" fillId="3" borderId="0" xfId="0" applyFont="1" applyFill="1" applyAlignment="1">
      <alignment horizontal="center" vertical="center"/>
    </xf>
    <xf numFmtId="0" fontId="71" fillId="3" borderId="0" xfId="0" applyFont="1" applyFill="1" applyAlignment="1">
      <alignment horizontal="center" vertical="center"/>
    </xf>
    <xf numFmtId="0" fontId="69" fillId="3" borderId="69" xfId="0" applyFont="1" applyFill="1" applyBorder="1" applyAlignment="1">
      <alignment horizontal="left" vertical="center"/>
    </xf>
    <xf numFmtId="0" fontId="86" fillId="3" borderId="69" xfId="0" applyFont="1" applyFill="1" applyBorder="1" applyAlignment="1">
      <alignment horizontal="center" vertical="center"/>
    </xf>
    <xf numFmtId="0" fontId="71" fillId="3" borderId="69" xfId="0" applyFont="1" applyFill="1" applyBorder="1" applyAlignment="1">
      <alignment horizontal="center" vertical="center"/>
    </xf>
    <xf numFmtId="0" fontId="110" fillId="29" borderId="68" xfId="0" applyFont="1" applyFill="1" applyBorder="1" applyAlignment="1">
      <alignment horizontal="center" vertical="center"/>
    </xf>
    <xf numFmtId="0" fontId="110" fillId="3" borderId="68" xfId="0" applyFont="1" applyFill="1" applyBorder="1" applyAlignment="1">
      <alignment horizontal="center" vertical="center"/>
    </xf>
    <xf numFmtId="0" fontId="44" fillId="3" borderId="0" xfId="0" applyFont="1" applyFill="1" applyAlignment="1">
      <alignment horizontal="left"/>
    </xf>
    <xf numFmtId="0" fontId="67" fillId="3" borderId="37" xfId="0" applyFont="1" applyFill="1" applyBorder="1" applyAlignment="1">
      <alignment horizontal="left" vertical="center"/>
    </xf>
    <xf numFmtId="0" fontId="71" fillId="14" borderId="81" xfId="0" applyFont="1" applyFill="1" applyBorder="1" applyAlignment="1">
      <alignment horizontal="center" vertical="center"/>
    </xf>
    <xf numFmtId="0" fontId="71" fillId="0" borderId="80" xfId="0" applyFont="1" applyBorder="1" applyAlignment="1">
      <alignment horizontal="center" vertical="center"/>
    </xf>
    <xf numFmtId="0" fontId="71" fillId="14" borderId="80" xfId="0" applyFont="1" applyFill="1" applyBorder="1" applyAlignment="1">
      <alignment horizontal="center" vertical="center"/>
    </xf>
    <xf numFmtId="0" fontId="69" fillId="0" borderId="84" xfId="0" applyFont="1" applyBorder="1" applyAlignment="1">
      <alignment horizontal="left" vertical="center"/>
    </xf>
    <xf numFmtId="0" fontId="69" fillId="3" borderId="84" xfId="0" applyFont="1" applyFill="1" applyBorder="1" applyAlignment="1">
      <alignment horizontal="left" vertical="center"/>
    </xf>
    <xf numFmtId="0" fontId="110" fillId="3" borderId="0" xfId="0" applyFont="1" applyFill="1" applyAlignment="1">
      <alignment horizontal="center"/>
    </xf>
    <xf numFmtId="0" fontId="109" fillId="57" borderId="37" xfId="0" applyFont="1" applyFill="1" applyBorder="1" applyAlignment="1">
      <alignment horizontal="center" vertical="center"/>
    </xf>
    <xf numFmtId="0" fontId="67" fillId="57" borderId="37" xfId="0" applyFont="1" applyFill="1" applyBorder="1" applyAlignment="1">
      <alignment horizontal="center" vertical="center"/>
    </xf>
    <xf numFmtId="0" fontId="109" fillId="35" borderId="37" xfId="0" applyFont="1" applyFill="1" applyBorder="1" applyAlignment="1">
      <alignment horizontal="center" vertical="center"/>
    </xf>
    <xf numFmtId="0" fontId="67" fillId="35" borderId="37" xfId="0" applyFont="1" applyFill="1" applyBorder="1" applyAlignment="1">
      <alignment horizontal="center" vertical="center"/>
    </xf>
    <xf numFmtId="0" fontId="109" fillId="18" borderId="37" xfId="0" applyFont="1" applyFill="1" applyBorder="1" applyAlignment="1">
      <alignment horizontal="center" vertical="center"/>
    </xf>
    <xf numFmtId="0" fontId="67" fillId="18" borderId="37" xfId="0" applyFont="1" applyFill="1" applyBorder="1" applyAlignment="1">
      <alignment horizontal="center" vertical="center"/>
    </xf>
    <xf numFmtId="0" fontId="109" fillId="58" borderId="37" xfId="0" applyFont="1" applyFill="1" applyBorder="1" applyAlignment="1">
      <alignment horizontal="center" vertical="center"/>
    </xf>
    <xf numFmtId="0" fontId="67" fillId="58" borderId="37" xfId="0" applyFont="1" applyFill="1" applyBorder="1" applyAlignment="1">
      <alignment horizontal="center" vertical="center"/>
    </xf>
    <xf numFmtId="0" fontId="109" fillId="57" borderId="0" xfId="0" applyFont="1" applyFill="1" applyAlignment="1">
      <alignment horizontal="center" vertical="center"/>
    </xf>
    <xf numFmtId="0" fontId="109" fillId="35" borderId="0" xfId="0" applyFont="1" applyFill="1" applyAlignment="1">
      <alignment horizontal="center" vertical="center"/>
    </xf>
    <xf numFmtId="0" fontId="109" fillId="18" borderId="0" xfId="0" applyFont="1" applyFill="1" applyAlignment="1">
      <alignment horizontal="center" vertical="center"/>
    </xf>
    <xf numFmtId="1" fontId="67" fillId="0" borderId="37" xfId="0" applyNumberFormat="1" applyFont="1" applyBorder="1" applyAlignment="1">
      <alignment horizontal="center" vertical="center"/>
    </xf>
    <xf numFmtId="0" fontId="69" fillId="3" borderId="0" xfId="0" applyFont="1" applyFill="1" applyAlignment="1">
      <alignment horizontal="right"/>
    </xf>
    <xf numFmtId="0" fontId="69" fillId="0" borderId="0" xfId="0" applyFont="1" applyAlignment="1">
      <alignment horizontal="right"/>
    </xf>
    <xf numFmtId="0" fontId="84" fillId="3" borderId="68" xfId="0" applyFont="1" applyFill="1" applyBorder="1" applyAlignment="1">
      <alignment horizontal="center" vertical="center"/>
    </xf>
    <xf numFmtId="0" fontId="76" fillId="3" borderId="0" xfId="0" applyFont="1" applyFill="1" applyAlignment="1">
      <alignment horizontal="center"/>
    </xf>
    <xf numFmtId="166" fontId="52" fillId="3" borderId="68" xfId="0" applyNumberFormat="1" applyFont="1" applyFill="1" applyBorder="1" applyAlignment="1">
      <alignment horizontal="center" vertical="center"/>
    </xf>
    <xf numFmtId="166" fontId="52" fillId="29" borderId="68" xfId="0" applyNumberFormat="1" applyFont="1" applyFill="1" applyBorder="1" applyAlignment="1">
      <alignment horizontal="center" vertical="center"/>
    </xf>
    <xf numFmtId="166" fontId="75" fillId="3" borderId="0" xfId="0" applyNumberFormat="1" applyFont="1" applyFill="1" applyAlignment="1">
      <alignment horizontal="center" vertical="center"/>
    </xf>
    <xf numFmtId="0" fontId="75" fillId="3" borderId="0" xfId="0" applyFont="1" applyFill="1" applyAlignment="1">
      <alignment horizontal="center" vertical="center"/>
    </xf>
    <xf numFmtId="167" fontId="30" fillId="43" borderId="6" xfId="0" applyNumberFormat="1" applyFont="1" applyFill="1" applyBorder="1" applyAlignment="1">
      <alignment horizontal="center" vertical="center"/>
    </xf>
    <xf numFmtId="0" fontId="110" fillId="3" borderId="69" xfId="0" applyFont="1" applyFill="1" applyBorder="1" applyAlignment="1">
      <alignment horizontal="center" vertical="center"/>
    </xf>
    <xf numFmtId="0" fontId="36" fillId="56" borderId="0" xfId="0" applyFont="1" applyFill="1"/>
    <xf numFmtId="165" fontId="36" fillId="56" borderId="0" xfId="0" applyNumberFormat="1" applyFont="1" applyFill="1"/>
    <xf numFmtId="166" fontId="124" fillId="3" borderId="47" xfId="0" applyNumberFormat="1" applyFont="1" applyFill="1" applyBorder="1" applyAlignment="1">
      <alignment horizontal="center" vertical="center"/>
    </xf>
    <xf numFmtId="166" fontId="63" fillId="11" borderId="47" xfId="0" applyNumberFormat="1" applyFont="1" applyFill="1" applyBorder="1" applyAlignment="1">
      <alignment horizontal="center" vertical="center"/>
    </xf>
    <xf numFmtId="169" fontId="44" fillId="3" borderId="0" xfId="0" applyNumberFormat="1" applyFont="1" applyFill="1" applyAlignment="1">
      <alignment vertical="center"/>
    </xf>
    <xf numFmtId="167" fontId="44" fillId="43" borderId="6" xfId="0" applyNumberFormat="1" applyFont="1" applyFill="1" applyBorder="1" applyAlignment="1">
      <alignment horizontal="center" vertical="center"/>
    </xf>
    <xf numFmtId="170" fontId="125" fillId="44" borderId="51" xfId="0" applyNumberFormat="1" applyFont="1" applyFill="1" applyBorder="1" applyAlignment="1">
      <alignment horizontal="center" vertical="center"/>
    </xf>
    <xf numFmtId="170" fontId="126" fillId="15" borderId="51" xfId="0" applyNumberFormat="1" applyFont="1" applyFill="1" applyBorder="1" applyAlignment="1">
      <alignment horizontal="center" vertical="center"/>
    </xf>
    <xf numFmtId="170" fontId="127" fillId="22" borderId="51" xfId="0" applyNumberFormat="1" applyFont="1" applyFill="1" applyBorder="1" applyAlignment="1">
      <alignment horizontal="center" vertical="center"/>
    </xf>
    <xf numFmtId="170" fontId="127" fillId="37" borderId="51" xfId="0" applyNumberFormat="1" applyFont="1" applyFill="1" applyBorder="1" applyAlignment="1">
      <alignment horizontal="center" vertical="center"/>
    </xf>
    <xf numFmtId="170" fontId="127" fillId="45" borderId="51" xfId="0" applyNumberFormat="1" applyFont="1" applyFill="1" applyBorder="1" applyAlignment="1">
      <alignment horizontal="center" vertical="center"/>
    </xf>
    <xf numFmtId="0" fontId="59" fillId="3" borderId="51" xfId="0" applyFont="1" applyFill="1" applyBorder="1" applyAlignment="1">
      <alignment horizontal="left" vertical="center"/>
    </xf>
    <xf numFmtId="170" fontId="128" fillId="3" borderId="51" xfId="0" applyNumberFormat="1" applyFont="1" applyFill="1" applyBorder="1" applyAlignment="1">
      <alignment horizontal="center" vertical="center"/>
    </xf>
    <xf numFmtId="170" fontId="128" fillId="3" borderId="0" xfId="0" applyNumberFormat="1" applyFont="1" applyFill="1" applyAlignment="1">
      <alignment horizontal="center" vertical="center"/>
    </xf>
    <xf numFmtId="170" fontId="129" fillId="3" borderId="0" xfId="0" applyNumberFormat="1" applyFont="1" applyFill="1" applyAlignment="1">
      <alignment horizontal="center" vertical="center"/>
    </xf>
    <xf numFmtId="0" fontId="83" fillId="3" borderId="85" xfId="0" applyFont="1" applyFill="1" applyBorder="1"/>
    <xf numFmtId="0" fontId="83" fillId="3" borderId="86" xfId="0" applyFont="1" applyFill="1" applyBorder="1"/>
    <xf numFmtId="0" fontId="83" fillId="3" borderId="87" xfId="0" applyFont="1" applyFill="1" applyBorder="1"/>
    <xf numFmtId="0" fontId="83" fillId="3" borderId="88" xfId="0" applyFont="1" applyFill="1" applyBorder="1"/>
    <xf numFmtId="0" fontId="83" fillId="3" borderId="89" xfId="0" applyFont="1" applyFill="1" applyBorder="1"/>
    <xf numFmtId="0" fontId="83" fillId="3" borderId="90" xfId="0" applyFont="1" applyFill="1" applyBorder="1"/>
    <xf numFmtId="0" fontId="83" fillId="3" borderId="91" xfId="0" applyFont="1" applyFill="1" applyBorder="1"/>
    <xf numFmtId="0" fontId="83" fillId="3" borderId="92" xfId="0" applyFont="1" applyFill="1" applyBorder="1"/>
    <xf numFmtId="0" fontId="83" fillId="41" borderId="0" xfId="0" applyFont="1" applyFill="1"/>
    <xf numFmtId="0" fontId="138" fillId="3" borderId="0" xfId="0" applyFont="1" applyFill="1" applyAlignment="1">
      <alignment vertical="center"/>
    </xf>
    <xf numFmtId="170" fontId="59" fillId="59" borderId="51" xfId="0" applyNumberFormat="1" applyFont="1" applyFill="1" applyBorder="1" applyAlignment="1">
      <alignment horizontal="center" vertical="center"/>
    </xf>
    <xf numFmtId="170" fontId="128" fillId="59" borderId="51" xfId="0" applyNumberFormat="1" applyFont="1" applyFill="1" applyBorder="1" applyAlignment="1">
      <alignment horizontal="center" vertical="center"/>
    </xf>
    <xf numFmtId="10" fontId="59" fillId="3" borderId="0" xfId="1" applyNumberFormat="1" applyFont="1" applyFill="1" applyAlignment="1">
      <alignment horizontal="center" vertical="center"/>
    </xf>
    <xf numFmtId="170" fontId="59" fillId="41" borderId="51" xfId="0" applyNumberFormat="1" applyFont="1" applyFill="1" applyBorder="1" applyAlignment="1">
      <alignment horizontal="center" vertical="center"/>
    </xf>
    <xf numFmtId="170" fontId="127" fillId="41" borderId="51" xfId="0" applyNumberFormat="1" applyFont="1" applyFill="1" applyBorder="1" applyAlignment="1">
      <alignment horizontal="center" vertical="center"/>
    </xf>
    <xf numFmtId="170" fontId="127" fillId="3" borderId="51" xfId="0" applyNumberFormat="1" applyFont="1" applyFill="1" applyBorder="1" applyAlignment="1">
      <alignment horizontal="center" vertical="center"/>
    </xf>
    <xf numFmtId="0" fontId="59" fillId="11" borderId="51" xfId="0" applyFont="1" applyFill="1" applyBorder="1" applyAlignment="1">
      <alignment horizontal="left" vertical="center"/>
    </xf>
    <xf numFmtId="170" fontId="59" fillId="11" borderId="51" xfId="0" applyNumberFormat="1" applyFont="1" applyFill="1" applyBorder="1" applyAlignment="1">
      <alignment horizontal="center" vertical="center"/>
    </xf>
    <xf numFmtId="0" fontId="108" fillId="11" borderId="51" xfId="0" applyFont="1" applyFill="1" applyBorder="1" applyAlignment="1">
      <alignment horizontal="left" vertical="center"/>
    </xf>
    <xf numFmtId="0" fontId="108" fillId="3" borderId="93" xfId="0" applyFont="1" applyFill="1" applyBorder="1" applyAlignment="1">
      <alignment horizontal="left" vertical="center"/>
    </xf>
    <xf numFmtId="0" fontId="59" fillId="3" borderId="93" xfId="0" applyFont="1" applyFill="1" applyBorder="1" applyAlignment="1">
      <alignment horizontal="left" vertical="center"/>
    </xf>
    <xf numFmtId="10" fontId="128" fillId="3" borderId="0" xfId="1" applyNumberFormat="1" applyFont="1" applyFill="1" applyBorder="1" applyAlignment="1">
      <alignment horizontal="center" vertical="center"/>
    </xf>
    <xf numFmtId="170" fontId="128" fillId="11" borderId="51" xfId="0" applyNumberFormat="1" applyFont="1" applyFill="1" applyBorder="1" applyAlignment="1">
      <alignment horizontal="center" vertical="center"/>
    </xf>
    <xf numFmtId="170" fontId="125" fillId="3" borderId="51" xfId="0" applyNumberFormat="1" applyFont="1" applyFill="1" applyBorder="1" applyAlignment="1">
      <alignment horizontal="center" vertical="center"/>
    </xf>
    <xf numFmtId="10" fontId="125" fillId="3" borderId="0" xfId="1" applyNumberFormat="1" applyFont="1" applyFill="1" applyBorder="1" applyAlignment="1">
      <alignment horizontal="center" vertical="center"/>
    </xf>
    <xf numFmtId="10" fontId="127" fillId="3" borderId="0" xfId="1" applyNumberFormat="1" applyFont="1" applyFill="1" applyBorder="1" applyAlignment="1">
      <alignment horizontal="center" vertical="center"/>
    </xf>
    <xf numFmtId="0" fontId="30" fillId="15" borderId="6" xfId="0" applyFont="1" applyFill="1" applyBorder="1" applyAlignment="1">
      <alignment horizontal="center" vertical="center"/>
    </xf>
    <xf numFmtId="0" fontId="30" fillId="15" borderId="6" xfId="0" applyFont="1" applyFill="1" applyBorder="1" applyAlignment="1">
      <alignment vertical="center"/>
    </xf>
    <xf numFmtId="0" fontId="30" fillId="15" borderId="6" xfId="0" applyFont="1" applyFill="1" applyBorder="1" applyAlignment="1">
      <alignment horizontal="center"/>
    </xf>
    <xf numFmtId="167" fontId="30" fillId="43" borderId="6" xfId="0" applyNumberFormat="1" applyFont="1" applyFill="1" applyBorder="1" applyAlignment="1">
      <alignment horizontal="center"/>
    </xf>
    <xf numFmtId="49" fontId="30" fillId="15" borderId="6" xfId="0" applyNumberFormat="1" applyFont="1" applyFill="1" applyBorder="1" applyAlignment="1">
      <alignment horizontal="center" vertical="center"/>
    </xf>
    <xf numFmtId="49" fontId="30" fillId="43" borderId="6" xfId="0" applyNumberFormat="1" applyFont="1" applyFill="1" applyBorder="1" applyAlignment="1">
      <alignment horizontal="center" vertical="center"/>
    </xf>
    <xf numFmtId="0" fontId="30" fillId="43" borderId="6" xfId="0" applyFont="1" applyFill="1" applyBorder="1" applyAlignment="1">
      <alignment vertical="center"/>
    </xf>
    <xf numFmtId="170" fontId="59" fillId="60" borderId="51" xfId="0" applyNumberFormat="1" applyFont="1" applyFill="1" applyBorder="1" applyAlignment="1">
      <alignment horizontal="center" vertical="center"/>
    </xf>
    <xf numFmtId="170" fontId="125" fillId="60" borderId="51" xfId="0" applyNumberFormat="1" applyFont="1" applyFill="1" applyBorder="1" applyAlignment="1">
      <alignment horizontal="center" vertical="center"/>
    </xf>
    <xf numFmtId="170" fontId="146" fillId="11" borderId="51" xfId="0" applyNumberFormat="1" applyFont="1" applyFill="1" applyBorder="1" applyAlignment="1">
      <alignment horizontal="center" vertical="center"/>
    </xf>
    <xf numFmtId="170" fontId="59" fillId="18" borderId="51" xfId="0" applyNumberFormat="1" applyFont="1" applyFill="1" applyBorder="1" applyAlignment="1">
      <alignment horizontal="center" vertical="center"/>
    </xf>
    <xf numFmtId="0" fontId="147" fillId="11" borderId="51" xfId="0" applyFont="1" applyFill="1" applyBorder="1" applyAlignment="1">
      <alignment horizontal="left" vertical="center"/>
    </xf>
    <xf numFmtId="169" fontId="147" fillId="60" borderId="51" xfId="0" applyNumberFormat="1" applyFont="1" applyFill="1" applyBorder="1" applyAlignment="1">
      <alignment horizontal="left" vertical="center"/>
    </xf>
    <xf numFmtId="10" fontId="52" fillId="3" borderId="0" xfId="1" applyNumberFormat="1" applyFont="1" applyFill="1" applyBorder="1" applyAlignment="1">
      <alignment horizontal="center" vertical="center"/>
    </xf>
    <xf numFmtId="169" fontId="148" fillId="3" borderId="0" xfId="0" applyNumberFormat="1" applyFont="1" applyFill="1"/>
    <xf numFmtId="169" fontId="148" fillId="3" borderId="0" xfId="0" applyNumberFormat="1" applyFont="1" applyFill="1" applyAlignment="1">
      <alignment horizontal="center" vertical="center"/>
    </xf>
    <xf numFmtId="169" fontId="102" fillId="3" borderId="0" xfId="0" applyNumberFormat="1" applyFont="1" applyFill="1" applyAlignment="1">
      <alignment horizontal="center" vertical="center"/>
    </xf>
    <xf numFmtId="177" fontId="102" fillId="3" borderId="0" xfId="0" applyNumberFormat="1" applyFont="1" applyFill="1" applyAlignment="1">
      <alignment horizontal="center" vertical="center"/>
    </xf>
    <xf numFmtId="49" fontId="44" fillId="0" borderId="6" xfId="0" quotePrefix="1" applyNumberFormat="1" applyFont="1" applyBorder="1" applyAlignment="1">
      <alignment horizontal="center" vertical="center"/>
    </xf>
    <xf numFmtId="0" fontId="31" fillId="3" borderId="37" xfId="0" applyFont="1" applyFill="1" applyBorder="1" applyAlignment="1">
      <alignment horizontal="left" vertical="center"/>
    </xf>
    <xf numFmtId="170" fontId="85" fillId="3" borderId="0" xfId="0" applyNumberFormat="1" applyFont="1" applyFill="1" applyAlignment="1">
      <alignment horizontal="center" vertical="center"/>
    </xf>
    <xf numFmtId="0" fontId="109" fillId="19" borderId="57" xfId="0" applyFont="1" applyFill="1" applyBorder="1" applyAlignment="1">
      <alignment horizontal="center" vertical="center"/>
    </xf>
    <xf numFmtId="1" fontId="36" fillId="5" borderId="1" xfId="0" applyNumberFormat="1" applyFont="1" applyFill="1" applyBorder="1" applyAlignment="1">
      <alignment horizontal="center" vertical="center"/>
    </xf>
    <xf numFmtId="0" fontId="109" fillId="61" borderId="37" xfId="0" applyFont="1" applyFill="1" applyBorder="1" applyAlignment="1">
      <alignment horizontal="center" vertical="center"/>
    </xf>
    <xf numFmtId="3" fontId="67" fillId="61" borderId="37" xfId="0" applyNumberFormat="1" applyFont="1" applyFill="1" applyBorder="1" applyAlignment="1">
      <alignment horizontal="center" vertical="center"/>
    </xf>
    <xf numFmtId="10" fontId="30" fillId="3" borderId="0" xfId="1" applyNumberFormat="1" applyFont="1" applyFill="1"/>
    <xf numFmtId="0" fontId="35" fillId="3" borderId="0" xfId="0" applyFont="1" applyFill="1"/>
    <xf numFmtId="166" fontId="31" fillId="3" borderId="0" xfId="0" applyNumberFormat="1" applyFont="1" applyFill="1"/>
    <xf numFmtId="0" fontId="30" fillId="3" borderId="30" xfId="0" applyFont="1" applyFill="1" applyBorder="1" applyAlignment="1">
      <alignment horizontal="center"/>
    </xf>
    <xf numFmtId="0" fontId="30" fillId="3" borderId="0" xfId="1" applyNumberFormat="1" applyFont="1" applyFill="1" applyAlignment="1">
      <alignment horizontal="center" vertical="center"/>
    </xf>
    <xf numFmtId="0" fontId="31" fillId="3" borderId="35" xfId="0" applyFont="1" applyFill="1" applyBorder="1" applyAlignment="1">
      <alignment horizontal="center" vertical="center"/>
    </xf>
    <xf numFmtId="0" fontId="30" fillId="3" borderId="35" xfId="0" applyFont="1" applyFill="1" applyBorder="1" applyAlignment="1">
      <alignment horizontal="center" vertical="center"/>
    </xf>
    <xf numFmtId="0" fontId="30" fillId="3" borderId="35" xfId="0" applyFont="1" applyFill="1" applyBorder="1" applyAlignment="1">
      <alignment horizontal="center"/>
    </xf>
    <xf numFmtId="10" fontId="152" fillId="3" borderId="0" xfId="1" applyNumberFormat="1" applyFont="1" applyFill="1" applyAlignment="1">
      <alignment horizontal="center" vertical="center"/>
    </xf>
    <xf numFmtId="10" fontId="153" fillId="3" borderId="0" xfId="1" applyNumberFormat="1" applyFont="1" applyFill="1" applyAlignment="1">
      <alignment horizontal="right" vertical="center"/>
    </xf>
    <xf numFmtId="0" fontId="153" fillId="3" borderId="0" xfId="0" applyFont="1" applyFill="1"/>
    <xf numFmtId="0" fontId="87" fillId="0" borderId="68" xfId="0" applyFont="1" applyBorder="1" applyAlignment="1">
      <alignment horizontal="center" vertical="center"/>
    </xf>
    <xf numFmtId="0" fontId="154" fillId="0" borderId="68" xfId="0" applyFont="1" applyBorder="1" applyAlignment="1">
      <alignment horizontal="center" vertical="center"/>
    </xf>
    <xf numFmtId="0" fontId="154" fillId="29" borderId="81" xfId="0" applyFont="1" applyFill="1" applyBorder="1" applyAlignment="1">
      <alignment horizontal="center" vertical="center"/>
    </xf>
    <xf numFmtId="166" fontId="36" fillId="5" borderId="1" xfId="0" applyNumberFormat="1" applyFont="1" applyFill="1" applyBorder="1"/>
    <xf numFmtId="49" fontId="116" fillId="62" borderId="6" xfId="0" applyNumberFormat="1" applyFont="1" applyFill="1" applyBorder="1" applyAlignment="1">
      <alignment horizontal="center" vertical="center"/>
    </xf>
    <xf numFmtId="49" fontId="82" fillId="5" borderId="6" xfId="0" applyNumberFormat="1" applyFont="1" applyFill="1" applyBorder="1" applyAlignment="1">
      <alignment horizontal="center" vertical="center"/>
    </xf>
    <xf numFmtId="49" fontId="36" fillId="10" borderId="6" xfId="0" applyNumberFormat="1" applyFont="1" applyFill="1" applyBorder="1" applyAlignment="1">
      <alignment horizontal="center" vertical="center"/>
    </xf>
    <xf numFmtId="49" fontId="97" fillId="50" borderId="6" xfId="0" applyNumberFormat="1" applyFont="1" applyFill="1" applyBorder="1" applyAlignment="1">
      <alignment horizontal="center" vertical="center"/>
    </xf>
    <xf numFmtId="10" fontId="63" fillId="3" borderId="51" xfId="1" applyNumberFormat="1" applyFont="1" applyFill="1" applyBorder="1" applyAlignment="1">
      <alignment horizontal="center" vertical="center"/>
    </xf>
    <xf numFmtId="10" fontId="63" fillId="63" borderId="51" xfId="1" applyNumberFormat="1" applyFont="1" applyFill="1" applyBorder="1" applyAlignment="1">
      <alignment horizontal="center" vertical="center"/>
    </xf>
    <xf numFmtId="170" fontId="125" fillId="63" borderId="51" xfId="0" applyNumberFormat="1" applyFont="1" applyFill="1" applyBorder="1" applyAlignment="1">
      <alignment horizontal="center" vertical="center"/>
    </xf>
    <xf numFmtId="10" fontId="63" fillId="15" borderId="51" xfId="1" applyNumberFormat="1" applyFont="1" applyFill="1" applyBorder="1" applyAlignment="1">
      <alignment horizontal="center" vertical="center"/>
    </xf>
    <xf numFmtId="10" fontId="63" fillId="22" borderId="51" xfId="1" applyNumberFormat="1" applyFont="1" applyFill="1" applyBorder="1" applyAlignment="1">
      <alignment horizontal="center" vertical="center"/>
    </xf>
    <xf numFmtId="10" fontId="63" fillId="37" borderId="51" xfId="1" applyNumberFormat="1" applyFont="1" applyFill="1" applyBorder="1" applyAlignment="1">
      <alignment horizontal="center" vertical="center"/>
    </xf>
    <xf numFmtId="10" fontId="63" fillId="45" borderId="51" xfId="1" applyNumberFormat="1" applyFont="1" applyFill="1" applyBorder="1" applyAlignment="1">
      <alignment horizontal="center" vertical="center"/>
    </xf>
    <xf numFmtId="0" fontId="95" fillId="19" borderId="50" xfId="0" applyFont="1" applyFill="1" applyBorder="1" applyAlignment="1">
      <alignment vertical="center"/>
    </xf>
    <xf numFmtId="0" fontId="95" fillId="0" borderId="49" xfId="0" applyFont="1" applyBorder="1" applyAlignment="1">
      <alignment vertical="center"/>
    </xf>
    <xf numFmtId="166" fontId="88" fillId="54" borderId="49" xfId="0" applyNumberFormat="1" applyFont="1" applyFill="1" applyBorder="1" applyAlignment="1">
      <alignment horizontal="right" vertical="center"/>
    </xf>
    <xf numFmtId="166" fontId="89" fillId="55" borderId="49" xfId="0" applyNumberFormat="1" applyFont="1" applyFill="1" applyBorder="1" applyAlignment="1">
      <alignment horizontal="right" vertical="center"/>
    </xf>
    <xf numFmtId="167" fontId="94" fillId="19" borderId="49" xfId="0" applyNumberFormat="1" applyFont="1" applyFill="1" applyBorder="1" applyAlignment="1">
      <alignment horizontal="center" vertical="center"/>
    </xf>
    <xf numFmtId="0" fontId="95" fillId="19" borderId="49" xfId="0" applyFont="1" applyFill="1" applyBorder="1" applyAlignment="1">
      <alignment vertical="center"/>
    </xf>
    <xf numFmtId="0" fontId="95" fillId="0" borderId="49" xfId="0" applyFont="1" applyBorder="1"/>
    <xf numFmtId="166" fontId="88" fillId="54" borderId="49" xfId="0" applyNumberFormat="1" applyFont="1" applyFill="1" applyBorder="1" applyAlignment="1">
      <alignment horizontal="right"/>
    </xf>
    <xf numFmtId="166" fontId="89" fillId="55" borderId="49" xfId="0" applyNumberFormat="1" applyFont="1" applyFill="1" applyBorder="1" applyAlignment="1">
      <alignment horizontal="right"/>
    </xf>
    <xf numFmtId="0" fontId="95" fillId="0" borderId="18" xfId="0" applyFont="1" applyBorder="1" applyAlignment="1">
      <alignment horizontal="center" vertical="center"/>
    </xf>
    <xf numFmtId="0" fontId="155" fillId="0" borderId="0" xfId="0" applyFont="1"/>
    <xf numFmtId="49" fontId="97" fillId="5" borderId="6" xfId="0" applyNumberFormat="1" applyFont="1" applyFill="1" applyBorder="1" applyAlignment="1">
      <alignment horizontal="center" vertical="center"/>
    </xf>
    <xf numFmtId="49" fontId="36" fillId="0" borderId="6" xfId="0" applyNumberFormat="1" applyFont="1" applyBorder="1" applyAlignment="1">
      <alignment horizontal="center" vertical="center"/>
    </xf>
    <xf numFmtId="49" fontId="95" fillId="0" borderId="6" xfId="0" applyNumberFormat="1" applyFont="1" applyBorder="1" applyAlignment="1">
      <alignment horizontal="center" vertical="center"/>
    </xf>
    <xf numFmtId="49" fontId="97" fillId="0" borderId="6" xfId="0" applyNumberFormat="1" applyFont="1" applyBorder="1" applyAlignment="1">
      <alignment horizontal="center" vertical="center"/>
    </xf>
    <xf numFmtId="0" fontId="156" fillId="26" borderId="79" xfId="0" applyFont="1" applyFill="1" applyBorder="1" applyAlignment="1">
      <alignment horizontal="center" vertical="center"/>
    </xf>
    <xf numFmtId="0" fontId="44" fillId="5" borderId="6" xfId="0" applyFont="1" applyFill="1" applyBorder="1" applyAlignment="1">
      <alignment vertical="center"/>
    </xf>
    <xf numFmtId="0" fontId="154" fillId="56" borderId="68" xfId="0" applyFont="1" applyFill="1" applyBorder="1" applyAlignment="1">
      <alignment horizontal="center" vertical="center"/>
    </xf>
    <xf numFmtId="167" fontId="52" fillId="0" borderId="6" xfId="0" applyNumberFormat="1" applyFont="1" applyBorder="1" applyAlignment="1">
      <alignment horizontal="center" vertical="center"/>
    </xf>
    <xf numFmtId="0" fontId="157" fillId="19" borderId="83" xfId="0" applyFont="1" applyFill="1" applyBorder="1" applyAlignment="1">
      <alignment horizontal="center" vertical="center"/>
    </xf>
    <xf numFmtId="166" fontId="124" fillId="30" borderId="47" xfId="0" applyNumberFormat="1" applyFont="1" applyFill="1" applyBorder="1" applyAlignment="1">
      <alignment horizontal="center" vertical="center"/>
    </xf>
    <xf numFmtId="0" fontId="103" fillId="53" borderId="6" xfId="0" applyFont="1" applyFill="1" applyBorder="1" applyAlignment="1">
      <alignment horizontal="center" vertical="center"/>
    </xf>
    <xf numFmtId="0" fontId="158" fillId="19" borderId="6" xfId="0" applyFont="1" applyFill="1" applyBorder="1" applyAlignment="1">
      <alignment vertical="center"/>
    </xf>
    <xf numFmtId="0" fontId="158" fillId="19" borderId="18" xfId="0" applyFont="1" applyFill="1" applyBorder="1" applyAlignment="1">
      <alignment vertical="center"/>
    </xf>
    <xf numFmtId="0" fontId="154" fillId="29" borderId="68" xfId="0" applyFont="1" applyFill="1" applyBorder="1" applyAlignment="1">
      <alignment horizontal="center" vertical="center"/>
    </xf>
    <xf numFmtId="0" fontId="154" fillId="0" borderId="81" xfId="0" applyFont="1" applyBorder="1" applyAlignment="1">
      <alignment horizontal="center" vertical="center"/>
    </xf>
    <xf numFmtId="0" fontId="37" fillId="14" borderId="2" xfId="0" applyFont="1" applyFill="1" applyBorder="1" applyAlignment="1">
      <alignment horizontal="center" vertical="center"/>
    </xf>
    <xf numFmtId="49" fontId="84" fillId="5" borderId="6" xfId="0" applyNumberFormat="1" applyFont="1" applyFill="1" applyBorder="1" applyAlignment="1">
      <alignment horizontal="center" vertical="center"/>
    </xf>
    <xf numFmtId="49" fontId="158" fillId="0" borderId="6" xfId="0" applyNumberFormat="1" applyFont="1" applyBorder="1" applyAlignment="1">
      <alignment horizontal="center" vertical="center"/>
    </xf>
    <xf numFmtId="0" fontId="158" fillId="19" borderId="50" xfId="0" applyFont="1" applyFill="1" applyBorder="1" applyAlignment="1">
      <alignment vertical="center"/>
    </xf>
    <xf numFmtId="166" fontId="159" fillId="54" borderId="50" xfId="0" applyNumberFormat="1" applyFont="1" applyFill="1" applyBorder="1" applyAlignment="1">
      <alignment horizontal="right" vertical="center"/>
    </xf>
    <xf numFmtId="166" fontId="160" fillId="55" borderId="50" xfId="0" applyNumberFormat="1" applyFont="1" applyFill="1" applyBorder="1" applyAlignment="1">
      <alignment horizontal="right" vertical="center"/>
    </xf>
    <xf numFmtId="167" fontId="157" fillId="19" borderId="50" xfId="0" applyNumberFormat="1" applyFont="1" applyFill="1" applyBorder="1" applyAlignment="1">
      <alignment horizontal="center" vertical="center"/>
    </xf>
    <xf numFmtId="49" fontId="158" fillId="0" borderId="18" xfId="0" applyNumberFormat="1" applyFont="1" applyBorder="1" applyAlignment="1">
      <alignment horizontal="center" vertical="center"/>
    </xf>
    <xf numFmtId="0" fontId="158" fillId="19" borderId="49" xfId="0" applyFont="1" applyFill="1" applyBorder="1" applyAlignment="1">
      <alignment vertical="center"/>
    </xf>
    <xf numFmtId="166" fontId="159" fillId="54" borderId="49" xfId="0" applyNumberFormat="1" applyFont="1" applyFill="1" applyBorder="1" applyAlignment="1">
      <alignment horizontal="right" vertical="center"/>
    </xf>
    <xf numFmtId="166" fontId="160" fillId="55" borderId="49" xfId="0" applyNumberFormat="1" applyFont="1" applyFill="1" applyBorder="1" applyAlignment="1">
      <alignment horizontal="right" vertical="center"/>
    </xf>
    <xf numFmtId="167" fontId="157" fillId="19" borderId="49" xfId="0" applyNumberFormat="1" applyFont="1" applyFill="1" applyBorder="1" applyAlignment="1">
      <alignment horizontal="center" vertical="center"/>
    </xf>
    <xf numFmtId="0" fontId="161" fillId="64" borderId="6" xfId="0" applyFont="1" applyFill="1" applyBorder="1" applyAlignment="1">
      <alignment horizontal="center" vertical="center"/>
    </xf>
    <xf numFmtId="0" fontId="161" fillId="64" borderId="6" xfId="0" applyFont="1" applyFill="1" applyBorder="1" applyAlignment="1">
      <alignment vertical="center"/>
    </xf>
    <xf numFmtId="0" fontId="86" fillId="0" borderId="81" xfId="0" quotePrefix="1" applyFont="1" applyBorder="1" applyAlignment="1">
      <alignment horizontal="center" vertical="center"/>
    </xf>
    <xf numFmtId="0" fontId="154" fillId="0" borderId="80" xfId="0" applyFont="1" applyBorder="1" applyAlignment="1">
      <alignment horizontal="center" vertical="center"/>
    </xf>
    <xf numFmtId="0" fontId="154" fillId="29" borderId="80" xfId="0" applyFont="1" applyFill="1" applyBorder="1" applyAlignment="1">
      <alignment horizontal="center" vertical="center"/>
    </xf>
    <xf numFmtId="0" fontId="161" fillId="0" borderId="6" xfId="0" applyFont="1" applyBorder="1" applyAlignment="1">
      <alignment horizontal="center" vertical="center"/>
    </xf>
    <xf numFmtId="49" fontId="52" fillId="29" borderId="68" xfId="0" applyNumberFormat="1" applyFont="1" applyFill="1" applyBorder="1" applyAlignment="1">
      <alignment horizontal="center" vertical="center"/>
    </xf>
    <xf numFmtId="0" fontId="162" fillId="29" borderId="68" xfId="0" applyFont="1" applyFill="1" applyBorder="1" applyAlignment="1">
      <alignment horizontal="center" vertical="center"/>
    </xf>
    <xf numFmtId="0" fontId="162" fillId="0" borderId="68" xfId="0" applyFont="1" applyBorder="1" applyAlignment="1">
      <alignment horizontal="center" vertical="center"/>
    </xf>
    <xf numFmtId="49" fontId="157" fillId="62" borderId="6" xfId="0" applyNumberFormat="1" applyFont="1" applyFill="1" applyBorder="1" applyAlignment="1">
      <alignment horizontal="center" vertical="center"/>
    </xf>
    <xf numFmtId="49" fontId="52" fillId="0" borderId="6" xfId="0" applyNumberFormat="1" applyFont="1" applyBorder="1" applyAlignment="1">
      <alignment horizontal="center" vertical="center"/>
    </xf>
    <xf numFmtId="49" fontId="116" fillId="20" borderId="6" xfId="0" applyNumberFormat="1" applyFont="1" applyFill="1" applyBorder="1" applyAlignment="1">
      <alignment horizontal="center" vertical="center"/>
    </xf>
    <xf numFmtId="49" fontId="116" fillId="0" borderId="6" xfId="0" applyNumberFormat="1" applyFont="1" applyBorder="1" applyAlignment="1">
      <alignment horizontal="center" vertical="center"/>
    </xf>
    <xf numFmtId="166" fontId="37" fillId="3" borderId="1" xfId="0" applyNumberFormat="1" applyFont="1" applyFill="1" applyBorder="1" applyAlignment="1">
      <alignment horizontal="center" vertical="center"/>
    </xf>
    <xf numFmtId="166" fontId="36" fillId="3" borderId="1" xfId="0" applyNumberFormat="1" applyFont="1" applyFill="1" applyBorder="1" applyAlignment="1">
      <alignment horizontal="center"/>
    </xf>
    <xf numFmtId="0" fontId="163" fillId="3" borderId="2" xfId="0" applyFont="1" applyFill="1" applyBorder="1" applyAlignment="1">
      <alignment horizontal="center"/>
    </xf>
    <xf numFmtId="0" fontId="10" fillId="0" borderId="0" xfId="0" applyFont="1" applyAlignment="1">
      <alignment horizontal="center"/>
    </xf>
    <xf numFmtId="0" fontId="133" fillId="3" borderId="0" xfId="0" applyFont="1" applyFill="1" applyAlignment="1">
      <alignment horizontal="center" vertical="center"/>
    </xf>
    <xf numFmtId="166" fontId="134" fillId="3" borderId="0" xfId="0" applyNumberFormat="1" applyFont="1" applyFill="1" applyAlignment="1">
      <alignment horizontal="center" vertical="center"/>
    </xf>
    <xf numFmtId="0" fontId="139" fillId="3" borderId="0" xfId="0" applyFont="1" applyFill="1" applyAlignment="1">
      <alignment horizontal="center" vertical="center"/>
    </xf>
    <xf numFmtId="0" fontId="140" fillId="19" borderId="0" xfId="0" applyFont="1" applyFill="1" applyAlignment="1">
      <alignment horizontal="center" vertical="center"/>
    </xf>
    <xf numFmtId="0" fontId="130" fillId="3" borderId="0" xfId="0" applyFont="1" applyFill="1" applyAlignment="1">
      <alignment horizontal="center" vertical="center"/>
    </xf>
    <xf numFmtId="166" fontId="137" fillId="3" borderId="0" xfId="0" applyNumberFormat="1" applyFont="1" applyFill="1" applyAlignment="1">
      <alignment horizontal="center" vertical="center"/>
    </xf>
    <xf numFmtId="0" fontId="131" fillId="3" borderId="0" xfId="0" applyFont="1" applyFill="1" applyAlignment="1">
      <alignment horizontal="center" vertical="center"/>
    </xf>
    <xf numFmtId="176" fontId="136" fillId="3" borderId="0" xfId="0" applyNumberFormat="1" applyFont="1" applyFill="1" applyAlignment="1">
      <alignment horizontal="center" vertical="center"/>
    </xf>
    <xf numFmtId="0" fontId="132" fillId="3" borderId="0" xfId="0" applyFont="1" applyFill="1" applyAlignment="1">
      <alignment horizontal="center" vertical="center"/>
    </xf>
    <xf numFmtId="166" fontId="135" fillId="3" borderId="0" xfId="0" applyNumberFormat="1" applyFont="1" applyFill="1" applyAlignment="1">
      <alignment horizontal="center" vertical="center"/>
    </xf>
    <xf numFmtId="166" fontId="141" fillId="3" borderId="0" xfId="0" applyNumberFormat="1" applyFont="1" applyFill="1" applyAlignment="1">
      <alignment horizontal="center" vertical="center"/>
    </xf>
    <xf numFmtId="166" fontId="142" fillId="3" borderId="0" xfId="0" applyNumberFormat="1" applyFont="1" applyFill="1" applyAlignment="1">
      <alignment horizontal="center" vertical="center"/>
    </xf>
    <xf numFmtId="0" fontId="143" fillId="3" borderId="0" xfId="0" applyFont="1" applyFill="1" applyAlignment="1">
      <alignment horizontal="center" vertical="center"/>
    </xf>
    <xf numFmtId="10" fontId="150" fillId="3" borderId="0" xfId="1" applyNumberFormat="1" applyFont="1" applyFill="1" applyAlignment="1">
      <alignment horizontal="center" vertical="center"/>
    </xf>
    <xf numFmtId="0" fontId="149" fillId="19" borderId="0" xfId="0" applyFont="1" applyFill="1" applyAlignment="1">
      <alignment horizontal="center" vertical="center"/>
    </xf>
    <xf numFmtId="166" fontId="144" fillId="3" borderId="0" xfId="0" applyNumberFormat="1" applyFont="1" applyFill="1" applyAlignment="1">
      <alignment horizontal="center" vertical="center"/>
    </xf>
    <xf numFmtId="166" fontId="145" fillId="3" borderId="0" xfId="0" applyNumberFormat="1" applyFont="1" applyFill="1" applyAlignment="1">
      <alignment horizontal="center" vertical="center"/>
    </xf>
    <xf numFmtId="0" fontId="68" fillId="24" borderId="53" xfId="0" applyFont="1" applyFill="1" applyBorder="1" applyAlignment="1">
      <alignment horizontal="center" vertical="center"/>
    </xf>
    <xf numFmtId="0" fontId="68" fillId="24" borderId="54" xfId="0" applyFont="1" applyFill="1" applyBorder="1" applyAlignment="1">
      <alignment horizontal="center" vertical="center"/>
    </xf>
    <xf numFmtId="0" fontId="68" fillId="24" borderId="55" xfId="0" applyFont="1" applyFill="1" applyBorder="1" applyAlignment="1">
      <alignment horizontal="center" vertical="center"/>
    </xf>
    <xf numFmtId="0" fontId="70" fillId="27" borderId="76" xfId="0" applyFont="1" applyFill="1" applyBorder="1" applyAlignment="1">
      <alignment horizontal="center" vertical="center"/>
    </xf>
    <xf numFmtId="0" fontId="70" fillId="27" borderId="77" xfId="0" applyFont="1" applyFill="1" applyBorder="1" applyAlignment="1">
      <alignment horizontal="center" vertical="center"/>
    </xf>
    <xf numFmtId="0" fontId="70" fillId="27" borderId="78" xfId="0" applyFont="1" applyFill="1" applyBorder="1" applyAlignment="1">
      <alignment horizontal="center" vertical="center"/>
    </xf>
    <xf numFmtId="0" fontId="69" fillId="3" borderId="0" xfId="0" applyFont="1" applyFill="1" applyAlignment="1">
      <alignment horizontal="center"/>
    </xf>
    <xf numFmtId="0" fontId="49" fillId="3" borderId="0" xfId="0" applyFont="1" applyFill="1" applyAlignment="1">
      <alignment horizontal="center" vertical="center"/>
    </xf>
    <xf numFmtId="170" fontId="44" fillId="5" borderId="0" xfId="0" applyNumberFormat="1" applyFont="1" applyFill="1" applyAlignment="1">
      <alignment horizontal="center" vertical="center"/>
    </xf>
    <xf numFmtId="169" fontId="147" fillId="3" borderId="51" xfId="0" applyNumberFormat="1" applyFont="1" applyFill="1" applyBorder="1" applyAlignment="1">
      <alignment horizontal="left" vertical="center"/>
    </xf>
    <xf numFmtId="0" fontId="59" fillId="3" borderId="51" xfId="0" applyFont="1" applyFill="1" applyBorder="1" applyAlignment="1">
      <alignment horizontal="left" vertical="center"/>
    </xf>
    <xf numFmtId="0" fontId="62" fillId="3" borderId="0" xfId="0" applyFont="1" applyFill="1" applyAlignment="1">
      <alignment horizontal="left" vertical="center"/>
    </xf>
    <xf numFmtId="0" fontId="59" fillId="3" borderId="73" xfId="0" applyFont="1" applyFill="1" applyBorder="1" applyAlignment="1">
      <alignment horizontal="left" vertical="center"/>
    </xf>
    <xf numFmtId="0" fontId="147" fillId="18" borderId="73" xfId="0" applyFont="1" applyFill="1" applyBorder="1" applyAlignment="1">
      <alignment horizontal="left" vertical="center"/>
    </xf>
    <xf numFmtId="0" fontId="62" fillId="15" borderId="51" xfId="0" applyFont="1" applyFill="1" applyBorder="1" applyAlignment="1">
      <alignment horizontal="left" vertical="center"/>
    </xf>
    <xf numFmtId="0" fontId="62" fillId="22" borderId="51" xfId="0" applyFont="1" applyFill="1" applyBorder="1" applyAlignment="1">
      <alignment horizontal="left" vertical="center"/>
    </xf>
    <xf numFmtId="0" fontId="62" fillId="37" borderId="51" xfId="0" applyFont="1" applyFill="1" applyBorder="1" applyAlignment="1">
      <alignment horizontal="left" vertical="center"/>
    </xf>
    <xf numFmtId="0" fontId="62" fillId="44" borderId="51" xfId="0" applyFont="1" applyFill="1" applyBorder="1" applyAlignment="1">
      <alignment horizontal="left" vertical="center"/>
    </xf>
    <xf numFmtId="0" fontId="62" fillId="45" borderId="51" xfId="0" applyFont="1" applyFill="1" applyBorder="1" applyAlignment="1">
      <alignment horizontal="left" vertical="center"/>
    </xf>
    <xf numFmtId="0" fontId="62" fillId="3" borderId="51" xfId="0" applyFont="1" applyFill="1" applyBorder="1" applyAlignment="1">
      <alignment horizontal="left"/>
    </xf>
    <xf numFmtId="0" fontId="108" fillId="59" borderId="51" xfId="0" applyFont="1" applyFill="1" applyBorder="1" applyAlignment="1">
      <alignment horizontal="left" vertical="center"/>
    </xf>
    <xf numFmtId="0" fontId="59" fillId="3" borderId="51" xfId="0" applyFont="1" applyFill="1" applyBorder="1" applyAlignment="1">
      <alignment horizontal="left"/>
    </xf>
    <xf numFmtId="0" fontId="62" fillId="41" borderId="51" xfId="0" applyFont="1" applyFill="1" applyBorder="1" applyAlignment="1">
      <alignment horizontal="left" vertical="center"/>
    </xf>
    <xf numFmtId="0" fontId="62" fillId="3" borderId="51" xfId="0" applyFont="1" applyFill="1" applyBorder="1" applyAlignment="1">
      <alignment horizontal="left" vertical="center"/>
    </xf>
    <xf numFmtId="0" fontId="19" fillId="3" borderId="6" xfId="0" applyFont="1" applyFill="1" applyBorder="1" applyAlignment="1">
      <alignment horizontal="center" vertical="center"/>
    </xf>
    <xf numFmtId="166" fontId="0" fillId="0" borderId="0" xfId="0" applyNumberFormat="1" applyAlignment="1">
      <alignment horizontal="center"/>
    </xf>
    <xf numFmtId="0" fontId="0" fillId="0" borderId="0" xfId="0" applyAlignment="1">
      <alignment horizontal="center"/>
    </xf>
    <xf numFmtId="0" fontId="39" fillId="3" borderId="31" xfId="0" applyFont="1" applyFill="1" applyBorder="1" applyAlignment="1">
      <alignment horizontal="center" vertical="center"/>
    </xf>
    <xf numFmtId="0" fontId="31" fillId="3" borderId="0" xfId="0" applyFont="1" applyFill="1" applyAlignment="1">
      <alignment horizontal="center"/>
    </xf>
    <xf numFmtId="0" fontId="151" fillId="3" borderId="0" xfId="0" applyFont="1" applyFill="1" applyAlignment="1">
      <alignment horizontal="center"/>
    </xf>
    <xf numFmtId="0" fontId="151" fillId="3" borderId="30" xfId="0" applyFont="1" applyFill="1" applyBorder="1" applyAlignment="1">
      <alignment horizontal="center"/>
    </xf>
    <xf numFmtId="0" fontId="81" fillId="3" borderId="0" xfId="0" applyFont="1" applyFill="1" applyAlignment="1">
      <alignment horizontal="center" vertical="center"/>
    </xf>
    <xf numFmtId="49" fontId="61" fillId="2" borderId="3" xfId="0" applyNumberFormat="1" applyFont="1" applyFill="1" applyBorder="1" applyAlignment="1">
      <alignment horizontal="center" vertical="center"/>
    </xf>
    <xf numFmtId="49" fontId="61" fillId="2" borderId="4" xfId="0" applyNumberFormat="1" applyFont="1" applyFill="1" applyBorder="1" applyAlignment="1">
      <alignment horizontal="center" vertical="center"/>
    </xf>
    <xf numFmtId="10" fontId="52" fillId="4" borderId="27" xfId="0" applyNumberFormat="1" applyFont="1" applyFill="1" applyBorder="1" applyAlignment="1">
      <alignment horizontal="right" vertical="center"/>
    </xf>
    <xf numFmtId="10" fontId="52" fillId="4" borderId="28" xfId="0" applyNumberFormat="1" applyFont="1" applyFill="1" applyBorder="1" applyAlignment="1">
      <alignment horizontal="right" vertical="center"/>
    </xf>
    <xf numFmtId="166" fontId="53" fillId="4" borderId="27" xfId="0" applyNumberFormat="1" applyFont="1" applyFill="1" applyBorder="1" applyAlignment="1">
      <alignment horizontal="left" vertical="center"/>
    </xf>
    <xf numFmtId="166" fontId="53" fillId="4" borderId="29" xfId="0" applyNumberFormat="1" applyFont="1" applyFill="1" applyBorder="1" applyAlignment="1">
      <alignment horizontal="left" vertical="center"/>
    </xf>
    <xf numFmtId="166" fontId="53" fillId="4" borderId="28" xfId="0" applyNumberFormat="1" applyFont="1" applyFill="1" applyBorder="1" applyAlignment="1">
      <alignment horizontal="left" vertical="center"/>
    </xf>
    <xf numFmtId="166" fontId="52" fillId="4" borderId="27" xfId="0" applyNumberFormat="1" applyFont="1" applyFill="1" applyBorder="1" applyAlignment="1">
      <alignment horizontal="right" vertical="center"/>
    </xf>
    <xf numFmtId="166" fontId="52" fillId="4" borderId="28" xfId="0" applyNumberFormat="1" applyFont="1" applyFill="1" applyBorder="1" applyAlignment="1">
      <alignment horizontal="right" vertical="center"/>
    </xf>
    <xf numFmtId="3" fontId="52" fillId="4" borderId="27" xfId="0" applyNumberFormat="1" applyFont="1" applyFill="1" applyBorder="1" applyAlignment="1">
      <alignment horizontal="right" vertical="center"/>
    </xf>
    <xf numFmtId="3" fontId="52" fillId="4" borderId="28" xfId="0" applyNumberFormat="1" applyFont="1" applyFill="1" applyBorder="1" applyAlignment="1">
      <alignment horizontal="right" vertical="center"/>
    </xf>
    <xf numFmtId="49" fontId="53" fillId="4" borderId="27" xfId="0" applyNumberFormat="1" applyFont="1" applyFill="1" applyBorder="1" applyAlignment="1">
      <alignment horizontal="left" vertical="center"/>
    </xf>
    <xf numFmtId="49" fontId="53" fillId="4" borderId="29" xfId="0" applyNumberFormat="1" applyFont="1" applyFill="1" applyBorder="1" applyAlignment="1">
      <alignment horizontal="left" vertical="center"/>
    </xf>
    <xf numFmtId="49" fontId="58" fillId="3" borderId="58" xfId="0" applyNumberFormat="1" applyFont="1" applyFill="1" applyBorder="1" applyAlignment="1">
      <alignment horizontal="center" vertical="center" textRotation="90"/>
    </xf>
    <xf numFmtId="0" fontId="47" fillId="0" borderId="0" xfId="0" applyFont="1" applyAlignment="1">
      <alignment horizontal="center" vertical="center"/>
    </xf>
    <xf numFmtId="0" fontId="49" fillId="3" borderId="0" xfId="0" applyFont="1" applyFill="1" applyAlignment="1">
      <alignment horizontal="left" vertical="center"/>
    </xf>
    <xf numFmtId="0" fontId="52" fillId="3" borderId="0" xfId="0" applyFont="1" applyFill="1" applyAlignment="1">
      <alignment horizontal="left" vertical="center"/>
    </xf>
    <xf numFmtId="0" fontId="57" fillId="3" borderId="0" xfId="0" applyFont="1" applyFill="1" applyAlignment="1">
      <alignment horizontal="left" vertical="center"/>
    </xf>
    <xf numFmtId="164" fontId="19" fillId="17" borderId="0" xfId="0" applyNumberFormat="1" applyFont="1" applyFill="1" applyAlignment="1">
      <alignment horizontal="center"/>
    </xf>
    <xf numFmtId="0" fontId="19" fillId="17" borderId="0" xfId="0" applyFont="1" applyFill="1" applyAlignment="1">
      <alignment horizontal="center"/>
    </xf>
    <xf numFmtId="0" fontId="19" fillId="0" borderId="0" xfId="0" applyFont="1" applyAlignment="1">
      <alignment horizontal="center"/>
    </xf>
    <xf numFmtId="0" fontId="90" fillId="0" borderId="0" xfId="0" applyFont="1" applyAlignment="1">
      <alignment horizontal="center" vertical="center"/>
    </xf>
    <xf numFmtId="0" fontId="31" fillId="3" borderId="0" xfId="0" applyFont="1" applyFill="1" applyAlignment="1">
      <alignment horizontal="left" vertical="center"/>
    </xf>
    <xf numFmtId="49" fontId="77" fillId="3" borderId="0" xfId="0" applyNumberFormat="1" applyFont="1" applyFill="1" applyAlignment="1">
      <alignment horizontal="left"/>
    </xf>
    <xf numFmtId="0" fontId="77" fillId="3" borderId="0" xfId="0" applyFont="1" applyFill="1" applyAlignment="1">
      <alignment horizontal="left"/>
    </xf>
    <xf numFmtId="49" fontId="112" fillId="3" borderId="0" xfId="0" applyNumberFormat="1" applyFont="1" applyFill="1" applyAlignment="1">
      <alignment horizontal="left"/>
    </xf>
    <xf numFmtId="49" fontId="56" fillId="3" borderId="0" xfId="0" applyNumberFormat="1" applyFont="1" applyFill="1" applyAlignment="1">
      <alignment horizontal="center" vertical="center"/>
    </xf>
    <xf numFmtId="49" fontId="56" fillId="3" borderId="69" xfId="0" applyNumberFormat="1" applyFont="1" applyFill="1" applyBorder="1" applyAlignment="1">
      <alignment horizontal="center" vertical="center"/>
    </xf>
    <xf numFmtId="0" fontId="85" fillId="3" borderId="0" xfId="0" applyFont="1" applyFill="1" applyAlignment="1">
      <alignment horizontal="center" vertical="center"/>
    </xf>
    <xf numFmtId="0" fontId="56" fillId="3" borderId="45" xfId="0" applyFont="1" applyFill="1" applyBorder="1" applyAlignment="1">
      <alignment horizontal="center" vertical="center"/>
    </xf>
    <xf numFmtId="0" fontId="56" fillId="3" borderId="67" xfId="0" applyFont="1" applyFill="1" applyBorder="1" applyAlignment="1">
      <alignment horizontal="center" vertical="center"/>
    </xf>
    <xf numFmtId="0" fontId="56" fillId="3" borderId="62" xfId="0" applyFont="1" applyFill="1" applyBorder="1" applyAlignment="1">
      <alignment horizontal="center" vertical="center"/>
    </xf>
    <xf numFmtId="0" fontId="56" fillId="3" borderId="46" xfId="0" applyFont="1" applyFill="1" applyBorder="1" applyAlignment="1">
      <alignment horizontal="center" vertical="center"/>
    </xf>
    <xf numFmtId="0" fontId="56" fillId="3" borderId="63" xfId="0" applyFont="1" applyFill="1" applyBorder="1" applyAlignment="1">
      <alignment horizontal="center" vertical="center"/>
    </xf>
    <xf numFmtId="0" fontId="56" fillId="3" borderId="48" xfId="0" applyFont="1" applyFill="1" applyBorder="1" applyAlignment="1">
      <alignment horizontal="center" vertical="center"/>
    </xf>
    <xf numFmtId="0" fontId="62" fillId="3" borderId="22" xfId="0" applyFont="1" applyFill="1" applyBorder="1" applyAlignment="1">
      <alignment horizontal="center" vertical="center" textRotation="90"/>
    </xf>
    <xf numFmtId="0" fontId="62" fillId="3" borderId="38" xfId="0" applyFont="1" applyFill="1" applyBorder="1" applyAlignment="1">
      <alignment horizontal="center" vertical="center" textRotation="90"/>
    </xf>
    <xf numFmtId="0" fontId="62" fillId="3" borderId="39" xfId="0" applyFont="1" applyFill="1" applyBorder="1" applyAlignment="1">
      <alignment horizontal="center" vertical="center" textRotation="90"/>
    </xf>
    <xf numFmtId="0" fontId="62" fillId="3" borderId="40" xfId="0" applyFont="1" applyFill="1" applyBorder="1" applyAlignment="1">
      <alignment horizontal="center" vertical="center" textRotation="90"/>
    </xf>
    <xf numFmtId="0" fontId="59" fillId="3" borderId="31" xfId="0" applyFont="1" applyFill="1" applyBorder="1" applyAlignment="1">
      <alignment horizontal="center" vertical="center"/>
    </xf>
    <xf numFmtId="0" fontId="78" fillId="34" borderId="23" xfId="0" applyFont="1" applyFill="1" applyBorder="1" applyAlignment="1">
      <alignment horizontal="center"/>
    </xf>
    <xf numFmtId="0" fontId="78" fillId="34" borderId="24" xfId="0" applyFont="1" applyFill="1" applyBorder="1" applyAlignment="1">
      <alignment horizontal="center"/>
    </xf>
    <xf numFmtId="0" fontId="78" fillId="34" borderId="25" xfId="0" applyFont="1" applyFill="1" applyBorder="1" applyAlignment="1">
      <alignment horizontal="center"/>
    </xf>
    <xf numFmtId="0" fontId="56" fillId="5" borderId="65" xfId="0" applyFont="1" applyFill="1" applyBorder="1" applyAlignment="1">
      <alignment horizontal="center" vertical="center"/>
    </xf>
    <xf numFmtId="0" fontId="56" fillId="5" borderId="66" xfId="0" applyFont="1" applyFill="1" applyBorder="1" applyAlignment="1">
      <alignment horizontal="center" vertical="center"/>
    </xf>
    <xf numFmtId="0" fontId="56" fillId="5" borderId="62" xfId="0" applyFont="1" applyFill="1" applyBorder="1" applyAlignment="1">
      <alignment horizontal="center" vertical="center"/>
    </xf>
    <xf numFmtId="0" fontId="56" fillId="5" borderId="58" xfId="0" applyFont="1" applyFill="1" applyBorder="1" applyAlignment="1">
      <alignment horizontal="center" vertical="center"/>
    </xf>
    <xf numFmtId="0" fontId="56" fillId="5" borderId="63" xfId="0" applyFont="1" applyFill="1" applyBorder="1" applyAlignment="1">
      <alignment horizontal="center" vertical="center"/>
    </xf>
    <xf numFmtId="0" fontId="56" fillId="5" borderId="64" xfId="0" applyFont="1" applyFill="1" applyBorder="1" applyAlignment="1">
      <alignment horizontal="center" vertical="center"/>
    </xf>
    <xf numFmtId="0" fontId="78" fillId="6" borderId="23" xfId="0" applyFont="1" applyFill="1" applyBorder="1" applyAlignment="1">
      <alignment horizontal="center"/>
    </xf>
    <xf numFmtId="0" fontId="78" fillId="6" borderId="24" xfId="0" applyFont="1" applyFill="1" applyBorder="1" applyAlignment="1">
      <alignment horizontal="center"/>
    </xf>
    <xf numFmtId="0" fontId="78" fillId="6" borderId="25" xfId="0" applyFont="1" applyFill="1" applyBorder="1" applyAlignment="1">
      <alignment horizontal="center"/>
    </xf>
    <xf numFmtId="0" fontId="56" fillId="3" borderId="65" xfId="0" applyFont="1" applyFill="1" applyBorder="1" applyAlignment="1">
      <alignment horizontal="center" vertical="center"/>
    </xf>
    <xf numFmtId="0" fontId="56" fillId="3" borderId="66" xfId="0" applyFont="1" applyFill="1" applyBorder="1" applyAlignment="1">
      <alignment horizontal="center" vertical="center"/>
    </xf>
    <xf numFmtId="0" fontId="56" fillId="3" borderId="58" xfId="0" applyFont="1" applyFill="1" applyBorder="1" applyAlignment="1">
      <alignment horizontal="center" vertical="center"/>
    </xf>
    <xf numFmtId="0" fontId="56" fillId="3" borderId="64" xfId="0" applyFont="1" applyFill="1" applyBorder="1" applyAlignment="1">
      <alignment horizontal="center" vertical="center"/>
    </xf>
    <xf numFmtId="0" fontId="52" fillId="3" borderId="31" xfId="0" applyFont="1" applyFill="1" applyBorder="1" applyAlignment="1">
      <alignment horizontal="center"/>
    </xf>
    <xf numFmtId="0" fontId="78" fillId="9" borderId="23" xfId="0" applyFont="1" applyFill="1" applyBorder="1" applyAlignment="1">
      <alignment horizontal="center"/>
    </xf>
    <xf numFmtId="0" fontId="78" fillId="9" borderId="24" xfId="0" applyFont="1" applyFill="1" applyBorder="1" applyAlignment="1">
      <alignment horizontal="center"/>
    </xf>
    <xf numFmtId="0" fontId="78" fillId="9" borderId="25" xfId="0" applyFont="1" applyFill="1" applyBorder="1" applyAlignment="1">
      <alignment horizontal="center"/>
    </xf>
    <xf numFmtId="0" fontId="78" fillId="29" borderId="23" xfId="0" applyFont="1" applyFill="1" applyBorder="1" applyAlignment="1">
      <alignment horizontal="center"/>
    </xf>
    <xf numFmtId="0" fontId="78" fillId="29" borderId="24" xfId="0" applyFont="1" applyFill="1" applyBorder="1" applyAlignment="1">
      <alignment horizontal="center"/>
    </xf>
    <xf numFmtId="0" fontId="78" fillId="29" borderId="25" xfId="0" applyFont="1" applyFill="1" applyBorder="1" applyAlignment="1">
      <alignment horizontal="center"/>
    </xf>
    <xf numFmtId="0" fontId="56" fillId="3" borderId="65" xfId="0" applyFont="1" applyFill="1" applyBorder="1" applyAlignment="1">
      <alignment horizontal="center" vertical="center" wrapText="1"/>
    </xf>
    <xf numFmtId="0" fontId="56" fillId="3" borderId="66" xfId="0" applyFont="1" applyFill="1" applyBorder="1" applyAlignment="1">
      <alignment horizontal="center" vertical="center" wrapText="1"/>
    </xf>
    <xf numFmtId="0" fontId="56" fillId="3" borderId="62" xfId="0" applyFont="1" applyFill="1" applyBorder="1" applyAlignment="1">
      <alignment horizontal="center" vertical="center" wrapText="1"/>
    </xf>
    <xf numFmtId="0" fontId="56" fillId="3" borderId="58" xfId="0" applyFont="1" applyFill="1" applyBorder="1" applyAlignment="1">
      <alignment horizontal="center" vertical="center" wrapText="1"/>
    </xf>
    <xf numFmtId="0" fontId="56" fillId="3" borderId="63" xfId="0" applyFont="1" applyFill="1" applyBorder="1" applyAlignment="1">
      <alignment horizontal="center" vertical="center" wrapText="1"/>
    </xf>
    <xf numFmtId="0" fontId="56" fillId="3" borderId="64" xfId="0" applyFont="1" applyFill="1" applyBorder="1" applyAlignment="1">
      <alignment horizontal="center" vertical="center" wrapText="1"/>
    </xf>
    <xf numFmtId="0" fontId="53" fillId="3" borderId="31" xfId="0" applyFont="1" applyFill="1" applyBorder="1" applyAlignment="1">
      <alignment horizontal="center"/>
    </xf>
    <xf numFmtId="0" fontId="78" fillId="7" borderId="23" xfId="0" applyFont="1" applyFill="1" applyBorder="1" applyAlignment="1">
      <alignment horizontal="center"/>
    </xf>
    <xf numFmtId="0" fontId="78" fillId="7" borderId="24" xfId="0" applyFont="1" applyFill="1" applyBorder="1" applyAlignment="1">
      <alignment horizontal="center"/>
    </xf>
    <xf numFmtId="0" fontId="78" fillId="7" borderId="25" xfId="0" applyFont="1" applyFill="1" applyBorder="1" applyAlignment="1">
      <alignment horizontal="center"/>
    </xf>
    <xf numFmtId="0" fontId="59" fillId="3" borderId="31" xfId="0" applyFont="1" applyFill="1" applyBorder="1" applyAlignment="1">
      <alignment horizontal="center"/>
    </xf>
    <xf numFmtId="0" fontId="52" fillId="3" borderId="0" xfId="0" applyFont="1" applyFill="1" applyAlignment="1">
      <alignment horizontal="center" vertical="center"/>
    </xf>
    <xf numFmtId="0" fontId="56" fillId="3" borderId="0" xfId="0" applyFont="1" applyFill="1" applyAlignment="1">
      <alignment horizontal="center" vertical="center"/>
    </xf>
    <xf numFmtId="0" fontId="56" fillId="3" borderId="75" xfId="0" applyFont="1" applyFill="1" applyBorder="1" applyAlignment="1">
      <alignment horizontal="center" vertical="center"/>
    </xf>
    <xf numFmtId="0" fontId="24" fillId="3" borderId="0" xfId="0" applyFont="1" applyFill="1" applyAlignment="1">
      <alignment horizontal="center" vertical="center"/>
    </xf>
    <xf numFmtId="3" fontId="6" fillId="4" borderId="27" xfId="0" applyNumberFormat="1" applyFont="1" applyFill="1" applyBorder="1" applyAlignment="1">
      <alignment horizontal="right" vertical="center"/>
    </xf>
    <xf numFmtId="3" fontId="6" fillId="4" borderId="28" xfId="0" applyNumberFormat="1" applyFont="1" applyFill="1" applyBorder="1" applyAlignment="1">
      <alignment horizontal="right" vertical="center"/>
    </xf>
    <xf numFmtId="166" fontId="5" fillId="4" borderId="27" xfId="0" applyNumberFormat="1" applyFont="1" applyFill="1" applyBorder="1" applyAlignment="1">
      <alignment horizontal="left" vertical="center"/>
    </xf>
    <xf numFmtId="166" fontId="5" fillId="4" borderId="29" xfId="0" applyNumberFormat="1" applyFont="1" applyFill="1" applyBorder="1" applyAlignment="1">
      <alignment horizontal="left" vertical="center"/>
    </xf>
    <xf numFmtId="166" fontId="5" fillId="4" borderId="28" xfId="0" applyNumberFormat="1" applyFont="1" applyFill="1" applyBorder="1" applyAlignment="1">
      <alignment horizontal="left" vertical="center"/>
    </xf>
    <xf numFmtId="49" fontId="4" fillId="2" borderId="3"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49" fontId="5" fillId="4" borderId="27" xfId="0" applyNumberFormat="1" applyFont="1" applyFill="1" applyBorder="1" applyAlignment="1">
      <alignment horizontal="left" vertical="center"/>
    </xf>
    <xf numFmtId="49" fontId="5" fillId="4" borderId="29" xfId="0" applyNumberFormat="1" applyFont="1" applyFill="1" applyBorder="1" applyAlignment="1">
      <alignment horizontal="left" vertical="center"/>
    </xf>
    <xf numFmtId="166" fontId="6" fillId="4" borderId="27" xfId="0" applyNumberFormat="1" applyFont="1" applyFill="1" applyBorder="1" applyAlignment="1">
      <alignment horizontal="right" vertical="center"/>
    </xf>
    <xf numFmtId="166" fontId="6" fillId="4" borderId="28" xfId="0" applyNumberFormat="1" applyFont="1" applyFill="1" applyBorder="1" applyAlignment="1">
      <alignment horizontal="right" vertical="center"/>
    </xf>
    <xf numFmtId="10" fontId="6" fillId="4" borderId="27" xfId="0" applyNumberFormat="1" applyFont="1" applyFill="1" applyBorder="1" applyAlignment="1">
      <alignment horizontal="right" vertical="center"/>
    </xf>
    <xf numFmtId="10" fontId="6" fillId="4" borderId="28" xfId="0" applyNumberFormat="1" applyFont="1" applyFill="1" applyBorder="1" applyAlignment="1">
      <alignment horizontal="right" vertical="center"/>
    </xf>
    <xf numFmtId="0" fontId="27" fillId="3" borderId="0" xfId="0" applyFont="1" applyFill="1" applyAlignment="1">
      <alignment horizontal="center" vertical="center"/>
    </xf>
    <xf numFmtId="0" fontId="6" fillId="3" borderId="27" xfId="0" applyFont="1" applyFill="1" applyBorder="1" applyAlignment="1">
      <alignment horizontal="left" vertical="center"/>
    </xf>
    <xf numFmtId="0" fontId="6" fillId="3" borderId="28" xfId="0" applyFont="1" applyFill="1" applyBorder="1" applyAlignment="1">
      <alignment horizontal="left" vertical="center"/>
    </xf>
    <xf numFmtId="166" fontId="6" fillId="3" borderId="27" xfId="0" applyNumberFormat="1" applyFont="1" applyFill="1" applyBorder="1" applyAlignment="1">
      <alignment horizontal="left" vertical="center"/>
    </xf>
    <xf numFmtId="0" fontId="28" fillId="3" borderId="27" xfId="0" applyFont="1" applyFill="1" applyBorder="1" applyAlignment="1">
      <alignment horizontal="left" vertical="center"/>
    </xf>
    <xf numFmtId="0" fontId="28" fillId="3" borderId="28" xfId="0" applyFont="1" applyFill="1" applyBorder="1" applyAlignment="1">
      <alignment horizontal="left" vertical="center"/>
    </xf>
    <xf numFmtId="0" fontId="18" fillId="0" borderId="41" xfId="0" applyFont="1" applyBorder="1" applyAlignment="1">
      <alignment horizontal="center" vertical="center" textRotation="180"/>
    </xf>
    <xf numFmtId="166" fontId="0" fillId="10" borderId="0" xfId="0" applyNumberFormat="1" applyFill="1" applyAlignment="1">
      <alignment horizontal="center" vertical="center"/>
    </xf>
    <xf numFmtId="0" fontId="10" fillId="0" borderId="19" xfId="0" applyFont="1" applyBorder="1" applyAlignment="1">
      <alignment horizontal="center" vertical="center" textRotation="90"/>
    </xf>
    <xf numFmtId="0" fontId="10" fillId="0" borderId="13" xfId="0" applyFont="1" applyBorder="1" applyAlignment="1">
      <alignment horizontal="center" vertical="center" textRotation="90"/>
    </xf>
    <xf numFmtId="0" fontId="10" fillId="0" borderId="22" xfId="0" applyFont="1" applyBorder="1" applyAlignment="1">
      <alignment horizontal="center" vertical="center" textRotation="90"/>
    </xf>
    <xf numFmtId="0" fontId="10" fillId="0" borderId="16" xfId="0" applyFont="1" applyBorder="1" applyAlignment="1">
      <alignment horizontal="center" vertical="center" textRotation="90"/>
    </xf>
    <xf numFmtId="0" fontId="13" fillId="6" borderId="23" xfId="0" applyFont="1" applyFill="1" applyBorder="1" applyAlignment="1">
      <alignment horizontal="center"/>
    </xf>
    <xf numFmtId="0" fontId="13" fillId="6" borderId="24" xfId="0" applyFont="1" applyFill="1" applyBorder="1" applyAlignment="1">
      <alignment horizontal="center"/>
    </xf>
    <xf numFmtId="0" fontId="13" fillId="6" borderId="25" xfId="0" applyFont="1" applyFill="1" applyBorder="1" applyAlignment="1">
      <alignment horizontal="center"/>
    </xf>
    <xf numFmtId="0" fontId="13" fillId="8" borderId="23" xfId="0" applyFont="1" applyFill="1" applyBorder="1" applyAlignment="1">
      <alignment horizontal="center"/>
    </xf>
    <xf numFmtId="0" fontId="13" fillId="8" borderId="24" xfId="0" applyFont="1" applyFill="1" applyBorder="1" applyAlignment="1">
      <alignment horizontal="center"/>
    </xf>
    <xf numFmtId="0" fontId="13" fillId="8" borderId="25" xfId="0" applyFont="1" applyFill="1" applyBorder="1" applyAlignment="1">
      <alignment horizontal="center"/>
    </xf>
    <xf numFmtId="0" fontId="13" fillId="7" borderId="23" xfId="0" applyFont="1" applyFill="1" applyBorder="1" applyAlignment="1">
      <alignment horizontal="center"/>
    </xf>
    <xf numFmtId="0" fontId="13" fillId="7" borderId="24" xfId="0" applyFont="1" applyFill="1" applyBorder="1" applyAlignment="1">
      <alignment horizontal="center"/>
    </xf>
    <xf numFmtId="0" fontId="13" fillId="7" borderId="25" xfId="0" applyFont="1" applyFill="1" applyBorder="1" applyAlignment="1">
      <alignment horizontal="center"/>
    </xf>
    <xf numFmtId="0" fontId="10" fillId="0" borderId="44" xfId="0" applyFont="1" applyBorder="1" applyAlignment="1">
      <alignment horizontal="center" vertical="center" textRotation="90"/>
    </xf>
    <xf numFmtId="0" fontId="10" fillId="0" borderId="42" xfId="0" applyFont="1" applyBorder="1" applyAlignment="1">
      <alignment horizontal="center" vertical="center" textRotation="90"/>
    </xf>
    <xf numFmtId="0" fontId="10" fillId="0" borderId="45" xfId="0" applyFont="1" applyBorder="1" applyAlignment="1">
      <alignment horizontal="center" vertical="center" textRotation="90"/>
    </xf>
    <xf numFmtId="0" fontId="10" fillId="0" borderId="43" xfId="0" applyFont="1" applyBorder="1" applyAlignment="1">
      <alignment horizontal="center" vertical="center" textRotation="90"/>
    </xf>
    <xf numFmtId="0" fontId="10" fillId="0" borderId="40" xfId="0" applyFont="1" applyBorder="1" applyAlignment="1">
      <alignment horizontal="center" vertical="center" textRotation="90"/>
    </xf>
    <xf numFmtId="0" fontId="10" fillId="0" borderId="38" xfId="0" applyFont="1" applyBorder="1" applyAlignment="1">
      <alignment horizontal="center" vertical="center" textRotation="90"/>
    </xf>
    <xf numFmtId="0" fontId="10" fillId="0" borderId="39" xfId="0" applyFont="1" applyBorder="1" applyAlignment="1">
      <alignment horizontal="center" vertical="center" textRotation="90"/>
    </xf>
    <xf numFmtId="0" fontId="13" fillId="9" borderId="23" xfId="0" applyFont="1" applyFill="1" applyBorder="1" applyAlignment="1">
      <alignment horizontal="center"/>
    </xf>
    <xf numFmtId="0" fontId="13" fillId="9" borderId="24" xfId="0" applyFont="1" applyFill="1" applyBorder="1" applyAlignment="1">
      <alignment horizontal="center"/>
    </xf>
    <xf numFmtId="0" fontId="13" fillId="9" borderId="25" xfId="0" applyFont="1" applyFill="1" applyBorder="1" applyAlignment="1">
      <alignment horizontal="center"/>
    </xf>
    <xf numFmtId="0" fontId="10" fillId="9" borderId="23" xfId="0" applyFont="1" applyFill="1" applyBorder="1" applyAlignment="1">
      <alignment horizontal="center"/>
    </xf>
    <xf numFmtId="0" fontId="10" fillId="9" borderId="24" xfId="0" applyFont="1" applyFill="1" applyBorder="1" applyAlignment="1">
      <alignment horizontal="center"/>
    </xf>
    <xf numFmtId="0" fontId="10" fillId="9" borderId="25" xfId="0" applyFont="1" applyFill="1" applyBorder="1" applyAlignment="1">
      <alignment horizont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10" fillId="6" borderId="25" xfId="0" applyFont="1" applyFill="1" applyBorder="1" applyAlignment="1">
      <alignment horizontal="center"/>
    </xf>
    <xf numFmtId="0" fontId="10" fillId="7" borderId="23" xfId="0" applyFont="1" applyFill="1" applyBorder="1" applyAlignment="1">
      <alignment horizontal="center"/>
    </xf>
    <xf numFmtId="0" fontId="10" fillId="7" borderId="24" xfId="0" applyFont="1" applyFill="1" applyBorder="1" applyAlignment="1">
      <alignment horizontal="center"/>
    </xf>
    <xf numFmtId="0" fontId="10" fillId="7" borderId="25" xfId="0" applyFont="1" applyFill="1" applyBorder="1" applyAlignment="1">
      <alignment horizontal="center"/>
    </xf>
    <xf numFmtId="0" fontId="10" fillId="8" borderId="9" xfId="0" applyFont="1" applyFill="1" applyBorder="1" applyAlignment="1">
      <alignment horizontal="center"/>
    </xf>
    <xf numFmtId="0" fontId="10" fillId="8" borderId="10" xfId="0" applyFont="1" applyFill="1" applyBorder="1" applyAlignment="1">
      <alignment horizontal="center"/>
    </xf>
    <xf numFmtId="0" fontId="10" fillId="8" borderId="11" xfId="0" applyFont="1" applyFill="1" applyBorder="1" applyAlignment="1">
      <alignment horizontal="center"/>
    </xf>
    <xf numFmtId="166" fontId="0" fillId="0" borderId="0" xfId="0" applyNumberFormat="1" applyAlignment="1">
      <alignment horizontal="center" vertical="center"/>
    </xf>
  </cellXfs>
  <cellStyles count="2">
    <cellStyle name="Normale" xfId="0" builtinId="0"/>
    <cellStyle name="Percentuale" xfId="1" builtinId="5"/>
  </cellStyles>
  <dxfs count="1273">
    <dxf>
      <font>
        <b val="0"/>
        <i val="0"/>
      </font>
      <fill>
        <patternFill>
          <bgColor theme="5" tint="0.59996337778862885"/>
        </patternFill>
      </fill>
    </dxf>
    <dxf>
      <font>
        <b/>
        <i val="0"/>
      </font>
      <fill>
        <patternFill>
          <bgColor theme="7" tint="0.59996337778862885"/>
        </patternFill>
      </fill>
    </dxf>
    <dxf>
      <font>
        <b val="0"/>
        <i val="0"/>
      </font>
      <fill>
        <patternFill>
          <bgColor theme="9" tint="0.59996337778862885"/>
        </patternFill>
      </fill>
    </dxf>
    <dxf>
      <font>
        <color rgb="FFC10500"/>
      </font>
    </dxf>
    <dxf>
      <font>
        <color rgb="FF008F0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b/>
        <i val="0"/>
        <color rgb="FFC10500"/>
      </font>
    </dxf>
    <dxf>
      <font>
        <b/>
        <i val="0"/>
        <color rgb="FF008F00"/>
      </font>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C10500"/>
      </font>
    </dxf>
    <dxf>
      <font>
        <color rgb="FF008F00"/>
      </font>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fgColor rgb="FF78AAD6"/>
          <bgColor theme="4" tint="0.79998168889431442"/>
        </patternFill>
      </fill>
    </dxf>
    <dxf>
      <font>
        <color theme="5" tint="-0.499984740745262"/>
      </font>
      <fill>
        <patternFill>
          <bgColor theme="5" tint="0.39994506668294322"/>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70C0"/>
      </font>
      <fill>
        <patternFill>
          <fgColor rgb="FF78AAD6"/>
          <bgColor theme="4" tint="0.79998168889431442"/>
        </patternFill>
      </fill>
    </dxf>
    <dxf>
      <font>
        <color theme="5" tint="-0.499984740745262"/>
      </font>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theme="5" tint="-0.499984740745262"/>
      </font>
      <fill>
        <patternFill>
          <bgColor theme="5" tint="0.39994506668294322"/>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fgColor rgb="FF78AAD6"/>
          <bgColor theme="4" tint="0.79998168889431442"/>
        </patternFill>
      </fill>
    </dxf>
    <dxf>
      <font>
        <color theme="5" tint="-0.499984740745262"/>
      </font>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70C0"/>
      </font>
      <fill>
        <patternFill>
          <fgColor rgb="FF78AAD6"/>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theme="5" tint="-0.499984740745262"/>
      </font>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rgb="FF0070C0"/>
      </font>
      <fill>
        <patternFill>
          <fgColor rgb="FF78AAD6"/>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5" tint="-0.499984740745262"/>
      </font>
      <fill>
        <patternFill>
          <bgColor theme="5" tint="0.39994506668294322"/>
        </patternFill>
      </fill>
    </dxf>
    <dxf>
      <font>
        <color rgb="FF0070C0"/>
      </font>
      <fill>
        <patternFill>
          <fgColor rgb="FF78AAD6"/>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b/>
        <i val="0"/>
        <color rgb="FF008F00"/>
      </font>
    </dxf>
    <dxf>
      <font>
        <b/>
        <i val="0"/>
        <color rgb="FFC10500"/>
      </font>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000"/>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ill>
        <patternFill>
          <bgColor rgb="FFFFC000"/>
        </patternFill>
      </fill>
    </dxf>
    <dxf>
      <font>
        <color rgb="FF9C5700"/>
      </font>
      <fill>
        <patternFill>
          <bgColor rgb="FFFFEB9C"/>
        </patternFill>
      </fill>
    </dxf>
    <dxf>
      <fill>
        <patternFill>
          <bgColor rgb="FFFFC000"/>
        </patternFill>
      </fill>
    </dxf>
    <dxf>
      <font>
        <color rgb="FF006100"/>
      </font>
      <fill>
        <patternFill>
          <bgColor rgb="FFC6EFCE"/>
        </patternFill>
      </fill>
    </dxf>
    <dxf>
      <font>
        <color rgb="FF0070C1"/>
      </font>
      <fill>
        <patternFill>
          <bgColor rgb="FFD9E1F2"/>
        </patternFill>
      </fill>
    </dxf>
    <dxf>
      <fill>
        <patternFill>
          <bgColor rgb="FFFFC000"/>
        </patternFill>
      </fill>
    </dxf>
    <dxf>
      <font>
        <color rgb="FF0070C0"/>
      </font>
      <fill>
        <patternFill>
          <bgColor theme="4" tint="0.79998168889431442"/>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ill>
        <patternFill>
          <bgColor rgb="FFFFC000"/>
        </patternFill>
      </fill>
    </dxf>
    <dxf>
      <fill>
        <patternFill>
          <bgColor rgb="FFFFC000"/>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ill>
        <patternFill>
          <bgColor rgb="FFFFC000"/>
        </patternFill>
      </fill>
    </dxf>
    <dxf>
      <font>
        <color rgb="FF0070C1"/>
      </font>
      <fill>
        <patternFill>
          <bgColor rgb="FFD9E1F2"/>
        </patternFill>
      </fill>
    </dxf>
    <dxf>
      <font>
        <color rgb="FF006100"/>
      </font>
      <fill>
        <patternFill>
          <bgColor rgb="FFC6EFCE"/>
        </patternFill>
      </fill>
    </dxf>
    <dxf>
      <font>
        <color rgb="FF9C5700"/>
      </font>
      <fill>
        <patternFill>
          <bgColor rgb="FFFFEB9C"/>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ont>
        <color rgb="FF0070C0"/>
      </font>
      <fill>
        <patternFill>
          <bgColor theme="4" tint="0.79998168889431442"/>
        </patternFill>
      </fill>
    </dxf>
    <dxf>
      <font>
        <color rgb="FF0070C1"/>
      </font>
      <fill>
        <patternFill>
          <bgColor rgb="FFD9E1F2"/>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0070C1"/>
      </font>
      <fill>
        <patternFill>
          <bgColor rgb="FFD9E1F2"/>
        </patternFill>
      </fill>
    </dxf>
    <dxf>
      <fill>
        <patternFill>
          <bgColor rgb="FFFFC000"/>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ill>
        <patternFill>
          <bgColor rgb="FFFFC000"/>
        </patternFill>
      </fill>
    </dxf>
    <dxf>
      <font>
        <color rgb="FF006100"/>
      </font>
      <fill>
        <patternFill>
          <bgColor rgb="FFC6EFCE"/>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ill>
        <patternFill>
          <bgColor rgb="FFFFC000"/>
        </patternFill>
      </fill>
    </dxf>
    <dxf>
      <font>
        <color rgb="FF0070C1"/>
      </font>
      <fill>
        <patternFill>
          <bgColor rgb="FFD9E1F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9C5700"/>
      </font>
      <fill>
        <patternFill>
          <bgColor rgb="FFFFEB9C"/>
        </patternFill>
      </fill>
    </dxf>
    <dxf>
      <fill>
        <patternFill>
          <bgColor rgb="FFFFC000"/>
        </patternFill>
      </fill>
    </dxf>
    <dxf>
      <font>
        <color rgb="FF0070C1"/>
      </font>
      <fill>
        <patternFill>
          <bgColor rgb="FFD9E1F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ill>
        <patternFill>
          <bgColor rgb="FFFFC000"/>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1"/>
      </font>
      <fill>
        <patternFill>
          <bgColor rgb="FFD9E1F2"/>
        </patternFill>
      </fill>
    </dxf>
    <dxf>
      <font>
        <color rgb="FF9C5700"/>
      </font>
      <fill>
        <patternFill>
          <bgColor rgb="FFFFEB9C"/>
        </patternFill>
      </fill>
    </dxf>
    <dxf>
      <fill>
        <patternFill>
          <bgColor rgb="FFFFC000"/>
        </patternFill>
      </fill>
    </dxf>
    <dxf>
      <font>
        <color rgb="FF006100"/>
      </font>
      <fill>
        <patternFill>
          <bgColor rgb="FFC6EFCE"/>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1"/>
      </font>
      <fill>
        <patternFill>
          <bgColor rgb="FFD9E1F2"/>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1"/>
      </font>
      <fill>
        <patternFill>
          <bgColor rgb="FFD9E1F2"/>
        </patternFill>
      </fill>
    </dxf>
    <dxf>
      <font>
        <color rgb="FF006100"/>
      </font>
      <fill>
        <patternFill>
          <bgColor rgb="FFC6EFCE"/>
        </patternFill>
      </fill>
    </dxf>
    <dxf>
      <fill>
        <patternFill>
          <bgColor rgb="FFFFC000"/>
        </patternFill>
      </fill>
    </dxf>
    <dxf>
      <font>
        <color rgb="FF9C5700"/>
      </font>
      <fill>
        <patternFill>
          <bgColor rgb="FFFFEB9C"/>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ill>
        <patternFill>
          <bgColor rgb="FFFFC000"/>
        </patternFill>
      </fill>
    </dxf>
    <dxf>
      <fill>
        <patternFill>
          <bgColor rgb="FFFFC000"/>
        </patternFill>
      </fill>
    </dxf>
    <dxf>
      <font>
        <color rgb="FF0070C0"/>
      </font>
      <fill>
        <patternFill>
          <bgColor theme="4" tint="0.79998168889431442"/>
        </patternFill>
      </fill>
    </dxf>
    <dxf>
      <font>
        <color rgb="FF9C5700"/>
      </font>
      <fill>
        <patternFill>
          <bgColor rgb="FFFFEB9C"/>
        </patternFill>
      </fill>
    </dxf>
    <dxf>
      <font>
        <color rgb="FF0070C1"/>
      </font>
      <fill>
        <patternFill>
          <bgColor rgb="FFD9E1F2"/>
        </patternFill>
      </fill>
    </dxf>
    <dxf>
      <font>
        <color rgb="FF006100"/>
      </font>
      <fill>
        <patternFill>
          <bgColor rgb="FFC6EFCE"/>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1"/>
      </font>
      <fill>
        <patternFill>
          <bgColor rgb="FFD9E1F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0"/>
      </font>
      <fill>
        <patternFill>
          <bgColor theme="4" tint="0.79998168889431442"/>
        </patternFill>
      </fill>
    </dxf>
    <dxf>
      <fill>
        <patternFill>
          <bgColor rgb="FFFFC000"/>
        </patternFill>
      </fill>
    </dxf>
    <dxf>
      <fill>
        <patternFill>
          <bgColor rgb="FFFFC000"/>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6100"/>
      </font>
      <fill>
        <patternFill>
          <bgColor rgb="FFC6EFCE"/>
        </patternFill>
      </fill>
    </dxf>
    <dxf>
      <font>
        <color rgb="FF0070C1"/>
      </font>
      <fill>
        <patternFill>
          <bgColor rgb="FFD9E1F2"/>
        </patternFill>
      </fill>
    </dxf>
    <dxf>
      <fill>
        <patternFill>
          <bgColor rgb="FFFFC000"/>
        </patternFill>
      </fill>
    </dxf>
    <dxf>
      <font>
        <color rgb="FF9C5700"/>
      </font>
      <fill>
        <patternFill>
          <bgColor rgb="FFFFEB9C"/>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rgb="FF006100"/>
      </font>
      <fill>
        <patternFill>
          <bgColor rgb="FFC6EFCE"/>
        </patternFill>
      </fill>
    </dxf>
    <dxf>
      <fill>
        <patternFill>
          <bgColor rgb="FFFFC000"/>
        </patternFill>
      </fill>
    </dxf>
    <dxf>
      <font>
        <color rgb="FF0070C0"/>
      </font>
      <fill>
        <patternFill>
          <bgColor theme="4" tint="0.79998168889431442"/>
        </patternFill>
      </fill>
    </dxf>
    <dxf>
      <font>
        <color rgb="FF0070C0"/>
      </font>
      <fill>
        <patternFill>
          <bgColor theme="4" tint="0.79998168889431442"/>
        </patternFill>
      </fill>
    </dxf>
    <dxf>
      <fill>
        <patternFill>
          <bgColor rgb="FFFFC000"/>
        </patternFill>
      </fill>
    </dxf>
    <dxf>
      <font>
        <color theme="5" tint="-0.499984740745262"/>
      </font>
      <fill>
        <patternFill>
          <bgColor theme="5" tint="0.39994506668294322"/>
        </patternFill>
      </fill>
    </dxf>
    <dxf>
      <font>
        <b val="0"/>
        <i val="0"/>
        <strike val="0"/>
        <u val="none"/>
        <color theme="1"/>
      </font>
      <fill>
        <patternFill>
          <bgColor theme="0" tint="-0.14996795556505021"/>
        </patternFill>
      </fill>
    </dxf>
    <dxf>
      <font>
        <color rgb="FF006100"/>
      </font>
      <fill>
        <patternFill>
          <bgColor rgb="FFC6EFCE"/>
        </patternFill>
      </fill>
    </dxf>
    <dxf>
      <font>
        <color rgb="FF0070C1"/>
      </font>
      <fill>
        <patternFill>
          <bgColor rgb="FFD9E1F2"/>
        </patternFill>
      </fill>
    </dxf>
    <dxf>
      <font>
        <color rgb="FF9C5700"/>
      </font>
      <fill>
        <patternFill>
          <bgColor rgb="FFFFEB9C"/>
        </patternFill>
      </fill>
    </dxf>
    <dxf>
      <fill>
        <patternFill>
          <bgColor rgb="FFFFC000"/>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ont>
        <color rgb="FF0070C1"/>
      </font>
      <fill>
        <patternFill>
          <bgColor rgb="FFD9E1F2"/>
        </patternFill>
      </fill>
    </dxf>
    <dxf>
      <font>
        <color rgb="FF006100"/>
      </font>
      <fill>
        <patternFill>
          <bgColor rgb="FFC6EFCE"/>
        </patternFill>
      </fill>
    </dxf>
    <dxf>
      <font>
        <color rgb="FF9C5700"/>
      </font>
      <fill>
        <patternFill>
          <bgColor rgb="FFFFEB9C"/>
        </patternFill>
      </fill>
    </dxf>
    <dxf>
      <fill>
        <patternFill>
          <bgColor rgb="FFFFC000"/>
        </patternFill>
      </fill>
    </dxf>
    <dxf>
      <fill>
        <patternFill>
          <bgColor rgb="FFFFC000"/>
        </patternFill>
      </fill>
    </dxf>
    <dxf>
      <font>
        <color rgb="FF006100"/>
      </font>
      <fill>
        <patternFill>
          <bgColor rgb="FFC6EFCE"/>
        </patternFill>
      </fill>
    </dxf>
    <dxf>
      <font>
        <color rgb="FF0070C1"/>
      </font>
      <fill>
        <patternFill>
          <bgColor rgb="FFD9E1F2"/>
        </patternFill>
      </fill>
    </dxf>
    <dxf>
      <font>
        <color rgb="FF9C5700"/>
      </font>
      <fill>
        <patternFill>
          <bgColor rgb="FFFFEB9C"/>
        </patternFill>
      </fill>
    </dxf>
    <dxf>
      <font>
        <color rgb="FF0070C1"/>
      </font>
      <fill>
        <patternFill>
          <bgColor rgb="FFD9E1F2"/>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ont>
        <color rgb="FF9C5700"/>
      </font>
      <fill>
        <patternFill>
          <bgColor rgb="FFFFEB9C"/>
        </patternFill>
      </fill>
    </dxf>
    <dxf>
      <font>
        <color rgb="FF0070C1"/>
      </font>
      <fill>
        <patternFill>
          <bgColor rgb="FFD9E1F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ont>
        <color rgb="FF0070C1"/>
      </font>
      <fill>
        <patternFill>
          <bgColor rgb="FFD9E1F2"/>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70C0"/>
      </font>
      <fill>
        <patternFill>
          <bgColor theme="4" tint="0.79998168889431442"/>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7E79"/>
      <color rgb="FFFFE699"/>
      <color rgb="FFF8D003"/>
      <color rgb="FFC9C9C9"/>
      <color rgb="FF538234"/>
      <color rgb="FF2E74B5"/>
      <color rgb="FF73FEFF"/>
      <color rgb="FF80A8D4"/>
      <color rgb="FF014573"/>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67785130692282514"/>
          <c:y val="0.1419257588217317"/>
          <c:w val="0.40287467191601051"/>
          <c:h val="0.6714577865266842"/>
        </c:manualLayout>
      </c:layout>
      <c:doughnutChart>
        <c:varyColors val="1"/>
        <c:ser>
          <c:idx val="0"/>
          <c:order val="0"/>
          <c:dPt>
            <c:idx val="0"/>
            <c:bubble3D val="0"/>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extLst>
              <c:ext xmlns:c16="http://schemas.microsoft.com/office/drawing/2014/chart" uri="{C3380CC4-5D6E-409C-BE32-E72D297353CC}">
                <c16:uniqueId val="{00000001-B68B-E741-893E-0AB23DA02A9C}"/>
              </c:ext>
            </c:extLst>
          </c:dPt>
          <c:dPt>
            <c:idx val="1"/>
            <c:bubble3D val="0"/>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extLst>
              <c:ext xmlns:c16="http://schemas.microsoft.com/office/drawing/2014/chart" uri="{C3380CC4-5D6E-409C-BE32-E72D297353CC}">
                <c16:uniqueId val="{00000003-B68B-E741-893E-0AB23DA02A9C}"/>
              </c:ext>
            </c:extLst>
          </c:dPt>
          <c:val>
            <c:numRef>
              <c:f>'BUDGET 25'!$AB$4:$AB$5</c:f>
              <c:numCache>
                <c:formatCode>#,##0\ "€"</c:formatCode>
                <c:ptCount val="2"/>
                <c:pt idx="0">
                  <c:v>870000</c:v>
                </c:pt>
                <c:pt idx="1">
                  <c:v>734081.71999999986</c:v>
                </c:pt>
              </c:numCache>
            </c:numRef>
          </c:val>
          <c:extLst>
            <c:ext xmlns:c16="http://schemas.microsoft.com/office/drawing/2014/chart" uri="{C3380CC4-5D6E-409C-BE32-E72D297353CC}">
              <c16:uniqueId val="{00000003-9DEF-7C46-A610-44FEF508BC9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accent6"/>
          </a:solidFill>
          <a:latin typeface="+mn-lt"/>
          <a:ea typeface="+mn-ea"/>
          <a:cs typeface="+mn-cs"/>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67785130692282514"/>
          <c:y val="0.1419257588217317"/>
          <c:w val="0.40287467191601051"/>
          <c:h val="0.6714577865266842"/>
        </c:manualLayout>
      </c:layout>
      <c:doughnutChart>
        <c:varyColors val="1"/>
        <c:ser>
          <c:idx val="0"/>
          <c:order val="0"/>
          <c:dPt>
            <c:idx val="0"/>
            <c:bubble3D val="0"/>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extLst>
              <c:ext xmlns:c16="http://schemas.microsoft.com/office/drawing/2014/chart" uri="{C3380CC4-5D6E-409C-BE32-E72D297353CC}">
                <c16:uniqueId val="{00000001-E7FC-6744-9F75-4969DEEA70E6}"/>
              </c:ext>
            </c:extLst>
          </c:dPt>
          <c:dPt>
            <c:idx val="1"/>
            <c:bubble3D val="0"/>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extLst>
              <c:ext xmlns:c16="http://schemas.microsoft.com/office/drawing/2014/chart" uri="{C3380CC4-5D6E-409C-BE32-E72D297353CC}">
                <c16:uniqueId val="{00000003-E7FC-6744-9F75-4969DEEA70E6}"/>
              </c:ext>
            </c:extLst>
          </c:dPt>
          <c:val>
            <c:numRef>
              <c:f>'BUDGET 25'!$AB$4:$AB$5</c:f>
              <c:numCache>
                <c:formatCode>#,##0\ "€"</c:formatCode>
                <c:ptCount val="2"/>
                <c:pt idx="0">
                  <c:v>870000</c:v>
                </c:pt>
                <c:pt idx="1">
                  <c:v>734081.71999999986</c:v>
                </c:pt>
              </c:numCache>
            </c:numRef>
          </c:val>
          <c:extLst>
            <c:ext xmlns:c16="http://schemas.microsoft.com/office/drawing/2014/chart" uri="{C3380CC4-5D6E-409C-BE32-E72D297353CC}">
              <c16:uniqueId val="{00000004-E7FC-6744-9F75-4969DEEA70E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accent6"/>
          </a:solidFill>
          <a:latin typeface="+mn-lt"/>
          <a:ea typeface="+mn-ea"/>
          <a:cs typeface="+mn-cs"/>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67785130692282514"/>
          <c:y val="0.1419257588217317"/>
          <c:w val="0.40287467191601051"/>
          <c:h val="0.6714577865266842"/>
        </c:manualLayout>
      </c:layout>
      <c:doughnutChart>
        <c:varyColors val="1"/>
        <c:ser>
          <c:idx val="0"/>
          <c:order val="0"/>
          <c:dPt>
            <c:idx val="0"/>
            <c:bubble3D val="0"/>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extLst>
              <c:ext xmlns:c16="http://schemas.microsoft.com/office/drawing/2014/chart" uri="{C3380CC4-5D6E-409C-BE32-E72D297353CC}">
                <c16:uniqueId val="{00000001-2790-3D4D-B5F8-4A7299CDD367}"/>
              </c:ext>
            </c:extLst>
          </c:dPt>
          <c:dPt>
            <c:idx val="1"/>
            <c:bubble3D val="0"/>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extLst>
              <c:ext xmlns:c16="http://schemas.microsoft.com/office/drawing/2014/chart" uri="{C3380CC4-5D6E-409C-BE32-E72D297353CC}">
                <c16:uniqueId val="{00000003-2790-3D4D-B5F8-4A7299CDD367}"/>
              </c:ext>
            </c:extLst>
          </c:dPt>
          <c:val>
            <c:numRef>
              <c:f>'BUDGET 25'!$AB$4:$AB$5</c:f>
              <c:numCache>
                <c:formatCode>#,##0\ "€"</c:formatCode>
                <c:ptCount val="2"/>
                <c:pt idx="0">
                  <c:v>870000</c:v>
                </c:pt>
                <c:pt idx="1">
                  <c:v>734081.71999999986</c:v>
                </c:pt>
              </c:numCache>
            </c:numRef>
          </c:val>
          <c:extLst>
            <c:ext xmlns:c16="http://schemas.microsoft.com/office/drawing/2014/chart" uri="{C3380CC4-5D6E-409C-BE32-E72D297353CC}">
              <c16:uniqueId val="{00000004-2790-3D4D-B5F8-4A7299CDD36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accent6"/>
          </a:solidFill>
          <a:latin typeface="+mn-lt"/>
          <a:ea typeface="+mn-ea"/>
          <a:cs typeface="+mn-cs"/>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67785130692282514"/>
          <c:y val="0.1419257588217317"/>
          <c:w val="0.40287467191601051"/>
          <c:h val="0.6714577865266842"/>
        </c:manualLayout>
      </c:layout>
      <c:doughnutChart>
        <c:varyColors val="1"/>
        <c:ser>
          <c:idx val="0"/>
          <c:order val="0"/>
          <c:dPt>
            <c:idx val="0"/>
            <c:bubble3D val="0"/>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extLst>
              <c:ext xmlns:c16="http://schemas.microsoft.com/office/drawing/2014/chart" uri="{C3380CC4-5D6E-409C-BE32-E72D297353CC}">
                <c16:uniqueId val="{00000001-C14E-DD4A-BCAE-05330D057DEC}"/>
              </c:ext>
            </c:extLst>
          </c:dPt>
          <c:dPt>
            <c:idx val="1"/>
            <c:bubble3D val="0"/>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extLst>
              <c:ext xmlns:c16="http://schemas.microsoft.com/office/drawing/2014/chart" uri="{C3380CC4-5D6E-409C-BE32-E72D297353CC}">
                <c16:uniqueId val="{00000003-C14E-DD4A-BCAE-05330D057DEC}"/>
              </c:ext>
            </c:extLst>
          </c:dPt>
          <c:val>
            <c:numRef>
              <c:f>'BUDGET 25'!$AB$4:$AB$5</c:f>
              <c:numCache>
                <c:formatCode>#,##0\ "€"</c:formatCode>
                <c:ptCount val="2"/>
                <c:pt idx="0">
                  <c:v>870000</c:v>
                </c:pt>
                <c:pt idx="1">
                  <c:v>734081.71999999986</c:v>
                </c:pt>
              </c:numCache>
            </c:numRef>
          </c:val>
          <c:extLst>
            <c:ext xmlns:c16="http://schemas.microsoft.com/office/drawing/2014/chart" uri="{C3380CC4-5D6E-409C-BE32-E72D297353CC}">
              <c16:uniqueId val="{00000004-C14E-DD4A-BCAE-05330D057D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accent6"/>
          </a:solidFill>
          <a:latin typeface="+mn-lt"/>
          <a:ea typeface="+mn-ea"/>
          <a:cs typeface="+mn-cs"/>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'BUDGET 25'!$B$3:$C$3</c:f>
              <c:strCache>
                <c:ptCount val="2"/>
                <c:pt idx="0">
                  <c:v>UTILE</c:v>
                </c:pt>
              </c:strCache>
            </c:strRef>
          </c:tx>
          <c:spPr>
            <a:solidFill>
              <a:schemeClr val="accent4"/>
            </a:solidFill>
            <a:ln>
              <a:noFill/>
            </a:ln>
            <a:effectLst/>
          </c:spPr>
          <c:invertIfNegative val="0"/>
          <c:cat>
            <c:strRef>
              <c:f>'BUDGET 25'!$D$2:$AB$2</c:f>
              <c:strCache>
                <c:ptCount val="25"/>
                <c:pt idx="0">
                  <c:v>gen-25</c:v>
                </c:pt>
                <c:pt idx="2">
                  <c:v>feb-25</c:v>
                </c:pt>
                <c:pt idx="4">
                  <c:v>mar-25</c:v>
                </c:pt>
                <c:pt idx="6">
                  <c:v>apr-25</c:v>
                </c:pt>
                <c:pt idx="8">
                  <c:v>mag-25</c:v>
                </c:pt>
                <c:pt idx="10">
                  <c:v>giu-25</c:v>
                </c:pt>
                <c:pt idx="12">
                  <c:v>lug-25</c:v>
                </c:pt>
                <c:pt idx="14">
                  <c:v>ago-25</c:v>
                </c:pt>
                <c:pt idx="16">
                  <c:v>set-25</c:v>
                </c:pt>
                <c:pt idx="18">
                  <c:v>ott-25</c:v>
                </c:pt>
                <c:pt idx="20">
                  <c:v>nov-25</c:v>
                </c:pt>
                <c:pt idx="22">
                  <c:v>dic-25</c:v>
                </c:pt>
                <c:pt idx="24">
                  <c:v>TOTALE</c:v>
                </c:pt>
              </c:strCache>
            </c:strRef>
          </c:cat>
          <c:val>
            <c:numRef>
              <c:f>'BUDGET 25'!$D$3:$Z$3</c:f>
              <c:numCache>
                <c:formatCode>0.00%</c:formatCode>
                <c:ptCount val="23"/>
                <c:pt idx="0" formatCode="#,##0\ &quot;€&quot;">
                  <c:v>#N/A</c:v>
                </c:pt>
                <c:pt idx="1">
                  <c:v>#N/A</c:v>
                </c:pt>
                <c:pt idx="2" formatCode="#,##0\ &quot;€&quot;">
                  <c:v>#N/A</c:v>
                </c:pt>
                <c:pt idx="3">
                  <c:v>#N/A</c:v>
                </c:pt>
                <c:pt idx="4" formatCode="#,##0\ &quot;€&quot;">
                  <c:v>#N/A</c:v>
                </c:pt>
                <c:pt idx="5">
                  <c:v>#N/A</c:v>
                </c:pt>
                <c:pt idx="6" formatCode="#,##0\ &quot;€&quot;">
                  <c:v>#N/A</c:v>
                </c:pt>
                <c:pt idx="7">
                  <c:v>#N/A</c:v>
                </c:pt>
                <c:pt idx="8" formatCode="#,##0\ &quot;€&quot;">
                  <c:v>#N/A</c:v>
                </c:pt>
                <c:pt idx="9">
                  <c:v>#N/A</c:v>
                </c:pt>
                <c:pt idx="10" formatCode="#,##0\ &quot;€&quot;">
                  <c:v>#N/A</c:v>
                </c:pt>
                <c:pt idx="11">
                  <c:v>#N/A</c:v>
                </c:pt>
                <c:pt idx="12" formatCode="#,##0\ &quot;€&quot;">
                  <c:v>#N/A</c:v>
                </c:pt>
                <c:pt idx="13">
                  <c:v>#N/A</c:v>
                </c:pt>
                <c:pt idx="14" formatCode="#,##0\ &quot;€&quot;">
                  <c:v>#N/A</c:v>
                </c:pt>
                <c:pt idx="15">
                  <c:v>#N/A</c:v>
                </c:pt>
                <c:pt idx="16" formatCode="#,##0\ &quot;€&quot;">
                  <c:v>#N/A</c:v>
                </c:pt>
                <c:pt idx="17">
                  <c:v>#N/A</c:v>
                </c:pt>
                <c:pt idx="18" formatCode="#,##0\ &quot;€&quot;">
                  <c:v>#N/A</c:v>
                </c:pt>
                <c:pt idx="19">
                  <c:v>#N/A</c:v>
                </c:pt>
                <c:pt idx="20" formatCode="#,##0\ &quot;€&quot;">
                  <c:v>#N/A</c:v>
                </c:pt>
                <c:pt idx="21">
                  <c:v>#N/A</c:v>
                </c:pt>
                <c:pt idx="22" formatCode="#,##0\ &quot;€&quot;">
                  <c:v>#N/A</c:v>
                </c:pt>
              </c:numCache>
            </c:numRef>
          </c:val>
          <c:extLst>
            <c:ext xmlns:c16="http://schemas.microsoft.com/office/drawing/2014/chart" uri="{C3380CC4-5D6E-409C-BE32-E72D297353CC}">
              <c16:uniqueId val="{00000000-D445-5D41-8AE8-7F9FB5E7F23A}"/>
            </c:ext>
          </c:extLst>
        </c:ser>
        <c:ser>
          <c:idx val="1"/>
          <c:order val="1"/>
          <c:tx>
            <c:strRef>
              <c:f>'BUDGET 25'!$B$5:$C$5</c:f>
              <c:strCache>
                <c:ptCount val="2"/>
                <c:pt idx="0">
                  <c:v>RICAVI</c:v>
                </c:pt>
              </c:strCache>
            </c:strRef>
          </c:tx>
          <c:spPr>
            <a:solidFill>
              <a:schemeClr val="accent6"/>
            </a:solidFill>
            <a:ln>
              <a:noFill/>
            </a:ln>
            <a:effectLst/>
          </c:spPr>
          <c:invertIfNegative val="0"/>
          <c:cat>
            <c:strRef>
              <c:f>'BUDGET 25'!$D$2:$AB$2</c:f>
              <c:strCache>
                <c:ptCount val="25"/>
                <c:pt idx="0">
                  <c:v>gen-25</c:v>
                </c:pt>
                <c:pt idx="2">
                  <c:v>feb-25</c:v>
                </c:pt>
                <c:pt idx="4">
                  <c:v>mar-25</c:v>
                </c:pt>
                <c:pt idx="6">
                  <c:v>apr-25</c:v>
                </c:pt>
                <c:pt idx="8">
                  <c:v>mag-25</c:v>
                </c:pt>
                <c:pt idx="10">
                  <c:v>giu-25</c:v>
                </c:pt>
                <c:pt idx="12">
                  <c:v>lug-25</c:v>
                </c:pt>
                <c:pt idx="14">
                  <c:v>ago-25</c:v>
                </c:pt>
                <c:pt idx="16">
                  <c:v>set-25</c:v>
                </c:pt>
                <c:pt idx="18">
                  <c:v>ott-25</c:v>
                </c:pt>
                <c:pt idx="20">
                  <c:v>nov-25</c:v>
                </c:pt>
                <c:pt idx="22">
                  <c:v>dic-25</c:v>
                </c:pt>
                <c:pt idx="24">
                  <c:v>TOTALE</c:v>
                </c:pt>
              </c:strCache>
            </c:strRef>
          </c:cat>
          <c:val>
            <c:numRef>
              <c:f>'BUDGET 25'!$D$5:$Z$5</c:f>
              <c:numCache>
                <c:formatCode>0.00%</c:formatCode>
                <c:ptCount val="23"/>
                <c:pt idx="0" formatCode="#,##0\ &quot;€&quot;">
                  <c:v>64790.959999999992</c:v>
                </c:pt>
                <c:pt idx="1">
                  <c:v>8.826123609235223E-2</c:v>
                </c:pt>
                <c:pt idx="2" formatCode="#,##0\ &quot;€&quot;">
                  <c:v>46592.57</c:v>
                </c:pt>
                <c:pt idx="3">
                  <c:v>6.3470549300696399E-2</c:v>
                </c:pt>
                <c:pt idx="4" formatCode="#,##0\ &quot;€&quot;">
                  <c:v>49190.07</c:v>
                </c:pt>
                <c:pt idx="5">
                  <c:v>6.7008983686448434E-2</c:v>
                </c:pt>
                <c:pt idx="6" formatCode="#,##0\ &quot;€&quot;">
                  <c:v>57246.560000000005</c:v>
                </c:pt>
                <c:pt idx="7">
                  <c:v>7.7983906205973924E-2</c:v>
                </c:pt>
                <c:pt idx="8" formatCode="#,##0\ &quot;€&quot;">
                  <c:v>36801.700000000012</c:v>
                </c:pt>
                <c:pt idx="9">
                  <c:v>5.0132974296104277E-2</c:v>
                </c:pt>
                <c:pt idx="10" formatCode="#,##0\ &quot;€&quot;">
                  <c:v>73885.72</c:v>
                </c:pt>
                <c:pt idx="11">
                  <c:v>0.10065053792648591</c:v>
                </c:pt>
                <c:pt idx="12" formatCode="#,##0\ &quot;€&quot;">
                  <c:v>75739.53</c:v>
                </c:pt>
                <c:pt idx="13">
                  <c:v>0.10317588346975867</c:v>
                </c:pt>
                <c:pt idx="14" formatCode="#,##0\ &quot;€&quot;">
                  <c:v>89177.180000000022</c:v>
                </c:pt>
                <c:pt idx="15">
                  <c:v>0.12148127050486973</c:v>
                </c:pt>
                <c:pt idx="16" formatCode="#,##0\ &quot;€&quot;">
                  <c:v>83108.22</c:v>
                </c:pt>
                <c:pt idx="17">
                  <c:v>0.11321385308436779</c:v>
                </c:pt>
                <c:pt idx="18" formatCode="#,##0\ &quot;€&quot;">
                  <c:v>64821.710000000006</c:v>
                </c:pt>
                <c:pt idx="19">
                  <c:v>8.8303125161596482E-2</c:v>
                </c:pt>
                <c:pt idx="20" formatCode="#,##0\ &quot;€&quot;">
                  <c:v>56754.749999999993</c:v>
                </c:pt>
                <c:pt idx="21">
                  <c:v>7.7313939924835623E-2</c:v>
                </c:pt>
                <c:pt idx="22" formatCode="#,##0\ &quot;€&quot;">
                  <c:v>35972.749999999993</c:v>
                </c:pt>
              </c:numCache>
            </c:numRef>
          </c:val>
          <c:extLst>
            <c:ext xmlns:c16="http://schemas.microsoft.com/office/drawing/2014/chart" uri="{C3380CC4-5D6E-409C-BE32-E72D297353CC}">
              <c16:uniqueId val="{00000001-D445-5D41-8AE8-7F9FB5E7F23A}"/>
            </c:ext>
          </c:extLst>
        </c:ser>
        <c:ser>
          <c:idx val="2"/>
          <c:order val="2"/>
          <c:tx>
            <c:strRef>
              <c:f>'BUDGET 25'!$B$6:$C$6</c:f>
              <c:strCache>
                <c:ptCount val="2"/>
                <c:pt idx="0">
                  <c:v>COSTI</c:v>
                </c:pt>
              </c:strCache>
            </c:strRef>
          </c:tx>
          <c:spPr>
            <a:solidFill>
              <a:srgbClr val="C00000"/>
            </a:solidFill>
            <a:ln>
              <a:noFill/>
            </a:ln>
            <a:effectLst/>
          </c:spPr>
          <c:invertIfNegative val="0"/>
          <c:cat>
            <c:strRef>
              <c:f>'BUDGET 25'!$D$2:$AB$2</c:f>
              <c:strCache>
                <c:ptCount val="25"/>
                <c:pt idx="0">
                  <c:v>gen-25</c:v>
                </c:pt>
                <c:pt idx="2">
                  <c:v>feb-25</c:v>
                </c:pt>
                <c:pt idx="4">
                  <c:v>mar-25</c:v>
                </c:pt>
                <c:pt idx="6">
                  <c:v>apr-25</c:v>
                </c:pt>
                <c:pt idx="8">
                  <c:v>mag-25</c:v>
                </c:pt>
                <c:pt idx="10">
                  <c:v>giu-25</c:v>
                </c:pt>
                <c:pt idx="12">
                  <c:v>lug-25</c:v>
                </c:pt>
                <c:pt idx="14">
                  <c:v>ago-25</c:v>
                </c:pt>
                <c:pt idx="16">
                  <c:v>set-25</c:v>
                </c:pt>
                <c:pt idx="18">
                  <c:v>ott-25</c:v>
                </c:pt>
                <c:pt idx="20">
                  <c:v>nov-25</c:v>
                </c:pt>
                <c:pt idx="22">
                  <c:v>dic-25</c:v>
                </c:pt>
                <c:pt idx="24">
                  <c:v>TOTALE</c:v>
                </c:pt>
              </c:strCache>
            </c:strRef>
          </c:cat>
          <c:val>
            <c:numRef>
              <c:f>'BUDGET 25'!$D$6:$Z$6</c:f>
              <c:numCache>
                <c:formatCode>0.00%</c:formatCode>
                <c:ptCount val="23"/>
                <c:pt idx="0" formatCode="#,##0\ &quot;€&quot;">
                  <c:v>-43358.54</c:v>
                </c:pt>
                <c:pt idx="1">
                  <c:v>5.9281281048180839E-2</c:v>
                </c:pt>
                <c:pt idx="2" formatCode="#,##0\ &quot;€&quot;">
                  <c:v>-44435.149999999994</c:v>
                </c:pt>
                <c:pt idx="3">
                  <c:v>6.0753259117305898E-2</c:v>
                </c:pt>
                <c:pt idx="4" formatCode="#,##0\ &quot;€&quot;">
                  <c:v>-68202.78</c:v>
                </c:pt>
                <c:pt idx="5">
                  <c:v>9.3249176965996716E-2</c:v>
                </c:pt>
                <c:pt idx="6" formatCode="#,##0\ &quot;€&quot;">
                  <c:v>-69003.199999999997</c:v>
                </c:pt>
                <c:pt idx="7">
                  <c:v>9.4343538606785002E-2</c:v>
                </c:pt>
                <c:pt idx="8" formatCode="#,##0\ &quot;€&quot;">
                  <c:v>-61315.09</c:v>
                </c:pt>
                <c:pt idx="9">
                  <c:v>8.3832091273933623E-2</c:v>
                </c:pt>
                <c:pt idx="10" formatCode="#,##0\ &quot;€&quot;">
                  <c:v>-70034.13</c:v>
                </c:pt>
                <c:pt idx="11">
                  <c:v>9.5753061415232918E-2</c:v>
                </c:pt>
                <c:pt idx="12" formatCode="#,##0\ &quot;€&quot;">
                  <c:v>-78963.789999999994</c:v>
                </c:pt>
                <c:pt idx="13">
                  <c:v>0.10796199843489959</c:v>
                </c:pt>
                <c:pt idx="14" formatCode="#,##0\ &quot;€&quot;">
                  <c:v>-70800.7</c:v>
                </c:pt>
                <c:pt idx="15">
                  <c:v>9.6801142176557067E-2</c:v>
                </c:pt>
                <c:pt idx="16" formatCode="#,##0\ &quot;€&quot;">
                  <c:v>-70436.909999999989</c:v>
                </c:pt>
                <c:pt idx="17">
                  <c:v>9.630375602765727E-2</c:v>
                </c:pt>
                <c:pt idx="18" formatCode="#,##0\ &quot;€&quot;">
                  <c:v>-67969.7</c:v>
                </c:pt>
                <c:pt idx="19">
                  <c:v>9.293050200630687E-2</c:v>
                </c:pt>
                <c:pt idx="20" formatCode="#,##0\ &quot;€&quot;">
                  <c:v>-64041.13</c:v>
                </c:pt>
                <c:pt idx="21">
                  <c:v>8.755922653698868E-2</c:v>
                </c:pt>
                <c:pt idx="22" formatCode="#,##0\ &quot;€&quot;">
                  <c:v>-22842.44</c:v>
                </c:pt>
              </c:numCache>
            </c:numRef>
          </c:val>
          <c:extLst>
            <c:ext xmlns:c16="http://schemas.microsoft.com/office/drawing/2014/chart" uri="{C3380CC4-5D6E-409C-BE32-E72D297353CC}">
              <c16:uniqueId val="{00000002-D445-5D41-8AE8-7F9FB5E7F23A}"/>
            </c:ext>
          </c:extLst>
        </c:ser>
        <c:dLbls>
          <c:showLegendKey val="0"/>
          <c:showVal val="0"/>
          <c:showCatName val="0"/>
          <c:showSerName val="0"/>
          <c:showPercent val="0"/>
          <c:showBubbleSize val="0"/>
        </c:dLbls>
        <c:gapWidth val="50"/>
        <c:overlap val="100"/>
        <c:axId val="131542127"/>
        <c:axId val="131655983"/>
      </c:barChart>
      <c:lineChart>
        <c:grouping val="stacked"/>
        <c:varyColors val="0"/>
        <c:ser>
          <c:idx val="3"/>
          <c:order val="3"/>
          <c:tx>
            <c:strRef>
              <c:f>'BUDGET 25'!$B$9:$C$9</c:f>
              <c:strCache>
                <c:ptCount val="2"/>
                <c:pt idx="0">
                  <c:v>LIQUIDITÀ</c:v>
                </c:pt>
              </c:strCache>
            </c:strRef>
          </c:tx>
          <c:spPr>
            <a:ln w="28575" cap="rnd">
              <a:solidFill>
                <a:schemeClr val="accent1"/>
              </a:solidFill>
              <a:round/>
            </a:ln>
            <a:effectLst/>
          </c:spPr>
          <c:marker>
            <c:symbol val="none"/>
          </c:marker>
          <c:cat>
            <c:numRef>
              <c:f>'BUDGET 25'!$D$2:$Z$2</c:f>
              <c:numCache>
                <c:formatCode>[$-410]mmm\-yy;@</c:formatCode>
                <c:ptCount val="23"/>
                <c:pt idx="0">
                  <c:v>45658</c:v>
                </c:pt>
                <c:pt idx="2">
                  <c:v>45689</c:v>
                </c:pt>
                <c:pt idx="4">
                  <c:v>45717</c:v>
                </c:pt>
                <c:pt idx="6">
                  <c:v>45748</c:v>
                </c:pt>
                <c:pt idx="8">
                  <c:v>45778</c:v>
                </c:pt>
                <c:pt idx="10">
                  <c:v>45809</c:v>
                </c:pt>
                <c:pt idx="12">
                  <c:v>45839</c:v>
                </c:pt>
                <c:pt idx="14">
                  <c:v>45870</c:v>
                </c:pt>
                <c:pt idx="16">
                  <c:v>45901</c:v>
                </c:pt>
                <c:pt idx="18">
                  <c:v>45931</c:v>
                </c:pt>
                <c:pt idx="20">
                  <c:v>45962</c:v>
                </c:pt>
                <c:pt idx="22">
                  <c:v>45992</c:v>
                </c:pt>
              </c:numCache>
            </c:numRef>
          </c:cat>
          <c:val>
            <c:numRef>
              <c:f>'BUDGET 25'!$D$9:$Z$9</c:f>
              <c:numCache>
                <c:formatCode>#,##0\ "€"</c:formatCode>
                <c:ptCount val="23"/>
                <c:pt idx="0">
                  <c:v>117783.43000000001</c:v>
                </c:pt>
                <c:pt idx="2">
                  <c:v>0</c:v>
                </c:pt>
                <c:pt idx="4">
                  <c:v>0</c:v>
                </c:pt>
                <c:pt idx="6">
                  <c:v>0</c:v>
                </c:pt>
                <c:pt idx="8">
                  <c:v>0</c:v>
                </c:pt>
                <c:pt idx="10">
                  <c:v>0</c:v>
                </c:pt>
                <c:pt idx="12">
                  <c:v>0</c:v>
                </c:pt>
                <c:pt idx="14">
                  <c:v>0</c:v>
                </c:pt>
                <c:pt idx="16">
                  <c:v>0</c:v>
                </c:pt>
                <c:pt idx="18">
                  <c:v>0</c:v>
                </c:pt>
                <c:pt idx="20">
                  <c:v>0</c:v>
                </c:pt>
                <c:pt idx="22">
                  <c:v>0</c:v>
                </c:pt>
              </c:numCache>
            </c:numRef>
          </c:val>
          <c:smooth val="1"/>
          <c:extLst>
            <c:ext xmlns:c16="http://schemas.microsoft.com/office/drawing/2014/chart" uri="{C3380CC4-5D6E-409C-BE32-E72D297353CC}">
              <c16:uniqueId val="{00000003-D445-5D41-8AE8-7F9FB5E7F23A}"/>
            </c:ext>
          </c:extLst>
        </c:ser>
        <c:dLbls>
          <c:showLegendKey val="0"/>
          <c:showVal val="0"/>
          <c:showCatName val="0"/>
          <c:showSerName val="0"/>
          <c:showPercent val="0"/>
          <c:showBubbleSize val="0"/>
        </c:dLbls>
        <c:marker val="1"/>
        <c:smooth val="0"/>
        <c:axId val="131542127"/>
        <c:axId val="131655983"/>
      </c:lineChart>
      <c:catAx>
        <c:axId val="131542127"/>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it-IT"/>
          </a:p>
        </c:txPr>
        <c:crossAx val="131655983"/>
        <c:crosses val="autoZero"/>
        <c:auto val="1"/>
        <c:lblAlgn val="ctr"/>
        <c:lblOffset val="100"/>
        <c:noMultiLvlLbl val="1"/>
      </c:catAx>
      <c:valAx>
        <c:axId val="131655983"/>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1542127"/>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RICAVI 2025</a:t>
            </a:r>
            <a:r>
              <a:rPr lang="it-IT" b="1" baseline="0"/>
              <a:t>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STORICO!$C$3</c:f>
              <c:strCache>
                <c:ptCount val="1"/>
                <c:pt idx="0">
                  <c:v>2025</c:v>
                </c:pt>
              </c:strCache>
            </c:strRef>
          </c:tx>
          <c:spPr>
            <a:solidFill>
              <a:schemeClr val="accent1"/>
            </a:solidFill>
            <a:ln>
              <a:noFill/>
            </a:ln>
            <a:effectLst/>
          </c:spPr>
          <c:invertIfNegative val="0"/>
          <c:cat>
            <c:strRef>
              <c:f>STORICO!$B$4:$B$15</c:f>
              <c:strCache>
                <c:ptCount val="12"/>
                <c:pt idx="0">
                  <c:v> GEN</c:v>
                </c:pt>
                <c:pt idx="1">
                  <c:v> FEB</c:v>
                </c:pt>
                <c:pt idx="2">
                  <c:v> MAR</c:v>
                </c:pt>
                <c:pt idx="3">
                  <c:v> APR</c:v>
                </c:pt>
                <c:pt idx="4">
                  <c:v> MAG</c:v>
                </c:pt>
                <c:pt idx="5">
                  <c:v> GIU</c:v>
                </c:pt>
                <c:pt idx="6">
                  <c:v> LUG</c:v>
                </c:pt>
                <c:pt idx="7">
                  <c:v> AGO</c:v>
                </c:pt>
                <c:pt idx="8">
                  <c:v> SET</c:v>
                </c:pt>
                <c:pt idx="9">
                  <c:v> OTT</c:v>
                </c:pt>
                <c:pt idx="10">
                  <c:v> NOV</c:v>
                </c:pt>
                <c:pt idx="11">
                  <c:v> DIC</c:v>
                </c:pt>
              </c:strCache>
            </c:strRef>
          </c:cat>
          <c:val>
            <c:numRef>
              <c:f>STORICO!$C$4:$C$15</c:f>
              <c:numCache>
                <c:formatCode>#,##0.00\ "€"</c:formatCode>
                <c:ptCount val="12"/>
                <c:pt idx="0">
                  <c:v>56775.750000000007</c:v>
                </c:pt>
                <c:pt idx="1">
                  <c:v>64368.1</c:v>
                </c:pt>
                <c:pt idx="2">
                  <c:v>91689.910000000018</c:v>
                </c:pt>
                <c:pt idx="3">
                  <c:v>123264.41999999998</c:v>
                </c:pt>
                <c:pt idx="4">
                  <c:v>84317.249999999985</c:v>
                </c:pt>
                <c:pt idx="5">
                  <c:v>85082.1</c:v>
                </c:pt>
                <c:pt idx="6">
                  <c:v>80065.610000000015</c:v>
                </c:pt>
                <c:pt idx="7">
                  <c:v>95524.9</c:v>
                </c:pt>
                <c:pt idx="8">
                  <c:v>78508.449999999983</c:v>
                </c:pt>
                <c:pt idx="9">
                  <c:v>82941.889999999985</c:v>
                </c:pt>
                <c:pt idx="10">
                  <c:v>81065.154999999999</c:v>
                </c:pt>
                <c:pt idx="11">
                  <c:v>89525.485000000001</c:v>
                </c:pt>
              </c:numCache>
            </c:numRef>
          </c:val>
          <c:extLst>
            <c:ext xmlns:c16="http://schemas.microsoft.com/office/drawing/2014/chart" uri="{C3380CC4-5D6E-409C-BE32-E72D297353CC}">
              <c16:uniqueId val="{00000000-5A23-624E-B0AE-1674D9200433}"/>
            </c:ext>
          </c:extLst>
        </c:ser>
        <c:ser>
          <c:idx val="1"/>
          <c:order val="1"/>
          <c:tx>
            <c:strRef>
              <c:f>STORICO!$E$3</c:f>
              <c:strCache>
                <c:ptCount val="1"/>
                <c:pt idx="0">
                  <c:v>2024</c:v>
                </c:pt>
              </c:strCache>
            </c:strRef>
          </c:tx>
          <c:spPr>
            <a:solidFill>
              <a:schemeClr val="accent2"/>
            </a:solidFill>
            <a:ln>
              <a:noFill/>
            </a:ln>
            <a:effectLst/>
          </c:spPr>
          <c:invertIfNegative val="0"/>
          <c:cat>
            <c:strRef>
              <c:f>STORICO!$B$4:$B$15</c:f>
              <c:strCache>
                <c:ptCount val="12"/>
                <c:pt idx="0">
                  <c:v> GEN</c:v>
                </c:pt>
                <c:pt idx="1">
                  <c:v> FEB</c:v>
                </c:pt>
                <c:pt idx="2">
                  <c:v> MAR</c:v>
                </c:pt>
                <c:pt idx="3">
                  <c:v> APR</c:v>
                </c:pt>
                <c:pt idx="4">
                  <c:v> MAG</c:v>
                </c:pt>
                <c:pt idx="5">
                  <c:v> GIU</c:v>
                </c:pt>
                <c:pt idx="6">
                  <c:v> LUG</c:v>
                </c:pt>
                <c:pt idx="7">
                  <c:v> AGO</c:v>
                </c:pt>
                <c:pt idx="8">
                  <c:v> SET</c:v>
                </c:pt>
                <c:pt idx="9">
                  <c:v> OTT</c:v>
                </c:pt>
                <c:pt idx="10">
                  <c:v> NOV</c:v>
                </c:pt>
                <c:pt idx="11">
                  <c:v> DIC</c:v>
                </c:pt>
              </c:strCache>
            </c:strRef>
          </c:cat>
          <c:val>
            <c:numRef>
              <c:f>STORICO!$E$4:$E$15</c:f>
              <c:numCache>
                <c:formatCode>#,##0.00\ "€"</c:formatCode>
                <c:ptCount val="12"/>
                <c:pt idx="0">
                  <c:v>74388.289999999994</c:v>
                </c:pt>
                <c:pt idx="1">
                  <c:v>80342.27</c:v>
                </c:pt>
                <c:pt idx="2">
                  <c:v>94515.58</c:v>
                </c:pt>
                <c:pt idx="3">
                  <c:v>94111.09</c:v>
                </c:pt>
                <c:pt idx="4">
                  <c:v>70115.08</c:v>
                </c:pt>
                <c:pt idx="5">
                  <c:v>80774.2</c:v>
                </c:pt>
                <c:pt idx="6">
                  <c:v>73033.320000000007</c:v>
                </c:pt>
                <c:pt idx="7">
                  <c:v>86831.6</c:v>
                </c:pt>
                <c:pt idx="8">
                  <c:v>72523.28</c:v>
                </c:pt>
                <c:pt idx="9">
                  <c:v>74636.899999999994</c:v>
                </c:pt>
                <c:pt idx="10">
                  <c:v>74908.88</c:v>
                </c:pt>
                <c:pt idx="11">
                  <c:v>102052.16</c:v>
                </c:pt>
              </c:numCache>
            </c:numRef>
          </c:val>
          <c:extLst>
            <c:ext xmlns:c16="http://schemas.microsoft.com/office/drawing/2014/chart" uri="{C3380CC4-5D6E-409C-BE32-E72D297353CC}">
              <c16:uniqueId val="{00000001-5A23-624E-B0AE-1674D9200433}"/>
            </c:ext>
          </c:extLst>
        </c:ser>
        <c:dLbls>
          <c:showLegendKey val="0"/>
          <c:showVal val="0"/>
          <c:showCatName val="0"/>
          <c:showSerName val="0"/>
          <c:showPercent val="0"/>
          <c:showBubbleSize val="0"/>
        </c:dLbls>
        <c:gapWidth val="219"/>
        <c:overlap val="-27"/>
        <c:axId val="2068698192"/>
        <c:axId val="2068132432"/>
      </c:barChart>
      <c:catAx>
        <c:axId val="20686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132432"/>
        <c:crosses val="autoZero"/>
        <c:auto val="1"/>
        <c:lblAlgn val="ctr"/>
        <c:lblOffset val="100"/>
        <c:noMultiLvlLbl val="0"/>
      </c:catAx>
      <c:valAx>
        <c:axId val="206813243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69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DA CANCELLARE</a:t>
            </a:r>
            <a:endParaRPr lang="it-IT"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cked"/>
        <c:varyColors val="0"/>
        <c:ser>
          <c:idx val="0"/>
          <c:order val="0"/>
          <c:tx>
            <c:v>TOTALE</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5E56-2745-ADF9-E2E70841FB78}"/>
            </c:ext>
          </c:extLst>
        </c:ser>
        <c:ser>
          <c:idx val="1"/>
          <c:order val="1"/>
          <c:tx>
            <c:v>CASSA</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5E56-2745-ADF9-E2E70841FB78}"/>
            </c:ext>
          </c:extLst>
        </c:ser>
        <c:dLbls>
          <c:showLegendKey val="0"/>
          <c:showVal val="0"/>
          <c:showCatName val="0"/>
          <c:showSerName val="0"/>
          <c:showPercent val="0"/>
          <c:showBubbleSize val="0"/>
        </c:dLbls>
        <c:marker val="1"/>
        <c:smooth val="0"/>
        <c:axId val="2068698192"/>
        <c:axId val="2068132432"/>
      </c:lineChart>
      <c:catAx>
        <c:axId val="206869819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132432"/>
        <c:crosses val="autoZero"/>
        <c:auto val="1"/>
        <c:lblAlgn val="ctr"/>
        <c:lblOffset val="100"/>
        <c:noMultiLvlLbl val="1"/>
      </c:catAx>
      <c:valAx>
        <c:axId val="206813243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69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chart>
  <c:spPr>
    <a:solidFill>
      <a:schemeClr val="bg1"/>
    </a:solidFill>
    <a:ln w="9525" cap="flat" cmpd="sng" algn="ctr">
      <a:solidFill>
        <a:schemeClr val="bg2">
          <a:lumMod val="7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ANDAMENTO CASSA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cked"/>
        <c:varyColors val="0"/>
        <c:ser>
          <c:idx val="1"/>
          <c:order val="0"/>
          <c:tx>
            <c:v>CASSA</c:v>
          </c:tx>
          <c:spPr>
            <a:ln w="28575" cap="rnd">
              <a:solidFill>
                <a:schemeClr val="accent2"/>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F148-CF4B-ABE1-2A9CFE8075E3}"/>
            </c:ext>
          </c:extLst>
        </c:ser>
        <c:dLbls>
          <c:showLegendKey val="0"/>
          <c:showVal val="0"/>
          <c:showCatName val="0"/>
          <c:showSerName val="0"/>
          <c:showPercent val="0"/>
          <c:showBubbleSize val="0"/>
        </c:dLbls>
        <c:smooth val="0"/>
        <c:axId val="2068698192"/>
        <c:axId val="2068132432"/>
      </c:lineChart>
      <c:catAx>
        <c:axId val="206869819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132432"/>
        <c:crosses val="autoZero"/>
        <c:auto val="1"/>
        <c:lblAlgn val="ctr"/>
        <c:lblOffset val="100"/>
        <c:noMultiLvlLbl val="1"/>
      </c:catAx>
      <c:valAx>
        <c:axId val="206813243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69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b="1"/>
              <a:t>ANDAMENTO BANCA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lineChart>
        <c:grouping val="stacked"/>
        <c:varyColors val="0"/>
        <c:ser>
          <c:idx val="1"/>
          <c:order val="0"/>
          <c:tx>
            <c:v>BANCA</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984D-564E-8173-9198D6936C77}"/>
            </c:ext>
          </c:extLst>
        </c:ser>
        <c:dLbls>
          <c:showLegendKey val="0"/>
          <c:showVal val="0"/>
          <c:showCatName val="0"/>
          <c:showSerName val="0"/>
          <c:showPercent val="0"/>
          <c:showBubbleSize val="0"/>
        </c:dLbls>
        <c:marker val="1"/>
        <c:smooth val="0"/>
        <c:axId val="2068698192"/>
        <c:axId val="2068132432"/>
      </c:lineChart>
      <c:dateAx>
        <c:axId val="2068698192"/>
        <c:scaling>
          <c:orientation val="minMax"/>
        </c:scaling>
        <c:delete val="0"/>
        <c:axPos val="b"/>
        <c:numFmt formatCode="d/m;@" sourceLinked="0"/>
        <c:majorTickMark val="in"/>
        <c:minorTickMark val="in"/>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132432"/>
        <c:crosses val="autoZero"/>
        <c:auto val="0"/>
        <c:lblOffset val="100"/>
        <c:baseTimeUnit val="days"/>
        <c:majorUnit val="1"/>
        <c:majorTimeUnit val="days"/>
      </c:dateAx>
      <c:valAx>
        <c:axId val="206813243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6869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chart>
  <c:spPr>
    <a:solidFill>
      <a:schemeClr val="bg1"/>
    </a:solidFill>
    <a:ln w="9525" cap="flat" cmpd="sng" algn="ctr">
      <a:solidFill>
        <a:schemeClr val="bg2">
          <a:lumMod val="7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14111</xdr:colOff>
      <xdr:row>1</xdr:row>
      <xdr:rowOff>28222</xdr:rowOff>
    </xdr:from>
    <xdr:to>
      <xdr:col>6</xdr:col>
      <xdr:colOff>42333</xdr:colOff>
      <xdr:row>7</xdr:row>
      <xdr:rowOff>0</xdr:rowOff>
    </xdr:to>
    <xdr:graphicFrame macro="">
      <xdr:nvGraphicFramePr>
        <xdr:cNvPr id="2" name="Grafico 1" hidden="1">
          <a:extLst>
            <a:ext uri="{FF2B5EF4-FFF2-40B4-BE49-F238E27FC236}">
              <a16:creationId xmlns:a16="http://schemas.microsoft.com/office/drawing/2014/main" id="{F7110851-EB08-6565-49AA-28EDECDD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14111</xdr:colOff>
      <xdr:row>1</xdr:row>
      <xdr:rowOff>28222</xdr:rowOff>
    </xdr:from>
    <xdr:to>
      <xdr:col>12</xdr:col>
      <xdr:colOff>42333</xdr:colOff>
      <xdr:row>7</xdr:row>
      <xdr:rowOff>0</xdr:rowOff>
    </xdr:to>
    <xdr:graphicFrame macro="">
      <xdr:nvGraphicFramePr>
        <xdr:cNvPr id="3" name="Grafico 2" hidden="1">
          <a:extLst>
            <a:ext uri="{FF2B5EF4-FFF2-40B4-BE49-F238E27FC236}">
              <a16:creationId xmlns:a16="http://schemas.microsoft.com/office/drawing/2014/main" id="{993CDAAC-ECAD-A743-911E-D188B0293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14111</xdr:colOff>
      <xdr:row>1</xdr:row>
      <xdr:rowOff>28222</xdr:rowOff>
    </xdr:from>
    <xdr:to>
      <xdr:col>18</xdr:col>
      <xdr:colOff>42333</xdr:colOff>
      <xdr:row>7</xdr:row>
      <xdr:rowOff>0</xdr:rowOff>
    </xdr:to>
    <xdr:graphicFrame macro="">
      <xdr:nvGraphicFramePr>
        <xdr:cNvPr id="4" name="Grafico 3" hidden="1">
          <a:extLst>
            <a:ext uri="{FF2B5EF4-FFF2-40B4-BE49-F238E27FC236}">
              <a16:creationId xmlns:a16="http://schemas.microsoft.com/office/drawing/2014/main" id="{AF937859-04CE-434F-AD6C-B486A171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14111</xdr:colOff>
      <xdr:row>1</xdr:row>
      <xdr:rowOff>28222</xdr:rowOff>
    </xdr:from>
    <xdr:to>
      <xdr:col>24</xdr:col>
      <xdr:colOff>42333</xdr:colOff>
      <xdr:row>7</xdr:row>
      <xdr:rowOff>0</xdr:rowOff>
    </xdr:to>
    <xdr:graphicFrame macro="">
      <xdr:nvGraphicFramePr>
        <xdr:cNvPr id="5" name="Grafico 4" hidden="1">
          <a:extLst>
            <a:ext uri="{FF2B5EF4-FFF2-40B4-BE49-F238E27FC236}">
              <a16:creationId xmlns:a16="http://schemas.microsoft.com/office/drawing/2014/main" id="{9601871E-653B-074F-9EB9-6A8881C21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21168</xdr:colOff>
      <xdr:row>8</xdr:row>
      <xdr:rowOff>98778</xdr:rowOff>
    </xdr:from>
    <xdr:to>
      <xdr:col>24</xdr:col>
      <xdr:colOff>15522</xdr:colOff>
      <xdr:row>37</xdr:row>
      <xdr:rowOff>10802</xdr:rowOff>
    </xdr:to>
    <xdr:graphicFrame macro="">
      <xdr:nvGraphicFramePr>
        <xdr:cNvPr id="6" name="Grafico 5">
          <a:extLst>
            <a:ext uri="{FF2B5EF4-FFF2-40B4-BE49-F238E27FC236}">
              <a16:creationId xmlns:a16="http://schemas.microsoft.com/office/drawing/2014/main" id="{FB1057A0-253D-AC41-89B4-3EF67F5D1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48683</xdr:colOff>
      <xdr:row>38</xdr:row>
      <xdr:rowOff>190498</xdr:rowOff>
    </xdr:from>
    <xdr:to>
      <xdr:col>23</xdr:col>
      <xdr:colOff>42333</xdr:colOff>
      <xdr:row>61</xdr:row>
      <xdr:rowOff>177798</xdr:rowOff>
    </xdr:to>
    <xdr:graphicFrame macro="">
      <xdr:nvGraphicFramePr>
        <xdr:cNvPr id="7" name="Grafico 6">
          <a:extLst>
            <a:ext uri="{FF2B5EF4-FFF2-40B4-BE49-F238E27FC236}">
              <a16:creationId xmlns:a16="http://schemas.microsoft.com/office/drawing/2014/main" id="{0EFF3040-9034-95E1-6D95-8B4D93C5C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21167</xdr:colOff>
      <xdr:row>63</xdr:row>
      <xdr:rowOff>179916</xdr:rowOff>
    </xdr:from>
    <xdr:to>
      <xdr:col>24</xdr:col>
      <xdr:colOff>14817</xdr:colOff>
      <xdr:row>86</xdr:row>
      <xdr:rowOff>167216</xdr:rowOff>
    </xdr:to>
    <xdr:graphicFrame macro="">
      <xdr:nvGraphicFramePr>
        <xdr:cNvPr id="8" name="Grafico 7">
          <a:extLst>
            <a:ext uri="{FF2B5EF4-FFF2-40B4-BE49-F238E27FC236}">
              <a16:creationId xmlns:a16="http://schemas.microsoft.com/office/drawing/2014/main" id="{D84D1E1B-8901-1D45-B59F-040D7F295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10</xdr:row>
      <xdr:rowOff>190499</xdr:rowOff>
    </xdr:from>
    <xdr:ext cx="65" cy="172227"/>
    <xdr:sp macro="" textlink="">
      <xdr:nvSpPr>
        <xdr:cNvPr id="2" name="CasellaDiTesto 1">
          <a:extLst>
            <a:ext uri="{FF2B5EF4-FFF2-40B4-BE49-F238E27FC236}">
              <a16:creationId xmlns:a16="http://schemas.microsoft.com/office/drawing/2014/main" id="{BC5B6907-2718-5241-BC3A-C1FB838A3D5C}"/>
            </a:ext>
          </a:extLst>
        </xdr:cNvPr>
        <xdr:cNvSpPr txBox="1"/>
      </xdr:nvSpPr>
      <xdr:spPr>
        <a:xfrm>
          <a:off x="7336366" y="22732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11</xdr:row>
      <xdr:rowOff>190499</xdr:rowOff>
    </xdr:from>
    <xdr:ext cx="65" cy="172227"/>
    <xdr:sp macro="" textlink="">
      <xdr:nvSpPr>
        <xdr:cNvPr id="3" name="CasellaDiTesto 2">
          <a:extLst>
            <a:ext uri="{FF2B5EF4-FFF2-40B4-BE49-F238E27FC236}">
              <a16:creationId xmlns:a16="http://schemas.microsoft.com/office/drawing/2014/main" id="{96DE8820-E536-9540-92E0-A2531E72C283}"/>
            </a:ext>
          </a:extLst>
        </xdr:cNvPr>
        <xdr:cNvSpPr txBox="1"/>
      </xdr:nvSpPr>
      <xdr:spPr>
        <a:xfrm>
          <a:off x="7336366" y="24891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11</xdr:row>
      <xdr:rowOff>190499</xdr:rowOff>
    </xdr:from>
    <xdr:ext cx="65" cy="172227"/>
    <xdr:sp macro="" textlink="">
      <xdr:nvSpPr>
        <xdr:cNvPr id="4" name="CasellaDiTesto 3">
          <a:extLst>
            <a:ext uri="{FF2B5EF4-FFF2-40B4-BE49-F238E27FC236}">
              <a16:creationId xmlns:a16="http://schemas.microsoft.com/office/drawing/2014/main" id="{99C7B299-CBAE-854C-ACF0-373193E46CAA}"/>
            </a:ext>
          </a:extLst>
        </xdr:cNvPr>
        <xdr:cNvSpPr txBox="1"/>
      </xdr:nvSpPr>
      <xdr:spPr>
        <a:xfrm>
          <a:off x="7336366" y="24891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12</xdr:row>
      <xdr:rowOff>190499</xdr:rowOff>
    </xdr:from>
    <xdr:ext cx="65" cy="172227"/>
    <xdr:sp macro="" textlink="">
      <xdr:nvSpPr>
        <xdr:cNvPr id="5" name="CasellaDiTesto 4">
          <a:extLst>
            <a:ext uri="{FF2B5EF4-FFF2-40B4-BE49-F238E27FC236}">
              <a16:creationId xmlns:a16="http://schemas.microsoft.com/office/drawing/2014/main" id="{88EA86A8-ED55-9F49-8874-34EFD1DC5EB0}"/>
            </a:ext>
          </a:extLst>
        </xdr:cNvPr>
        <xdr:cNvSpPr txBox="1"/>
      </xdr:nvSpPr>
      <xdr:spPr>
        <a:xfrm>
          <a:off x="7336366" y="27050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12</xdr:row>
      <xdr:rowOff>190499</xdr:rowOff>
    </xdr:from>
    <xdr:ext cx="65" cy="172227"/>
    <xdr:sp macro="" textlink="">
      <xdr:nvSpPr>
        <xdr:cNvPr id="6" name="CasellaDiTesto 5">
          <a:extLst>
            <a:ext uri="{FF2B5EF4-FFF2-40B4-BE49-F238E27FC236}">
              <a16:creationId xmlns:a16="http://schemas.microsoft.com/office/drawing/2014/main" id="{D1833BD2-DE7C-6640-9A61-D6910A094672}"/>
            </a:ext>
          </a:extLst>
        </xdr:cNvPr>
        <xdr:cNvSpPr txBox="1"/>
      </xdr:nvSpPr>
      <xdr:spPr>
        <a:xfrm>
          <a:off x="7336366" y="27050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13</xdr:row>
      <xdr:rowOff>190499</xdr:rowOff>
    </xdr:from>
    <xdr:ext cx="65" cy="172227"/>
    <xdr:sp macro="" textlink="">
      <xdr:nvSpPr>
        <xdr:cNvPr id="7" name="CasellaDiTesto 6">
          <a:extLst>
            <a:ext uri="{FF2B5EF4-FFF2-40B4-BE49-F238E27FC236}">
              <a16:creationId xmlns:a16="http://schemas.microsoft.com/office/drawing/2014/main" id="{78B4EC2B-5603-3A4C-BC68-17202CC813FB}"/>
            </a:ext>
          </a:extLst>
        </xdr:cNvPr>
        <xdr:cNvSpPr txBox="1"/>
      </xdr:nvSpPr>
      <xdr:spPr>
        <a:xfrm>
          <a:off x="7336366" y="29209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13</xdr:row>
      <xdr:rowOff>190499</xdr:rowOff>
    </xdr:from>
    <xdr:ext cx="65" cy="172227"/>
    <xdr:sp macro="" textlink="">
      <xdr:nvSpPr>
        <xdr:cNvPr id="8" name="CasellaDiTesto 7">
          <a:extLst>
            <a:ext uri="{FF2B5EF4-FFF2-40B4-BE49-F238E27FC236}">
              <a16:creationId xmlns:a16="http://schemas.microsoft.com/office/drawing/2014/main" id="{2D812E2D-9D75-4C43-9D2B-FFDEC3B4A2A1}"/>
            </a:ext>
          </a:extLst>
        </xdr:cNvPr>
        <xdr:cNvSpPr txBox="1"/>
      </xdr:nvSpPr>
      <xdr:spPr>
        <a:xfrm>
          <a:off x="7336366" y="29209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10</xdr:row>
      <xdr:rowOff>190499</xdr:rowOff>
    </xdr:from>
    <xdr:ext cx="65" cy="172227"/>
    <xdr:sp macro="" textlink="">
      <xdr:nvSpPr>
        <xdr:cNvPr id="9" name="CasellaDiTesto 8">
          <a:extLst>
            <a:ext uri="{FF2B5EF4-FFF2-40B4-BE49-F238E27FC236}">
              <a16:creationId xmlns:a16="http://schemas.microsoft.com/office/drawing/2014/main" id="{F58144BA-FF50-0249-9209-CB4D506C5C14}"/>
            </a:ext>
          </a:extLst>
        </xdr:cNvPr>
        <xdr:cNvSpPr txBox="1"/>
      </xdr:nvSpPr>
      <xdr:spPr>
        <a:xfrm>
          <a:off x="15585923" y="214992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11</xdr:row>
      <xdr:rowOff>190499</xdr:rowOff>
    </xdr:from>
    <xdr:ext cx="65" cy="172227"/>
    <xdr:sp macro="" textlink="">
      <xdr:nvSpPr>
        <xdr:cNvPr id="10" name="CasellaDiTesto 9">
          <a:extLst>
            <a:ext uri="{FF2B5EF4-FFF2-40B4-BE49-F238E27FC236}">
              <a16:creationId xmlns:a16="http://schemas.microsoft.com/office/drawing/2014/main" id="{210F895C-F4FE-5246-A537-0990A023FD5B}"/>
            </a:ext>
          </a:extLst>
        </xdr:cNvPr>
        <xdr:cNvSpPr txBox="1"/>
      </xdr:nvSpPr>
      <xdr:spPr>
        <a:xfrm>
          <a:off x="15585923" y="23494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11</xdr:row>
      <xdr:rowOff>190499</xdr:rowOff>
    </xdr:from>
    <xdr:ext cx="65" cy="172227"/>
    <xdr:sp macro="" textlink="">
      <xdr:nvSpPr>
        <xdr:cNvPr id="11" name="CasellaDiTesto 10">
          <a:extLst>
            <a:ext uri="{FF2B5EF4-FFF2-40B4-BE49-F238E27FC236}">
              <a16:creationId xmlns:a16="http://schemas.microsoft.com/office/drawing/2014/main" id="{66073DC1-5C11-1044-91C1-254735C29BAC}"/>
            </a:ext>
          </a:extLst>
        </xdr:cNvPr>
        <xdr:cNvSpPr txBox="1"/>
      </xdr:nvSpPr>
      <xdr:spPr>
        <a:xfrm>
          <a:off x="15585923" y="23494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12</xdr:row>
      <xdr:rowOff>190499</xdr:rowOff>
    </xdr:from>
    <xdr:ext cx="65" cy="172227"/>
    <xdr:sp macro="" textlink="">
      <xdr:nvSpPr>
        <xdr:cNvPr id="12" name="CasellaDiTesto 11">
          <a:extLst>
            <a:ext uri="{FF2B5EF4-FFF2-40B4-BE49-F238E27FC236}">
              <a16:creationId xmlns:a16="http://schemas.microsoft.com/office/drawing/2014/main" id="{63C7DF19-7D48-7944-AA85-E5F6F27731D3}"/>
            </a:ext>
          </a:extLst>
        </xdr:cNvPr>
        <xdr:cNvSpPr txBox="1"/>
      </xdr:nvSpPr>
      <xdr:spPr>
        <a:xfrm>
          <a:off x="15585923" y="25490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12</xdr:row>
      <xdr:rowOff>190499</xdr:rowOff>
    </xdr:from>
    <xdr:ext cx="65" cy="172227"/>
    <xdr:sp macro="" textlink="">
      <xdr:nvSpPr>
        <xdr:cNvPr id="13" name="CasellaDiTesto 12">
          <a:extLst>
            <a:ext uri="{FF2B5EF4-FFF2-40B4-BE49-F238E27FC236}">
              <a16:creationId xmlns:a16="http://schemas.microsoft.com/office/drawing/2014/main" id="{276901D6-E542-2B47-BDBF-BD9C4BAAD5DE}"/>
            </a:ext>
          </a:extLst>
        </xdr:cNvPr>
        <xdr:cNvSpPr txBox="1"/>
      </xdr:nvSpPr>
      <xdr:spPr>
        <a:xfrm>
          <a:off x="15585923" y="25490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13</xdr:row>
      <xdr:rowOff>190499</xdr:rowOff>
    </xdr:from>
    <xdr:ext cx="65" cy="172227"/>
    <xdr:sp macro="" textlink="">
      <xdr:nvSpPr>
        <xdr:cNvPr id="14" name="CasellaDiTesto 13">
          <a:extLst>
            <a:ext uri="{FF2B5EF4-FFF2-40B4-BE49-F238E27FC236}">
              <a16:creationId xmlns:a16="http://schemas.microsoft.com/office/drawing/2014/main" id="{840841EC-D284-5D45-AFC2-E68D8E79EA99}"/>
            </a:ext>
          </a:extLst>
        </xdr:cNvPr>
        <xdr:cNvSpPr txBox="1"/>
      </xdr:nvSpPr>
      <xdr:spPr>
        <a:xfrm>
          <a:off x="15585923" y="274864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23</xdr:col>
      <xdr:colOff>237066</xdr:colOff>
      <xdr:row>13</xdr:row>
      <xdr:rowOff>190499</xdr:rowOff>
    </xdr:from>
    <xdr:ext cx="65" cy="172227"/>
    <xdr:sp macro="" textlink="">
      <xdr:nvSpPr>
        <xdr:cNvPr id="15" name="CasellaDiTesto 14">
          <a:extLst>
            <a:ext uri="{FF2B5EF4-FFF2-40B4-BE49-F238E27FC236}">
              <a16:creationId xmlns:a16="http://schemas.microsoft.com/office/drawing/2014/main" id="{A9C5D97D-7FD9-614F-B2ED-F83F0C7E3B3A}"/>
            </a:ext>
          </a:extLst>
        </xdr:cNvPr>
        <xdr:cNvSpPr txBox="1"/>
      </xdr:nvSpPr>
      <xdr:spPr>
        <a:xfrm>
          <a:off x="15585923" y="274864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29</xdr:row>
      <xdr:rowOff>190499</xdr:rowOff>
    </xdr:from>
    <xdr:ext cx="65" cy="172227"/>
    <xdr:sp macro="" textlink="">
      <xdr:nvSpPr>
        <xdr:cNvPr id="16" name="CasellaDiTesto 15">
          <a:extLst>
            <a:ext uri="{FF2B5EF4-FFF2-40B4-BE49-F238E27FC236}">
              <a16:creationId xmlns:a16="http://schemas.microsoft.com/office/drawing/2014/main" id="{10A5A9AA-3C9F-8D4C-9212-F494AF7B4120}"/>
            </a:ext>
          </a:extLst>
        </xdr:cNvPr>
        <xdr:cNvSpPr txBox="1"/>
      </xdr:nvSpPr>
      <xdr:spPr>
        <a:xfrm>
          <a:off x="90714" y="214992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30</xdr:row>
      <xdr:rowOff>190499</xdr:rowOff>
    </xdr:from>
    <xdr:ext cx="65" cy="172227"/>
    <xdr:sp macro="" textlink="">
      <xdr:nvSpPr>
        <xdr:cNvPr id="17" name="CasellaDiTesto 16">
          <a:extLst>
            <a:ext uri="{FF2B5EF4-FFF2-40B4-BE49-F238E27FC236}">
              <a16:creationId xmlns:a16="http://schemas.microsoft.com/office/drawing/2014/main" id="{1D280413-966F-0343-84F8-AC0409A68736}"/>
            </a:ext>
          </a:extLst>
        </xdr:cNvPr>
        <xdr:cNvSpPr txBox="1"/>
      </xdr:nvSpPr>
      <xdr:spPr>
        <a:xfrm>
          <a:off x="90714" y="23494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30</xdr:row>
      <xdr:rowOff>190499</xdr:rowOff>
    </xdr:from>
    <xdr:ext cx="65" cy="172227"/>
    <xdr:sp macro="" textlink="">
      <xdr:nvSpPr>
        <xdr:cNvPr id="18" name="CasellaDiTesto 17">
          <a:extLst>
            <a:ext uri="{FF2B5EF4-FFF2-40B4-BE49-F238E27FC236}">
              <a16:creationId xmlns:a16="http://schemas.microsoft.com/office/drawing/2014/main" id="{7E6D0265-71D5-D04A-B616-6D5AF0A25105}"/>
            </a:ext>
          </a:extLst>
        </xdr:cNvPr>
        <xdr:cNvSpPr txBox="1"/>
      </xdr:nvSpPr>
      <xdr:spPr>
        <a:xfrm>
          <a:off x="90714" y="23494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31</xdr:row>
      <xdr:rowOff>190499</xdr:rowOff>
    </xdr:from>
    <xdr:ext cx="65" cy="172227"/>
    <xdr:sp macro="" textlink="">
      <xdr:nvSpPr>
        <xdr:cNvPr id="19" name="CasellaDiTesto 18">
          <a:extLst>
            <a:ext uri="{FF2B5EF4-FFF2-40B4-BE49-F238E27FC236}">
              <a16:creationId xmlns:a16="http://schemas.microsoft.com/office/drawing/2014/main" id="{B1A1350A-DF41-FD49-8B91-3E103DA3B0B5}"/>
            </a:ext>
          </a:extLst>
        </xdr:cNvPr>
        <xdr:cNvSpPr txBox="1"/>
      </xdr:nvSpPr>
      <xdr:spPr>
        <a:xfrm>
          <a:off x="90714" y="25490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31</xdr:row>
      <xdr:rowOff>190499</xdr:rowOff>
    </xdr:from>
    <xdr:ext cx="65" cy="172227"/>
    <xdr:sp macro="" textlink="">
      <xdr:nvSpPr>
        <xdr:cNvPr id="20" name="CasellaDiTesto 19">
          <a:extLst>
            <a:ext uri="{FF2B5EF4-FFF2-40B4-BE49-F238E27FC236}">
              <a16:creationId xmlns:a16="http://schemas.microsoft.com/office/drawing/2014/main" id="{49CE6961-E9FB-CE42-9BD9-D8884FC9E847}"/>
            </a:ext>
          </a:extLst>
        </xdr:cNvPr>
        <xdr:cNvSpPr txBox="1"/>
      </xdr:nvSpPr>
      <xdr:spPr>
        <a:xfrm>
          <a:off x="90714" y="25490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32</xdr:row>
      <xdr:rowOff>190499</xdr:rowOff>
    </xdr:from>
    <xdr:ext cx="65" cy="172227"/>
    <xdr:sp macro="" textlink="">
      <xdr:nvSpPr>
        <xdr:cNvPr id="21" name="CasellaDiTesto 20">
          <a:extLst>
            <a:ext uri="{FF2B5EF4-FFF2-40B4-BE49-F238E27FC236}">
              <a16:creationId xmlns:a16="http://schemas.microsoft.com/office/drawing/2014/main" id="{E6038104-0635-3843-8E36-E81D70CFDF15}"/>
            </a:ext>
          </a:extLst>
        </xdr:cNvPr>
        <xdr:cNvSpPr txBox="1"/>
      </xdr:nvSpPr>
      <xdr:spPr>
        <a:xfrm>
          <a:off x="90714" y="274864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xdr:col>
      <xdr:colOff>0</xdr:colOff>
      <xdr:row>32</xdr:row>
      <xdr:rowOff>190499</xdr:rowOff>
    </xdr:from>
    <xdr:ext cx="65" cy="172227"/>
    <xdr:sp macro="" textlink="">
      <xdr:nvSpPr>
        <xdr:cNvPr id="22" name="CasellaDiTesto 21">
          <a:extLst>
            <a:ext uri="{FF2B5EF4-FFF2-40B4-BE49-F238E27FC236}">
              <a16:creationId xmlns:a16="http://schemas.microsoft.com/office/drawing/2014/main" id="{C983C36D-36C6-3C43-A9C6-5792D64F73D4}"/>
            </a:ext>
          </a:extLst>
        </xdr:cNvPr>
        <xdr:cNvSpPr txBox="1"/>
      </xdr:nvSpPr>
      <xdr:spPr>
        <a:xfrm>
          <a:off x="90714" y="274864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127000</xdr:colOff>
      <xdr:row>4</xdr:row>
      <xdr:rowOff>114300</xdr:rowOff>
    </xdr:from>
    <xdr:to>
      <xdr:col>9</xdr:col>
      <xdr:colOff>0</xdr:colOff>
      <xdr:row>4</xdr:row>
      <xdr:rowOff>3767666</xdr:rowOff>
    </xdr:to>
    <xdr:graphicFrame macro="">
      <xdr:nvGraphicFramePr>
        <xdr:cNvPr id="3" name="Grafico 2">
          <a:extLst>
            <a:ext uri="{FF2B5EF4-FFF2-40B4-BE49-F238E27FC236}">
              <a16:creationId xmlns:a16="http://schemas.microsoft.com/office/drawing/2014/main" id="{69BDF84E-C490-8149-B4CF-717CDB37B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118673</xdr:colOff>
      <xdr:row>4</xdr:row>
      <xdr:rowOff>84938</xdr:rowOff>
    </xdr:from>
    <xdr:to>
      <xdr:col>8</xdr:col>
      <xdr:colOff>1348032</xdr:colOff>
      <xdr:row>5</xdr:row>
      <xdr:rowOff>3719402</xdr:rowOff>
    </xdr:to>
    <xdr:graphicFrame macro="">
      <xdr:nvGraphicFramePr>
        <xdr:cNvPr id="2" name="Grafico 1">
          <a:extLst>
            <a:ext uri="{FF2B5EF4-FFF2-40B4-BE49-F238E27FC236}">
              <a16:creationId xmlns:a16="http://schemas.microsoft.com/office/drawing/2014/main" id="{F532EB68-F39F-1449-A8F6-269F6B942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34CF-08B8-7044-AF9F-A4885423F408}">
  <dimension ref="A1:S19"/>
  <sheetViews>
    <sheetView workbookViewId="0">
      <pane xSplit="1" topLeftCell="B1" activePane="topRight" state="frozen"/>
      <selection pane="topRight" activeCell="L12" sqref="L12"/>
    </sheetView>
  </sheetViews>
  <sheetFormatPr baseColWidth="10" defaultColWidth="10.83203125" defaultRowHeight="16"/>
  <cols>
    <col min="1" max="1" width="21.33203125" customWidth="1"/>
    <col min="2" max="2" width="12" style="117" bestFit="1" customWidth="1"/>
    <col min="3" max="3" width="10.83203125" style="63"/>
    <col min="5" max="5" width="10.83203125" style="117"/>
    <col min="6" max="6" width="10.83203125" style="63"/>
    <col min="8" max="8" width="10.83203125" style="117"/>
    <col min="11" max="11" width="10.83203125" style="117"/>
    <col min="12" max="12" width="10.83203125" style="63"/>
    <col min="14" max="14" width="10.83203125" style="117"/>
    <col min="15" max="15" width="10.83203125" style="63"/>
    <col min="17" max="17" width="10.83203125" style="117"/>
    <col min="18" max="18" width="10.83203125" style="63"/>
  </cols>
  <sheetData>
    <row r="1" spans="1:19" s="114" customFormat="1">
      <c r="B1" s="877" t="s">
        <v>0</v>
      </c>
      <c r="C1" s="877"/>
      <c r="D1" s="877"/>
      <c r="E1" s="877" t="s">
        <v>1</v>
      </c>
      <c r="F1" s="877"/>
      <c r="G1" s="877"/>
      <c r="H1" s="877" t="s">
        <v>2</v>
      </c>
      <c r="I1" s="877"/>
      <c r="J1" s="877"/>
      <c r="K1" s="877" t="s">
        <v>3</v>
      </c>
      <c r="L1" s="877"/>
      <c r="M1" s="877"/>
      <c r="N1" s="877" t="s">
        <v>4</v>
      </c>
      <c r="O1" s="877"/>
      <c r="P1" s="877"/>
      <c r="Q1" s="877" t="s">
        <v>5</v>
      </c>
      <c r="R1" s="877"/>
      <c r="S1" s="877"/>
    </row>
    <row r="2" spans="1:19" s="115" customFormat="1">
      <c r="B2" s="116" t="s">
        <v>6</v>
      </c>
      <c r="C2" s="115" t="s">
        <v>7</v>
      </c>
      <c r="D2" s="115" t="s">
        <v>8</v>
      </c>
      <c r="E2" s="116" t="s">
        <v>6</v>
      </c>
      <c r="F2" s="115" t="s">
        <v>7</v>
      </c>
      <c r="G2" s="115" t="s">
        <v>8</v>
      </c>
      <c r="H2" s="116" t="s">
        <v>6</v>
      </c>
      <c r="I2" s="115" t="s">
        <v>7</v>
      </c>
      <c r="J2" s="115" t="s">
        <v>8</v>
      </c>
      <c r="K2" s="116" t="s">
        <v>6</v>
      </c>
      <c r="L2" s="115" t="s">
        <v>7</v>
      </c>
      <c r="M2" s="115" t="s">
        <v>8</v>
      </c>
      <c r="N2" s="116" t="s">
        <v>6</v>
      </c>
      <c r="O2" s="115" t="s">
        <v>7</v>
      </c>
      <c r="P2" s="115" t="s">
        <v>8</v>
      </c>
      <c r="Q2" s="116" t="s">
        <v>6</v>
      </c>
      <c r="R2" s="115" t="s">
        <v>7</v>
      </c>
      <c r="S2" s="115" t="s">
        <v>8</v>
      </c>
    </row>
    <row r="3" spans="1:19">
      <c r="A3" t="s">
        <v>9</v>
      </c>
      <c r="B3" s="117">
        <v>422.17</v>
      </c>
      <c r="C3" s="63">
        <v>65</v>
      </c>
      <c r="D3" s="117">
        <f>B3/C3</f>
        <v>6.4949230769230768</v>
      </c>
      <c r="E3" s="117">
        <v>0</v>
      </c>
      <c r="F3" s="63">
        <v>135</v>
      </c>
      <c r="G3" s="117">
        <f>E3/F3</f>
        <v>0</v>
      </c>
      <c r="K3" s="117">
        <v>405.32</v>
      </c>
      <c r="L3" s="63">
        <v>72</v>
      </c>
      <c r="M3" s="117">
        <f t="shared" ref="M3:M12" si="0">K3/L3</f>
        <v>5.6294444444444443</v>
      </c>
    </row>
    <row r="4" spans="1:19">
      <c r="A4" t="s">
        <v>10</v>
      </c>
      <c r="B4" s="117">
        <v>547.35</v>
      </c>
      <c r="C4" s="63">
        <v>144</v>
      </c>
      <c r="D4" s="117">
        <f t="shared" ref="D4:D13" si="1">B4/C4</f>
        <v>3.8010416666666669</v>
      </c>
      <c r="E4" s="117">
        <v>615.76</v>
      </c>
      <c r="F4" s="63">
        <v>162</v>
      </c>
      <c r="G4" s="117">
        <f t="shared" ref="G4:G12" si="2">E4/F4</f>
        <v>3.8009876543209877</v>
      </c>
      <c r="K4" s="117">
        <v>759.53</v>
      </c>
      <c r="L4" s="63">
        <v>144</v>
      </c>
      <c r="M4" s="117">
        <f t="shared" si="0"/>
        <v>5.2745138888888885</v>
      </c>
    </row>
    <row r="5" spans="1:19">
      <c r="A5" t="s">
        <v>11</v>
      </c>
      <c r="B5" s="117">
        <v>547.35</v>
      </c>
      <c r="C5" s="63">
        <v>144</v>
      </c>
      <c r="D5" s="117">
        <f t="shared" si="1"/>
        <v>3.8010416666666669</v>
      </c>
      <c r="E5" s="117">
        <v>615.76</v>
      </c>
      <c r="F5" s="63">
        <v>162</v>
      </c>
      <c r="G5" s="117">
        <f t="shared" si="2"/>
        <v>3.8009876543209877</v>
      </c>
      <c r="L5" s="63">
        <v>144</v>
      </c>
      <c r="M5" s="117">
        <f>K5/L5</f>
        <v>0</v>
      </c>
    </row>
    <row r="6" spans="1:19">
      <c r="A6" t="s">
        <v>12</v>
      </c>
      <c r="B6" s="117">
        <v>525.54999999999995</v>
      </c>
      <c r="C6" s="63">
        <v>78</v>
      </c>
      <c r="D6" s="117">
        <f t="shared" si="1"/>
        <v>6.7378205128205124</v>
      </c>
      <c r="E6" s="117">
        <v>0</v>
      </c>
      <c r="F6" s="63">
        <v>162</v>
      </c>
      <c r="G6" s="117">
        <f t="shared" si="2"/>
        <v>0</v>
      </c>
      <c r="K6" s="117">
        <v>691.41</v>
      </c>
      <c r="L6" s="63">
        <v>120</v>
      </c>
      <c r="M6" s="117">
        <f>K6/L6</f>
        <v>5.7617500000000001</v>
      </c>
    </row>
    <row r="7" spans="1:19">
      <c r="A7" t="s">
        <v>13</v>
      </c>
      <c r="B7" s="117">
        <v>547.35</v>
      </c>
      <c r="C7" s="63">
        <v>144</v>
      </c>
      <c r="D7" s="117">
        <f t="shared" si="1"/>
        <v>3.8010416666666669</v>
      </c>
      <c r="E7" s="117">
        <v>615.76</v>
      </c>
      <c r="F7" s="63">
        <v>162</v>
      </c>
      <c r="G7" s="117">
        <f t="shared" si="2"/>
        <v>3.8009876543209877</v>
      </c>
      <c r="L7" s="63">
        <v>144</v>
      </c>
      <c r="M7" s="117">
        <f>K7/L7</f>
        <v>0</v>
      </c>
    </row>
    <row r="8" spans="1:19">
      <c r="A8" t="s">
        <v>14</v>
      </c>
      <c r="B8" s="117">
        <v>547.35</v>
      </c>
      <c r="C8" s="63">
        <v>144</v>
      </c>
      <c r="D8" s="117">
        <f t="shared" ref="D8" si="3">B8/C8</f>
        <v>3.8010416666666669</v>
      </c>
      <c r="E8" s="117">
        <v>615.76</v>
      </c>
      <c r="F8" s="63">
        <v>162</v>
      </c>
      <c r="G8" s="117">
        <f t="shared" ref="G8" si="4">E8/F8</f>
        <v>3.8009876543209877</v>
      </c>
      <c r="K8" s="117">
        <v>759.53</v>
      </c>
      <c r="L8" s="63">
        <v>144</v>
      </c>
      <c r="M8" s="117">
        <f t="shared" si="0"/>
        <v>5.2745138888888885</v>
      </c>
    </row>
    <row r="9" spans="1:19">
      <c r="A9" t="s">
        <v>15</v>
      </c>
      <c r="B9" s="117">
        <v>0</v>
      </c>
      <c r="C9" s="63">
        <v>144</v>
      </c>
      <c r="D9" s="117">
        <f t="shared" si="1"/>
        <v>0</v>
      </c>
      <c r="E9" s="117">
        <v>0</v>
      </c>
      <c r="F9" s="63">
        <v>162</v>
      </c>
      <c r="G9" s="117">
        <f t="shared" si="2"/>
        <v>0</v>
      </c>
      <c r="L9" s="63">
        <v>0</v>
      </c>
      <c r="M9" s="117" t="e">
        <f>K9/L9</f>
        <v>#DIV/0!</v>
      </c>
    </row>
    <row r="10" spans="1:19">
      <c r="A10" t="s">
        <v>16</v>
      </c>
      <c r="B10" s="117">
        <v>0</v>
      </c>
      <c r="C10" s="63">
        <v>39</v>
      </c>
      <c r="D10" s="117">
        <f t="shared" si="1"/>
        <v>0</v>
      </c>
      <c r="E10" s="117">
        <v>0</v>
      </c>
      <c r="F10" s="63">
        <v>39</v>
      </c>
      <c r="G10" s="117">
        <f t="shared" si="2"/>
        <v>0</v>
      </c>
      <c r="K10" s="117">
        <v>193.85</v>
      </c>
      <c r="L10" s="63">
        <v>36</v>
      </c>
      <c r="M10" s="117">
        <f>K10/L10</f>
        <v>5.384722222222222</v>
      </c>
    </row>
    <row r="11" spans="1:19">
      <c r="A11" t="s">
        <v>17</v>
      </c>
      <c r="B11" s="117">
        <v>0</v>
      </c>
      <c r="C11" s="63">
        <v>18</v>
      </c>
      <c r="D11" s="117">
        <f t="shared" si="1"/>
        <v>0</v>
      </c>
      <c r="E11" s="117">
        <v>0</v>
      </c>
      <c r="F11" s="63">
        <v>8</v>
      </c>
      <c r="G11" s="117">
        <f t="shared" si="2"/>
        <v>0</v>
      </c>
      <c r="L11" s="63">
        <v>0</v>
      </c>
      <c r="M11" s="117" t="e">
        <f>K11/L11</f>
        <v>#DIV/0!</v>
      </c>
    </row>
    <row r="12" spans="1:19">
      <c r="A12" t="s">
        <v>18</v>
      </c>
      <c r="B12" s="117">
        <v>0</v>
      </c>
      <c r="C12" s="63">
        <v>78</v>
      </c>
      <c r="D12" s="117">
        <f t="shared" si="1"/>
        <v>0</v>
      </c>
      <c r="E12" s="117">
        <v>0</v>
      </c>
      <c r="F12" s="63">
        <v>162</v>
      </c>
      <c r="G12" s="117">
        <f t="shared" si="2"/>
        <v>0</v>
      </c>
      <c r="K12" s="117">
        <v>540.42999999999995</v>
      </c>
      <c r="L12" s="63">
        <v>96</v>
      </c>
      <c r="M12" s="117">
        <f t="shared" si="0"/>
        <v>5.6294791666666661</v>
      </c>
    </row>
    <row r="13" spans="1:19">
      <c r="A13" t="s">
        <v>19</v>
      </c>
      <c r="B13" s="117">
        <v>0</v>
      </c>
      <c r="C13" s="63">
        <v>72</v>
      </c>
      <c r="D13" s="117">
        <f t="shared" si="1"/>
        <v>0</v>
      </c>
      <c r="G13" s="117"/>
      <c r="M13" s="117"/>
    </row>
    <row r="14" spans="1:19">
      <c r="B14" s="117">
        <f>SUM(B3:B13)</f>
        <v>3137.12</v>
      </c>
      <c r="E14" s="117">
        <f>SUM(E3:E12)</f>
        <v>2463.04</v>
      </c>
      <c r="H14" s="117">
        <f>SUM(H3:H12)</f>
        <v>0</v>
      </c>
      <c r="K14" s="117">
        <f>SUM(K3:K12)</f>
        <v>3350.0699999999997</v>
      </c>
      <c r="N14" s="117">
        <f>SUM(N3:N12)</f>
        <v>0</v>
      </c>
      <c r="Q14" s="117">
        <f>SUM(Q3:Q12)</f>
        <v>0</v>
      </c>
    </row>
    <row r="18" spans="1:4">
      <c r="A18" t="s">
        <v>20</v>
      </c>
      <c r="B18" s="117">
        <v>20347.2</v>
      </c>
      <c r="C18" s="63">
        <v>2512</v>
      </c>
      <c r="D18">
        <v>11</v>
      </c>
    </row>
    <row r="19" spans="1:4">
      <c r="A19" t="s">
        <v>21</v>
      </c>
      <c r="B19" s="117">
        <v>32510.52</v>
      </c>
      <c r="C19" s="63">
        <v>3492</v>
      </c>
      <c r="D19">
        <v>9</v>
      </c>
    </row>
  </sheetData>
  <mergeCells count="6">
    <mergeCell ref="Q1:S1"/>
    <mergeCell ref="B1:D1"/>
    <mergeCell ref="K1:M1"/>
    <mergeCell ref="H1:J1"/>
    <mergeCell ref="E1:G1"/>
    <mergeCell ref="N1:P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2D115-9157-054B-BDEE-13FA80723A36}">
  <sheetPr>
    <tabColor rgb="FFFFFF00"/>
  </sheetPr>
  <dimension ref="B1:AF57"/>
  <sheetViews>
    <sheetView topLeftCell="A10" zoomScale="120" zoomScaleNormal="120" workbookViewId="0">
      <selection activeCell="AH73" sqref="AH73"/>
    </sheetView>
  </sheetViews>
  <sheetFormatPr baseColWidth="10" defaultRowHeight="15"/>
  <cols>
    <col min="1" max="1" width="2.5" style="754" customWidth="1"/>
    <col min="2" max="2" width="2.6640625" style="754" customWidth="1"/>
    <col min="3" max="5" width="10.83203125" style="754"/>
    <col min="6" max="6" width="2.6640625" style="754" customWidth="1"/>
    <col min="7" max="7" width="5.1640625" style="754" customWidth="1"/>
    <col min="8" max="8" width="2.6640625" style="754" customWidth="1"/>
    <col min="9" max="11" width="10.83203125" style="754"/>
    <col min="12" max="12" width="2.6640625" style="754" customWidth="1"/>
    <col min="13" max="13" width="5.1640625" style="754" customWidth="1"/>
    <col min="14" max="14" width="2.5" style="754" customWidth="1"/>
    <col min="15" max="17" width="10.83203125" style="754"/>
    <col min="18" max="18" width="2.5" style="754" customWidth="1"/>
    <col min="19" max="19" width="5.1640625" style="754" customWidth="1"/>
    <col min="20" max="20" width="2.5" style="754" customWidth="1"/>
    <col min="21" max="23" width="10.83203125" style="754"/>
    <col min="24" max="24" width="2.5" style="754" customWidth="1"/>
    <col min="25" max="25" width="5.1640625" style="754" customWidth="1"/>
    <col min="26" max="26" width="2.5" style="754" customWidth="1"/>
    <col min="27" max="27" width="10.83203125" style="754"/>
    <col min="28" max="28" width="14" style="754" bestFit="1" customWidth="1"/>
    <col min="29" max="29" width="10.83203125" style="754"/>
    <col min="30" max="30" width="2.5" style="754" customWidth="1"/>
    <col min="31" max="16384" width="10.83203125" style="754"/>
  </cols>
  <sheetData>
    <row r="1" spans="2:32">
      <c r="T1" s="754" t="s">
        <v>1944</v>
      </c>
    </row>
    <row r="2" spans="2:32">
      <c r="B2" s="746"/>
      <c r="C2" s="747"/>
      <c r="D2" s="747"/>
      <c r="E2" s="747"/>
      <c r="F2" s="748"/>
      <c r="H2" s="746"/>
      <c r="I2" s="747"/>
      <c r="J2" s="747"/>
      <c r="K2" s="747"/>
      <c r="L2" s="748"/>
      <c r="N2" s="746"/>
      <c r="O2" s="747"/>
      <c r="P2" s="747"/>
      <c r="Q2" s="747"/>
      <c r="R2" s="748"/>
      <c r="T2" s="746"/>
      <c r="U2" s="747"/>
      <c r="V2" s="747"/>
      <c r="W2" s="747"/>
      <c r="X2" s="748"/>
      <c r="Z2" s="746"/>
      <c r="AA2" s="747"/>
      <c r="AB2" s="747"/>
      <c r="AC2" s="747"/>
      <c r="AD2" s="748"/>
      <c r="AF2" s="754" t="s">
        <v>1953</v>
      </c>
    </row>
    <row r="3" spans="2:32" ht="15" customHeight="1">
      <c r="B3" s="749"/>
      <c r="C3" s="882" t="s">
        <v>127</v>
      </c>
      <c r="D3" s="882"/>
      <c r="E3" s="882"/>
      <c r="F3" s="750"/>
      <c r="H3" s="749"/>
      <c r="I3" s="884" t="s">
        <v>282</v>
      </c>
      <c r="J3" s="884"/>
      <c r="K3" s="884"/>
      <c r="L3" s="750"/>
      <c r="N3" s="749"/>
      <c r="O3" s="886" t="s">
        <v>129</v>
      </c>
      <c r="P3" s="886"/>
      <c r="Q3" s="886"/>
      <c r="R3" s="750"/>
      <c r="T3" s="749"/>
      <c r="U3" s="878" t="s">
        <v>1950</v>
      </c>
      <c r="V3" s="878"/>
      <c r="W3" s="878"/>
      <c r="X3" s="750"/>
      <c r="Z3" s="749"/>
      <c r="AA3" s="880" t="s">
        <v>1945</v>
      </c>
      <c r="AB3" s="880"/>
      <c r="AC3" s="880"/>
      <c r="AD3" s="750"/>
      <c r="AF3" s="754" t="s">
        <v>1952</v>
      </c>
    </row>
    <row r="4" spans="2:32" ht="15" customHeight="1">
      <c r="B4" s="749"/>
      <c r="C4" s="882"/>
      <c r="D4" s="882"/>
      <c r="E4" s="882"/>
      <c r="F4" s="750"/>
      <c r="H4" s="749"/>
      <c r="I4" s="884"/>
      <c r="J4" s="884"/>
      <c r="K4" s="884"/>
      <c r="L4" s="750"/>
      <c r="N4" s="749"/>
      <c r="O4" s="886"/>
      <c r="P4" s="886"/>
      <c r="Q4" s="886"/>
      <c r="R4" s="750"/>
      <c r="T4" s="749"/>
      <c r="U4" s="878"/>
      <c r="V4" s="878"/>
      <c r="W4" s="878"/>
      <c r="X4" s="750"/>
      <c r="Z4" s="749"/>
      <c r="AA4" s="880"/>
      <c r="AB4" s="880"/>
      <c r="AC4" s="880"/>
      <c r="AD4" s="750"/>
    </row>
    <row r="5" spans="2:32" ht="16" customHeight="1">
      <c r="B5" s="749"/>
      <c r="C5" s="883">
        <f>'BUDGET 25'!AB5</f>
        <v>734081.71999999986</v>
      </c>
      <c r="D5" s="883"/>
      <c r="E5" s="883"/>
      <c r="F5" s="750"/>
      <c r="H5" s="749"/>
      <c r="I5" s="885">
        <f>'BILANCIO 25'!C105</f>
        <v>43462.660000000076</v>
      </c>
      <c r="J5" s="885"/>
      <c r="K5" s="885"/>
      <c r="L5" s="750"/>
      <c r="N5" s="749"/>
      <c r="O5" s="887" t="e">
        <f>'BUDGET 25'!AB3</f>
        <v>#N/A</v>
      </c>
      <c r="P5" s="887"/>
      <c r="Q5" s="887"/>
      <c r="R5" s="750"/>
      <c r="T5" s="749"/>
      <c r="U5" s="879">
        <f>CASSA!D4+BANCA!D4</f>
        <v>150224.35142857069</v>
      </c>
      <c r="V5" s="879"/>
      <c r="W5" s="879"/>
      <c r="X5" s="750"/>
      <c r="Z5" s="749"/>
      <c r="AA5" s="755"/>
      <c r="AB5" s="755"/>
      <c r="AC5" s="755"/>
      <c r="AD5" s="750"/>
    </row>
    <row r="6" spans="2:32" ht="18" customHeight="1">
      <c r="B6" s="749"/>
      <c r="C6" s="883"/>
      <c r="D6" s="883"/>
      <c r="E6" s="883"/>
      <c r="F6" s="750"/>
      <c r="H6" s="749"/>
      <c r="I6" s="885"/>
      <c r="J6" s="885"/>
      <c r="K6" s="885"/>
      <c r="L6" s="750"/>
      <c r="N6" s="749"/>
      <c r="O6" s="887"/>
      <c r="P6" s="887"/>
      <c r="Q6" s="887"/>
      <c r="R6" s="750"/>
      <c r="T6" s="749"/>
      <c r="U6" s="879"/>
      <c r="V6" s="879"/>
      <c r="W6" s="879"/>
      <c r="X6" s="750"/>
      <c r="Z6" s="749"/>
      <c r="AA6" s="881" t="s">
        <v>127</v>
      </c>
      <c r="AB6" s="881"/>
      <c r="AC6" s="881"/>
      <c r="AD6" s="750"/>
    </row>
    <row r="7" spans="2:32" ht="15" customHeight="1">
      <c r="B7" s="751"/>
      <c r="C7" s="752"/>
      <c r="D7" s="752"/>
      <c r="E7" s="752"/>
      <c r="F7" s="753"/>
      <c r="H7" s="751"/>
      <c r="I7" s="752"/>
      <c r="J7" s="752"/>
      <c r="K7" s="752"/>
      <c r="L7" s="753"/>
      <c r="N7" s="751"/>
      <c r="O7" s="752"/>
      <c r="P7" s="752"/>
      <c r="Q7" s="752"/>
      <c r="R7" s="753"/>
      <c r="T7" s="751"/>
      <c r="U7" s="752"/>
      <c r="V7" s="752"/>
      <c r="W7" s="752"/>
      <c r="X7" s="753"/>
      <c r="Z7" s="749"/>
      <c r="AA7" s="881"/>
      <c r="AB7" s="881"/>
      <c r="AC7" s="881"/>
      <c r="AD7" s="750"/>
    </row>
    <row r="8" spans="2:32" ht="15" customHeight="1">
      <c r="Z8" s="749"/>
      <c r="AA8" s="888" t="s">
        <v>1948</v>
      </c>
      <c r="AB8" s="888"/>
      <c r="AC8" s="888"/>
      <c r="AD8" s="750"/>
    </row>
    <row r="9" spans="2:32" ht="15" customHeight="1">
      <c r="Z9" s="749"/>
      <c r="AA9" s="889">
        <v>2742.8353917050695</v>
      </c>
      <c r="AB9" s="889"/>
      <c r="AC9" s="889"/>
      <c r="AD9" s="750"/>
    </row>
    <row r="10" spans="2:32">
      <c r="Z10" s="749"/>
      <c r="AA10" s="889"/>
      <c r="AB10" s="889"/>
      <c r="AC10" s="889"/>
      <c r="AD10" s="750"/>
    </row>
    <row r="11" spans="2:32" ht="15" customHeight="1">
      <c r="Z11" s="749"/>
      <c r="AA11" s="888" t="s">
        <v>1949</v>
      </c>
      <c r="AB11" s="888"/>
      <c r="AC11" s="888"/>
      <c r="AD11" s="750"/>
    </row>
    <row r="12" spans="2:32" ht="15" customHeight="1">
      <c r="Z12" s="749"/>
      <c r="AA12" s="889">
        <f>AVERAGEIF(STORICO!C4:C15,"&lt;&gt;0",STORICO!C4:C15)</f>
        <v>84427.418333333335</v>
      </c>
      <c r="AB12" s="889"/>
      <c r="AC12" s="889"/>
      <c r="AD12" s="750"/>
    </row>
    <row r="13" spans="2:32" ht="15" customHeight="1">
      <c r="Z13" s="749"/>
      <c r="AA13" s="889"/>
      <c r="AB13" s="889"/>
      <c r="AC13" s="889"/>
      <c r="AD13" s="750"/>
    </row>
    <row r="14" spans="2:32" ht="15" customHeight="1">
      <c r="Z14" s="749"/>
      <c r="AA14" s="755"/>
      <c r="AB14" s="755"/>
      <c r="AC14" s="755"/>
      <c r="AD14" s="750"/>
    </row>
    <row r="15" spans="2:32" ht="15" customHeight="1">
      <c r="Z15" s="749"/>
      <c r="AA15" s="890" t="s">
        <v>129</v>
      </c>
      <c r="AB15" s="890"/>
      <c r="AC15" s="890"/>
      <c r="AD15" s="750"/>
    </row>
    <row r="16" spans="2:32" ht="18" customHeight="1">
      <c r="Z16" s="749"/>
      <c r="AA16" s="890"/>
      <c r="AB16" s="890"/>
      <c r="AC16" s="890"/>
      <c r="AD16" s="750"/>
    </row>
    <row r="17" spans="26:30" ht="15" customHeight="1">
      <c r="Z17" s="749"/>
      <c r="AA17" s="893" t="s">
        <v>1948</v>
      </c>
      <c r="AB17" s="893"/>
      <c r="AC17" s="893"/>
      <c r="AD17" s="750"/>
    </row>
    <row r="18" spans="26:30" ht="15" customHeight="1">
      <c r="Z18" s="749"/>
      <c r="AA18" s="894">
        <v>678.36972350230417</v>
      </c>
      <c r="AB18" s="894"/>
      <c r="AC18" s="894"/>
      <c r="AD18" s="750"/>
    </row>
    <row r="19" spans="26:30">
      <c r="Z19" s="749"/>
      <c r="AA19" s="894"/>
      <c r="AB19" s="894"/>
      <c r="AC19" s="894"/>
      <c r="AD19" s="750"/>
    </row>
    <row r="20" spans="26:30" ht="15" customHeight="1">
      <c r="Z20" s="749"/>
      <c r="AA20" s="893" t="s">
        <v>1949</v>
      </c>
      <c r="AB20" s="893"/>
      <c r="AC20" s="893"/>
      <c r="AD20" s="750"/>
    </row>
    <row r="21" spans="26:30" ht="15" customHeight="1">
      <c r="Z21" s="749"/>
      <c r="AA21" s="894">
        <v>18400.778750000001</v>
      </c>
      <c r="AB21" s="894"/>
      <c r="AC21" s="894"/>
      <c r="AD21" s="750"/>
    </row>
    <row r="22" spans="26:30" ht="15" customHeight="1">
      <c r="Z22" s="749"/>
      <c r="AA22" s="894"/>
      <c r="AB22" s="894"/>
      <c r="AC22" s="894"/>
      <c r="AD22" s="750"/>
    </row>
    <row r="23" spans="26:30" ht="15" customHeight="1">
      <c r="Z23" s="751"/>
      <c r="AA23" s="752"/>
      <c r="AB23" s="752"/>
      <c r="AC23" s="752"/>
      <c r="AD23" s="753"/>
    </row>
    <row r="24" spans="26:30" ht="15" customHeight="1"/>
    <row r="25" spans="26:30" ht="15" customHeight="1">
      <c r="Z25" s="746"/>
      <c r="AA25" s="747"/>
      <c r="AB25" s="747"/>
      <c r="AC25" s="747"/>
      <c r="AD25" s="748"/>
    </row>
    <row r="26" spans="26:30" ht="15" customHeight="1">
      <c r="Z26" s="749"/>
      <c r="AA26" s="892" t="s">
        <v>1995</v>
      </c>
      <c r="AB26" s="892"/>
      <c r="AC26" s="892"/>
      <c r="AD26" s="750"/>
    </row>
    <row r="27" spans="26:30" ht="15" customHeight="1">
      <c r="Z27" s="749"/>
      <c r="AA27" s="892"/>
      <c r="AB27" s="892"/>
      <c r="AC27" s="892"/>
      <c r="AD27" s="750"/>
    </row>
    <row r="28" spans="26:30" ht="15" customHeight="1">
      <c r="Z28" s="749"/>
      <c r="AA28" s="891">
        <f>'BUDGET 25'!AC12</f>
        <v>0.29881942844183618</v>
      </c>
      <c r="AB28" s="891"/>
      <c r="AC28" s="891"/>
      <c r="AD28" s="750"/>
    </row>
    <row r="29" spans="26:30" ht="15" customHeight="1">
      <c r="Z29" s="749"/>
      <c r="AA29" s="891"/>
      <c r="AB29" s="891"/>
      <c r="AC29" s="891"/>
      <c r="AD29" s="750"/>
    </row>
    <row r="30" spans="26:30" ht="15" customHeight="1">
      <c r="Z30" s="749"/>
      <c r="AA30" s="892" t="s">
        <v>1997</v>
      </c>
      <c r="AB30" s="892"/>
      <c r="AC30" s="892"/>
      <c r="AD30" s="750"/>
    </row>
    <row r="31" spans="26:30" ht="15" customHeight="1">
      <c r="Z31" s="749"/>
      <c r="AA31" s="892"/>
      <c r="AB31" s="892"/>
      <c r="AC31" s="892"/>
      <c r="AD31" s="750"/>
    </row>
    <row r="32" spans="26:30" ht="15" customHeight="1">
      <c r="Z32" s="749"/>
      <c r="AA32" s="891">
        <f>'BUDGET 25'!AC13</f>
        <v>0.4203167462064033</v>
      </c>
      <c r="AB32" s="891"/>
      <c r="AC32" s="891"/>
      <c r="AD32" s="750"/>
    </row>
    <row r="33" spans="26:30" ht="15" customHeight="1">
      <c r="Z33" s="749"/>
      <c r="AA33" s="891"/>
      <c r="AB33" s="891"/>
      <c r="AC33" s="891"/>
      <c r="AD33" s="750"/>
    </row>
    <row r="34" spans="26:30" ht="15" customHeight="1">
      <c r="Z34" s="749"/>
      <c r="AA34" s="892" t="s">
        <v>1996</v>
      </c>
      <c r="AB34" s="892"/>
      <c r="AC34" s="892"/>
      <c r="AD34" s="750"/>
    </row>
    <row r="35" spans="26:30" ht="15" customHeight="1">
      <c r="Z35" s="749"/>
      <c r="AA35" s="892"/>
      <c r="AB35" s="892"/>
      <c r="AC35" s="892"/>
      <c r="AD35" s="750"/>
    </row>
    <row r="36" spans="26:30" ht="15" customHeight="1">
      <c r="Z36" s="749"/>
      <c r="AA36" s="891">
        <f>('BUDGET 25'!AB5-'BUDGET 25'!AB12-'BUDGET 25'!AB13-'BUDGET 25'!AB15-'BUDGET 25'!AB16)/'BUDGET 25'!AB5</f>
        <v>2.0254107403736895E-2</v>
      </c>
      <c r="AB36" s="891"/>
      <c r="AC36" s="891"/>
      <c r="AD36" s="750"/>
    </row>
    <row r="37" spans="26:30" ht="15" customHeight="1">
      <c r="Z37" s="749"/>
      <c r="AA37" s="891"/>
      <c r="AB37" s="891"/>
      <c r="AC37" s="891"/>
      <c r="AD37" s="750"/>
    </row>
    <row r="38" spans="26:30" ht="15" customHeight="1">
      <c r="Z38" s="749"/>
      <c r="AA38" s="892" t="s">
        <v>2000</v>
      </c>
      <c r="AB38" s="892"/>
      <c r="AC38" s="892"/>
      <c r="AD38" s="750"/>
    </row>
    <row r="39" spans="26:30" ht="15" customHeight="1">
      <c r="Z39" s="749"/>
      <c r="AA39" s="892"/>
      <c r="AB39" s="892"/>
      <c r="AC39" s="892"/>
      <c r="AD39" s="750"/>
    </row>
    <row r="40" spans="26:30" ht="15" customHeight="1">
      <c r="Z40" s="749"/>
      <c r="AA40" s="891" t="e">
        <f>('BUDGET 25'!AB3)/'BUDGET 25'!AB5</f>
        <v>#N/A</v>
      </c>
      <c r="AB40" s="891"/>
      <c r="AC40" s="891"/>
      <c r="AD40" s="750"/>
    </row>
    <row r="41" spans="26:30" ht="15" customHeight="1">
      <c r="Z41" s="749"/>
      <c r="AA41" s="891"/>
      <c r="AB41" s="891"/>
      <c r="AC41" s="891"/>
      <c r="AD41" s="750"/>
    </row>
    <row r="42" spans="26:30" ht="15" customHeight="1">
      <c r="Z42" s="751"/>
      <c r="AA42" s="752"/>
      <c r="AB42" s="752"/>
      <c r="AC42" s="752"/>
      <c r="AD42" s="753"/>
    </row>
    <row r="43" spans="26:30" ht="15" customHeight="1"/>
    <row r="44" spans="26:30" ht="15" customHeight="1"/>
    <row r="45" spans="26:30" ht="15" customHeight="1"/>
    <row r="46" spans="26:30" ht="15" customHeight="1"/>
    <row r="47" spans="26:30" ht="15" customHeight="1"/>
    <row r="48" spans="26:30" ht="15" customHeight="1"/>
    <row r="49" ht="15" customHeight="1"/>
    <row r="50" ht="15" customHeight="1"/>
    <row r="51" ht="15" customHeight="1"/>
    <row r="52" ht="15" customHeight="1"/>
    <row r="53" ht="15" customHeight="1"/>
    <row r="54" ht="15" customHeight="1"/>
    <row r="55" ht="15" customHeight="1"/>
    <row r="56" ht="15" customHeight="1"/>
    <row r="57" ht="15" customHeight="1"/>
  </sheetData>
  <mergeCells count="27">
    <mergeCell ref="AA40:AC41"/>
    <mergeCell ref="AA38:AC39"/>
    <mergeCell ref="AA26:AC27"/>
    <mergeCell ref="AA17:AC17"/>
    <mergeCell ref="AA18:AC19"/>
    <mergeCell ref="AA20:AC20"/>
    <mergeCell ref="AA21:AC22"/>
    <mergeCell ref="AA28:AC29"/>
    <mergeCell ref="AA36:AC37"/>
    <mergeCell ref="AA30:AC31"/>
    <mergeCell ref="AA34:AC35"/>
    <mergeCell ref="AA32:AC33"/>
    <mergeCell ref="AA8:AC8"/>
    <mergeCell ref="AA9:AC10"/>
    <mergeCell ref="AA12:AC13"/>
    <mergeCell ref="AA15:AC16"/>
    <mergeCell ref="AA11:AC11"/>
    <mergeCell ref="U3:W4"/>
    <mergeCell ref="U5:W6"/>
    <mergeCell ref="AA3:AC4"/>
    <mergeCell ref="AA6:AC7"/>
    <mergeCell ref="C3:E4"/>
    <mergeCell ref="C5:E6"/>
    <mergeCell ref="I3:K4"/>
    <mergeCell ref="I5:K6"/>
    <mergeCell ref="O3:Q4"/>
    <mergeCell ref="O5:Q6"/>
  </mergeCell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E00B-A87C-834C-8A1D-F6010F0F40F3}">
  <sheetPr>
    <tabColor rgb="FFFFC000"/>
  </sheetPr>
  <dimension ref="A1:AJ50"/>
  <sheetViews>
    <sheetView topLeftCell="Q1" zoomScale="140" zoomScaleNormal="140" workbookViewId="0">
      <selection activeCell="AJ26" sqref="AJ26"/>
    </sheetView>
  </sheetViews>
  <sheetFormatPr baseColWidth="10" defaultColWidth="10.83203125" defaultRowHeight="15"/>
  <cols>
    <col min="1" max="1" width="2.1640625" style="272" customWidth="1"/>
    <col min="2" max="2" width="1.83203125" style="272" bestFit="1" customWidth="1"/>
    <col min="3" max="3" width="18.33203125" style="272" customWidth="1"/>
    <col min="4" max="5" width="3" style="272" customWidth="1"/>
    <col min="6" max="6" width="18.33203125" style="272" customWidth="1"/>
    <col min="7" max="7" width="2.1640625" style="272" customWidth="1"/>
    <col min="8" max="8" width="1.83203125" style="272" bestFit="1" customWidth="1"/>
    <col min="9" max="9" width="18.33203125" style="272" customWidth="1"/>
    <col min="10" max="10" width="2.1640625" style="272" customWidth="1"/>
    <col min="11" max="11" width="1.83203125" style="272" bestFit="1" customWidth="1"/>
    <col min="12" max="12" width="27.1640625" style="272" customWidth="1"/>
    <col min="13" max="13" width="2.1640625" style="272" customWidth="1"/>
    <col min="14" max="14" width="1.83203125" style="272" bestFit="1" customWidth="1"/>
    <col min="15" max="15" width="27.1640625" style="272" customWidth="1"/>
    <col min="16" max="16" width="2.1640625" style="272" customWidth="1"/>
    <col min="17" max="17" width="1.83203125" style="272" bestFit="1" customWidth="1"/>
    <col min="18" max="18" width="27.1640625" style="272" customWidth="1"/>
    <col min="19" max="19" width="2.1640625" style="272" customWidth="1"/>
    <col min="20" max="20" width="1.83203125" style="272" bestFit="1" customWidth="1"/>
    <col min="21" max="21" width="33.1640625" style="272" bestFit="1" customWidth="1"/>
    <col min="22" max="22" width="2.1640625" style="272" customWidth="1"/>
    <col min="23" max="23" width="1.83203125" style="272" bestFit="1" customWidth="1"/>
    <col min="24" max="24" width="27.1640625" style="272" customWidth="1"/>
    <col min="25" max="25" width="2.1640625" style="272" customWidth="1"/>
    <col min="26" max="26" width="1.83203125" style="272" bestFit="1" customWidth="1"/>
    <col min="27" max="27" width="27.1640625" style="272" customWidth="1"/>
    <col min="28" max="28" width="2.1640625" style="272" customWidth="1"/>
    <col min="29" max="29" width="1.83203125" style="272" bestFit="1" customWidth="1"/>
    <col min="30" max="30" width="18.33203125" style="272" customWidth="1"/>
    <col min="31" max="31" width="2.1640625" style="272" customWidth="1"/>
    <col min="32" max="32" width="1.83203125" style="272" bestFit="1" customWidth="1"/>
    <col min="33" max="33" width="18.33203125" style="272" customWidth="1"/>
    <col min="34" max="34" width="2.1640625" style="272" customWidth="1"/>
    <col min="35" max="35" width="1.83203125" style="272" bestFit="1" customWidth="1"/>
    <col min="36" max="36" width="18.33203125" style="272" customWidth="1"/>
    <col min="37" max="37" width="0.6640625" style="272" customWidth="1"/>
    <col min="38" max="38" width="7" style="272" customWidth="1"/>
    <col min="39" max="39" width="28.83203125" style="272" customWidth="1"/>
    <col min="40" max="16384" width="10.83203125" style="272"/>
  </cols>
  <sheetData>
    <row r="1" spans="1:36" ht="18" customHeight="1">
      <c r="A1" s="895" t="s">
        <v>32</v>
      </c>
      <c r="B1" s="896"/>
      <c r="C1" s="897"/>
      <c r="D1" s="895" t="s">
        <v>33</v>
      </c>
      <c r="E1" s="896"/>
      <c r="F1" s="897"/>
      <c r="G1" s="895" t="s">
        <v>34</v>
      </c>
      <c r="H1" s="896"/>
      <c r="I1" s="897"/>
      <c r="J1" s="895" t="s">
        <v>35</v>
      </c>
      <c r="K1" s="896"/>
      <c r="L1" s="897"/>
      <c r="M1" s="895" t="s">
        <v>36</v>
      </c>
      <c r="N1" s="896"/>
      <c r="O1" s="897"/>
      <c r="P1" s="895" t="s">
        <v>37</v>
      </c>
      <c r="Q1" s="896"/>
      <c r="R1" s="897"/>
      <c r="S1" s="895" t="s">
        <v>38</v>
      </c>
      <c r="T1" s="896"/>
      <c r="U1" s="897"/>
      <c r="V1" s="895" t="s">
        <v>39</v>
      </c>
      <c r="W1" s="896"/>
      <c r="X1" s="897"/>
      <c r="Y1" s="895" t="s">
        <v>40</v>
      </c>
      <c r="Z1" s="896"/>
      <c r="AA1" s="897"/>
      <c r="AB1" s="895" t="s">
        <v>41</v>
      </c>
      <c r="AC1" s="896"/>
      <c r="AD1" s="897"/>
      <c r="AE1" s="895" t="s">
        <v>42</v>
      </c>
      <c r="AF1" s="896"/>
      <c r="AG1" s="897"/>
      <c r="AH1" s="895" t="s">
        <v>43</v>
      </c>
      <c r="AI1" s="896"/>
      <c r="AJ1" s="897"/>
    </row>
    <row r="2" spans="1:36" ht="15" customHeight="1">
      <c r="A2" s="317">
        <v>1</v>
      </c>
      <c r="B2" s="318" t="s">
        <v>44</v>
      </c>
      <c r="C2" s="318"/>
      <c r="D2" s="317">
        <v>1</v>
      </c>
      <c r="E2" s="319" t="s">
        <v>45</v>
      </c>
      <c r="F2" s="319"/>
      <c r="G2" s="317">
        <v>1</v>
      </c>
      <c r="H2" s="319" t="s">
        <v>45</v>
      </c>
      <c r="I2" s="320" t="s">
        <v>46</v>
      </c>
      <c r="J2" s="317">
        <v>1</v>
      </c>
      <c r="K2" s="319" t="s">
        <v>44</v>
      </c>
      <c r="L2" s="319"/>
      <c r="M2" s="317">
        <v>1</v>
      </c>
      <c r="N2" s="318" t="s">
        <v>47</v>
      </c>
      <c r="O2" s="321" t="s">
        <v>48</v>
      </c>
      <c r="P2" s="317">
        <v>1</v>
      </c>
      <c r="Q2" s="318" t="s">
        <v>49</v>
      </c>
      <c r="R2" s="321" t="s">
        <v>50</v>
      </c>
      <c r="S2" s="317">
        <v>1</v>
      </c>
      <c r="T2" s="319" t="s">
        <v>44</v>
      </c>
      <c r="U2" s="319"/>
      <c r="V2" s="317">
        <v>1</v>
      </c>
      <c r="W2" s="319" t="s">
        <v>51</v>
      </c>
      <c r="X2" s="322" t="s">
        <v>52</v>
      </c>
      <c r="Y2" s="317">
        <v>1</v>
      </c>
      <c r="Z2" s="319" t="s">
        <v>53</v>
      </c>
      <c r="AA2" s="323"/>
      <c r="AB2" s="317">
        <v>1</v>
      </c>
      <c r="AC2" s="319" t="s">
        <v>44</v>
      </c>
      <c r="AD2" s="319"/>
      <c r="AE2" s="317">
        <v>1</v>
      </c>
      <c r="AF2" s="318" t="s">
        <v>45</v>
      </c>
      <c r="AG2" s="324" t="s">
        <v>54</v>
      </c>
      <c r="AH2" s="317">
        <v>1</v>
      </c>
      <c r="AI2" s="319" t="s">
        <v>53</v>
      </c>
      <c r="AJ2" s="319"/>
    </row>
    <row r="3" spans="1:36" ht="15" customHeight="1">
      <c r="A3" s="317">
        <v>2</v>
      </c>
      <c r="B3" s="319" t="s">
        <v>47</v>
      </c>
      <c r="C3" s="319"/>
      <c r="D3" s="317">
        <v>2</v>
      </c>
      <c r="E3" s="318" t="s">
        <v>49</v>
      </c>
      <c r="F3" s="324" t="s">
        <v>54</v>
      </c>
      <c r="G3" s="317">
        <v>2</v>
      </c>
      <c r="H3" s="318" t="s">
        <v>49</v>
      </c>
      <c r="I3" s="324" t="s">
        <v>54</v>
      </c>
      <c r="J3" s="317">
        <v>2</v>
      </c>
      <c r="K3" s="319" t="s">
        <v>44</v>
      </c>
      <c r="L3" s="319"/>
      <c r="M3" s="317">
        <v>2</v>
      </c>
      <c r="N3" s="319" t="s">
        <v>51</v>
      </c>
      <c r="O3" s="319"/>
      <c r="P3" s="317">
        <v>2</v>
      </c>
      <c r="Q3" s="318" t="s">
        <v>53</v>
      </c>
      <c r="R3" s="321" t="s">
        <v>50</v>
      </c>
      <c r="S3" s="317">
        <v>2</v>
      </c>
      <c r="T3" s="319" t="s">
        <v>44</v>
      </c>
      <c r="U3" s="319"/>
      <c r="V3" s="317">
        <v>2</v>
      </c>
      <c r="W3" s="319" t="s">
        <v>45</v>
      </c>
      <c r="X3" s="323"/>
      <c r="Y3" s="317">
        <v>2</v>
      </c>
      <c r="Z3" s="319" t="s">
        <v>44</v>
      </c>
      <c r="AA3" s="323"/>
      <c r="AB3" s="317">
        <v>2</v>
      </c>
      <c r="AC3" s="319" t="s">
        <v>47</v>
      </c>
      <c r="AD3" s="319"/>
      <c r="AE3" s="317">
        <v>2</v>
      </c>
      <c r="AF3" s="318" t="s">
        <v>49</v>
      </c>
      <c r="AG3" s="324"/>
      <c r="AH3" s="317">
        <v>2</v>
      </c>
      <c r="AI3" s="319" t="s">
        <v>44</v>
      </c>
      <c r="AJ3" s="319"/>
    </row>
    <row r="4" spans="1:36" ht="15" customHeight="1">
      <c r="A4" s="317">
        <v>3</v>
      </c>
      <c r="B4" s="319" t="s">
        <v>51</v>
      </c>
      <c r="C4" s="319"/>
      <c r="D4" s="317">
        <v>3</v>
      </c>
      <c r="E4" s="319" t="s">
        <v>53</v>
      </c>
      <c r="F4" s="319"/>
      <c r="G4" s="317">
        <v>3</v>
      </c>
      <c r="H4" s="319" t="s">
        <v>53</v>
      </c>
      <c r="I4" s="325"/>
      <c r="J4" s="317">
        <v>3</v>
      </c>
      <c r="K4" s="319" t="s">
        <v>47</v>
      </c>
      <c r="L4" s="319"/>
      <c r="M4" s="317">
        <v>3</v>
      </c>
      <c r="N4" s="319" t="s">
        <v>45</v>
      </c>
      <c r="O4" s="319"/>
      <c r="P4" s="317">
        <v>3</v>
      </c>
      <c r="Q4" s="319" t="s">
        <v>44</v>
      </c>
      <c r="R4" s="323"/>
      <c r="S4" s="317">
        <v>3</v>
      </c>
      <c r="T4" s="319" t="s">
        <v>47</v>
      </c>
      <c r="U4" s="326" t="s">
        <v>55</v>
      </c>
      <c r="V4" s="317">
        <v>3</v>
      </c>
      <c r="W4" s="318" t="s">
        <v>49</v>
      </c>
      <c r="X4" s="327"/>
      <c r="Y4" s="317">
        <v>3</v>
      </c>
      <c r="Z4" s="319" t="s">
        <v>44</v>
      </c>
      <c r="AA4" s="323"/>
      <c r="AB4" s="317">
        <v>3</v>
      </c>
      <c r="AC4" s="319" t="s">
        <v>51</v>
      </c>
      <c r="AD4" s="319"/>
      <c r="AE4" s="317">
        <v>3</v>
      </c>
      <c r="AF4" s="319" t="s">
        <v>53</v>
      </c>
      <c r="AG4" s="319"/>
      <c r="AH4" s="317">
        <v>3</v>
      </c>
      <c r="AI4" s="319" t="s">
        <v>44</v>
      </c>
      <c r="AJ4" s="319"/>
    </row>
    <row r="5" spans="1:36" ht="15" customHeight="1">
      <c r="A5" s="317">
        <v>4</v>
      </c>
      <c r="B5" s="319" t="s">
        <v>45</v>
      </c>
      <c r="C5" s="319"/>
      <c r="D5" s="317">
        <v>4</v>
      </c>
      <c r="E5" s="319" t="s">
        <v>44</v>
      </c>
      <c r="F5" s="319"/>
      <c r="G5" s="317">
        <v>4</v>
      </c>
      <c r="H5" s="319" t="s">
        <v>44</v>
      </c>
      <c r="I5" s="325"/>
      <c r="J5" s="317">
        <v>4</v>
      </c>
      <c r="K5" s="319" t="s">
        <v>51</v>
      </c>
      <c r="L5" s="319"/>
      <c r="M5" s="317">
        <v>4</v>
      </c>
      <c r="N5" s="318" t="s">
        <v>49</v>
      </c>
      <c r="O5" s="318"/>
      <c r="P5" s="317">
        <v>4</v>
      </c>
      <c r="Q5" s="319" t="s">
        <v>44</v>
      </c>
      <c r="R5" s="323"/>
      <c r="S5" s="317">
        <v>4</v>
      </c>
      <c r="T5" s="319" t="s">
        <v>51</v>
      </c>
      <c r="U5" s="328" t="s">
        <v>56</v>
      </c>
      <c r="V5" s="317">
        <v>4</v>
      </c>
      <c r="W5" s="319" t="s">
        <v>53</v>
      </c>
      <c r="X5" s="323"/>
      <c r="Y5" s="317">
        <v>4</v>
      </c>
      <c r="Z5" s="319" t="s">
        <v>47</v>
      </c>
      <c r="AA5" s="323"/>
      <c r="AB5" s="317">
        <v>4</v>
      </c>
      <c r="AC5" s="319" t="s">
        <v>45</v>
      </c>
      <c r="AD5" s="319"/>
      <c r="AE5" s="317">
        <v>4</v>
      </c>
      <c r="AF5" s="319" t="s">
        <v>44</v>
      </c>
      <c r="AG5" s="319"/>
      <c r="AH5" s="317">
        <v>4</v>
      </c>
      <c r="AI5" s="319" t="s">
        <v>47</v>
      </c>
      <c r="AJ5" s="319"/>
    </row>
    <row r="6" spans="1:36" ht="15" customHeight="1">
      <c r="A6" s="317">
        <v>5</v>
      </c>
      <c r="B6" s="318" t="s">
        <v>49</v>
      </c>
      <c r="C6" s="318"/>
      <c r="D6" s="317">
        <v>5</v>
      </c>
      <c r="E6" s="319" t="s">
        <v>44</v>
      </c>
      <c r="F6" s="319"/>
      <c r="G6" s="317">
        <v>5</v>
      </c>
      <c r="H6" s="319" t="s">
        <v>44</v>
      </c>
      <c r="I6" s="325"/>
      <c r="J6" s="317">
        <v>5</v>
      </c>
      <c r="K6" s="319" t="s">
        <v>45</v>
      </c>
      <c r="L6" s="319"/>
      <c r="M6" s="317">
        <v>5</v>
      </c>
      <c r="N6" s="319" t="s">
        <v>53</v>
      </c>
      <c r="O6" s="319"/>
      <c r="P6" s="317">
        <v>5</v>
      </c>
      <c r="Q6" s="319" t="s">
        <v>47</v>
      </c>
      <c r="R6" s="323"/>
      <c r="S6" s="317">
        <v>5</v>
      </c>
      <c r="T6" s="319" t="s">
        <v>45</v>
      </c>
      <c r="U6" s="323"/>
      <c r="V6" s="317">
        <v>5</v>
      </c>
      <c r="W6" s="319" t="s">
        <v>44</v>
      </c>
      <c r="X6" s="323"/>
      <c r="Y6" s="317">
        <v>5</v>
      </c>
      <c r="Z6" s="319" t="s">
        <v>51</v>
      </c>
      <c r="AA6" s="322" t="s">
        <v>2003</v>
      </c>
      <c r="AB6" s="317">
        <v>5</v>
      </c>
      <c r="AC6" s="318" t="s">
        <v>49</v>
      </c>
      <c r="AD6" s="324"/>
      <c r="AE6" s="317">
        <v>5</v>
      </c>
      <c r="AF6" s="319" t="s">
        <v>44</v>
      </c>
      <c r="AG6" s="319"/>
      <c r="AH6" s="317">
        <v>5</v>
      </c>
      <c r="AI6" s="319" t="s">
        <v>51</v>
      </c>
      <c r="AJ6" s="319"/>
    </row>
    <row r="7" spans="1:36" ht="15" customHeight="1">
      <c r="A7" s="317">
        <v>6</v>
      </c>
      <c r="B7" s="318" t="s">
        <v>53</v>
      </c>
      <c r="C7" s="324" t="s">
        <v>54</v>
      </c>
      <c r="D7" s="317">
        <v>6</v>
      </c>
      <c r="E7" s="319" t="s">
        <v>47</v>
      </c>
      <c r="F7" s="319"/>
      <c r="G7" s="317">
        <v>6</v>
      </c>
      <c r="H7" s="319" t="s">
        <v>47</v>
      </c>
      <c r="I7" s="319"/>
      <c r="J7" s="317">
        <v>6</v>
      </c>
      <c r="K7" s="318" t="s">
        <v>49</v>
      </c>
      <c r="L7" s="324" t="s">
        <v>54</v>
      </c>
      <c r="M7" s="317">
        <v>6</v>
      </c>
      <c r="N7" s="319" t="s">
        <v>44</v>
      </c>
      <c r="O7" s="319"/>
      <c r="P7" s="317">
        <v>6</v>
      </c>
      <c r="Q7" s="319" t="s">
        <v>51</v>
      </c>
      <c r="R7" s="322"/>
      <c r="S7" s="317">
        <v>6</v>
      </c>
      <c r="T7" s="318" t="s">
        <v>49</v>
      </c>
      <c r="U7" s="329" t="s">
        <v>57</v>
      </c>
      <c r="V7" s="317">
        <v>6</v>
      </c>
      <c r="W7" s="319" t="s">
        <v>44</v>
      </c>
      <c r="X7" s="323"/>
      <c r="Y7" s="317">
        <v>6</v>
      </c>
      <c r="Z7" s="319" t="s">
        <v>45</v>
      </c>
      <c r="AA7" s="323"/>
      <c r="AB7" s="317">
        <v>6</v>
      </c>
      <c r="AC7" s="319" t="s">
        <v>53</v>
      </c>
      <c r="AD7" s="319"/>
      <c r="AE7" s="317">
        <v>6</v>
      </c>
      <c r="AF7" s="319" t="s">
        <v>47</v>
      </c>
      <c r="AG7" s="319"/>
      <c r="AH7" s="317">
        <v>6</v>
      </c>
      <c r="AI7" s="319" t="s">
        <v>45</v>
      </c>
      <c r="AJ7" s="319"/>
    </row>
    <row r="8" spans="1:36" ht="15" customHeight="1">
      <c r="A8" s="317">
        <v>7</v>
      </c>
      <c r="B8" s="319" t="s">
        <v>44</v>
      </c>
      <c r="C8" s="319"/>
      <c r="D8" s="317">
        <v>7</v>
      </c>
      <c r="E8" s="319" t="s">
        <v>51</v>
      </c>
      <c r="F8" s="319"/>
      <c r="G8" s="317">
        <v>7</v>
      </c>
      <c r="H8" s="319" t="s">
        <v>51</v>
      </c>
      <c r="I8" s="319"/>
      <c r="J8" s="317">
        <v>7</v>
      </c>
      <c r="K8" s="319" t="s">
        <v>53</v>
      </c>
      <c r="L8" s="319"/>
      <c r="M8" s="317">
        <v>7</v>
      </c>
      <c r="N8" s="319" t="s">
        <v>44</v>
      </c>
      <c r="O8" s="319"/>
      <c r="P8" s="317">
        <v>7</v>
      </c>
      <c r="Q8" s="319" t="s">
        <v>45</v>
      </c>
      <c r="R8" s="323"/>
      <c r="S8" s="317">
        <v>7</v>
      </c>
      <c r="T8" s="319" t="s">
        <v>53</v>
      </c>
      <c r="U8" s="323"/>
      <c r="V8" s="317">
        <v>7</v>
      </c>
      <c r="W8" s="319" t="s">
        <v>47</v>
      </c>
      <c r="X8" s="323"/>
      <c r="Y8" s="317">
        <v>7</v>
      </c>
      <c r="Z8" s="318" t="s">
        <v>49</v>
      </c>
      <c r="AA8" s="327" t="s">
        <v>2005</v>
      </c>
      <c r="AB8" s="317">
        <v>7</v>
      </c>
      <c r="AC8" s="319" t="s">
        <v>44</v>
      </c>
      <c r="AD8" s="319"/>
      <c r="AE8" s="317">
        <v>7</v>
      </c>
      <c r="AF8" s="319" t="s">
        <v>51</v>
      </c>
      <c r="AG8" s="319"/>
      <c r="AH8" s="317">
        <v>7</v>
      </c>
      <c r="AI8" s="318" t="s">
        <v>49</v>
      </c>
      <c r="AJ8" s="324" t="s">
        <v>54</v>
      </c>
    </row>
    <row r="9" spans="1:36" ht="15" customHeight="1">
      <c r="A9" s="317">
        <v>8</v>
      </c>
      <c r="B9" s="319" t="s">
        <v>44</v>
      </c>
      <c r="C9" s="319"/>
      <c r="D9" s="317">
        <v>8</v>
      </c>
      <c r="E9" s="319" t="s">
        <v>45</v>
      </c>
      <c r="F9" s="319"/>
      <c r="G9" s="317">
        <v>8</v>
      </c>
      <c r="H9" s="319" t="s">
        <v>45</v>
      </c>
      <c r="I9" s="319"/>
      <c r="J9" s="317">
        <v>8</v>
      </c>
      <c r="K9" s="319" t="s">
        <v>44</v>
      </c>
      <c r="L9" s="319"/>
      <c r="M9" s="317">
        <v>8</v>
      </c>
      <c r="N9" s="319" t="s">
        <v>47</v>
      </c>
      <c r="O9" s="319"/>
      <c r="P9" s="317">
        <v>8</v>
      </c>
      <c r="Q9" s="318" t="s">
        <v>49</v>
      </c>
      <c r="R9" s="329"/>
      <c r="S9" s="317">
        <v>8</v>
      </c>
      <c r="T9" s="319" t="s">
        <v>44</v>
      </c>
      <c r="U9" s="323"/>
      <c r="V9" s="317">
        <v>8</v>
      </c>
      <c r="W9" s="319" t="s">
        <v>51</v>
      </c>
      <c r="X9" s="322" t="s">
        <v>58</v>
      </c>
      <c r="Y9" s="317">
        <v>8</v>
      </c>
      <c r="Z9" s="319" t="s">
        <v>53</v>
      </c>
      <c r="AA9" s="323"/>
      <c r="AB9" s="317">
        <v>8</v>
      </c>
      <c r="AC9" s="319" t="s">
        <v>44</v>
      </c>
      <c r="AD9" s="319"/>
      <c r="AE9" s="317">
        <v>8</v>
      </c>
      <c r="AF9" s="319" t="s">
        <v>45</v>
      </c>
      <c r="AG9" s="319"/>
      <c r="AH9" s="317">
        <v>8</v>
      </c>
      <c r="AI9" s="318" t="s">
        <v>53</v>
      </c>
      <c r="AJ9" s="318"/>
    </row>
    <row r="10" spans="1:36" ht="15" customHeight="1">
      <c r="A10" s="317">
        <v>9</v>
      </c>
      <c r="B10" s="319" t="s">
        <v>47</v>
      </c>
      <c r="C10" s="319"/>
      <c r="D10" s="317">
        <v>9</v>
      </c>
      <c r="E10" s="318" t="s">
        <v>49</v>
      </c>
      <c r="F10" s="330"/>
      <c r="G10" s="317">
        <v>9</v>
      </c>
      <c r="H10" s="318" t="s">
        <v>49</v>
      </c>
      <c r="I10" s="321" t="s">
        <v>48</v>
      </c>
      <c r="J10" s="317">
        <v>9</v>
      </c>
      <c r="K10" s="319" t="s">
        <v>44</v>
      </c>
      <c r="L10" s="319"/>
      <c r="M10" s="317">
        <v>9</v>
      </c>
      <c r="N10" s="319" t="s">
        <v>51</v>
      </c>
      <c r="O10" s="319"/>
      <c r="P10" s="317">
        <v>9</v>
      </c>
      <c r="Q10" s="319" t="s">
        <v>53</v>
      </c>
      <c r="R10" s="323"/>
      <c r="S10" s="317">
        <v>9</v>
      </c>
      <c r="T10" s="319" t="s">
        <v>44</v>
      </c>
      <c r="U10" s="323"/>
      <c r="V10" s="317">
        <v>9</v>
      </c>
      <c r="W10" s="319" t="s">
        <v>45</v>
      </c>
      <c r="X10" s="323"/>
      <c r="Y10" s="317">
        <v>9</v>
      </c>
      <c r="Z10" s="319" t="s">
        <v>44</v>
      </c>
      <c r="AA10" s="323"/>
      <c r="AB10" s="317">
        <v>9</v>
      </c>
      <c r="AC10" s="319" t="s">
        <v>47</v>
      </c>
      <c r="AD10" s="319"/>
      <c r="AE10" s="317">
        <v>9</v>
      </c>
      <c r="AF10" s="318" t="s">
        <v>49</v>
      </c>
      <c r="AG10" s="324" t="s">
        <v>2179</v>
      </c>
      <c r="AH10" s="317">
        <v>9</v>
      </c>
      <c r="AI10" s="319" t="s">
        <v>44</v>
      </c>
      <c r="AJ10" s="319"/>
    </row>
    <row r="11" spans="1:36" ht="15" customHeight="1">
      <c r="A11" s="317">
        <v>10</v>
      </c>
      <c r="B11" s="319" t="s">
        <v>51</v>
      </c>
      <c r="C11" s="319"/>
      <c r="D11" s="317">
        <v>10</v>
      </c>
      <c r="E11" s="319" t="s">
        <v>53</v>
      </c>
      <c r="F11" s="319"/>
      <c r="G11" s="317">
        <v>10</v>
      </c>
      <c r="H11" s="319" t="s">
        <v>53</v>
      </c>
      <c r="I11" s="319"/>
      <c r="J11" s="317">
        <v>10</v>
      </c>
      <c r="K11" s="319" t="s">
        <v>47</v>
      </c>
      <c r="L11" s="319"/>
      <c r="M11" s="317">
        <v>10</v>
      </c>
      <c r="N11" s="319" t="s">
        <v>45</v>
      </c>
      <c r="O11" s="319"/>
      <c r="P11" s="317">
        <v>10</v>
      </c>
      <c r="Q11" s="319" t="s">
        <v>44</v>
      </c>
      <c r="R11" s="323"/>
      <c r="S11" s="317">
        <v>10</v>
      </c>
      <c r="T11" s="319" t="s">
        <v>47</v>
      </c>
      <c r="U11" s="323"/>
      <c r="V11" s="317">
        <v>10</v>
      </c>
      <c r="W11" s="318" t="s">
        <v>49</v>
      </c>
      <c r="X11" s="329" t="s">
        <v>57</v>
      </c>
      <c r="Y11" s="317">
        <v>10</v>
      </c>
      <c r="Z11" s="319" t="s">
        <v>44</v>
      </c>
      <c r="AA11" s="323"/>
      <c r="AB11" s="317">
        <v>10</v>
      </c>
      <c r="AC11" s="319" t="s">
        <v>51</v>
      </c>
      <c r="AD11" s="319"/>
      <c r="AE11" s="317">
        <v>10</v>
      </c>
      <c r="AF11" s="319" t="s">
        <v>53</v>
      </c>
      <c r="AG11" s="319"/>
      <c r="AH11" s="317">
        <v>10</v>
      </c>
      <c r="AI11" s="319" t="s">
        <v>44</v>
      </c>
      <c r="AJ11" s="319"/>
    </row>
    <row r="12" spans="1:36" ht="15" customHeight="1">
      <c r="A12" s="317">
        <v>11</v>
      </c>
      <c r="B12" s="319" t="s">
        <v>45</v>
      </c>
      <c r="C12" s="319"/>
      <c r="D12" s="317">
        <v>11</v>
      </c>
      <c r="E12" s="319" t="s">
        <v>44</v>
      </c>
      <c r="F12" s="319"/>
      <c r="G12" s="317">
        <v>11</v>
      </c>
      <c r="H12" s="319" t="s">
        <v>44</v>
      </c>
      <c r="I12" s="319"/>
      <c r="J12" s="317">
        <v>11</v>
      </c>
      <c r="K12" s="319" t="s">
        <v>51</v>
      </c>
      <c r="L12" s="319"/>
      <c r="M12" s="317">
        <v>11</v>
      </c>
      <c r="N12" s="318" t="s">
        <v>49</v>
      </c>
      <c r="O12" s="321" t="s">
        <v>59</v>
      </c>
      <c r="P12" s="317">
        <v>11</v>
      </c>
      <c r="Q12" s="319" t="s">
        <v>44</v>
      </c>
      <c r="R12" s="323"/>
      <c r="S12" s="317">
        <v>11</v>
      </c>
      <c r="T12" s="319" t="s">
        <v>51</v>
      </c>
      <c r="U12" s="328" t="s">
        <v>60</v>
      </c>
      <c r="V12" s="317">
        <v>11</v>
      </c>
      <c r="W12" s="319" t="s">
        <v>53</v>
      </c>
      <c r="X12" s="323"/>
      <c r="Y12" s="317">
        <v>11</v>
      </c>
      <c r="Z12" s="319" t="s">
        <v>47</v>
      </c>
      <c r="AA12" s="323"/>
      <c r="AB12" s="317">
        <v>11</v>
      </c>
      <c r="AC12" s="319" t="s">
        <v>45</v>
      </c>
      <c r="AD12" s="319"/>
      <c r="AE12" s="317">
        <v>11</v>
      </c>
      <c r="AF12" s="319" t="s">
        <v>44</v>
      </c>
      <c r="AG12" s="319"/>
      <c r="AH12" s="317">
        <v>11</v>
      </c>
      <c r="AI12" s="319" t="s">
        <v>47</v>
      </c>
      <c r="AJ12" s="319"/>
    </row>
    <row r="13" spans="1:36" ht="15" customHeight="1">
      <c r="A13" s="317">
        <v>12</v>
      </c>
      <c r="B13" s="318" t="s">
        <v>49</v>
      </c>
      <c r="C13" s="330"/>
      <c r="D13" s="317">
        <v>12</v>
      </c>
      <c r="E13" s="319" t="s">
        <v>44</v>
      </c>
      <c r="F13" s="319"/>
      <c r="G13" s="317">
        <v>12</v>
      </c>
      <c r="H13" s="319" t="s">
        <v>44</v>
      </c>
      <c r="I13" s="319"/>
      <c r="J13" s="317">
        <v>12</v>
      </c>
      <c r="K13" s="319" t="s">
        <v>45</v>
      </c>
      <c r="L13" s="319"/>
      <c r="M13" s="317">
        <v>12</v>
      </c>
      <c r="N13" s="319" t="s">
        <v>53</v>
      </c>
      <c r="O13" s="319"/>
      <c r="P13" s="317">
        <v>12</v>
      </c>
      <c r="Q13" s="319" t="s">
        <v>47</v>
      </c>
      <c r="R13" s="323"/>
      <c r="S13" s="317">
        <v>12</v>
      </c>
      <c r="T13" s="319" t="s">
        <v>45</v>
      </c>
      <c r="U13" s="609" t="s">
        <v>61</v>
      </c>
      <c r="V13" s="317">
        <v>12</v>
      </c>
      <c r="W13" s="319" t="s">
        <v>44</v>
      </c>
      <c r="X13" s="323" t="s">
        <v>62</v>
      </c>
      <c r="Y13" s="317">
        <v>12</v>
      </c>
      <c r="Z13" s="319" t="s">
        <v>51</v>
      </c>
      <c r="AA13" s="322" t="s">
        <v>2004</v>
      </c>
      <c r="AB13" s="317">
        <v>12</v>
      </c>
      <c r="AC13" s="318" t="s">
        <v>49</v>
      </c>
      <c r="AD13" s="324"/>
      <c r="AE13" s="317">
        <v>12</v>
      </c>
      <c r="AF13" s="319" t="s">
        <v>44</v>
      </c>
      <c r="AG13" s="319"/>
      <c r="AH13" s="317">
        <v>12</v>
      </c>
      <c r="AI13" s="319" t="s">
        <v>51</v>
      </c>
      <c r="AJ13" s="319"/>
    </row>
    <row r="14" spans="1:36" ht="15" customHeight="1">
      <c r="A14" s="317">
        <v>13</v>
      </c>
      <c r="B14" s="319" t="s">
        <v>53</v>
      </c>
      <c r="C14" s="319"/>
      <c r="D14" s="317">
        <v>13</v>
      </c>
      <c r="E14" s="319" t="s">
        <v>47</v>
      </c>
      <c r="F14" s="319"/>
      <c r="G14" s="317">
        <v>13</v>
      </c>
      <c r="H14" s="319" t="s">
        <v>47</v>
      </c>
      <c r="I14" s="319"/>
      <c r="J14" s="317">
        <v>13</v>
      </c>
      <c r="K14" s="318" t="s">
        <v>49</v>
      </c>
      <c r="L14" s="321" t="s">
        <v>48</v>
      </c>
      <c r="M14" s="317">
        <v>13</v>
      </c>
      <c r="N14" s="319" t="s">
        <v>44</v>
      </c>
      <c r="O14" s="319"/>
      <c r="P14" s="317">
        <v>13</v>
      </c>
      <c r="Q14" s="319" t="s">
        <v>51</v>
      </c>
      <c r="R14" s="322" t="s">
        <v>63</v>
      </c>
      <c r="S14" s="317">
        <v>13</v>
      </c>
      <c r="T14" s="318" t="s">
        <v>49</v>
      </c>
      <c r="U14" s="329" t="s">
        <v>57</v>
      </c>
      <c r="V14" s="317">
        <v>13</v>
      </c>
      <c r="W14" s="319" t="s">
        <v>44</v>
      </c>
      <c r="X14" s="322" t="s">
        <v>64</v>
      </c>
      <c r="Y14" s="317">
        <v>13</v>
      </c>
      <c r="Z14" s="319" t="s">
        <v>45</v>
      </c>
      <c r="AA14" s="793" t="s">
        <v>2006</v>
      </c>
      <c r="AB14" s="317">
        <v>13</v>
      </c>
      <c r="AC14" s="319" t="s">
        <v>53</v>
      </c>
      <c r="AD14" s="319"/>
      <c r="AE14" s="317">
        <v>13</v>
      </c>
      <c r="AF14" s="319" t="s">
        <v>47</v>
      </c>
      <c r="AG14" s="319"/>
      <c r="AH14" s="317">
        <v>13</v>
      </c>
      <c r="AI14" s="319" t="s">
        <v>45</v>
      </c>
      <c r="AJ14" s="319"/>
    </row>
    <row r="15" spans="1:36" ht="15" customHeight="1">
      <c r="A15" s="317">
        <v>14</v>
      </c>
      <c r="B15" s="319" t="s">
        <v>44</v>
      </c>
      <c r="C15" s="319"/>
      <c r="D15" s="317">
        <v>14</v>
      </c>
      <c r="E15" s="319" t="s">
        <v>51</v>
      </c>
      <c r="F15" s="319"/>
      <c r="G15" s="317">
        <v>14</v>
      </c>
      <c r="H15" s="319" t="s">
        <v>51</v>
      </c>
      <c r="I15" s="319"/>
      <c r="J15" s="317">
        <v>14</v>
      </c>
      <c r="K15" s="319" t="s">
        <v>53</v>
      </c>
      <c r="L15" s="319"/>
      <c r="M15" s="317">
        <v>14</v>
      </c>
      <c r="N15" s="319" t="s">
        <v>44</v>
      </c>
      <c r="O15" s="319"/>
      <c r="P15" s="317">
        <v>14</v>
      </c>
      <c r="Q15" s="319" t="s">
        <v>45</v>
      </c>
      <c r="R15" s="323"/>
      <c r="S15" s="317">
        <v>14</v>
      </c>
      <c r="T15" s="319" t="s">
        <v>53</v>
      </c>
      <c r="U15" s="323"/>
      <c r="V15" s="317">
        <v>14</v>
      </c>
      <c r="W15" s="319" t="s">
        <v>47</v>
      </c>
      <c r="X15" s="322" t="s">
        <v>64</v>
      </c>
      <c r="Y15" s="317">
        <v>14</v>
      </c>
      <c r="Z15" s="318" t="s">
        <v>49</v>
      </c>
      <c r="AA15" s="329"/>
      <c r="AB15" s="317">
        <v>14</v>
      </c>
      <c r="AC15" s="319" t="s">
        <v>44</v>
      </c>
      <c r="AD15" s="319"/>
      <c r="AE15" s="317">
        <v>14</v>
      </c>
      <c r="AF15" s="319" t="s">
        <v>51</v>
      </c>
      <c r="AG15" s="319"/>
      <c r="AH15" s="317">
        <v>14</v>
      </c>
      <c r="AI15" s="318" t="s">
        <v>49</v>
      </c>
      <c r="AJ15" s="318"/>
    </row>
    <row r="16" spans="1:36" ht="15" customHeight="1">
      <c r="A16" s="317">
        <v>15</v>
      </c>
      <c r="B16" s="319" t="s">
        <v>44</v>
      </c>
      <c r="C16" s="319"/>
      <c r="D16" s="317">
        <v>15</v>
      </c>
      <c r="E16" s="319" t="s">
        <v>45</v>
      </c>
      <c r="F16" s="319"/>
      <c r="G16" s="317">
        <v>15</v>
      </c>
      <c r="H16" s="319" t="s">
        <v>45</v>
      </c>
      <c r="I16" s="319"/>
      <c r="J16" s="317">
        <v>15</v>
      </c>
      <c r="K16" s="319" t="s">
        <v>44</v>
      </c>
      <c r="L16" s="319"/>
      <c r="M16" s="317">
        <v>15</v>
      </c>
      <c r="N16" s="319" t="s">
        <v>47</v>
      </c>
      <c r="O16" s="319"/>
      <c r="P16" s="317">
        <v>15</v>
      </c>
      <c r="Q16" s="318" t="s">
        <v>49</v>
      </c>
      <c r="R16" s="329"/>
      <c r="S16" s="317">
        <v>15</v>
      </c>
      <c r="T16" s="319" t="s">
        <v>44</v>
      </c>
      <c r="U16" s="323"/>
      <c r="V16" s="317">
        <v>15</v>
      </c>
      <c r="W16" s="318" t="s">
        <v>51</v>
      </c>
      <c r="X16" s="329" t="s">
        <v>57</v>
      </c>
      <c r="Y16" s="317">
        <v>15</v>
      </c>
      <c r="Z16" s="319" t="s">
        <v>53</v>
      </c>
      <c r="AA16" s="323"/>
      <c r="AB16" s="317">
        <v>15</v>
      </c>
      <c r="AC16" s="319" t="s">
        <v>44</v>
      </c>
      <c r="AD16" s="319"/>
      <c r="AE16" s="317">
        <v>15</v>
      </c>
      <c r="AF16" s="319" t="s">
        <v>45</v>
      </c>
      <c r="AG16" s="319"/>
      <c r="AH16" s="317">
        <v>15</v>
      </c>
      <c r="AI16" s="319" t="s">
        <v>53</v>
      </c>
      <c r="AJ16" s="319"/>
    </row>
    <row r="17" spans="1:36" ht="15" customHeight="1">
      <c r="A17" s="317">
        <v>16</v>
      </c>
      <c r="B17" s="319" t="s">
        <v>47</v>
      </c>
      <c r="C17" s="319"/>
      <c r="D17" s="317">
        <v>16</v>
      </c>
      <c r="E17" s="318" t="s">
        <v>49</v>
      </c>
      <c r="F17" s="324" t="s">
        <v>54</v>
      </c>
      <c r="G17" s="317">
        <v>16</v>
      </c>
      <c r="H17" s="318" t="s">
        <v>49</v>
      </c>
      <c r="I17" s="324" t="s">
        <v>54</v>
      </c>
      <c r="J17" s="317">
        <v>16</v>
      </c>
      <c r="K17" s="319" t="s">
        <v>44</v>
      </c>
      <c r="L17" s="319"/>
      <c r="M17" s="317">
        <v>16</v>
      </c>
      <c r="N17" s="319" t="s">
        <v>51</v>
      </c>
      <c r="O17" s="319"/>
      <c r="P17" s="317">
        <v>16</v>
      </c>
      <c r="Q17" s="319" t="s">
        <v>53</v>
      </c>
      <c r="R17" s="323"/>
      <c r="S17" s="317">
        <v>16</v>
      </c>
      <c r="T17" s="319" t="s">
        <v>44</v>
      </c>
      <c r="U17" s="323" t="s">
        <v>65</v>
      </c>
      <c r="V17" s="317">
        <v>16</v>
      </c>
      <c r="W17" s="319" t="s">
        <v>45</v>
      </c>
      <c r="X17" s="323" t="s">
        <v>57</v>
      </c>
      <c r="Y17" s="317">
        <v>16</v>
      </c>
      <c r="Z17" s="319" t="s">
        <v>44</v>
      </c>
      <c r="AA17" s="323"/>
      <c r="AB17" s="317">
        <v>16</v>
      </c>
      <c r="AC17" s="319" t="s">
        <v>47</v>
      </c>
      <c r="AD17" s="319"/>
      <c r="AE17" s="317">
        <v>16</v>
      </c>
      <c r="AF17" s="318" t="s">
        <v>49</v>
      </c>
      <c r="AG17" s="324" t="s">
        <v>54</v>
      </c>
      <c r="AH17" s="317">
        <v>16</v>
      </c>
      <c r="AI17" s="319" t="s">
        <v>44</v>
      </c>
      <c r="AJ17" s="319"/>
    </row>
    <row r="18" spans="1:36" ht="15" customHeight="1">
      <c r="A18" s="317">
        <v>17</v>
      </c>
      <c r="B18" s="319" t="s">
        <v>51</v>
      </c>
      <c r="C18" s="319"/>
      <c r="D18" s="317">
        <v>17</v>
      </c>
      <c r="E18" s="319" t="s">
        <v>53</v>
      </c>
      <c r="F18" s="319"/>
      <c r="G18" s="317">
        <v>17</v>
      </c>
      <c r="H18" s="319" t="s">
        <v>53</v>
      </c>
      <c r="I18" s="319"/>
      <c r="J18" s="317">
        <v>17</v>
      </c>
      <c r="K18" s="319" t="s">
        <v>47</v>
      </c>
      <c r="L18" s="325"/>
      <c r="M18" s="317">
        <v>17</v>
      </c>
      <c r="N18" s="319" t="s">
        <v>45</v>
      </c>
      <c r="O18" s="331"/>
      <c r="P18" s="317">
        <v>17</v>
      </c>
      <c r="Q18" s="319" t="s">
        <v>44</v>
      </c>
      <c r="R18" s="323"/>
      <c r="S18" s="317">
        <v>17</v>
      </c>
      <c r="T18" s="319" t="s">
        <v>47</v>
      </c>
      <c r="U18" s="322" t="s">
        <v>66</v>
      </c>
      <c r="V18" s="317">
        <v>17</v>
      </c>
      <c r="W18" s="318" t="s">
        <v>49</v>
      </c>
      <c r="X18" s="329" t="s">
        <v>57</v>
      </c>
      <c r="Y18" s="317">
        <v>17</v>
      </c>
      <c r="Z18" s="319" t="s">
        <v>44</v>
      </c>
      <c r="AA18" s="323"/>
      <c r="AB18" s="317">
        <v>17</v>
      </c>
      <c r="AC18" s="319" t="s">
        <v>51</v>
      </c>
      <c r="AD18" s="319"/>
      <c r="AE18" s="317">
        <v>17</v>
      </c>
      <c r="AF18" s="319" t="s">
        <v>53</v>
      </c>
      <c r="AG18" s="319"/>
      <c r="AH18" s="317">
        <v>17</v>
      </c>
      <c r="AI18" s="319" t="s">
        <v>44</v>
      </c>
      <c r="AJ18" s="319"/>
    </row>
    <row r="19" spans="1:36" ht="15" customHeight="1">
      <c r="A19" s="317">
        <v>18</v>
      </c>
      <c r="B19" s="319" t="s">
        <v>45</v>
      </c>
      <c r="C19" s="319"/>
      <c r="D19" s="317">
        <v>18</v>
      </c>
      <c r="E19" s="319" t="s">
        <v>44</v>
      </c>
      <c r="F19" s="319"/>
      <c r="G19" s="317">
        <v>18</v>
      </c>
      <c r="H19" s="319" t="s">
        <v>44</v>
      </c>
      <c r="I19" s="319"/>
      <c r="J19" s="317">
        <v>18</v>
      </c>
      <c r="K19" s="319" t="s">
        <v>51</v>
      </c>
      <c r="L19" s="325"/>
      <c r="M19" s="317">
        <v>18</v>
      </c>
      <c r="N19" s="318" t="s">
        <v>49</v>
      </c>
      <c r="O19" s="324" t="s">
        <v>67</v>
      </c>
      <c r="P19" s="317">
        <v>18</v>
      </c>
      <c r="Q19" s="319" t="s">
        <v>44</v>
      </c>
      <c r="R19" s="323"/>
      <c r="S19" s="317">
        <v>18</v>
      </c>
      <c r="T19" s="319" t="s">
        <v>51</v>
      </c>
      <c r="U19" s="328" t="s">
        <v>68</v>
      </c>
      <c r="V19" s="317">
        <v>18</v>
      </c>
      <c r="W19" s="319" t="s">
        <v>53</v>
      </c>
      <c r="X19" s="323"/>
      <c r="Y19" s="317">
        <v>18</v>
      </c>
      <c r="Z19" s="319" t="s">
        <v>47</v>
      </c>
      <c r="AA19" s="323"/>
      <c r="AB19" s="317">
        <v>18</v>
      </c>
      <c r="AC19" s="319" t="s">
        <v>45</v>
      </c>
      <c r="AD19" s="319"/>
      <c r="AE19" s="317">
        <v>18</v>
      </c>
      <c r="AF19" s="319" t="s">
        <v>44</v>
      </c>
      <c r="AG19" s="319"/>
      <c r="AH19" s="317">
        <v>18</v>
      </c>
      <c r="AI19" s="319" t="s">
        <v>47</v>
      </c>
      <c r="AJ19" s="319"/>
    </row>
    <row r="20" spans="1:36" ht="15" customHeight="1">
      <c r="A20" s="317">
        <v>19</v>
      </c>
      <c r="B20" s="318" t="s">
        <v>49</v>
      </c>
      <c r="C20" s="324" t="s">
        <v>54</v>
      </c>
      <c r="D20" s="317">
        <v>19</v>
      </c>
      <c r="E20" s="319" t="s">
        <v>44</v>
      </c>
      <c r="F20" s="319"/>
      <c r="G20" s="317">
        <v>19</v>
      </c>
      <c r="H20" s="319" t="s">
        <v>44</v>
      </c>
      <c r="I20" s="319"/>
      <c r="J20" s="317">
        <v>19</v>
      </c>
      <c r="K20" s="319" t="s">
        <v>45</v>
      </c>
      <c r="L20" s="332" t="s">
        <v>69</v>
      </c>
      <c r="M20" s="317">
        <v>19</v>
      </c>
      <c r="N20" s="319" t="s">
        <v>53</v>
      </c>
      <c r="O20" s="319"/>
      <c r="P20" s="317">
        <v>19</v>
      </c>
      <c r="Q20" s="319" t="s">
        <v>47</v>
      </c>
      <c r="R20" s="323"/>
      <c r="S20" s="317">
        <v>19</v>
      </c>
      <c r="T20" s="319" t="s">
        <v>45</v>
      </c>
      <c r="U20" s="323"/>
      <c r="V20" s="317">
        <v>19</v>
      </c>
      <c r="W20" s="319" t="s">
        <v>44</v>
      </c>
      <c r="X20" s="322" t="s">
        <v>70</v>
      </c>
      <c r="Y20" s="317">
        <v>19</v>
      </c>
      <c r="Z20" s="319" t="s">
        <v>51</v>
      </c>
      <c r="AA20" s="322" t="s">
        <v>1829</v>
      </c>
      <c r="AB20" s="317">
        <v>19</v>
      </c>
      <c r="AC20" s="318" t="s">
        <v>49</v>
      </c>
      <c r="AD20" s="324"/>
      <c r="AE20" s="317">
        <v>19</v>
      </c>
      <c r="AF20" s="319" t="s">
        <v>44</v>
      </c>
      <c r="AG20" s="319"/>
      <c r="AH20" s="317">
        <v>19</v>
      </c>
      <c r="AI20" s="319" t="s">
        <v>51</v>
      </c>
      <c r="AJ20" s="319"/>
    </row>
    <row r="21" spans="1:36" ht="15" customHeight="1">
      <c r="A21" s="317">
        <v>20</v>
      </c>
      <c r="B21" s="319" t="s">
        <v>53</v>
      </c>
      <c r="C21" s="319"/>
      <c r="D21" s="317">
        <v>20</v>
      </c>
      <c r="E21" s="319" t="s">
        <v>47</v>
      </c>
      <c r="F21" s="319" t="s">
        <v>72</v>
      </c>
      <c r="G21" s="317">
        <v>20</v>
      </c>
      <c r="H21" s="319" t="s">
        <v>47</v>
      </c>
      <c r="I21" s="319"/>
      <c r="J21" s="317">
        <v>20</v>
      </c>
      <c r="K21" s="318" t="s">
        <v>49</v>
      </c>
      <c r="L21" s="318" t="s">
        <v>48</v>
      </c>
      <c r="M21" s="317">
        <v>20</v>
      </c>
      <c r="N21" s="319" t="s">
        <v>44</v>
      </c>
      <c r="O21" s="319"/>
      <c r="P21" s="317">
        <v>20</v>
      </c>
      <c r="Q21" s="319" t="s">
        <v>51</v>
      </c>
      <c r="R21" s="322" t="s">
        <v>73</v>
      </c>
      <c r="S21" s="317">
        <v>20</v>
      </c>
      <c r="T21" s="318" t="s">
        <v>49</v>
      </c>
      <c r="U21" s="327"/>
      <c r="V21" s="317">
        <v>20</v>
      </c>
      <c r="W21" s="319" t="s">
        <v>44</v>
      </c>
      <c r="X21" s="323"/>
      <c r="Y21" s="317">
        <v>20</v>
      </c>
      <c r="Z21" s="319" t="s">
        <v>45</v>
      </c>
      <c r="AA21" s="323"/>
      <c r="AB21" s="317">
        <v>20</v>
      </c>
      <c r="AC21" s="319" t="s">
        <v>53</v>
      </c>
      <c r="AD21" s="319"/>
      <c r="AE21" s="317">
        <v>20</v>
      </c>
      <c r="AF21" s="319" t="s">
        <v>47</v>
      </c>
      <c r="AG21" s="319"/>
      <c r="AH21" s="317">
        <v>20</v>
      </c>
      <c r="AI21" s="319" t="s">
        <v>45</v>
      </c>
      <c r="AJ21" s="319"/>
    </row>
    <row r="22" spans="1:36" ht="15" customHeight="1">
      <c r="A22" s="317">
        <v>21</v>
      </c>
      <c r="B22" s="319" t="s">
        <v>44</v>
      </c>
      <c r="C22" s="319"/>
      <c r="D22" s="317">
        <v>21</v>
      </c>
      <c r="E22" s="319" t="s">
        <v>51</v>
      </c>
      <c r="F22" s="319"/>
      <c r="G22" s="317">
        <v>21</v>
      </c>
      <c r="H22" s="319" t="s">
        <v>51</v>
      </c>
      <c r="I22" s="319"/>
      <c r="J22" s="317">
        <v>21</v>
      </c>
      <c r="K22" s="318" t="s">
        <v>53</v>
      </c>
      <c r="L22" s="318"/>
      <c r="M22" s="317">
        <v>21</v>
      </c>
      <c r="N22" s="319" t="s">
        <v>44</v>
      </c>
      <c r="O22" s="319"/>
      <c r="P22" s="317">
        <v>21</v>
      </c>
      <c r="Q22" s="319" t="s">
        <v>45</v>
      </c>
      <c r="R22" s="323"/>
      <c r="S22" s="317">
        <v>21</v>
      </c>
      <c r="T22" s="319" t="s">
        <v>53</v>
      </c>
      <c r="U22" s="323"/>
      <c r="V22" s="317">
        <v>21</v>
      </c>
      <c r="W22" s="319" t="s">
        <v>47</v>
      </c>
      <c r="X22" s="323"/>
      <c r="Y22" s="317">
        <v>21</v>
      </c>
      <c r="Z22" s="318" t="s">
        <v>49</v>
      </c>
      <c r="AA22" s="327" t="s">
        <v>48</v>
      </c>
      <c r="AB22" s="317">
        <v>21</v>
      </c>
      <c r="AC22" s="319" t="s">
        <v>44</v>
      </c>
      <c r="AD22" s="319"/>
      <c r="AE22" s="317">
        <v>21</v>
      </c>
      <c r="AF22" s="319" t="s">
        <v>51</v>
      </c>
      <c r="AG22" s="319"/>
      <c r="AH22" s="317">
        <v>21</v>
      </c>
      <c r="AI22" s="318" t="s">
        <v>49</v>
      </c>
      <c r="AJ22" s="318"/>
    </row>
    <row r="23" spans="1:36" ht="15" customHeight="1">
      <c r="A23" s="317">
        <v>22</v>
      </c>
      <c r="B23" s="319" t="s">
        <v>44</v>
      </c>
      <c r="C23" s="319"/>
      <c r="D23" s="317">
        <v>22</v>
      </c>
      <c r="E23" s="319" t="s">
        <v>45</v>
      </c>
      <c r="F23" s="319"/>
      <c r="G23" s="317">
        <v>22</v>
      </c>
      <c r="H23" s="319" t="s">
        <v>45</v>
      </c>
      <c r="I23" s="319"/>
      <c r="J23" s="317">
        <v>22</v>
      </c>
      <c r="K23" s="319" t="s">
        <v>44</v>
      </c>
      <c r="L23" s="325"/>
      <c r="M23" s="317">
        <v>22</v>
      </c>
      <c r="N23" s="319" t="s">
        <v>47</v>
      </c>
      <c r="O23" s="319"/>
      <c r="P23" s="317">
        <v>22</v>
      </c>
      <c r="Q23" s="318" t="s">
        <v>49</v>
      </c>
      <c r="R23" s="327"/>
      <c r="S23" s="317">
        <v>22</v>
      </c>
      <c r="T23" s="319" t="s">
        <v>44</v>
      </c>
      <c r="U23" s="323"/>
      <c r="V23" s="317">
        <v>22</v>
      </c>
      <c r="W23" s="319" t="s">
        <v>51</v>
      </c>
      <c r="X23" s="322" t="s">
        <v>71</v>
      </c>
      <c r="Y23" s="317">
        <v>22</v>
      </c>
      <c r="Z23" s="319" t="s">
        <v>53</v>
      </c>
      <c r="AA23" s="323"/>
      <c r="AB23" s="317">
        <v>22</v>
      </c>
      <c r="AC23" s="319" t="s">
        <v>44</v>
      </c>
      <c r="AD23" s="319"/>
      <c r="AE23" s="317">
        <v>22</v>
      </c>
      <c r="AF23" s="319" t="s">
        <v>45</v>
      </c>
      <c r="AG23" s="319"/>
      <c r="AH23" s="317">
        <v>22</v>
      </c>
      <c r="AI23" s="319" t="s">
        <v>53</v>
      </c>
      <c r="AJ23" s="319"/>
    </row>
    <row r="24" spans="1:36" ht="15" customHeight="1">
      <c r="A24" s="317">
        <v>23</v>
      </c>
      <c r="B24" s="319" t="s">
        <v>47</v>
      </c>
      <c r="C24" s="319"/>
      <c r="D24" s="317">
        <v>23</v>
      </c>
      <c r="E24" s="318" t="s">
        <v>49</v>
      </c>
      <c r="F24" s="318"/>
      <c r="G24" s="317">
        <v>23</v>
      </c>
      <c r="H24" s="318" t="s">
        <v>49</v>
      </c>
      <c r="I24" s="321" t="s">
        <v>48</v>
      </c>
      <c r="J24" s="317">
        <v>23</v>
      </c>
      <c r="K24" s="319" t="s">
        <v>44</v>
      </c>
      <c r="L24" s="319"/>
      <c r="M24" s="317">
        <v>23</v>
      </c>
      <c r="N24" s="319" t="s">
        <v>51</v>
      </c>
      <c r="O24" s="319" t="s">
        <v>74</v>
      </c>
      <c r="P24" s="317">
        <v>23</v>
      </c>
      <c r="Q24" s="319" t="s">
        <v>53</v>
      </c>
      <c r="R24" s="323"/>
      <c r="S24" s="317">
        <v>23</v>
      </c>
      <c r="T24" s="319" t="s">
        <v>44</v>
      </c>
      <c r="U24" s="323"/>
      <c r="V24" s="317">
        <v>23</v>
      </c>
      <c r="W24" s="319" t="s">
        <v>45</v>
      </c>
      <c r="X24" s="323"/>
      <c r="Y24" s="317">
        <v>23</v>
      </c>
      <c r="Z24" s="319" t="s">
        <v>44</v>
      </c>
      <c r="AA24" s="323"/>
      <c r="AB24" s="317">
        <v>23</v>
      </c>
      <c r="AC24" s="319" t="s">
        <v>47</v>
      </c>
      <c r="AD24" s="319"/>
      <c r="AE24" s="317">
        <v>23</v>
      </c>
      <c r="AF24" s="318" t="s">
        <v>49</v>
      </c>
      <c r="AG24" s="324"/>
      <c r="AH24" s="317">
        <v>23</v>
      </c>
      <c r="AI24" s="319" t="s">
        <v>44</v>
      </c>
      <c r="AJ24" s="319"/>
    </row>
    <row r="25" spans="1:36" ht="15" customHeight="1">
      <c r="A25" s="317">
        <v>24</v>
      </c>
      <c r="B25" s="319" t="s">
        <v>51</v>
      </c>
      <c r="C25" s="319"/>
      <c r="D25" s="317">
        <v>24</v>
      </c>
      <c r="E25" s="319" t="s">
        <v>53</v>
      </c>
      <c r="F25" s="319"/>
      <c r="G25" s="317">
        <v>24</v>
      </c>
      <c r="H25" s="319" t="s">
        <v>53</v>
      </c>
      <c r="I25" s="319"/>
      <c r="J25" s="317">
        <v>24</v>
      </c>
      <c r="K25" s="319" t="s">
        <v>47</v>
      </c>
      <c r="L25" s="333" t="s">
        <v>75</v>
      </c>
      <c r="M25" s="317">
        <v>24</v>
      </c>
      <c r="N25" s="319" t="s">
        <v>45</v>
      </c>
      <c r="O25" s="319"/>
      <c r="P25" s="317">
        <v>24</v>
      </c>
      <c r="Q25" s="319" t="s">
        <v>44</v>
      </c>
      <c r="R25" s="323"/>
      <c r="S25" s="317">
        <v>24</v>
      </c>
      <c r="T25" s="319" t="s">
        <v>47</v>
      </c>
      <c r="U25" s="323"/>
      <c r="V25" s="317">
        <v>24</v>
      </c>
      <c r="W25" s="318" t="s">
        <v>49</v>
      </c>
      <c r="X25" s="329" t="s">
        <v>57</v>
      </c>
      <c r="Y25" s="317">
        <v>24</v>
      </c>
      <c r="Z25" s="319" t="s">
        <v>44</v>
      </c>
      <c r="AA25" s="323"/>
      <c r="AB25" s="317">
        <v>24</v>
      </c>
      <c r="AC25" s="319" t="s">
        <v>51</v>
      </c>
      <c r="AD25" s="319"/>
      <c r="AE25" s="317">
        <v>24</v>
      </c>
      <c r="AF25" s="319" t="s">
        <v>53</v>
      </c>
      <c r="AG25" s="319"/>
      <c r="AH25" s="317">
        <v>24</v>
      </c>
      <c r="AI25" s="319" t="s">
        <v>44</v>
      </c>
      <c r="AJ25" s="319"/>
    </row>
    <row r="26" spans="1:36" ht="15" customHeight="1">
      <c r="A26" s="317">
        <v>25</v>
      </c>
      <c r="B26" s="319" t="s">
        <v>45</v>
      </c>
      <c r="C26" s="319"/>
      <c r="D26" s="317">
        <v>25</v>
      </c>
      <c r="E26" s="319" t="s">
        <v>44</v>
      </c>
      <c r="F26" s="319"/>
      <c r="G26" s="317">
        <v>25</v>
      </c>
      <c r="H26" s="319" t="s">
        <v>44</v>
      </c>
      <c r="I26" s="319"/>
      <c r="J26" s="317">
        <v>25</v>
      </c>
      <c r="K26" s="318" t="s">
        <v>51</v>
      </c>
      <c r="L26" s="321" t="s">
        <v>75</v>
      </c>
      <c r="M26" s="317">
        <v>25</v>
      </c>
      <c r="N26" s="318" t="s">
        <v>49</v>
      </c>
      <c r="O26" s="321" t="s">
        <v>48</v>
      </c>
      <c r="P26" s="317">
        <v>25</v>
      </c>
      <c r="Q26" s="319" t="s">
        <v>44</v>
      </c>
      <c r="R26" s="323"/>
      <c r="S26" s="317">
        <v>25</v>
      </c>
      <c r="T26" s="319" t="s">
        <v>51</v>
      </c>
      <c r="U26" s="322" t="s">
        <v>76</v>
      </c>
      <c r="V26" s="317">
        <v>25</v>
      </c>
      <c r="W26" s="319" t="s">
        <v>53</v>
      </c>
      <c r="X26" s="323"/>
      <c r="Y26" s="317">
        <v>25</v>
      </c>
      <c r="Z26" s="319" t="s">
        <v>47</v>
      </c>
      <c r="AA26" s="323"/>
      <c r="AB26" s="317">
        <v>25</v>
      </c>
      <c r="AC26" s="319" t="s">
        <v>45</v>
      </c>
      <c r="AD26" s="319"/>
      <c r="AE26" s="317">
        <v>25</v>
      </c>
      <c r="AF26" s="319" t="s">
        <v>44</v>
      </c>
      <c r="AG26" s="319"/>
      <c r="AH26" s="317">
        <v>25</v>
      </c>
      <c r="AI26" s="318" t="s">
        <v>47</v>
      </c>
      <c r="AJ26" s="324" t="s">
        <v>54</v>
      </c>
    </row>
    <row r="27" spans="1:36" ht="15" customHeight="1">
      <c r="A27" s="317">
        <v>26</v>
      </c>
      <c r="B27" s="318" t="s">
        <v>49</v>
      </c>
      <c r="C27" s="330"/>
      <c r="D27" s="317">
        <v>26</v>
      </c>
      <c r="E27" s="319" t="s">
        <v>44</v>
      </c>
      <c r="F27" s="319"/>
      <c r="G27" s="317">
        <v>26</v>
      </c>
      <c r="H27" s="319" t="s">
        <v>44</v>
      </c>
      <c r="I27" s="319"/>
      <c r="J27" s="317">
        <v>26</v>
      </c>
      <c r="K27" s="319" t="s">
        <v>45</v>
      </c>
      <c r="L27" s="334" t="s">
        <v>75</v>
      </c>
      <c r="M27" s="317">
        <v>26</v>
      </c>
      <c r="N27" s="319" t="s">
        <v>53</v>
      </c>
      <c r="O27" s="319"/>
      <c r="P27" s="317">
        <v>26</v>
      </c>
      <c r="Q27" s="319" t="s">
        <v>47</v>
      </c>
      <c r="R27" s="323"/>
      <c r="S27" s="317">
        <v>26</v>
      </c>
      <c r="T27" s="319" t="s">
        <v>45</v>
      </c>
      <c r="U27" s="323"/>
      <c r="V27" s="317">
        <v>26</v>
      </c>
      <c r="W27" s="319" t="s">
        <v>44</v>
      </c>
      <c r="X27" s="323"/>
      <c r="Y27" s="317">
        <v>26</v>
      </c>
      <c r="Z27" s="319" t="s">
        <v>51</v>
      </c>
      <c r="AA27" s="323"/>
      <c r="AB27" s="317">
        <v>26</v>
      </c>
      <c r="AC27" s="318" t="s">
        <v>49</v>
      </c>
      <c r="AD27" s="324" t="s">
        <v>54</v>
      </c>
      <c r="AE27" s="317">
        <v>26</v>
      </c>
      <c r="AF27" s="319" t="s">
        <v>44</v>
      </c>
      <c r="AG27" s="319"/>
      <c r="AH27" s="317">
        <v>26</v>
      </c>
      <c r="AI27" s="318" t="s">
        <v>51</v>
      </c>
      <c r="AJ27" s="318"/>
    </row>
    <row r="28" spans="1:36" ht="15" customHeight="1">
      <c r="A28" s="317">
        <v>27</v>
      </c>
      <c r="B28" s="319" t="s">
        <v>53</v>
      </c>
      <c r="C28" s="319"/>
      <c r="D28" s="317">
        <v>27</v>
      </c>
      <c r="E28" s="319" t="s">
        <v>47</v>
      </c>
      <c r="F28" s="319"/>
      <c r="G28" s="317">
        <v>27</v>
      </c>
      <c r="H28" s="319" t="s">
        <v>47</v>
      </c>
      <c r="I28" s="319"/>
      <c r="J28" s="317">
        <v>27</v>
      </c>
      <c r="K28" s="318" t="s">
        <v>49</v>
      </c>
      <c r="L28" s="321" t="s">
        <v>75</v>
      </c>
      <c r="M28" s="317">
        <v>27</v>
      </c>
      <c r="N28" s="319" t="s">
        <v>44</v>
      </c>
      <c r="O28" s="319"/>
      <c r="P28" s="317">
        <v>27</v>
      </c>
      <c r="Q28" s="319" t="s">
        <v>51</v>
      </c>
      <c r="R28" s="322" t="s">
        <v>77</v>
      </c>
      <c r="S28" s="317">
        <v>27</v>
      </c>
      <c r="T28" s="318" t="s">
        <v>49</v>
      </c>
      <c r="U28" s="329" t="s">
        <v>57</v>
      </c>
      <c r="V28" s="317">
        <v>27</v>
      </c>
      <c r="W28" s="319" t="s">
        <v>44</v>
      </c>
      <c r="X28" s="323"/>
      <c r="Y28" s="317">
        <v>27</v>
      </c>
      <c r="Z28" s="319" t="s">
        <v>45</v>
      </c>
      <c r="AA28" s="323"/>
      <c r="AB28" s="317">
        <v>27</v>
      </c>
      <c r="AC28" s="319" t="s">
        <v>53</v>
      </c>
      <c r="AD28" s="319"/>
      <c r="AE28" s="317">
        <v>27</v>
      </c>
      <c r="AF28" s="319" t="s">
        <v>47</v>
      </c>
      <c r="AG28" s="319"/>
      <c r="AH28" s="317">
        <v>27</v>
      </c>
      <c r="AI28" s="319" t="s">
        <v>45</v>
      </c>
      <c r="AJ28" s="319"/>
    </row>
    <row r="29" spans="1:36" ht="15" customHeight="1">
      <c r="A29" s="317">
        <v>28</v>
      </c>
      <c r="B29" s="319" t="s">
        <v>44</v>
      </c>
      <c r="C29" s="319"/>
      <c r="D29" s="317">
        <v>28</v>
      </c>
      <c r="E29" s="319" t="s">
        <v>51</v>
      </c>
      <c r="F29" s="319"/>
      <c r="G29" s="317">
        <v>28</v>
      </c>
      <c r="H29" s="319" t="s">
        <v>51</v>
      </c>
      <c r="I29" s="319"/>
      <c r="J29" s="317">
        <v>28</v>
      </c>
      <c r="K29" s="319" t="s">
        <v>53</v>
      </c>
      <c r="L29" s="319"/>
      <c r="M29" s="317">
        <v>28</v>
      </c>
      <c r="N29" s="319" t="s">
        <v>44</v>
      </c>
      <c r="O29" s="319"/>
      <c r="P29" s="317">
        <v>28</v>
      </c>
      <c r="Q29" s="319" t="s">
        <v>45</v>
      </c>
      <c r="R29" s="323"/>
      <c r="S29" s="317">
        <v>28</v>
      </c>
      <c r="T29" s="319" t="s">
        <v>53</v>
      </c>
      <c r="U29" s="323"/>
      <c r="V29" s="317">
        <v>28</v>
      </c>
      <c r="W29" s="319" t="s">
        <v>47</v>
      </c>
      <c r="X29" s="323"/>
      <c r="Y29" s="317">
        <v>28</v>
      </c>
      <c r="Z29" s="318" t="s">
        <v>49</v>
      </c>
      <c r="AA29" s="324" t="s">
        <v>2002</v>
      </c>
      <c r="AB29" s="317">
        <v>28</v>
      </c>
      <c r="AC29" s="319" t="s">
        <v>44</v>
      </c>
      <c r="AD29" s="319"/>
      <c r="AE29" s="317">
        <v>28</v>
      </c>
      <c r="AF29" s="319" t="s">
        <v>51</v>
      </c>
      <c r="AG29" s="319"/>
      <c r="AH29" s="317">
        <v>28</v>
      </c>
      <c r="AI29" s="318" t="s">
        <v>49</v>
      </c>
      <c r="AJ29" s="318"/>
    </row>
    <row r="30" spans="1:36" ht="15" customHeight="1">
      <c r="A30" s="317">
        <v>29</v>
      </c>
      <c r="B30" s="319" t="s">
        <v>44</v>
      </c>
      <c r="C30" s="319"/>
      <c r="D30" s="335"/>
      <c r="E30" s="336"/>
      <c r="F30" s="336"/>
      <c r="G30" s="317">
        <v>29</v>
      </c>
      <c r="H30" s="319" t="s">
        <v>45</v>
      </c>
      <c r="I30" s="319"/>
      <c r="J30" s="317">
        <v>29</v>
      </c>
      <c r="K30" s="319" t="s">
        <v>44</v>
      </c>
      <c r="L30" s="319"/>
      <c r="M30" s="317">
        <v>29</v>
      </c>
      <c r="N30" s="319" t="s">
        <v>47</v>
      </c>
      <c r="O30" s="319"/>
      <c r="P30" s="317">
        <v>29</v>
      </c>
      <c r="Q30" s="318" t="s">
        <v>49</v>
      </c>
      <c r="R30" s="337"/>
      <c r="S30" s="317">
        <v>29</v>
      </c>
      <c r="T30" s="319" t="s">
        <v>44</v>
      </c>
      <c r="U30" s="323"/>
      <c r="V30" s="317">
        <v>29</v>
      </c>
      <c r="W30" s="319" t="s">
        <v>51</v>
      </c>
      <c r="X30" s="322" t="s">
        <v>63</v>
      </c>
      <c r="Y30" s="317">
        <v>29</v>
      </c>
      <c r="Z30" s="319" t="s">
        <v>53</v>
      </c>
      <c r="AA30" s="323"/>
      <c r="AB30" s="317">
        <v>29</v>
      </c>
      <c r="AC30" s="319" t="s">
        <v>44</v>
      </c>
      <c r="AD30" s="319"/>
      <c r="AE30" s="317">
        <v>29</v>
      </c>
      <c r="AF30" s="319" t="s">
        <v>45</v>
      </c>
      <c r="AG30" s="319"/>
      <c r="AH30" s="317">
        <v>29</v>
      </c>
      <c r="AI30" s="319" t="s">
        <v>53</v>
      </c>
      <c r="AJ30" s="319"/>
    </row>
    <row r="31" spans="1:36" ht="15" customHeight="1">
      <c r="A31" s="317">
        <v>30</v>
      </c>
      <c r="B31" s="319" t="s">
        <v>47</v>
      </c>
      <c r="C31" s="319"/>
      <c r="D31" s="335"/>
      <c r="E31" s="336"/>
      <c r="F31" s="336"/>
      <c r="G31" s="317">
        <v>30</v>
      </c>
      <c r="H31" s="318" t="s">
        <v>49</v>
      </c>
      <c r="I31" s="321" t="s">
        <v>48</v>
      </c>
      <c r="J31" s="317">
        <v>30</v>
      </c>
      <c r="K31" s="319" t="s">
        <v>44</v>
      </c>
      <c r="L31" s="319"/>
      <c r="M31" s="317">
        <v>30</v>
      </c>
      <c r="N31" s="319" t="s">
        <v>51</v>
      </c>
      <c r="O31" s="322"/>
      <c r="P31" s="317">
        <v>30</v>
      </c>
      <c r="Q31" s="319" t="s">
        <v>53</v>
      </c>
      <c r="R31" s="323"/>
      <c r="S31" s="317">
        <v>30</v>
      </c>
      <c r="T31" s="319" t="s">
        <v>44</v>
      </c>
      <c r="U31" s="323"/>
      <c r="V31" s="317">
        <v>30</v>
      </c>
      <c r="W31" s="319" t="s">
        <v>45</v>
      </c>
      <c r="X31" s="323"/>
      <c r="Y31" s="317">
        <v>30</v>
      </c>
      <c r="Z31" s="319" t="s">
        <v>44</v>
      </c>
      <c r="AA31" s="323"/>
      <c r="AB31" s="317">
        <v>30</v>
      </c>
      <c r="AC31" s="319" t="s">
        <v>47</v>
      </c>
      <c r="AD31" s="319"/>
      <c r="AE31" s="317">
        <v>30</v>
      </c>
      <c r="AF31" s="318" t="s">
        <v>49</v>
      </c>
      <c r="AG31" s="318"/>
      <c r="AH31" s="317">
        <v>30</v>
      </c>
      <c r="AI31" s="319" t="s">
        <v>44</v>
      </c>
      <c r="AJ31" s="319"/>
    </row>
    <row r="32" spans="1:36" ht="15" customHeight="1">
      <c r="A32" s="317">
        <v>31</v>
      </c>
      <c r="B32" s="319" t="s">
        <v>51</v>
      </c>
      <c r="C32" s="319"/>
      <c r="D32" s="335"/>
      <c r="E32" s="336"/>
      <c r="F32" s="336"/>
      <c r="G32" s="317">
        <v>31</v>
      </c>
      <c r="H32" s="319" t="s">
        <v>53</v>
      </c>
      <c r="I32" s="319"/>
      <c r="J32" s="335"/>
      <c r="K32" s="336"/>
      <c r="L32" s="336"/>
      <c r="M32" s="317">
        <v>31</v>
      </c>
      <c r="N32" s="319" t="s">
        <v>45</v>
      </c>
      <c r="O32" s="333" t="s">
        <v>78</v>
      </c>
      <c r="P32" s="335"/>
      <c r="Q32" s="336"/>
      <c r="R32" s="336"/>
      <c r="S32" s="317">
        <v>31</v>
      </c>
      <c r="T32" s="319" t="s">
        <v>47</v>
      </c>
      <c r="U32" s="323"/>
      <c r="V32" s="317">
        <v>31</v>
      </c>
      <c r="W32" s="318" t="s">
        <v>49</v>
      </c>
      <c r="X32" s="327"/>
      <c r="Y32" s="898"/>
      <c r="Z32" s="899"/>
      <c r="AA32" s="900"/>
      <c r="AB32" s="317">
        <v>31</v>
      </c>
      <c r="AC32" s="319" t="s">
        <v>51</v>
      </c>
      <c r="AD32" s="319"/>
      <c r="AE32" s="335"/>
      <c r="AF32" s="336"/>
      <c r="AG32" s="336"/>
      <c r="AH32" s="317">
        <v>31</v>
      </c>
      <c r="AI32" s="319" t="s">
        <v>44</v>
      </c>
      <c r="AJ32" s="319"/>
    </row>
    <row r="33" spans="3:15" ht="14" customHeight="1">
      <c r="K33" s="338"/>
    </row>
    <row r="34" spans="3:15" ht="14" customHeight="1">
      <c r="C34" s="339" t="s">
        <v>79</v>
      </c>
      <c r="F34" s="340"/>
      <c r="G34" s="341"/>
      <c r="H34" s="341"/>
      <c r="I34" s="341"/>
      <c r="K34" s="338"/>
      <c r="L34" s="342"/>
      <c r="M34" s="343"/>
      <c r="N34" s="343"/>
      <c r="O34" s="343"/>
    </row>
    <row r="35" spans="3:15" ht="12" customHeight="1">
      <c r="C35" s="610" t="s">
        <v>80</v>
      </c>
      <c r="D35" s="901" t="s">
        <v>81</v>
      </c>
      <c r="E35" s="901"/>
      <c r="F35" s="588" t="s">
        <v>82</v>
      </c>
      <c r="G35" s="344"/>
      <c r="H35" s="344"/>
      <c r="I35" s="344"/>
      <c r="J35" s="344"/>
      <c r="K35" s="344"/>
      <c r="L35" s="344"/>
      <c r="M35" s="344"/>
      <c r="N35" s="344"/>
      <c r="O35" s="344"/>
    </row>
    <row r="36" spans="3:15" ht="12" customHeight="1">
      <c r="C36" s="344" t="s">
        <v>83</v>
      </c>
      <c r="D36" s="901" t="s">
        <v>81</v>
      </c>
      <c r="E36" s="901"/>
      <c r="F36" s="588" t="s">
        <v>84</v>
      </c>
      <c r="G36" s="344"/>
      <c r="H36" s="344"/>
      <c r="I36" s="344"/>
      <c r="J36" s="344"/>
      <c r="K36" s="344"/>
      <c r="L36" s="344"/>
      <c r="M36" s="344"/>
      <c r="N36" s="344"/>
      <c r="O36" s="344"/>
    </row>
    <row r="37" spans="3:15" ht="12" customHeight="1">
      <c r="C37" s="344" t="s">
        <v>85</v>
      </c>
      <c r="D37" s="901" t="s">
        <v>81</v>
      </c>
      <c r="E37" s="901"/>
      <c r="F37" s="588"/>
    </row>
    <row r="38" spans="3:15" ht="12" customHeight="1">
      <c r="C38" s="344" t="s">
        <v>86</v>
      </c>
      <c r="D38" s="901" t="s">
        <v>81</v>
      </c>
      <c r="E38" s="901"/>
      <c r="F38" s="588"/>
    </row>
    <row r="39" spans="3:15" ht="12" customHeight="1">
      <c r="C39" s="610" t="s">
        <v>87</v>
      </c>
      <c r="D39" s="901" t="s">
        <v>81</v>
      </c>
      <c r="E39" s="901"/>
      <c r="F39" s="588" t="s">
        <v>82</v>
      </c>
    </row>
    <row r="40" spans="3:15" ht="12" customHeight="1">
      <c r="C40" s="344" t="s">
        <v>88</v>
      </c>
      <c r="D40" s="901" t="s">
        <v>81</v>
      </c>
      <c r="E40" s="901"/>
      <c r="F40" s="588"/>
      <c r="G40" s="344"/>
      <c r="H40" s="344"/>
      <c r="I40" s="344"/>
      <c r="J40" s="344"/>
      <c r="K40" s="344"/>
      <c r="L40" s="344"/>
      <c r="M40" s="344"/>
      <c r="N40" s="344"/>
      <c r="O40" s="344"/>
    </row>
    <row r="41" spans="3:15" ht="12" customHeight="1">
      <c r="C41" s="344" t="s">
        <v>89</v>
      </c>
      <c r="D41" s="901" t="s">
        <v>81</v>
      </c>
      <c r="E41" s="901"/>
      <c r="F41" s="588" t="s">
        <v>90</v>
      </c>
    </row>
    <row r="42" spans="3:15" ht="12" customHeight="1">
      <c r="C42" s="344" t="s">
        <v>91</v>
      </c>
      <c r="D42" s="901" t="s">
        <v>92</v>
      </c>
      <c r="E42" s="901"/>
      <c r="F42" s="588"/>
      <c r="G42" s="344"/>
      <c r="H42" s="344"/>
      <c r="I42" s="344"/>
      <c r="J42" s="344"/>
      <c r="K42" s="344"/>
      <c r="L42" s="344"/>
      <c r="M42" s="344"/>
      <c r="N42" s="344"/>
      <c r="O42" s="344"/>
    </row>
    <row r="43" spans="3:15" ht="12" customHeight="1">
      <c r="C43" s="344" t="s">
        <v>93</v>
      </c>
      <c r="D43" s="901" t="s">
        <v>92</v>
      </c>
      <c r="E43" s="901"/>
      <c r="F43" s="588"/>
    </row>
    <row r="44" spans="3:15" ht="12" customHeight="1">
      <c r="C44" s="344" t="s">
        <v>94</v>
      </c>
      <c r="D44" s="901" t="s">
        <v>92</v>
      </c>
      <c r="E44" s="901"/>
      <c r="F44" s="588"/>
    </row>
    <row r="45" spans="3:15" ht="12" customHeight="1">
      <c r="C45" s="344" t="s">
        <v>95</v>
      </c>
      <c r="D45" s="901" t="s">
        <v>92</v>
      </c>
      <c r="E45" s="901"/>
      <c r="F45" s="588"/>
    </row>
    <row r="46" spans="3:15" ht="12" customHeight="1">
      <c r="C46" s="344" t="s">
        <v>96</v>
      </c>
      <c r="D46" s="901" t="s">
        <v>97</v>
      </c>
      <c r="E46" s="901"/>
      <c r="F46" s="588"/>
      <c r="G46" s="344"/>
      <c r="H46" s="344"/>
      <c r="I46" s="344"/>
      <c r="J46" s="344"/>
      <c r="K46" s="344"/>
      <c r="L46" s="344"/>
      <c r="M46" s="344"/>
      <c r="N46" s="344"/>
      <c r="O46" s="344"/>
    </row>
    <row r="47" spans="3:15" ht="12" customHeight="1">
      <c r="C47" s="344" t="s">
        <v>98</v>
      </c>
      <c r="D47" s="901" t="s">
        <v>97</v>
      </c>
      <c r="E47" s="901"/>
      <c r="F47" s="588"/>
    </row>
    <row r="48" spans="3:15" ht="12" customHeight="1">
      <c r="C48" s="344" t="s">
        <v>99</v>
      </c>
      <c r="D48" s="901" t="s">
        <v>100</v>
      </c>
      <c r="E48" s="901"/>
      <c r="F48" s="588"/>
    </row>
    <row r="49" spans="3:6" ht="12" customHeight="1">
      <c r="C49" s="344" t="s">
        <v>101</v>
      </c>
      <c r="D49" s="901"/>
      <c r="E49" s="901"/>
      <c r="F49" s="588"/>
    </row>
    <row r="50" spans="3:6" ht="12" customHeight="1">
      <c r="C50" s="344"/>
    </row>
  </sheetData>
  <mergeCells count="28">
    <mergeCell ref="D47:E47"/>
    <mergeCell ref="D41:E41"/>
    <mergeCell ref="D38:E38"/>
    <mergeCell ref="D48:E48"/>
    <mergeCell ref="D49:E49"/>
    <mergeCell ref="D43:E43"/>
    <mergeCell ref="D44:E44"/>
    <mergeCell ref="D40:E40"/>
    <mergeCell ref="D46:E46"/>
    <mergeCell ref="D45:E45"/>
    <mergeCell ref="D39:E39"/>
    <mergeCell ref="D35:E35"/>
    <mergeCell ref="D36:E36"/>
    <mergeCell ref="D37:E37"/>
    <mergeCell ref="D42:E42"/>
    <mergeCell ref="A1:C1"/>
    <mergeCell ref="D1:F1"/>
    <mergeCell ref="G1:I1"/>
    <mergeCell ref="J1:L1"/>
    <mergeCell ref="M1:O1"/>
    <mergeCell ref="Y32:AA32"/>
    <mergeCell ref="AH1:AJ1"/>
    <mergeCell ref="P1:R1"/>
    <mergeCell ref="S1:U1"/>
    <mergeCell ref="V1:X1"/>
    <mergeCell ref="Y1:AA1"/>
    <mergeCell ref="AB1:AD1"/>
    <mergeCell ref="AE1:AG1"/>
  </mergeCells>
  <pageMargins left="0.25" right="0.25" top="0.75" bottom="0.75" header="0.3" footer="0.3"/>
  <pageSetup paperSize="8"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3465-C27B-1248-8455-7317CB7DE81B}">
  <sheetPr>
    <tabColor rgb="FFFFC000"/>
  </sheetPr>
  <dimension ref="B1:Z228"/>
  <sheetViews>
    <sheetView zoomScale="158" zoomScaleNormal="180" workbookViewId="0">
      <selection activeCell="C8" sqref="C8"/>
    </sheetView>
  </sheetViews>
  <sheetFormatPr baseColWidth="10" defaultColWidth="10.83203125" defaultRowHeight="15"/>
  <cols>
    <col min="1" max="1" width="1.1640625" style="272" customWidth="1"/>
    <col min="2" max="2" width="6" style="272" customWidth="1"/>
    <col min="3" max="3" width="14.1640625" style="272" customWidth="1"/>
    <col min="4" max="4" width="11.83203125" style="272" customWidth="1"/>
    <col min="5" max="5" width="14.1640625" style="272" customWidth="1"/>
    <col min="6" max="6" width="11.83203125" style="272" customWidth="1"/>
    <col min="7" max="7" width="14.1640625" style="234" customWidth="1"/>
    <col min="8" max="8" width="11.83203125" style="234" customWidth="1"/>
    <col min="9" max="9" width="14.1640625" style="234" customWidth="1"/>
    <col min="10" max="10" width="11.6640625" style="234" customWidth="1"/>
    <col min="11" max="11" width="14.1640625" style="234" customWidth="1"/>
    <col min="12" max="12" width="11.83203125" style="234" customWidth="1"/>
    <col min="13" max="13" width="14.1640625" style="234" customWidth="1"/>
    <col min="14" max="14" width="11.83203125" style="234" customWidth="1"/>
    <col min="15" max="15" width="14.1640625" style="234" customWidth="1"/>
    <col min="16" max="16" width="11.83203125" style="234" customWidth="1"/>
    <col min="17" max="17" width="14.1640625" style="234" customWidth="1"/>
    <col min="18" max="18" width="11.83203125" style="234" customWidth="1"/>
    <col min="19" max="19" width="12.6640625" style="234" customWidth="1"/>
    <col min="20" max="20" width="11.83203125" style="234" customWidth="1"/>
    <col min="21" max="26" width="14.1640625" style="272" customWidth="1"/>
    <col min="27" max="16384" width="10.83203125" style="272"/>
  </cols>
  <sheetData>
    <row r="1" spans="2:26" ht="13" customHeight="1"/>
    <row r="2" spans="2:26" ht="16" customHeight="1">
      <c r="U2" s="242">
        <v>2022</v>
      </c>
      <c r="V2" s="242">
        <v>2021</v>
      </c>
      <c r="W2" s="242">
        <v>2020</v>
      </c>
      <c r="X2" s="242">
        <v>2019</v>
      </c>
      <c r="Y2" s="242">
        <v>2018</v>
      </c>
      <c r="Z2" s="242">
        <v>2017</v>
      </c>
    </row>
    <row r="3" spans="2:26" ht="16" customHeight="1">
      <c r="C3" s="242">
        <v>2025</v>
      </c>
      <c r="D3" s="242" t="s">
        <v>102</v>
      </c>
      <c r="E3" s="242">
        <v>2024</v>
      </c>
      <c r="F3" s="242" t="s">
        <v>102</v>
      </c>
      <c r="G3" s="242">
        <v>2023</v>
      </c>
      <c r="H3" s="242" t="s">
        <v>102</v>
      </c>
      <c r="I3" s="242">
        <v>2022</v>
      </c>
      <c r="J3" s="242" t="s">
        <v>102</v>
      </c>
      <c r="K3" s="242">
        <v>2021</v>
      </c>
      <c r="L3" s="242" t="s">
        <v>102</v>
      </c>
      <c r="M3" s="242">
        <v>2020</v>
      </c>
      <c r="N3" s="242" t="s">
        <v>102</v>
      </c>
      <c r="O3" s="242">
        <v>2019</v>
      </c>
      <c r="P3" s="242" t="s">
        <v>102</v>
      </c>
      <c r="Q3" s="242">
        <v>2018</v>
      </c>
      <c r="R3" s="242" t="s">
        <v>102</v>
      </c>
      <c r="S3" s="242">
        <v>2017</v>
      </c>
      <c r="T3" s="242" t="s">
        <v>102</v>
      </c>
      <c r="U3" s="314" t="s">
        <v>103</v>
      </c>
      <c r="V3" s="314" t="s">
        <v>103</v>
      </c>
      <c r="W3" s="314" t="s">
        <v>103</v>
      </c>
      <c r="X3" s="314" t="s">
        <v>103</v>
      </c>
      <c r="Y3" s="314" t="s">
        <v>103</v>
      </c>
      <c r="Z3" s="314" t="s">
        <v>103</v>
      </c>
    </row>
    <row r="4" spans="2:26" s="232" customFormat="1" ht="16" customHeight="1">
      <c r="B4" s="303" t="s">
        <v>104</v>
      </c>
      <c r="C4" s="306">
        <f>GEN!G2</f>
        <v>56775.750000000007</v>
      </c>
      <c r="D4" s="304">
        <f>GEN!G3</f>
        <v>37792.460000000006</v>
      </c>
      <c r="E4" s="305">
        <v>74388.289999999994</v>
      </c>
      <c r="F4" s="304">
        <v>43806.23</v>
      </c>
      <c r="G4" s="306">
        <v>58341.5</v>
      </c>
      <c r="H4" s="304">
        <v>32046.44</v>
      </c>
      <c r="I4" s="306">
        <v>35123.11</v>
      </c>
      <c r="J4" s="304">
        <v>22774.86</v>
      </c>
      <c r="K4" s="306">
        <v>7689.37</v>
      </c>
      <c r="L4" s="304">
        <v>5395.4</v>
      </c>
      <c r="M4" s="306">
        <v>41419.56</v>
      </c>
      <c r="N4" s="304">
        <v>24805</v>
      </c>
      <c r="O4" s="306">
        <v>34774.86</v>
      </c>
      <c r="P4" s="304">
        <v>21698</v>
      </c>
      <c r="Q4" s="306">
        <v>37803.1</v>
      </c>
      <c r="R4" s="304">
        <v>11851.17</v>
      </c>
      <c r="S4" s="306">
        <v>31463.3</v>
      </c>
      <c r="T4" s="304">
        <v>15781.28</v>
      </c>
      <c r="U4" s="306">
        <f>GEN!G6</f>
        <v>2365.6562500000005</v>
      </c>
      <c r="V4" s="306">
        <v>961.17</v>
      </c>
      <c r="W4" s="306">
        <v>1726.23</v>
      </c>
      <c r="X4" s="306">
        <v>1337.49</v>
      </c>
      <c r="Y4" s="306">
        <v>1453.97</v>
      </c>
      <c r="Z4" s="306">
        <v>1210.1300000000001</v>
      </c>
    </row>
    <row r="5" spans="2:26" s="232" customFormat="1" ht="16" customHeight="1">
      <c r="B5" s="303" t="s">
        <v>105</v>
      </c>
      <c r="C5" s="306">
        <f>FEB!G2</f>
        <v>64368.1</v>
      </c>
      <c r="D5" s="304">
        <f>FEB!G3</f>
        <v>81218.3</v>
      </c>
      <c r="E5" s="305">
        <v>80342.27</v>
      </c>
      <c r="F5" s="304">
        <v>46267.4</v>
      </c>
      <c r="G5" s="306">
        <v>67770.2</v>
      </c>
      <c r="H5" s="304">
        <v>38654.29</v>
      </c>
      <c r="I5" s="306">
        <v>66639.100000000006</v>
      </c>
      <c r="J5" s="304">
        <v>38234.559999999998</v>
      </c>
      <c r="K5" s="306">
        <v>29078</v>
      </c>
      <c r="L5" s="304">
        <v>20063.5</v>
      </c>
      <c r="M5" s="306">
        <v>49441.919999999998</v>
      </c>
      <c r="N5" s="304">
        <v>26794</v>
      </c>
      <c r="O5" s="306">
        <v>46702.85</v>
      </c>
      <c r="P5" s="304">
        <v>24235</v>
      </c>
      <c r="Q5" s="306">
        <v>37983.599999999999</v>
      </c>
      <c r="R5" s="304">
        <v>15365.72</v>
      </c>
      <c r="S5" s="306">
        <v>27455.7</v>
      </c>
      <c r="T5" s="304"/>
      <c r="U5" s="306">
        <f>FEB!G6</f>
        <v>2682.0041666666666</v>
      </c>
      <c r="V5" s="306">
        <v>1038.5</v>
      </c>
      <c r="W5" s="306">
        <v>1977.68</v>
      </c>
      <c r="X5" s="306">
        <v>1945.95</v>
      </c>
      <c r="Y5" s="306">
        <v>1582.65</v>
      </c>
      <c r="Z5" s="306">
        <v>1143.99</v>
      </c>
    </row>
    <row r="6" spans="2:26" s="232" customFormat="1" ht="16" customHeight="1">
      <c r="B6" s="303" t="s">
        <v>106</v>
      </c>
      <c r="C6" s="306">
        <f>MAR!G2</f>
        <v>91689.910000000018</v>
      </c>
      <c r="D6" s="304">
        <f>MAR!G3</f>
        <v>68421.7</v>
      </c>
      <c r="E6" s="305">
        <v>94515.58</v>
      </c>
      <c r="F6" s="304">
        <v>60630.58</v>
      </c>
      <c r="G6" s="306">
        <v>82422.28</v>
      </c>
      <c r="H6" s="304">
        <v>53195.06</v>
      </c>
      <c r="I6" s="306">
        <v>68754.25</v>
      </c>
      <c r="J6" s="304">
        <v>60715.56</v>
      </c>
      <c r="K6" s="306">
        <v>9101.1</v>
      </c>
      <c r="L6" s="304">
        <v>5277.7</v>
      </c>
      <c r="M6" s="306">
        <v>15671.8</v>
      </c>
      <c r="N6" s="304">
        <v>12003</v>
      </c>
      <c r="O6" s="306">
        <v>57431.22</v>
      </c>
      <c r="P6" s="304">
        <v>44633</v>
      </c>
      <c r="Q6" s="306">
        <v>44047.5</v>
      </c>
      <c r="R6" s="304">
        <v>18217.39</v>
      </c>
      <c r="S6" s="306">
        <v>37294.800000000003</v>
      </c>
      <c r="T6" s="304"/>
      <c r="U6" s="306"/>
      <c r="V6" s="306">
        <v>1300.1600000000001</v>
      </c>
      <c r="W6" s="306">
        <v>2238.83</v>
      </c>
      <c r="X6" s="306">
        <v>2127.08</v>
      </c>
      <c r="Y6" s="306">
        <v>1631.39</v>
      </c>
      <c r="Z6" s="306">
        <v>1381.29</v>
      </c>
    </row>
    <row r="7" spans="2:26" s="232" customFormat="1" ht="16" customHeight="1">
      <c r="B7" s="303" t="s">
        <v>107</v>
      </c>
      <c r="C7" s="315">
        <f>APR!G2</f>
        <v>123264.41999999998</v>
      </c>
      <c r="D7" s="304">
        <f>APR!G3</f>
        <v>82728.03</v>
      </c>
      <c r="E7" s="306">
        <v>94111.09</v>
      </c>
      <c r="F7" s="304">
        <v>77250.320000000007</v>
      </c>
      <c r="G7" s="306">
        <v>119955.05</v>
      </c>
      <c r="H7" s="304">
        <v>85725.1</v>
      </c>
      <c r="I7" s="306">
        <v>83800.67</v>
      </c>
      <c r="J7" s="304">
        <v>48380.88</v>
      </c>
      <c r="K7" s="306">
        <v>8201</v>
      </c>
      <c r="L7" s="304">
        <v>2819.11</v>
      </c>
      <c r="M7" s="734">
        <v>0</v>
      </c>
      <c r="N7" s="304">
        <v>0</v>
      </c>
      <c r="O7" s="306">
        <v>60908.13</v>
      </c>
      <c r="P7" s="304">
        <v>42199</v>
      </c>
      <c r="Q7" s="306">
        <v>56281.8</v>
      </c>
      <c r="R7" s="304">
        <v>27940.04</v>
      </c>
      <c r="S7" s="306">
        <v>43962.7</v>
      </c>
      <c r="T7" s="304"/>
      <c r="U7" s="306"/>
      <c r="V7" s="306">
        <v>1640.2</v>
      </c>
      <c r="W7" s="306"/>
      <c r="X7" s="306">
        <v>2436.33</v>
      </c>
      <c r="Y7" s="306">
        <v>2164.6799999999998</v>
      </c>
      <c r="Z7" s="306">
        <v>1690.87</v>
      </c>
    </row>
    <row r="8" spans="2:26" s="232" customFormat="1" ht="16" customHeight="1">
      <c r="B8" s="303" t="s">
        <v>108</v>
      </c>
      <c r="C8" s="315">
        <f>MAG!G2</f>
        <v>84317.249999999985</v>
      </c>
      <c r="D8" s="304">
        <f>MAG!G3</f>
        <v>58778.3</v>
      </c>
      <c r="E8" s="306">
        <v>70115.08</v>
      </c>
      <c r="F8" s="304">
        <v>48547.6</v>
      </c>
      <c r="G8" s="306">
        <v>75105.81</v>
      </c>
      <c r="H8" s="304">
        <v>79178.38</v>
      </c>
      <c r="I8" s="306">
        <v>65654.320000000007</v>
      </c>
      <c r="J8" s="304">
        <v>42597.17</v>
      </c>
      <c r="K8" s="306">
        <v>59860.1</v>
      </c>
      <c r="L8" s="304">
        <v>27485.1</v>
      </c>
      <c r="M8" s="306">
        <v>31802.37</v>
      </c>
      <c r="N8" s="304">
        <v>17428.27</v>
      </c>
      <c r="O8" s="306">
        <v>56513.7</v>
      </c>
      <c r="P8" s="304">
        <v>39594</v>
      </c>
      <c r="Q8" s="306">
        <v>47372.88</v>
      </c>
      <c r="R8" s="304">
        <v>29122.43</v>
      </c>
      <c r="S8" s="306">
        <v>26810.6</v>
      </c>
      <c r="T8" s="304"/>
      <c r="U8" s="306"/>
      <c r="V8" s="306">
        <v>2137.86</v>
      </c>
      <c r="W8" s="306">
        <v>2271.6</v>
      </c>
      <c r="X8" s="306">
        <v>2173.6</v>
      </c>
      <c r="Y8" s="306">
        <v>1822.03</v>
      </c>
      <c r="Z8" s="306">
        <v>1165.68</v>
      </c>
    </row>
    <row r="9" spans="2:26" s="232" customFormat="1" ht="16" customHeight="1">
      <c r="B9" s="303" t="s">
        <v>109</v>
      </c>
      <c r="C9" s="627">
        <f>GIU!G2</f>
        <v>85082.1</v>
      </c>
      <c r="D9" s="304">
        <f>GIU!G3</f>
        <v>71892.400000000009</v>
      </c>
      <c r="E9" s="307">
        <v>80774.2</v>
      </c>
      <c r="F9" s="304">
        <v>58069.35</v>
      </c>
      <c r="G9" s="306">
        <v>85039.1</v>
      </c>
      <c r="H9" s="304">
        <v>76259.14</v>
      </c>
      <c r="I9" s="306">
        <v>77460.75</v>
      </c>
      <c r="J9" s="304">
        <v>50929.8</v>
      </c>
      <c r="K9" s="307">
        <v>95294.55</v>
      </c>
      <c r="L9" s="304">
        <v>55977.52</v>
      </c>
      <c r="M9" s="306">
        <v>69980.7</v>
      </c>
      <c r="N9" s="304">
        <v>34304</v>
      </c>
      <c r="O9" s="306">
        <v>64111</v>
      </c>
      <c r="P9" s="304">
        <v>41427</v>
      </c>
      <c r="Q9" s="306">
        <v>50407.72</v>
      </c>
      <c r="R9" s="304">
        <v>39423.410000000003</v>
      </c>
      <c r="S9" s="306">
        <v>47644.9</v>
      </c>
      <c r="T9" s="304"/>
      <c r="U9" s="306"/>
      <c r="V9" s="306">
        <v>3176.49</v>
      </c>
      <c r="W9" s="306">
        <v>2332.69</v>
      </c>
      <c r="X9" s="306">
        <v>2465.81</v>
      </c>
      <c r="Y9" s="306">
        <v>1938.76</v>
      </c>
      <c r="Z9" s="306">
        <v>1642.93</v>
      </c>
    </row>
    <row r="10" spans="2:26" s="232" customFormat="1" ht="16" customHeight="1">
      <c r="B10" s="303" t="s">
        <v>110</v>
      </c>
      <c r="C10" s="627">
        <f>LUG!G2</f>
        <v>80065.610000000015</v>
      </c>
      <c r="D10" s="304">
        <f>LUG!G3</f>
        <v>54795.100000000006</v>
      </c>
      <c r="E10" s="307">
        <v>73033.320000000007</v>
      </c>
      <c r="F10" s="304">
        <v>46247.95</v>
      </c>
      <c r="G10" s="306">
        <v>74229.899999999994</v>
      </c>
      <c r="H10" s="304">
        <v>51063.13</v>
      </c>
      <c r="I10" s="306">
        <v>75429.05</v>
      </c>
      <c r="J10" s="304">
        <v>46048.1</v>
      </c>
      <c r="K10" s="307">
        <v>85555.5</v>
      </c>
      <c r="L10" s="304">
        <v>53653.51</v>
      </c>
      <c r="M10" s="306">
        <v>65579.86</v>
      </c>
      <c r="N10" s="304">
        <v>35959</v>
      </c>
      <c r="O10" s="306">
        <v>63509.15</v>
      </c>
      <c r="P10" s="304">
        <v>41470</v>
      </c>
      <c r="Q10" s="306">
        <v>44804.7</v>
      </c>
      <c r="R10" s="304">
        <v>44073.02</v>
      </c>
      <c r="S10" s="306">
        <v>36820.800000000003</v>
      </c>
      <c r="T10" s="304"/>
      <c r="U10" s="306"/>
      <c r="V10" s="306">
        <v>2759.85</v>
      </c>
      <c r="W10" s="306">
        <v>2115.48</v>
      </c>
      <c r="X10" s="306">
        <v>2442.66</v>
      </c>
      <c r="Y10" s="306">
        <v>1723.26</v>
      </c>
      <c r="Z10" s="306">
        <v>1187.77</v>
      </c>
    </row>
    <row r="11" spans="2:26" s="232" customFormat="1" ht="16" customHeight="1">
      <c r="B11" s="303" t="s">
        <v>111</v>
      </c>
      <c r="C11" s="315">
        <f>AGO!G2</f>
        <v>95524.9</v>
      </c>
      <c r="D11" s="304">
        <f>AGO!G3</f>
        <v>59156.999999999993</v>
      </c>
      <c r="E11" s="306">
        <v>86831.6</v>
      </c>
      <c r="F11" s="304">
        <v>50117.94</v>
      </c>
      <c r="G11" s="306">
        <v>81606.73</v>
      </c>
      <c r="H11" s="304">
        <v>50523.199999999997</v>
      </c>
      <c r="I11" s="306">
        <v>76063.72</v>
      </c>
      <c r="J11" s="304">
        <v>62869.05</v>
      </c>
      <c r="K11" s="307">
        <v>83190.600000000006</v>
      </c>
      <c r="L11" s="304">
        <v>50158.17</v>
      </c>
      <c r="M11" s="306">
        <v>71550.95</v>
      </c>
      <c r="N11" s="304">
        <v>41278</v>
      </c>
      <c r="O11" s="306">
        <v>66045.210000000006</v>
      </c>
      <c r="P11" s="304">
        <v>45145</v>
      </c>
      <c r="Q11" s="306">
        <v>53161.440000000002</v>
      </c>
      <c r="R11" s="304">
        <v>37363.870000000003</v>
      </c>
      <c r="S11" s="306">
        <v>39244.589999999997</v>
      </c>
      <c r="T11" s="304"/>
      <c r="U11" s="306"/>
      <c r="V11" s="306">
        <v>2683.57</v>
      </c>
      <c r="W11" s="306">
        <v>2308.1</v>
      </c>
      <c r="X11" s="306">
        <v>2446.12</v>
      </c>
      <c r="Y11" s="306">
        <v>1968.94</v>
      </c>
      <c r="Z11" s="306">
        <v>1569.78</v>
      </c>
    </row>
    <row r="12" spans="2:26" s="232" customFormat="1" ht="16" customHeight="1">
      <c r="B12" s="303" t="s">
        <v>112</v>
      </c>
      <c r="C12" s="307">
        <f>SET!G2</f>
        <v>78508.449999999983</v>
      </c>
      <c r="D12" s="304">
        <f>SET!G3</f>
        <v>50010.45</v>
      </c>
      <c r="E12" s="307">
        <v>72523.28</v>
      </c>
      <c r="F12" s="304">
        <v>52947</v>
      </c>
      <c r="G12" s="305">
        <v>99296.93</v>
      </c>
      <c r="H12" s="304">
        <v>57247.69</v>
      </c>
      <c r="I12" s="306">
        <v>82270.320000000007</v>
      </c>
      <c r="J12" s="304">
        <v>53348.14</v>
      </c>
      <c r="K12" s="307">
        <v>74913.8</v>
      </c>
      <c r="L12" s="304">
        <v>51542.32</v>
      </c>
      <c r="M12" s="306">
        <v>77231.600000000006</v>
      </c>
      <c r="N12" s="304">
        <v>44384</v>
      </c>
      <c r="O12" s="306">
        <v>69739.17</v>
      </c>
      <c r="P12" s="304">
        <v>42315</v>
      </c>
      <c r="Q12" s="306">
        <v>47127.360000000001</v>
      </c>
      <c r="R12" s="304">
        <v>34086.81</v>
      </c>
      <c r="S12" s="306">
        <v>34004.9</v>
      </c>
      <c r="T12" s="304"/>
      <c r="U12" s="306"/>
      <c r="V12" s="306">
        <v>2675.49</v>
      </c>
      <c r="W12" s="306">
        <v>2574.39</v>
      </c>
      <c r="X12" s="306">
        <v>2789.57</v>
      </c>
      <c r="Y12" s="306">
        <v>1812.59</v>
      </c>
      <c r="Z12" s="306">
        <v>1307.8800000000001</v>
      </c>
    </row>
    <row r="13" spans="2:26" s="232" customFormat="1" ht="16" customHeight="1">
      <c r="B13" s="303" t="s">
        <v>113</v>
      </c>
      <c r="C13" s="306">
        <f>OTT!G2</f>
        <v>82941.889999999985</v>
      </c>
      <c r="D13" s="304">
        <f>OTT!G3</f>
        <v>54187.3</v>
      </c>
      <c r="E13" s="306">
        <v>74636.899999999994</v>
      </c>
      <c r="F13" s="304">
        <v>45644.12</v>
      </c>
      <c r="G13" s="306">
        <v>95037.63</v>
      </c>
      <c r="H13" s="304">
        <v>51834.59</v>
      </c>
      <c r="I13" s="305">
        <v>103772.05</v>
      </c>
      <c r="J13" s="304">
        <v>61993.59</v>
      </c>
      <c r="K13" s="306">
        <v>65990.45</v>
      </c>
      <c r="L13" s="304">
        <v>42917.02</v>
      </c>
      <c r="M13" s="306">
        <v>50047.05</v>
      </c>
      <c r="N13" s="304">
        <v>41788</v>
      </c>
      <c r="O13" s="306">
        <v>63533.91</v>
      </c>
      <c r="P13" s="304">
        <v>40705</v>
      </c>
      <c r="Q13" s="306">
        <v>45215.5</v>
      </c>
      <c r="R13" s="304">
        <v>25101.27</v>
      </c>
      <c r="S13" s="306">
        <v>32335.9</v>
      </c>
      <c r="T13" s="304"/>
      <c r="U13" s="306"/>
      <c r="V13" s="306">
        <v>2444.09</v>
      </c>
      <c r="W13" s="306">
        <v>1725.76</v>
      </c>
      <c r="X13" s="306">
        <v>2353.11</v>
      </c>
      <c r="Y13" s="306">
        <v>1739.06</v>
      </c>
      <c r="Z13" s="306">
        <v>1243.69</v>
      </c>
    </row>
    <row r="14" spans="2:26" s="232" customFormat="1" ht="16" customHeight="1">
      <c r="B14" s="303" t="s">
        <v>114</v>
      </c>
      <c r="C14" s="306">
        <f>NOV!G2</f>
        <v>81065.154999999999</v>
      </c>
      <c r="D14" s="304">
        <f>NOV!G3</f>
        <v>45356.56</v>
      </c>
      <c r="E14" s="843">
        <v>74908.88</v>
      </c>
      <c r="F14" s="304">
        <v>50189.3</v>
      </c>
      <c r="G14" s="306">
        <v>59552</v>
      </c>
      <c r="H14" s="304">
        <v>41100.699999999997</v>
      </c>
      <c r="I14" s="306">
        <v>62781.85</v>
      </c>
      <c r="J14" s="304">
        <v>41722.92</v>
      </c>
      <c r="K14" s="306">
        <v>59658.74</v>
      </c>
      <c r="L14" s="304">
        <v>38602.54</v>
      </c>
      <c r="M14" s="306">
        <v>13459.53</v>
      </c>
      <c r="N14" s="304">
        <v>12420</v>
      </c>
      <c r="O14" s="306">
        <v>48248.35</v>
      </c>
      <c r="P14" s="304">
        <v>30546</v>
      </c>
      <c r="Q14" s="306">
        <v>41491.1</v>
      </c>
      <c r="R14" s="304">
        <v>20679.810000000001</v>
      </c>
      <c r="S14" s="306">
        <v>30615</v>
      </c>
      <c r="T14" s="304"/>
      <c r="U14" s="306"/>
      <c r="V14" s="306">
        <v>2386.35</v>
      </c>
      <c r="W14" s="306">
        <v>1121.6300000000001</v>
      </c>
      <c r="X14" s="306">
        <v>1855.71</v>
      </c>
      <c r="Y14" s="306">
        <v>1595.81</v>
      </c>
      <c r="Z14" s="306">
        <v>1177.5</v>
      </c>
    </row>
    <row r="15" spans="2:26" s="232" customFormat="1" ht="16" customHeight="1">
      <c r="B15" s="303" t="s">
        <v>115</v>
      </c>
      <c r="C15" s="306">
        <f>DIC!G2</f>
        <v>89525.485000000001</v>
      </c>
      <c r="D15" s="304">
        <f>DIC!G3</f>
        <v>49855.89</v>
      </c>
      <c r="E15" s="843">
        <f>54703.41+(94697.5/2)</f>
        <v>102052.16</v>
      </c>
      <c r="F15" s="304">
        <f>29236.7+21622.98</f>
        <v>50859.68</v>
      </c>
      <c r="G15" s="306">
        <v>130936.36</v>
      </c>
      <c r="H15" s="304">
        <v>61907.81</v>
      </c>
      <c r="I15" s="306">
        <v>84062.8</v>
      </c>
      <c r="J15" s="304">
        <v>42329.99</v>
      </c>
      <c r="K15" s="306">
        <v>45808.2</v>
      </c>
      <c r="L15" s="304">
        <v>30303.38</v>
      </c>
      <c r="M15" s="306">
        <v>17082.55</v>
      </c>
      <c r="N15" s="304">
        <v>22793</v>
      </c>
      <c r="O15" s="306">
        <v>53587.9</v>
      </c>
      <c r="P15" s="304">
        <v>39223</v>
      </c>
      <c r="Q15" s="306">
        <v>54891.5</v>
      </c>
      <c r="R15" s="304">
        <v>15275.1</v>
      </c>
      <c r="S15" s="306">
        <v>32824.5</v>
      </c>
      <c r="T15" s="304"/>
      <c r="U15" s="306"/>
      <c r="V15" s="306">
        <v>1579.59</v>
      </c>
      <c r="W15" s="306">
        <v>1004.86</v>
      </c>
      <c r="X15" s="306">
        <v>1984.74</v>
      </c>
      <c r="Y15" s="306">
        <v>2033.02</v>
      </c>
      <c r="Z15" s="306">
        <v>1262.48</v>
      </c>
    </row>
    <row r="16" spans="2:26" ht="3" customHeight="1">
      <c r="B16" s="308"/>
      <c r="C16" s="308"/>
      <c r="D16" s="309"/>
      <c r="E16" s="308"/>
      <c r="F16" s="309"/>
      <c r="G16" s="309"/>
      <c r="H16" s="309"/>
      <c r="I16" s="309"/>
      <c r="J16" s="309"/>
      <c r="K16" s="309"/>
      <c r="L16" s="309"/>
      <c r="M16" s="309"/>
      <c r="N16" s="309"/>
      <c r="O16" s="309"/>
      <c r="P16" s="309"/>
      <c r="Q16" s="309"/>
      <c r="R16" s="309"/>
      <c r="S16" s="309"/>
      <c r="T16" s="309"/>
      <c r="U16" s="316"/>
      <c r="V16" s="316"/>
      <c r="W16" s="316"/>
      <c r="X16" s="316"/>
      <c r="Y16" s="316"/>
      <c r="Z16" s="316"/>
    </row>
    <row r="17" spans="2:26" ht="3" customHeight="1">
      <c r="B17" s="308"/>
      <c r="C17" s="308"/>
      <c r="D17" s="309"/>
      <c r="E17" s="308"/>
      <c r="F17" s="309"/>
      <c r="G17" s="309"/>
      <c r="H17" s="309"/>
      <c r="I17" s="309"/>
      <c r="J17" s="309"/>
      <c r="K17" s="309"/>
      <c r="L17" s="309"/>
      <c r="M17" s="309"/>
      <c r="N17" s="309"/>
      <c r="O17" s="309"/>
      <c r="P17" s="309"/>
      <c r="Q17" s="309"/>
      <c r="R17" s="309"/>
      <c r="S17" s="309"/>
      <c r="T17" s="309"/>
      <c r="U17" s="316"/>
      <c r="V17" s="316"/>
      <c r="W17" s="316"/>
      <c r="X17" s="316"/>
      <c r="Y17" s="316"/>
      <c r="Z17" s="316"/>
    </row>
    <row r="18" spans="2:26" ht="16" customHeight="1">
      <c r="B18" s="303" t="s">
        <v>116</v>
      </c>
      <c r="C18" s="311">
        <f t="shared" ref="C18:H18" si="0">SUM(C4:C15)</f>
        <v>1013129.02</v>
      </c>
      <c r="D18" s="310">
        <f t="shared" si="0"/>
        <v>714193.49000000011</v>
      </c>
      <c r="E18" s="311">
        <f>SUM(E4:E15)</f>
        <v>978232.65000000014</v>
      </c>
      <c r="F18" s="310">
        <f t="shared" si="0"/>
        <v>630577.47000000009</v>
      </c>
      <c r="G18" s="311">
        <f t="shared" si="0"/>
        <v>1029293.49</v>
      </c>
      <c r="H18" s="310">
        <f t="shared" si="0"/>
        <v>678735.53</v>
      </c>
      <c r="I18" s="311">
        <f t="shared" ref="I18" si="1">SUM(I4:I15)</f>
        <v>881811.99000000011</v>
      </c>
      <c r="J18" s="310">
        <f>SUM(J4:J15)</f>
        <v>571944.62</v>
      </c>
      <c r="K18" s="311">
        <f t="shared" ref="K18:O18" si="2">SUM(K4:K15)</f>
        <v>624341.40999999992</v>
      </c>
      <c r="L18" s="310">
        <f>SUM(L4:L15)</f>
        <v>384195.27</v>
      </c>
      <c r="M18" s="311">
        <f t="shared" si="2"/>
        <v>503267.89</v>
      </c>
      <c r="N18" s="310">
        <f t="shared" si="2"/>
        <v>313956.27</v>
      </c>
      <c r="O18" s="311">
        <f t="shared" si="2"/>
        <v>685105.45000000007</v>
      </c>
      <c r="P18" s="310">
        <v>453194</v>
      </c>
      <c r="Q18" s="311">
        <f t="shared" ref="Q18:S18" si="3">SUM(Q4:Q15)</f>
        <v>560588.19999999995</v>
      </c>
      <c r="R18" s="310">
        <f t="shared" ref="R18" si="4">SUM(R4:R15)</f>
        <v>318500.03999999998</v>
      </c>
      <c r="S18" s="311">
        <f t="shared" si="3"/>
        <v>420477.69000000006</v>
      </c>
      <c r="T18" s="310"/>
      <c r="U18" s="311" t="s">
        <v>117</v>
      </c>
      <c r="V18" s="311" t="s">
        <v>117</v>
      </c>
      <c r="W18" s="311" t="s">
        <v>117</v>
      </c>
      <c r="X18" s="311" t="s">
        <v>117</v>
      </c>
      <c r="Y18" s="311" t="s">
        <v>117</v>
      </c>
      <c r="Z18" s="311" t="s">
        <v>117</v>
      </c>
    </row>
    <row r="19" spans="2:26" ht="16" customHeight="1">
      <c r="B19" s="303" t="s">
        <v>118</v>
      </c>
      <c r="C19" s="311">
        <f>AVERAGE(C4:C15)</f>
        <v>84427.418333333335</v>
      </c>
      <c r="D19" s="312">
        <f>D18/C18</f>
        <v>0.70493834042973136</v>
      </c>
      <c r="E19" s="311">
        <f>AVERAGE(E4:E15)</f>
        <v>81519.387500000012</v>
      </c>
      <c r="F19" s="312">
        <f>F18/E18</f>
        <v>0.64460889748466277</v>
      </c>
      <c r="G19" s="311">
        <f>AVERAGE(G4:G15)</f>
        <v>85774.457500000004</v>
      </c>
      <c r="H19" s="312">
        <f>H18/G18</f>
        <v>0.65941885049715032</v>
      </c>
      <c r="I19" s="311">
        <f>AVERAGE(I4:I15)</f>
        <v>73484.332500000004</v>
      </c>
      <c r="J19" s="312">
        <f>J18/I18</f>
        <v>0.64860154600528841</v>
      </c>
      <c r="K19" s="311">
        <f>AVERAGE(K4:K15)</f>
        <v>52028.450833333329</v>
      </c>
      <c r="L19" s="312">
        <f>L18/K18</f>
        <v>0.6153608648191381</v>
      </c>
      <c r="M19" s="311">
        <f>AVERAGE(M4:M15)</f>
        <v>41938.990833333337</v>
      </c>
      <c r="N19" s="312">
        <f>N18/M18</f>
        <v>0.62383528978969827</v>
      </c>
      <c r="O19" s="311">
        <f>AVERAGE(O4:O11)</f>
        <v>56249.515000000007</v>
      </c>
      <c r="P19" s="312">
        <f>P18/O18</f>
        <v>0.66149524865113829</v>
      </c>
      <c r="Q19" s="311">
        <f>Q18/12</f>
        <v>46715.683333333327</v>
      </c>
      <c r="R19" s="312">
        <f>R18/Q18</f>
        <v>0.56815330754375493</v>
      </c>
      <c r="S19" s="311">
        <f>S18/12</f>
        <v>35039.807500000003</v>
      </c>
      <c r="T19" s="310"/>
      <c r="U19" s="311">
        <f>AVERAGE(U4:U13)</f>
        <v>2523.8302083333338</v>
      </c>
      <c r="V19" s="311">
        <f>AVERAGE(V4:V13)</f>
        <v>2081.7380000000003</v>
      </c>
      <c r="W19" s="311">
        <f>M18/249</f>
        <v>2021.156184738956</v>
      </c>
      <c r="X19" s="311">
        <f>O18/312</f>
        <v>2195.8508012820516</v>
      </c>
      <c r="Y19" s="311">
        <f t="shared" ref="Y19:Z19" si="5">AVERAGE(Y4:Y12)</f>
        <v>1788.6966666666669</v>
      </c>
      <c r="Z19" s="311">
        <f t="shared" si="5"/>
        <v>1366.7022222222222</v>
      </c>
    </row>
    <row r="20" spans="2:26" ht="16" customHeight="1"/>
    <row r="21" spans="2:26" s="232" customFormat="1" ht="20" customHeight="1">
      <c r="B21" s="902" t="s">
        <v>119</v>
      </c>
      <c r="C21" s="902"/>
      <c r="D21" s="902"/>
      <c r="E21" s="902"/>
      <c r="F21" s="902"/>
      <c r="G21" s="902"/>
      <c r="H21" s="902"/>
      <c r="I21" s="902"/>
      <c r="J21" s="902"/>
      <c r="K21" s="902"/>
      <c r="L21" s="902"/>
      <c r="M21" s="902"/>
      <c r="N21" s="902"/>
      <c r="O21" s="902"/>
      <c r="P21" s="902"/>
      <c r="Q21" s="234"/>
      <c r="R21" s="234"/>
      <c r="S21" s="234"/>
      <c r="T21" s="234"/>
    </row>
    <row r="22" spans="2:26" ht="16" customHeight="1">
      <c r="C22" s="242">
        <v>2025</v>
      </c>
      <c r="D22" s="242" t="s">
        <v>120</v>
      </c>
      <c r="E22" s="242">
        <v>2024</v>
      </c>
      <c r="F22" s="242" t="s">
        <v>121</v>
      </c>
      <c r="G22" s="242">
        <v>2023</v>
      </c>
      <c r="H22" s="242" t="s">
        <v>122</v>
      </c>
      <c r="I22" s="242">
        <v>2022</v>
      </c>
      <c r="J22" s="242" t="s">
        <v>123</v>
      </c>
      <c r="K22" s="242">
        <v>2021</v>
      </c>
      <c r="L22" s="242" t="s">
        <v>124</v>
      </c>
      <c r="M22" s="242">
        <v>2020</v>
      </c>
      <c r="N22" s="242" t="s">
        <v>125</v>
      </c>
      <c r="O22" s="242">
        <v>2019</v>
      </c>
      <c r="P22" s="242" t="s">
        <v>126</v>
      </c>
    </row>
    <row r="23" spans="2:26" ht="16" customHeight="1">
      <c r="B23" s="303" t="s">
        <v>104</v>
      </c>
      <c r="C23" s="733">
        <f>SUM(GEN!D10:E40)</f>
        <v>7723.1</v>
      </c>
      <c r="D23" s="304">
        <f>C23/COUNT(GEN!D10:D40)</f>
        <v>321.79583333333335</v>
      </c>
      <c r="E23" s="306">
        <v>5970.1</v>
      </c>
      <c r="F23" s="304">
        <v>259.57</v>
      </c>
      <c r="G23" s="306">
        <v>6005</v>
      </c>
      <c r="H23" s="304">
        <v>261.08999999999997</v>
      </c>
      <c r="I23" s="306">
        <v>3670</v>
      </c>
      <c r="J23" s="304">
        <v>262</v>
      </c>
      <c r="K23" s="734">
        <v>0</v>
      </c>
      <c r="L23" s="304">
        <v>0</v>
      </c>
      <c r="M23" s="306">
        <v>6400</v>
      </c>
      <c r="N23" s="304">
        <v>267</v>
      </c>
      <c r="O23" s="306">
        <v>7640</v>
      </c>
      <c r="P23" s="304">
        <v>294</v>
      </c>
    </row>
    <row r="24" spans="2:26" ht="16" customHeight="1">
      <c r="B24" s="303" t="s">
        <v>105</v>
      </c>
      <c r="C24" s="733">
        <f>SUM(FEB!D10:E40)</f>
        <v>7935.95</v>
      </c>
      <c r="D24" s="304">
        <f>C24/COUNT(FEB!D10:D40)</f>
        <v>330.66458333333333</v>
      </c>
      <c r="E24" s="306">
        <v>7761.8</v>
      </c>
      <c r="F24" s="304">
        <v>323.41000000000003</v>
      </c>
      <c r="G24" s="306">
        <v>6802</v>
      </c>
      <c r="H24" s="304">
        <v>283.42</v>
      </c>
      <c r="I24" s="306">
        <v>6310.5</v>
      </c>
      <c r="J24" s="304">
        <v>263</v>
      </c>
      <c r="K24" s="306">
        <v>9900</v>
      </c>
      <c r="L24" s="304">
        <v>350</v>
      </c>
      <c r="M24" s="306">
        <v>8000</v>
      </c>
      <c r="N24" s="304">
        <v>320</v>
      </c>
      <c r="O24" s="306">
        <v>8214</v>
      </c>
      <c r="P24" s="304">
        <v>340</v>
      </c>
    </row>
    <row r="25" spans="2:26" ht="16" customHeight="1">
      <c r="B25" s="303" t="s">
        <v>106</v>
      </c>
      <c r="C25" s="733">
        <f>SUM(MAR!D10:E40)</f>
        <v>10716.4</v>
      </c>
      <c r="D25" s="304">
        <f>C25/COUNT(MAR!D10:D40)</f>
        <v>412.16923076923075</v>
      </c>
      <c r="E25" s="306">
        <v>8997.1</v>
      </c>
      <c r="F25" s="304">
        <v>333.23</v>
      </c>
      <c r="G25" s="306">
        <v>11082</v>
      </c>
      <c r="H25" s="304">
        <v>410.44</v>
      </c>
      <c r="I25" s="306">
        <v>8373</v>
      </c>
      <c r="J25" s="304">
        <v>349</v>
      </c>
      <c r="K25" s="734">
        <v>0</v>
      </c>
      <c r="L25" s="304">
        <v>0</v>
      </c>
      <c r="M25" s="306">
        <v>1960</v>
      </c>
      <c r="N25" s="304">
        <v>280</v>
      </c>
      <c r="O25" s="306">
        <v>11920</v>
      </c>
      <c r="P25" s="304">
        <v>440</v>
      </c>
    </row>
    <row r="26" spans="2:26" ht="16" customHeight="1">
      <c r="B26" s="303" t="s">
        <v>107</v>
      </c>
      <c r="C26" s="733">
        <f>SUM(APR!D10:E40)</f>
        <v>12982.5</v>
      </c>
      <c r="D26" s="304">
        <f>C26/COUNT(APR!D10:D40)</f>
        <v>499.32692307692309</v>
      </c>
      <c r="E26" s="306">
        <v>11727.1</v>
      </c>
      <c r="F26" s="304">
        <v>469.08</v>
      </c>
      <c r="G26" s="306">
        <v>13939.8</v>
      </c>
      <c r="H26" s="304">
        <v>536.15</v>
      </c>
      <c r="I26" s="306">
        <v>10957</v>
      </c>
      <c r="J26" s="304">
        <v>438</v>
      </c>
      <c r="K26" s="734">
        <v>0</v>
      </c>
      <c r="L26" s="304">
        <v>0</v>
      </c>
      <c r="M26" s="734">
        <v>0</v>
      </c>
      <c r="N26" s="304">
        <v>0</v>
      </c>
      <c r="O26" s="306">
        <v>13013</v>
      </c>
      <c r="P26" s="304">
        <v>507</v>
      </c>
    </row>
    <row r="27" spans="2:26" ht="16" customHeight="1">
      <c r="B27" s="303" t="s">
        <v>108</v>
      </c>
      <c r="C27" s="733">
        <f>SUM(MAG!D10:E40)</f>
        <v>15039.65</v>
      </c>
      <c r="D27" s="304">
        <f>C27/COUNT(MAG!D10:D40)</f>
        <v>557.02407407407406</v>
      </c>
      <c r="E27" s="306">
        <v>11607.5</v>
      </c>
      <c r="F27" s="304">
        <v>429.91</v>
      </c>
      <c r="G27" s="306">
        <v>10896</v>
      </c>
      <c r="H27" s="304">
        <v>419.08</v>
      </c>
      <c r="I27" s="306">
        <v>9900</v>
      </c>
      <c r="J27" s="304">
        <v>380</v>
      </c>
      <c r="K27" s="306">
        <v>14800</v>
      </c>
      <c r="L27" s="304">
        <v>530</v>
      </c>
      <c r="M27" s="306">
        <v>4400</v>
      </c>
      <c r="N27" s="304">
        <v>340</v>
      </c>
      <c r="O27" s="306">
        <v>10500</v>
      </c>
      <c r="P27" s="304">
        <v>403</v>
      </c>
    </row>
    <row r="28" spans="2:26" ht="16" customHeight="1">
      <c r="B28" s="303" t="s">
        <v>109</v>
      </c>
      <c r="C28" s="733">
        <f>SUM(GIU!D10:E40)</f>
        <v>11841.199999999999</v>
      </c>
      <c r="D28" s="304">
        <f>C28/COUNT(GIU!D10:D40)</f>
        <v>473.64799999999997</v>
      </c>
      <c r="E28" s="306">
        <v>11146.7</v>
      </c>
      <c r="F28" s="304">
        <f>E28/26</f>
        <v>428.71923076923082</v>
      </c>
      <c r="G28" s="306">
        <v>11313.4</v>
      </c>
      <c r="H28" s="304">
        <v>435.13</v>
      </c>
      <c r="I28" s="306">
        <v>10320</v>
      </c>
      <c r="J28" s="304">
        <v>415</v>
      </c>
      <c r="K28" s="306">
        <v>12409</v>
      </c>
      <c r="L28" s="304">
        <v>413</v>
      </c>
      <c r="M28" s="306">
        <v>11100</v>
      </c>
      <c r="N28" s="304">
        <v>370</v>
      </c>
      <c r="O28" s="306">
        <v>12000</v>
      </c>
      <c r="P28" s="304">
        <v>431</v>
      </c>
    </row>
    <row r="29" spans="2:26" ht="16" customHeight="1">
      <c r="B29" s="303" t="s">
        <v>110</v>
      </c>
      <c r="C29" s="733">
        <f>SUM(LUG!D10:E40)</f>
        <v>10183</v>
      </c>
      <c r="D29" s="304">
        <f>C29/COUNT(LUG!D10:D40)</f>
        <v>391.65384615384613</v>
      </c>
      <c r="E29" s="306">
        <v>8973.73</v>
      </c>
      <c r="F29" s="304">
        <v>345.14</v>
      </c>
      <c r="G29" s="306">
        <v>9430</v>
      </c>
      <c r="H29" s="304">
        <v>349.26</v>
      </c>
      <c r="I29" s="306">
        <v>8130</v>
      </c>
      <c r="J29" s="304">
        <v>325</v>
      </c>
      <c r="K29" s="306">
        <v>9630</v>
      </c>
      <c r="L29" s="304">
        <v>310</v>
      </c>
      <c r="M29" s="306">
        <v>10700</v>
      </c>
      <c r="N29" s="304">
        <v>345</v>
      </c>
      <c r="O29" s="306">
        <v>11600</v>
      </c>
      <c r="P29" s="304">
        <v>446</v>
      </c>
    </row>
    <row r="30" spans="2:26" ht="16" customHeight="1">
      <c r="B30" s="303" t="s">
        <v>111</v>
      </c>
      <c r="C30" s="733">
        <f>SUM(AGO!D10:E40)</f>
        <v>12403</v>
      </c>
      <c r="D30" s="304">
        <f>C30/COUNT(AGO!D10:D40)</f>
        <v>477.03846153846155</v>
      </c>
      <c r="E30" s="306">
        <v>10625.2</v>
      </c>
      <c r="F30" s="304">
        <v>408.66</v>
      </c>
      <c r="G30" s="306">
        <v>10860.6</v>
      </c>
      <c r="H30" s="304">
        <f>AGO!N2</f>
        <v>496.12</v>
      </c>
      <c r="I30" s="306">
        <v>10900</v>
      </c>
      <c r="J30" s="304">
        <v>420</v>
      </c>
      <c r="K30" s="306">
        <v>11160</v>
      </c>
      <c r="L30" s="304">
        <v>360</v>
      </c>
      <c r="M30" s="306">
        <v>13580</v>
      </c>
      <c r="N30" s="304">
        <v>440</v>
      </c>
      <c r="O30" s="306">
        <v>12900</v>
      </c>
      <c r="P30" s="304">
        <v>480</v>
      </c>
    </row>
    <row r="31" spans="2:26" ht="16" customHeight="1">
      <c r="B31" s="303" t="s">
        <v>112</v>
      </c>
      <c r="C31" s="733">
        <f>SUM(SET!D10:E39)</f>
        <v>11650.1</v>
      </c>
      <c r="D31" s="304">
        <f>C31/COUNT(SET!D10:D39)</f>
        <v>485.42083333333335</v>
      </c>
      <c r="E31" s="306">
        <v>10972.85</v>
      </c>
      <c r="F31" s="304">
        <v>457.2</v>
      </c>
      <c r="G31" s="306">
        <v>12701</v>
      </c>
      <c r="H31" s="304">
        <v>423.37</v>
      </c>
      <c r="I31" s="306">
        <v>12630</v>
      </c>
      <c r="J31" s="304">
        <v>485</v>
      </c>
      <c r="K31" s="306">
        <v>10750</v>
      </c>
      <c r="L31" s="304">
        <v>380</v>
      </c>
      <c r="M31" s="306">
        <v>12570</v>
      </c>
      <c r="N31" s="304">
        <v>419</v>
      </c>
      <c r="O31" s="306">
        <v>12900</v>
      </c>
      <c r="P31" s="304">
        <v>520</v>
      </c>
    </row>
    <row r="32" spans="2:26" ht="16" customHeight="1">
      <c r="B32" s="303" t="s">
        <v>113</v>
      </c>
      <c r="C32" s="733">
        <f>SUM(OTT!D10:E40)</f>
        <v>9305.350000000004</v>
      </c>
      <c r="D32" s="304">
        <f>C32/COUNT(OTT!D10:D40)</f>
        <v>344.64259259259273</v>
      </c>
      <c r="E32" s="306">
        <v>8637.09</v>
      </c>
      <c r="F32" s="304">
        <f>E32/27</f>
        <v>319.89222222222224</v>
      </c>
      <c r="G32" s="306">
        <v>10326.9</v>
      </c>
      <c r="H32" s="304">
        <v>397.19</v>
      </c>
      <c r="I32" s="306">
        <v>12030</v>
      </c>
      <c r="J32" s="304">
        <v>445</v>
      </c>
      <c r="K32" s="306">
        <v>10305</v>
      </c>
      <c r="L32" s="304">
        <v>380</v>
      </c>
      <c r="M32" s="306">
        <v>12900</v>
      </c>
      <c r="N32" s="304">
        <v>398</v>
      </c>
      <c r="O32" s="306">
        <v>9965</v>
      </c>
      <c r="P32" s="304">
        <v>370</v>
      </c>
    </row>
    <row r="33" spans="2:16" ht="16" customHeight="1">
      <c r="B33" s="303" t="s">
        <v>114</v>
      </c>
      <c r="C33" s="733">
        <f>SUM(NOV!D10:E40)</f>
        <v>8381.3799999999992</v>
      </c>
      <c r="D33" s="304">
        <f>C33/COUNT(NOV!D10:D40)</f>
        <v>322.36076923076922</v>
      </c>
      <c r="E33" s="306">
        <v>10351.709999999999</v>
      </c>
      <c r="F33" s="304">
        <f>E33/26</f>
        <v>398.1426923076923</v>
      </c>
      <c r="G33" s="306">
        <v>7436.4</v>
      </c>
      <c r="H33" s="304">
        <v>338.02</v>
      </c>
      <c r="I33" s="306">
        <v>8020</v>
      </c>
      <c r="J33" s="304">
        <v>320</v>
      </c>
      <c r="K33" s="306">
        <v>6404</v>
      </c>
      <c r="L33" s="304">
        <v>260</v>
      </c>
      <c r="M33" s="734">
        <v>0</v>
      </c>
      <c r="N33" s="304">
        <v>0</v>
      </c>
      <c r="O33" s="306">
        <v>7158</v>
      </c>
      <c r="P33" s="304">
        <v>275</v>
      </c>
    </row>
    <row r="34" spans="2:16" ht="16" customHeight="1">
      <c r="B34" s="303" t="s">
        <v>115</v>
      </c>
      <c r="C34" s="733">
        <f>SUM(DIC!D10:E40)</f>
        <v>5758.11</v>
      </c>
      <c r="D34" s="304"/>
      <c r="E34" s="306">
        <v>7404.99</v>
      </c>
      <c r="F34" s="304">
        <v>308.54000000000002</v>
      </c>
      <c r="G34" s="306">
        <v>7006</v>
      </c>
      <c r="H34" s="304">
        <f>G34/25</f>
        <v>280.24</v>
      </c>
      <c r="I34" s="306">
        <v>6690</v>
      </c>
      <c r="J34" s="304">
        <v>278</v>
      </c>
      <c r="K34" s="306">
        <v>4728</v>
      </c>
      <c r="L34" s="304">
        <v>160</v>
      </c>
      <c r="M34" s="734">
        <v>0</v>
      </c>
      <c r="N34" s="304">
        <v>0</v>
      </c>
      <c r="O34" s="306">
        <v>7139</v>
      </c>
      <c r="P34" s="304">
        <v>265</v>
      </c>
    </row>
    <row r="35" spans="2:16" ht="16" customHeight="1">
      <c r="C35" s="313">
        <f>SUM(C23:C34)</f>
        <v>123919.74000000002</v>
      </c>
      <c r="D35" s="313">
        <f>AVERAGE(D23:D34)</f>
        <v>419.61319522144527</v>
      </c>
      <c r="E35" s="313">
        <f>SUM(E23:E34)</f>
        <v>114175.87000000001</v>
      </c>
      <c r="F35" s="313">
        <f>AVERAGE(F23:F34)</f>
        <v>373.45784544159545</v>
      </c>
      <c r="G35" s="313">
        <f>SUM(G23:G34)</f>
        <v>117799.1</v>
      </c>
      <c r="H35" s="313">
        <f>AVERAGE(H23:H34)</f>
        <v>385.79249999999996</v>
      </c>
      <c r="I35" s="313">
        <f>SUM(I23:I34)</f>
        <v>107930.5</v>
      </c>
      <c r="J35" s="313">
        <f>AVERAGE(J23:J34)</f>
        <v>365</v>
      </c>
      <c r="K35" s="313">
        <f>SUM(K23:K34)</f>
        <v>90086</v>
      </c>
      <c r="L35" s="313">
        <f>SUM(L23:L34)/9</f>
        <v>349.22222222222223</v>
      </c>
      <c r="M35" s="313">
        <f>SUM(M23:M34)</f>
        <v>81610</v>
      </c>
      <c r="N35" s="313">
        <f>SUM(N23:N34)/9</f>
        <v>353.22222222222223</v>
      </c>
      <c r="O35" s="313">
        <f>SUM(O23:O34)</f>
        <v>124949</v>
      </c>
      <c r="P35" s="313">
        <f>AVERAGE(P23:P34)</f>
        <v>397.58333333333331</v>
      </c>
    </row>
    <row r="36" spans="2:16" ht="16" customHeight="1"/>
    <row r="37" spans="2:16" ht="16" customHeight="1"/>
    <row r="38" spans="2:16" ht="16" customHeight="1"/>
    <row r="39" spans="2:16" ht="16" customHeight="1"/>
    <row r="40" spans="2:16" ht="16" customHeight="1"/>
    <row r="41" spans="2:16" ht="16" customHeight="1"/>
    <row r="42" spans="2:16" ht="16" customHeight="1"/>
    <row r="43" spans="2:16" ht="16" customHeight="1"/>
    <row r="44" spans="2:16" ht="16" customHeight="1"/>
    <row r="45" spans="2:16" ht="16" customHeight="1"/>
    <row r="46" spans="2:16" ht="16" customHeight="1"/>
    <row r="47" spans="2:16" ht="16" customHeight="1"/>
    <row r="48" spans="2:16"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sheetData>
  <mergeCells count="1">
    <mergeCell ref="B21:P21"/>
  </mergeCells>
  <pageMargins left="0.7" right="0.7" top="0.75" bottom="0.75" header="0.3" footer="0.3"/>
  <pageSetup paperSize="9" orientation="landscape" horizontalDpi="0" verticalDpi="0"/>
  <ignoredErrors>
    <ignoredError sqref="H19:I19 F19 M19 N35 J35 H35 F35 L35" formula="1"/>
    <ignoredError sqref="G18 M35 K35" formulaRange="1"/>
    <ignoredError sqref="I18 G35 I35 G19" formula="1" formulaRange="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4559-AC5E-7040-9F27-38288FBDD935}">
  <sheetPr>
    <tabColor rgb="FFFFC000"/>
  </sheetPr>
  <dimension ref="B1:AN100"/>
  <sheetViews>
    <sheetView topLeftCell="A42" zoomScale="125" zoomScaleNormal="150" workbookViewId="0">
      <selection activeCell="AC69" sqref="AC69:AG69"/>
    </sheetView>
  </sheetViews>
  <sheetFormatPr baseColWidth="10" defaultColWidth="10.83203125" defaultRowHeight="15"/>
  <cols>
    <col min="1" max="1" width="1.6640625" style="272" customWidth="1"/>
    <col min="2" max="2" width="12.5" style="272" customWidth="1"/>
    <col min="3" max="3" width="17.5" style="272" customWidth="1"/>
    <col min="4" max="4" width="13.33203125" style="272" customWidth="1"/>
    <col min="5" max="5" width="6.1640625" style="272" customWidth="1"/>
    <col min="6" max="6" width="13.33203125" style="272" customWidth="1"/>
    <col min="7" max="7" width="6.1640625" style="272" customWidth="1"/>
    <col min="8" max="8" width="13.33203125" style="272" customWidth="1"/>
    <col min="9" max="9" width="6.1640625" style="272" customWidth="1"/>
    <col min="10" max="10" width="13.33203125" style="272" customWidth="1"/>
    <col min="11" max="11" width="6.1640625" style="272" customWidth="1"/>
    <col min="12" max="12" width="13.33203125" style="272" customWidth="1"/>
    <col min="13" max="13" width="6.1640625" style="272" customWidth="1"/>
    <col min="14" max="14" width="13.33203125" style="272" customWidth="1"/>
    <col min="15" max="15" width="6.1640625" style="272" customWidth="1"/>
    <col min="16" max="16" width="13.33203125" style="272" customWidth="1"/>
    <col min="17" max="17" width="6.1640625" style="272" customWidth="1"/>
    <col min="18" max="18" width="13.33203125" style="284" customWidth="1"/>
    <col min="19" max="19" width="6.1640625" style="284" customWidth="1"/>
    <col min="20" max="20" width="13.33203125" style="284" customWidth="1"/>
    <col min="21" max="21" width="6.1640625" style="284" customWidth="1"/>
    <col min="22" max="22" width="13.33203125" style="284" customWidth="1"/>
    <col min="23" max="23" width="6.1640625" style="284" customWidth="1"/>
    <col min="24" max="24" width="13.33203125" style="284" customWidth="1"/>
    <col min="25" max="25" width="6.1640625" style="284" customWidth="1"/>
    <col min="26" max="26" width="13.33203125" style="284" customWidth="1"/>
    <col min="27" max="27" width="6.1640625" style="284" customWidth="1"/>
    <col min="28" max="28" width="13.5" style="284" customWidth="1"/>
    <col min="29" max="29" width="8" style="284" bestFit="1" customWidth="1"/>
    <col min="30" max="40" width="12.5" style="284" customWidth="1"/>
    <col min="41" max="16384" width="10.83203125" style="272"/>
  </cols>
  <sheetData>
    <row r="1" spans="2:40" ht="5" customHeight="1"/>
    <row r="2" spans="2:40" s="786" customFormat="1" ht="20" customHeight="1">
      <c r="D2" s="789">
        <v>45658</v>
      </c>
      <c r="E2" s="789"/>
      <c r="F2" s="789">
        <v>45689</v>
      </c>
      <c r="G2" s="789"/>
      <c r="H2" s="789">
        <v>45717</v>
      </c>
      <c r="I2" s="789"/>
      <c r="J2" s="789">
        <v>45748</v>
      </c>
      <c r="K2" s="789"/>
      <c r="L2" s="789">
        <v>45778</v>
      </c>
      <c r="M2" s="789"/>
      <c r="N2" s="789">
        <v>45809</v>
      </c>
      <c r="O2" s="789"/>
      <c r="P2" s="789">
        <v>45839</v>
      </c>
      <c r="Q2" s="789"/>
      <c r="R2" s="789">
        <v>45870</v>
      </c>
      <c r="S2" s="789"/>
      <c r="T2" s="789">
        <v>45901</v>
      </c>
      <c r="U2" s="789"/>
      <c r="V2" s="789">
        <v>45931</v>
      </c>
      <c r="W2" s="789"/>
      <c r="X2" s="789">
        <v>45962</v>
      </c>
      <c r="Y2" s="789"/>
      <c r="Z2" s="789">
        <v>45992</v>
      </c>
      <c r="AA2" s="789"/>
      <c r="AB2" s="788" t="s">
        <v>130</v>
      </c>
      <c r="AC2" s="787"/>
      <c r="AD2" s="787"/>
      <c r="AE2" s="787"/>
      <c r="AF2" s="787"/>
      <c r="AG2" s="787"/>
      <c r="AH2" s="787"/>
      <c r="AI2" s="787"/>
      <c r="AJ2" s="787"/>
      <c r="AK2" s="787"/>
      <c r="AL2" s="787"/>
      <c r="AM2" s="787"/>
      <c r="AN2" s="787"/>
    </row>
    <row r="3" spans="2:40" s="234" customFormat="1" ht="20" customHeight="1">
      <c r="B3" s="909" t="s">
        <v>129</v>
      </c>
      <c r="C3" s="909"/>
      <c r="D3" s="289" t="e">
        <f>D5+D6-D17</f>
        <v>#N/A</v>
      </c>
      <c r="E3" s="819" t="e">
        <f>D3/$AB$3</f>
        <v>#N/A</v>
      </c>
      <c r="F3" s="289" t="e">
        <f t="shared" ref="F3:Z3" si="0">F5+F6-F17</f>
        <v>#N/A</v>
      </c>
      <c r="G3" s="819" t="e">
        <f>F3/$AB$3</f>
        <v>#N/A</v>
      </c>
      <c r="H3" s="289" t="e">
        <f>H5+H6-H17</f>
        <v>#N/A</v>
      </c>
      <c r="I3" s="819" t="e">
        <f>H3/$AB$3</f>
        <v>#N/A</v>
      </c>
      <c r="J3" s="289" t="e">
        <f t="shared" si="0"/>
        <v>#N/A</v>
      </c>
      <c r="K3" s="819" t="e">
        <f>J3/$AB$3</f>
        <v>#N/A</v>
      </c>
      <c r="L3" s="289" t="e">
        <f t="shared" si="0"/>
        <v>#N/A</v>
      </c>
      <c r="M3" s="819" t="e">
        <f>L3/$AB$3</f>
        <v>#N/A</v>
      </c>
      <c r="N3" s="289" t="e">
        <f t="shared" si="0"/>
        <v>#N/A</v>
      </c>
      <c r="O3" s="819" t="e">
        <f>N3/$AB$3</f>
        <v>#N/A</v>
      </c>
      <c r="P3" s="289" t="e">
        <f t="shared" si="0"/>
        <v>#N/A</v>
      </c>
      <c r="Q3" s="819" t="e">
        <f>P3/$AB$3</f>
        <v>#N/A</v>
      </c>
      <c r="R3" s="289" t="e">
        <f t="shared" si="0"/>
        <v>#N/A</v>
      </c>
      <c r="S3" s="819" t="e">
        <f>R3/$AB$3</f>
        <v>#N/A</v>
      </c>
      <c r="T3" s="289" t="e">
        <f>T5+T6-T17</f>
        <v>#N/A</v>
      </c>
      <c r="U3" s="819" t="e">
        <f>T3/$AB$3</f>
        <v>#N/A</v>
      </c>
      <c r="V3" s="289" t="e">
        <f t="shared" si="0"/>
        <v>#N/A</v>
      </c>
      <c r="W3" s="819" t="e">
        <f>V3/$AB$3</f>
        <v>#N/A</v>
      </c>
      <c r="X3" s="289" t="e">
        <f t="shared" si="0"/>
        <v>#N/A</v>
      </c>
      <c r="Y3" s="819" t="e">
        <f>X3/$AB$3</f>
        <v>#N/A</v>
      </c>
      <c r="Z3" s="289" t="e">
        <f t="shared" si="0"/>
        <v>#N/A</v>
      </c>
      <c r="AA3" s="819" t="e">
        <f>Z3/$AB$3</f>
        <v>#N/A</v>
      </c>
      <c r="AB3" s="738" t="e">
        <f t="shared" ref="AB3:AB8" si="1">Z3+X3+V3+T3+R3+P3+N3+L3+J3+H3+F3+D3</f>
        <v>#N/A</v>
      </c>
      <c r="AC3" s="284"/>
      <c r="AD3" s="284"/>
      <c r="AE3" s="284"/>
      <c r="AF3" s="284"/>
      <c r="AG3" s="284"/>
      <c r="AH3" s="284"/>
      <c r="AI3" s="284"/>
      <c r="AJ3" s="284"/>
      <c r="AK3" s="284"/>
      <c r="AL3" s="284"/>
      <c r="AM3" s="284"/>
      <c r="AN3" s="284"/>
    </row>
    <row r="4" spans="2:40" s="234" customFormat="1" ht="20" customHeight="1">
      <c r="B4" s="912" t="s">
        <v>131</v>
      </c>
      <c r="C4" s="912"/>
      <c r="D4" s="290">
        <v>60000</v>
      </c>
      <c r="E4" s="290"/>
      <c r="F4" s="290">
        <v>60000</v>
      </c>
      <c r="G4" s="290"/>
      <c r="H4" s="290">
        <v>75000</v>
      </c>
      <c r="I4" s="290"/>
      <c r="J4" s="290">
        <v>90000</v>
      </c>
      <c r="K4" s="290"/>
      <c r="L4" s="290">
        <v>65000</v>
      </c>
      <c r="M4" s="290"/>
      <c r="N4" s="290">
        <v>75000</v>
      </c>
      <c r="O4" s="290"/>
      <c r="P4" s="290">
        <v>70000</v>
      </c>
      <c r="Q4" s="290"/>
      <c r="R4" s="290">
        <v>75000</v>
      </c>
      <c r="S4" s="290"/>
      <c r="T4" s="290">
        <v>80000</v>
      </c>
      <c r="U4" s="290"/>
      <c r="V4" s="290">
        <v>80000</v>
      </c>
      <c r="W4" s="290"/>
      <c r="X4" s="290">
        <v>60000</v>
      </c>
      <c r="Y4" s="290"/>
      <c r="Z4" s="290">
        <v>80000</v>
      </c>
      <c r="AA4" s="290"/>
      <c r="AB4" s="737">
        <f t="shared" si="1"/>
        <v>870000</v>
      </c>
      <c r="AC4" s="284"/>
      <c r="AD4" s="284"/>
      <c r="AE4" s="284"/>
      <c r="AF4" s="284"/>
      <c r="AG4" s="284"/>
      <c r="AH4" s="284"/>
      <c r="AI4" s="284"/>
      <c r="AJ4" s="284"/>
      <c r="AK4" s="284"/>
      <c r="AL4" s="284"/>
      <c r="AM4" s="284"/>
      <c r="AN4" s="284"/>
    </row>
    <row r="5" spans="2:40" s="234" customFormat="1" ht="20" customHeight="1">
      <c r="B5" s="910" t="s">
        <v>132</v>
      </c>
      <c r="C5" s="910"/>
      <c r="D5" s="292">
        <f>SUMIFS(CASSA!$E:$E,CASSA!$B:$B,"&gt;=01/01/2025",CASSA!$B:$B,"&lt;=31/01/2025",CASSA!$G:$G,"Corrispettivi")+SUMIFS(CASSA!$E:$E,CASSA!$B:$B,"&gt;=01/01/2025",CASSA!$B:$B,"&lt;=31/01/2025",CASSA!$G:$G,"Ricavi EVENTI")+
SUMIFS(CASSA!$E:$E,CASSA!$B:$B,"&gt;=01/01/2025",CASSA!$B:$B,"&lt;=31/01/2025",CASSA!$G:$G,"Proventi vari")+SUMIFS(BANCA!$E:$E,BANCA!$B:$B,"&gt;=01/01/2025",BANCA!$B:$B,"&lt;=31/01/2025",BANCA!$G:$G,"Corrispettivi")+
SUMIFS(BANCA!$E:$E,BANCA!$B:$B,"&gt;=01/01/2025",BANCA!$B:$B,"&lt;=31/01/2025",BANCA!$G:$G,"Ricavi EVENTI")+
SUMIFS(BANCA!$E:$E,BANCA!$B:$B,"&gt;=01/01/2025",BANCA!$B:$B,"&lt;=31/01/2025",BANCA!$G:$G,"Proventi vari")</f>
        <v>64790.959999999992</v>
      </c>
      <c r="E5" s="820">
        <f>D5/$AB$5</f>
        <v>8.826123609235223E-2</v>
      </c>
      <c r="F5" s="292">
        <f>SUMIFS(CASSA!$E:$E,CASSA!$B:$B,"&gt;=01/02/2025",CASSA!$B:$B,"&lt;=28/02/2025",CASSA!$G:$G,"Corrispettivi")+SUMIFS(CASSA!$E:$E,CASSA!$B:$B,"&gt;=01/02/2025",CASSA!$B:$B,"&lt;=28/02/2025",CASSA!$G:$G,"Ricavi EVENTI")+
SUMIFS(CASSA!$E:$E,CASSA!$B:$B,"&gt;=01/02/2025",CASSA!$B:$B,"&lt;=28/02/2025",CASSA!$G:$G,"Proventi vari")+ SUMIFS(BANCA!$E:$E,BANCA!$B:$B,"&gt;=01/02/2025",BANCA!$B:$B,"&lt;=28/02/2025",BANCA!$G:$G,"Corrispettivi")+
SUMIFS(BANCA!$E:$E,BANCA!$B:$B,"&gt;=01/02/2025",BANCA!$B:$B,"&lt;=28/02/2025",BANCA!$G:$G,"Ricavi EVENTI")+
SUMIFS(BANCA!$E:$E,BANCA!$B:$B,"&gt;=01/02/2025",BANCA!$B:$B,"&lt;=28/02/2025",BANCA!$G:$G,"Proventi vari")</f>
        <v>46592.57</v>
      </c>
      <c r="G5" s="820">
        <f>F5/$AB$5</f>
        <v>6.3470549300696399E-2</v>
      </c>
      <c r="H5" s="292">
        <f>SUMIFS(CASSA!$E:$E,CASSA!$B:$B,"&gt;=01/03/2025",CASSA!$B:$B,"&lt;=31/03/2025",CASSA!$G:$G,"Corrispettivi")+SUMIFS(CASSA!$E:$E,CASSA!$B:$B,"&gt;=01/03/2025",CASSA!$B:$B,"&lt;=31/03/2025",CASSA!$G:$G,"Ricavi EVENTI")+
SUMIFS(CASSA!$E:$E,CASSA!$B:$B,"&gt;=01/03/2025",CASSA!$B:$B,"&lt;=31/03/2025",CASSA!$G:$G,"Proventi vari")+SUMIFS(BANCA!$E:$E,BANCA!$B:$B,"&gt;=01/03/2025",BANCA!$B:$B,"&lt;=31/03/2025",BANCA!$G:$G,"Corrispettivi")+
SUMIFS(BANCA!$E:$E,BANCA!$B:$B,"&gt;=01/03/2025",BANCA!$B:$B,"&lt;=31/03/2025",BANCA!$G:$G,"Ricavi EVENTI")+
SUMIFS(BANCA!$E:$E,BANCA!$B:$B,"&gt;=01/03/2025",BANCA!$B:$B,"&lt;=31/03/2025",BANCA!$G:$G,"Proventi vari")</f>
        <v>49190.07</v>
      </c>
      <c r="I5" s="820">
        <f>H5/$AB$5</f>
        <v>6.7008983686448434E-2</v>
      </c>
      <c r="J5" s="292">
        <f>SUMIFS(CASSA!$E:$E,CASSA!$B:$B,"&gt;=01/04/2025",CASSA!$B:$B,"&lt;=30/04/2025",CASSA!$G:$G,"Corrispettivi")+SUMIFS(CASSA!$E:$E,CASSA!$B:$B,"&gt;=01/04/2025",CASSA!$B:$B,"&lt;=30/04/2025",CASSA!$G:$G,"Ricavi EVENTI")+
SUMIFS(CASSA!$E:$E,CASSA!$B:$B,"&gt;=01/04/2025",CASSA!$B:$B,"&lt;=30/04/2025",CASSA!$G:$G,"Proventi vari")+SUMIFS(BANCA!$E:$E,BANCA!$B:$B,"&gt;=01/04/2025",BANCA!$B:$B,"&lt;=30/04/2025",BANCA!$G:$G,"Corrispettivi")+
SUMIFS(BANCA!$E:$E,BANCA!$B:$B,"&gt;=01/04/2025",BANCA!$B:$B,"&lt;=30/04/2025",BANCA!$G:$G,"Ricavi EVENTI")+
SUMIFS(BANCA!$E:$E,BANCA!$B:$B,"&gt;=01/04/2025",BANCA!$B:$B,"&lt;=30/04/2025",BANCA!$G:$G,"Proventi vari")</f>
        <v>57246.560000000005</v>
      </c>
      <c r="K5" s="820">
        <f>J5/$AB$5</f>
        <v>7.7983906205973924E-2</v>
      </c>
      <c r="L5" s="292">
        <f>SUMIFS(CASSA!$E:$E,CASSA!$B:$B,"&gt;=01/05/2025",CASSA!$B:$B,"&lt;=31/05/2025",CASSA!$G:$G,"Corrispettivi")+SUMIFS(CASSA!$E:$E,CASSA!$B:$B,"&gt;=01/05/2025",CASSA!$B:$B,"&lt;=31/05/2025",CASSA!$G:$G,"Ricavi EVENTI")+
SUMIFS(CASSA!$E:$E,CASSA!$B:$B,"&gt;=01/05/2025",CASSA!$B:$B,"&lt;=31/05/2025",CASSA!$G:$G,"Proventi vari")+SUMIFS(BANCA!$E:$E,BANCA!$B:$B,"&gt;=01/05/2025",BANCA!$B:$B,"&lt;=31/05/2025",BANCA!$G:$G,"Corrispettivi")+
SUMIFS(BANCA!$E:$E,BANCA!$B:$B,"&gt;=01/05/2025",BANCA!$B:$B,"&lt;=31/05/2025",BANCA!$G:$G,"Ricavi EVENTI")+
SUMIFS(BANCA!$E:$E,BANCA!$B:$B,"&gt;=01/05/2025",BANCA!$B:$B,"&lt;=31/05/2025",BANCA!$G:$G,"Proventi vari")</f>
        <v>36801.700000000012</v>
      </c>
      <c r="M5" s="820">
        <f>L5/$AB$5</f>
        <v>5.0132974296104277E-2</v>
      </c>
      <c r="N5" s="292">
        <f>SUMIFS(CASSA!$E:$E,CASSA!$B:$B,"&gt;=01/06/2025",CASSA!$B:$B,"&lt;=30/06/2025",CASSA!$G:$G,"Corrispettivi")+SUMIFS(CASSA!$E:$E,CASSA!$B:$B,"&gt;=01/06/2025",CASSA!$B:$B,"&lt;=30/06/2025",CASSA!$G:$G,"Ricavi EVENTI")+
SUMIFS(CASSA!$E:$E,CASSA!$B:$B,"&gt;=01/06/2025",CASSA!$B:$B,"&lt;=30/06/2025",CASSA!$G:$G,"Proventi vari")+SUMIFS(BANCA!$E:$E,BANCA!$B:$B,"&gt;=01/06/2025",BANCA!$B:$B,"&lt;=30/06/2025",BANCA!$G:$G,"Corrispettivi")+
SUMIFS(BANCA!$E:$E,BANCA!$B:$B,"&gt;=01/06/2025",BANCA!$B:$B,"&lt;=30/06/2025",BANCA!$G:$G,"Ricavi EVENTI")+
SUMIFS(BANCA!$E:$E,BANCA!$B:$B,"&gt;=01/06/2025",BANCA!$B:$B,"&lt;=30/06/2025",BANCA!$G:$G,"Proventi vari")</f>
        <v>73885.72</v>
      </c>
      <c r="O5" s="820">
        <f>N5/$AB$5</f>
        <v>0.10065053792648591</v>
      </c>
      <c r="P5" s="292">
        <f>SUMIFS(CASSA!$E:$E,CASSA!$B:$B,"&gt;=01/07/2025",CASSA!$B:$B,"&lt;=31/07/2025",CASSA!$G:$G,"Corrispettivi")+SUMIFS(CASSA!$E:$E,CASSA!$B:$B,"&gt;=01/07/2025",CASSA!$B:$B,"&lt;=31/07/2025",CASSA!$G:$G,"Ricavi EVENTI")+
SUMIFS(CASSA!$E:$E,CASSA!$B:$B,"&gt;=01/07/2025",CASSA!$B:$B,"&lt;=31/07/2025",CASSA!$G:$G,"Proventi vari")+SUMIFS(BANCA!$E:$E,BANCA!$B:$B,"&gt;=01/07/2025",BANCA!$B:$B,"&lt;=31/07/2025",BANCA!$G:$G,"Corrispettivi")+
SUMIFS(BANCA!$E:$E,BANCA!$B:$B,"&gt;=01/07/2025",BANCA!$B:$B,"&lt;=31/07/2025",BANCA!$G:$G,"Ricavi EVENTI")+
SUMIFS(BANCA!$E:$E,BANCA!$B:$B,"&gt;=01/07/2025",BANCA!$B:$B,"&lt;=31/07/2025",BANCA!$G:$G,"Proventi vari")</f>
        <v>75739.53</v>
      </c>
      <c r="Q5" s="820">
        <f>P5/$AB$5</f>
        <v>0.10317588346975867</v>
      </c>
      <c r="R5" s="292">
        <f>SUMIFS(CASSA!$E:$E,CASSA!$B:$B,"&gt;=01/08/2025",CASSA!$B:$B,"&lt;=31/08/2025",CASSA!$G:$G,"Corrispettivi")+SUMIFS(CASSA!$E:$E,CASSA!$B:$B,"&gt;=01/08/2025",CASSA!$B:$B,"&lt;=31/08/2025",CASSA!$G:$G,"Ricavi EVENTI")+
SUMIFS(CASSA!$E:$E,CASSA!$B:$B,"&gt;=01/08/2025",CASSA!$B:$B,"&lt;=31/08/2025",CASSA!$G:$G,"Proventi vari")+SUMIFS(BANCA!$E:$E,BANCA!$B:$B,"&gt;=01/08/2025",BANCA!$B:$B,"&lt;=31/08/2025",BANCA!$G:$G,"Corrispettivi")+
SUMIFS(BANCA!$E:$E,BANCA!$B:$B,"&gt;=01/08/2025",BANCA!$B:$B,"&lt;=31/08/2025",BANCA!$G:$G,"Ricavi EVENTI")+
SUMIFS(BANCA!$E:$E,BANCA!$B:$B,"&gt;=01/08/2025",BANCA!$B:$B,"&lt;=31/08/2025",BANCA!$G:$G,"Proventi vari")</f>
        <v>89177.180000000022</v>
      </c>
      <c r="S5" s="820">
        <f>R5/$AB$5</f>
        <v>0.12148127050486973</v>
      </c>
      <c r="T5" s="292">
        <f>SUMIFS(CASSA!$E:$E,CASSA!$B:$B,"&gt;=01/09/2025",CASSA!$B:$B,"&lt;=30/09/2025",CASSA!$G:$G,"Corrispettivi")+SUMIFS(CASSA!$E:$E,CASSA!$B:$B,"&gt;=01/09/2025",CASSA!$B:$B,"&lt;=30/09/2025",CASSA!$G:$G,"Ricavi EVENTI")+
SUMIFS(CASSA!$E:$E,CASSA!$B:$B,"&gt;=01/09/2025",CASSA!$B:$B,"&lt;=30/09/2025",CASSA!$G:$G,"Proventi vari")+SUMIFS(BANCA!$E:$E,BANCA!$B:$B,"&gt;=01/09/2025",BANCA!$B:$B,"&lt;=30/09/2025",BANCA!$G:$G,"Corrispettivi")+
SUMIFS(BANCA!$E:$E,BANCA!$B:$B,"&gt;=01/09/2025",BANCA!$B:$B,"&lt;=30/09/2025",BANCA!$G:$G,"Ricavi EVENTI")+
SUMIFS(BANCA!$E:$E,BANCA!$B:$B,"&gt;=01/09/2025",BANCA!$B:$B,"&lt;=30/09/2025",BANCA!$G:$G,"Proventi vari")</f>
        <v>83108.22</v>
      </c>
      <c r="U5" s="820">
        <f>T5/$AB$5</f>
        <v>0.11321385308436779</v>
      </c>
      <c r="V5" s="292">
        <f>SUMIFS(CASSA!$E:$E,CASSA!$B:$B,"&gt;=01/10/2025",CASSA!$B:$B,"&lt;=31/10/2025",CASSA!$G:$G,"Corrispettivi")+SUMIFS(CASSA!$E:$E,CASSA!$B:$B,"&gt;=01/10/2025",CASSA!$B:$B,"&lt;=31/10/2025",CASSA!$G:$G,"Ricavi EVENTI")+
SUMIFS(CASSA!$E:$E,CASSA!$B:$B,"&gt;=01/10/2025",CASSA!$B:$B,"&lt;=31/10/2025",CASSA!$G:$G,"Proventi vari")+SUMIFS(BANCA!$E:$E,BANCA!$B:$B,"&gt;=01/10/2025",BANCA!$B:$B,"&lt;=31/10/2025",BANCA!$G:$G,"Corrispettivi")+
SUMIFS(BANCA!$E:$E,BANCA!$B:$B,"&gt;=01/10/2025",BANCA!$B:$B,"&lt;=31/10/2025",BANCA!$G:$G,"Ricavi EVENTI")+
SUMIFS(BANCA!$E:$E,BANCA!$B:$B,"&gt;=01/10/2025",BANCA!$B:$B,"&lt;=31/10/2025",BANCA!$G:$G,"Proventi vari")</f>
        <v>64821.710000000006</v>
      </c>
      <c r="W5" s="820">
        <f>V5/$AB$5</f>
        <v>8.8303125161596482E-2</v>
      </c>
      <c r="X5" s="292">
        <f>SUMIFS(CASSA!$E:$E,CASSA!$B:$B,"&gt;=01/11/2025",CASSA!$B:$B,"&lt;=30/11/2025",CASSA!$G:$G,"Corrispettivi")+SUMIFS(CASSA!$E:$E,CASSA!$B:$B,"&gt;=01/11/2025",CASSA!$B:$B,"&lt;=30/11/2025",CASSA!$G:$G,"Ricavi EVENTI")+
SUMIFS(CASSA!$E:$E,CASSA!$B:$B,"&gt;=01/11/2025",CASSA!$B:$B,"&lt;=30/11/2025",CASSA!$G:$G,"Proventi vari")+SUMIFS(BANCA!$E:$E,BANCA!$B:$B,"&gt;=01/11/2025",BANCA!$B:$B,"&lt;=30/11/2025",BANCA!$G:$G,"Corrispettivi")+
SUMIFS(BANCA!$E:$E,BANCA!$B:$B,"&gt;=01/11/2025",BANCA!$B:$B,"&lt;=30/11/2025",BANCA!$G:$G,"Ricavi EVENTI")+
SUMIFS(BANCA!$E:$E,BANCA!$B:$B,"&gt;=01/11/2025",BANCA!$B:$B,"&lt;=30/11/2025",BANCA!$G:$G,"Proventi vari")</f>
        <v>56754.749999999993</v>
      </c>
      <c r="Y5" s="820">
        <f>X5/$AB$5</f>
        <v>7.7313939924835623E-2</v>
      </c>
      <c r="Z5" s="292">
        <f>SUMIFS(CASSA!$E:$E,CASSA!$B:$B,"&gt;=01/12/2025",CASSA!$B:$B,"&lt;=31/12/2025",CASSA!$G:$G,"Corrispettivi")+SUMIFS(CASSA!$E:$E,CASSA!$B:$B,"&gt;=01/12/2025",CASSA!$B:$B,"&lt;=31/12/2025",CASSA!$G:$G,"Ricavi EVENTI")+
SUMIFS(CASSA!$E:$E,CASSA!$B:$B,"&gt;=01/12/2025",CASSA!$B:$B,"&lt;=31/12/2025",CASSA!$G:$G,"Proventi vari")+SUMIFS(BANCA!$E:$E,BANCA!$B:$B,"&gt;=01/12/2025",BANCA!$B:$B,"&lt;=31/12/2025",BANCA!$G:$G,"Corrispettivi")+
SUMIFS(BANCA!$E:$E,BANCA!$B:$B,"&gt;=01/12/2025",BANCA!$B:$B,"&lt;=31/12/2025",BANCA!$G:$G,"Ricavi EVENTI")+
SUMIFS(BANCA!$E:$E,BANCA!$B:$B,"&gt;=01/12/2025",BANCA!$B:$B,"&lt;=31/12/2025",BANCA!$G:$G,"Proventi vari")</f>
        <v>35972.749999999993</v>
      </c>
      <c r="AA5" s="820">
        <f>Z5/$AB$5</f>
        <v>4.9003740346510741E-2</v>
      </c>
      <c r="AB5" s="739">
        <f t="shared" si="1"/>
        <v>734081.71999999986</v>
      </c>
      <c r="AC5" s="284"/>
      <c r="AD5" s="284"/>
      <c r="AE5" s="284"/>
      <c r="AF5" s="284"/>
      <c r="AG5" s="284"/>
      <c r="AH5" s="284"/>
      <c r="AI5" s="284"/>
      <c r="AJ5" s="284"/>
      <c r="AK5" s="284"/>
      <c r="AL5" s="284"/>
      <c r="AM5" s="284"/>
      <c r="AN5" s="284"/>
    </row>
    <row r="6" spans="2:40" s="232" customFormat="1" ht="20" customHeight="1">
      <c r="B6" s="911" t="s">
        <v>133</v>
      </c>
      <c r="C6" s="911"/>
      <c r="D6" s="293">
        <f>-SUM(D12:D16)</f>
        <v>-43358.54</v>
      </c>
      <c r="E6" s="821">
        <f>D6/$AB$6</f>
        <v>5.9281281048180839E-2</v>
      </c>
      <c r="F6" s="293">
        <f t="shared" ref="F6:Z6" si="2">-SUM(F12:F16)</f>
        <v>-44435.149999999994</v>
      </c>
      <c r="G6" s="821">
        <f>F6/$AB$6</f>
        <v>6.0753259117305898E-2</v>
      </c>
      <c r="H6" s="293">
        <f t="shared" si="2"/>
        <v>-68202.78</v>
      </c>
      <c r="I6" s="821">
        <f>H6/$AB$6</f>
        <v>9.3249176965996716E-2</v>
      </c>
      <c r="J6" s="293">
        <f t="shared" si="2"/>
        <v>-69003.199999999997</v>
      </c>
      <c r="K6" s="821">
        <f>J6/$AB$6</f>
        <v>9.4343538606785002E-2</v>
      </c>
      <c r="L6" s="293">
        <f t="shared" si="2"/>
        <v>-61315.09</v>
      </c>
      <c r="M6" s="821">
        <f>L6/$AB$6</f>
        <v>8.3832091273933623E-2</v>
      </c>
      <c r="N6" s="293">
        <f t="shared" si="2"/>
        <v>-70034.13</v>
      </c>
      <c r="O6" s="821">
        <f>N6/$AB$6</f>
        <v>9.5753061415232918E-2</v>
      </c>
      <c r="P6" s="293">
        <f t="shared" si="2"/>
        <v>-78963.789999999994</v>
      </c>
      <c r="Q6" s="821">
        <f>P6/$AB$6</f>
        <v>0.10796199843489959</v>
      </c>
      <c r="R6" s="293">
        <f t="shared" si="2"/>
        <v>-70800.7</v>
      </c>
      <c r="S6" s="821">
        <f>R6/$AB$6</f>
        <v>9.6801142176557067E-2</v>
      </c>
      <c r="T6" s="293">
        <f t="shared" si="2"/>
        <v>-70436.909999999989</v>
      </c>
      <c r="U6" s="821">
        <f>T6/$AB$6</f>
        <v>9.630375602765727E-2</v>
      </c>
      <c r="V6" s="293">
        <f t="shared" si="2"/>
        <v>-67969.7</v>
      </c>
      <c r="W6" s="821">
        <f>V6/$AB$6</f>
        <v>9.293050200630687E-2</v>
      </c>
      <c r="X6" s="293">
        <f t="shared" si="2"/>
        <v>-64041.13</v>
      </c>
      <c r="Y6" s="821">
        <f>X6/$AB$6</f>
        <v>8.755922653698868E-2</v>
      </c>
      <c r="Z6" s="293">
        <f t="shared" si="2"/>
        <v>-22842.44</v>
      </c>
      <c r="AA6" s="821">
        <f>Z6/$AB$6</f>
        <v>3.1230966390155383E-2</v>
      </c>
      <c r="AB6" s="740">
        <f t="shared" si="1"/>
        <v>-731403.56</v>
      </c>
      <c r="AC6" s="284"/>
      <c r="AD6" s="284"/>
      <c r="AE6" s="284"/>
      <c r="AF6" s="284"/>
      <c r="AG6" s="284"/>
      <c r="AH6" s="284"/>
      <c r="AI6" s="284"/>
      <c r="AJ6" s="284"/>
      <c r="AK6" s="284"/>
      <c r="AL6" s="284"/>
      <c r="AM6" s="284"/>
      <c r="AN6" s="284"/>
    </row>
    <row r="7" spans="2:40" s="232" customFormat="1" ht="20" customHeight="1">
      <c r="B7" s="913" t="s">
        <v>1943</v>
      </c>
      <c r="C7" s="913"/>
      <c r="D7" s="294" t="e">
        <f>D5+D6-D17</f>
        <v>#N/A</v>
      </c>
      <c r="E7" s="822" t="e">
        <f>D7/$AB$7</f>
        <v>#N/A</v>
      </c>
      <c r="F7" s="294" t="e">
        <f t="shared" ref="F7:Z7" si="3">F5+F6-F17</f>
        <v>#N/A</v>
      </c>
      <c r="G7" s="822" t="e">
        <f>F7/$AB$7</f>
        <v>#N/A</v>
      </c>
      <c r="H7" s="294" t="e">
        <f t="shared" si="3"/>
        <v>#N/A</v>
      </c>
      <c r="I7" s="822" t="e">
        <f>H7/$AB$7</f>
        <v>#N/A</v>
      </c>
      <c r="J7" s="294" t="e">
        <f t="shared" si="3"/>
        <v>#N/A</v>
      </c>
      <c r="K7" s="822" t="e">
        <f>J7/$AB$7</f>
        <v>#N/A</v>
      </c>
      <c r="L7" s="294" t="e">
        <f t="shared" si="3"/>
        <v>#N/A</v>
      </c>
      <c r="M7" s="822" t="e">
        <f>L7/$AB$7</f>
        <v>#N/A</v>
      </c>
      <c r="N7" s="294" t="e">
        <f t="shared" si="3"/>
        <v>#N/A</v>
      </c>
      <c r="O7" s="822" t="e">
        <f>N7/$AB$7</f>
        <v>#N/A</v>
      </c>
      <c r="P7" s="294" t="e">
        <f>P5+P6-P17</f>
        <v>#N/A</v>
      </c>
      <c r="Q7" s="822" t="e">
        <f>P7/$AB$7</f>
        <v>#N/A</v>
      </c>
      <c r="R7" s="294" t="e">
        <f t="shared" si="3"/>
        <v>#N/A</v>
      </c>
      <c r="S7" s="822" t="e">
        <f>R7/$AB$7</f>
        <v>#N/A</v>
      </c>
      <c r="T7" s="294" t="e">
        <f t="shared" si="3"/>
        <v>#N/A</v>
      </c>
      <c r="U7" s="822" t="e">
        <f>T7/$AB$7</f>
        <v>#N/A</v>
      </c>
      <c r="V7" s="294" t="e">
        <f t="shared" si="3"/>
        <v>#N/A</v>
      </c>
      <c r="W7" s="822" t="e">
        <f>V7/$AB$7</f>
        <v>#N/A</v>
      </c>
      <c r="X7" s="294" t="e">
        <f t="shared" si="3"/>
        <v>#N/A</v>
      </c>
      <c r="Y7" s="822" t="e">
        <f>X7/$AB$7</f>
        <v>#N/A</v>
      </c>
      <c r="Z7" s="294" t="e">
        <f t="shared" si="3"/>
        <v>#N/A</v>
      </c>
      <c r="AA7" s="822" t="e">
        <f>Z7/$AB$7</f>
        <v>#N/A</v>
      </c>
      <c r="AB7" s="741" t="e">
        <f t="shared" si="1"/>
        <v>#N/A</v>
      </c>
      <c r="AC7" s="284"/>
      <c r="AD7" s="284"/>
      <c r="AE7" s="284"/>
      <c r="AF7" s="284"/>
      <c r="AG7" s="284"/>
      <c r="AH7" s="284"/>
      <c r="AI7" s="284"/>
      <c r="AJ7" s="284"/>
      <c r="AK7" s="284"/>
      <c r="AL7" s="284"/>
      <c r="AM7" s="284"/>
      <c r="AN7" s="284"/>
    </row>
    <row r="8" spans="2:40" s="232" customFormat="1" ht="20" customHeight="1">
      <c r="B8" s="917" t="s">
        <v>1954</v>
      </c>
      <c r="C8" s="917"/>
      <c r="D8" s="759" t="e">
        <f>D5+D6-D17-D20-D19-D18+D21</f>
        <v>#N/A</v>
      </c>
      <c r="E8" s="759"/>
      <c r="F8" s="759" t="e">
        <f t="shared" ref="F8:Z8" si="4">F5+F6-F17-F20-F19-F18+F21</f>
        <v>#N/A</v>
      </c>
      <c r="G8" s="759"/>
      <c r="H8" s="759" t="e">
        <f t="shared" si="4"/>
        <v>#N/A</v>
      </c>
      <c r="I8" s="759"/>
      <c r="J8" s="759" t="e">
        <f t="shared" si="4"/>
        <v>#N/A</v>
      </c>
      <c r="K8" s="759"/>
      <c r="L8" s="759" t="e">
        <f t="shared" si="4"/>
        <v>#N/A</v>
      </c>
      <c r="M8" s="759"/>
      <c r="N8" s="759" t="e">
        <f t="shared" si="4"/>
        <v>#N/A</v>
      </c>
      <c r="O8" s="759"/>
      <c r="P8" s="759" t="e">
        <f t="shared" si="4"/>
        <v>#N/A</v>
      </c>
      <c r="Q8" s="759"/>
      <c r="R8" s="759" t="e">
        <f t="shared" si="4"/>
        <v>#N/A</v>
      </c>
      <c r="S8" s="759"/>
      <c r="T8" s="759" t="e">
        <f t="shared" si="4"/>
        <v>#N/A</v>
      </c>
      <c r="U8" s="759"/>
      <c r="V8" s="759" t="e">
        <f t="shared" si="4"/>
        <v>#N/A</v>
      </c>
      <c r="W8" s="759"/>
      <c r="X8" s="759" t="e">
        <f t="shared" si="4"/>
        <v>#N/A</v>
      </c>
      <c r="Y8" s="759"/>
      <c r="Z8" s="759" t="e">
        <f t="shared" si="4"/>
        <v>#N/A</v>
      </c>
      <c r="AA8" s="759"/>
      <c r="AB8" s="760" t="e">
        <f t="shared" si="1"/>
        <v>#N/A</v>
      </c>
      <c r="AC8" s="284"/>
      <c r="AD8" s="284"/>
      <c r="AE8" s="284"/>
      <c r="AF8" s="284"/>
      <c r="AG8" s="284"/>
      <c r="AH8" s="284"/>
      <c r="AI8" s="284"/>
      <c r="AJ8" s="284"/>
      <c r="AK8" s="284"/>
      <c r="AL8" s="284"/>
      <c r="AM8" s="284"/>
      <c r="AN8" s="284"/>
    </row>
    <row r="9" spans="2:40" s="232" customFormat="1" ht="20" customHeight="1">
      <c r="B9" s="918" t="s">
        <v>1950</v>
      </c>
      <c r="C9" s="918"/>
      <c r="D9" s="297">
        <f>CASSA!$D$3+BANCA!$D$3</f>
        <v>117783.43000000001</v>
      </c>
      <c r="E9" s="297"/>
      <c r="F9" s="297" t="e">
        <f xml:space="preserve"> _xlfn.XLOOKUP(EOMONTH(IF(ISNUMBER(D$2), D$2, DATEVALUE("1 "&amp;D$2&amp;" 2025")), 0),#REF!,#REF!)</f>
        <v>#REF!</v>
      </c>
      <c r="G9" s="297"/>
      <c r="H9" s="297" t="e">
        <f xml:space="preserve"> _xlfn.XLOOKUP(EOMONTH(IF(ISNUMBER(F$2), F$2, DATEVALUE("1 "&amp;F$2&amp;" 2025")), 0),#REF!,#REF!)</f>
        <v>#REF!</v>
      </c>
      <c r="I9" s="297"/>
      <c r="J9" s="297" t="e">
        <f xml:space="preserve"> _xlfn.XLOOKUP(EOMONTH(IF(ISNUMBER(H$2), H$2, DATEVALUE("1 "&amp;H$2&amp;" 2025")), 0),#REF!,#REF!)</f>
        <v>#REF!</v>
      </c>
      <c r="K9" s="297"/>
      <c r="L9" s="297" t="e">
        <f xml:space="preserve"> _xlfn.XLOOKUP(EOMONTH(IF(ISNUMBER(J$2), J$2, DATEVALUE("1 "&amp;J$2&amp;" 2025")), 0),#REF!,#REF!)</f>
        <v>#REF!</v>
      </c>
      <c r="M9" s="297"/>
      <c r="N9" s="297" t="e">
        <f xml:space="preserve"> _xlfn.XLOOKUP(EOMONTH(IF(ISNUMBER(L$2), L$2, DATEVALUE("1 "&amp;L$2&amp;" 2025")), 0),#REF!,#REF!)</f>
        <v>#REF!</v>
      </c>
      <c r="O9" s="297"/>
      <c r="P9" s="297" t="e">
        <f xml:space="preserve"> _xlfn.XLOOKUP(EOMONTH(IF(ISNUMBER(N$2), N$2, DATEVALUE("1 "&amp;N$2&amp;" 2025")), 0),#REF!,#REF!)</f>
        <v>#REF!</v>
      </c>
      <c r="Q9" s="297"/>
      <c r="R9" s="297" t="e">
        <f xml:space="preserve"> _xlfn.XLOOKUP(EOMONTH(IF(ISNUMBER(P$2), P$2, DATEVALUE("1 "&amp;P$2&amp;" 2025")), 0),#REF!,#REF!)</f>
        <v>#REF!</v>
      </c>
      <c r="S9" s="297"/>
      <c r="T9" s="297" t="e">
        <f xml:space="preserve"> _xlfn.XLOOKUP(EOMONTH(IF(ISNUMBER(R$2), R$2, DATEVALUE("1 "&amp;R$2&amp;" 2025")), 0),#REF!,#REF!)</f>
        <v>#REF!</v>
      </c>
      <c r="U9" s="297"/>
      <c r="V9" s="297" t="e">
        <f xml:space="preserve"> _xlfn.XLOOKUP(EOMONTH(IF(ISNUMBER(T$2), T$2, DATEVALUE("1 "&amp;T$2&amp;" 2025")), 0),#REF!,#REF!)</f>
        <v>#REF!</v>
      </c>
      <c r="W9" s="297"/>
      <c r="X9" s="297" t="e">
        <f xml:space="preserve"> _xlfn.XLOOKUP(EOMONTH(IF(ISNUMBER(V$2), V$2, DATEVALUE("1 "&amp;V$2&amp;" 2025")), 0),#REF!,#REF!)</f>
        <v>#REF!</v>
      </c>
      <c r="Y9" s="297"/>
      <c r="Z9" s="297" t="e">
        <f xml:space="preserve"> _xlfn.XLOOKUP(EOMONTH(IF(ISNUMBER(X$2), X$2, DATEVALUE("1 "&amp;X$2&amp;" 2025")), 0),#REF!,#REF!)</f>
        <v>#REF!</v>
      </c>
      <c r="AA9" s="297"/>
      <c r="AB9" s="297" t="e">
        <f xml:space="preserve"> _xlfn.XLOOKUP(EOMONTH(IF(ISNUMBER(Z$2), Z$2, DATEVALUE("1 "&amp;Z$2&amp;" 2025")), 0),#REF!,#REF!)</f>
        <v>#REF!</v>
      </c>
      <c r="AC9" s="284"/>
      <c r="AD9" s="284"/>
      <c r="AE9" s="284"/>
      <c r="AF9" s="284"/>
      <c r="AG9" s="284"/>
      <c r="AH9" s="284"/>
      <c r="AI9" s="284"/>
      <c r="AJ9" s="284"/>
      <c r="AK9" s="284"/>
      <c r="AL9" s="284"/>
      <c r="AM9" s="284"/>
      <c r="AN9" s="284"/>
    </row>
    <row r="10" spans="2:40" s="232" customFormat="1" ht="24" customHeight="1">
      <c r="B10" s="906" t="s">
        <v>1955</v>
      </c>
      <c r="C10" s="906"/>
      <c r="D10" s="291"/>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5"/>
      <c r="AC10" s="284"/>
      <c r="AD10" s="284"/>
      <c r="AE10" s="284"/>
      <c r="AF10" s="284"/>
      <c r="AG10" s="284"/>
      <c r="AH10" s="284"/>
      <c r="AI10" s="284"/>
      <c r="AJ10" s="284"/>
      <c r="AK10" s="284"/>
      <c r="AL10" s="284"/>
      <c r="AM10" s="284"/>
      <c r="AN10" s="284"/>
    </row>
    <row r="11" spans="2:40" s="232" customFormat="1" ht="16" customHeight="1">
      <c r="B11" s="296"/>
      <c r="C11" s="296"/>
      <c r="D11" s="291"/>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84"/>
      <c r="AD11" s="284"/>
      <c r="AE11" s="284"/>
      <c r="AF11" s="284"/>
      <c r="AG11" s="284"/>
      <c r="AH11" s="284"/>
      <c r="AI11" s="284"/>
      <c r="AJ11" s="284"/>
      <c r="AK11" s="284"/>
      <c r="AL11" s="284"/>
      <c r="AM11" s="284"/>
      <c r="AN11" s="284"/>
    </row>
    <row r="12" spans="2:40" s="735" customFormat="1" ht="17" customHeight="1">
      <c r="B12" s="904" t="s">
        <v>135</v>
      </c>
      <c r="C12" s="904"/>
      <c r="D12" s="297">
        <f>SUM(D24:D29)</f>
        <v>15593.08</v>
      </c>
      <c r="E12" s="816">
        <f>D12/D$5</f>
        <v>0.24066752522265455</v>
      </c>
      <c r="F12" s="297">
        <f t="shared" ref="F12:Z12" si="5">SUM(F24:F29)</f>
        <v>13875.64</v>
      </c>
      <c r="G12" s="816">
        <f>F12/F$5</f>
        <v>0.29780799814219305</v>
      </c>
      <c r="H12" s="297">
        <f t="shared" si="5"/>
        <v>16730.86</v>
      </c>
      <c r="I12" s="816">
        <f>H12/H$5</f>
        <v>0.34012677761995463</v>
      </c>
      <c r="J12" s="297">
        <f t="shared" si="5"/>
        <v>19086.239999999998</v>
      </c>
      <c r="K12" s="816">
        <f>J12/J$5</f>
        <v>0.33340413817004894</v>
      </c>
      <c r="L12" s="297">
        <f t="shared" si="5"/>
        <v>19645.37</v>
      </c>
      <c r="M12" s="816">
        <f>L12/L$5</f>
        <v>0.53381691606637716</v>
      </c>
      <c r="N12" s="297">
        <f t="shared" si="5"/>
        <v>17504.54</v>
      </c>
      <c r="O12" s="816">
        <f>N12/N$5</f>
        <v>0.23691370944209517</v>
      </c>
      <c r="P12" s="297">
        <f t="shared" si="5"/>
        <v>21382.35</v>
      </c>
      <c r="Q12" s="816">
        <f>P12/P$5</f>
        <v>0.28231426838798707</v>
      </c>
      <c r="R12" s="297">
        <f t="shared" si="5"/>
        <v>26492.03</v>
      </c>
      <c r="S12" s="816">
        <f>R12/R$5</f>
        <v>0.29707185178988604</v>
      </c>
      <c r="T12" s="297">
        <f t="shared" si="5"/>
        <v>14544.71</v>
      </c>
      <c r="U12" s="816">
        <f>T12/T$5</f>
        <v>0.1750092830769327</v>
      </c>
      <c r="V12" s="297">
        <f t="shared" si="5"/>
        <v>13466</v>
      </c>
      <c r="W12" s="816">
        <f>V12/V$5</f>
        <v>0.20773904298421006</v>
      </c>
      <c r="X12" s="297">
        <f t="shared" si="5"/>
        <v>25510.19</v>
      </c>
      <c r="Y12" s="816">
        <f>X12/X$5</f>
        <v>0.44948114474999895</v>
      </c>
      <c r="Z12" s="297">
        <f t="shared" si="5"/>
        <v>15526.869999999999</v>
      </c>
      <c r="AA12" s="816">
        <f>Z12/Z$5</f>
        <v>0.43162866336324029</v>
      </c>
      <c r="AB12" s="769">
        <f>Z12+X12+V12+T12+R12+P12+N12+L12+J12+H12+F12+D12</f>
        <v>219357.87999999998</v>
      </c>
      <c r="AC12" s="758">
        <f>AB12/$AB$5</f>
        <v>0.29881942844183618</v>
      </c>
      <c r="AD12" s="284"/>
      <c r="AE12" s="284"/>
      <c r="AF12" s="284"/>
      <c r="AG12" s="284"/>
      <c r="AH12" s="284"/>
      <c r="AI12" s="284"/>
      <c r="AJ12" s="284"/>
      <c r="AK12" s="284"/>
      <c r="AL12" s="284"/>
      <c r="AM12" s="284"/>
      <c r="AN12" s="284"/>
    </row>
    <row r="13" spans="2:40" s="735" customFormat="1" ht="17" customHeight="1">
      <c r="B13" s="904" t="s">
        <v>1940</v>
      </c>
      <c r="C13" s="904"/>
      <c r="D13" s="297">
        <f>SUM(D33:D35)</f>
        <v>13584.66</v>
      </c>
      <c r="E13" s="816">
        <f>D13/$D$5</f>
        <v>0.20966906494362797</v>
      </c>
      <c r="F13" s="297">
        <f t="shared" ref="F13:Z13" si="6">SUM(F33:F35)</f>
        <v>15498.149999999998</v>
      </c>
      <c r="G13" s="816">
        <f>F13/$D$5</f>
        <v>0.23920235168609941</v>
      </c>
      <c r="H13" s="297">
        <f t="shared" si="6"/>
        <v>30833.83</v>
      </c>
      <c r="I13" s="816">
        <f>H13/$D$5</f>
        <v>0.47589710045969386</v>
      </c>
      <c r="J13" s="297">
        <f t="shared" si="6"/>
        <v>31275.949999999997</v>
      </c>
      <c r="K13" s="816">
        <f>J13/$D$5</f>
        <v>0.48272089192689843</v>
      </c>
      <c r="L13" s="297">
        <f t="shared" si="6"/>
        <v>24743.09</v>
      </c>
      <c r="M13" s="816">
        <f>L13/$D$5</f>
        <v>0.38189108480565814</v>
      </c>
      <c r="N13" s="297">
        <f t="shared" si="6"/>
        <v>32049.490000000005</v>
      </c>
      <c r="O13" s="816">
        <f>N13/$D$5</f>
        <v>0.49465990317167718</v>
      </c>
      <c r="P13" s="297">
        <f t="shared" si="6"/>
        <v>40676.299999999996</v>
      </c>
      <c r="Q13" s="816">
        <f>P13/$D$5</f>
        <v>0.62780826214027385</v>
      </c>
      <c r="R13" s="297">
        <f t="shared" si="6"/>
        <v>32020.62</v>
      </c>
      <c r="S13" s="816">
        <f>R13/$D$5</f>
        <v>0.49421431631820245</v>
      </c>
      <c r="T13" s="297">
        <f>SUM(T33:T35)</f>
        <v>40632.549999999996</v>
      </c>
      <c r="U13" s="816">
        <f>T13/$D$5</f>
        <v>0.62713301361794915</v>
      </c>
      <c r="V13" s="297">
        <f t="shared" si="6"/>
        <v>35301.1</v>
      </c>
      <c r="W13" s="816">
        <f>V13/$D$5</f>
        <v>0.54484607111856354</v>
      </c>
      <c r="X13" s="297">
        <f t="shared" si="6"/>
        <v>14641.23</v>
      </c>
      <c r="Y13" s="816">
        <f>X13/$D$5</f>
        <v>0.22597643251465949</v>
      </c>
      <c r="Z13" s="297">
        <f t="shared" si="6"/>
        <v>-2710.1299999999987</v>
      </c>
      <c r="AA13" s="816">
        <f>Z13/$D$5</f>
        <v>-4.182882920703751E-2</v>
      </c>
      <c r="AB13" s="769">
        <f>Z13+X13+V13+T13+R13+P13+N13+L13+J13+H13+F13+D13</f>
        <v>308546.83999999997</v>
      </c>
      <c r="AC13" s="758">
        <f>AB13/$AB$5</f>
        <v>0.4203167462064033</v>
      </c>
      <c r="AD13" s="284"/>
      <c r="AE13" s="284"/>
      <c r="AF13" s="284"/>
      <c r="AG13" s="284"/>
      <c r="AH13" s="284"/>
      <c r="AI13" s="284"/>
      <c r="AJ13" s="284"/>
      <c r="AK13" s="284"/>
      <c r="AL13" s="284"/>
      <c r="AM13" s="284"/>
      <c r="AN13" s="284"/>
    </row>
    <row r="14" spans="2:40" s="735" customFormat="1" ht="17" customHeight="1">
      <c r="B14" s="904" t="s">
        <v>1927</v>
      </c>
      <c r="C14" s="904"/>
      <c r="D14" s="297">
        <f>SUM(D38:D41)</f>
        <v>0</v>
      </c>
      <c r="E14" s="816">
        <f>D14/$D$5</f>
        <v>0</v>
      </c>
      <c r="F14" s="297">
        <f t="shared" ref="F14:Z14" si="7">SUM(F38:F41)</f>
        <v>0</v>
      </c>
      <c r="G14" s="816">
        <f>F14/$D$5</f>
        <v>0</v>
      </c>
      <c r="H14" s="297">
        <f t="shared" si="7"/>
        <v>0</v>
      </c>
      <c r="I14" s="816">
        <f>H14/$D$5</f>
        <v>0</v>
      </c>
      <c r="J14" s="297">
        <f t="shared" si="7"/>
        <v>0</v>
      </c>
      <c r="K14" s="816">
        <f>J14/$D$5</f>
        <v>0</v>
      </c>
      <c r="L14" s="297">
        <f t="shared" si="7"/>
        <v>0</v>
      </c>
      <c r="M14" s="816">
        <f>L14/$D$5</f>
        <v>0</v>
      </c>
      <c r="N14" s="297">
        <f t="shared" si="7"/>
        <v>1407</v>
      </c>
      <c r="O14" s="816">
        <f>N14/$D$5</f>
        <v>2.1715992477962978E-2</v>
      </c>
      <c r="P14" s="297">
        <f t="shared" si="7"/>
        <v>1977.16</v>
      </c>
      <c r="Q14" s="816">
        <f>P14/$D$5</f>
        <v>3.0515985563418113E-2</v>
      </c>
      <c r="R14" s="297">
        <f t="shared" si="7"/>
        <v>2652</v>
      </c>
      <c r="S14" s="816">
        <f>R14/$D$5</f>
        <v>4.0931636141832137E-2</v>
      </c>
      <c r="T14" s="297">
        <f t="shared" si="7"/>
        <v>1990.85</v>
      </c>
      <c r="U14" s="816">
        <f>T14/$D$5</f>
        <v>3.0727280472460976E-2</v>
      </c>
      <c r="V14" s="297">
        <f t="shared" si="7"/>
        <v>1409</v>
      </c>
      <c r="W14" s="816">
        <f>V14/$D$5</f>
        <v>2.1746860981840678E-2</v>
      </c>
      <c r="X14" s="297">
        <f t="shared" si="7"/>
        <v>2754</v>
      </c>
      <c r="Y14" s="816">
        <f>X14/$D$5</f>
        <v>4.2505929839594912E-2</v>
      </c>
      <c r="Z14" s="297">
        <f t="shared" si="7"/>
        <v>0</v>
      </c>
      <c r="AA14" s="816">
        <f>Z14/$D$5</f>
        <v>0</v>
      </c>
      <c r="AB14" s="769">
        <f t="shared" ref="AB14:AB17" si="8">Z14+X14+V14+T14+R14+P14+N14+L14+J14+H14+F14+D14</f>
        <v>12190.01</v>
      </c>
      <c r="AC14" s="758">
        <f t="shared" ref="AC14:AC19" si="9">AB14/$AB$5</f>
        <v>1.6605794243180448E-2</v>
      </c>
      <c r="AD14" s="284"/>
      <c r="AE14" s="284"/>
      <c r="AF14" s="284"/>
      <c r="AG14" s="284"/>
      <c r="AH14" s="284"/>
      <c r="AI14" s="284"/>
      <c r="AJ14" s="284"/>
      <c r="AK14" s="284"/>
      <c r="AL14" s="284"/>
      <c r="AM14" s="284"/>
      <c r="AN14" s="284"/>
    </row>
    <row r="15" spans="2:40" s="735" customFormat="1" ht="17" customHeight="1">
      <c r="B15" s="904" t="s">
        <v>1963</v>
      </c>
      <c r="C15" s="904"/>
      <c r="D15" s="297">
        <f>SUM(D45:D47)</f>
        <v>7479.51</v>
      </c>
      <c r="E15" s="816">
        <f>D15/$D$5</f>
        <v>0.11544064171915343</v>
      </c>
      <c r="F15" s="297">
        <f t="shared" ref="F15:Z15" si="10">SUM(F45:F47)</f>
        <v>5314.95</v>
      </c>
      <c r="G15" s="816">
        <f>F15/$D$5</f>
        <v>8.2032277342394683E-2</v>
      </c>
      <c r="H15" s="297">
        <f t="shared" si="10"/>
        <v>7063.7</v>
      </c>
      <c r="I15" s="816">
        <f>H15/$D$5</f>
        <v>0.1090229254204599</v>
      </c>
      <c r="J15" s="297">
        <f t="shared" si="10"/>
        <v>5200.6899999999996</v>
      </c>
      <c r="K15" s="816">
        <f>J15/$D$5</f>
        <v>8.0268759715861601E-2</v>
      </c>
      <c r="L15" s="297">
        <f t="shared" si="10"/>
        <v>3611.7</v>
      </c>
      <c r="M15" s="816">
        <f>L15/$D$5</f>
        <v>5.5743887727547181E-2</v>
      </c>
      <c r="N15" s="297">
        <f t="shared" si="10"/>
        <v>8585.6</v>
      </c>
      <c r="O15" s="816">
        <f>N15/$D$5</f>
        <v>0.13251231344619685</v>
      </c>
      <c r="P15" s="297">
        <f t="shared" si="10"/>
        <v>4394.2899999999991</v>
      </c>
      <c r="Q15" s="816">
        <f>P15/$D$5</f>
        <v>6.7822578952372356E-2</v>
      </c>
      <c r="R15" s="297">
        <f t="shared" si="10"/>
        <v>4121.5</v>
      </c>
      <c r="S15" s="816">
        <f>R15/$D$5</f>
        <v>6.3612269365973292E-2</v>
      </c>
      <c r="T15" s="297">
        <f t="shared" si="10"/>
        <v>4202.2</v>
      </c>
      <c r="U15" s="816">
        <f>T15/$D$5</f>
        <v>6.4857813497438535E-2</v>
      </c>
      <c r="V15" s="297">
        <f t="shared" si="10"/>
        <v>3815.6699999999996</v>
      </c>
      <c r="W15" s="816">
        <f>V15/$D$5</f>
        <v>5.8892012095514562E-2</v>
      </c>
      <c r="X15" s="297">
        <f t="shared" si="10"/>
        <v>8663.5999999999985</v>
      </c>
      <c r="Y15" s="816">
        <f>X15/$D$5</f>
        <v>0.13371618509742716</v>
      </c>
      <c r="Z15" s="297">
        <f t="shared" si="10"/>
        <v>4116.5999999999995</v>
      </c>
      <c r="AA15" s="816">
        <f>Z15/$D$5</f>
        <v>6.3536641531472912E-2</v>
      </c>
      <c r="AB15" s="769">
        <f t="shared" si="8"/>
        <v>66570.00999999998</v>
      </c>
      <c r="AC15" s="758">
        <f t="shared" si="9"/>
        <v>9.0684740113130713E-2</v>
      </c>
      <c r="AD15" s="284"/>
      <c r="AE15" s="284"/>
      <c r="AF15" s="284"/>
      <c r="AG15" s="284"/>
      <c r="AH15" s="284"/>
      <c r="AI15" s="284"/>
      <c r="AJ15" s="284"/>
      <c r="AK15" s="284"/>
      <c r="AL15" s="284"/>
      <c r="AM15" s="284"/>
      <c r="AN15" s="284"/>
    </row>
    <row r="16" spans="2:40" s="735" customFormat="1" ht="17" customHeight="1">
      <c r="B16" s="904" t="s">
        <v>1941</v>
      </c>
      <c r="C16" s="904"/>
      <c r="D16" s="297">
        <f>SUM(D51:D66)</f>
        <v>6701.2899999999991</v>
      </c>
      <c r="E16" s="816">
        <f>D16/$D$5</f>
        <v>0.103429398175301</v>
      </c>
      <c r="F16" s="297">
        <f t="shared" ref="F16:Z16" si="11">SUM(F51:F66)</f>
        <v>9746.41</v>
      </c>
      <c r="G16" s="816">
        <f>F16/$D$5</f>
        <v>0.15042854743933415</v>
      </c>
      <c r="H16" s="297">
        <f t="shared" si="11"/>
        <v>13574.39</v>
      </c>
      <c r="I16" s="816">
        <f>H16/$D$5</f>
        <v>0.20951055517621595</v>
      </c>
      <c r="J16" s="297">
        <f t="shared" si="11"/>
        <v>13440.319999999998</v>
      </c>
      <c r="K16" s="816">
        <f>J16/$D$5</f>
        <v>0.20744128501877421</v>
      </c>
      <c r="L16" s="297">
        <f t="shared" si="11"/>
        <v>13314.93</v>
      </c>
      <c r="M16" s="816">
        <f>L16/$D$5</f>
        <v>0.20550598416816176</v>
      </c>
      <c r="N16" s="297">
        <f t="shared" si="11"/>
        <v>10487.5</v>
      </c>
      <c r="O16" s="816">
        <f>N16/$D$5</f>
        <v>0.16186671720869703</v>
      </c>
      <c r="P16" s="297">
        <f t="shared" si="11"/>
        <v>10533.689999999999</v>
      </c>
      <c r="Q16" s="816">
        <f>P16/$D$5</f>
        <v>0.16257962530575254</v>
      </c>
      <c r="R16" s="297">
        <f t="shared" si="11"/>
        <v>5514.5500000000011</v>
      </c>
      <c r="S16" s="816">
        <f>R16/$D$5</f>
        <v>8.5112954029389315E-2</v>
      </c>
      <c r="T16" s="297">
        <f t="shared" si="11"/>
        <v>9066.5999999999985</v>
      </c>
      <c r="U16" s="816">
        <f>T16/$D$5</f>
        <v>0.13993618862878401</v>
      </c>
      <c r="V16" s="297">
        <f t="shared" si="11"/>
        <v>13977.93</v>
      </c>
      <c r="W16" s="816">
        <f>V16/$D$5</f>
        <v>0.2157388932036198</v>
      </c>
      <c r="X16" s="297">
        <f t="shared" si="11"/>
        <v>12472.110000000002</v>
      </c>
      <c r="Y16" s="816">
        <f>X16/$D$5</f>
        <v>0.19249768794905961</v>
      </c>
      <c r="Z16" s="297">
        <f t="shared" si="11"/>
        <v>5909.0999999999995</v>
      </c>
      <c r="AA16" s="816">
        <f>Z16/$D$5</f>
        <v>9.120253813186284E-2</v>
      </c>
      <c r="AB16" s="769">
        <f t="shared" si="8"/>
        <v>124738.81999999999</v>
      </c>
      <c r="AC16" s="758">
        <f t="shared" si="9"/>
        <v>0.16992497783489285</v>
      </c>
      <c r="AD16" s="284"/>
      <c r="AE16" s="284"/>
      <c r="AF16" s="284"/>
      <c r="AG16" s="284"/>
      <c r="AH16" s="284"/>
      <c r="AI16" s="284"/>
      <c r="AJ16" s="284"/>
      <c r="AK16" s="284"/>
      <c r="AL16" s="284"/>
      <c r="AM16" s="284"/>
      <c r="AN16" s="284"/>
    </row>
    <row r="17" spans="2:40" s="232" customFormat="1" ht="17" customHeight="1">
      <c r="B17" s="908" t="s">
        <v>139</v>
      </c>
      <c r="C17" s="908"/>
      <c r="D17" s="782" t="e" cm="1">
        <f t="array" ref="D17">SUMPRODUCT((IFERROR(MONTH(CASSA!$B7:$B3167)=MONTH(D$2),FALSE))*(CASSA!$G7:$G3167="Compenso Amministratore")*(IFERROR(ROUND(CASSA!$F7:$F3167,2),0)))+
SUMPRODUCT((IFERROR(MONTH(BANCA!$B8:$B4170)=MONTH(D$2),FALSE))*(BANCA!$G8:$G4169="Compenso Amministratore")*(IFERROR(ROUND(BANCA!$F8:$F4170,2),0)))</f>
        <v>#N/A</v>
      </c>
      <c r="E17" s="817" t="e">
        <f>D17/$D$5</f>
        <v>#N/A</v>
      </c>
      <c r="F17" s="782" t="e" cm="1">
        <f t="array" ref="F17">SUMPRODUCT((IFERROR(MONTH(CASSA!$B7:$B3167)=MONTH(F$2),FALSE))*(CASSA!$G7:$G3167="Compenso Amministratore")*(IFERROR(ROUND(CASSA!$F7:$F3167,2),0)))+
SUMPRODUCT((IFERROR(MONTH(BANCA!$B8:$B4170)=MONTH(F$2),FALSE))*(BANCA!$G8:$G4169="Compenso Amministratore")*(IFERROR(ROUND(BANCA!$F8:$F4170,2),0)))</f>
        <v>#N/A</v>
      </c>
      <c r="G17" s="817" t="e">
        <f>F17/$D$5</f>
        <v>#N/A</v>
      </c>
      <c r="H17" s="782" t="e" cm="1">
        <f t="array" ref="H17">SUMPRODUCT((IFERROR(MONTH(CASSA!$B7:$B3167)=MONTH(H$2),FALSE))*(CASSA!$G7:$G3167="Compenso Amministratore")*(IFERROR(ROUND(CASSA!$F7:$F3167,2),0)))+
SUMPRODUCT((IFERROR(MONTH(BANCA!$B8:$B4170)=MONTH(H$2),FALSE))*(BANCA!$G8:$G4169="Compenso Amministratore")*(IFERROR(ROUND(BANCA!$F8:$F4170,2),0)))</f>
        <v>#N/A</v>
      </c>
      <c r="I17" s="817" t="e">
        <f>H17/$D$5</f>
        <v>#N/A</v>
      </c>
      <c r="J17" s="782" t="e" cm="1">
        <f t="array" ref="J17">SUMPRODUCT((IFERROR(MONTH(CASSA!$B7:$B3167)=MONTH(J$2),FALSE))*(CASSA!$G7:$G3167="Compenso Amministratore")*(IFERROR(ROUND(CASSA!$F7:$F3167,2),0)))+
SUMPRODUCT((IFERROR(MONTH(BANCA!$B8:$B4170)=MONTH(J$2),FALSE))*(BANCA!$G8:$G4169="Compenso Amministratore")*(IFERROR(ROUND(BANCA!$F8:$F4170,2),0)))</f>
        <v>#N/A</v>
      </c>
      <c r="K17" s="817" t="e">
        <f>J17/$D$5</f>
        <v>#N/A</v>
      </c>
      <c r="L17" s="782" t="e" cm="1">
        <f t="array" ref="L17">SUMPRODUCT((IFERROR(MONTH(CASSA!$B7:$B3167)=MONTH(L$2),FALSE))*(CASSA!$G7:$G3167="Compenso Amministratore")*(IFERROR(ROUND(CASSA!$F7:$F3167,2),0)))+
SUMPRODUCT((IFERROR(MONTH(BANCA!$B8:$B4170)=MONTH(L$2),FALSE))*(BANCA!$G8:$G4169="Compenso Amministratore")*(IFERROR(ROUND(BANCA!$F8:$F4170,2),0)))</f>
        <v>#N/A</v>
      </c>
      <c r="M17" s="817" t="e">
        <f>L17/$D$5</f>
        <v>#N/A</v>
      </c>
      <c r="N17" s="782" t="e" cm="1">
        <f t="array" ref="N17">SUMPRODUCT((IFERROR(MONTH(CASSA!$B7:$B3167)=MONTH(N$2),FALSE))*(CASSA!$G7:$G3167="Compenso Amministratore")*(IFERROR(ROUND(CASSA!$F7:$F3167,2),0)))+
SUMPRODUCT((IFERROR(MONTH(BANCA!$B8:$B4170)=MONTH(N$2),FALSE))*(BANCA!$G8:$G4169="Compenso Amministratore")*(IFERROR(ROUND(BANCA!$F8:$F4170,2),0)))</f>
        <v>#N/A</v>
      </c>
      <c r="O17" s="817" t="e">
        <f>N17/$D$5</f>
        <v>#N/A</v>
      </c>
      <c r="P17" s="782" t="e" cm="1">
        <f t="array" ref="P17">SUMPRODUCT((IFERROR(MONTH(CASSA!$B7:$B3167)=MONTH(P$2),FALSE))*(CASSA!$G7:$G3167="Compenso Amministratore")*(IFERROR(ROUND(CASSA!$F7:$F3167,2),0)))+
SUMPRODUCT((IFERROR(MONTH(BANCA!$B8:$B4170)=MONTH(P$2),FALSE))*(BANCA!$G8:$G4169="Compenso Amministratore")*(IFERROR(ROUND(BANCA!$F8:$F4170,2),0)))</f>
        <v>#N/A</v>
      </c>
      <c r="Q17" s="817" t="e">
        <f>P17/$D$5</f>
        <v>#N/A</v>
      </c>
      <c r="R17" s="782" t="e" cm="1">
        <f t="array" ref="R17">SUMPRODUCT((IFERROR(MONTH(CASSA!$B7:$B3167)=MONTH(R$2),FALSE))*(CASSA!$G7:$G3167="Compenso Amministratore")*(IFERROR(ROUND(CASSA!$F7:$F3167,2),0)))+
SUMPRODUCT((IFERROR(MONTH(BANCA!$B8:$B4170)=MONTH(R$2),FALSE))*(BANCA!$G8:$G4169="Compenso Amministratore")*(IFERROR(ROUND(BANCA!$F8:$F4170,2),0)))</f>
        <v>#N/A</v>
      </c>
      <c r="S17" s="817" t="e">
        <f>R17/$D$5</f>
        <v>#N/A</v>
      </c>
      <c r="T17" s="782" t="e" cm="1">
        <f t="array" ref="T17">SUMPRODUCT((IFERROR(MONTH(CASSA!$B7:$B3167)=MONTH(T$2),FALSE))*(CASSA!$G7:$G3167="Compenso Amministratore")*(IFERROR(ROUND(CASSA!$F7:$F3167,2),0)))+
SUMPRODUCT((IFERROR(MONTH(BANCA!$B8:$B4170)=MONTH(T$2),FALSE))*(BANCA!$G8:$G4169="Compenso Amministratore")*(IFERROR(ROUND(BANCA!$F8:$F4170,2),0)))</f>
        <v>#N/A</v>
      </c>
      <c r="U17" s="817" t="e">
        <f>T17/$D$5</f>
        <v>#N/A</v>
      </c>
      <c r="V17" s="782" t="e" cm="1">
        <f t="array" ref="V17">SUMPRODUCT((IFERROR(MONTH(CASSA!$B7:$B3167)=MONTH(V$2),FALSE))*(CASSA!$G7:$G3167="Compenso Amministratore")*(IFERROR(ROUND(CASSA!$F7:$F3167,2),0)))+
SUMPRODUCT((IFERROR(MONTH(BANCA!$B8:$B4170)=MONTH(V$2),FALSE))*(BANCA!$G8:$G4169="Compenso Amministratore")*(IFERROR(ROUND(BANCA!$F8:$F4170,2),0)))</f>
        <v>#N/A</v>
      </c>
      <c r="W17" s="817" t="e">
        <f>V17/$D$5</f>
        <v>#N/A</v>
      </c>
      <c r="X17" s="782" t="e" cm="1">
        <f t="array" ref="X17">SUMPRODUCT((IFERROR(MONTH(CASSA!$B7:$B3167)=MONTH(X$2),FALSE))*(CASSA!$G7:$G3167="Compenso Amministratore")*(IFERROR(ROUND(CASSA!$F7:$F3167,2),0)))+
SUMPRODUCT((IFERROR(MONTH(BANCA!$B8:$B4170)=MONTH(X$2),FALSE))*(BANCA!$G8:$G4169="Compenso Amministratore")*(IFERROR(ROUND(BANCA!$F8:$F4170,2),0)))</f>
        <v>#N/A</v>
      </c>
      <c r="Y17" s="817" t="e">
        <f>X17/$D$5</f>
        <v>#N/A</v>
      </c>
      <c r="Z17" s="782" t="e" cm="1">
        <f t="array" ref="Z17">SUMPRODUCT((IFERROR(MONTH(CASSA!$B7:$B3167)=MONTH(Z$2),FALSE))*(CASSA!$G7:$G3167="Compenso Amministratore")*(IFERROR(ROUND(CASSA!$F7:$F3167,2),0)))+
SUMPRODUCT((IFERROR(MONTH(BANCA!$B8:$B4170)=MONTH(Z$2),FALSE))*(BANCA!$G8:$G4169="Compenso Amministratore")*(IFERROR(ROUND(BANCA!$F8:$F4170,2),0)))</f>
        <v>#N/A</v>
      </c>
      <c r="AA17" s="817" t="e">
        <f>Z17/$D$5</f>
        <v>#N/A</v>
      </c>
      <c r="AB17" s="818" t="e">
        <f t="shared" si="8"/>
        <v>#N/A</v>
      </c>
      <c r="AC17" s="758" t="e">
        <f t="shared" si="9"/>
        <v>#N/A</v>
      </c>
      <c r="AD17" s="284"/>
      <c r="AE17" s="284"/>
      <c r="AF17" s="284"/>
      <c r="AG17" s="284"/>
      <c r="AH17" s="284"/>
      <c r="AI17" s="284"/>
      <c r="AJ17" s="284"/>
      <c r="AK17" s="284"/>
      <c r="AL17" s="284"/>
      <c r="AM17" s="284"/>
      <c r="AN17" s="284"/>
    </row>
    <row r="18" spans="2:40" s="232" customFormat="1" ht="17" customHeight="1">
      <c r="B18" s="783" t="s">
        <v>1957</v>
      </c>
      <c r="C18" s="783"/>
      <c r="D18" s="763">
        <f>D69</f>
        <v>0</v>
      </c>
      <c r="E18" s="763"/>
      <c r="F18" s="763">
        <f t="shared" ref="F18:Z18" si="12">F69</f>
        <v>0</v>
      </c>
      <c r="G18" s="763"/>
      <c r="H18" s="763">
        <f t="shared" si="12"/>
        <v>0</v>
      </c>
      <c r="I18" s="763"/>
      <c r="J18" s="763">
        <f t="shared" si="12"/>
        <v>0</v>
      </c>
      <c r="K18" s="763"/>
      <c r="L18" s="763">
        <f t="shared" si="12"/>
        <v>0</v>
      </c>
      <c r="M18" s="763"/>
      <c r="N18" s="763">
        <f t="shared" si="12"/>
        <v>0</v>
      </c>
      <c r="O18" s="763"/>
      <c r="P18" s="763">
        <f t="shared" si="12"/>
        <v>2300.12</v>
      </c>
      <c r="Q18" s="763"/>
      <c r="R18" s="763">
        <f t="shared" si="12"/>
        <v>4616.1100000000006</v>
      </c>
      <c r="S18" s="763"/>
      <c r="T18" s="763">
        <f t="shared" si="12"/>
        <v>467.84000000000003</v>
      </c>
      <c r="U18" s="763"/>
      <c r="V18" s="763">
        <f t="shared" si="12"/>
        <v>0</v>
      </c>
      <c r="W18" s="763"/>
      <c r="X18" s="763">
        <f t="shared" si="12"/>
        <v>0</v>
      </c>
      <c r="Y18" s="763"/>
      <c r="Z18" s="763">
        <f t="shared" si="12"/>
        <v>0</v>
      </c>
      <c r="AA18" s="763"/>
      <c r="AB18" s="781">
        <f>SUM(D18:Z18)</f>
        <v>7384.0700000000006</v>
      </c>
      <c r="AC18" s="758">
        <f t="shared" si="9"/>
        <v>1.0058920960462008E-2</v>
      </c>
      <c r="AD18" s="284"/>
      <c r="AE18" s="284"/>
      <c r="AF18" s="284"/>
      <c r="AG18" s="284"/>
      <c r="AH18" s="284"/>
      <c r="AI18" s="284"/>
      <c r="AJ18" s="284"/>
      <c r="AK18" s="284"/>
      <c r="AL18" s="284"/>
      <c r="AM18" s="284"/>
      <c r="AN18" s="284"/>
    </row>
    <row r="19" spans="2:40" s="735" customFormat="1" ht="17" customHeight="1">
      <c r="B19" s="784" t="s">
        <v>137</v>
      </c>
      <c r="C19" s="784"/>
      <c r="D19" s="779">
        <f t="shared" ref="D19:P19" si="13">D72</f>
        <v>0</v>
      </c>
      <c r="E19" s="779"/>
      <c r="F19" s="779">
        <f t="shared" si="13"/>
        <v>12886.07</v>
      </c>
      <c r="G19" s="779"/>
      <c r="H19" s="779">
        <f t="shared" si="13"/>
        <v>1762.8200000000002</v>
      </c>
      <c r="I19" s="779"/>
      <c r="J19" s="779">
        <f t="shared" si="13"/>
        <v>10982.2</v>
      </c>
      <c r="K19" s="779"/>
      <c r="L19" s="779">
        <f t="shared" si="13"/>
        <v>3870.6</v>
      </c>
      <c r="M19" s="779"/>
      <c r="N19" s="779">
        <f t="shared" si="13"/>
        <v>1560.6599999999999</v>
      </c>
      <c r="O19" s="779"/>
      <c r="P19" s="779">
        <f t="shared" si="13"/>
        <v>18749.099999999999</v>
      </c>
      <c r="Q19" s="779"/>
      <c r="R19" s="779">
        <f>R72</f>
        <v>-25545.07</v>
      </c>
      <c r="S19" s="779"/>
      <c r="T19" s="779">
        <v>9</v>
      </c>
      <c r="U19" s="779"/>
      <c r="V19" s="779">
        <f>V72</f>
        <v>0</v>
      </c>
      <c r="W19" s="779"/>
      <c r="X19" s="779">
        <f>X72</f>
        <v>0</v>
      </c>
      <c r="Y19" s="779"/>
      <c r="Z19" s="779">
        <f>Z72</f>
        <v>0</v>
      </c>
      <c r="AA19" s="779"/>
      <c r="AB19" s="780">
        <f>Z19+X19+V19+T19+R19+P19+N19+L19+J19+H19+F19+D19</f>
        <v>24275.379999999997</v>
      </c>
      <c r="AC19" s="758">
        <f t="shared" si="9"/>
        <v>3.3069043048776642E-2</v>
      </c>
      <c r="AD19" s="284"/>
      <c r="AE19" s="284"/>
      <c r="AF19" s="284"/>
      <c r="AG19" s="284"/>
      <c r="AH19" s="284"/>
      <c r="AI19" s="284"/>
      <c r="AJ19" s="284"/>
      <c r="AK19" s="284"/>
      <c r="AL19" s="284"/>
      <c r="AM19" s="284"/>
      <c r="AN19" s="284"/>
    </row>
    <row r="20" spans="2:40" s="735" customFormat="1" ht="17" customHeight="1">
      <c r="B20" s="904" t="s">
        <v>136</v>
      </c>
      <c r="C20" s="904"/>
      <c r="D20" s="297" t="e" cm="1">
        <f t="array" ref="D20">SUMPRODUCT((IFERROR(MONTH(CASSA!$B7:$B4163)=MONTH(D$2),FALSE))*(CASSA!$G7:$G4163="Rimborso finanziamento SOCIO")*(IFERROR(ROUND(CASSA!$F7:$F4163,2),0)))+
SUMPRODUCT((IFERROR(MONTH(BANCA!$B8:$B4170)=MONTH(D$2),FALSE))*(BANCA!$G8:$G4169="Rimborso finanziamento SOCIO")*(IFERROR(ROUND(BANCA!$F8:$F4170,2),0)))+
SUMPRODUCT((IFERROR(MONTH(CASSA!$B7:$B4163)=MONTH(D$2),FALSE))*(CASSA!$G7:$G4163="Rimborso capitale mutuo")*(IFERROR(ROUND(CASSA!$F7:$F4163,2),0)))+
SUMPRODUCT((IFERROR(MONTH(BANCA!$B8:$B4170)=MONTH(D$2),FALSE))*(BANCA!$G8:$G4169="Rimborso capitale mutuo")*(IFERROR(ROUND(BANCA!$F8:$F4170,2),0)))</f>
        <v>#N/A</v>
      </c>
      <c r="E20" s="297"/>
      <c r="F20" s="297" t="e" cm="1">
        <f t="array" ref="F20">SUMPRODUCT((IFERROR(MONTH(CASSA!$B7:$B4163)=MONTH(F$2),FALSE))*(CASSA!$G7:$G4163="Rimborso finanziamento SOCIO")*(IFERROR(ROUND(CASSA!$F7:$F4163,2),0)))+
SUMPRODUCT((IFERROR(MONTH(BANCA!$B8:$B4170)=MONTH(F$2),FALSE))*(BANCA!$G8:$G4169="Rimborso finanziamento SOCIO")*(IFERROR(ROUND(BANCA!$F8:$F4170,2),0)))+
SUMPRODUCT((IFERROR(MONTH(CASSA!$B7:$B4163)=MONTH(F$2),FALSE))*(CASSA!$G7:$G4163="Rimborso capitale mutuo")*(IFERROR(ROUND(CASSA!$F7:$F4163,2),0)))+
SUMPRODUCT((IFERROR(MONTH(BANCA!$B8:$B4170)=MONTH(F$2),FALSE))*(BANCA!$G8:$G4169="Rimborso capitale mutuo")*(IFERROR(ROUND(BANCA!$F8:$F4170,2),0)))</f>
        <v>#N/A</v>
      </c>
      <c r="G20" s="297"/>
      <c r="H20" s="297" t="e" cm="1">
        <f t="array" ref="H20">SUMPRODUCT((IFERROR(MONTH(CASSA!$B7:$B4163)=MONTH(H$2),FALSE))*(CASSA!$G7:$G4163="Rimborso finanziamento SOCIO")*(IFERROR(ROUND(CASSA!$F7:$F4163,2),0)))+
SUMPRODUCT((IFERROR(MONTH(BANCA!$B8:$B4170)=MONTH(H$2),FALSE))*(BANCA!$G8:$G4169="Rimborso finanziamento SOCIO")*(IFERROR(ROUND(BANCA!$F8:$F4170,2),0)))+
SUMPRODUCT((IFERROR(MONTH(CASSA!$B7:$B4163)=MONTH(H$2),FALSE))*(CASSA!$G7:$G4163="Rimborso capitale mutuo")*(IFERROR(ROUND(CASSA!$F7:$F4163,2),0)))+
SUMPRODUCT((IFERROR(MONTH(BANCA!$B8:$B4170)=MONTH(H$2),FALSE))*(BANCA!$G8:$G4169="Rimborso capitale mutuo")*(IFERROR(ROUND(BANCA!$F8:$F4170,2),0)))</f>
        <v>#N/A</v>
      </c>
      <c r="I20" s="297"/>
      <c r="J20" s="297" t="e" cm="1">
        <f t="array" ref="J20">SUMPRODUCT((IFERROR(MONTH(CASSA!$B7:$B4163)=MONTH(J$2),FALSE))*(CASSA!$G7:$G4163="Rimborso finanziamento SOCIO")*(IFERROR(ROUND(CASSA!$F7:$F4163,2),0)))+
SUMPRODUCT((IFERROR(MONTH(BANCA!$B8:$B4170)=MONTH(J$2),FALSE))*(BANCA!$G8:$G4169="Rimborso finanziamento SOCIO")*(IFERROR(ROUND(BANCA!$F8:$F4170,2),0)))+
SUMPRODUCT((IFERROR(MONTH(CASSA!$B7:$B4163)=MONTH(J$2),FALSE))*(CASSA!$G7:$G4163="Rimborso capitale mutuo")*(IFERROR(ROUND(CASSA!$F7:$F4163,2),0)))+
SUMPRODUCT((IFERROR(MONTH(BANCA!$B8:$B4170)=MONTH(J$2),FALSE))*(BANCA!$G8:$G4169="Rimborso capitale mutuo")*(IFERROR(ROUND(BANCA!$F8:$F4170,2),0)))</f>
        <v>#N/A</v>
      </c>
      <c r="K20" s="297"/>
      <c r="L20" s="297" t="e" cm="1">
        <f t="array" ref="L20">SUMPRODUCT((IFERROR(MONTH(CASSA!$B7:$B4163)=MONTH(L$2),FALSE))*(CASSA!$G7:$G4163="Rimborso finanziamento SOCIO")*(IFERROR(ROUND(CASSA!$F7:$F4163,2),0)))+
SUMPRODUCT((IFERROR(MONTH(BANCA!$B8:$B4170)=MONTH(L$2),FALSE))*(BANCA!$G8:$G4169="Rimborso finanziamento SOCIO")*(IFERROR(ROUND(BANCA!$F8:$F4170,2),0)))+
SUMPRODUCT((IFERROR(MONTH(CASSA!$B7:$B4163)=MONTH(L$2),FALSE))*(CASSA!$G7:$G4163="Rimborso capitale mutuo")*(IFERROR(ROUND(CASSA!$F7:$F4163,2),0)))+
SUMPRODUCT((IFERROR(MONTH(BANCA!$B8:$B4170)=MONTH(L$2),FALSE))*(BANCA!$G8:$G4169="Rimborso capitale mutuo")*(IFERROR(ROUND(BANCA!$F8:$F4170,2),0)))</f>
        <v>#N/A</v>
      </c>
      <c r="M20" s="297"/>
      <c r="N20" s="297" t="e" cm="1">
        <f t="array" ref="N20">SUMPRODUCT((IFERROR(MONTH(CASSA!$B7:$B4163)=MONTH(N$2),FALSE))*(CASSA!$G7:$G4163="Rimborso finanziamento SOCIO")*(IFERROR(ROUND(CASSA!$F7:$F4163,2),0)))+
SUMPRODUCT((IFERROR(MONTH(BANCA!$B8:$B4170)=MONTH(N$2),FALSE))*(BANCA!$G8:$G4169="Rimborso finanziamento SOCIO")*(IFERROR(ROUND(BANCA!$F8:$F4170,2),0)))+
SUMPRODUCT((IFERROR(MONTH(CASSA!$B7:$B4163)=MONTH(N$2),FALSE))*(CASSA!$G7:$G4163="Rimborso capitale mutuo")*(IFERROR(ROUND(CASSA!$F7:$F4163,2),0)))+
SUMPRODUCT((IFERROR(MONTH(BANCA!$B8:$B4170)=MONTH(N$2),FALSE))*(BANCA!$G8:$G4169="Rimborso capitale mutuo")*(IFERROR(ROUND(BANCA!$F8:$F4170,2),0)))</f>
        <v>#N/A</v>
      </c>
      <c r="O20" s="297"/>
      <c r="P20" s="297" t="e" cm="1">
        <f t="array" ref="P20">SUMPRODUCT((IFERROR(MONTH(CASSA!$B7:$B4163)=MONTH(P$2),FALSE))*(CASSA!$G7:$G4163="Rimborso finanziamento SOCIO")*(IFERROR(ROUND(CASSA!$F7:$F4163,2),0)))+
SUMPRODUCT((IFERROR(MONTH(BANCA!$B8:$B4170)=MONTH(P$2),FALSE))*(BANCA!$G8:$G4169="Rimborso finanziamento SOCIO")*(IFERROR(ROUND(BANCA!$F8:$F4170,2),0)))+
SUMPRODUCT((IFERROR(MONTH(CASSA!$B7:$B4163)=MONTH(P$2),FALSE))*(CASSA!$G7:$G4163="Rimborso capitale mutuo")*(IFERROR(ROUND(CASSA!$F7:$F4163,2),0)))+
SUMPRODUCT((IFERROR(MONTH(BANCA!$B8:$B4170)=MONTH(P$2),FALSE))*(BANCA!$G8:$G4169="Rimborso capitale mutuo")*(IFERROR(ROUND(BANCA!$F8:$F4170,2),0)))</f>
        <v>#N/A</v>
      </c>
      <c r="Q20" s="297"/>
      <c r="R20" s="297" t="e" cm="1">
        <f t="array" ref="R20">SUMPRODUCT((IFERROR(MONTH(CASSA!$B7:$B4163)=MONTH(R$2),FALSE))*(CASSA!$G7:$G4163="Rimborso finanziamento SOCIO")*(IFERROR(ROUND(CASSA!$F7:$F4163,2),0)))+
SUMPRODUCT((IFERROR(MONTH(BANCA!$B8:$B4170)=MONTH(R$2),FALSE))*(BANCA!$G8:$G4169="Rimborso finanziamento SOCIO")*(IFERROR(ROUND(BANCA!$F8:$F4170,2),0)))+
SUMPRODUCT((IFERROR(MONTH(CASSA!$B7:$B4163)=MONTH(R$2),FALSE))*(CASSA!$G7:$G4163="Rimborso capitale mutuo")*(IFERROR(ROUND(CASSA!$F7:$F4163,2),0)))+
SUMPRODUCT((IFERROR(MONTH(BANCA!$B8:$B4170)=MONTH(R$2),FALSE))*(BANCA!$G8:$G4169="Rimborso capitale mutuo")*(IFERROR(ROUND(BANCA!$F8:$F4170,2),0)))</f>
        <v>#N/A</v>
      </c>
      <c r="S20" s="297"/>
      <c r="T20" s="297" t="e" cm="1">
        <f t="array" ref="T20">SUMPRODUCT((IFERROR(MONTH(CASSA!$B7:$B4163)=MONTH(T$2),FALSE))*(CASSA!$G7:$G4163="Rimborso finanziamento SOCIO")*(IFERROR(ROUND(CASSA!$F7:$F4163,2),0)))+
SUMPRODUCT((IFERROR(MONTH(BANCA!$B8:$B4170)=MONTH(T$2),FALSE))*(BANCA!$G8:$G4169="Rimborso finanziamento SOCIO")*(IFERROR(ROUND(BANCA!$F8:$F4170,2),0)))+
SUMPRODUCT((IFERROR(MONTH(CASSA!$B7:$B4163)=MONTH(T$2),FALSE))*(CASSA!$G7:$G4163="Rimborso capitale mutuo")*(IFERROR(ROUND(CASSA!$F7:$F4163,2),0)))+
SUMPRODUCT((IFERROR(MONTH(BANCA!$B8:$B4170)=MONTH(T$2),FALSE))*(BANCA!$G8:$G4169="Rimborso capitale mutuo")*(IFERROR(ROUND(BANCA!$F8:$F4170,2),0)))</f>
        <v>#N/A</v>
      </c>
      <c r="U20" s="297"/>
      <c r="V20" s="297" t="e" cm="1">
        <f t="array" ref="V20">SUMPRODUCT((IFERROR(MONTH(CASSA!$B7:$B4163)=MONTH(V$2),FALSE))*(CASSA!$G7:$G4163="Rimborso finanziamento SOCIO")*(IFERROR(ROUND(CASSA!$F7:$F4163,2),0)))+
SUMPRODUCT((IFERROR(MONTH(BANCA!$B8:$B4170)=MONTH(V$2),FALSE))*(BANCA!$G8:$G4169="Rimborso finanziamento SOCIO")*(IFERROR(ROUND(BANCA!$F8:$F4170,2),0)))+
SUMPRODUCT((IFERROR(MONTH(CASSA!$B7:$B4163)=MONTH(V$2),FALSE))*(CASSA!$G7:$G4163="Rimborso capitale mutuo")*(IFERROR(ROUND(CASSA!$F7:$F4163,2),0)))+
SUMPRODUCT((IFERROR(MONTH(BANCA!$B8:$B4170)=MONTH(V$2),FALSE))*(BANCA!$G8:$G4169="Rimborso capitale mutuo")*(IFERROR(ROUND(BANCA!$F8:$F4170,2),0)))</f>
        <v>#N/A</v>
      </c>
      <c r="W20" s="297"/>
      <c r="X20" s="297" t="e" cm="1">
        <f t="array" ref="X20">SUMPRODUCT((IFERROR(MONTH(CASSA!$B7:$B4163)=MONTH(X$2),FALSE))*(CASSA!$G7:$G4163="Rimborso finanziamento SOCIO")*(IFERROR(ROUND(CASSA!$F7:$F4163,2),0)))+
SUMPRODUCT((IFERROR(MONTH(BANCA!$B8:$B4170)=MONTH(X$2),FALSE))*(BANCA!$G8:$G4169="Rimborso finanziamento SOCIO")*(IFERROR(ROUND(BANCA!$F8:$F4170,2),0)))+
SUMPRODUCT((IFERROR(MONTH(CASSA!$B7:$B4163)=MONTH(X$2),FALSE))*(CASSA!$G7:$G4163="Rimborso capitale mutuo")*(IFERROR(ROUND(CASSA!$F7:$F4163,2),0)))+
SUMPRODUCT((IFERROR(MONTH(BANCA!$B8:$B4170)=MONTH(X$2),FALSE))*(BANCA!$G8:$G4169="Rimborso capitale mutuo")*(IFERROR(ROUND(BANCA!$F8:$F4170,2),0)))</f>
        <v>#N/A</v>
      </c>
      <c r="Y20" s="297"/>
      <c r="Z20" s="297" t="e" cm="1">
        <f t="array" ref="Z20">SUMPRODUCT((IFERROR(MONTH(CASSA!$B7:$B4163)=MONTH(Z$2),FALSE))*(CASSA!$G7:$G4163="Rimborso finanziamento SOCIO")*(IFERROR(ROUND(CASSA!$F7:$F4163,2),0)))+
SUMPRODUCT((IFERROR(MONTH(BANCA!$B8:$B4170)=MONTH(Z$2),FALSE))*(BANCA!$G8:$G4169="Rimborso finanziamento SOCIO")*(IFERROR(ROUND(BANCA!$F8:$F4170,2),0)))+
SUMPRODUCT((IFERROR(MONTH(CASSA!$B7:$B4163)=MONTH(Z$2),FALSE))*(CASSA!$G7:$G4163="Rimborso capitale mutuo")*(IFERROR(ROUND(CASSA!$F7:$F4163,2),0)))+
SUMPRODUCT((IFERROR(MONTH(BANCA!$B8:$B4170)=MONTH(Z$2),FALSE))*(BANCA!$G8:$G4169="Rimborso capitale mutuo")*(IFERROR(ROUND(BANCA!$F8:$F4170,2),0)))</f>
        <v>#N/A</v>
      </c>
      <c r="AA20" s="297"/>
      <c r="AB20" s="769" t="e">
        <f>SUM(D20:Z20)</f>
        <v>#N/A</v>
      </c>
      <c r="AC20" s="284"/>
      <c r="AD20" s="284"/>
      <c r="AE20" s="284"/>
      <c r="AF20" s="284"/>
      <c r="AG20" s="284"/>
      <c r="AH20" s="284"/>
      <c r="AI20" s="284"/>
      <c r="AJ20" s="284"/>
      <c r="AK20" s="284"/>
      <c r="AL20" s="284"/>
      <c r="AM20" s="284"/>
      <c r="AN20" s="284"/>
    </row>
    <row r="21" spans="2:40" s="735" customFormat="1" ht="17" customHeight="1">
      <c r="B21" s="904" t="s">
        <v>138</v>
      </c>
      <c r="C21" s="904"/>
      <c r="D21" s="297">
        <f>D78</f>
        <v>-663.95000000000027</v>
      </c>
      <c r="E21" s="297"/>
      <c r="F21" s="297">
        <f>F78</f>
        <v>2027.9300000000012</v>
      </c>
      <c r="G21" s="297"/>
      <c r="H21" s="297">
        <f t="shared" ref="H21:Z21" si="14">H78</f>
        <v>4902.4899999999989</v>
      </c>
      <c r="I21" s="297"/>
      <c r="J21" s="297">
        <f t="shared" si="14"/>
        <v>8717.1999999999989</v>
      </c>
      <c r="K21" s="297"/>
      <c r="L21" s="297">
        <f t="shared" si="14"/>
        <v>9620.8100000000013</v>
      </c>
      <c r="M21" s="297"/>
      <c r="N21" s="297">
        <f t="shared" si="14"/>
        <v>1306.9000000000015</v>
      </c>
      <c r="O21" s="297"/>
      <c r="P21" s="297">
        <f t="shared" si="14"/>
        <v>6368.7400000000071</v>
      </c>
      <c r="Q21" s="297"/>
      <c r="R21" s="297">
        <f t="shared" si="14"/>
        <v>143.67000000000007</v>
      </c>
      <c r="S21" s="297"/>
      <c r="T21" s="297">
        <f t="shared" si="14"/>
        <v>2133.3600000000006</v>
      </c>
      <c r="U21" s="297"/>
      <c r="V21" s="297">
        <f t="shared" si="14"/>
        <v>2109.0499999999993</v>
      </c>
      <c r="W21" s="297"/>
      <c r="X21" s="297">
        <f t="shared" si="14"/>
        <v>541.60000000000264</v>
      </c>
      <c r="Y21" s="297"/>
      <c r="Z21" s="297">
        <f t="shared" si="14"/>
        <v>2716.4799999999996</v>
      </c>
      <c r="AA21" s="297"/>
      <c r="AB21" s="769">
        <f>SUM(D21:Z21)</f>
        <v>39924.280000000013</v>
      </c>
      <c r="AC21" s="284"/>
      <c r="AD21" s="284"/>
      <c r="AE21" s="284"/>
      <c r="AF21" s="284"/>
      <c r="AG21" s="284"/>
      <c r="AH21" s="284"/>
      <c r="AI21" s="284"/>
      <c r="AJ21" s="284"/>
      <c r="AK21" s="284"/>
      <c r="AL21" s="284"/>
      <c r="AM21" s="284"/>
      <c r="AN21" s="284"/>
    </row>
    <row r="22" spans="2:40" s="286" customFormat="1">
      <c r="B22" s="287"/>
      <c r="C22" s="287"/>
      <c r="D22" s="287"/>
      <c r="E22" s="287"/>
      <c r="F22" s="287"/>
      <c r="G22" s="287"/>
      <c r="H22" s="287"/>
      <c r="I22" s="287"/>
      <c r="J22" s="287"/>
      <c r="K22" s="287"/>
      <c r="L22" s="287"/>
      <c r="M22" s="287"/>
      <c r="N22" s="287"/>
      <c r="O22" s="287"/>
      <c r="P22" s="287"/>
      <c r="Q22" s="287"/>
      <c r="R22" s="288"/>
      <c r="S22" s="288"/>
      <c r="T22" s="288"/>
      <c r="U22" s="288"/>
      <c r="V22" s="288"/>
      <c r="W22" s="288"/>
      <c r="X22" s="288"/>
      <c r="Y22" s="288"/>
      <c r="Z22" s="288"/>
      <c r="AA22" s="288"/>
      <c r="AB22" s="288"/>
      <c r="AC22" s="285"/>
      <c r="AD22" s="285"/>
      <c r="AE22" s="285"/>
      <c r="AF22" s="285"/>
      <c r="AG22" s="285"/>
      <c r="AH22" s="285"/>
      <c r="AI22" s="285"/>
      <c r="AJ22" s="285"/>
      <c r="AK22" s="285"/>
      <c r="AL22" s="285"/>
      <c r="AM22" s="285"/>
      <c r="AN22" s="285"/>
    </row>
    <row r="23" spans="2:40" s="232" customFormat="1" ht="24" customHeight="1">
      <c r="B23" s="906" t="s">
        <v>1962</v>
      </c>
      <c r="C23" s="906"/>
      <c r="D23" s="297"/>
      <c r="E23" s="297"/>
      <c r="F23" s="297"/>
      <c r="G23" s="297"/>
      <c r="H23" s="297"/>
      <c r="I23" s="297"/>
      <c r="J23" s="297"/>
      <c r="K23" s="297"/>
      <c r="L23" s="297"/>
      <c r="M23" s="297"/>
      <c r="N23" s="297"/>
      <c r="O23" s="297"/>
      <c r="P23" s="297"/>
      <c r="Q23" s="297"/>
      <c r="R23" s="297"/>
      <c r="S23" s="297"/>
      <c r="T23" s="297"/>
      <c r="U23" s="297"/>
      <c r="V23" s="297"/>
      <c r="W23" s="297"/>
      <c r="X23" s="297"/>
      <c r="Y23" s="297"/>
      <c r="Z23" s="297"/>
      <c r="AA23" s="297"/>
      <c r="AB23" s="297"/>
      <c r="AC23" s="298"/>
      <c r="AD23" s="298"/>
      <c r="AE23" s="298"/>
      <c r="AF23" s="298"/>
      <c r="AG23" s="298"/>
      <c r="AH23" s="298"/>
      <c r="AI23" s="298"/>
      <c r="AJ23" s="298"/>
      <c r="AK23" s="298"/>
      <c r="AL23" s="298"/>
      <c r="AM23" s="298"/>
      <c r="AN23" s="298"/>
    </row>
    <row r="24" spans="2:40" s="232" customFormat="1" ht="18" customHeight="1">
      <c r="B24" s="907" t="s">
        <v>140</v>
      </c>
      <c r="C24" s="907"/>
      <c r="D24" s="297" cm="1">
        <f t="array" ref="D24">SUMPRODUCT((IFERROR(MONTH(CASSA!$B7:$B3166)=MONTH(D$2),FALSE))*(CASSA!$G7:$G3166="Retribuzione del personale")*(IFERROR(ROUND(CASSA!$F7:$F3166,2),0)))+
SUMPRODUCT((IFERROR(MONTH(BANCA!$B8:$B4163)=MONTH(D$2),FALSE))*(BANCA!$G8:$G4163="Retribuzione del personale")*(IFERROR(ROUND(BANCA!$F8:$F4163,2),0)))</f>
        <v>3507</v>
      </c>
      <c r="E24" s="297"/>
      <c r="F24" s="297" cm="1">
        <f t="array" ref="F24">SUMPRODUCT((IFERROR(MONTH(CASSA!$B7:$B3166)=MONTH(F$2),FALSE))*(CASSA!$G7:$G3166="Retribuzione del personale")*(IFERROR(ROUND(CASSA!$F7:$F3166,2),0)))+
SUMPRODUCT((IFERROR(MONTH(BANCA!$B8:$B4163)=MONTH(F$2),FALSE))*(BANCA!$G8:$G4163="Retribuzione del personale")*(IFERROR(ROUND(BANCA!$F8:$F4163,2),0)))</f>
        <v>3424</v>
      </c>
      <c r="G24" s="297"/>
      <c r="H24" s="297" cm="1">
        <f t="array" ref="H24">SUMPRODUCT((IFERROR(MONTH(CASSA!$B7:$B3166)=MONTH(H$2),FALSE))*(CASSA!$G7:$G3166="Retribuzione del personale")*(IFERROR(ROUND(CASSA!$F7:$F3166,2),0)))+
SUMPRODUCT((IFERROR(MONTH(BANCA!$B8:$B4163)=MONTH(H$2),FALSE))*(BANCA!$G8:$G4163="Retribuzione del personale")*(IFERROR(ROUND(BANCA!$F8:$F4163,2),0)))</f>
        <v>3674</v>
      </c>
      <c r="I24" s="297"/>
      <c r="J24" s="297" cm="1">
        <f t="array" ref="J24">SUMPRODUCT((IFERROR(MONTH(CASSA!$B7:$B3166)=MONTH(J$2),FALSE))*(CASSA!$G7:$G3166="Retribuzione del personale")*(IFERROR(ROUND(CASSA!$F7:$F3166,2),0)))+
SUMPRODUCT((IFERROR(MONTH(BANCA!$B8:$B4163)=MONTH(J$2),FALSE))*(BANCA!$G8:$G4163="Retribuzione del personale")*(IFERROR(ROUND(BANCA!$F8:$F4163,2),0)))</f>
        <v>3570</v>
      </c>
      <c r="K24" s="297"/>
      <c r="L24" s="297" cm="1">
        <f t="array" ref="L24">SUMPRODUCT((IFERROR(MONTH(CASSA!$B7:$B3166)=MONTH(L$2),FALSE))*(CASSA!$G7:$G3166="Retribuzione del personale")*(IFERROR(ROUND(CASSA!$F7:$F3166,2),0)))+
SUMPRODUCT((IFERROR(MONTH(BANCA!$B8:$B4163)=MONTH(L$2),FALSE))*(BANCA!$G8:$G4163="Retribuzione del personale")*(IFERROR(ROUND(BANCA!$F8:$F4163,2),0)))</f>
        <v>6356</v>
      </c>
      <c r="M24" s="297"/>
      <c r="N24" s="297" cm="1">
        <f t="array" ref="N24">SUMPRODUCT((IFERROR(MONTH(CASSA!$B7:$B3166)=MONTH(N$2),FALSE))*(CASSA!$G7:$G3166="Retribuzione del personale")*(IFERROR(ROUND(CASSA!$F7:$F3166,2),0)))+
SUMPRODUCT((IFERROR(MONTH(BANCA!$B8:$B4163)=MONTH(N$2),FALSE))*(BANCA!$G8:$G4163="Retribuzione del personale")*(IFERROR(ROUND(BANCA!$F8:$F4163,2),0)))</f>
        <v>6003</v>
      </c>
      <c r="O24" s="297"/>
      <c r="P24" s="297" cm="1">
        <f t="array" ref="P24">SUMPRODUCT((IFERROR(MONTH(CASSA!$B7:$B3166)=MONTH(P$2),FALSE))*(CASSA!$G7:$G3166="Retribuzione del personale")*(IFERROR(ROUND(CASSA!$F7:$F3166,2),0)))+
SUMPRODUCT((IFERROR(MONTH(BANCA!$B8:$B4163)=MONTH(P$2),FALSE))*(BANCA!$G8:$G4163="Retribuzione del personale")*(IFERROR(ROUND(BANCA!$F8:$F4163,2),0)))</f>
        <v>5501</v>
      </c>
      <c r="Q24" s="297"/>
      <c r="R24" s="297" cm="1">
        <f t="array" ref="R24">SUMPRODUCT((IFERROR(MONTH(CASSA!$B7:$B3166)=MONTH(R$2),FALSE))*(CASSA!$G7:$G3166="Retribuzione del personale")*(IFERROR(ROUND(CASSA!$F7:$F3166,2),0)))+
SUMPRODUCT((IFERROR(MONTH(BANCA!$B8:$B4163)=MONTH(R$2),FALSE))*(BANCA!$G8:$G4163="Retribuzione del personale")*(IFERROR(ROUND(BANCA!$F8:$F4163,2),0)))</f>
        <v>6227</v>
      </c>
      <c r="S24" s="297"/>
      <c r="T24" s="297" cm="1">
        <f t="array" ref="T24">SUMPRODUCT((IFERROR(MONTH(CASSA!$B7:$B3166)=MONTH(T$2),FALSE))*(CASSA!$G7:$G3166="Retribuzione del personale")*(IFERROR(ROUND(CASSA!$F7:$F3166,2),0)))+
SUMPRODUCT((IFERROR(MONTH(BANCA!$B8:$B4163)=MONTH(T$2),FALSE))*(BANCA!$G8:$G4163="Retribuzione del personale")*(IFERROR(ROUND(BANCA!$F8:$F4163,2),0)))</f>
        <v>5363</v>
      </c>
      <c r="U24" s="297"/>
      <c r="V24" s="297" cm="1">
        <f t="array" ref="V24">SUMPRODUCT((IFERROR(MONTH(CASSA!$B7:$B3166)=MONTH(V$2),FALSE))*(CASSA!$G7:$G3166="Retribuzione del personale")*(IFERROR(ROUND(CASSA!$F7:$F3166,2),0)))+
SUMPRODUCT((IFERROR(MONTH(BANCA!$B8:$B4163)=MONTH(V$2),FALSE))*(BANCA!$G8:$G4163="Retribuzione del personale")*(IFERROR(ROUND(BANCA!$F8:$F4163,2),0)))</f>
        <v>6617</v>
      </c>
      <c r="W24" s="297"/>
      <c r="X24" s="297" cm="1">
        <f t="array" ref="X24">SUMPRODUCT((IFERROR(MONTH(CASSA!$B7:$B3166)=MONTH(X$2),FALSE))*(CASSA!$G7:$G3166="Retribuzione del personale")*(IFERROR(ROUND(CASSA!$F7:$F3166,2),0)))+
SUMPRODUCT((IFERROR(MONTH(BANCA!$B8:$B4163)=MONTH(X$2),FALSE))*(BANCA!$G8:$G4163="Retribuzione del personale")*(IFERROR(ROUND(BANCA!$F8:$F4163,2),0)))</f>
        <v>12265</v>
      </c>
      <c r="Y24" s="297"/>
      <c r="Z24" s="297" cm="1">
        <f t="array" ref="Z24">SUMPRODUCT((IFERROR(MONTH(CASSA!$B7:$B3166)=MONTH(Z$2),FALSE))*(CASSA!$G7:$G3166="Retribuzione del personale")*(IFERROR(ROUND(CASSA!$F7:$F3166,2),0)))+
SUMPRODUCT((IFERROR(MONTH(BANCA!$B8:$B4163)=MONTH(Z$2),FALSE))*(BANCA!$G8:$G4163="Retribuzione del personale")*(IFERROR(ROUND(BANCA!$F8:$F4163,2),0)))</f>
        <v>0</v>
      </c>
      <c r="AA24" s="297"/>
      <c r="AB24" s="761">
        <f t="shared" ref="AB24:AB29" si="15">SUM(D24:Z24)</f>
        <v>62507</v>
      </c>
      <c r="AC24" s="792" t="s">
        <v>1993</v>
      </c>
      <c r="AD24" s="284"/>
      <c r="AE24" s="284"/>
      <c r="AF24" s="284"/>
      <c r="AG24" s="284"/>
      <c r="AH24" s="284"/>
      <c r="AI24" s="284"/>
      <c r="AJ24" s="284"/>
      <c r="AK24" s="284"/>
      <c r="AL24" s="284"/>
      <c r="AM24" s="284"/>
      <c r="AN24" s="284"/>
    </row>
    <row r="25" spans="2:40" s="232" customFormat="1" ht="18" customHeight="1">
      <c r="B25" s="905" t="s">
        <v>141</v>
      </c>
      <c r="C25" s="905"/>
      <c r="D25" s="297" cm="1">
        <f t="array" ref="D25">SUMPRODUCT((IFERROR(MONTH(CASSA!$B7:$B3166)=MONTH(D$2),FALSE))*(CASSA!$G7:$G3166="Retribuzione del personale EXTRA")*(IFERROR(ROUND(CASSA!$F7:$F3166,2),0)))+
SUMPRODUCT((IFERROR(MONTH(CASSA!$B7:$B3166)=MONTH(D$2),FALSE))*(CASSA!$G7:$G3166="DJ Compleanni")*(IFERROR(ROUND(CASSA!$F7:$F3166,2),0)))+
SUMPRODUCT((IFERROR(MONTH(BANCA!$B8:$B4163)=MONTH(D$2),FALSE))*(BANCA!$G8:$G4163="Retribuzione del personale EXTRA")*(IFERROR(ROUND(BANCA!$F8:$F4163,2),0)))+
SUMPRODUCT((IFERROR(MONTH(BANCA!$B8:$B4163)=MONTH(D$2),FALSE))*(BANCA!$G8:$G4163="DJ Compleanni")*(IFERROR(ROUND(BANCA!$F8:$F4163,2),0)))-SUMPRODUCT((IFERROR(MONTH(CASSA!$B7:$B3166)=MONTH(D$2),FALSE))*(CASSA!$G7:$G3166="Retribuzione del personale EXTRA")*(IFERROR(ROUND(CASSA!$E7:$E3166,2),0)))+
SUMPRODUCT((IFERROR(MONTH(CASSA!$B7:$B3166)=MONTH(D$2),FALSE))*(CASSA!$G7:$G3166="DJ Compleanni")*(IFERROR(ROUND(CASSA!$E7:$E3166,2),0)))-
SUMPRODUCT((IFERROR(MONTH(BANCA!$B8:$B4163)=MONTH(D$2),FALSE))*(BANCA!$G8:$G4163="Retribuzione del personale EXTRA")*(IFERROR(ROUND(BANCA!$E8:$E4163,2),0)))-
SUMPRODUCT((IFERROR(MONTH(BANCA!$B8:$B4163)=MONTH(D$2),FALSE))*(BANCA!$G8:$G4163="DJ Compleanni")*(IFERROR(ROUND(BANCA!$E8:$E4163,2),0)))</f>
        <v>3460</v>
      </c>
      <c r="E25" s="297"/>
      <c r="F25" s="297" cm="1">
        <f t="array" ref="F25">SUMPRODUCT((IFERROR(MONTH(CASSA!$B7:$B3166)=MONTH(F$2),FALSE))*(CASSA!$G7:$G3166="Retribuzione del personale EXTRA")*(IFERROR(ROUND(CASSA!$F7:$F3166,2),0)))+
SUMPRODUCT((IFERROR(MONTH(CASSA!$B7:$B3166)=MONTH(F$2),FALSE))*(CASSA!$G7:$G3166="DJ Compleanni")*(IFERROR(ROUND(CASSA!$F7:$F3166,2),0)))+
SUMPRODUCT((IFERROR(MONTH(BANCA!$B8:$B4163)=MONTH(F$2),FALSE))*(BANCA!$G8:$G4163="Retribuzione del personale EXTRA")*(IFERROR(ROUND(BANCA!$F8:$F4163,2),0)))+
SUMPRODUCT((IFERROR(MONTH(BANCA!$B8:$B4163)=MONTH(F$2),FALSE))*(BANCA!$G8:$G4163="DJ Compleanni")*(IFERROR(ROUND(BANCA!$F8:$F4163,2),0)))-SUMPRODUCT((IFERROR(MONTH(CASSA!$B7:$B3166)=MONTH(F$2),FALSE))*(CASSA!$G7:$G3166="Retribuzione del personale EXTRA")*(IFERROR(ROUND(CASSA!$E7:$E3166,2),0)))+
SUMPRODUCT((IFERROR(MONTH(CASSA!$B7:$B3166)=MONTH(F$2),FALSE))*(CASSA!$G7:$G3166="DJ Compleanni")*(IFERROR(ROUND(CASSA!$E7:$E3166,2),0)))-
SUMPRODUCT((IFERROR(MONTH(BANCA!$B8:$B4163)=MONTH(F$2),FALSE))*(BANCA!$G8:$G4163="Retribuzione del personale EXTRA")*(IFERROR(ROUND(BANCA!$E8:$E4163,2),0)))-
SUMPRODUCT((IFERROR(MONTH(BANCA!$B8:$B4163)=MONTH(F$2),FALSE))*(BANCA!$G8:$G4163="DJ Compleanni")*(IFERROR(ROUND(BANCA!$E8:$E4163,2),0)))</f>
        <v>3064.86</v>
      </c>
      <c r="G25" s="297"/>
      <c r="H25" s="297" cm="1">
        <f t="array" ref="H25">SUMPRODUCT((IFERROR(MONTH(CASSA!$B7:$B3166)=MONTH(H$2),FALSE))*(CASSA!$G7:$G3166="Retribuzione del personale EXTRA")*(IFERROR(ROUND(CASSA!$F7:$F3166,2),0)))+
SUMPRODUCT((IFERROR(MONTH(CASSA!$B7:$B3166)=MONTH(H$2),FALSE))*(CASSA!$G7:$G3166="DJ Compleanni")*(IFERROR(ROUND(CASSA!$F7:$F3166,2),0)))+
SUMPRODUCT((IFERROR(MONTH(BANCA!$B8:$B4163)=MONTH(H$2),FALSE))*(BANCA!$G8:$G4163="Retribuzione del personale EXTRA")*(IFERROR(ROUND(BANCA!$F8:$F4163,2),0)))+
SUMPRODUCT((IFERROR(MONTH(BANCA!$B8:$B4163)=MONTH(H$2),FALSE))*(BANCA!$G8:$G4163="DJ Compleanni")*(IFERROR(ROUND(BANCA!$F8:$F4163,2),0)))-SUMPRODUCT((IFERROR(MONTH(CASSA!$B7:$B3166)=MONTH(H$2),FALSE))*(CASSA!$G7:$G3166="Retribuzione del personale EXTRA")*(IFERROR(ROUND(CASSA!$E7:$E3166,2),0)))+
SUMPRODUCT((IFERROR(MONTH(CASSA!$B7:$B3166)=MONTH(H$2),FALSE))*(CASSA!$G7:$G3166="DJ Compleanni")*(IFERROR(ROUND(CASSA!$E7:$E3166,2),0)))-
SUMPRODUCT((IFERROR(MONTH(BANCA!$B8:$B4163)=MONTH(H$2),FALSE))*(BANCA!$G8:$G4163="Retribuzione del personale EXTRA")*(IFERROR(ROUND(BANCA!$E8:$E4163,2),0)))-
SUMPRODUCT((IFERROR(MONTH(BANCA!$B8:$B4163)=MONTH(H$2),FALSE))*(BANCA!$G8:$G4163="DJ Compleanni")*(IFERROR(ROUND(BANCA!$E8:$E4163,2),0)))</f>
        <v>3112.17</v>
      </c>
      <c r="I25" s="297"/>
      <c r="J25" s="297" cm="1">
        <f t="array" ref="J25">SUMPRODUCT((IFERROR(MONTH(CASSA!$B7:$B3166)=MONTH(J$2),FALSE))*(CASSA!$G7:$G3166="Retribuzione del personale EXTRA")*(IFERROR(ROUND(CASSA!$F7:$F3166,2),0)))+
SUMPRODUCT((IFERROR(MONTH(CASSA!$B7:$B3166)=MONTH(J$2),FALSE))*(CASSA!$G7:$G3166="DJ Compleanni")*(IFERROR(ROUND(CASSA!$F7:$F3166,2),0)))+
SUMPRODUCT((IFERROR(MONTH(BANCA!$B8:$B4163)=MONTH(J$2),FALSE))*(BANCA!$G8:$G4163="Retribuzione del personale EXTRA")*(IFERROR(ROUND(BANCA!$F8:$F4163,2),0)))+
SUMPRODUCT((IFERROR(MONTH(BANCA!$B8:$B4163)=MONTH(J$2),FALSE))*(BANCA!$G8:$G4163="DJ Compleanni")*(IFERROR(ROUND(BANCA!$F8:$F4163,2),0)))-SUMPRODUCT((IFERROR(MONTH(CASSA!$B7:$B3166)=MONTH(J$2),FALSE))*(CASSA!$G7:$G3166="Retribuzione del personale EXTRA")*(IFERROR(ROUND(CASSA!$E7:$E3166,2),0)))+
SUMPRODUCT((IFERROR(MONTH(CASSA!$B7:$B3166)=MONTH(J$2),FALSE))*(CASSA!$G7:$G3166="DJ Compleanni")*(IFERROR(ROUND(CASSA!$E7:$E3166,2),0)))-
SUMPRODUCT((IFERROR(MONTH(BANCA!$B8:$B4163)=MONTH(J$2),FALSE))*(BANCA!$G8:$G4163="Retribuzione del personale EXTRA")*(IFERROR(ROUND(BANCA!$E8:$E4163,2),0)))-
SUMPRODUCT((IFERROR(MONTH(BANCA!$B8:$B4163)=MONTH(J$2),FALSE))*(BANCA!$G8:$G4163="DJ Compleanni")*(IFERROR(ROUND(BANCA!$E8:$E4163,2),0)))</f>
        <v>3179</v>
      </c>
      <c r="K25" s="297"/>
      <c r="L25" s="297" cm="1">
        <f t="array" ref="L25">SUMPRODUCT((IFERROR(MONTH(CASSA!$B7:$B3166)=MONTH(L$2),FALSE))*(CASSA!$G7:$G3166="Retribuzione del personale EXTRA")*(IFERROR(ROUND(CASSA!$F7:$F3166,2),0)))+
SUMPRODUCT((IFERROR(MONTH(CASSA!$B7:$B3166)=MONTH(L$2),FALSE))*(CASSA!$G7:$G3166="DJ Compleanni")*(IFERROR(ROUND(CASSA!$F7:$F3166,2),0)))+
SUMPRODUCT((IFERROR(MONTH(BANCA!$B8:$B4163)=MONTH(L$2),FALSE))*(BANCA!$G8:$G4163="Retribuzione del personale EXTRA")*(IFERROR(ROUND(BANCA!$F8:$F4163,2),0)))+
SUMPRODUCT((IFERROR(MONTH(BANCA!$B8:$B4163)=MONTH(L$2),FALSE))*(BANCA!$G8:$G4163="DJ Compleanni")*(IFERROR(ROUND(BANCA!$F8:$F4163,2),0)))-SUMPRODUCT((IFERROR(MONTH(CASSA!$B7:$B3166)=MONTH(L$2),FALSE))*(CASSA!$G7:$G3166="Retribuzione del personale EXTRA")*(IFERROR(ROUND(CASSA!$E7:$E3166,2),0)))+
SUMPRODUCT((IFERROR(MONTH(CASSA!$B7:$B3166)=MONTH(L$2),FALSE))*(CASSA!$G7:$G3166="DJ Compleanni")*(IFERROR(ROUND(CASSA!$E7:$E3166,2),0)))-
SUMPRODUCT((IFERROR(MONTH(BANCA!$B8:$B4163)=MONTH(L$2),FALSE))*(BANCA!$G8:$G4163="Retribuzione del personale EXTRA")*(IFERROR(ROUND(BANCA!$E8:$E4163,2),0)))-
SUMPRODUCT((IFERROR(MONTH(BANCA!$B8:$B4163)=MONTH(L$2),FALSE))*(BANCA!$G8:$G4163="DJ Compleanni")*(IFERROR(ROUND(BANCA!$E8:$E4163,2),0)))</f>
        <v>3563.06</v>
      </c>
      <c r="M25" s="297"/>
      <c r="N25" s="297" cm="1">
        <f t="array" ref="N25">SUMPRODUCT((IFERROR(MONTH(CASSA!$B7:$B3166)=MONTH(N$2),FALSE))*(CASSA!$G7:$G3166="Retribuzione del personale EXTRA")*(IFERROR(ROUND(CASSA!$F7:$F3166,2),0)))+
SUMPRODUCT((IFERROR(MONTH(CASSA!$B7:$B3166)=MONTH(N$2),FALSE))*(CASSA!$G7:$G3166="DJ Compleanni")*(IFERROR(ROUND(CASSA!$F7:$F3166,2),0)))+
SUMPRODUCT((IFERROR(MONTH(BANCA!$B8:$B4163)=MONTH(N$2),FALSE))*(BANCA!$G8:$G4163="Retribuzione del personale EXTRA")*(IFERROR(ROUND(BANCA!$F8:$F4163,2),0)))+
SUMPRODUCT((IFERROR(MONTH(BANCA!$B8:$B4163)=MONTH(N$2),FALSE))*(BANCA!$G8:$G4163="DJ Compleanni")*(IFERROR(ROUND(BANCA!$F8:$F4163,2),0)))-SUMPRODUCT((IFERROR(MONTH(CASSA!$B7:$B3166)=MONTH(N$2),FALSE))*(CASSA!$G7:$G3166="Retribuzione del personale EXTRA")*(IFERROR(ROUND(CASSA!$E7:$E3166,2),0)))+
SUMPRODUCT((IFERROR(MONTH(CASSA!$B7:$B3166)=MONTH(N$2),FALSE))*(CASSA!$G7:$G3166="DJ Compleanni")*(IFERROR(ROUND(CASSA!$E7:$E3166,2),0)))-
SUMPRODUCT((IFERROR(MONTH(BANCA!$B8:$B4163)=MONTH(N$2),FALSE))*(BANCA!$G8:$G4163="Retribuzione del personale EXTRA")*(IFERROR(ROUND(BANCA!$E8:$E4163,2),0)))-
SUMPRODUCT((IFERROR(MONTH(BANCA!$B8:$B4163)=MONTH(N$2),FALSE))*(BANCA!$G8:$G4163="DJ Compleanni")*(IFERROR(ROUND(BANCA!$E8:$E4163,2),0)))</f>
        <v>2186.8199999999997</v>
      </c>
      <c r="O25" s="297"/>
      <c r="P25" s="297" cm="1">
        <f t="array" ref="P25">SUMPRODUCT((IFERROR(MONTH(CASSA!$B7:$B3166)=MONTH(P$2),FALSE))*(CASSA!$G7:$G3166="Retribuzione del personale EXTRA")*(IFERROR(ROUND(CASSA!$F7:$F3166,2),0)))+
SUMPRODUCT((IFERROR(MONTH(CASSA!$B7:$B3166)=MONTH(P$2),FALSE))*(CASSA!$G7:$G3166="DJ Compleanni")*(IFERROR(ROUND(CASSA!$F7:$F3166,2),0)))+
SUMPRODUCT((IFERROR(MONTH(BANCA!$B8:$B4163)=MONTH(P$2),FALSE))*(BANCA!$G8:$G4163="Retribuzione del personale EXTRA")*(IFERROR(ROUND(BANCA!$F8:$F4163,2),0)))+
SUMPRODUCT((IFERROR(MONTH(BANCA!$B8:$B4163)=MONTH(P$2),FALSE))*(BANCA!$G8:$G4163="DJ Compleanni")*(IFERROR(ROUND(BANCA!$F8:$F4163,2),0)))-SUMPRODUCT((IFERROR(MONTH(CASSA!$B7:$B3166)=MONTH(P$2),FALSE))*(CASSA!$G7:$G3166="Retribuzione del personale EXTRA")*(IFERROR(ROUND(CASSA!$E7:$E3166,2),0)))+
SUMPRODUCT((IFERROR(MONTH(CASSA!$B7:$B3166)=MONTH(P$2),FALSE))*(CASSA!$G7:$G3166="DJ Compleanni")*(IFERROR(ROUND(CASSA!$E7:$E3166,2),0)))-
SUMPRODUCT((IFERROR(MONTH(BANCA!$B8:$B4163)=MONTH(P$2),FALSE))*(BANCA!$G8:$G4163="Retribuzione del personale EXTRA")*(IFERROR(ROUND(BANCA!$E8:$E4163,2),0)))-
SUMPRODUCT((IFERROR(MONTH(BANCA!$B8:$B4163)=MONTH(P$2),FALSE))*(BANCA!$G8:$G4163="DJ Compleanni")*(IFERROR(ROUND(BANCA!$E8:$E4163,2),0)))</f>
        <v>3435</v>
      </c>
      <c r="Q25" s="297"/>
      <c r="R25" s="297" cm="1">
        <f t="array" ref="R25">SUMPRODUCT((IFERROR(MONTH(CASSA!$B7:$B3166)=MONTH(R$2),FALSE))*(CASSA!$G7:$G3166="Retribuzione del personale EXTRA")*(IFERROR(ROUND(CASSA!$F7:$F3166,2),0)))+
SUMPRODUCT((IFERROR(MONTH(CASSA!$B7:$B3166)=MONTH(R$2),FALSE))*(CASSA!$G7:$G3166="DJ Compleanni")*(IFERROR(ROUND(CASSA!$F7:$F3166,2),0)))+
SUMPRODUCT((IFERROR(MONTH(BANCA!$B8:$B4163)=MONTH(R$2),FALSE))*(BANCA!$G8:$G4163="Retribuzione del personale EXTRA")*(IFERROR(ROUND(BANCA!$F8:$F4163,2),0)))+
SUMPRODUCT((IFERROR(MONTH(BANCA!$B8:$B4163)=MONTH(R$2),FALSE))*(BANCA!$G8:$G4163="DJ Compleanni")*(IFERROR(ROUND(BANCA!$F8:$F4163,2),0)))-SUMPRODUCT((IFERROR(MONTH(CASSA!$B7:$B3166)=MONTH(R$2),FALSE))*(CASSA!$G7:$G3166="Retribuzione del personale EXTRA")*(IFERROR(ROUND(CASSA!$E7:$E3166,2),0)))+
SUMPRODUCT((IFERROR(MONTH(CASSA!$B7:$B3166)=MONTH(R$2),FALSE))*(CASSA!$G7:$G3166="DJ Compleanni")*(IFERROR(ROUND(CASSA!$E7:$E3166,2),0)))-
SUMPRODUCT((IFERROR(MONTH(BANCA!$B8:$B4163)=MONTH(R$2),FALSE))*(BANCA!$G8:$G4163="Retribuzione del personale EXTRA")*(IFERROR(ROUND(BANCA!$E8:$E4163,2),0)))-
SUMPRODUCT((IFERROR(MONTH(BANCA!$B8:$B4163)=MONTH(R$2),FALSE))*(BANCA!$G8:$G4163="DJ Compleanni")*(IFERROR(ROUND(BANCA!$E8:$E4163,2),0)))</f>
        <v>4444.5</v>
      </c>
      <c r="S25" s="297"/>
      <c r="T25" s="297" cm="1">
        <f t="array" ref="T25">SUMPRODUCT((IFERROR(MONTH(CASSA!$B7:$B3166)=MONTH(T$2),FALSE))*(CASSA!$G7:$G3166="Retribuzione del personale EXTRA")*(IFERROR(ROUND(CASSA!$F7:$F3166,2),0)))+
SUMPRODUCT((IFERROR(MONTH(CASSA!$B7:$B3166)=MONTH(T$2),FALSE))*(CASSA!$G7:$G3166="DJ Compleanni")*(IFERROR(ROUND(CASSA!$F7:$F3166,2),0)))+
SUMPRODUCT((IFERROR(MONTH(BANCA!$B8:$B4163)=MONTH(T$2),FALSE))*(BANCA!$G8:$G4163="Retribuzione del personale EXTRA")*(IFERROR(ROUND(BANCA!$F8:$F4163,2),0)))+
SUMPRODUCT((IFERROR(MONTH(BANCA!$B8:$B4163)=MONTH(T$2),FALSE))*(BANCA!$G8:$G4163="DJ Compleanni")*(IFERROR(ROUND(BANCA!$F8:$F4163,2),0)))-SUMPRODUCT((IFERROR(MONTH(CASSA!$B7:$B3166)=MONTH(T$2),FALSE))*(CASSA!$G7:$G3166="Retribuzione del personale EXTRA")*(IFERROR(ROUND(CASSA!$E7:$E3166,2),0)))+
SUMPRODUCT((IFERROR(MONTH(CASSA!$B7:$B3166)=MONTH(T$2),FALSE))*(CASSA!$G7:$G3166="DJ Compleanni")*(IFERROR(ROUND(CASSA!$E7:$E3166,2),0)))-
SUMPRODUCT((IFERROR(MONTH(BANCA!$B8:$B4163)=MONTH(T$2),FALSE))*(BANCA!$G8:$G4163="Retribuzione del personale EXTRA")*(IFERROR(ROUND(BANCA!$E8:$E4163,2),0)))-
SUMPRODUCT((IFERROR(MONTH(BANCA!$B8:$B4163)=MONTH(T$2),FALSE))*(BANCA!$G8:$G4163="DJ Compleanni")*(IFERROR(ROUND(BANCA!$E8:$E4163,2),0)))</f>
        <v>4117.55</v>
      </c>
      <c r="U25" s="297"/>
      <c r="V25" s="297" cm="1">
        <f t="array" ref="V25">SUMPRODUCT((IFERROR(MONTH(CASSA!$B7:$B3166)=MONTH(V$2),FALSE))*(CASSA!$G7:$G3166="Retribuzione del personale EXTRA")*(IFERROR(ROUND(CASSA!$F7:$F3166,2),0)))+
SUMPRODUCT((IFERROR(MONTH(CASSA!$B7:$B3166)=MONTH(V$2),FALSE))*(CASSA!$G7:$G3166="DJ Compleanni")*(IFERROR(ROUND(CASSA!$F7:$F3166,2),0)))+
SUMPRODUCT((IFERROR(MONTH(BANCA!$B8:$B4163)=MONTH(V$2),FALSE))*(BANCA!$G8:$G4163="Retribuzione del personale EXTRA")*(IFERROR(ROUND(BANCA!$F8:$F4163,2),0)))+
SUMPRODUCT((IFERROR(MONTH(BANCA!$B8:$B4163)=MONTH(V$2),FALSE))*(BANCA!$G8:$G4163="DJ Compleanni")*(IFERROR(ROUND(BANCA!$F8:$F4163,2),0)))-SUMPRODUCT((IFERROR(MONTH(CASSA!$B7:$B3166)=MONTH(V$2),FALSE))*(CASSA!$G7:$G3166="Retribuzione del personale EXTRA")*(IFERROR(ROUND(CASSA!$E7:$E3166,2),0)))+
SUMPRODUCT((IFERROR(MONTH(CASSA!$B7:$B3166)=MONTH(V$2),FALSE))*(CASSA!$G7:$G3166="DJ Compleanni")*(IFERROR(ROUND(CASSA!$E7:$E3166,2),0)))-
SUMPRODUCT((IFERROR(MONTH(BANCA!$B8:$B4163)=MONTH(V$2),FALSE))*(BANCA!$G8:$G4163="Retribuzione del personale EXTRA")*(IFERROR(ROUND(BANCA!$E8:$E4163,2),0)))-
SUMPRODUCT((IFERROR(MONTH(BANCA!$B8:$B4163)=MONTH(V$2),FALSE))*(BANCA!$G8:$G4163="DJ Compleanni")*(IFERROR(ROUND(BANCA!$E8:$E4163,2),0)))</f>
        <v>2372</v>
      </c>
      <c r="W25" s="297"/>
      <c r="X25" s="297" cm="1">
        <f t="array" ref="X25">SUMPRODUCT((IFERROR(MONTH(CASSA!$B7:$B3166)=MONTH(X$2),FALSE))*(CASSA!$G7:$G3166="Retribuzione del personale EXTRA")*(IFERROR(ROUND(CASSA!$F7:$F3166,2),0)))+
SUMPRODUCT((IFERROR(MONTH(CASSA!$B7:$B3166)=MONTH(X$2),FALSE))*(CASSA!$G7:$G3166="DJ Compleanni")*(IFERROR(ROUND(CASSA!$F7:$F3166,2),0)))+
SUMPRODUCT((IFERROR(MONTH(BANCA!$B8:$B4163)=MONTH(X$2),FALSE))*(BANCA!$G8:$G4163="Retribuzione del personale EXTRA")*(IFERROR(ROUND(BANCA!$F8:$F4163,2),0)))+
SUMPRODUCT((IFERROR(MONTH(BANCA!$B8:$B4163)=MONTH(X$2),FALSE))*(BANCA!$G8:$G4163="DJ Compleanni")*(IFERROR(ROUND(BANCA!$F8:$F4163,2),0)))-SUMPRODUCT((IFERROR(MONTH(CASSA!$B7:$B3166)=MONTH(X$2),FALSE))*(CASSA!$G7:$G3166="Retribuzione del personale EXTRA")*(IFERROR(ROUND(CASSA!$E7:$E3166,2),0)))+
SUMPRODUCT((IFERROR(MONTH(CASSA!$B7:$B3166)=MONTH(X$2),FALSE))*(CASSA!$G7:$G3166="DJ Compleanni")*(IFERROR(ROUND(CASSA!$E7:$E3166,2),0)))-
SUMPRODUCT((IFERROR(MONTH(BANCA!$B8:$B4163)=MONTH(X$2),FALSE))*(BANCA!$G8:$G4163="Retribuzione del personale EXTRA")*(IFERROR(ROUND(BANCA!$E8:$E4163,2),0)))-
SUMPRODUCT((IFERROR(MONTH(BANCA!$B8:$B4163)=MONTH(X$2),FALSE))*(BANCA!$G8:$G4163="DJ Compleanni")*(IFERROR(ROUND(BANCA!$E8:$E4163,2),0)))</f>
        <v>1662</v>
      </c>
      <c r="Y25" s="297"/>
      <c r="Z25" s="297" cm="1">
        <f t="array" ref="Z25">SUMPRODUCT((IFERROR(MONTH(CASSA!$B7:$B3166)=MONTH(Z$2),FALSE))*(CASSA!$G7:$G3166="Retribuzione del personale EXTRA")*(IFERROR(ROUND(CASSA!$F7:$F3166,2),0)))+
SUMPRODUCT((IFERROR(MONTH(CASSA!$B7:$B3166)=MONTH(Z$2),FALSE))*(CASSA!$G7:$G3166="DJ Compleanni")*(IFERROR(ROUND(CASSA!$F7:$F3166,2),0)))+
SUMPRODUCT((IFERROR(MONTH(BANCA!$B8:$B4163)=MONTH(Z$2),FALSE))*(BANCA!$G8:$G4163="Retribuzione del personale EXTRA")*(IFERROR(ROUND(BANCA!$F8:$F4163,2),0)))+
SUMPRODUCT((IFERROR(MONTH(BANCA!$B8:$B4163)=MONTH(Z$2),FALSE))*(BANCA!$G8:$G4163="DJ Compleanni")*(IFERROR(ROUND(BANCA!$F8:$F4163,2),0)))-SUMPRODUCT((IFERROR(MONTH(CASSA!$B7:$B3166)=MONTH(Z$2),FALSE))*(CASSA!$G7:$G3166="Retribuzione del personale EXTRA")*(IFERROR(ROUND(CASSA!$E7:$E3166,2),0)))+
SUMPRODUCT((IFERROR(MONTH(CASSA!$B7:$B3166)=MONTH(Z$2),FALSE))*(CASSA!$G7:$G3166="DJ Compleanni")*(IFERROR(ROUND(CASSA!$E7:$E3166,2),0)))-
SUMPRODUCT((IFERROR(MONTH(BANCA!$B8:$B4163)=MONTH(Z$2),FALSE))*(BANCA!$G8:$G4163="Retribuzione del personale EXTRA")*(IFERROR(ROUND(BANCA!$E8:$E4163,2),0)))-
SUMPRODUCT((IFERROR(MONTH(BANCA!$B8:$B4163)=MONTH(Z$2),FALSE))*(BANCA!$G8:$G4163="DJ Compleanni")*(IFERROR(ROUND(BANCA!$E8:$E4163,2),0)))</f>
        <v>1796</v>
      </c>
      <c r="AA25" s="297"/>
      <c r="AB25" s="761">
        <f t="shared" si="15"/>
        <v>36392.959999999999</v>
      </c>
      <c r="AC25" s="792" t="s">
        <v>1993</v>
      </c>
      <c r="AD25" s="284"/>
      <c r="AE25" s="284"/>
      <c r="AF25" s="284"/>
      <c r="AG25" s="284"/>
      <c r="AH25" s="284"/>
      <c r="AI25" s="284"/>
      <c r="AJ25" s="284"/>
      <c r="AK25" s="284"/>
      <c r="AL25" s="284"/>
      <c r="AM25" s="284"/>
      <c r="AN25" s="284"/>
    </row>
    <row r="26" spans="2:40" s="232" customFormat="1" ht="18" customHeight="1">
      <c r="B26" s="907" t="s">
        <v>142</v>
      </c>
      <c r="C26" s="907"/>
      <c r="D26" s="297" cm="1">
        <f t="array" ref="D26">SUMPRODUCT((IFERROR(MONTH(CASSA!$B7:$B3166)=MONTH(D$2),FALSE))*(CASSA!$G7:$G3166="Retribuzione del personale MATTINA")*(IFERROR(ROUND(CASSA!$F7:$F3166,2),0)))+
SUMPRODUCT((IFERROR(MONTH(CASSA!$B7:$B3166)=MONTH(D$2),FALSE))*(CASSA!$G7:$G3166="Retribuzione del personale EXTRA MATTINA")*(IFERROR(ROUND(CASSA!$F7:$F3166,2),0)))+
SUMPRODUCT((IFERROR(MONTH(BANCA!$B8:$B4163)=MONTH(D$2),FALSE))*(BANCA!$G8:$G4163="Retribuzione del personale MATTINA")*(IFERROR(ROUND(BANCA!$F8:$F4163,2),0)))+
SUMPRODUCT((IFERROR(MONTH(BANCA!$B8:$B4163)=MONTH(D$2),FALSE))*(BANCA!$G8:$G4163="Retribuzione del personale EXTRA MATTINA")*(IFERROR(ROUND(BANCA!$F8:$F4163,2),0)))-SUMPRODUCT((IFERROR(MONTH(CASSA!$B7:$B3166)=MONTH(D$2),FALSE))*(CASSA!$G7:$G3166="Retribuzione del personale MATTINA")*(IFERROR(ROUND(CASSA!$E7:$E3166,2),0)))+
SUMPRODUCT((IFERROR(MONTH(CASSA!$B7:$B3166)=MONTH(D$2),FALSE))*(CASSA!$G7:$G3166="Retribuzione del personale EXTRA MATTINA")*(IFERROR(ROUND(CASSA!$E7:$E3166,2),0)))-
SUMPRODUCT((IFERROR(MONTH(BANCA!$B8:$B4163)=MONTH(D$2),FALSE))*(BANCA!$G8:$G4163="Retribuzione del personale MATTINA")*(IFERROR(ROUND(BANCA!$E8:$E4163,2),0)))-
SUMPRODUCT((IFERROR(MONTH(BANCA!$B8:$B4163)=MONTH(D$2),FALSE))*(BANCA!$G8:$G4163="Retribuzione del personale EXTRA MATTINA")*(IFERROR(ROUND(BANCA!$E8:$E4163,2),0)))</f>
        <v>5210</v>
      </c>
      <c r="E26" s="297"/>
      <c r="F26" s="297" cm="1">
        <f t="array" ref="F26">SUMPRODUCT((IFERROR(MONTH(CASSA!$B7:$B3166)=MONTH(F$2),FALSE))*(CASSA!$G7:$G3166="Retribuzione del personale MATTINA")*(IFERROR(ROUND(CASSA!$F7:$F3166,2),0)))+
SUMPRODUCT((IFERROR(MONTH(CASSA!$B7:$B3166)=MONTH(F$2),FALSE))*(CASSA!$G7:$G3166="Retribuzione del personale EXTRA MATTINA")*(IFERROR(ROUND(CASSA!$F7:$F3166,2),0)))+
SUMPRODUCT((IFERROR(MONTH(BANCA!$B8:$B4163)=MONTH(F$2),FALSE))*(BANCA!$G8:$G4163="Retribuzione del personale MATTINA")*(IFERROR(ROUND(BANCA!$F8:$F4163,2),0)))+
SUMPRODUCT((IFERROR(MONTH(BANCA!$B8:$B4163)=MONTH(F$2),FALSE))*(BANCA!$G8:$G4163="Retribuzione del personale EXTRA MATTINA")*(IFERROR(ROUND(BANCA!$F8:$F4163,2),0)))-SUMPRODUCT((IFERROR(MONTH(CASSA!$B7:$B3166)=MONTH(F$2),FALSE))*(CASSA!$G7:$G3166="Retribuzione del personale MATTINA")*(IFERROR(ROUND(CASSA!$E7:$E3166,2),0)))+
SUMPRODUCT((IFERROR(MONTH(CASSA!$B7:$B3166)=MONTH(F$2),FALSE))*(CASSA!$G7:$G3166="Retribuzione del personale EXTRA MATTINA")*(IFERROR(ROUND(CASSA!$E7:$E3166,2),0)))-
SUMPRODUCT((IFERROR(MONTH(BANCA!$B8:$B4163)=MONTH(F$2),FALSE))*(BANCA!$G8:$G4163="Retribuzione del personale MATTINA")*(IFERROR(ROUND(BANCA!$E8:$E4163,2),0)))-
SUMPRODUCT((IFERROR(MONTH(BANCA!$B8:$B4163)=MONTH(F$2),FALSE))*(BANCA!$G8:$G4163="Retribuzione del personale EXTRA MATTINA")*(IFERROR(ROUND(BANCA!$E8:$E4163,2),0)))</f>
        <v>4419</v>
      </c>
      <c r="G26" s="297"/>
      <c r="H26" s="297" cm="1">
        <f t="array" ref="H26">SUMPRODUCT((IFERROR(MONTH(CASSA!$B7:$B3166)=MONTH(H$2),FALSE))*(CASSA!$G7:$G3166="Retribuzione del personale MATTINA")*(IFERROR(ROUND(CASSA!$F7:$F3166,2),0)))+
SUMPRODUCT((IFERROR(MONTH(CASSA!$B7:$B3166)=MONTH(H$2),FALSE))*(CASSA!$G7:$G3166="Retribuzione del personale EXTRA MATTINA")*(IFERROR(ROUND(CASSA!$F7:$F3166,2),0)))+
SUMPRODUCT((IFERROR(MONTH(BANCA!$B8:$B4163)=MONTH(H$2),FALSE))*(BANCA!$G8:$G4163="Retribuzione del personale MATTINA")*(IFERROR(ROUND(BANCA!$F8:$F4163,2),0)))+
SUMPRODUCT((IFERROR(MONTH(BANCA!$B8:$B4163)=MONTH(H$2),FALSE))*(BANCA!$G8:$G4163="Retribuzione del personale EXTRA MATTINA")*(IFERROR(ROUND(BANCA!$F8:$F4163,2),0)))-SUMPRODUCT((IFERROR(MONTH(CASSA!$B7:$B3166)=MONTH(H$2),FALSE))*(CASSA!$G7:$G3166="Retribuzione del personale MATTINA")*(IFERROR(ROUND(CASSA!$E7:$E3166,2),0)))+
SUMPRODUCT((IFERROR(MONTH(CASSA!$B7:$B3166)=MONTH(H$2),FALSE))*(CASSA!$G7:$G3166="Retribuzione del personale EXTRA MATTINA")*(IFERROR(ROUND(CASSA!$E7:$E3166,2),0)))-
SUMPRODUCT((IFERROR(MONTH(BANCA!$B8:$B4163)=MONTH(H$2),FALSE))*(BANCA!$G8:$G4163="Retribuzione del personale MATTINA")*(IFERROR(ROUND(BANCA!$E8:$E4163,2),0)))-
SUMPRODUCT((IFERROR(MONTH(BANCA!$B8:$B4163)=MONTH(H$2),FALSE))*(BANCA!$G8:$G4163="Retribuzione del personale EXTRA MATTINA")*(IFERROR(ROUND(BANCA!$E8:$E4163,2),0)))</f>
        <v>4544</v>
      </c>
      <c r="I26" s="297"/>
      <c r="J26" s="297" cm="1">
        <f t="array" ref="J26">SUMPRODUCT((IFERROR(MONTH(CASSA!$B7:$B3166)=MONTH(J$2),FALSE))*(CASSA!$G7:$G3166="Retribuzione del personale MATTINA")*(IFERROR(ROUND(CASSA!$F7:$F3166,2),0)))+
SUMPRODUCT((IFERROR(MONTH(CASSA!$B7:$B3166)=MONTH(J$2),FALSE))*(CASSA!$G7:$G3166="Retribuzione del personale EXTRA MATTINA")*(IFERROR(ROUND(CASSA!$F7:$F3166,2),0)))+
SUMPRODUCT((IFERROR(MONTH(BANCA!$B8:$B4163)=MONTH(J$2),FALSE))*(BANCA!$G8:$G4163="Retribuzione del personale MATTINA")*(IFERROR(ROUND(BANCA!$F8:$F4163,2),0)))+
SUMPRODUCT((IFERROR(MONTH(BANCA!$B8:$B4163)=MONTH(J$2),FALSE))*(BANCA!$G8:$G4163="Retribuzione del personale EXTRA MATTINA")*(IFERROR(ROUND(BANCA!$F8:$F4163,2),0)))-SUMPRODUCT((IFERROR(MONTH(CASSA!$B7:$B3166)=MONTH(J$2),FALSE))*(CASSA!$G7:$G3166="Retribuzione del personale MATTINA")*(IFERROR(ROUND(CASSA!$E7:$E3166,2),0)))+
SUMPRODUCT((IFERROR(MONTH(CASSA!$B7:$B3166)=MONTH(J$2),FALSE))*(CASSA!$G7:$G3166="Retribuzione del personale EXTRA MATTINA")*(IFERROR(ROUND(CASSA!$E7:$E3166,2),0)))-
SUMPRODUCT((IFERROR(MONTH(BANCA!$B8:$B4163)=MONTH(J$2),FALSE))*(BANCA!$G8:$G4163="Retribuzione del personale MATTINA")*(IFERROR(ROUND(BANCA!$E8:$E4163,2),0)))-
SUMPRODUCT((IFERROR(MONTH(BANCA!$B8:$B4163)=MONTH(J$2),FALSE))*(BANCA!$G8:$G4163="Retribuzione del personale EXTRA MATTINA")*(IFERROR(ROUND(BANCA!$E8:$E4163,2),0)))</f>
        <v>6375</v>
      </c>
      <c r="K26" s="297"/>
      <c r="L26" s="297" cm="1">
        <f t="array" ref="L26">SUMPRODUCT((IFERROR(MONTH(CASSA!$B7:$B3166)=MONTH(L$2),FALSE))*(CASSA!$G7:$G3166="Retribuzione del personale MATTINA")*(IFERROR(ROUND(CASSA!$F7:$F3166,2),0)))+
SUMPRODUCT((IFERROR(MONTH(CASSA!$B7:$B3166)=MONTH(L$2),FALSE))*(CASSA!$G7:$G3166="Retribuzione del personale EXTRA MATTINA")*(IFERROR(ROUND(CASSA!$F7:$F3166,2),0)))+
SUMPRODUCT((IFERROR(MONTH(BANCA!$B8:$B4163)=MONTH(L$2),FALSE))*(BANCA!$G8:$G4163="Retribuzione del personale MATTINA")*(IFERROR(ROUND(BANCA!$F8:$F4163,2),0)))+
SUMPRODUCT((IFERROR(MONTH(BANCA!$B8:$B4163)=MONTH(L$2),FALSE))*(BANCA!$G8:$G4163="Retribuzione del personale EXTRA MATTINA")*(IFERROR(ROUND(BANCA!$F8:$F4163,2),0)))-SUMPRODUCT((IFERROR(MONTH(CASSA!$B7:$B3166)=MONTH(L$2),FALSE))*(CASSA!$G7:$G3166="Retribuzione del personale MATTINA")*(IFERROR(ROUND(CASSA!$E7:$E3166,2),0)))+
SUMPRODUCT((IFERROR(MONTH(CASSA!$B7:$B3166)=MONTH(L$2),FALSE))*(CASSA!$G7:$G3166="Retribuzione del personale EXTRA MATTINA")*(IFERROR(ROUND(CASSA!$E7:$E3166,2),0)))-
SUMPRODUCT((IFERROR(MONTH(BANCA!$B8:$B4163)=MONTH(L$2),FALSE))*(BANCA!$G8:$G4163="Retribuzione del personale MATTINA")*(IFERROR(ROUND(BANCA!$E8:$E4163,2),0)))-
SUMPRODUCT((IFERROR(MONTH(BANCA!$B8:$B4163)=MONTH(L$2),FALSE))*(BANCA!$G8:$G4163="Retribuzione del personale EXTRA MATTINA")*(IFERROR(ROUND(BANCA!$E8:$E4163,2),0)))</f>
        <v>5880</v>
      </c>
      <c r="M26" s="297"/>
      <c r="N26" s="297" cm="1">
        <f t="array" ref="N26">SUMPRODUCT((IFERROR(MONTH(CASSA!$B7:$B3166)=MONTH(N$2),FALSE))*(CASSA!$G7:$G3166="Retribuzione del personale MATTINA")*(IFERROR(ROUND(CASSA!$F7:$F3166,2),0)))+
SUMPRODUCT((IFERROR(MONTH(CASSA!$B7:$B3166)=MONTH(N$2),FALSE))*(CASSA!$G7:$G3166="Retribuzione del personale EXTRA MATTINA")*(IFERROR(ROUND(CASSA!$F7:$F3166,2),0)))+
SUMPRODUCT((IFERROR(MONTH(BANCA!$B8:$B4163)=MONTH(N$2),FALSE))*(BANCA!$G8:$G4163="Retribuzione del personale MATTINA")*(IFERROR(ROUND(BANCA!$F8:$F4163,2),0)))+
SUMPRODUCT((IFERROR(MONTH(BANCA!$B8:$B4163)=MONTH(N$2),FALSE))*(BANCA!$G8:$G4163="Retribuzione del personale EXTRA MATTINA")*(IFERROR(ROUND(BANCA!$F8:$F4163,2),0)))-SUMPRODUCT((IFERROR(MONTH(CASSA!$B7:$B3166)=MONTH(N$2),FALSE))*(CASSA!$G7:$G3166="Retribuzione del personale MATTINA")*(IFERROR(ROUND(CASSA!$E7:$E3166,2),0)))+
SUMPRODUCT((IFERROR(MONTH(CASSA!$B7:$B3166)=MONTH(N$2),FALSE))*(CASSA!$G7:$G3166="Retribuzione del personale EXTRA MATTINA")*(IFERROR(ROUND(CASSA!$E7:$E3166,2),0)))-
SUMPRODUCT((IFERROR(MONTH(BANCA!$B8:$B4163)=MONTH(N$2),FALSE))*(BANCA!$G8:$G4163="Retribuzione del personale MATTINA")*(IFERROR(ROUND(BANCA!$E8:$E4163,2),0)))-
SUMPRODUCT((IFERROR(MONTH(BANCA!$B8:$B4163)=MONTH(N$2),FALSE))*(BANCA!$G8:$G4163="Retribuzione del personale EXTRA MATTINA")*(IFERROR(ROUND(BANCA!$E8:$E4163,2),0)))</f>
        <v>4818.91</v>
      </c>
      <c r="O26" s="297"/>
      <c r="P26" s="297" cm="1">
        <f t="array" ref="P26">SUMPRODUCT((IFERROR(MONTH(CASSA!$B7:$B3166)=MONTH(P$2),FALSE))*(CASSA!$G7:$G3166="Retribuzione del personale MATTINA")*(IFERROR(ROUND(CASSA!$F7:$F3166,2),0)))+
SUMPRODUCT((IFERROR(MONTH(CASSA!$B7:$B3166)=MONTH(P$2),FALSE))*(CASSA!$G7:$G3166="Retribuzione del personale EXTRA MATTINA")*(IFERROR(ROUND(CASSA!$F7:$F3166,2),0)))+
SUMPRODUCT((IFERROR(MONTH(BANCA!$B8:$B4163)=MONTH(P$2),FALSE))*(BANCA!$G8:$G4163="Retribuzione del personale MATTINA")*(IFERROR(ROUND(BANCA!$F8:$F4163,2),0)))+
SUMPRODUCT((IFERROR(MONTH(BANCA!$B8:$B4163)=MONTH(P$2),FALSE))*(BANCA!$G8:$G4163="Retribuzione del personale EXTRA MATTINA")*(IFERROR(ROUND(BANCA!$F8:$F4163,2),0)))-SUMPRODUCT((IFERROR(MONTH(CASSA!$B7:$B3166)=MONTH(P$2),FALSE))*(CASSA!$G7:$G3166="Retribuzione del personale MATTINA")*(IFERROR(ROUND(CASSA!$E7:$E3166,2),0)))+
SUMPRODUCT((IFERROR(MONTH(CASSA!$B7:$B3166)=MONTH(P$2),FALSE))*(CASSA!$G7:$G3166="Retribuzione del personale EXTRA MATTINA")*(IFERROR(ROUND(CASSA!$E7:$E3166,2),0)))-
SUMPRODUCT((IFERROR(MONTH(BANCA!$B8:$B4163)=MONTH(P$2),FALSE))*(BANCA!$G8:$G4163="Retribuzione del personale MATTINA")*(IFERROR(ROUND(BANCA!$E8:$E4163,2),0)))-
SUMPRODUCT((IFERROR(MONTH(BANCA!$B8:$B4163)=MONTH(P$2),FALSE))*(BANCA!$G8:$G4163="Retribuzione del personale EXTRA MATTINA")*(IFERROR(ROUND(BANCA!$E8:$E4163,2),0)))</f>
        <v>7127.27</v>
      </c>
      <c r="Q26" s="297"/>
      <c r="R26" s="297" cm="1">
        <f t="array" ref="R26">SUMPRODUCT((IFERROR(MONTH(CASSA!$B7:$B3166)=MONTH(R$2),FALSE))*(CASSA!$G7:$G3166="Retribuzione del personale MATTINA")*(IFERROR(ROUND(CASSA!$F7:$F3166,2),0)))+
SUMPRODUCT((IFERROR(MONTH(CASSA!$B7:$B3166)=MONTH(R$2),FALSE))*(CASSA!$G7:$G3166="Retribuzione del personale EXTRA MATTINA")*(IFERROR(ROUND(CASSA!$F7:$F3166,2),0)))+
SUMPRODUCT((IFERROR(MONTH(BANCA!$B8:$B4163)=MONTH(R$2),FALSE))*(BANCA!$G8:$G4163="Retribuzione del personale MATTINA")*(IFERROR(ROUND(BANCA!$F8:$F4163,2),0)))+
SUMPRODUCT((IFERROR(MONTH(BANCA!$B8:$B4163)=MONTH(R$2),FALSE))*(BANCA!$G8:$G4163="Retribuzione del personale EXTRA MATTINA")*(IFERROR(ROUND(BANCA!$F8:$F4163,2),0)))-SUMPRODUCT((IFERROR(MONTH(CASSA!$B7:$B3166)=MONTH(R$2),FALSE))*(CASSA!$G7:$G3166="Retribuzione del personale MATTINA")*(IFERROR(ROUND(CASSA!$E7:$E3166,2),0)))+
SUMPRODUCT((IFERROR(MONTH(CASSA!$B7:$B3166)=MONTH(R$2),FALSE))*(CASSA!$G7:$G3166="Retribuzione del personale EXTRA MATTINA")*(IFERROR(ROUND(CASSA!$E7:$E3166,2),0)))-
SUMPRODUCT((IFERROR(MONTH(BANCA!$B8:$B4163)=MONTH(R$2),FALSE))*(BANCA!$G8:$G4163="Retribuzione del personale MATTINA")*(IFERROR(ROUND(BANCA!$E8:$E4163,2),0)))-
SUMPRODUCT((IFERROR(MONTH(BANCA!$B8:$B4163)=MONTH(R$2),FALSE))*(BANCA!$G8:$G4163="Retribuzione del personale EXTRA MATTINA")*(IFERROR(ROUND(BANCA!$E8:$E4163,2),0)))</f>
        <v>8531</v>
      </c>
      <c r="S26" s="297"/>
      <c r="T26" s="297" cm="1">
        <f t="array" ref="T26">SUMPRODUCT((IFERROR(MONTH(CASSA!$B7:$B3166)=MONTH(T$2),FALSE))*(CASSA!$G7:$G3166="Retribuzione del personale MATTINA")*(IFERROR(ROUND(CASSA!$F7:$F3166,2),0)))+
SUMPRODUCT((IFERROR(MONTH(CASSA!$B7:$B3166)=MONTH(T$2),FALSE))*(CASSA!$G7:$G3166="Retribuzione del personale EXTRA MATTINA")*(IFERROR(ROUND(CASSA!$F7:$F3166,2),0)))+
SUMPRODUCT((IFERROR(MONTH(BANCA!$B8:$B4163)=MONTH(T$2),FALSE))*(BANCA!$G8:$G4163="Retribuzione del personale MATTINA")*(IFERROR(ROUND(BANCA!$F8:$F4163,2),0)))+
SUMPRODUCT((IFERROR(MONTH(BANCA!$B8:$B4163)=MONTH(T$2),FALSE))*(BANCA!$G8:$G4163="Retribuzione del personale EXTRA MATTINA")*(IFERROR(ROUND(BANCA!$F8:$F4163,2),0)))-SUMPRODUCT((IFERROR(MONTH(CASSA!$B7:$B3166)=MONTH(T$2),FALSE))*(CASSA!$G7:$G3166="Retribuzione del personale MATTINA")*(IFERROR(ROUND(CASSA!$E7:$E3166,2),0)))+
SUMPRODUCT((IFERROR(MONTH(CASSA!$B7:$B3166)=MONTH(T$2),FALSE))*(CASSA!$G7:$G3166="Retribuzione del personale EXTRA MATTINA")*(IFERROR(ROUND(CASSA!$E7:$E3166,2),0)))-
SUMPRODUCT((IFERROR(MONTH(BANCA!$B8:$B4163)=MONTH(T$2),FALSE))*(BANCA!$G8:$G4163="Retribuzione del personale MATTINA")*(IFERROR(ROUND(BANCA!$E8:$E4163,2),0)))-
SUMPRODUCT((IFERROR(MONTH(BANCA!$B8:$B4163)=MONTH(T$2),FALSE))*(BANCA!$G8:$G4163="Retribuzione del personale EXTRA MATTINA")*(IFERROR(ROUND(BANCA!$E8:$E4163,2),0)))</f>
        <v>4291</v>
      </c>
      <c r="U26" s="297"/>
      <c r="V26" s="297" cm="1">
        <f t="array" ref="V26">SUMPRODUCT((IFERROR(MONTH(CASSA!$B7:$B3166)=MONTH(V$2),FALSE))*(CASSA!$G7:$G3166="Retribuzione del personale MATTINA")*(IFERROR(ROUND(CASSA!$F7:$F3166,2),0)))+
SUMPRODUCT((IFERROR(MONTH(CASSA!$B7:$B3166)=MONTH(V$2),FALSE))*(CASSA!$G7:$G3166="Retribuzione del personale EXTRA MATTINA")*(IFERROR(ROUND(CASSA!$F7:$F3166,2),0)))+
SUMPRODUCT((IFERROR(MONTH(BANCA!$B8:$B4163)=MONTH(V$2),FALSE))*(BANCA!$G8:$G4163="Retribuzione del personale MATTINA")*(IFERROR(ROUND(BANCA!$F8:$F4163,2),0)))+
SUMPRODUCT((IFERROR(MONTH(BANCA!$B8:$B4163)=MONTH(V$2),FALSE))*(BANCA!$G8:$G4163="Retribuzione del personale EXTRA MATTINA")*(IFERROR(ROUND(BANCA!$F8:$F4163,2),0)))-SUMPRODUCT((IFERROR(MONTH(CASSA!$B7:$B3166)=MONTH(V$2),FALSE))*(CASSA!$G7:$G3166="Retribuzione del personale MATTINA")*(IFERROR(ROUND(CASSA!$E7:$E3166,2),0)))+
SUMPRODUCT((IFERROR(MONTH(CASSA!$B7:$B3166)=MONTH(V$2),FALSE))*(CASSA!$G7:$G3166="Retribuzione del personale EXTRA MATTINA")*(IFERROR(ROUND(CASSA!$E7:$E3166,2),0)))-
SUMPRODUCT((IFERROR(MONTH(BANCA!$B8:$B4163)=MONTH(V$2),FALSE))*(BANCA!$G8:$G4163="Retribuzione del personale MATTINA")*(IFERROR(ROUND(BANCA!$E8:$E4163,2),0)))-
SUMPRODUCT((IFERROR(MONTH(BANCA!$B8:$B4163)=MONTH(V$2),FALSE))*(BANCA!$G8:$G4163="Retribuzione del personale EXTRA MATTINA")*(IFERROR(ROUND(BANCA!$E8:$E4163,2),0)))</f>
        <v>3857</v>
      </c>
      <c r="W26" s="297"/>
      <c r="X26" s="297" cm="1">
        <f t="array" ref="X26">SUMPRODUCT((IFERROR(MONTH(CASSA!$B7:$B3166)=MONTH(X$2),FALSE))*(CASSA!$G7:$G3166="Retribuzione del personale MATTINA")*(IFERROR(ROUND(CASSA!$F7:$F3166,2),0)))+
SUMPRODUCT((IFERROR(MONTH(CASSA!$B7:$B3166)=MONTH(X$2),FALSE))*(CASSA!$G7:$G3166="Retribuzione del personale EXTRA MATTINA")*(IFERROR(ROUND(CASSA!$F7:$F3166,2),0)))+
SUMPRODUCT((IFERROR(MONTH(BANCA!$B8:$B4163)=MONTH(X$2),FALSE))*(BANCA!$G8:$G4163="Retribuzione del personale MATTINA")*(IFERROR(ROUND(BANCA!$F8:$F4163,2),0)))+
SUMPRODUCT((IFERROR(MONTH(BANCA!$B8:$B4163)=MONTH(X$2),FALSE))*(BANCA!$G8:$G4163="Retribuzione del personale EXTRA MATTINA")*(IFERROR(ROUND(BANCA!$F8:$F4163,2),0)))-SUMPRODUCT((IFERROR(MONTH(CASSA!$B7:$B3166)=MONTH(X$2),FALSE))*(CASSA!$G7:$G3166="Retribuzione del personale MATTINA")*(IFERROR(ROUND(CASSA!$E7:$E3166,2),0)))+
SUMPRODUCT((IFERROR(MONTH(CASSA!$B7:$B3166)=MONTH(X$2),FALSE))*(CASSA!$G7:$G3166="Retribuzione del personale EXTRA MATTINA")*(IFERROR(ROUND(CASSA!$E7:$E3166,2),0)))-
SUMPRODUCT((IFERROR(MONTH(BANCA!$B8:$B4163)=MONTH(X$2),FALSE))*(BANCA!$G8:$G4163="Retribuzione del personale MATTINA")*(IFERROR(ROUND(BANCA!$E8:$E4163,2),0)))-
SUMPRODUCT((IFERROR(MONTH(BANCA!$B8:$B4163)=MONTH(X$2),FALSE))*(BANCA!$G8:$G4163="Retribuzione del personale EXTRA MATTINA")*(IFERROR(ROUND(BANCA!$E8:$E4163,2),0)))</f>
        <v>5849</v>
      </c>
      <c r="Y26" s="297"/>
      <c r="Z26" s="297" cm="1">
        <f t="array" ref="Z26">SUMPRODUCT((IFERROR(MONTH(CASSA!$B7:$B3166)=MONTH(Z$2),FALSE))*(CASSA!$G7:$G3166="Retribuzione del personale MATTINA")*(IFERROR(ROUND(CASSA!$F7:$F3166,2),0)))+
SUMPRODUCT((IFERROR(MONTH(CASSA!$B7:$B3166)=MONTH(Z$2),FALSE))*(CASSA!$G7:$G3166="Retribuzione del personale EXTRA MATTINA")*(IFERROR(ROUND(CASSA!$F7:$F3166,2),0)))+
SUMPRODUCT((IFERROR(MONTH(BANCA!$B8:$B4163)=MONTH(Z$2),FALSE))*(BANCA!$G8:$G4163="Retribuzione del personale MATTINA")*(IFERROR(ROUND(BANCA!$F8:$F4163,2),0)))+
SUMPRODUCT((IFERROR(MONTH(BANCA!$B8:$B4163)=MONTH(Z$2),FALSE))*(BANCA!$G8:$G4163="Retribuzione del personale EXTRA MATTINA")*(IFERROR(ROUND(BANCA!$F8:$F4163,2),0)))-SUMPRODUCT((IFERROR(MONTH(CASSA!$B7:$B3166)=MONTH(Z$2),FALSE))*(CASSA!$G7:$G3166="Retribuzione del personale MATTINA")*(IFERROR(ROUND(CASSA!$E7:$E3166,2),0)))+
SUMPRODUCT((IFERROR(MONTH(CASSA!$B7:$B3166)=MONTH(Z$2),FALSE))*(CASSA!$G7:$G3166="Retribuzione del personale EXTRA MATTINA")*(IFERROR(ROUND(CASSA!$E7:$E3166,2),0)))-
SUMPRODUCT((IFERROR(MONTH(BANCA!$B8:$B4163)=MONTH(Z$2),FALSE))*(BANCA!$G8:$G4163="Retribuzione del personale MATTINA")*(IFERROR(ROUND(BANCA!$E8:$E4163,2),0)))-
SUMPRODUCT((IFERROR(MONTH(BANCA!$B8:$B4163)=MONTH(Z$2),FALSE))*(BANCA!$G8:$G4163="Retribuzione del personale EXTRA MATTINA")*(IFERROR(ROUND(BANCA!$E8:$E4163,2),0)))</f>
        <v>281</v>
      </c>
      <c r="AA26" s="297"/>
      <c r="AB26" s="761">
        <f t="shared" si="15"/>
        <v>61183.18</v>
      </c>
      <c r="AC26" s="903" t="s">
        <v>1994</v>
      </c>
      <c r="AD26" s="903"/>
      <c r="AE26" s="284"/>
      <c r="AF26" s="284"/>
      <c r="AG26" s="284"/>
      <c r="AH26" s="284"/>
      <c r="AI26" s="284"/>
      <c r="AJ26" s="284"/>
      <c r="AK26" s="284"/>
      <c r="AL26" s="284"/>
      <c r="AM26" s="284"/>
      <c r="AN26" s="284"/>
    </row>
    <row r="27" spans="2:40" s="232" customFormat="1" ht="18" customHeight="1">
      <c r="B27" s="905" t="s">
        <v>143</v>
      </c>
      <c r="C27" s="905"/>
      <c r="D27" s="297" cm="1">
        <f t="array" ref="D27">SUMPRODUCT((IFERROR(MONTH(CASSA!$B7:$B3166)=MONTH(D$2),FALSE))*(CASSA!$G7:$G3166="Retribuzione del personale PULIZIE")*(IFERROR(ROUND(CASSA!$F7:$F3166,2),0)))+
SUMPRODUCT((IFERROR(MONTH(BANCA!$B8:$B4163)=MONTH(D$2),FALSE))*(BANCA!$G8:$G4163="Retribuzione del personale PULIZIE")*(IFERROR(ROUND(BANCA!$F8:$F4163,2),0)))-SUMPRODUCT((IFERROR(MONTH(CASSA!$B7:$B3166)=MONTH(D$2),FALSE))*(CASSA!$G7:$G3166="Retribuzione del personale PULIZIE")*(IFERROR(ROUND(CASSA!$E7:$E3166,2),0)))-
SUMPRODUCT((IFERROR(MONTH(BANCA!$B8:$B4163)=MONTH(D$2),FALSE))*(BANCA!$G8:$G4163="Retribuzione del personale PULIZIE")*(IFERROR(ROUND(BANCA!$E8:$E4163,2),0)))</f>
        <v>140</v>
      </c>
      <c r="E27" s="297"/>
      <c r="F27" s="297" cm="1">
        <f t="array" ref="F27">SUMPRODUCT((IFERROR(MONTH(CASSA!$B7:$B3166)=MONTH(F$2),FALSE))*(CASSA!$G7:$G3166="Retribuzione del personale PULIZIE")*(IFERROR(ROUND(CASSA!$F7:$F3166,2),0)))+
SUMPRODUCT((IFERROR(MONTH(BANCA!$B8:$B4163)=MONTH(F$2),FALSE))*(BANCA!$G8:$G4163="Retribuzione del personale PULIZIE")*(IFERROR(ROUND(BANCA!$F8:$F4163,2),0)))-SUMPRODUCT((IFERROR(MONTH(CASSA!$B7:$B3166)=MONTH(F$2),FALSE))*(CASSA!$G7:$G3166="Retribuzione del personale PULIZIE")*(IFERROR(ROUND(CASSA!$E7:$E3166,2),0)))-
SUMPRODUCT((IFERROR(MONTH(BANCA!$B8:$B4163)=MONTH(F$2),FALSE))*(BANCA!$G8:$G4163="Retribuzione del personale PULIZIE")*(IFERROR(ROUND(BANCA!$E8:$E4163,2),0)))</f>
        <v>187.5</v>
      </c>
      <c r="G27" s="297"/>
      <c r="H27" s="297" cm="1">
        <f t="array" ref="H27">SUMPRODUCT((IFERROR(MONTH(CASSA!$B7:$B3166)=MONTH(H$2),FALSE))*(CASSA!$G7:$G3166="Retribuzione del personale PULIZIE")*(IFERROR(ROUND(CASSA!$F7:$F3166,2),0)))+
SUMPRODUCT((IFERROR(MONTH(BANCA!$B8:$B4163)=MONTH(H$2),FALSE))*(BANCA!$G8:$G4163="Retribuzione del personale PULIZIE")*(IFERROR(ROUND(BANCA!$F8:$F4163,2),0)))-SUMPRODUCT((IFERROR(MONTH(CASSA!$B7:$B3166)=MONTH(H$2),FALSE))*(CASSA!$G7:$G3166="Retribuzione del personale PULIZIE")*(IFERROR(ROUND(CASSA!$E7:$E3166,2),0)))-
SUMPRODUCT((IFERROR(MONTH(BANCA!$B8:$B4163)=MONTH(H$2),FALSE))*(BANCA!$G8:$G4163="Retribuzione del personale PULIZIE")*(IFERROR(ROUND(BANCA!$E8:$E4163,2),0)))</f>
        <v>679.5</v>
      </c>
      <c r="I27" s="297"/>
      <c r="J27" s="297" cm="1">
        <f t="array" ref="J27">SUMPRODUCT((IFERROR(MONTH(CASSA!$B7:$B3166)=MONTH(J$2),FALSE))*(CASSA!$G7:$G3166="Retribuzione del personale PULIZIE")*(IFERROR(ROUND(CASSA!$F7:$F3166,2),0)))+
SUMPRODUCT((IFERROR(MONTH(BANCA!$B8:$B4163)=MONTH(J$2),FALSE))*(BANCA!$G8:$G4163="Retribuzione del personale PULIZIE")*(IFERROR(ROUND(BANCA!$F8:$F4163,2),0)))-SUMPRODUCT((IFERROR(MONTH(CASSA!$B7:$B3166)=MONTH(J$2),FALSE))*(CASSA!$G7:$G3166="Retribuzione del personale PULIZIE")*(IFERROR(ROUND(CASSA!$E7:$E3166,2),0)))-
SUMPRODUCT((IFERROR(MONTH(BANCA!$B8:$B4163)=MONTH(J$2),FALSE))*(BANCA!$G8:$G4163="Retribuzione del personale PULIZIE")*(IFERROR(ROUND(BANCA!$E8:$E4163,2),0)))</f>
        <v>513</v>
      </c>
      <c r="K27" s="297"/>
      <c r="L27" s="297" cm="1">
        <f t="array" ref="L27">SUMPRODUCT((IFERROR(MONTH(CASSA!$B7:$B3166)=MONTH(L$2),FALSE))*(CASSA!$G7:$G3166="Retribuzione del personale PULIZIE")*(IFERROR(ROUND(CASSA!$F7:$F3166,2),0)))+
SUMPRODUCT((IFERROR(MONTH(BANCA!$B8:$B4163)=MONTH(L$2),FALSE))*(BANCA!$G8:$G4163="Retribuzione del personale PULIZIE")*(IFERROR(ROUND(BANCA!$F8:$F4163,2),0)))-SUMPRODUCT((IFERROR(MONTH(CASSA!$B7:$B3166)=MONTH(L$2),FALSE))*(CASSA!$G7:$G3166="Retribuzione del personale PULIZIE")*(IFERROR(ROUND(CASSA!$E7:$E3166,2),0)))-
SUMPRODUCT((IFERROR(MONTH(BANCA!$B8:$B4163)=MONTH(L$2),FALSE))*(BANCA!$G8:$G4163="Retribuzione del personale PULIZIE")*(IFERROR(ROUND(BANCA!$E8:$E4163,2),0)))</f>
        <v>420.5</v>
      </c>
      <c r="M27" s="297"/>
      <c r="N27" s="297" cm="1">
        <f t="array" ref="N27">SUMPRODUCT((IFERROR(MONTH(CASSA!$B7:$B3166)=MONTH(N$2),FALSE))*(CASSA!$G7:$G3166="Retribuzione del personale PULIZIE")*(IFERROR(ROUND(CASSA!$F7:$F3166,2),0)))+
SUMPRODUCT((IFERROR(MONTH(BANCA!$B8:$B4163)=MONTH(N$2),FALSE))*(BANCA!$G8:$G4163="Retribuzione del personale PULIZIE")*(IFERROR(ROUND(BANCA!$F8:$F4163,2),0)))-SUMPRODUCT((IFERROR(MONTH(CASSA!$B7:$B3166)=MONTH(N$2),FALSE))*(CASSA!$G7:$G3166="Retribuzione del personale PULIZIE")*(IFERROR(ROUND(CASSA!$E7:$E3166,2),0)))-
SUMPRODUCT((IFERROR(MONTH(BANCA!$B8:$B4163)=MONTH(N$2),FALSE))*(BANCA!$G8:$G4163="Retribuzione del personale PULIZIE")*(IFERROR(ROUND(BANCA!$E8:$E4163,2),0)))</f>
        <v>611</v>
      </c>
      <c r="O27" s="297"/>
      <c r="P27" s="297" cm="1">
        <f t="array" ref="P27">SUMPRODUCT((IFERROR(MONTH(CASSA!$B7:$B3166)=MONTH(P$2),FALSE))*(CASSA!$G7:$G3166="Retribuzione del personale PULIZIE")*(IFERROR(ROUND(CASSA!$F7:$F3166,2),0)))+
SUMPRODUCT((IFERROR(MONTH(BANCA!$B8:$B4163)=MONTH(P$2),FALSE))*(BANCA!$G8:$G4163="Retribuzione del personale PULIZIE")*(IFERROR(ROUND(BANCA!$F8:$F4163,2),0)))-SUMPRODUCT((IFERROR(MONTH(CASSA!$B7:$B3166)=MONTH(P$2),FALSE))*(CASSA!$G7:$G3166="Retribuzione del personale PULIZIE")*(IFERROR(ROUND(CASSA!$E7:$E3166,2),0)))-
SUMPRODUCT((IFERROR(MONTH(BANCA!$B8:$B4163)=MONTH(P$2),FALSE))*(BANCA!$G8:$G4163="Retribuzione del personale PULIZIE")*(IFERROR(ROUND(BANCA!$E8:$E4163,2),0)))</f>
        <v>525</v>
      </c>
      <c r="Q27" s="297"/>
      <c r="R27" s="297" cm="1">
        <f t="array" ref="R27">SUMPRODUCT((IFERROR(MONTH(CASSA!$B7:$B3166)=MONTH(R$2),FALSE))*(CASSA!$G7:$G3166="Retribuzione del personale PULIZIE")*(IFERROR(ROUND(CASSA!$F7:$F3166,2),0)))+
SUMPRODUCT((IFERROR(MONTH(BANCA!$B8:$B4163)=MONTH(R$2),FALSE))*(BANCA!$G8:$G4163="Retribuzione del personale PULIZIE")*(IFERROR(ROUND(BANCA!$F8:$F4163,2),0)))-SUMPRODUCT((IFERROR(MONTH(CASSA!$B7:$B3166)=MONTH(R$2),FALSE))*(CASSA!$G7:$G3166="Retribuzione del personale PULIZIE")*(IFERROR(ROUND(CASSA!$E7:$E3166,2),0)))-
SUMPRODUCT((IFERROR(MONTH(BANCA!$B8:$B4163)=MONTH(R$2),FALSE))*(BANCA!$G8:$G4163="Retribuzione del personale PULIZIE")*(IFERROR(ROUND(BANCA!$E8:$E4163,2),0)))</f>
        <v>559.5</v>
      </c>
      <c r="S27" s="297"/>
      <c r="T27" s="297" cm="1">
        <f t="array" ref="T27">SUMPRODUCT((IFERROR(MONTH(CASSA!$B7:$B3166)=MONTH(T$2),FALSE))*(CASSA!$G7:$G3166="Retribuzione del personale PULIZIE")*(IFERROR(ROUND(CASSA!$F7:$F3166,2),0)))+
SUMPRODUCT((IFERROR(MONTH(BANCA!$B8:$B4163)=MONTH(T$2),FALSE))*(BANCA!$G8:$G4163="Retribuzione del personale PULIZIE")*(IFERROR(ROUND(BANCA!$F8:$F4163,2),0)))-SUMPRODUCT((IFERROR(MONTH(CASSA!$B7:$B3166)=MONTH(T$2),FALSE))*(CASSA!$G7:$G3166="Retribuzione del personale PULIZIE")*(IFERROR(ROUND(CASSA!$E7:$E3166,2),0)))-
SUMPRODUCT((IFERROR(MONTH(BANCA!$B8:$B4163)=MONTH(T$2),FALSE))*(BANCA!$G8:$G4163="Retribuzione del personale PULIZIE")*(IFERROR(ROUND(BANCA!$E8:$E4163,2),0)))</f>
        <v>525</v>
      </c>
      <c r="U27" s="297"/>
      <c r="V27" s="297" cm="1">
        <f t="array" ref="V27">SUMPRODUCT((IFERROR(MONTH(CASSA!$B7:$B3166)=MONTH(V$2),FALSE))*(CASSA!$G7:$G3166="Retribuzione del personale PULIZIE")*(IFERROR(ROUND(CASSA!$F7:$F3166,2),0)))+
SUMPRODUCT((IFERROR(MONTH(BANCA!$B8:$B4163)=MONTH(V$2),FALSE))*(BANCA!$G8:$G4163="Retribuzione del personale PULIZIE")*(IFERROR(ROUND(BANCA!$F8:$F4163,2),0)))-SUMPRODUCT((IFERROR(MONTH(CASSA!$B7:$B3166)=MONTH(V$2),FALSE))*(CASSA!$G7:$G3166="Retribuzione del personale PULIZIE")*(IFERROR(ROUND(CASSA!$E7:$E3166,2),0)))-
SUMPRODUCT((IFERROR(MONTH(BANCA!$B8:$B4163)=MONTH(V$2),FALSE))*(BANCA!$G8:$G4163="Retribuzione del personale PULIZIE")*(IFERROR(ROUND(BANCA!$E8:$E4163,2),0)))</f>
        <v>620</v>
      </c>
      <c r="W27" s="297"/>
      <c r="X27" s="297" cm="1">
        <f t="array" ref="X27">SUMPRODUCT((IFERROR(MONTH(CASSA!$B7:$B3166)=MONTH(X$2),FALSE))*(CASSA!$G7:$G3166="Retribuzione del personale PULIZIE")*(IFERROR(ROUND(CASSA!$F7:$F3166,2),0)))+
SUMPRODUCT((IFERROR(MONTH(BANCA!$B8:$B4163)=MONTH(X$2),FALSE))*(BANCA!$G8:$G4163="Retribuzione del personale PULIZIE")*(IFERROR(ROUND(BANCA!$F8:$F4163,2),0)))-SUMPRODUCT((IFERROR(MONTH(CASSA!$B7:$B3166)=MONTH(X$2),FALSE))*(CASSA!$G7:$G3166="Retribuzione del personale PULIZIE")*(IFERROR(ROUND(CASSA!$E7:$E3166,2),0)))-
SUMPRODUCT((IFERROR(MONTH(BANCA!$B8:$B4163)=MONTH(X$2),FALSE))*(BANCA!$G8:$G4163="Retribuzione del personale PULIZIE")*(IFERROR(ROUND(BANCA!$E8:$E4163,2),0)))</f>
        <v>808</v>
      </c>
      <c r="Y27" s="297"/>
      <c r="Z27" s="297" cm="1">
        <f t="array" ref="Z27">SUMPRODUCT((IFERROR(MONTH(CASSA!$B7:$B3166)=MONTH(Z$2),FALSE))*(CASSA!$G7:$G3166="Retribuzione del personale PULIZIE")*(IFERROR(ROUND(CASSA!$F7:$F3166,2),0)))+
SUMPRODUCT((IFERROR(MONTH(BANCA!$B8:$B4163)=MONTH(Z$2),FALSE))*(BANCA!$G8:$G4163="Retribuzione del personale PULIZIE")*(IFERROR(ROUND(BANCA!$F8:$F4163,2),0)))-SUMPRODUCT((IFERROR(MONTH(CASSA!$B7:$B3166)=MONTH(Z$2),FALSE))*(CASSA!$G7:$G3166="Retribuzione del personale PULIZIE")*(IFERROR(ROUND(CASSA!$E7:$E3166,2),0)))-
SUMPRODUCT((IFERROR(MONTH(BANCA!$B8:$B4163)=MONTH(Z$2),FALSE))*(BANCA!$G8:$G4163="Retribuzione del personale PULIZIE")*(IFERROR(ROUND(BANCA!$E8:$E4163,2),0)))</f>
        <v>0</v>
      </c>
      <c r="AA27" s="297"/>
      <c r="AB27" s="761">
        <f t="shared" si="15"/>
        <v>5589</v>
      </c>
      <c r="AC27" s="792" t="s">
        <v>1993</v>
      </c>
      <c r="AD27" s="284"/>
      <c r="AE27" s="284"/>
      <c r="AF27" s="284"/>
      <c r="AG27" s="284"/>
      <c r="AH27" s="284"/>
      <c r="AI27" s="284"/>
      <c r="AJ27" s="284"/>
      <c r="AK27" s="284"/>
      <c r="AL27" s="284"/>
      <c r="AM27" s="284"/>
      <c r="AN27" s="284"/>
    </row>
    <row r="28" spans="2:40" s="232" customFormat="1" ht="18" customHeight="1">
      <c r="B28" s="905" t="s">
        <v>144</v>
      </c>
      <c r="C28" s="905"/>
      <c r="D28" s="297" cm="1">
        <f t="array" ref="D28">SUMPRODUCT((IFERROR(MONTH(CASSA!$B7:$B3166)=MONTH(D$2),FALSE))*(CASSA!$G7:$G3166="Retribuzione del personale SICUREZZA")*(IFERROR(ROUND(CASSA!$F7:$F3166,2),0)))+
SUMPRODUCT((IFERROR(MONTH(BANCA!$B8:$B4163)=MONTH(D$2),FALSE))*(BANCA!$G8:$G4163="Retribuzione del personale SICUREZZA")*(IFERROR(ROUND(BANCA!$F8:$F4163,2),0)))-SUMPRODUCT((IFERROR(MONTH(CASSA!$B7:$B3166)=MONTH(D$2),FALSE))*(CASSA!$G7:$G3166="Retribuzione del personale SICUREZZA")*(IFERROR(ROUND(CASSA!$E7:$E3166,2),0)))-
SUMPRODUCT((IFERROR(MONTH(BANCA!$B8:$B4163)=MONTH(D$2),FALSE))*(BANCA!$G8:$G4163="Retribuzione del personale SICUREZZA")*(IFERROR(ROUND(BANCA!$E8:$E4163,2),0)))</f>
        <v>0</v>
      </c>
      <c r="E28" s="297"/>
      <c r="F28" s="297" cm="1">
        <f t="array" ref="F28">SUMPRODUCT((IFERROR(MONTH(CASSA!$B7:$B3166)=MONTH(F$2),FALSE))*(CASSA!$G7:$G3166="Retribuzione del personale SICUREZZA")*(IFERROR(ROUND(CASSA!$F7:$F3166,2),0)))+
SUMPRODUCT((IFERROR(MONTH(BANCA!$B8:$B4163)=MONTH(F$2),FALSE))*(BANCA!$G8:$G4163="Retribuzione del personale SICUREZZA")*(IFERROR(ROUND(BANCA!$F8:$F4163,2),0)))-SUMPRODUCT((IFERROR(MONTH(CASSA!$B7:$B3166)=MONTH(F$2),FALSE))*(CASSA!$G7:$G3166="Retribuzione del personale SICUREZZA")*(IFERROR(ROUND(CASSA!$E7:$E3166,2),0)))-
SUMPRODUCT((IFERROR(MONTH(BANCA!$B8:$B4163)=MONTH(F$2),FALSE))*(BANCA!$G8:$G4163="Retribuzione del personale SICUREZZA")*(IFERROR(ROUND(BANCA!$E8:$E4163,2),0)))</f>
        <v>0</v>
      </c>
      <c r="G28" s="297"/>
      <c r="H28" s="297" cm="1">
        <f t="array" ref="H28">SUMPRODUCT((IFERROR(MONTH(CASSA!$B7:$B3166)=MONTH(H$2),FALSE))*(CASSA!$G7:$G3166="Retribuzione del personale SICUREZZA")*(IFERROR(ROUND(CASSA!$F7:$F3166,2),0)))+
SUMPRODUCT((IFERROR(MONTH(BANCA!$B8:$B4163)=MONTH(H$2),FALSE))*(BANCA!$G8:$G4163="Retribuzione del personale SICUREZZA")*(IFERROR(ROUND(BANCA!$F8:$F4163,2),0)))-SUMPRODUCT((IFERROR(MONTH(CASSA!$B7:$B3166)=MONTH(H$2),FALSE))*(CASSA!$G7:$G3166="Retribuzione del personale SICUREZZA")*(IFERROR(ROUND(CASSA!$E7:$E3166,2),0)))-
SUMPRODUCT((IFERROR(MONTH(BANCA!$B8:$B4163)=MONTH(H$2),FALSE))*(BANCA!$G8:$G4163="Retribuzione del personale SICUREZZA")*(IFERROR(ROUND(BANCA!$E8:$E4163,2),0)))</f>
        <v>0</v>
      </c>
      <c r="I28" s="297"/>
      <c r="J28" s="297" cm="1">
        <f t="array" ref="J28">SUMPRODUCT((IFERROR(MONTH(CASSA!$B7:$B3166)=MONTH(J$2),FALSE))*(CASSA!$G7:$G3166="Retribuzione del personale SICUREZZA")*(IFERROR(ROUND(CASSA!$F7:$F3166,2),0)))+
SUMPRODUCT((IFERROR(MONTH(BANCA!$B8:$B4163)=MONTH(J$2),FALSE))*(BANCA!$G8:$G4163="Retribuzione del personale SICUREZZA")*(IFERROR(ROUND(BANCA!$F8:$F4163,2),0)))-SUMPRODUCT((IFERROR(MONTH(CASSA!$B7:$B3166)=MONTH(J$2),FALSE))*(CASSA!$G7:$G3166="Retribuzione del personale SICUREZZA")*(IFERROR(ROUND(CASSA!$E7:$E3166,2),0)))-
SUMPRODUCT((IFERROR(MONTH(BANCA!$B8:$B4163)=MONTH(J$2),FALSE))*(BANCA!$G8:$G4163="Retribuzione del personale SICUREZZA")*(IFERROR(ROUND(BANCA!$E8:$E4163,2),0)))</f>
        <v>0</v>
      </c>
      <c r="K28" s="297"/>
      <c r="L28" s="297" cm="1">
        <f t="array" ref="L28">SUMPRODUCT((IFERROR(MONTH(CASSA!$B7:$B3166)=MONTH(L$2),FALSE))*(CASSA!$G7:$G3166="Retribuzione del personale SICUREZZA")*(IFERROR(ROUND(CASSA!$F7:$F3166,2),0)))+
SUMPRODUCT((IFERROR(MONTH(BANCA!$B8:$B4163)=MONTH(L$2),FALSE))*(BANCA!$G8:$G4163="Retribuzione del personale SICUREZZA")*(IFERROR(ROUND(BANCA!$F8:$F4163,2),0)))-SUMPRODUCT((IFERROR(MONTH(CASSA!$B7:$B3166)=MONTH(L$2),FALSE))*(CASSA!$G7:$G3166="Retribuzione del personale SICUREZZA")*(IFERROR(ROUND(CASSA!$E7:$E3166,2),0)))-
SUMPRODUCT((IFERROR(MONTH(BANCA!$B8:$B4163)=MONTH(L$2),FALSE))*(BANCA!$G8:$G4163="Retribuzione del personale SICUREZZA")*(IFERROR(ROUND(BANCA!$E8:$E4163,2),0)))</f>
        <v>0</v>
      </c>
      <c r="M28" s="297"/>
      <c r="N28" s="297" cm="1">
        <f t="array" ref="N28">SUMPRODUCT((IFERROR(MONTH(CASSA!$B7:$B3166)=MONTH(N$2),FALSE))*(CASSA!$G7:$G3166="Retribuzione del personale SICUREZZA")*(IFERROR(ROUND(CASSA!$F7:$F3166,2),0)))+
SUMPRODUCT((IFERROR(MONTH(BANCA!$B8:$B4163)=MONTH(N$2),FALSE))*(BANCA!$G8:$G4163="Retribuzione del personale SICUREZZA")*(IFERROR(ROUND(BANCA!$F8:$F4163,2),0)))-SUMPRODUCT((IFERROR(MONTH(CASSA!$B7:$B3166)=MONTH(N$2),FALSE))*(CASSA!$G7:$G3166="Retribuzione del personale SICUREZZA")*(IFERROR(ROUND(CASSA!$E7:$E3166,2),0)))-
SUMPRODUCT((IFERROR(MONTH(BANCA!$B8:$B4163)=MONTH(N$2),FALSE))*(BANCA!$G8:$G4163="Retribuzione del personale SICUREZZA")*(IFERROR(ROUND(BANCA!$E8:$E4163,2),0)))</f>
        <v>0</v>
      </c>
      <c r="O28" s="297"/>
      <c r="P28" s="297" cm="1">
        <f t="array" ref="P28">SUMPRODUCT((IFERROR(MONTH(CASSA!$B7:$B3166)=MONTH(P$2),FALSE))*(CASSA!$G7:$G3166="Retribuzione del personale SICUREZZA")*(IFERROR(ROUND(CASSA!$F7:$F3166,2),0)))+
SUMPRODUCT((IFERROR(MONTH(BANCA!$B8:$B4163)=MONTH(P$2),FALSE))*(BANCA!$G8:$G4163="Retribuzione del personale SICUREZZA")*(IFERROR(ROUND(BANCA!$F8:$F4163,2),0)))-SUMPRODUCT((IFERROR(MONTH(CASSA!$B7:$B3166)=MONTH(P$2),FALSE))*(CASSA!$G7:$G3166="Retribuzione del personale SICUREZZA")*(IFERROR(ROUND(CASSA!$E7:$E3166,2),0)))-
SUMPRODUCT((IFERROR(MONTH(BANCA!$B8:$B4163)=MONTH(P$2),FALSE))*(BANCA!$G8:$G4163="Retribuzione del personale SICUREZZA")*(IFERROR(ROUND(BANCA!$E8:$E4163,2),0)))</f>
        <v>0</v>
      </c>
      <c r="Q28" s="297"/>
      <c r="R28" s="297" cm="1">
        <f t="array" ref="R28">SUMPRODUCT((IFERROR(MONTH(CASSA!$B7:$B3166)=MONTH(R$2),FALSE))*(CASSA!$G7:$G3166="Retribuzione del personale SICUREZZA")*(IFERROR(ROUND(CASSA!$F7:$F3166,2),0)))+
SUMPRODUCT((IFERROR(MONTH(BANCA!$B8:$B4163)=MONTH(R$2),FALSE))*(BANCA!$G8:$G4163="Retribuzione del personale SICUREZZA")*(IFERROR(ROUND(BANCA!$F8:$F4163,2),0)))-SUMPRODUCT((IFERROR(MONTH(CASSA!$B7:$B3166)=MONTH(R$2),FALSE))*(CASSA!$G7:$G3166="Retribuzione del personale SICUREZZA")*(IFERROR(ROUND(CASSA!$E7:$E3166,2),0)))-
SUMPRODUCT((IFERROR(MONTH(BANCA!$B8:$B4163)=MONTH(R$2),FALSE))*(BANCA!$G8:$G4163="Retribuzione del personale SICUREZZA")*(IFERROR(ROUND(BANCA!$E8:$E4163,2),0)))</f>
        <v>0</v>
      </c>
      <c r="S28" s="297"/>
      <c r="T28" s="297" cm="1">
        <f t="array" ref="T28">SUMPRODUCT((IFERROR(MONTH(CASSA!$B7:$B3166)=MONTH(T$2),FALSE))*(CASSA!$G7:$G3166="Retribuzione del personale SICUREZZA")*(IFERROR(ROUND(CASSA!$F7:$F3166,2),0)))+
SUMPRODUCT((IFERROR(MONTH(BANCA!$B8:$B4163)=MONTH(T$2),FALSE))*(BANCA!$G8:$G4163="Retribuzione del personale SICUREZZA")*(IFERROR(ROUND(BANCA!$F8:$F4163,2),0)))-SUMPRODUCT((IFERROR(MONTH(CASSA!$B7:$B3166)=MONTH(T$2),FALSE))*(CASSA!$G7:$G3166="Retribuzione del personale SICUREZZA")*(IFERROR(ROUND(CASSA!$E7:$E3166,2),0)))-
SUMPRODUCT((IFERROR(MONTH(BANCA!$B8:$B4163)=MONTH(T$2),FALSE))*(BANCA!$G8:$G4163="Retribuzione del personale SICUREZZA")*(IFERROR(ROUND(BANCA!$E8:$E4163,2),0)))</f>
        <v>0</v>
      </c>
      <c r="U28" s="297"/>
      <c r="V28" s="297" cm="1">
        <f t="array" ref="V28">SUMPRODUCT((IFERROR(MONTH(CASSA!$B7:$B3166)=MONTH(V$2),FALSE))*(CASSA!$G7:$G3166="Retribuzione del personale SICUREZZA")*(IFERROR(ROUND(CASSA!$F7:$F3166,2),0)))+
SUMPRODUCT((IFERROR(MONTH(BANCA!$B8:$B4163)=MONTH(V$2),FALSE))*(BANCA!$G8:$G4163="Retribuzione del personale SICUREZZA")*(IFERROR(ROUND(BANCA!$F8:$F4163,2),0)))-SUMPRODUCT((IFERROR(MONTH(CASSA!$B7:$B3166)=MONTH(V$2),FALSE))*(CASSA!$G7:$G3166="Retribuzione del personale SICUREZZA")*(IFERROR(ROUND(CASSA!$E7:$E3166,2),0)))-
SUMPRODUCT((IFERROR(MONTH(BANCA!$B8:$B4163)=MONTH(V$2),FALSE))*(BANCA!$G8:$G4163="Retribuzione del personale SICUREZZA")*(IFERROR(ROUND(BANCA!$E8:$E4163,2),0)))</f>
        <v>0</v>
      </c>
      <c r="W28" s="297"/>
      <c r="X28" s="297" cm="1">
        <f t="array" ref="X28">SUMPRODUCT((IFERROR(MONTH(CASSA!$B7:$B3166)=MONTH(X$2),FALSE))*(CASSA!$G7:$G3166="Retribuzione del personale SICUREZZA")*(IFERROR(ROUND(CASSA!$F7:$F3166,2),0)))+
SUMPRODUCT((IFERROR(MONTH(BANCA!$B8:$B4163)=MONTH(X$2),FALSE))*(BANCA!$G8:$G4163="Retribuzione del personale SICUREZZA")*(IFERROR(ROUND(BANCA!$F8:$F4163,2),0)))-SUMPRODUCT((IFERROR(MONTH(CASSA!$B7:$B3166)=MONTH(X$2),FALSE))*(CASSA!$G7:$G3166="Retribuzione del personale SICUREZZA")*(IFERROR(ROUND(CASSA!$E7:$E3166,2),0)))-
SUMPRODUCT((IFERROR(MONTH(BANCA!$B8:$B4163)=MONTH(X$2),FALSE))*(BANCA!$G8:$G4163="Retribuzione del personale SICUREZZA")*(IFERROR(ROUND(BANCA!$E8:$E4163,2),0)))</f>
        <v>0</v>
      </c>
      <c r="Y28" s="297"/>
      <c r="Z28" s="297" cm="1">
        <f t="array" ref="Z28">SUMPRODUCT((IFERROR(MONTH(CASSA!$B7:$B3166)=MONTH(Z$2),FALSE))*(CASSA!$G7:$G3166="Retribuzione del personale SICUREZZA")*(IFERROR(ROUND(CASSA!$F7:$F3166,2),0)))+
SUMPRODUCT((IFERROR(MONTH(BANCA!$B8:$B4163)=MONTH(Z$2),FALSE))*(BANCA!$G8:$G4163="Retribuzione del personale SICUREZZA")*(IFERROR(ROUND(BANCA!$F8:$F4163,2),0)))-SUMPRODUCT((IFERROR(MONTH(CASSA!$B7:$B3166)=MONTH(Z$2),FALSE))*(CASSA!$G7:$G3166="Retribuzione del personale SICUREZZA")*(IFERROR(ROUND(CASSA!$E7:$E3166,2),0)))-
SUMPRODUCT((IFERROR(MONTH(BANCA!$B8:$B4163)=MONTH(Z$2),FALSE))*(BANCA!$G8:$G4163="Retribuzione del personale SICUREZZA")*(IFERROR(ROUND(BANCA!$E8:$E4163,2),0)))</f>
        <v>0</v>
      </c>
      <c r="AA28" s="297"/>
      <c r="AB28" s="761">
        <f t="shared" si="15"/>
        <v>0</v>
      </c>
      <c r="AC28" s="792" t="s">
        <v>1993</v>
      </c>
      <c r="AD28" s="284"/>
      <c r="AE28" s="284"/>
      <c r="AF28" s="284"/>
      <c r="AG28" s="284"/>
      <c r="AH28" s="284"/>
      <c r="AI28" s="284"/>
      <c r="AJ28" s="284"/>
      <c r="AK28" s="284"/>
      <c r="AL28" s="284"/>
      <c r="AM28" s="284"/>
      <c r="AN28" s="284"/>
    </row>
    <row r="29" spans="2:40" s="232" customFormat="1" ht="18" customHeight="1">
      <c r="B29" s="907" t="s">
        <v>145</v>
      </c>
      <c r="C29" s="907"/>
      <c r="D29" s="299" cm="1">
        <f t="array" ref="D29">SUMPRODUCT((IFERROR(MONTH(CASSA!$B7:$B3166)=MONTH(D$2),FALSE))*(CASSA!$G7:$G3166="TFR corrisposto nell’anno")*(IFERROR(ROUND(CASSA!$F7:$F3166,2),0)))+
SUMPRODUCT((IFERROR(MONTH(CASSA!$B7:$B3166)=MONTH(D$2),FALSE))*(CASSA!$G7:$G3166="ALTRI COSTI PER PERSONALE DIPENDENTE")*(IFERROR(ROUND(CASSA!$F7:$F3166,2),0)))+
SUMPRODUCT((IFERROR(MONTH(CASSA!$B7:$B3166)=MONTH(D$2),FALSE))*(CASSA!$G7:$G3166="F24")*(IFERROR(ROUND(CASSA!$F7:$F3166,2),0)))+
SUMPRODUCT((IFERROR(MONTH(BANCA!$B8:$B4163)=MONTH(D$2),FALSE))*(BANCA!$G8:$G4163="TFR corrisposto nell’anno")*(IFERROR(ROUND(BANCA!$F8:$F4163,2),0)))+
SUMPRODUCT((IFERROR(MONTH(BANCA!$B8:$B4163)=MONTH(D$2),FALSE))*(BANCA!$G8:$G4163="ALTRI COSTI PER PERSONALE DIPENDENTE")*(IFERROR(ROUND(BANCA!$F8:$F4163,2),0)))+
SUMPRODUCT((IFERROR(MONTH(BANCA!$B8:$B4163)=MONTH(D$2),FALSE))*(BANCA!$G8:$G4163="F24")*(IFERROR(ROUND(BANCA!$F8:$F4163,2),0)))-SUMPRODUCT((IFERROR(MONTH(CASSA!$B7:$B3166)=MONTH(D$2),FALSE))*(CASSA!$G7:$G3166="TFR corrisposto nell’anno")*(IFERROR(ROUND(CASSA!$E7:$E3166,2),0)))-
SUMPRODUCT((IFERROR(MONTH(CASSA!$B7:$B3166)=MONTH(D$2),FALSE))*(CASSA!$G7:$G3166="ALTRI COSTI PER PERSONALE DIPENDENTE")*(IFERROR(ROUND(CASSA!$E7:$E3166,2),0)))-
SUMPRODUCT((IFERROR(MONTH(CASSA!$B7:$B3166)=MONTH(D$2),FALSE))*(CASSA!$G7:$G3166="F24")*(IFERROR(ROUND(CASSA!$E7:$E3166,2),0)))-
SUMPRODUCT((IFERROR(MONTH(BANCA!$B8:$B4163)=MONTH(D$2),FALSE))*(BANCA!$G8:$G4163="TFR corrisposto nell’anno")*(IFERROR(ROUND(BANCA!$E8:$E4163,2),0)))-
SUMPRODUCT((IFERROR(MONTH(BANCA!$B8:$B4163)=MONTH(D$2),FALSE))*(BANCA!$G8:$G4163="ALTRI COSTI PER PERSONALE DIPENDENTE")*(IFERROR(ROUND(BANCA!$E8:$E4163,2),0)))-
SUMPRODUCT((IFERROR(MONTH(BANCA!$B8:$B4163)=MONTH(D$2),FALSE))*(BANCA!$G8:$G4163="F24")*(IFERROR(ROUND(BANCA!$E8:$E4163,2),0)))</f>
        <v>3276.0800000000004</v>
      </c>
      <c r="E29" s="299"/>
      <c r="F29" s="299" cm="1">
        <f t="array" ref="F29">SUMPRODUCT((IFERROR(MONTH(CASSA!$B7:$B3166)=MONTH(F$2),FALSE))*(CASSA!$G7:$G3166="TFR corrisposto nell’anno")*(IFERROR(ROUND(CASSA!$F7:$F3166,2),0)))+
SUMPRODUCT((IFERROR(MONTH(CASSA!$B7:$B3166)=MONTH(F$2),FALSE))*(CASSA!$G7:$G3166="ALTRI COSTI PER PERSONALE DIPENDENTE")*(IFERROR(ROUND(CASSA!$F7:$F3166,2),0)))+
SUMPRODUCT((IFERROR(MONTH(CASSA!$B7:$B3166)=MONTH(F$2),FALSE))*(CASSA!$G7:$G3166="F24")*(IFERROR(ROUND(CASSA!$F7:$F3166,2),0)))+
SUMPRODUCT((IFERROR(MONTH(BANCA!$B8:$B4163)=MONTH(F$2),FALSE))*(BANCA!$G8:$G4163="TFR corrisposto nell’anno")*(IFERROR(ROUND(BANCA!$F8:$F4163,2),0)))+
SUMPRODUCT((IFERROR(MONTH(BANCA!$B8:$B4163)=MONTH(F$2),FALSE))*(BANCA!$G8:$G4163="ALTRI COSTI PER PERSONALE DIPENDENTE")*(IFERROR(ROUND(BANCA!$F8:$F4163,2),0)))+
SUMPRODUCT((IFERROR(MONTH(BANCA!$B8:$B4163)=MONTH(F$2),FALSE))*(BANCA!$G8:$G4163="F24")*(IFERROR(ROUND(BANCA!$F8:$F4163,2),0)))-SUMPRODUCT((IFERROR(MONTH(CASSA!$B7:$B3166)=MONTH(F$2),FALSE))*(CASSA!$G7:$G3166="TFR corrisposto nell’anno")*(IFERROR(ROUND(CASSA!$E7:$E3166,2),0)))-
SUMPRODUCT((IFERROR(MONTH(CASSA!$B7:$B3166)=MONTH(F$2),FALSE))*(CASSA!$G7:$G3166="ALTRI COSTI PER PERSONALE DIPENDENTE")*(IFERROR(ROUND(CASSA!$E7:$E3166,2),0)))-
SUMPRODUCT((IFERROR(MONTH(CASSA!$B7:$B3166)=MONTH(F$2),FALSE))*(CASSA!$G7:$G3166="F24")*(IFERROR(ROUND(CASSA!$E7:$E3166,2),0)))-
SUMPRODUCT((IFERROR(MONTH(BANCA!$B8:$B4163)=MONTH(F$2),FALSE))*(BANCA!$G8:$G4163="TFR corrisposto nell’anno")*(IFERROR(ROUND(BANCA!$E8:$E4163,2),0)))-
SUMPRODUCT((IFERROR(MONTH(BANCA!$B8:$B4163)=MONTH(F$2),FALSE))*(BANCA!$G8:$G4163="ALTRI COSTI PER PERSONALE DIPENDENTE")*(IFERROR(ROUND(BANCA!$E8:$E4163,2),0)))-
SUMPRODUCT((IFERROR(MONTH(BANCA!$B8:$B4163)=MONTH(F$2),FALSE))*(BANCA!$G8:$G4163="F24")*(IFERROR(ROUND(BANCA!$E8:$E4163,2),0)))</f>
        <v>2780.2799999999997</v>
      </c>
      <c r="G29" s="299"/>
      <c r="H29" s="299" cm="1">
        <f t="array" ref="H29">SUMPRODUCT((IFERROR(MONTH(CASSA!$B7:$B3166)=MONTH(H$2),FALSE))*(CASSA!$G7:$G3166="TFR corrisposto nell’anno")*(IFERROR(ROUND(CASSA!$F7:$F3166,2),0)))+
SUMPRODUCT((IFERROR(MONTH(CASSA!$B7:$B3166)=MONTH(H$2),FALSE))*(CASSA!$G7:$G3166="ALTRI COSTI PER PERSONALE DIPENDENTE")*(IFERROR(ROUND(CASSA!$F7:$F3166,2),0)))+
SUMPRODUCT((IFERROR(MONTH(CASSA!$B7:$B3166)=MONTH(H$2),FALSE))*(CASSA!$G7:$G3166="F24")*(IFERROR(ROUND(CASSA!$F7:$F3166,2),0)))+
SUMPRODUCT((IFERROR(MONTH(BANCA!$B8:$B4163)=MONTH(H$2),FALSE))*(BANCA!$G8:$G4163="TFR corrisposto nell’anno")*(IFERROR(ROUND(BANCA!$F8:$F4163,2),0)))+
SUMPRODUCT((IFERROR(MONTH(BANCA!$B8:$B4163)=MONTH(H$2),FALSE))*(BANCA!$G8:$G4163="ALTRI COSTI PER PERSONALE DIPENDENTE")*(IFERROR(ROUND(BANCA!$F8:$F4163,2),0)))+
SUMPRODUCT((IFERROR(MONTH(BANCA!$B8:$B4163)=MONTH(H$2),FALSE))*(BANCA!$G8:$G4163="F24")*(IFERROR(ROUND(BANCA!$F8:$F4163,2),0)))-SUMPRODUCT((IFERROR(MONTH(CASSA!$B7:$B3166)=MONTH(H$2),FALSE))*(CASSA!$G7:$G3166="TFR corrisposto nell’anno")*(IFERROR(ROUND(CASSA!$E7:$E3166,2),0)))-
SUMPRODUCT((IFERROR(MONTH(CASSA!$B7:$B3166)=MONTH(H$2),FALSE))*(CASSA!$G7:$G3166="ALTRI COSTI PER PERSONALE DIPENDENTE")*(IFERROR(ROUND(CASSA!$E7:$E3166,2),0)))-
SUMPRODUCT((IFERROR(MONTH(CASSA!$B7:$B3166)=MONTH(H$2),FALSE))*(CASSA!$G7:$G3166="F24")*(IFERROR(ROUND(CASSA!$E7:$E3166,2),0)))-
SUMPRODUCT((IFERROR(MONTH(BANCA!$B8:$B4163)=MONTH(H$2),FALSE))*(BANCA!$G8:$G4163="TFR corrisposto nell’anno")*(IFERROR(ROUND(BANCA!$E8:$E4163,2),0)))-
SUMPRODUCT((IFERROR(MONTH(BANCA!$B8:$B4163)=MONTH(H$2),FALSE))*(BANCA!$G8:$G4163="ALTRI COSTI PER PERSONALE DIPENDENTE")*(IFERROR(ROUND(BANCA!$E8:$E4163,2),0)))-
SUMPRODUCT((IFERROR(MONTH(BANCA!$B8:$B4163)=MONTH(H$2),FALSE))*(BANCA!$G8:$G4163="F24")*(IFERROR(ROUND(BANCA!$E8:$E4163,2),0)))</f>
        <v>4721.1899999999996</v>
      </c>
      <c r="I29" s="299"/>
      <c r="J29" s="299" cm="1">
        <f t="array" ref="J29">SUMPRODUCT((IFERROR(MONTH(CASSA!$B7:$B3166)=MONTH(J$2),FALSE))*(CASSA!$G7:$G3166="TFR corrisposto nell’anno")*(IFERROR(ROUND(CASSA!$F7:$F3166,2),0)))+
SUMPRODUCT((IFERROR(MONTH(CASSA!$B7:$B3166)=MONTH(J$2),FALSE))*(CASSA!$G7:$G3166="ALTRI COSTI PER PERSONALE DIPENDENTE")*(IFERROR(ROUND(CASSA!$F7:$F3166,2),0)))+
SUMPRODUCT((IFERROR(MONTH(CASSA!$B7:$B3166)=MONTH(J$2),FALSE))*(CASSA!$G7:$G3166="F24")*(IFERROR(ROUND(CASSA!$F7:$F3166,2),0)))+
SUMPRODUCT((IFERROR(MONTH(BANCA!$B8:$B4163)=MONTH(J$2),FALSE))*(BANCA!$G8:$G4163="TFR corrisposto nell’anno")*(IFERROR(ROUND(BANCA!$F8:$F4163,2),0)))+
SUMPRODUCT((IFERROR(MONTH(BANCA!$B8:$B4163)=MONTH(J$2),FALSE))*(BANCA!$G8:$G4163="ALTRI COSTI PER PERSONALE DIPENDENTE")*(IFERROR(ROUND(BANCA!$F8:$F4163,2),0)))+
SUMPRODUCT((IFERROR(MONTH(BANCA!$B8:$B4163)=MONTH(J$2),FALSE))*(BANCA!$G8:$G4163="F24")*(IFERROR(ROUND(BANCA!$F8:$F4163,2),0)))-SUMPRODUCT((IFERROR(MONTH(CASSA!$B7:$B3166)=MONTH(J$2),FALSE))*(CASSA!$G7:$G3166="TFR corrisposto nell’anno")*(IFERROR(ROUND(CASSA!$E7:$E3166,2),0)))-
SUMPRODUCT((IFERROR(MONTH(CASSA!$B7:$B3166)=MONTH(J$2),FALSE))*(CASSA!$G7:$G3166="ALTRI COSTI PER PERSONALE DIPENDENTE")*(IFERROR(ROUND(CASSA!$E7:$E3166,2),0)))-
SUMPRODUCT((IFERROR(MONTH(CASSA!$B7:$B3166)=MONTH(J$2),FALSE))*(CASSA!$G7:$G3166="F24")*(IFERROR(ROUND(CASSA!$E7:$E3166,2),0)))-
SUMPRODUCT((IFERROR(MONTH(BANCA!$B8:$B4163)=MONTH(J$2),FALSE))*(BANCA!$G8:$G4163="TFR corrisposto nell’anno")*(IFERROR(ROUND(BANCA!$E8:$E4163,2),0)))-
SUMPRODUCT((IFERROR(MONTH(BANCA!$B8:$B4163)=MONTH(J$2),FALSE))*(BANCA!$G8:$G4163="ALTRI COSTI PER PERSONALE DIPENDENTE")*(IFERROR(ROUND(BANCA!$E8:$E4163,2),0)))-
SUMPRODUCT((IFERROR(MONTH(BANCA!$B8:$B4163)=MONTH(J$2),FALSE))*(BANCA!$G8:$G4163="F24")*(IFERROR(ROUND(BANCA!$E8:$E4163,2),0)))</f>
        <v>5449.24</v>
      </c>
      <c r="K29" s="299"/>
      <c r="L29" s="299" cm="1">
        <f t="array" ref="L29">SUMPRODUCT((IFERROR(MONTH(CASSA!$B7:$B3166)=MONTH(L$2),FALSE))*(CASSA!$G7:$G3166="TFR corrisposto nell’anno")*(IFERROR(ROUND(CASSA!$F7:$F3166,2),0)))+
SUMPRODUCT((IFERROR(MONTH(CASSA!$B7:$B3166)=MONTH(L$2),FALSE))*(CASSA!$G7:$G3166="ALTRI COSTI PER PERSONALE DIPENDENTE")*(IFERROR(ROUND(CASSA!$F7:$F3166,2),0)))+
SUMPRODUCT((IFERROR(MONTH(CASSA!$B7:$B3166)=MONTH(L$2),FALSE))*(CASSA!$G7:$G3166="F24")*(IFERROR(ROUND(CASSA!$F7:$F3166,2),0)))+
SUMPRODUCT((IFERROR(MONTH(BANCA!$B8:$B4163)=MONTH(L$2),FALSE))*(BANCA!$G8:$G4163="TFR corrisposto nell’anno")*(IFERROR(ROUND(BANCA!$F8:$F4163,2),0)))+
SUMPRODUCT((IFERROR(MONTH(BANCA!$B8:$B4163)=MONTH(L$2),FALSE))*(BANCA!$G8:$G4163="ALTRI COSTI PER PERSONALE DIPENDENTE")*(IFERROR(ROUND(BANCA!$F8:$F4163,2),0)))+
SUMPRODUCT((IFERROR(MONTH(BANCA!$B8:$B4163)=MONTH(L$2),FALSE))*(BANCA!$G8:$G4163="F24")*(IFERROR(ROUND(BANCA!$F8:$F4163,2),0)))-SUMPRODUCT((IFERROR(MONTH(CASSA!$B7:$B3166)=MONTH(L$2),FALSE))*(CASSA!$G7:$G3166="TFR corrisposto nell’anno")*(IFERROR(ROUND(CASSA!$E7:$E3166,2),0)))-
SUMPRODUCT((IFERROR(MONTH(CASSA!$B7:$B3166)=MONTH(L$2),FALSE))*(CASSA!$G7:$G3166="ALTRI COSTI PER PERSONALE DIPENDENTE")*(IFERROR(ROUND(CASSA!$E7:$E3166,2),0)))-
SUMPRODUCT((IFERROR(MONTH(CASSA!$B7:$B3166)=MONTH(L$2),FALSE))*(CASSA!$G7:$G3166="F24")*(IFERROR(ROUND(CASSA!$E7:$E3166,2),0)))-
SUMPRODUCT((IFERROR(MONTH(BANCA!$B8:$B4163)=MONTH(L$2),FALSE))*(BANCA!$G8:$G4163="TFR corrisposto nell’anno")*(IFERROR(ROUND(BANCA!$E8:$E4163,2),0)))-
SUMPRODUCT((IFERROR(MONTH(BANCA!$B8:$B4163)=MONTH(L$2),FALSE))*(BANCA!$G8:$G4163="ALTRI COSTI PER PERSONALE DIPENDENTE")*(IFERROR(ROUND(BANCA!$E8:$E4163,2),0)))-
SUMPRODUCT((IFERROR(MONTH(BANCA!$B8:$B4163)=MONTH(L$2),FALSE))*(BANCA!$G8:$G4163="F24")*(IFERROR(ROUND(BANCA!$E8:$E4163,2),0)))</f>
        <v>3425.81</v>
      </c>
      <c r="M29" s="299"/>
      <c r="N29" s="299" cm="1">
        <f t="array" ref="N29">SUMPRODUCT((IFERROR(MONTH(CASSA!$B7:$B3166)=MONTH(N$2),FALSE))*(CASSA!$G7:$G3166="TFR corrisposto nell’anno")*(IFERROR(ROUND(CASSA!$F7:$F3166,2),0)))+
SUMPRODUCT((IFERROR(MONTH(CASSA!$B7:$B3166)=MONTH(N$2),FALSE))*(CASSA!$G7:$G3166="ALTRI COSTI PER PERSONALE DIPENDENTE")*(IFERROR(ROUND(CASSA!$F7:$F3166,2),0)))+
SUMPRODUCT((IFERROR(MONTH(CASSA!$B7:$B3166)=MONTH(N$2),FALSE))*(CASSA!$G7:$G3166="F24")*(IFERROR(ROUND(CASSA!$F7:$F3166,2),0)))+
SUMPRODUCT((IFERROR(MONTH(BANCA!$B8:$B4163)=MONTH(N$2),FALSE))*(BANCA!$G8:$G4163="TFR corrisposto nell’anno")*(IFERROR(ROUND(BANCA!$F8:$F4163,2),0)))+
SUMPRODUCT((IFERROR(MONTH(BANCA!$B8:$B4163)=MONTH(N$2),FALSE))*(BANCA!$G8:$G4163="ALTRI COSTI PER PERSONALE DIPENDENTE")*(IFERROR(ROUND(BANCA!$F8:$F4163,2),0)))+
SUMPRODUCT((IFERROR(MONTH(BANCA!$B8:$B4163)=MONTH(N$2),FALSE))*(BANCA!$G8:$G4163="F24")*(IFERROR(ROUND(BANCA!$F8:$F4163,2),0)))-SUMPRODUCT((IFERROR(MONTH(CASSA!$B7:$B3166)=MONTH(N$2),FALSE))*(CASSA!$G7:$G3166="TFR corrisposto nell’anno")*(IFERROR(ROUND(CASSA!$E7:$E3166,2),0)))-
SUMPRODUCT((IFERROR(MONTH(CASSA!$B7:$B3166)=MONTH(N$2),FALSE))*(CASSA!$G7:$G3166="ALTRI COSTI PER PERSONALE DIPENDENTE")*(IFERROR(ROUND(CASSA!$E7:$E3166,2),0)))-
SUMPRODUCT((IFERROR(MONTH(CASSA!$B7:$B3166)=MONTH(N$2),FALSE))*(CASSA!$G7:$G3166="F24")*(IFERROR(ROUND(CASSA!$E7:$E3166,2),0)))-
SUMPRODUCT((IFERROR(MONTH(BANCA!$B8:$B4163)=MONTH(N$2),FALSE))*(BANCA!$G8:$G4163="TFR corrisposto nell’anno")*(IFERROR(ROUND(BANCA!$E8:$E4163,2),0)))-
SUMPRODUCT((IFERROR(MONTH(BANCA!$B8:$B4163)=MONTH(N$2),FALSE))*(BANCA!$G8:$G4163="ALTRI COSTI PER PERSONALE DIPENDENTE")*(IFERROR(ROUND(BANCA!$E8:$E4163,2),0)))-
SUMPRODUCT((IFERROR(MONTH(BANCA!$B8:$B4163)=MONTH(N$2),FALSE))*(BANCA!$G8:$G4163="F24")*(IFERROR(ROUND(BANCA!$E8:$E4163,2),0)))</f>
        <v>3884.81</v>
      </c>
      <c r="O29" s="299"/>
      <c r="P29" s="299" cm="1">
        <f t="array" ref="P29">SUMPRODUCT((IFERROR(MONTH(CASSA!$B7:$B3166)=MONTH(P$2),FALSE))*(CASSA!$G7:$G3166="TFR corrisposto nell’anno")*(IFERROR(ROUND(CASSA!$F7:$F3166,2),0)))+
SUMPRODUCT((IFERROR(MONTH(CASSA!$B7:$B3166)=MONTH(P$2),FALSE))*(CASSA!$G7:$G3166="ALTRI COSTI PER PERSONALE DIPENDENTE")*(IFERROR(ROUND(CASSA!$F7:$F3166,2),0)))+
SUMPRODUCT((IFERROR(MONTH(CASSA!$B7:$B3166)=MONTH(P$2),FALSE))*(CASSA!$G7:$G3166="F24")*(IFERROR(ROUND(CASSA!$F7:$F3166,2),0)))+
SUMPRODUCT((IFERROR(MONTH(BANCA!$B8:$B4163)=MONTH(P$2),FALSE))*(BANCA!$G8:$G4163="TFR corrisposto nell’anno")*(IFERROR(ROUND(BANCA!$F8:$F4163,2),0)))+
SUMPRODUCT((IFERROR(MONTH(BANCA!$B8:$B4163)=MONTH(P$2),FALSE))*(BANCA!$G8:$G4163="ALTRI COSTI PER PERSONALE DIPENDENTE")*(IFERROR(ROUND(BANCA!$F8:$F4163,2),0)))+
SUMPRODUCT((IFERROR(MONTH(BANCA!$B8:$B4163)=MONTH(P$2),FALSE))*(BANCA!$G8:$G4163="F24")*(IFERROR(ROUND(BANCA!$F8:$F4163,2),0)))-SUMPRODUCT((IFERROR(MONTH(CASSA!$B7:$B3166)=MONTH(P$2),FALSE))*(CASSA!$G7:$G3166="TFR corrisposto nell’anno")*(IFERROR(ROUND(CASSA!$E7:$E3166,2),0)))-
SUMPRODUCT((IFERROR(MONTH(CASSA!$B7:$B3166)=MONTH(P$2),FALSE))*(CASSA!$G7:$G3166="ALTRI COSTI PER PERSONALE DIPENDENTE")*(IFERROR(ROUND(CASSA!$E7:$E3166,2),0)))-
SUMPRODUCT((IFERROR(MONTH(CASSA!$B7:$B3166)=MONTH(P$2),FALSE))*(CASSA!$G7:$G3166="F24")*(IFERROR(ROUND(CASSA!$E7:$E3166,2),0)))-
SUMPRODUCT((IFERROR(MONTH(BANCA!$B8:$B4163)=MONTH(P$2),FALSE))*(BANCA!$G8:$G4163="TFR corrisposto nell’anno")*(IFERROR(ROUND(BANCA!$E8:$E4163,2),0)))-
SUMPRODUCT((IFERROR(MONTH(BANCA!$B8:$B4163)=MONTH(P$2),FALSE))*(BANCA!$G8:$G4163="ALTRI COSTI PER PERSONALE DIPENDENTE")*(IFERROR(ROUND(BANCA!$E8:$E4163,2),0)))-
SUMPRODUCT((IFERROR(MONTH(BANCA!$B8:$B4163)=MONTH(P$2),FALSE))*(BANCA!$G8:$G4163="F24")*(IFERROR(ROUND(BANCA!$E8:$E4163,2),0)))</f>
        <v>4794.08</v>
      </c>
      <c r="Q29" s="299"/>
      <c r="R29" s="299" cm="1">
        <f t="array" ref="R29">SUMPRODUCT((IFERROR(MONTH(CASSA!$B7:$B3166)=MONTH(R$2),FALSE))*(CASSA!$G7:$G3166="TFR corrisposto nell’anno")*(IFERROR(ROUND(CASSA!$F7:$F3166,2),0)))+
SUMPRODUCT((IFERROR(MONTH(CASSA!$B7:$B3166)=MONTH(R$2),FALSE))*(CASSA!$G7:$G3166="ALTRI COSTI PER PERSONALE DIPENDENTE")*(IFERROR(ROUND(CASSA!$F7:$F3166,2),0)))+
SUMPRODUCT((IFERROR(MONTH(CASSA!$B7:$B3166)=MONTH(R$2),FALSE))*(CASSA!$G7:$G3166="F24")*(IFERROR(ROUND(CASSA!$F7:$F3166,2),0)))+
SUMPRODUCT((IFERROR(MONTH(BANCA!$B8:$B4163)=MONTH(R$2),FALSE))*(BANCA!$G8:$G4163="TFR corrisposto nell’anno")*(IFERROR(ROUND(BANCA!$F8:$F4163,2),0)))+
SUMPRODUCT((IFERROR(MONTH(BANCA!$B8:$B4163)=MONTH(R$2),FALSE))*(BANCA!$G8:$G4163="ALTRI COSTI PER PERSONALE DIPENDENTE")*(IFERROR(ROUND(BANCA!$F8:$F4163,2),0)))+
SUMPRODUCT((IFERROR(MONTH(BANCA!$B8:$B4163)=MONTH(R$2),FALSE))*(BANCA!$G8:$G4163="F24")*(IFERROR(ROUND(BANCA!$F8:$F4163,2),0)))-SUMPRODUCT((IFERROR(MONTH(CASSA!$B7:$B3166)=MONTH(R$2),FALSE))*(CASSA!$G7:$G3166="TFR corrisposto nell’anno")*(IFERROR(ROUND(CASSA!$E7:$E3166,2),0)))-
SUMPRODUCT((IFERROR(MONTH(CASSA!$B7:$B3166)=MONTH(R$2),FALSE))*(CASSA!$G7:$G3166="ALTRI COSTI PER PERSONALE DIPENDENTE")*(IFERROR(ROUND(CASSA!$E7:$E3166,2),0)))-
SUMPRODUCT((IFERROR(MONTH(CASSA!$B7:$B3166)=MONTH(R$2),FALSE))*(CASSA!$G7:$G3166="F24")*(IFERROR(ROUND(CASSA!$E7:$E3166,2),0)))-
SUMPRODUCT((IFERROR(MONTH(BANCA!$B8:$B4163)=MONTH(R$2),FALSE))*(BANCA!$G8:$G4163="TFR corrisposto nell’anno")*(IFERROR(ROUND(BANCA!$E8:$E4163,2),0)))-
SUMPRODUCT((IFERROR(MONTH(BANCA!$B8:$B4163)=MONTH(R$2),FALSE))*(BANCA!$G8:$G4163="ALTRI COSTI PER PERSONALE DIPENDENTE")*(IFERROR(ROUND(BANCA!$E8:$E4163,2),0)))-
SUMPRODUCT((IFERROR(MONTH(BANCA!$B8:$B4163)=MONTH(R$2),FALSE))*(BANCA!$G8:$G4163="F24")*(IFERROR(ROUND(BANCA!$E8:$E4163,2),0)))</f>
        <v>6730.03</v>
      </c>
      <c r="S29" s="299"/>
      <c r="T29" s="299" cm="1">
        <f t="array" ref="T29">SUMPRODUCT((IFERROR(MONTH(CASSA!$B7:$B3166)=MONTH(T$2),FALSE))*(CASSA!$G7:$G3166="TFR corrisposto nell’anno")*(IFERROR(ROUND(CASSA!$F7:$F3166,2),0)))+
SUMPRODUCT((IFERROR(MONTH(CASSA!$B7:$B3166)=MONTH(T$2),FALSE))*(CASSA!$G7:$G3166="ALTRI COSTI PER PERSONALE DIPENDENTE")*(IFERROR(ROUND(CASSA!$F7:$F3166,2),0)))+
SUMPRODUCT((IFERROR(MONTH(CASSA!$B7:$B3166)=MONTH(T$2),FALSE))*(CASSA!$G7:$G3166="F24")*(IFERROR(ROUND(CASSA!$F7:$F3166,2),0)))+
SUMPRODUCT((IFERROR(MONTH(BANCA!$B8:$B4163)=MONTH(T$2),FALSE))*(BANCA!$G8:$G4163="TFR corrisposto nell’anno")*(IFERROR(ROUND(BANCA!$F8:$F4163,2),0)))+
SUMPRODUCT((IFERROR(MONTH(BANCA!$B8:$B4163)=MONTH(T$2),FALSE))*(BANCA!$G8:$G4163="ALTRI COSTI PER PERSONALE DIPENDENTE")*(IFERROR(ROUND(BANCA!$F8:$F4163,2),0)))+
SUMPRODUCT((IFERROR(MONTH(BANCA!$B8:$B4163)=MONTH(T$2),FALSE))*(BANCA!$G8:$G4163="F24")*(IFERROR(ROUND(BANCA!$F8:$F4163,2),0)))-SUMPRODUCT((IFERROR(MONTH(CASSA!$B7:$B3166)=MONTH(T$2),FALSE))*(CASSA!$G7:$G3166="TFR corrisposto nell’anno")*(IFERROR(ROUND(CASSA!$E7:$E3166,2),0)))-
SUMPRODUCT((IFERROR(MONTH(CASSA!$B7:$B3166)=MONTH(T$2),FALSE))*(CASSA!$G7:$G3166="ALTRI COSTI PER PERSONALE DIPENDENTE")*(IFERROR(ROUND(CASSA!$E7:$E3166,2),0)))-
SUMPRODUCT((IFERROR(MONTH(CASSA!$B7:$B3166)=MONTH(T$2),FALSE))*(CASSA!$G7:$G3166="F24")*(IFERROR(ROUND(CASSA!$E7:$E3166,2),0)))-
SUMPRODUCT((IFERROR(MONTH(BANCA!$B8:$B4163)=MONTH(T$2),FALSE))*(BANCA!$G8:$G4163="TFR corrisposto nell’anno")*(IFERROR(ROUND(BANCA!$E8:$E4163,2),0)))-
SUMPRODUCT((IFERROR(MONTH(BANCA!$B8:$B4163)=MONTH(T$2),FALSE))*(BANCA!$G8:$G4163="ALTRI COSTI PER PERSONALE DIPENDENTE")*(IFERROR(ROUND(BANCA!$E8:$E4163,2),0)))-
SUMPRODUCT((IFERROR(MONTH(BANCA!$B8:$B4163)=MONTH(T$2),FALSE))*(BANCA!$G8:$G4163="F24")*(IFERROR(ROUND(BANCA!$E8:$E4163,2),0)))</f>
        <v>248.16</v>
      </c>
      <c r="U29" s="299"/>
      <c r="V29" s="299" cm="1">
        <f t="array" ref="V29">SUMPRODUCT((IFERROR(MONTH(CASSA!$B7:$B3166)=MONTH(V$2),FALSE))*(CASSA!$G7:$G3166="TFR corrisposto nell’anno")*(IFERROR(ROUND(CASSA!$F7:$F3166,2),0)))+
SUMPRODUCT((IFERROR(MONTH(CASSA!$B7:$B3166)=MONTH(V$2),FALSE))*(CASSA!$G7:$G3166="ALTRI COSTI PER PERSONALE DIPENDENTE")*(IFERROR(ROUND(CASSA!$F7:$F3166,2),0)))+
SUMPRODUCT((IFERROR(MONTH(CASSA!$B7:$B3166)=MONTH(V$2),FALSE))*(CASSA!$G7:$G3166="F24")*(IFERROR(ROUND(CASSA!$F7:$F3166,2),0)))+
SUMPRODUCT((IFERROR(MONTH(BANCA!$B8:$B4163)=MONTH(V$2),FALSE))*(BANCA!$G8:$G4163="TFR corrisposto nell’anno")*(IFERROR(ROUND(BANCA!$F8:$F4163,2),0)))+
SUMPRODUCT((IFERROR(MONTH(BANCA!$B8:$B4163)=MONTH(V$2),FALSE))*(BANCA!$G8:$G4163="ALTRI COSTI PER PERSONALE DIPENDENTE")*(IFERROR(ROUND(BANCA!$F8:$F4163,2),0)))+
SUMPRODUCT((IFERROR(MONTH(BANCA!$B8:$B4163)=MONTH(V$2),FALSE))*(BANCA!$G8:$G4163="F24")*(IFERROR(ROUND(BANCA!$F8:$F4163,2),0)))-SUMPRODUCT((IFERROR(MONTH(CASSA!$B7:$B3166)=MONTH(V$2),FALSE))*(CASSA!$G7:$G3166="TFR corrisposto nell’anno")*(IFERROR(ROUND(CASSA!$E7:$E3166,2),0)))-
SUMPRODUCT((IFERROR(MONTH(CASSA!$B7:$B3166)=MONTH(V$2),FALSE))*(CASSA!$G7:$G3166="ALTRI COSTI PER PERSONALE DIPENDENTE")*(IFERROR(ROUND(CASSA!$E7:$E3166,2),0)))-
SUMPRODUCT((IFERROR(MONTH(CASSA!$B7:$B3166)=MONTH(V$2),FALSE))*(CASSA!$G7:$G3166="F24")*(IFERROR(ROUND(CASSA!$E7:$E3166,2),0)))-
SUMPRODUCT((IFERROR(MONTH(BANCA!$B8:$B4163)=MONTH(V$2),FALSE))*(BANCA!$G8:$G4163="TFR corrisposto nell’anno")*(IFERROR(ROUND(BANCA!$E8:$E4163,2),0)))-
SUMPRODUCT((IFERROR(MONTH(BANCA!$B8:$B4163)=MONTH(V$2),FALSE))*(BANCA!$G8:$G4163="ALTRI COSTI PER PERSONALE DIPENDENTE")*(IFERROR(ROUND(BANCA!$E8:$E4163,2),0)))-
SUMPRODUCT((IFERROR(MONTH(BANCA!$B8:$B4163)=MONTH(V$2),FALSE))*(BANCA!$G8:$G4163="F24")*(IFERROR(ROUND(BANCA!$E8:$E4163,2),0)))</f>
        <v>0</v>
      </c>
      <c r="W29" s="299"/>
      <c r="X29" s="299" cm="1">
        <f t="array" ref="X29">SUMPRODUCT((IFERROR(MONTH(CASSA!$B7:$B3166)=MONTH(X$2),FALSE))*(CASSA!$G7:$G3166="TFR corrisposto nell’anno")*(IFERROR(ROUND(CASSA!$F7:$F3166,2),0)))+
SUMPRODUCT((IFERROR(MONTH(CASSA!$B7:$B3166)=MONTH(X$2),FALSE))*(CASSA!$G7:$G3166="ALTRI COSTI PER PERSONALE DIPENDENTE")*(IFERROR(ROUND(CASSA!$F7:$F3166,2),0)))+
SUMPRODUCT((IFERROR(MONTH(CASSA!$B7:$B3166)=MONTH(X$2),FALSE))*(CASSA!$G7:$G3166="F24")*(IFERROR(ROUND(CASSA!$F7:$F3166,2),0)))+
SUMPRODUCT((IFERROR(MONTH(BANCA!$B8:$B4163)=MONTH(X$2),FALSE))*(BANCA!$G8:$G4163="TFR corrisposto nell’anno")*(IFERROR(ROUND(BANCA!$F8:$F4163,2),0)))+
SUMPRODUCT((IFERROR(MONTH(BANCA!$B8:$B4163)=MONTH(X$2),FALSE))*(BANCA!$G8:$G4163="ALTRI COSTI PER PERSONALE DIPENDENTE")*(IFERROR(ROUND(BANCA!$F8:$F4163,2),0)))+
SUMPRODUCT((IFERROR(MONTH(BANCA!$B8:$B4163)=MONTH(X$2),FALSE))*(BANCA!$G8:$G4163="F24")*(IFERROR(ROUND(BANCA!$F8:$F4163,2),0)))-SUMPRODUCT((IFERROR(MONTH(CASSA!$B7:$B3166)=MONTH(X$2),FALSE))*(CASSA!$G7:$G3166="TFR corrisposto nell’anno")*(IFERROR(ROUND(CASSA!$E7:$E3166,2),0)))-
SUMPRODUCT((IFERROR(MONTH(CASSA!$B7:$B3166)=MONTH(X$2),FALSE))*(CASSA!$G7:$G3166="ALTRI COSTI PER PERSONALE DIPENDENTE")*(IFERROR(ROUND(CASSA!$E7:$E3166,2),0)))-
SUMPRODUCT((IFERROR(MONTH(CASSA!$B7:$B3166)=MONTH(X$2),FALSE))*(CASSA!$G7:$G3166="F24")*(IFERROR(ROUND(CASSA!$E7:$E3166,2),0)))-
SUMPRODUCT((IFERROR(MONTH(BANCA!$B8:$B4163)=MONTH(X$2),FALSE))*(BANCA!$G8:$G4163="TFR corrisposto nell’anno")*(IFERROR(ROUND(BANCA!$E8:$E4163,2),0)))-
SUMPRODUCT((IFERROR(MONTH(BANCA!$B8:$B4163)=MONTH(X$2),FALSE))*(BANCA!$G8:$G4163="ALTRI COSTI PER PERSONALE DIPENDENTE")*(IFERROR(ROUND(BANCA!$E8:$E4163,2),0)))-
SUMPRODUCT((IFERROR(MONTH(BANCA!$B8:$B4163)=MONTH(X$2),FALSE))*(BANCA!$G8:$G4163="F24")*(IFERROR(ROUND(BANCA!$E8:$E4163,2),0)))</f>
        <v>4926.1899999999996</v>
      </c>
      <c r="Y29" s="299"/>
      <c r="Z29" s="299" cm="1">
        <f t="array" ref="Z29">SUMPRODUCT((IFERROR(MONTH(CASSA!$B7:$B3166)=MONTH(Z$2),FALSE))*(CASSA!$G7:$G3166="TFR corrisposto nell’anno")*(IFERROR(ROUND(CASSA!$F7:$F3166,2),0)))+
SUMPRODUCT((IFERROR(MONTH(CASSA!$B7:$B3166)=MONTH(Z$2),FALSE))*(CASSA!$G7:$G3166="ALTRI COSTI PER PERSONALE DIPENDENTE")*(IFERROR(ROUND(CASSA!$F7:$F3166,2),0)))+
SUMPRODUCT((IFERROR(MONTH(CASSA!$B7:$B3166)=MONTH(Z$2),FALSE))*(CASSA!$G7:$G3166="F24")*(IFERROR(ROUND(CASSA!$F7:$F3166,2),0)))+
SUMPRODUCT((IFERROR(MONTH(BANCA!$B8:$B4163)=MONTH(Z$2),FALSE))*(BANCA!$G8:$G4163="TFR corrisposto nell’anno")*(IFERROR(ROUND(BANCA!$F8:$F4163,2),0)))+
SUMPRODUCT((IFERROR(MONTH(BANCA!$B8:$B4163)=MONTH(Z$2),FALSE))*(BANCA!$G8:$G4163="ALTRI COSTI PER PERSONALE DIPENDENTE")*(IFERROR(ROUND(BANCA!$F8:$F4163,2),0)))+
SUMPRODUCT((IFERROR(MONTH(BANCA!$B8:$B4163)=MONTH(Z$2),FALSE))*(BANCA!$G8:$G4163="F24")*(IFERROR(ROUND(BANCA!$F8:$F4163,2),0)))-SUMPRODUCT((IFERROR(MONTH(CASSA!$B7:$B3166)=MONTH(Z$2),FALSE))*(CASSA!$G7:$G3166="TFR corrisposto nell’anno")*(IFERROR(ROUND(CASSA!$E7:$E3166,2),0)))-
SUMPRODUCT((IFERROR(MONTH(CASSA!$B7:$B3166)=MONTH(Z$2),FALSE))*(CASSA!$G7:$G3166="ALTRI COSTI PER PERSONALE DIPENDENTE")*(IFERROR(ROUND(CASSA!$E7:$E3166,2),0)))-
SUMPRODUCT((IFERROR(MONTH(CASSA!$B7:$B3166)=MONTH(Z$2),FALSE))*(CASSA!$G7:$G3166="F24")*(IFERROR(ROUND(CASSA!$E7:$E3166,2),0)))-
SUMPRODUCT((IFERROR(MONTH(BANCA!$B8:$B4163)=MONTH(Z$2),FALSE))*(BANCA!$G8:$G4163="TFR corrisposto nell’anno")*(IFERROR(ROUND(BANCA!$E8:$E4163,2),0)))-
SUMPRODUCT((IFERROR(MONTH(BANCA!$B8:$B4163)=MONTH(Z$2),FALSE))*(BANCA!$G8:$G4163="ALTRI COSTI PER PERSONALE DIPENDENTE")*(IFERROR(ROUND(BANCA!$E8:$E4163,2),0)))-
SUMPRODUCT((IFERROR(MONTH(BANCA!$B8:$B4163)=MONTH(Z$2),FALSE))*(BANCA!$G8:$G4163="F24")*(IFERROR(ROUND(BANCA!$E8:$E4163,2),0)))</f>
        <v>13449.869999999999</v>
      </c>
      <c r="AA29" s="299"/>
      <c r="AB29" s="761">
        <f t="shared" si="15"/>
        <v>53685.740000000005</v>
      </c>
      <c r="AC29" s="792" t="s">
        <v>1993</v>
      </c>
      <c r="AD29" s="284"/>
      <c r="AE29" s="284"/>
      <c r="AF29" s="284"/>
      <c r="AG29" s="284"/>
      <c r="AH29" s="284"/>
      <c r="AI29" s="284"/>
      <c r="AJ29" s="284"/>
      <c r="AK29" s="284"/>
      <c r="AL29" s="284"/>
      <c r="AM29" s="284"/>
      <c r="AN29" s="284"/>
    </row>
    <row r="30" spans="2:40">
      <c r="B30" s="300"/>
      <c r="C30" s="300"/>
      <c r="D30" s="785">
        <f t="shared" ref="D30:AB30" si="16">SUM(D24:D29)/D5</f>
        <v>0.24066752522265455</v>
      </c>
      <c r="E30" s="785"/>
      <c r="F30" s="785">
        <f t="shared" si="16"/>
        <v>0.29780799814219305</v>
      </c>
      <c r="G30" s="785"/>
      <c r="H30" s="785">
        <f t="shared" si="16"/>
        <v>0.34012677761995463</v>
      </c>
      <c r="I30" s="785"/>
      <c r="J30" s="785">
        <f t="shared" si="16"/>
        <v>0.33340413817004894</v>
      </c>
      <c r="K30" s="785"/>
      <c r="L30" s="785">
        <f t="shared" si="16"/>
        <v>0.53381691606637716</v>
      </c>
      <c r="M30" s="785"/>
      <c r="N30" s="785">
        <f t="shared" si="16"/>
        <v>0.23691370944209517</v>
      </c>
      <c r="O30" s="785"/>
      <c r="P30" s="785">
        <f t="shared" si="16"/>
        <v>0.28231426838798707</v>
      </c>
      <c r="Q30" s="785"/>
      <c r="R30" s="785">
        <f t="shared" si="16"/>
        <v>0.29707185178988604</v>
      </c>
      <c r="S30" s="785"/>
      <c r="T30" s="785">
        <f t="shared" si="16"/>
        <v>0.1750092830769327</v>
      </c>
      <c r="U30" s="785"/>
      <c r="V30" s="785">
        <f t="shared" si="16"/>
        <v>0.20773904298421006</v>
      </c>
      <c r="W30" s="785"/>
      <c r="X30" s="785">
        <f t="shared" si="16"/>
        <v>0.44948114474999895</v>
      </c>
      <c r="Y30" s="785"/>
      <c r="Z30" s="785">
        <f t="shared" si="16"/>
        <v>0.43162866336324029</v>
      </c>
      <c r="AA30" s="785"/>
      <c r="AB30" s="770">
        <f t="shared" si="16"/>
        <v>0.29881942844183623</v>
      </c>
    </row>
    <row r="31" spans="2:40">
      <c r="B31" s="300"/>
      <c r="C31" s="300"/>
      <c r="D31" s="300"/>
      <c r="E31" s="300"/>
      <c r="F31" s="300"/>
      <c r="G31" s="300"/>
      <c r="H31" s="300"/>
      <c r="I31" s="300"/>
      <c r="J31" s="300"/>
      <c r="K31" s="300"/>
      <c r="L31" s="300"/>
      <c r="M31" s="300"/>
      <c r="N31" s="300"/>
      <c r="O31" s="300"/>
      <c r="P31" s="300"/>
      <c r="Q31" s="300"/>
      <c r="R31" s="291"/>
      <c r="S31" s="291"/>
      <c r="T31" s="291"/>
      <c r="U31" s="291"/>
      <c r="V31" s="291"/>
      <c r="W31" s="291"/>
      <c r="X31" s="291"/>
      <c r="Y31" s="291"/>
      <c r="Z31" s="291"/>
      <c r="AA31" s="291"/>
      <c r="AB31" s="291"/>
    </row>
    <row r="32" spans="2:40" s="232" customFormat="1" ht="24" customHeight="1">
      <c r="B32" s="906" t="s">
        <v>1939</v>
      </c>
      <c r="C32" s="906"/>
      <c r="D32" s="297"/>
      <c r="E32" s="297"/>
      <c r="F32" s="297"/>
      <c r="G32" s="297"/>
      <c r="H32" s="297"/>
      <c r="I32" s="297"/>
      <c r="J32" s="297"/>
      <c r="K32" s="297"/>
      <c r="L32" s="297"/>
      <c r="M32" s="297"/>
      <c r="N32" s="297"/>
      <c r="O32" s="297"/>
      <c r="P32" s="297"/>
      <c r="Q32" s="297"/>
      <c r="R32" s="297"/>
      <c r="S32" s="297"/>
      <c r="T32" s="297"/>
      <c r="U32" s="297"/>
      <c r="V32" s="297"/>
      <c r="W32" s="297"/>
      <c r="X32" s="297"/>
      <c r="Y32" s="297"/>
      <c r="Z32" s="297"/>
      <c r="AA32" s="297"/>
      <c r="AB32" s="297"/>
      <c r="AC32" s="284"/>
      <c r="AD32" s="284"/>
      <c r="AE32" s="284"/>
      <c r="AF32" s="284"/>
      <c r="AG32" s="284"/>
      <c r="AH32" s="284"/>
      <c r="AI32" s="284"/>
      <c r="AJ32" s="284"/>
      <c r="AK32" s="284"/>
      <c r="AL32" s="284"/>
      <c r="AM32" s="284"/>
      <c r="AN32" s="284"/>
    </row>
    <row r="33" spans="2:40" s="232" customFormat="1" ht="18" customHeight="1">
      <c r="B33" s="907" t="s">
        <v>147</v>
      </c>
      <c r="C33" s="907"/>
      <c r="D33" s="297" cm="1">
        <f t="array" ref="D33">SUMPRODUCT((IFERROR(MONTH(CASSA!$B7:$B3166)=MONTH(D$2),FALSE))*(CASSA!$G7:$G3166="ACQUISTO BENI PER PRODUZIONE DI SERVIZI")*(IFERROR(ROUND(CASSA!$F7:$F3166,2),0)))+
SUMPRODUCT((IFERROR(MONTH(CASSA!$B7:$B3166)=MONTH(D$2),FALSE))*(CASSA!$G7:$G3166="ACQUISTO DI VINO")*(IFERROR(ROUND(CASSA!$F7:$F3166,2),0)))+
SUMPRODUCT((IFERROR(MONTH(CASSA!$B7:$B3166)=MONTH(D$2),FALSE))*(CASSA!$G7:$G3166="ACQUISTO DI CAFFÈ")*(IFERROR(ROUND(CASSA!$F7:$F3166,2),0)))+
SUMPRODUCT((IFERROR(MONTH(CASSA!$B7:$B3166)=MONTH(D$2),FALSE))*(CASSA!$G7:$G3166="ACQUISTO DI BENI ALIMENTARI")*(IFERROR(ROUND(CASSA!$F7:$F3166,2),0)))+
SUMPRODUCT((IFERROR(MONTH(CASSA!$B7:$B3166)=MONTH(D$2),FALSE))*(CASSA!$G7:$G3166="ACQUISTO DI FRUTTA")*(IFERROR(ROUND(CASSA!$F7:$F3166,2),0)))-
SUMPRODUCT((IFERROR(MONTH(CASSA!$B7:$B3166)=MONTH(D$2),FALSE))*(CASSA!$G7:$G3166="RESI, SCONTI, PREMI, VARIAZIONI SU ACQUISTO MERCE")*(IFERROR(ROUND(CASSA!$F7:$F3166,2),0)))+
SUMPRODUCT((IFERROR(MONTH(BANCA!$B8:$B4163)=MONTH(D$2),FALSE))*(BANCA!$G8:$G4163="ACQUISTO BENI PER PRODUZIONE DI SERVIZI")*(IFERROR(ROUND(BANCA!$F8:$F4163,2),0)))+
SUMPRODUCT((IFERROR(MONTH(BANCA!$B8:$B4163)=MONTH(D$2),FALSE))*(BANCA!$G8:$G4163="ACQUISTO DI VINO")*(IFERROR(ROUND(BANCA!$F8:$F4163,2),0)))+
SUMPRODUCT((IFERROR(MONTH(BANCA!$B8:$B4163)=MONTH(D$2),FALSE))*(BANCA!$G8:$G4163="ACQUISTO DI CAFFÈ")*(IFERROR(ROUND(BANCA!$F8:$F4163,2),0)))+
SUMPRODUCT((IFERROR(MONTH(BANCA!$B8:$B4163)=MONTH(D$2),FALSE))*(BANCA!$G8:$G4163="ACQUISTO DI BENI ALIMENTARI")*(IFERROR(ROUND(BANCA!$F8:$F4163,2),0)))+
SUMPRODUCT((IFERROR(MONTH(BANCA!$B8:$B4163)=MONTH(D$2),FALSE))*(BANCA!$G8:$G4163="ACQUISTO DI FRUTTA")*(IFERROR(ROUND(BANCA!$F8:$F4163,2),0)))-SUMPRODUCT((IFERROR(MONTH(BANCA!$B8:$B4163)=MONTH(D$2),FALSE))*(BANCA!$G8:$G4163="RESI, SCONTI, PREMI, VARIAZIONI SU ACQUISTO MERCE")*(IFERROR(ROUND(BANCA!$F8:$F4163,2),0)))-
SUMPRODUCT((IFERROR(MONTH(CASSA!$B7:$B3166)=MONTH(D$2),FALSE))*(CASSA!$G7:$G3166="ACQUISTO BENI PER PRODUZIONE DI SERVIZI")*(IFERROR(ROUND(CASSA!$E7:$E3166,2),0)))-
SUMPRODUCT((IFERROR(MONTH(CASSA!$B7:$B3166)=MONTH(D$2),FALSE))*(CASSA!$G7:$G3166="ACQUISTO DI VINO")*(IFERROR(ROUND(CASSA!$E7:$E3166,2),0)))-
SUMPRODUCT((IFERROR(MONTH(CASSA!$B7:$B3166)=MONTH(D$2),FALSE))*(CASSA!$G7:$G3166="ACQUISTO DI CAFFÈ")*(IFERROR(ROUND(CASSA!$E7:$E3166,2),0)))-
SUMPRODUCT((IFERROR(MONTH(CASSA!$B7:$B3166)=MONTH(D$2),FALSE))*(CASSA!$G7:$G3166="ACQUISTO DI BENI ALIMENTARI")*(IFERROR(ROUND(CASSA!$E7:$E3166,2),0)))-
SUMPRODUCT((IFERROR(MONTH(CASSA!$B7:$B3166)=MONTH(D$2),FALSE))*(CASSA!$G7:$G3166="ACQUISTO DI FRUTTA")*(IFERROR(ROUND(CASSA!$E7:$E3166,2),0)))-
SUMPRODUCT((IFERROR(MONTH(CASSA!$B7:$B3166)=MONTH(D$2),FALSE))*(CASSA!$G7:$G3166="RESI, SCONTI, PREMI, VARIAZIONI SU ACQUISTO MERCE")*(IFERROR(ROUND(CASSA!$E7:$E3166,2),0)))-
SUMPRODUCT((IFERROR(MONTH(BANCA!$B8:$B4163)=MONTH(D$2),FALSE))*(BANCA!$G8:$G4163="ACQUISTO BENI PER PRODUZIONE DI SERVIZI")*(IFERROR(ROUND(BANCA!$E8:$E4163,2),0)))-
SUMPRODUCT((IFERROR(MONTH(BANCA!$B8:$B4163)=MONTH(D$2),FALSE))*(BANCA!$G8:$G4163="ACQUISTO DI VINO")*(IFERROR(ROUND(BANCA!$E8:$E4163,2),0)))-
SUMPRODUCT((IFERROR(MONTH(BANCA!$B8:$B4163)=MONTH(D$2),FALSE))*(BANCA!$G8:$G4163="ACQUISTO DI CAFFÈ")*(IFERROR(ROUND(BANCA!$E8:$E4163,2),0)))-
SUMPRODUCT((IFERROR(MONTH(BANCA!$B8:$B4163)=MONTH(D$2),FALSE))*(BANCA!$G8:$G4163="ACQUISTO DI BENI ALIMENTARI")*(IFERROR(ROUND(BANCA!$E8:$E4163,2),0)))-
SUMPRODUCT((IFERROR(MONTH(BANCA!$B8:$B4163)=MONTH(D$2),FALSE))*(BANCA!$G8:$G4163="ACQUISTO DI FRUTTA")*(IFERROR(ROUND(BANCA!$E8:$E4163,2),0)))-
SUMPRODUCT((IFERROR(MONTH(BANCA!$B8:$B4163)=MONTH(D$2),FALSE))*(BANCA!$G8:$G4163="RESI, SCONTI, PREMI, VARIAZIONI SU ACQUISTO MERCE")*(IFERROR(ROUND(BANCA!$E8:$E4163,2),0)))</f>
        <v>12385.33</v>
      </c>
      <c r="E33" s="297"/>
      <c r="F33" s="297" cm="1">
        <f t="array" ref="F33">SUMPRODUCT((IFERROR(MONTH(CASSA!$B7:$B3166)=MONTH(F$2),FALSE))*(CASSA!$G7:$G3166="ACQUISTO BENI PER PRODUZIONE DI SERVIZI")*(IFERROR(ROUND(CASSA!$F7:$F3166,2),0)))+
SUMPRODUCT((IFERROR(MONTH(CASSA!$B7:$B3166)=MONTH(F$2),FALSE))*(CASSA!$G7:$G3166="ACQUISTO DI VINO")*(IFERROR(ROUND(CASSA!$F7:$F3166,2),0)))+
SUMPRODUCT((IFERROR(MONTH(CASSA!$B7:$B3166)=MONTH(F$2),FALSE))*(CASSA!$G7:$G3166="ACQUISTO DI CAFFÈ")*(IFERROR(ROUND(CASSA!$F7:$F3166,2),0)))+
SUMPRODUCT((IFERROR(MONTH(CASSA!$B7:$B3166)=MONTH(F$2),FALSE))*(CASSA!$G7:$G3166="ACQUISTO DI BENI ALIMENTARI")*(IFERROR(ROUND(CASSA!$F7:$F3166,2),0)))+
SUMPRODUCT((IFERROR(MONTH(CASSA!$B7:$B3166)=MONTH(F$2),FALSE))*(CASSA!$G7:$G3166="ACQUISTO DI FRUTTA")*(IFERROR(ROUND(CASSA!$F7:$F3166,2),0)))-
SUMPRODUCT((IFERROR(MONTH(CASSA!$B7:$B3166)=MONTH(F$2),FALSE))*(CASSA!$G7:$G3166="RESI, SCONTI, PREMI, VARIAZIONI SU ACQUISTO MERCE")*(IFERROR(ROUND(CASSA!$F7:$F3166,2),0)))+
SUMPRODUCT((IFERROR(MONTH(BANCA!$B8:$B4163)=MONTH(F$2),FALSE))*(BANCA!$G8:$G4163="ACQUISTO BENI PER PRODUZIONE DI SERVIZI")*(IFERROR(ROUND(BANCA!$F8:$F4163,2),0)))+
SUMPRODUCT((IFERROR(MONTH(BANCA!$B8:$B4163)=MONTH(F$2),FALSE))*(BANCA!$G8:$G4163="ACQUISTO DI VINO")*(IFERROR(ROUND(BANCA!$F8:$F4163,2),0)))+
SUMPRODUCT((IFERROR(MONTH(BANCA!$B8:$B4163)=MONTH(F$2),FALSE))*(BANCA!$G8:$G4163="ACQUISTO DI CAFFÈ")*(IFERROR(ROUND(BANCA!$F8:$F4163,2),0)))+
SUMPRODUCT((IFERROR(MONTH(BANCA!$B8:$B4163)=MONTH(F$2),FALSE))*(BANCA!$G8:$G4163="ACQUISTO DI BENI ALIMENTARI")*(IFERROR(ROUND(BANCA!$F8:$F4163,2),0)))+
SUMPRODUCT((IFERROR(MONTH(BANCA!$B8:$B4163)=MONTH(F$2),FALSE))*(BANCA!$G8:$G4163="ACQUISTO DI FRUTTA")*(IFERROR(ROUND(BANCA!$F8:$F4163,2),0)))-SUMPRODUCT((IFERROR(MONTH(BANCA!$B8:$B4163)=MONTH(F$2),FALSE))*(BANCA!$G8:$G4163="RESI, SCONTI, PREMI, VARIAZIONI SU ACQUISTO MERCE")*(IFERROR(ROUND(BANCA!$F8:$F4163,2),0)))-
SUMPRODUCT((IFERROR(MONTH(CASSA!$B7:$B3166)=MONTH(F$2),FALSE))*(CASSA!$G7:$G3166="ACQUISTO BENI PER PRODUZIONE DI SERVIZI")*(IFERROR(ROUND(CASSA!$E7:$E3166,2),0)))-
SUMPRODUCT((IFERROR(MONTH(CASSA!$B7:$B3166)=MONTH(F$2),FALSE))*(CASSA!$G7:$G3166="ACQUISTO DI VINO")*(IFERROR(ROUND(CASSA!$E7:$E3166,2),0)))-
SUMPRODUCT((IFERROR(MONTH(CASSA!$B7:$B3166)=MONTH(F$2),FALSE))*(CASSA!$G7:$G3166="ACQUISTO DI CAFFÈ")*(IFERROR(ROUND(CASSA!$E7:$E3166,2),0)))-
SUMPRODUCT((IFERROR(MONTH(CASSA!$B7:$B3166)=MONTH(F$2),FALSE))*(CASSA!$G7:$G3166="ACQUISTO DI BENI ALIMENTARI")*(IFERROR(ROUND(CASSA!$E7:$E3166,2),0)))-
SUMPRODUCT((IFERROR(MONTH(CASSA!$B7:$B3166)=MONTH(F$2),FALSE))*(CASSA!$G7:$G3166="ACQUISTO DI FRUTTA")*(IFERROR(ROUND(CASSA!$E7:$E3166,2),0)))-
SUMPRODUCT((IFERROR(MONTH(CASSA!$B7:$B3166)=MONTH(F$2),FALSE))*(CASSA!$G7:$G3166="RESI, SCONTI, PREMI, VARIAZIONI SU ACQUISTO MERCE")*(IFERROR(ROUND(CASSA!$E7:$E3166,2),0)))-
SUMPRODUCT((IFERROR(MONTH(BANCA!$B8:$B4163)=MONTH(F$2),FALSE))*(BANCA!$G8:$G4163="ACQUISTO BENI PER PRODUZIONE DI SERVIZI")*(IFERROR(ROUND(BANCA!$E8:$E4163,2),0)))-
SUMPRODUCT((IFERROR(MONTH(BANCA!$B8:$B4163)=MONTH(F$2),FALSE))*(BANCA!$G8:$G4163="ACQUISTO DI VINO")*(IFERROR(ROUND(BANCA!$E8:$E4163,2),0)))-
SUMPRODUCT((IFERROR(MONTH(BANCA!$B8:$B4163)=MONTH(F$2),FALSE))*(BANCA!$G8:$G4163="ACQUISTO DI CAFFÈ")*(IFERROR(ROUND(BANCA!$E8:$E4163,2),0)))-
SUMPRODUCT((IFERROR(MONTH(BANCA!$B8:$B4163)=MONTH(F$2),FALSE))*(BANCA!$G8:$G4163="ACQUISTO DI BENI ALIMENTARI")*(IFERROR(ROUND(BANCA!$E8:$E4163,2),0)))-
SUMPRODUCT((IFERROR(MONTH(BANCA!$B8:$B4163)=MONTH(F$2),FALSE))*(BANCA!$G8:$G4163="ACQUISTO DI FRUTTA")*(IFERROR(ROUND(BANCA!$E8:$E4163,2),0)))-
SUMPRODUCT((IFERROR(MONTH(BANCA!$B8:$B4163)=MONTH(F$2),FALSE))*(BANCA!$G8:$G4163="RESI, SCONTI, PREMI, VARIAZIONI SU ACQUISTO MERCE")*(IFERROR(ROUND(BANCA!$E8:$E4163,2),0)))</f>
        <v>14310.349999999999</v>
      </c>
      <c r="G33" s="297"/>
      <c r="H33" s="297" cm="1">
        <f t="array" ref="H33">SUMPRODUCT((IFERROR(MONTH(CASSA!$B7:$B3166)=MONTH(H$2),FALSE))*(CASSA!$G7:$G3166="ACQUISTO BENI PER PRODUZIONE DI SERVIZI")*(IFERROR(ROUND(CASSA!$F7:$F3166,2),0)))+
SUMPRODUCT((IFERROR(MONTH(CASSA!$B7:$B3166)=MONTH(H$2),FALSE))*(CASSA!$G7:$G3166="ACQUISTO DI VINO")*(IFERROR(ROUND(CASSA!$F7:$F3166,2),0)))+
SUMPRODUCT((IFERROR(MONTH(CASSA!$B7:$B3166)=MONTH(H$2),FALSE))*(CASSA!$G7:$G3166="ACQUISTO DI CAFFÈ")*(IFERROR(ROUND(CASSA!$F7:$F3166,2),0)))+
SUMPRODUCT((IFERROR(MONTH(CASSA!$B7:$B3166)=MONTH(H$2),FALSE))*(CASSA!$G7:$G3166="ACQUISTO DI BENI ALIMENTARI")*(IFERROR(ROUND(CASSA!$F7:$F3166,2),0)))+
SUMPRODUCT((IFERROR(MONTH(CASSA!$B7:$B3166)=MONTH(H$2),FALSE))*(CASSA!$G7:$G3166="ACQUISTO DI FRUTTA")*(IFERROR(ROUND(CASSA!$F7:$F3166,2),0)))-
SUMPRODUCT((IFERROR(MONTH(CASSA!$B7:$B3166)=MONTH(H$2),FALSE))*(CASSA!$G7:$G3166="RESI, SCONTI, PREMI, VARIAZIONI SU ACQUISTO MERCE")*(IFERROR(ROUND(CASSA!$F7:$F3166,2),0)))+
SUMPRODUCT((IFERROR(MONTH(BANCA!$B8:$B4163)=MONTH(H$2),FALSE))*(BANCA!$G8:$G4163="ACQUISTO BENI PER PRODUZIONE DI SERVIZI")*(IFERROR(ROUND(BANCA!$F8:$F4163,2),0)))+
SUMPRODUCT((IFERROR(MONTH(BANCA!$B8:$B4163)=MONTH(H$2),FALSE))*(BANCA!$G8:$G4163="ACQUISTO DI VINO")*(IFERROR(ROUND(BANCA!$F8:$F4163,2),0)))+
SUMPRODUCT((IFERROR(MONTH(BANCA!$B8:$B4163)=MONTH(H$2),FALSE))*(BANCA!$G8:$G4163="ACQUISTO DI CAFFÈ")*(IFERROR(ROUND(BANCA!$F8:$F4163,2),0)))+
SUMPRODUCT((IFERROR(MONTH(BANCA!$B8:$B4163)=MONTH(H$2),FALSE))*(BANCA!$G8:$G4163="ACQUISTO DI BENI ALIMENTARI")*(IFERROR(ROUND(BANCA!$F8:$F4163,2),0)))+
SUMPRODUCT((IFERROR(MONTH(BANCA!$B8:$B4163)=MONTH(H$2),FALSE))*(BANCA!$G8:$G4163="ACQUISTO DI FRUTTA")*(IFERROR(ROUND(BANCA!$F8:$F4163,2),0)))-SUMPRODUCT((IFERROR(MONTH(BANCA!$B8:$B4163)=MONTH(H$2),FALSE))*(BANCA!$G8:$G4163="RESI, SCONTI, PREMI, VARIAZIONI SU ACQUISTO MERCE")*(IFERROR(ROUND(BANCA!$F8:$F4163,2),0)))-
SUMPRODUCT((IFERROR(MONTH(CASSA!$B7:$B3166)=MONTH(H$2),FALSE))*(CASSA!$G7:$G3166="ACQUISTO BENI PER PRODUZIONE DI SERVIZI")*(IFERROR(ROUND(CASSA!$E7:$E3166,2),0)))-
SUMPRODUCT((IFERROR(MONTH(CASSA!$B7:$B3166)=MONTH(H$2),FALSE))*(CASSA!$G7:$G3166="ACQUISTO DI VINO")*(IFERROR(ROUND(CASSA!$E7:$E3166,2),0)))-
SUMPRODUCT((IFERROR(MONTH(CASSA!$B7:$B3166)=MONTH(H$2),FALSE))*(CASSA!$G7:$G3166="ACQUISTO DI CAFFÈ")*(IFERROR(ROUND(CASSA!$E7:$E3166,2),0)))-
SUMPRODUCT((IFERROR(MONTH(CASSA!$B7:$B3166)=MONTH(H$2),FALSE))*(CASSA!$G7:$G3166="ACQUISTO DI BENI ALIMENTARI")*(IFERROR(ROUND(CASSA!$E7:$E3166,2),0)))-
SUMPRODUCT((IFERROR(MONTH(CASSA!$B7:$B3166)=MONTH(H$2),FALSE))*(CASSA!$G7:$G3166="ACQUISTO DI FRUTTA")*(IFERROR(ROUND(CASSA!$E7:$E3166,2),0)))-
SUMPRODUCT((IFERROR(MONTH(CASSA!$B7:$B3166)=MONTH(H$2),FALSE))*(CASSA!$G7:$G3166="RESI, SCONTI, PREMI, VARIAZIONI SU ACQUISTO MERCE")*(IFERROR(ROUND(CASSA!$E7:$E3166,2),0)))-
SUMPRODUCT((IFERROR(MONTH(BANCA!$B8:$B4163)=MONTH(H$2),FALSE))*(BANCA!$G8:$G4163="ACQUISTO BENI PER PRODUZIONE DI SERVIZI")*(IFERROR(ROUND(BANCA!$E8:$E4163,2),0)))-
SUMPRODUCT((IFERROR(MONTH(BANCA!$B8:$B4163)=MONTH(H$2),FALSE))*(BANCA!$G8:$G4163="ACQUISTO DI VINO")*(IFERROR(ROUND(BANCA!$E8:$E4163,2),0)))-
SUMPRODUCT((IFERROR(MONTH(BANCA!$B8:$B4163)=MONTH(H$2),FALSE))*(BANCA!$G8:$G4163="ACQUISTO DI CAFFÈ")*(IFERROR(ROUND(BANCA!$E8:$E4163,2),0)))-
SUMPRODUCT((IFERROR(MONTH(BANCA!$B8:$B4163)=MONTH(H$2),FALSE))*(BANCA!$G8:$G4163="ACQUISTO DI BENI ALIMENTARI")*(IFERROR(ROUND(BANCA!$E8:$E4163,2),0)))-
SUMPRODUCT((IFERROR(MONTH(BANCA!$B8:$B4163)=MONTH(H$2),FALSE))*(BANCA!$G8:$G4163="ACQUISTO DI FRUTTA")*(IFERROR(ROUND(BANCA!$E8:$E4163,2),0)))-
SUMPRODUCT((IFERROR(MONTH(BANCA!$B8:$B4163)=MONTH(H$2),FALSE))*(BANCA!$G8:$G4163="RESI, SCONTI, PREMI, VARIAZIONI SU ACQUISTO MERCE")*(IFERROR(ROUND(BANCA!$E8:$E4163,2),0)))</f>
        <v>27800.720000000001</v>
      </c>
      <c r="I33" s="297"/>
      <c r="J33" s="297" cm="1">
        <f t="array" ref="J33">SUMPRODUCT((IFERROR(MONTH(CASSA!$B7:$B3166)=MONTH(J$2),FALSE))*(CASSA!$G7:$G3166="ACQUISTO BENI PER PRODUZIONE DI SERVIZI")*(IFERROR(ROUND(CASSA!$F7:$F3166,2),0)))+
SUMPRODUCT((IFERROR(MONTH(CASSA!$B7:$B3166)=MONTH(J$2),FALSE))*(CASSA!$G7:$G3166="ACQUISTO DI VINO")*(IFERROR(ROUND(CASSA!$F7:$F3166,2),0)))+
SUMPRODUCT((IFERROR(MONTH(CASSA!$B7:$B3166)=MONTH(J$2),FALSE))*(CASSA!$G7:$G3166="ACQUISTO DI CAFFÈ")*(IFERROR(ROUND(CASSA!$F7:$F3166,2),0)))+
SUMPRODUCT((IFERROR(MONTH(CASSA!$B7:$B3166)=MONTH(J$2),FALSE))*(CASSA!$G7:$G3166="ACQUISTO DI BENI ALIMENTARI")*(IFERROR(ROUND(CASSA!$F7:$F3166,2),0)))+
SUMPRODUCT((IFERROR(MONTH(CASSA!$B7:$B3166)=MONTH(J$2),FALSE))*(CASSA!$G7:$G3166="ACQUISTO DI FRUTTA")*(IFERROR(ROUND(CASSA!$F7:$F3166,2),0)))-
SUMPRODUCT((IFERROR(MONTH(CASSA!$B7:$B3166)=MONTH(J$2),FALSE))*(CASSA!$G7:$G3166="RESI, SCONTI, PREMI, VARIAZIONI SU ACQUISTO MERCE")*(IFERROR(ROUND(CASSA!$F7:$F3166,2),0)))+
SUMPRODUCT((IFERROR(MONTH(BANCA!$B8:$B4163)=MONTH(J$2),FALSE))*(BANCA!$G8:$G4163="ACQUISTO BENI PER PRODUZIONE DI SERVIZI")*(IFERROR(ROUND(BANCA!$F8:$F4163,2),0)))+
SUMPRODUCT((IFERROR(MONTH(BANCA!$B8:$B4163)=MONTH(J$2),FALSE))*(BANCA!$G8:$G4163="ACQUISTO DI VINO")*(IFERROR(ROUND(BANCA!$F8:$F4163,2),0)))+
SUMPRODUCT((IFERROR(MONTH(BANCA!$B8:$B4163)=MONTH(J$2),FALSE))*(BANCA!$G8:$G4163="ACQUISTO DI CAFFÈ")*(IFERROR(ROUND(BANCA!$F8:$F4163,2),0)))+
SUMPRODUCT((IFERROR(MONTH(BANCA!$B8:$B4163)=MONTH(J$2),FALSE))*(BANCA!$G8:$G4163="ACQUISTO DI BENI ALIMENTARI")*(IFERROR(ROUND(BANCA!$F8:$F4163,2),0)))+
SUMPRODUCT((IFERROR(MONTH(BANCA!$B8:$B4163)=MONTH(J$2),FALSE))*(BANCA!$G8:$G4163="ACQUISTO DI FRUTTA")*(IFERROR(ROUND(BANCA!$F8:$F4163,2),0)))-SUMPRODUCT((IFERROR(MONTH(BANCA!$B8:$B4163)=MONTH(J$2),FALSE))*(BANCA!$G8:$G4163="RESI, SCONTI, PREMI, VARIAZIONI SU ACQUISTO MERCE")*(IFERROR(ROUND(BANCA!$F8:$F4163,2),0)))-
SUMPRODUCT((IFERROR(MONTH(CASSA!$B7:$B3166)=MONTH(J$2),FALSE))*(CASSA!$G7:$G3166="ACQUISTO BENI PER PRODUZIONE DI SERVIZI")*(IFERROR(ROUND(CASSA!$E7:$E3166,2),0)))-
SUMPRODUCT((IFERROR(MONTH(CASSA!$B7:$B3166)=MONTH(J$2),FALSE))*(CASSA!$G7:$G3166="ACQUISTO DI VINO")*(IFERROR(ROUND(CASSA!$E7:$E3166,2),0)))-
SUMPRODUCT((IFERROR(MONTH(CASSA!$B7:$B3166)=MONTH(J$2),FALSE))*(CASSA!$G7:$G3166="ACQUISTO DI CAFFÈ")*(IFERROR(ROUND(CASSA!$E7:$E3166,2),0)))-
SUMPRODUCT((IFERROR(MONTH(CASSA!$B7:$B3166)=MONTH(J$2),FALSE))*(CASSA!$G7:$G3166="ACQUISTO DI BENI ALIMENTARI")*(IFERROR(ROUND(CASSA!$E7:$E3166,2),0)))-
SUMPRODUCT((IFERROR(MONTH(CASSA!$B7:$B3166)=MONTH(J$2),FALSE))*(CASSA!$G7:$G3166="ACQUISTO DI FRUTTA")*(IFERROR(ROUND(CASSA!$E7:$E3166,2),0)))-
SUMPRODUCT((IFERROR(MONTH(CASSA!$B7:$B3166)=MONTH(J$2),FALSE))*(CASSA!$G7:$G3166="RESI, SCONTI, PREMI, VARIAZIONI SU ACQUISTO MERCE")*(IFERROR(ROUND(CASSA!$E7:$E3166,2),0)))-
SUMPRODUCT((IFERROR(MONTH(BANCA!$B8:$B4163)=MONTH(J$2),FALSE))*(BANCA!$G8:$G4163="ACQUISTO BENI PER PRODUZIONE DI SERVIZI")*(IFERROR(ROUND(BANCA!$E8:$E4163,2),0)))-
SUMPRODUCT((IFERROR(MONTH(BANCA!$B8:$B4163)=MONTH(J$2),FALSE))*(BANCA!$G8:$G4163="ACQUISTO DI VINO")*(IFERROR(ROUND(BANCA!$E8:$E4163,2),0)))-
SUMPRODUCT((IFERROR(MONTH(BANCA!$B8:$B4163)=MONTH(J$2),FALSE))*(BANCA!$G8:$G4163="ACQUISTO DI CAFFÈ")*(IFERROR(ROUND(BANCA!$E8:$E4163,2),0)))-
SUMPRODUCT((IFERROR(MONTH(BANCA!$B8:$B4163)=MONTH(J$2),FALSE))*(BANCA!$G8:$G4163="ACQUISTO DI BENI ALIMENTARI")*(IFERROR(ROUND(BANCA!$E8:$E4163,2),0)))-
SUMPRODUCT((IFERROR(MONTH(BANCA!$B8:$B4163)=MONTH(J$2),FALSE))*(BANCA!$G8:$G4163="ACQUISTO DI FRUTTA")*(IFERROR(ROUND(BANCA!$E8:$E4163,2),0)))-
SUMPRODUCT((IFERROR(MONTH(BANCA!$B8:$B4163)=MONTH(J$2),FALSE))*(BANCA!$G8:$G4163="RESI, SCONTI, PREMI, VARIAZIONI SU ACQUISTO MERCE")*(IFERROR(ROUND(BANCA!$E8:$E4163,2),0)))</f>
        <v>29531.21</v>
      </c>
      <c r="K33" s="297"/>
      <c r="L33" s="297" cm="1">
        <f t="array" ref="L33">SUMPRODUCT((IFERROR(MONTH(CASSA!$B7:$B3166)=MONTH(L$2),FALSE))*(CASSA!$G7:$G3166="ACQUISTO BENI PER PRODUZIONE DI SERVIZI")*(IFERROR(ROUND(CASSA!$F7:$F3166,2),0)))+
SUMPRODUCT((IFERROR(MONTH(CASSA!$B7:$B3166)=MONTH(L$2),FALSE))*(CASSA!$G7:$G3166="ACQUISTO DI VINO")*(IFERROR(ROUND(CASSA!$F7:$F3166,2),0)))+
SUMPRODUCT((IFERROR(MONTH(CASSA!$B7:$B3166)=MONTH(L$2),FALSE))*(CASSA!$G7:$G3166="ACQUISTO DI CAFFÈ")*(IFERROR(ROUND(CASSA!$F7:$F3166,2),0)))+
SUMPRODUCT((IFERROR(MONTH(CASSA!$B7:$B3166)=MONTH(L$2),FALSE))*(CASSA!$G7:$G3166="ACQUISTO DI BENI ALIMENTARI")*(IFERROR(ROUND(CASSA!$F7:$F3166,2),0)))+
SUMPRODUCT((IFERROR(MONTH(CASSA!$B7:$B3166)=MONTH(L$2),FALSE))*(CASSA!$G7:$G3166="ACQUISTO DI FRUTTA")*(IFERROR(ROUND(CASSA!$F7:$F3166,2),0)))-
SUMPRODUCT((IFERROR(MONTH(CASSA!$B7:$B3166)=MONTH(L$2),FALSE))*(CASSA!$G7:$G3166="RESI, SCONTI, PREMI, VARIAZIONI SU ACQUISTO MERCE")*(IFERROR(ROUND(CASSA!$F7:$F3166,2),0)))+
SUMPRODUCT((IFERROR(MONTH(BANCA!$B8:$B4163)=MONTH(L$2),FALSE))*(BANCA!$G8:$G4163="ACQUISTO BENI PER PRODUZIONE DI SERVIZI")*(IFERROR(ROUND(BANCA!$F8:$F4163,2),0)))+
SUMPRODUCT((IFERROR(MONTH(BANCA!$B8:$B4163)=MONTH(L$2),FALSE))*(BANCA!$G8:$G4163="ACQUISTO DI VINO")*(IFERROR(ROUND(BANCA!$F8:$F4163,2),0)))+
SUMPRODUCT((IFERROR(MONTH(BANCA!$B8:$B4163)=MONTH(L$2),FALSE))*(BANCA!$G8:$G4163="ACQUISTO DI CAFFÈ")*(IFERROR(ROUND(BANCA!$F8:$F4163,2),0)))+
SUMPRODUCT((IFERROR(MONTH(BANCA!$B8:$B4163)=MONTH(L$2),FALSE))*(BANCA!$G8:$G4163="ACQUISTO DI BENI ALIMENTARI")*(IFERROR(ROUND(BANCA!$F8:$F4163,2),0)))+
SUMPRODUCT((IFERROR(MONTH(BANCA!$B8:$B4163)=MONTH(L$2),FALSE))*(BANCA!$G8:$G4163="ACQUISTO DI FRUTTA")*(IFERROR(ROUND(BANCA!$F8:$F4163,2),0)))-SUMPRODUCT((IFERROR(MONTH(BANCA!$B8:$B4163)=MONTH(L$2),FALSE))*(BANCA!$G8:$G4163="RESI, SCONTI, PREMI, VARIAZIONI SU ACQUISTO MERCE")*(IFERROR(ROUND(BANCA!$F8:$F4163,2),0)))-
SUMPRODUCT((IFERROR(MONTH(CASSA!$B7:$B3166)=MONTH(L$2),FALSE))*(CASSA!$G7:$G3166="ACQUISTO BENI PER PRODUZIONE DI SERVIZI")*(IFERROR(ROUND(CASSA!$E7:$E3166,2),0)))-
SUMPRODUCT((IFERROR(MONTH(CASSA!$B7:$B3166)=MONTH(L$2),FALSE))*(CASSA!$G7:$G3166="ACQUISTO DI VINO")*(IFERROR(ROUND(CASSA!$E7:$E3166,2),0)))-
SUMPRODUCT((IFERROR(MONTH(CASSA!$B7:$B3166)=MONTH(L$2),FALSE))*(CASSA!$G7:$G3166="ACQUISTO DI CAFFÈ")*(IFERROR(ROUND(CASSA!$E7:$E3166,2),0)))-
SUMPRODUCT((IFERROR(MONTH(CASSA!$B7:$B3166)=MONTH(L$2),FALSE))*(CASSA!$G7:$G3166="ACQUISTO DI BENI ALIMENTARI")*(IFERROR(ROUND(CASSA!$E7:$E3166,2),0)))-
SUMPRODUCT((IFERROR(MONTH(CASSA!$B7:$B3166)=MONTH(L$2),FALSE))*(CASSA!$G7:$G3166="ACQUISTO DI FRUTTA")*(IFERROR(ROUND(CASSA!$E7:$E3166,2),0)))-
SUMPRODUCT((IFERROR(MONTH(CASSA!$B7:$B3166)=MONTH(L$2),FALSE))*(CASSA!$G7:$G3166="RESI, SCONTI, PREMI, VARIAZIONI SU ACQUISTO MERCE")*(IFERROR(ROUND(CASSA!$E7:$E3166,2),0)))-
SUMPRODUCT((IFERROR(MONTH(BANCA!$B8:$B4163)=MONTH(L$2),FALSE))*(BANCA!$G8:$G4163="ACQUISTO BENI PER PRODUZIONE DI SERVIZI")*(IFERROR(ROUND(BANCA!$E8:$E4163,2),0)))-
SUMPRODUCT((IFERROR(MONTH(BANCA!$B8:$B4163)=MONTH(L$2),FALSE))*(BANCA!$G8:$G4163="ACQUISTO DI VINO")*(IFERROR(ROUND(BANCA!$E8:$E4163,2),0)))-
SUMPRODUCT((IFERROR(MONTH(BANCA!$B8:$B4163)=MONTH(L$2),FALSE))*(BANCA!$G8:$G4163="ACQUISTO DI CAFFÈ")*(IFERROR(ROUND(BANCA!$E8:$E4163,2),0)))-
SUMPRODUCT((IFERROR(MONTH(BANCA!$B8:$B4163)=MONTH(L$2),FALSE))*(BANCA!$G8:$G4163="ACQUISTO DI BENI ALIMENTARI")*(IFERROR(ROUND(BANCA!$E8:$E4163,2),0)))-
SUMPRODUCT((IFERROR(MONTH(BANCA!$B8:$B4163)=MONTH(L$2),FALSE))*(BANCA!$G8:$G4163="ACQUISTO DI FRUTTA")*(IFERROR(ROUND(BANCA!$E8:$E4163,2),0)))-
SUMPRODUCT((IFERROR(MONTH(BANCA!$B8:$B4163)=MONTH(L$2),FALSE))*(BANCA!$G8:$G4163="RESI, SCONTI, PREMI, VARIAZIONI SU ACQUISTO MERCE")*(IFERROR(ROUND(BANCA!$E8:$E4163,2),0)))</f>
        <v>22384.63</v>
      </c>
      <c r="M33" s="297"/>
      <c r="N33" s="297" cm="1">
        <f t="array" ref="N33">SUMPRODUCT((IFERROR(MONTH(CASSA!$B7:$B3166)=MONTH(N$2),FALSE))*(CASSA!$G7:$G3166="ACQUISTO BENI PER PRODUZIONE DI SERVIZI")*(IFERROR(ROUND(CASSA!$F7:$F3166,2),0)))+
SUMPRODUCT((IFERROR(MONTH(CASSA!$B7:$B3166)=MONTH(N$2),FALSE))*(CASSA!$G7:$G3166="ACQUISTO DI VINO")*(IFERROR(ROUND(CASSA!$F7:$F3166,2),0)))+
SUMPRODUCT((IFERROR(MONTH(CASSA!$B7:$B3166)=MONTH(N$2),FALSE))*(CASSA!$G7:$G3166="ACQUISTO DI CAFFÈ")*(IFERROR(ROUND(CASSA!$F7:$F3166,2),0)))+
SUMPRODUCT((IFERROR(MONTH(CASSA!$B7:$B3166)=MONTH(N$2),FALSE))*(CASSA!$G7:$G3166="ACQUISTO DI BENI ALIMENTARI")*(IFERROR(ROUND(CASSA!$F7:$F3166,2),0)))+
SUMPRODUCT((IFERROR(MONTH(CASSA!$B7:$B3166)=MONTH(N$2),FALSE))*(CASSA!$G7:$G3166="ACQUISTO DI FRUTTA")*(IFERROR(ROUND(CASSA!$F7:$F3166,2),0)))-
SUMPRODUCT((IFERROR(MONTH(CASSA!$B7:$B3166)=MONTH(N$2),FALSE))*(CASSA!$G7:$G3166="RESI, SCONTI, PREMI, VARIAZIONI SU ACQUISTO MERCE")*(IFERROR(ROUND(CASSA!$F7:$F3166,2),0)))+
SUMPRODUCT((IFERROR(MONTH(BANCA!$B8:$B4163)=MONTH(N$2),FALSE))*(BANCA!$G8:$G4163="ACQUISTO BENI PER PRODUZIONE DI SERVIZI")*(IFERROR(ROUND(BANCA!$F8:$F4163,2),0)))+
SUMPRODUCT((IFERROR(MONTH(BANCA!$B8:$B4163)=MONTH(N$2),FALSE))*(BANCA!$G8:$G4163="ACQUISTO DI VINO")*(IFERROR(ROUND(BANCA!$F8:$F4163,2),0)))+
SUMPRODUCT((IFERROR(MONTH(BANCA!$B8:$B4163)=MONTH(N$2),FALSE))*(BANCA!$G8:$G4163="ACQUISTO DI CAFFÈ")*(IFERROR(ROUND(BANCA!$F8:$F4163,2),0)))+
SUMPRODUCT((IFERROR(MONTH(BANCA!$B8:$B4163)=MONTH(N$2),FALSE))*(BANCA!$G8:$G4163="ACQUISTO DI BENI ALIMENTARI")*(IFERROR(ROUND(BANCA!$F8:$F4163,2),0)))+
SUMPRODUCT((IFERROR(MONTH(BANCA!$B8:$B4163)=MONTH(N$2),FALSE))*(BANCA!$G8:$G4163="ACQUISTO DI FRUTTA")*(IFERROR(ROUND(BANCA!$F8:$F4163,2),0)))-SUMPRODUCT((IFERROR(MONTH(BANCA!$B8:$B4163)=MONTH(N$2),FALSE))*(BANCA!$G8:$G4163="RESI, SCONTI, PREMI, VARIAZIONI SU ACQUISTO MERCE")*(IFERROR(ROUND(BANCA!$F8:$F4163,2),0)))-
SUMPRODUCT((IFERROR(MONTH(CASSA!$B7:$B3166)=MONTH(N$2),FALSE))*(CASSA!$G7:$G3166="ACQUISTO BENI PER PRODUZIONE DI SERVIZI")*(IFERROR(ROUND(CASSA!$E7:$E3166,2),0)))-
SUMPRODUCT((IFERROR(MONTH(CASSA!$B7:$B3166)=MONTH(N$2),FALSE))*(CASSA!$G7:$G3166="ACQUISTO DI VINO")*(IFERROR(ROUND(CASSA!$E7:$E3166,2),0)))-
SUMPRODUCT((IFERROR(MONTH(CASSA!$B7:$B3166)=MONTH(N$2),FALSE))*(CASSA!$G7:$G3166="ACQUISTO DI CAFFÈ")*(IFERROR(ROUND(CASSA!$E7:$E3166,2),0)))-
SUMPRODUCT((IFERROR(MONTH(CASSA!$B7:$B3166)=MONTH(N$2),FALSE))*(CASSA!$G7:$G3166="ACQUISTO DI BENI ALIMENTARI")*(IFERROR(ROUND(CASSA!$E7:$E3166,2),0)))-
SUMPRODUCT((IFERROR(MONTH(CASSA!$B7:$B3166)=MONTH(N$2),FALSE))*(CASSA!$G7:$G3166="ACQUISTO DI FRUTTA")*(IFERROR(ROUND(CASSA!$E7:$E3166,2),0)))-
SUMPRODUCT((IFERROR(MONTH(CASSA!$B7:$B3166)=MONTH(N$2),FALSE))*(CASSA!$G7:$G3166="RESI, SCONTI, PREMI, VARIAZIONI SU ACQUISTO MERCE")*(IFERROR(ROUND(CASSA!$E7:$E3166,2),0)))-
SUMPRODUCT((IFERROR(MONTH(BANCA!$B8:$B4163)=MONTH(N$2),FALSE))*(BANCA!$G8:$G4163="ACQUISTO BENI PER PRODUZIONE DI SERVIZI")*(IFERROR(ROUND(BANCA!$E8:$E4163,2),0)))-
SUMPRODUCT((IFERROR(MONTH(BANCA!$B8:$B4163)=MONTH(N$2),FALSE))*(BANCA!$G8:$G4163="ACQUISTO DI VINO")*(IFERROR(ROUND(BANCA!$E8:$E4163,2),0)))-
SUMPRODUCT((IFERROR(MONTH(BANCA!$B8:$B4163)=MONTH(N$2),FALSE))*(BANCA!$G8:$G4163="ACQUISTO DI CAFFÈ")*(IFERROR(ROUND(BANCA!$E8:$E4163,2),0)))-
SUMPRODUCT((IFERROR(MONTH(BANCA!$B8:$B4163)=MONTH(N$2),FALSE))*(BANCA!$G8:$G4163="ACQUISTO DI BENI ALIMENTARI")*(IFERROR(ROUND(BANCA!$E8:$E4163,2),0)))-
SUMPRODUCT((IFERROR(MONTH(BANCA!$B8:$B4163)=MONTH(N$2),FALSE))*(BANCA!$G8:$G4163="ACQUISTO DI FRUTTA")*(IFERROR(ROUND(BANCA!$E8:$E4163,2),0)))-
SUMPRODUCT((IFERROR(MONTH(BANCA!$B8:$B4163)=MONTH(N$2),FALSE))*(BANCA!$G8:$G4163="RESI, SCONTI, PREMI, VARIAZIONI SU ACQUISTO MERCE")*(IFERROR(ROUND(BANCA!$E8:$E4163,2),0)))</f>
        <v>30744.240000000005</v>
      </c>
      <c r="O33" s="297"/>
      <c r="P33" s="297" cm="1">
        <f t="array" ref="P33">SUMPRODUCT((IFERROR(MONTH(CASSA!$B7:$B3166)=MONTH(P$2),FALSE))*(CASSA!$G7:$G3166="ACQUISTO BENI PER PRODUZIONE DI SERVIZI")*(IFERROR(ROUND(CASSA!$F7:$F3166,2),0)))+
SUMPRODUCT((IFERROR(MONTH(CASSA!$B7:$B3166)=MONTH(P$2),FALSE))*(CASSA!$G7:$G3166="ACQUISTO DI VINO")*(IFERROR(ROUND(CASSA!$F7:$F3166,2),0)))+
SUMPRODUCT((IFERROR(MONTH(CASSA!$B7:$B3166)=MONTH(P$2),FALSE))*(CASSA!$G7:$G3166="ACQUISTO DI CAFFÈ")*(IFERROR(ROUND(CASSA!$F7:$F3166,2),0)))+
SUMPRODUCT((IFERROR(MONTH(CASSA!$B7:$B3166)=MONTH(P$2),FALSE))*(CASSA!$G7:$G3166="ACQUISTO DI BENI ALIMENTARI")*(IFERROR(ROUND(CASSA!$F7:$F3166,2),0)))+
SUMPRODUCT((IFERROR(MONTH(CASSA!$B7:$B3166)=MONTH(P$2),FALSE))*(CASSA!$G7:$G3166="ACQUISTO DI FRUTTA")*(IFERROR(ROUND(CASSA!$F7:$F3166,2),0)))-
SUMPRODUCT((IFERROR(MONTH(CASSA!$B7:$B3166)=MONTH(P$2),FALSE))*(CASSA!$G7:$G3166="RESI, SCONTI, PREMI, VARIAZIONI SU ACQUISTO MERCE")*(IFERROR(ROUND(CASSA!$F7:$F3166,2),0)))+
SUMPRODUCT((IFERROR(MONTH(BANCA!$B8:$B4163)=MONTH(P$2),FALSE))*(BANCA!$G8:$G4163="ACQUISTO BENI PER PRODUZIONE DI SERVIZI")*(IFERROR(ROUND(BANCA!$F8:$F4163,2),0)))+
SUMPRODUCT((IFERROR(MONTH(BANCA!$B8:$B4163)=MONTH(P$2),FALSE))*(BANCA!$G8:$G4163="ACQUISTO DI VINO")*(IFERROR(ROUND(BANCA!$F8:$F4163,2),0)))+
SUMPRODUCT((IFERROR(MONTH(BANCA!$B8:$B4163)=MONTH(P$2),FALSE))*(BANCA!$G8:$G4163="ACQUISTO DI CAFFÈ")*(IFERROR(ROUND(BANCA!$F8:$F4163,2),0)))+
SUMPRODUCT((IFERROR(MONTH(BANCA!$B8:$B4163)=MONTH(P$2),FALSE))*(BANCA!$G8:$G4163="ACQUISTO DI BENI ALIMENTARI")*(IFERROR(ROUND(BANCA!$F8:$F4163,2),0)))+
SUMPRODUCT((IFERROR(MONTH(BANCA!$B8:$B4163)=MONTH(P$2),FALSE))*(BANCA!$G8:$G4163="ACQUISTO DI FRUTTA")*(IFERROR(ROUND(BANCA!$F8:$F4163,2),0)))-SUMPRODUCT((IFERROR(MONTH(BANCA!$B8:$B4163)=MONTH(P$2),FALSE))*(BANCA!$G8:$G4163="RESI, SCONTI, PREMI, VARIAZIONI SU ACQUISTO MERCE")*(IFERROR(ROUND(BANCA!$F8:$F4163,2),0)))-
SUMPRODUCT((IFERROR(MONTH(CASSA!$B7:$B3166)=MONTH(P$2),FALSE))*(CASSA!$G7:$G3166="ACQUISTO BENI PER PRODUZIONE DI SERVIZI")*(IFERROR(ROUND(CASSA!$E7:$E3166,2),0)))-
SUMPRODUCT((IFERROR(MONTH(CASSA!$B7:$B3166)=MONTH(P$2),FALSE))*(CASSA!$G7:$G3166="ACQUISTO DI VINO")*(IFERROR(ROUND(CASSA!$E7:$E3166,2),0)))-
SUMPRODUCT((IFERROR(MONTH(CASSA!$B7:$B3166)=MONTH(P$2),FALSE))*(CASSA!$G7:$G3166="ACQUISTO DI CAFFÈ")*(IFERROR(ROUND(CASSA!$E7:$E3166,2),0)))-
SUMPRODUCT((IFERROR(MONTH(CASSA!$B7:$B3166)=MONTH(P$2),FALSE))*(CASSA!$G7:$G3166="ACQUISTO DI BENI ALIMENTARI")*(IFERROR(ROUND(CASSA!$E7:$E3166,2),0)))-
SUMPRODUCT((IFERROR(MONTH(CASSA!$B7:$B3166)=MONTH(P$2),FALSE))*(CASSA!$G7:$G3166="ACQUISTO DI FRUTTA")*(IFERROR(ROUND(CASSA!$E7:$E3166,2),0)))-
SUMPRODUCT((IFERROR(MONTH(CASSA!$B7:$B3166)=MONTH(P$2),FALSE))*(CASSA!$G7:$G3166="RESI, SCONTI, PREMI, VARIAZIONI SU ACQUISTO MERCE")*(IFERROR(ROUND(CASSA!$E7:$E3166,2),0)))-
SUMPRODUCT((IFERROR(MONTH(BANCA!$B8:$B4163)=MONTH(P$2),FALSE))*(BANCA!$G8:$G4163="ACQUISTO BENI PER PRODUZIONE DI SERVIZI")*(IFERROR(ROUND(BANCA!$E8:$E4163,2),0)))-
SUMPRODUCT((IFERROR(MONTH(BANCA!$B8:$B4163)=MONTH(P$2),FALSE))*(BANCA!$G8:$G4163="ACQUISTO DI VINO")*(IFERROR(ROUND(BANCA!$E8:$E4163,2),0)))-
SUMPRODUCT((IFERROR(MONTH(BANCA!$B8:$B4163)=MONTH(P$2),FALSE))*(BANCA!$G8:$G4163="ACQUISTO DI CAFFÈ")*(IFERROR(ROUND(BANCA!$E8:$E4163,2),0)))-
SUMPRODUCT((IFERROR(MONTH(BANCA!$B8:$B4163)=MONTH(P$2),FALSE))*(BANCA!$G8:$G4163="ACQUISTO DI BENI ALIMENTARI")*(IFERROR(ROUND(BANCA!$E8:$E4163,2),0)))-
SUMPRODUCT((IFERROR(MONTH(BANCA!$B8:$B4163)=MONTH(P$2),FALSE))*(BANCA!$G8:$G4163="ACQUISTO DI FRUTTA")*(IFERROR(ROUND(BANCA!$E8:$E4163,2),0)))-
SUMPRODUCT((IFERROR(MONTH(BANCA!$B8:$B4163)=MONTH(P$2),FALSE))*(BANCA!$G8:$G4163="RESI, SCONTI, PREMI, VARIAZIONI SU ACQUISTO MERCE")*(IFERROR(ROUND(BANCA!$E8:$E4163,2),0)))</f>
        <v>36000.400000000001</v>
      </c>
      <c r="Q33" s="297"/>
      <c r="R33" s="297" cm="1">
        <f t="array" ref="R33">SUMPRODUCT((IFERROR(MONTH(CASSA!$B7:$B3166)=MONTH(R$2),FALSE))*(CASSA!$G7:$G3166="ACQUISTO BENI PER PRODUZIONE DI SERVIZI")*(IFERROR(ROUND(CASSA!$F7:$F3166,2),0)))+
SUMPRODUCT((IFERROR(MONTH(CASSA!$B7:$B3166)=MONTH(R$2),FALSE))*(CASSA!$G7:$G3166="ACQUISTO DI VINO")*(IFERROR(ROUND(CASSA!$F7:$F3166,2),0)))+
SUMPRODUCT((IFERROR(MONTH(CASSA!$B7:$B3166)=MONTH(R$2),FALSE))*(CASSA!$G7:$G3166="ACQUISTO DI CAFFÈ")*(IFERROR(ROUND(CASSA!$F7:$F3166,2),0)))+
SUMPRODUCT((IFERROR(MONTH(CASSA!$B7:$B3166)=MONTH(R$2),FALSE))*(CASSA!$G7:$G3166="ACQUISTO DI BENI ALIMENTARI")*(IFERROR(ROUND(CASSA!$F7:$F3166,2),0)))+
SUMPRODUCT((IFERROR(MONTH(CASSA!$B7:$B3166)=MONTH(R$2),FALSE))*(CASSA!$G7:$G3166="ACQUISTO DI FRUTTA")*(IFERROR(ROUND(CASSA!$F7:$F3166,2),0)))-
SUMPRODUCT((IFERROR(MONTH(CASSA!$B7:$B3166)=MONTH(R$2),FALSE))*(CASSA!$G7:$G3166="RESI, SCONTI, PREMI, VARIAZIONI SU ACQUISTO MERCE")*(IFERROR(ROUND(CASSA!$F7:$F3166,2),0)))+
SUMPRODUCT((IFERROR(MONTH(BANCA!$B8:$B4163)=MONTH(R$2),FALSE))*(BANCA!$G8:$G4163="ACQUISTO BENI PER PRODUZIONE DI SERVIZI")*(IFERROR(ROUND(BANCA!$F8:$F4163,2),0)))+
SUMPRODUCT((IFERROR(MONTH(BANCA!$B8:$B4163)=MONTH(R$2),FALSE))*(BANCA!$G8:$G4163="ACQUISTO DI VINO")*(IFERROR(ROUND(BANCA!$F8:$F4163,2),0)))+
SUMPRODUCT((IFERROR(MONTH(BANCA!$B8:$B4163)=MONTH(R$2),FALSE))*(BANCA!$G8:$G4163="ACQUISTO DI CAFFÈ")*(IFERROR(ROUND(BANCA!$F8:$F4163,2),0)))+
SUMPRODUCT((IFERROR(MONTH(BANCA!$B8:$B4163)=MONTH(R$2),FALSE))*(BANCA!$G8:$G4163="ACQUISTO DI BENI ALIMENTARI")*(IFERROR(ROUND(BANCA!$F8:$F4163,2),0)))+
SUMPRODUCT((IFERROR(MONTH(BANCA!$B8:$B4163)=MONTH(R$2),FALSE))*(BANCA!$G8:$G4163="ACQUISTO DI FRUTTA")*(IFERROR(ROUND(BANCA!$F8:$F4163,2),0)))-SUMPRODUCT((IFERROR(MONTH(BANCA!$B8:$B4163)=MONTH(R$2),FALSE))*(BANCA!$G8:$G4163="RESI, SCONTI, PREMI, VARIAZIONI SU ACQUISTO MERCE")*(IFERROR(ROUND(BANCA!$F8:$F4163,2),0)))-
SUMPRODUCT((IFERROR(MONTH(CASSA!$B7:$B3166)=MONTH(R$2),FALSE))*(CASSA!$G7:$G3166="ACQUISTO BENI PER PRODUZIONE DI SERVIZI")*(IFERROR(ROUND(CASSA!$E7:$E3166,2),0)))-
SUMPRODUCT((IFERROR(MONTH(CASSA!$B7:$B3166)=MONTH(R$2),FALSE))*(CASSA!$G7:$G3166="ACQUISTO DI VINO")*(IFERROR(ROUND(CASSA!$E7:$E3166,2),0)))-
SUMPRODUCT((IFERROR(MONTH(CASSA!$B7:$B3166)=MONTH(R$2),FALSE))*(CASSA!$G7:$G3166="ACQUISTO DI CAFFÈ")*(IFERROR(ROUND(CASSA!$E7:$E3166,2),0)))-
SUMPRODUCT((IFERROR(MONTH(CASSA!$B7:$B3166)=MONTH(R$2),FALSE))*(CASSA!$G7:$G3166="ACQUISTO DI BENI ALIMENTARI")*(IFERROR(ROUND(CASSA!$E7:$E3166,2),0)))-
SUMPRODUCT((IFERROR(MONTH(CASSA!$B7:$B3166)=MONTH(R$2),FALSE))*(CASSA!$G7:$G3166="ACQUISTO DI FRUTTA")*(IFERROR(ROUND(CASSA!$E7:$E3166,2),0)))-
SUMPRODUCT((IFERROR(MONTH(CASSA!$B7:$B3166)=MONTH(R$2),FALSE))*(CASSA!$G7:$G3166="RESI, SCONTI, PREMI, VARIAZIONI SU ACQUISTO MERCE")*(IFERROR(ROUND(CASSA!$E7:$E3166,2),0)))-
SUMPRODUCT((IFERROR(MONTH(BANCA!$B8:$B4163)=MONTH(R$2),FALSE))*(BANCA!$G8:$G4163="ACQUISTO BENI PER PRODUZIONE DI SERVIZI")*(IFERROR(ROUND(BANCA!$E8:$E4163,2),0)))-
SUMPRODUCT((IFERROR(MONTH(BANCA!$B8:$B4163)=MONTH(R$2),FALSE))*(BANCA!$G8:$G4163="ACQUISTO DI VINO")*(IFERROR(ROUND(BANCA!$E8:$E4163,2),0)))-
SUMPRODUCT((IFERROR(MONTH(BANCA!$B8:$B4163)=MONTH(R$2),FALSE))*(BANCA!$G8:$G4163="ACQUISTO DI CAFFÈ")*(IFERROR(ROUND(BANCA!$E8:$E4163,2),0)))-
SUMPRODUCT((IFERROR(MONTH(BANCA!$B8:$B4163)=MONTH(R$2),FALSE))*(BANCA!$G8:$G4163="ACQUISTO DI BENI ALIMENTARI")*(IFERROR(ROUND(BANCA!$E8:$E4163,2),0)))-
SUMPRODUCT((IFERROR(MONTH(BANCA!$B8:$B4163)=MONTH(R$2),FALSE))*(BANCA!$G8:$G4163="ACQUISTO DI FRUTTA")*(IFERROR(ROUND(BANCA!$E8:$E4163,2),0)))-
SUMPRODUCT((IFERROR(MONTH(BANCA!$B8:$B4163)=MONTH(R$2),FALSE))*(BANCA!$G8:$G4163="RESI, SCONTI, PREMI, VARIAZIONI SU ACQUISTO MERCE")*(IFERROR(ROUND(BANCA!$E8:$E4163,2),0)))</f>
        <v>27533.649999999998</v>
      </c>
      <c r="S33" s="297"/>
      <c r="T33" s="297" cm="1">
        <f t="array" ref="T33">SUMPRODUCT((IFERROR(MONTH(CASSA!$B7:$B3166)=MONTH(T$2),FALSE))*(CASSA!$G7:$G3166="ACQUISTO BENI PER PRODUZIONE DI SERVIZI")*(IFERROR(ROUND(CASSA!$F7:$F3166,2),0)))+
SUMPRODUCT((IFERROR(MONTH(CASSA!$B7:$B3166)=MONTH(T$2),FALSE))*(CASSA!$G7:$G3166="ACQUISTO DI VINO")*(IFERROR(ROUND(CASSA!$F7:$F3166,2),0)))+
SUMPRODUCT((IFERROR(MONTH(CASSA!$B7:$B3166)=MONTH(T$2),FALSE))*(CASSA!$G7:$G3166="ACQUISTO DI CAFFÈ")*(IFERROR(ROUND(CASSA!$F7:$F3166,2),0)))+
SUMPRODUCT((IFERROR(MONTH(CASSA!$B7:$B3166)=MONTH(T$2),FALSE))*(CASSA!$G7:$G3166="ACQUISTO DI BENI ALIMENTARI")*(IFERROR(ROUND(CASSA!$F7:$F3166,2),0)))+
SUMPRODUCT((IFERROR(MONTH(CASSA!$B7:$B3166)=MONTH(T$2),FALSE))*(CASSA!$G7:$G3166="ACQUISTO DI FRUTTA")*(IFERROR(ROUND(CASSA!$F7:$F3166,2),0)))-
SUMPRODUCT((IFERROR(MONTH(CASSA!$B7:$B3166)=MONTH(T$2),FALSE))*(CASSA!$G7:$G3166="RESI, SCONTI, PREMI, VARIAZIONI SU ACQUISTO MERCE")*(IFERROR(ROUND(CASSA!$F7:$F3166,2),0)))+
SUMPRODUCT((IFERROR(MONTH(BANCA!$B8:$B4163)=MONTH(T$2),FALSE))*(BANCA!$G8:$G4163="ACQUISTO BENI PER PRODUZIONE DI SERVIZI")*(IFERROR(ROUND(BANCA!$F8:$F4163,2),0)))+
SUMPRODUCT((IFERROR(MONTH(BANCA!$B8:$B4163)=MONTH(T$2),FALSE))*(BANCA!$G8:$G4163="ACQUISTO DI VINO")*(IFERROR(ROUND(BANCA!$F8:$F4163,2),0)))+
SUMPRODUCT((IFERROR(MONTH(BANCA!$B8:$B4163)=MONTH(T$2),FALSE))*(BANCA!$G8:$G4163="ACQUISTO DI CAFFÈ")*(IFERROR(ROUND(BANCA!$F8:$F4163,2),0)))+
SUMPRODUCT((IFERROR(MONTH(BANCA!$B8:$B4163)=MONTH(T$2),FALSE))*(BANCA!$G8:$G4163="ACQUISTO DI BENI ALIMENTARI")*(IFERROR(ROUND(BANCA!$F8:$F4163,2),0)))+
SUMPRODUCT((IFERROR(MONTH(BANCA!$B8:$B4163)=MONTH(T$2),FALSE))*(BANCA!$G8:$G4163="ACQUISTO DI FRUTTA")*(IFERROR(ROUND(BANCA!$F8:$F4163,2),0)))-SUMPRODUCT((IFERROR(MONTH(BANCA!$B8:$B4163)=MONTH(T$2),FALSE))*(BANCA!$G8:$G4163="RESI, SCONTI, PREMI, VARIAZIONI SU ACQUISTO MERCE")*(IFERROR(ROUND(BANCA!$F8:$F4163,2),0)))-
SUMPRODUCT((IFERROR(MONTH(CASSA!$B7:$B3166)=MONTH(T$2),FALSE))*(CASSA!$G7:$G3166="ACQUISTO BENI PER PRODUZIONE DI SERVIZI")*(IFERROR(ROUND(CASSA!$E7:$E3166,2),0)))-
SUMPRODUCT((IFERROR(MONTH(CASSA!$B7:$B3166)=MONTH(T$2),FALSE))*(CASSA!$G7:$G3166="ACQUISTO DI VINO")*(IFERROR(ROUND(CASSA!$E7:$E3166,2),0)))-
SUMPRODUCT((IFERROR(MONTH(CASSA!$B7:$B3166)=MONTH(T$2),FALSE))*(CASSA!$G7:$G3166="ACQUISTO DI CAFFÈ")*(IFERROR(ROUND(CASSA!$E7:$E3166,2),0)))-
SUMPRODUCT((IFERROR(MONTH(CASSA!$B7:$B3166)=MONTH(T$2),FALSE))*(CASSA!$G7:$G3166="ACQUISTO DI BENI ALIMENTARI")*(IFERROR(ROUND(CASSA!$E7:$E3166,2),0)))-
SUMPRODUCT((IFERROR(MONTH(CASSA!$B7:$B3166)=MONTH(T$2),FALSE))*(CASSA!$G7:$G3166="ACQUISTO DI FRUTTA")*(IFERROR(ROUND(CASSA!$E7:$E3166,2),0)))-
SUMPRODUCT((IFERROR(MONTH(CASSA!$B7:$B3166)=MONTH(T$2),FALSE))*(CASSA!$G7:$G3166="RESI, SCONTI, PREMI, VARIAZIONI SU ACQUISTO MERCE")*(IFERROR(ROUND(CASSA!$E7:$E3166,2),0)))-
SUMPRODUCT((IFERROR(MONTH(BANCA!$B8:$B4163)=MONTH(T$2),FALSE))*(BANCA!$G8:$G4163="ACQUISTO BENI PER PRODUZIONE DI SERVIZI")*(IFERROR(ROUND(BANCA!$E8:$E4163,2),0)))-
SUMPRODUCT((IFERROR(MONTH(BANCA!$B8:$B4163)=MONTH(T$2),FALSE))*(BANCA!$G8:$G4163="ACQUISTO DI VINO")*(IFERROR(ROUND(BANCA!$E8:$E4163,2),0)))-
SUMPRODUCT((IFERROR(MONTH(BANCA!$B8:$B4163)=MONTH(T$2),FALSE))*(BANCA!$G8:$G4163="ACQUISTO DI CAFFÈ")*(IFERROR(ROUND(BANCA!$E8:$E4163,2),0)))-
SUMPRODUCT((IFERROR(MONTH(BANCA!$B8:$B4163)=MONTH(T$2),FALSE))*(BANCA!$G8:$G4163="ACQUISTO DI BENI ALIMENTARI")*(IFERROR(ROUND(BANCA!$E8:$E4163,2),0)))-
SUMPRODUCT((IFERROR(MONTH(BANCA!$B8:$B4163)=MONTH(T$2),FALSE))*(BANCA!$G8:$G4163="ACQUISTO DI FRUTTA")*(IFERROR(ROUND(BANCA!$E8:$E4163,2),0)))-
SUMPRODUCT((IFERROR(MONTH(BANCA!$B8:$B4163)=MONTH(T$2),FALSE))*(BANCA!$G8:$G4163="RESI, SCONTI, PREMI, VARIAZIONI SU ACQUISTO MERCE")*(IFERROR(ROUND(BANCA!$E8:$E4163,2),0)))</f>
        <v>38422.039999999994</v>
      </c>
      <c r="U33" s="297"/>
      <c r="V33" s="297" cm="1">
        <f t="array" ref="V33">SUMPRODUCT((IFERROR(MONTH(CASSA!$B7:$B3166)=MONTH(V$2),FALSE))*(CASSA!$G7:$G3166="ACQUISTO BENI PER PRODUZIONE DI SERVIZI")*(IFERROR(ROUND(CASSA!$F7:$F3166,2),0)))+
SUMPRODUCT((IFERROR(MONTH(CASSA!$B7:$B3166)=MONTH(V$2),FALSE))*(CASSA!$G7:$G3166="ACQUISTO DI VINO")*(IFERROR(ROUND(CASSA!$F7:$F3166,2),0)))+
SUMPRODUCT((IFERROR(MONTH(CASSA!$B7:$B3166)=MONTH(V$2),FALSE))*(CASSA!$G7:$G3166="ACQUISTO DI CAFFÈ")*(IFERROR(ROUND(CASSA!$F7:$F3166,2),0)))+
SUMPRODUCT((IFERROR(MONTH(CASSA!$B7:$B3166)=MONTH(V$2),FALSE))*(CASSA!$G7:$G3166="ACQUISTO DI BENI ALIMENTARI")*(IFERROR(ROUND(CASSA!$F7:$F3166,2),0)))+
SUMPRODUCT((IFERROR(MONTH(CASSA!$B7:$B3166)=MONTH(V$2),FALSE))*(CASSA!$G7:$G3166="ACQUISTO DI FRUTTA")*(IFERROR(ROUND(CASSA!$F7:$F3166,2),0)))-
SUMPRODUCT((IFERROR(MONTH(CASSA!$B7:$B3166)=MONTH(V$2),FALSE))*(CASSA!$G7:$G3166="RESI, SCONTI, PREMI, VARIAZIONI SU ACQUISTO MERCE")*(IFERROR(ROUND(CASSA!$F7:$F3166,2),0)))+
SUMPRODUCT((IFERROR(MONTH(BANCA!$B8:$B4163)=MONTH(V$2),FALSE))*(BANCA!$G8:$G4163="ACQUISTO BENI PER PRODUZIONE DI SERVIZI")*(IFERROR(ROUND(BANCA!$F8:$F4163,2),0)))+
SUMPRODUCT((IFERROR(MONTH(BANCA!$B8:$B4163)=MONTH(V$2),FALSE))*(BANCA!$G8:$G4163="ACQUISTO DI VINO")*(IFERROR(ROUND(BANCA!$F8:$F4163,2),0)))+
SUMPRODUCT((IFERROR(MONTH(BANCA!$B8:$B4163)=MONTH(V$2),FALSE))*(BANCA!$G8:$G4163="ACQUISTO DI CAFFÈ")*(IFERROR(ROUND(BANCA!$F8:$F4163,2),0)))+
SUMPRODUCT((IFERROR(MONTH(BANCA!$B8:$B4163)=MONTH(V$2),FALSE))*(BANCA!$G8:$G4163="ACQUISTO DI BENI ALIMENTARI")*(IFERROR(ROUND(BANCA!$F8:$F4163,2),0)))+
SUMPRODUCT((IFERROR(MONTH(BANCA!$B8:$B4163)=MONTH(V$2),FALSE))*(BANCA!$G8:$G4163="ACQUISTO DI FRUTTA")*(IFERROR(ROUND(BANCA!$F8:$F4163,2),0)))-SUMPRODUCT((IFERROR(MONTH(BANCA!$B8:$B4163)=MONTH(V$2),FALSE))*(BANCA!$G8:$G4163="RESI, SCONTI, PREMI, VARIAZIONI SU ACQUISTO MERCE")*(IFERROR(ROUND(BANCA!$F8:$F4163,2),0)))-
SUMPRODUCT((IFERROR(MONTH(CASSA!$B7:$B3166)=MONTH(V$2),FALSE))*(CASSA!$G7:$G3166="ACQUISTO BENI PER PRODUZIONE DI SERVIZI")*(IFERROR(ROUND(CASSA!$E7:$E3166,2),0)))-
SUMPRODUCT((IFERROR(MONTH(CASSA!$B7:$B3166)=MONTH(V$2),FALSE))*(CASSA!$G7:$G3166="ACQUISTO DI VINO")*(IFERROR(ROUND(CASSA!$E7:$E3166,2),0)))-
SUMPRODUCT((IFERROR(MONTH(CASSA!$B7:$B3166)=MONTH(V$2),FALSE))*(CASSA!$G7:$G3166="ACQUISTO DI CAFFÈ")*(IFERROR(ROUND(CASSA!$E7:$E3166,2),0)))-
SUMPRODUCT((IFERROR(MONTH(CASSA!$B7:$B3166)=MONTH(V$2),FALSE))*(CASSA!$G7:$G3166="ACQUISTO DI BENI ALIMENTARI")*(IFERROR(ROUND(CASSA!$E7:$E3166,2),0)))-
SUMPRODUCT((IFERROR(MONTH(CASSA!$B7:$B3166)=MONTH(V$2),FALSE))*(CASSA!$G7:$G3166="ACQUISTO DI FRUTTA")*(IFERROR(ROUND(CASSA!$E7:$E3166,2),0)))-
SUMPRODUCT((IFERROR(MONTH(CASSA!$B7:$B3166)=MONTH(V$2),FALSE))*(CASSA!$G7:$G3166="RESI, SCONTI, PREMI, VARIAZIONI SU ACQUISTO MERCE")*(IFERROR(ROUND(CASSA!$E7:$E3166,2),0)))-
SUMPRODUCT((IFERROR(MONTH(BANCA!$B8:$B4163)=MONTH(V$2),FALSE))*(BANCA!$G8:$G4163="ACQUISTO BENI PER PRODUZIONE DI SERVIZI")*(IFERROR(ROUND(BANCA!$E8:$E4163,2),0)))-
SUMPRODUCT((IFERROR(MONTH(BANCA!$B8:$B4163)=MONTH(V$2),FALSE))*(BANCA!$G8:$G4163="ACQUISTO DI VINO")*(IFERROR(ROUND(BANCA!$E8:$E4163,2),0)))-
SUMPRODUCT((IFERROR(MONTH(BANCA!$B8:$B4163)=MONTH(V$2),FALSE))*(BANCA!$G8:$G4163="ACQUISTO DI CAFFÈ")*(IFERROR(ROUND(BANCA!$E8:$E4163,2),0)))-
SUMPRODUCT((IFERROR(MONTH(BANCA!$B8:$B4163)=MONTH(V$2),FALSE))*(BANCA!$G8:$G4163="ACQUISTO DI BENI ALIMENTARI")*(IFERROR(ROUND(BANCA!$E8:$E4163,2),0)))-
SUMPRODUCT((IFERROR(MONTH(BANCA!$B8:$B4163)=MONTH(V$2),FALSE))*(BANCA!$G8:$G4163="ACQUISTO DI FRUTTA")*(IFERROR(ROUND(BANCA!$E8:$E4163,2),0)))-
SUMPRODUCT((IFERROR(MONTH(BANCA!$B8:$B4163)=MONTH(V$2),FALSE))*(BANCA!$G8:$G4163="RESI, SCONTI, PREMI, VARIAZIONI SU ACQUISTO MERCE")*(IFERROR(ROUND(BANCA!$E8:$E4163,2),0)))</f>
        <v>33258.81</v>
      </c>
      <c r="W33" s="297"/>
      <c r="X33" s="297" cm="1">
        <f t="array" ref="X33">SUMPRODUCT((IFERROR(MONTH(CASSA!$B7:$B3166)=MONTH(X$2),FALSE))*(CASSA!$G7:$G3166="ACQUISTO BENI PER PRODUZIONE DI SERVIZI")*(IFERROR(ROUND(CASSA!$F7:$F3166,2),0)))+
SUMPRODUCT((IFERROR(MONTH(CASSA!$B7:$B3166)=MONTH(X$2),FALSE))*(CASSA!$G7:$G3166="ACQUISTO DI VINO")*(IFERROR(ROUND(CASSA!$F7:$F3166,2),0)))+
SUMPRODUCT((IFERROR(MONTH(CASSA!$B7:$B3166)=MONTH(X$2),FALSE))*(CASSA!$G7:$G3166="ACQUISTO DI CAFFÈ")*(IFERROR(ROUND(CASSA!$F7:$F3166,2),0)))+
SUMPRODUCT((IFERROR(MONTH(CASSA!$B7:$B3166)=MONTH(X$2),FALSE))*(CASSA!$G7:$G3166="ACQUISTO DI BENI ALIMENTARI")*(IFERROR(ROUND(CASSA!$F7:$F3166,2),0)))+
SUMPRODUCT((IFERROR(MONTH(CASSA!$B7:$B3166)=MONTH(X$2),FALSE))*(CASSA!$G7:$G3166="ACQUISTO DI FRUTTA")*(IFERROR(ROUND(CASSA!$F7:$F3166,2),0)))-
SUMPRODUCT((IFERROR(MONTH(CASSA!$B7:$B3166)=MONTH(X$2),FALSE))*(CASSA!$G7:$G3166="RESI, SCONTI, PREMI, VARIAZIONI SU ACQUISTO MERCE")*(IFERROR(ROUND(CASSA!$F7:$F3166,2),0)))+
SUMPRODUCT((IFERROR(MONTH(BANCA!$B8:$B4163)=MONTH(X$2),FALSE))*(BANCA!$G8:$G4163="ACQUISTO BENI PER PRODUZIONE DI SERVIZI")*(IFERROR(ROUND(BANCA!$F8:$F4163,2),0)))+
SUMPRODUCT((IFERROR(MONTH(BANCA!$B8:$B4163)=MONTH(X$2),FALSE))*(BANCA!$G8:$G4163="ACQUISTO DI VINO")*(IFERROR(ROUND(BANCA!$F8:$F4163,2),0)))+
SUMPRODUCT((IFERROR(MONTH(BANCA!$B8:$B4163)=MONTH(X$2),FALSE))*(BANCA!$G8:$G4163="ACQUISTO DI CAFFÈ")*(IFERROR(ROUND(BANCA!$F8:$F4163,2),0)))+
SUMPRODUCT((IFERROR(MONTH(BANCA!$B8:$B4163)=MONTH(X$2),FALSE))*(BANCA!$G8:$G4163="ACQUISTO DI BENI ALIMENTARI")*(IFERROR(ROUND(BANCA!$F8:$F4163,2),0)))+
SUMPRODUCT((IFERROR(MONTH(BANCA!$B8:$B4163)=MONTH(X$2),FALSE))*(BANCA!$G8:$G4163="ACQUISTO DI FRUTTA")*(IFERROR(ROUND(BANCA!$F8:$F4163,2),0)))-SUMPRODUCT((IFERROR(MONTH(BANCA!$B8:$B4163)=MONTH(X$2),FALSE))*(BANCA!$G8:$G4163="RESI, SCONTI, PREMI, VARIAZIONI SU ACQUISTO MERCE")*(IFERROR(ROUND(BANCA!$F8:$F4163,2),0)))-
SUMPRODUCT((IFERROR(MONTH(CASSA!$B7:$B3166)=MONTH(X$2),FALSE))*(CASSA!$G7:$G3166="ACQUISTO BENI PER PRODUZIONE DI SERVIZI")*(IFERROR(ROUND(CASSA!$E7:$E3166,2),0)))-
SUMPRODUCT((IFERROR(MONTH(CASSA!$B7:$B3166)=MONTH(X$2),FALSE))*(CASSA!$G7:$G3166="ACQUISTO DI VINO")*(IFERROR(ROUND(CASSA!$E7:$E3166,2),0)))-
SUMPRODUCT((IFERROR(MONTH(CASSA!$B7:$B3166)=MONTH(X$2),FALSE))*(CASSA!$G7:$G3166="ACQUISTO DI CAFFÈ")*(IFERROR(ROUND(CASSA!$E7:$E3166,2),0)))-
SUMPRODUCT((IFERROR(MONTH(CASSA!$B7:$B3166)=MONTH(X$2),FALSE))*(CASSA!$G7:$G3166="ACQUISTO DI BENI ALIMENTARI")*(IFERROR(ROUND(CASSA!$E7:$E3166,2),0)))-
SUMPRODUCT((IFERROR(MONTH(CASSA!$B7:$B3166)=MONTH(X$2),FALSE))*(CASSA!$G7:$G3166="ACQUISTO DI FRUTTA")*(IFERROR(ROUND(CASSA!$E7:$E3166,2),0)))-
SUMPRODUCT((IFERROR(MONTH(CASSA!$B7:$B3166)=MONTH(X$2),FALSE))*(CASSA!$G7:$G3166="RESI, SCONTI, PREMI, VARIAZIONI SU ACQUISTO MERCE")*(IFERROR(ROUND(CASSA!$E7:$E3166,2),0)))-
SUMPRODUCT((IFERROR(MONTH(BANCA!$B8:$B4163)=MONTH(X$2),FALSE))*(BANCA!$G8:$G4163="ACQUISTO BENI PER PRODUZIONE DI SERVIZI")*(IFERROR(ROUND(BANCA!$E8:$E4163,2),0)))-
SUMPRODUCT((IFERROR(MONTH(BANCA!$B8:$B4163)=MONTH(X$2),FALSE))*(BANCA!$G8:$G4163="ACQUISTO DI VINO")*(IFERROR(ROUND(BANCA!$E8:$E4163,2),0)))-
SUMPRODUCT((IFERROR(MONTH(BANCA!$B8:$B4163)=MONTH(X$2),FALSE))*(BANCA!$G8:$G4163="ACQUISTO DI CAFFÈ")*(IFERROR(ROUND(BANCA!$E8:$E4163,2),0)))-
SUMPRODUCT((IFERROR(MONTH(BANCA!$B8:$B4163)=MONTH(X$2),FALSE))*(BANCA!$G8:$G4163="ACQUISTO DI BENI ALIMENTARI")*(IFERROR(ROUND(BANCA!$E8:$E4163,2),0)))-
SUMPRODUCT((IFERROR(MONTH(BANCA!$B8:$B4163)=MONTH(X$2),FALSE))*(BANCA!$G8:$G4163="ACQUISTO DI FRUTTA")*(IFERROR(ROUND(BANCA!$E8:$E4163,2),0)))-
SUMPRODUCT((IFERROR(MONTH(BANCA!$B8:$B4163)=MONTH(X$2),FALSE))*(BANCA!$G8:$G4163="RESI, SCONTI, PREMI, VARIAZIONI SU ACQUISTO MERCE")*(IFERROR(ROUND(BANCA!$E8:$E4163,2),0)))</f>
        <v>12079.91</v>
      </c>
      <c r="Y33" s="297"/>
      <c r="Z33" s="297" cm="1">
        <f t="array" ref="Z33">SUMPRODUCT((IFERROR(MONTH(CASSA!$B7:$B3166)=MONTH(Z$2),FALSE))*(CASSA!$G7:$G3166="ACQUISTO BENI PER PRODUZIONE DI SERVIZI")*(IFERROR(ROUND(CASSA!$F7:$F3166,2),0)))+
SUMPRODUCT((IFERROR(MONTH(CASSA!$B7:$B3166)=MONTH(Z$2),FALSE))*(CASSA!$G7:$G3166="ACQUISTO DI VINO")*(IFERROR(ROUND(CASSA!$F7:$F3166,2),0)))+
SUMPRODUCT((IFERROR(MONTH(CASSA!$B7:$B3166)=MONTH(Z$2),FALSE))*(CASSA!$G7:$G3166="ACQUISTO DI CAFFÈ")*(IFERROR(ROUND(CASSA!$F7:$F3166,2),0)))+
SUMPRODUCT((IFERROR(MONTH(CASSA!$B7:$B3166)=MONTH(Z$2),FALSE))*(CASSA!$G7:$G3166="ACQUISTO DI BENI ALIMENTARI")*(IFERROR(ROUND(CASSA!$F7:$F3166,2),0)))+
SUMPRODUCT((IFERROR(MONTH(CASSA!$B7:$B3166)=MONTH(Z$2),FALSE))*(CASSA!$G7:$G3166="ACQUISTO DI FRUTTA")*(IFERROR(ROUND(CASSA!$F7:$F3166,2),0)))-
SUMPRODUCT((IFERROR(MONTH(CASSA!$B7:$B3166)=MONTH(Z$2),FALSE))*(CASSA!$G7:$G3166="RESI, SCONTI, PREMI, VARIAZIONI SU ACQUISTO MERCE")*(IFERROR(ROUND(CASSA!$F7:$F3166,2),0)))+
SUMPRODUCT((IFERROR(MONTH(BANCA!$B8:$B4163)=MONTH(Z$2),FALSE))*(BANCA!$G8:$G4163="ACQUISTO BENI PER PRODUZIONE DI SERVIZI")*(IFERROR(ROUND(BANCA!$F8:$F4163,2),0)))+
SUMPRODUCT((IFERROR(MONTH(BANCA!$B8:$B4163)=MONTH(Z$2),FALSE))*(BANCA!$G8:$G4163="ACQUISTO DI VINO")*(IFERROR(ROUND(BANCA!$F8:$F4163,2),0)))+
SUMPRODUCT((IFERROR(MONTH(BANCA!$B8:$B4163)=MONTH(Z$2),FALSE))*(BANCA!$G8:$G4163="ACQUISTO DI CAFFÈ")*(IFERROR(ROUND(BANCA!$F8:$F4163,2),0)))+
SUMPRODUCT((IFERROR(MONTH(BANCA!$B8:$B4163)=MONTH(Z$2),FALSE))*(BANCA!$G8:$G4163="ACQUISTO DI BENI ALIMENTARI")*(IFERROR(ROUND(BANCA!$F8:$F4163,2),0)))+
SUMPRODUCT((IFERROR(MONTH(BANCA!$B8:$B4163)=MONTH(Z$2),FALSE))*(BANCA!$G8:$G4163="ACQUISTO DI FRUTTA")*(IFERROR(ROUND(BANCA!$F8:$F4163,2),0)))-SUMPRODUCT((IFERROR(MONTH(BANCA!$B8:$B4163)=MONTH(Z$2),FALSE))*(BANCA!$G8:$G4163="RESI, SCONTI, PREMI, VARIAZIONI SU ACQUISTO MERCE")*(IFERROR(ROUND(BANCA!$F8:$F4163,2),0)))-
SUMPRODUCT((IFERROR(MONTH(CASSA!$B7:$B3166)=MONTH(Z$2),FALSE))*(CASSA!$G7:$G3166="ACQUISTO BENI PER PRODUZIONE DI SERVIZI")*(IFERROR(ROUND(CASSA!$E7:$E3166,2),0)))-
SUMPRODUCT((IFERROR(MONTH(CASSA!$B7:$B3166)=MONTH(Z$2),FALSE))*(CASSA!$G7:$G3166="ACQUISTO DI VINO")*(IFERROR(ROUND(CASSA!$E7:$E3166,2),0)))-
SUMPRODUCT((IFERROR(MONTH(CASSA!$B7:$B3166)=MONTH(Z$2),FALSE))*(CASSA!$G7:$G3166="ACQUISTO DI CAFFÈ")*(IFERROR(ROUND(CASSA!$E7:$E3166,2),0)))-
SUMPRODUCT((IFERROR(MONTH(CASSA!$B7:$B3166)=MONTH(Z$2),FALSE))*(CASSA!$G7:$G3166="ACQUISTO DI BENI ALIMENTARI")*(IFERROR(ROUND(CASSA!$E7:$E3166,2),0)))-
SUMPRODUCT((IFERROR(MONTH(CASSA!$B7:$B3166)=MONTH(Z$2),FALSE))*(CASSA!$G7:$G3166="ACQUISTO DI FRUTTA")*(IFERROR(ROUND(CASSA!$E7:$E3166,2),0)))-
SUMPRODUCT((IFERROR(MONTH(CASSA!$B7:$B3166)=MONTH(Z$2),FALSE))*(CASSA!$G7:$G3166="RESI, SCONTI, PREMI, VARIAZIONI SU ACQUISTO MERCE")*(IFERROR(ROUND(CASSA!$E7:$E3166,2),0)))-
SUMPRODUCT((IFERROR(MONTH(BANCA!$B8:$B4163)=MONTH(Z$2),FALSE))*(BANCA!$G8:$G4163="ACQUISTO BENI PER PRODUZIONE DI SERVIZI")*(IFERROR(ROUND(BANCA!$E8:$E4163,2),0)))-
SUMPRODUCT((IFERROR(MONTH(BANCA!$B8:$B4163)=MONTH(Z$2),FALSE))*(BANCA!$G8:$G4163="ACQUISTO DI VINO")*(IFERROR(ROUND(BANCA!$E8:$E4163,2),0)))-
SUMPRODUCT((IFERROR(MONTH(BANCA!$B8:$B4163)=MONTH(Z$2),FALSE))*(BANCA!$G8:$G4163="ACQUISTO DI CAFFÈ")*(IFERROR(ROUND(BANCA!$E8:$E4163,2),0)))-
SUMPRODUCT((IFERROR(MONTH(BANCA!$B8:$B4163)=MONTH(Z$2),FALSE))*(BANCA!$G8:$G4163="ACQUISTO DI BENI ALIMENTARI")*(IFERROR(ROUND(BANCA!$E8:$E4163,2),0)))-
SUMPRODUCT((IFERROR(MONTH(BANCA!$B8:$B4163)=MONTH(Z$2),FALSE))*(BANCA!$G8:$G4163="ACQUISTO DI FRUTTA")*(IFERROR(ROUND(BANCA!$E8:$E4163,2),0)))-
SUMPRODUCT((IFERROR(MONTH(BANCA!$B8:$B4163)=MONTH(Z$2),FALSE))*(BANCA!$G8:$G4163="RESI, SCONTI, PREMI, VARIAZIONI SU ACQUISTO MERCE")*(IFERROR(ROUND(BANCA!$E8:$E4163,2),0)))</f>
        <v>-3244.9399999999987</v>
      </c>
      <c r="AA33" s="297"/>
      <c r="AB33" s="769">
        <f>SUM(D33:Z33)</f>
        <v>281206.34999999998</v>
      </c>
      <c r="AC33" s="792" t="s">
        <v>1993</v>
      </c>
      <c r="AD33" s="284"/>
      <c r="AE33" s="284"/>
      <c r="AF33" s="284"/>
      <c r="AG33" s="284"/>
      <c r="AH33" s="284"/>
      <c r="AI33" s="284"/>
      <c r="AJ33" s="284"/>
      <c r="AK33" s="284"/>
      <c r="AL33" s="284"/>
      <c r="AM33" s="284"/>
      <c r="AN33" s="284"/>
    </row>
    <row r="34" spans="2:40" s="232" customFormat="1" ht="18" customHeight="1">
      <c r="B34" s="905" t="s">
        <v>148</v>
      </c>
      <c r="C34" s="905"/>
      <c r="D34" s="297" cm="1">
        <f t="array" ref="D34">SUMPRODUCT((IFERROR(MONTH(CASSA!$B7:$B3166)=MONTH(D$2),FALSE))*(CASSA!$G7:$G3166="ACQUISTI DI MATERIALI DI CONSUMO")*(IFERROR(ROUND(CASSA!$F7:$F3166,2),0)))+
SUMPRODUCT((IFERROR(MONTH(CASSA!$B7:$B3166)=MONTH(D$2),FALSE))*(CASSA!$G7:$G3166="ACQUISTO DI BICCHIERI USA &amp; GETTA")*(IFERROR(ROUND(CASSA!$F7:$F3166,2),0)))+
SUMPRODUCT((IFERROR(MONTH(CASSA!$B7:$B3166)=MONTH(D$2),FALSE))*(CASSA!$G7:$G3166="ACQUISTO DI BICCHIERI VETRO")*(IFERROR(ROUND(CASSA!$F7:$F3166,2),0)))+
SUMPRODUCT((IFERROR(MONTH(CASSA!$B7:$B3166)=MONTH(D$2),FALSE))*(CASSA!$G7:$G3166="CANCELLERIA E STAMPATI")*(IFERROR(ROUND(CASSA!$F7:$F3166,2),0)))+
SUMPRODUCT((IFERROR(MONTH(CASSA!$B7:$B3166)=MONTH(D$2),FALSE))*(CASSA!$G7:$G3166="MATERIALE BAR - IGIENE E PULIZIA")*(IFERROR(ROUND(CASSA!$F7:$F3166,2),0)))+
SUMPRODUCT((IFERROR(MONTH(BANCA!$B8:$B4163)=MONTH(D$2),FALSE))*(BANCA!$G8:$G4163="ACQUISTI DI MATERIALI DI CONSUMO")*(IFERROR(ROUND(BANCA!$F8:$F4163,2),0)))+
SUMPRODUCT((IFERROR(MONTH(BANCA!$B8:$B4163)=MONTH(D$2),FALSE))*(BANCA!$G8:$G4163="ACQUISTO DI BICCHIERI USA &amp; GETTA")*(IFERROR(ROUND(BANCA!$F8:$F4163,2),0)))+
SUMPRODUCT((IFERROR(MONTH(BANCA!$B8:$B4163)=MONTH(D$2),FALSE))*(BANCA!$G8:$G4163="ACQUISTO DI BICCHIERI VETRO")*(IFERROR(ROUND(BANCA!$F8:$F4163,2),0)))+
SUMPRODUCT((IFERROR(MONTH(BANCA!$B8:$B4163)=MONTH(D$2),FALSE))*(BANCA!$G8:$G4163="CANCELLERIA E STAMPATI")*(IFERROR(ROUND(BANCA!$F8:$F4163,2),0)))+
SUMPRODUCT((IFERROR(MONTH(BANCA!$B8:$B4163)=MONTH(D$2),FALSE))*(BANCA!$G8:$G4163="MATERIALE BAR - IGIENE E PULIZIA")*(IFERROR(ROUND(BANCA!$F8:$F4163,2),0)))-
SUMPRODUCT((IFERROR(MONTH(CASSA!$B7:$B3166)=MONTH(D$2),FALSE))*(CASSA!$G7:$G3166="ACQUISTI DI MATERIALI DI CONSUMO")*(IFERROR(ROUND(CASSA!$E7:$E3166,2),0)))-
SUMPRODUCT((IFERROR(MONTH(CASSA!$B7:$B3166)=MONTH(D$2),FALSE))*(CASSA!$G7:$G3166="ACQUISTO DI BICCHIERI USA &amp; GETTA")*(IFERROR(ROUND(CASSA!$E7:$E3166,2),0)))-
SUMPRODUCT((IFERROR(MONTH(CASSA!$B7:$B3166)=MONTH(D$2),FALSE))*(CASSA!$G7:$G3166="ACQUISTO DI BICCHIERI VETRO")*(IFERROR(ROUND(CASSA!$E7:$E3166,2),0)))-
SUMPRODUCT((IFERROR(MONTH(CASSA!$B7:$B3166)=MONTH(D$2),FALSE))*(CASSA!$G7:$G3166="CANCELLERIA E STAMPATI")*(IFERROR(ROUND(CASSA!$E7:$E3166,2),0)))-
SUMPRODUCT((IFERROR(MONTH(CASSA!$B7:$B3166)=MONTH(D$2),FALSE))*(CASSA!$G7:$G3166="MATERIALE BAR - IGIENE E PULIZIA")*(IFERROR(ROUND(CASSA!$E7:$E3166,2),0)))-
SUMPRODUCT((IFERROR(MONTH(BANCA!$B8:$B4163)=MONTH(D$2),FALSE))*(BANCA!$G8:$G4163="ACQUISTI DI MATERIALI DI CONSUMO")*(IFERROR(ROUND(BANCA!$E8:$E4163,2),0)))-
SUMPRODUCT((IFERROR(MONTH(BANCA!$B8:$B4163)=MONTH(D$2),FALSE))*(BANCA!$G8:$G4163="ACQUISTO DI BICCHIERI USA &amp; GETTA")*(IFERROR(ROUND(BANCA!$E8:$E4163,2),0)))-
SUMPRODUCT((IFERROR(MONTH(BANCA!$B8:$B4163)=MONTH(D$2),FALSE))*(BANCA!$G8:$G4163="ACQUISTO DI BICCHIERI VETRO")*(IFERROR(ROUND(BANCA!$E8:$E4163,2),0)))-
SUMPRODUCT((IFERROR(MONTH(BANCA!$B8:$B4163)=MONTH(D$2),FALSE))*(BANCA!$G8:$G4163="CANCELLERIA E STAMPATI")*(IFERROR(ROUND(BANCA!$E8:$E4163,2),0)))-
SUMPRODUCT((IFERROR(MONTH(BANCA!$B8:$B4163)=MONTH(D$2),FALSE))*(BANCA!$G8:$G4163="MATERIALE BAR - IGIENE E PULIZIA")*(IFERROR(ROUND(BANCA!$E8:$E4163,2),0)))</f>
        <v>609.33000000000004</v>
      </c>
      <c r="E34" s="297"/>
      <c r="F34" s="297" cm="1">
        <f t="array" ref="F34">SUMPRODUCT((IFERROR(MONTH(CASSA!$B7:$B3166)=MONTH(F$2),FALSE))*(CASSA!$G7:$G3166="ACQUISTI DI MATERIALI DI CONSUMO")*(IFERROR(ROUND(CASSA!$F7:$F3166,2),0)))+
SUMPRODUCT((IFERROR(MONTH(CASSA!$B7:$B3166)=MONTH(F$2),FALSE))*(CASSA!$G7:$G3166="ACQUISTO DI BICCHIERI USA &amp; GETTA")*(IFERROR(ROUND(CASSA!$F7:$F3166,2),0)))+
SUMPRODUCT((IFERROR(MONTH(CASSA!$B7:$B3166)=MONTH(F$2),FALSE))*(CASSA!$G7:$G3166="ACQUISTO DI BICCHIERI VETRO")*(IFERROR(ROUND(CASSA!$F7:$F3166,2),0)))+
SUMPRODUCT((IFERROR(MONTH(CASSA!$B7:$B3166)=MONTH(F$2),FALSE))*(CASSA!$G7:$G3166="CANCELLERIA E STAMPATI")*(IFERROR(ROUND(CASSA!$F7:$F3166,2),0)))+
SUMPRODUCT((IFERROR(MONTH(CASSA!$B7:$B3166)=MONTH(F$2),FALSE))*(CASSA!$G7:$G3166="MATERIALE BAR - IGIENE E PULIZIA")*(IFERROR(ROUND(CASSA!$F7:$F3166,2),0)))+
SUMPRODUCT((IFERROR(MONTH(BANCA!$B8:$B4163)=MONTH(F$2),FALSE))*(BANCA!$G8:$G4163="ACQUISTI DI MATERIALI DI CONSUMO")*(IFERROR(ROUND(BANCA!$F8:$F4163,2),0)))+
SUMPRODUCT((IFERROR(MONTH(BANCA!$B8:$B4163)=MONTH(F$2),FALSE))*(BANCA!$G8:$G4163="ACQUISTO DI BICCHIERI USA &amp; GETTA")*(IFERROR(ROUND(BANCA!$F8:$F4163,2),0)))+
SUMPRODUCT((IFERROR(MONTH(BANCA!$B8:$B4163)=MONTH(F$2),FALSE))*(BANCA!$G8:$G4163="ACQUISTO DI BICCHIERI VETRO")*(IFERROR(ROUND(BANCA!$F8:$F4163,2),0)))+
SUMPRODUCT((IFERROR(MONTH(BANCA!$B8:$B4163)=MONTH(F$2),FALSE))*(BANCA!$G8:$G4163="CANCELLERIA E STAMPATI")*(IFERROR(ROUND(BANCA!$F8:$F4163,2),0)))+
SUMPRODUCT((IFERROR(MONTH(BANCA!$B8:$B4163)=MONTH(F$2),FALSE))*(BANCA!$G8:$G4163="MATERIALE BAR - IGIENE E PULIZIA")*(IFERROR(ROUND(BANCA!$F8:$F4163,2),0)))-
SUMPRODUCT((IFERROR(MONTH(CASSA!$B7:$B3166)=MONTH(F$2),FALSE))*(CASSA!$G7:$G3166="ACQUISTI DI MATERIALI DI CONSUMO")*(IFERROR(ROUND(CASSA!$E7:$E3166,2),0)))-
SUMPRODUCT((IFERROR(MONTH(CASSA!$B7:$B3166)=MONTH(F$2),FALSE))*(CASSA!$G7:$G3166="ACQUISTO DI BICCHIERI USA &amp; GETTA")*(IFERROR(ROUND(CASSA!$E7:$E3166,2),0)))-
SUMPRODUCT((IFERROR(MONTH(CASSA!$B7:$B3166)=MONTH(F$2),FALSE))*(CASSA!$G7:$G3166="ACQUISTO DI BICCHIERI VETRO")*(IFERROR(ROUND(CASSA!$E7:$E3166,2),0)))-
SUMPRODUCT((IFERROR(MONTH(CASSA!$B7:$B3166)=MONTH(F$2),FALSE))*(CASSA!$G7:$G3166="CANCELLERIA E STAMPATI")*(IFERROR(ROUND(CASSA!$E7:$E3166,2),0)))-
SUMPRODUCT((IFERROR(MONTH(CASSA!$B7:$B3166)=MONTH(F$2),FALSE))*(CASSA!$G7:$G3166="MATERIALE BAR - IGIENE E PULIZIA")*(IFERROR(ROUND(CASSA!$E7:$E3166,2),0)))-
SUMPRODUCT((IFERROR(MONTH(BANCA!$B8:$B4163)=MONTH(F$2),FALSE))*(BANCA!$G8:$G4163="ACQUISTI DI MATERIALI DI CONSUMO")*(IFERROR(ROUND(BANCA!$E8:$E4163,2),0)))-
SUMPRODUCT((IFERROR(MONTH(BANCA!$B8:$B4163)=MONTH(F$2),FALSE))*(BANCA!$G8:$G4163="ACQUISTO DI BICCHIERI USA &amp; GETTA")*(IFERROR(ROUND(BANCA!$E8:$E4163,2),0)))-
SUMPRODUCT((IFERROR(MONTH(BANCA!$B8:$B4163)=MONTH(F$2),FALSE))*(BANCA!$G8:$G4163="ACQUISTO DI BICCHIERI VETRO")*(IFERROR(ROUND(BANCA!$E8:$E4163,2),0)))-
SUMPRODUCT((IFERROR(MONTH(BANCA!$B8:$B4163)=MONTH(F$2),FALSE))*(BANCA!$G8:$G4163="CANCELLERIA E STAMPATI")*(IFERROR(ROUND(BANCA!$E8:$E4163,2),0)))-
SUMPRODUCT((IFERROR(MONTH(BANCA!$B8:$B4163)=MONTH(F$2),FALSE))*(BANCA!$G8:$G4163="MATERIALE BAR - IGIENE E PULIZIA")*(IFERROR(ROUND(BANCA!$E8:$E4163,2),0)))</f>
        <v>758.92</v>
      </c>
      <c r="G34" s="297"/>
      <c r="H34" s="297" cm="1">
        <f t="array" ref="H34">SUMPRODUCT((IFERROR(MONTH(CASSA!$B7:$B3166)=MONTH(H$2),FALSE))*(CASSA!$G7:$G3166="ACQUISTI DI MATERIALI DI CONSUMO")*(IFERROR(ROUND(CASSA!$F7:$F3166,2),0)))+
SUMPRODUCT((IFERROR(MONTH(CASSA!$B7:$B3166)=MONTH(H$2),FALSE))*(CASSA!$G7:$G3166="ACQUISTO DI BICCHIERI USA &amp; GETTA")*(IFERROR(ROUND(CASSA!$F7:$F3166,2),0)))+
SUMPRODUCT((IFERROR(MONTH(CASSA!$B7:$B3166)=MONTH(H$2),FALSE))*(CASSA!$G7:$G3166="ACQUISTO DI BICCHIERI VETRO")*(IFERROR(ROUND(CASSA!$F7:$F3166,2),0)))+
SUMPRODUCT((IFERROR(MONTH(CASSA!$B7:$B3166)=MONTH(H$2),FALSE))*(CASSA!$G7:$G3166="CANCELLERIA E STAMPATI")*(IFERROR(ROUND(CASSA!$F7:$F3166,2),0)))+
SUMPRODUCT((IFERROR(MONTH(CASSA!$B7:$B3166)=MONTH(H$2),FALSE))*(CASSA!$G7:$G3166="MATERIALE BAR - IGIENE E PULIZIA")*(IFERROR(ROUND(CASSA!$F7:$F3166,2),0)))+
SUMPRODUCT((IFERROR(MONTH(BANCA!$B8:$B4163)=MONTH(H$2),FALSE))*(BANCA!$G8:$G4163="ACQUISTI DI MATERIALI DI CONSUMO")*(IFERROR(ROUND(BANCA!$F8:$F4163,2),0)))+
SUMPRODUCT((IFERROR(MONTH(BANCA!$B8:$B4163)=MONTH(H$2),FALSE))*(BANCA!$G8:$G4163="ACQUISTO DI BICCHIERI USA &amp; GETTA")*(IFERROR(ROUND(BANCA!$F8:$F4163,2),0)))+
SUMPRODUCT((IFERROR(MONTH(BANCA!$B8:$B4163)=MONTH(H$2),FALSE))*(BANCA!$G8:$G4163="ACQUISTO DI BICCHIERI VETRO")*(IFERROR(ROUND(BANCA!$F8:$F4163,2),0)))+
SUMPRODUCT((IFERROR(MONTH(BANCA!$B8:$B4163)=MONTH(H$2),FALSE))*(BANCA!$G8:$G4163="CANCELLERIA E STAMPATI")*(IFERROR(ROUND(BANCA!$F8:$F4163,2),0)))+
SUMPRODUCT((IFERROR(MONTH(BANCA!$B8:$B4163)=MONTH(H$2),FALSE))*(BANCA!$G8:$G4163="MATERIALE BAR - IGIENE E PULIZIA")*(IFERROR(ROUND(BANCA!$F8:$F4163,2),0)))-
SUMPRODUCT((IFERROR(MONTH(CASSA!$B7:$B3166)=MONTH(H$2),FALSE))*(CASSA!$G7:$G3166="ACQUISTI DI MATERIALI DI CONSUMO")*(IFERROR(ROUND(CASSA!$E7:$E3166,2),0)))-
SUMPRODUCT((IFERROR(MONTH(CASSA!$B7:$B3166)=MONTH(H$2),FALSE))*(CASSA!$G7:$G3166="ACQUISTO DI BICCHIERI USA &amp; GETTA")*(IFERROR(ROUND(CASSA!$E7:$E3166,2),0)))-
SUMPRODUCT((IFERROR(MONTH(CASSA!$B7:$B3166)=MONTH(H$2),FALSE))*(CASSA!$G7:$G3166="ACQUISTO DI BICCHIERI VETRO")*(IFERROR(ROUND(CASSA!$E7:$E3166,2),0)))-
SUMPRODUCT((IFERROR(MONTH(CASSA!$B7:$B3166)=MONTH(H$2),FALSE))*(CASSA!$G7:$G3166="CANCELLERIA E STAMPATI")*(IFERROR(ROUND(CASSA!$E7:$E3166,2),0)))-
SUMPRODUCT((IFERROR(MONTH(CASSA!$B7:$B3166)=MONTH(H$2),FALSE))*(CASSA!$G7:$G3166="MATERIALE BAR - IGIENE E PULIZIA")*(IFERROR(ROUND(CASSA!$E7:$E3166,2),0)))-
SUMPRODUCT((IFERROR(MONTH(BANCA!$B8:$B4163)=MONTH(H$2),FALSE))*(BANCA!$G8:$G4163="ACQUISTI DI MATERIALI DI CONSUMO")*(IFERROR(ROUND(BANCA!$E8:$E4163,2),0)))-
SUMPRODUCT((IFERROR(MONTH(BANCA!$B8:$B4163)=MONTH(H$2),FALSE))*(BANCA!$G8:$G4163="ACQUISTO DI BICCHIERI USA &amp; GETTA")*(IFERROR(ROUND(BANCA!$E8:$E4163,2),0)))-
SUMPRODUCT((IFERROR(MONTH(BANCA!$B8:$B4163)=MONTH(H$2),FALSE))*(BANCA!$G8:$G4163="ACQUISTO DI BICCHIERI VETRO")*(IFERROR(ROUND(BANCA!$E8:$E4163,2),0)))-
SUMPRODUCT((IFERROR(MONTH(BANCA!$B8:$B4163)=MONTH(H$2),FALSE))*(BANCA!$G8:$G4163="CANCELLERIA E STAMPATI")*(IFERROR(ROUND(BANCA!$E8:$E4163,2),0)))-
SUMPRODUCT((IFERROR(MONTH(BANCA!$B8:$B4163)=MONTH(H$2),FALSE))*(BANCA!$G8:$G4163="MATERIALE BAR - IGIENE E PULIZIA")*(IFERROR(ROUND(BANCA!$E8:$E4163,2),0)))</f>
        <v>1224.29</v>
      </c>
      <c r="I34" s="297"/>
      <c r="J34" s="297" cm="1">
        <f t="array" ref="J34">SUMPRODUCT((IFERROR(MONTH(CASSA!$B7:$B3166)=MONTH(J$2),FALSE))*(CASSA!$G7:$G3166="ACQUISTI DI MATERIALI DI CONSUMO")*(IFERROR(ROUND(CASSA!$F7:$F3166,2),0)))+
SUMPRODUCT((IFERROR(MONTH(CASSA!$B7:$B3166)=MONTH(J$2),FALSE))*(CASSA!$G7:$G3166="ACQUISTO DI BICCHIERI USA &amp; GETTA")*(IFERROR(ROUND(CASSA!$F7:$F3166,2),0)))+
SUMPRODUCT((IFERROR(MONTH(CASSA!$B7:$B3166)=MONTH(J$2),FALSE))*(CASSA!$G7:$G3166="ACQUISTO DI BICCHIERI VETRO")*(IFERROR(ROUND(CASSA!$F7:$F3166,2),0)))+
SUMPRODUCT((IFERROR(MONTH(CASSA!$B7:$B3166)=MONTH(J$2),FALSE))*(CASSA!$G7:$G3166="CANCELLERIA E STAMPATI")*(IFERROR(ROUND(CASSA!$F7:$F3166,2),0)))+
SUMPRODUCT((IFERROR(MONTH(CASSA!$B7:$B3166)=MONTH(J$2),FALSE))*(CASSA!$G7:$G3166="MATERIALE BAR - IGIENE E PULIZIA")*(IFERROR(ROUND(CASSA!$F7:$F3166,2),0)))+
SUMPRODUCT((IFERROR(MONTH(BANCA!$B8:$B4163)=MONTH(J$2),FALSE))*(BANCA!$G8:$G4163="ACQUISTI DI MATERIALI DI CONSUMO")*(IFERROR(ROUND(BANCA!$F8:$F4163,2),0)))+
SUMPRODUCT((IFERROR(MONTH(BANCA!$B8:$B4163)=MONTH(J$2),FALSE))*(BANCA!$G8:$G4163="ACQUISTO DI BICCHIERI USA &amp; GETTA")*(IFERROR(ROUND(BANCA!$F8:$F4163,2),0)))+
SUMPRODUCT((IFERROR(MONTH(BANCA!$B8:$B4163)=MONTH(J$2),FALSE))*(BANCA!$G8:$G4163="ACQUISTO DI BICCHIERI VETRO")*(IFERROR(ROUND(BANCA!$F8:$F4163,2),0)))+
SUMPRODUCT((IFERROR(MONTH(BANCA!$B8:$B4163)=MONTH(J$2),FALSE))*(BANCA!$G8:$G4163="CANCELLERIA E STAMPATI")*(IFERROR(ROUND(BANCA!$F8:$F4163,2),0)))+
SUMPRODUCT((IFERROR(MONTH(BANCA!$B8:$B4163)=MONTH(J$2),FALSE))*(BANCA!$G8:$G4163="MATERIALE BAR - IGIENE E PULIZIA")*(IFERROR(ROUND(BANCA!$F8:$F4163,2),0)))-
SUMPRODUCT((IFERROR(MONTH(CASSA!$B7:$B3166)=MONTH(J$2),FALSE))*(CASSA!$G7:$G3166="ACQUISTI DI MATERIALI DI CONSUMO")*(IFERROR(ROUND(CASSA!$E7:$E3166,2),0)))-
SUMPRODUCT((IFERROR(MONTH(CASSA!$B7:$B3166)=MONTH(J$2),FALSE))*(CASSA!$G7:$G3166="ACQUISTO DI BICCHIERI USA &amp; GETTA")*(IFERROR(ROUND(CASSA!$E7:$E3166,2),0)))-
SUMPRODUCT((IFERROR(MONTH(CASSA!$B7:$B3166)=MONTH(J$2),FALSE))*(CASSA!$G7:$G3166="ACQUISTO DI BICCHIERI VETRO")*(IFERROR(ROUND(CASSA!$E7:$E3166,2),0)))-
SUMPRODUCT((IFERROR(MONTH(CASSA!$B7:$B3166)=MONTH(J$2),FALSE))*(CASSA!$G7:$G3166="CANCELLERIA E STAMPATI")*(IFERROR(ROUND(CASSA!$E7:$E3166,2),0)))-
SUMPRODUCT((IFERROR(MONTH(CASSA!$B7:$B3166)=MONTH(J$2),FALSE))*(CASSA!$G7:$G3166="MATERIALE BAR - IGIENE E PULIZIA")*(IFERROR(ROUND(CASSA!$E7:$E3166,2),0)))-
SUMPRODUCT((IFERROR(MONTH(BANCA!$B8:$B4163)=MONTH(J$2),FALSE))*(BANCA!$G8:$G4163="ACQUISTI DI MATERIALI DI CONSUMO")*(IFERROR(ROUND(BANCA!$E8:$E4163,2),0)))-
SUMPRODUCT((IFERROR(MONTH(BANCA!$B8:$B4163)=MONTH(J$2),FALSE))*(BANCA!$G8:$G4163="ACQUISTO DI BICCHIERI USA &amp; GETTA")*(IFERROR(ROUND(BANCA!$E8:$E4163,2),0)))-
SUMPRODUCT((IFERROR(MONTH(BANCA!$B8:$B4163)=MONTH(J$2),FALSE))*(BANCA!$G8:$G4163="ACQUISTO DI BICCHIERI VETRO")*(IFERROR(ROUND(BANCA!$E8:$E4163,2),0)))-
SUMPRODUCT((IFERROR(MONTH(BANCA!$B8:$B4163)=MONTH(J$2),FALSE))*(BANCA!$G8:$G4163="CANCELLERIA E STAMPATI")*(IFERROR(ROUND(BANCA!$E8:$E4163,2),0)))-
SUMPRODUCT((IFERROR(MONTH(BANCA!$B8:$B4163)=MONTH(J$2),FALSE))*(BANCA!$G8:$G4163="MATERIALE BAR - IGIENE E PULIZIA")*(IFERROR(ROUND(BANCA!$E8:$E4163,2),0)))</f>
        <v>1206.55</v>
      </c>
      <c r="K34" s="297"/>
      <c r="L34" s="297" cm="1">
        <f t="array" ref="L34">SUMPRODUCT((IFERROR(MONTH(CASSA!$B7:$B3166)=MONTH(L$2),FALSE))*(CASSA!$G7:$G3166="ACQUISTI DI MATERIALI DI CONSUMO")*(IFERROR(ROUND(CASSA!$F7:$F3166,2),0)))+
SUMPRODUCT((IFERROR(MONTH(CASSA!$B7:$B3166)=MONTH(L$2),FALSE))*(CASSA!$G7:$G3166="ACQUISTO DI BICCHIERI USA &amp; GETTA")*(IFERROR(ROUND(CASSA!$F7:$F3166,2),0)))+
SUMPRODUCT((IFERROR(MONTH(CASSA!$B7:$B3166)=MONTH(L$2),FALSE))*(CASSA!$G7:$G3166="ACQUISTO DI BICCHIERI VETRO")*(IFERROR(ROUND(CASSA!$F7:$F3166,2),0)))+
SUMPRODUCT((IFERROR(MONTH(CASSA!$B7:$B3166)=MONTH(L$2),FALSE))*(CASSA!$G7:$G3166="CANCELLERIA E STAMPATI")*(IFERROR(ROUND(CASSA!$F7:$F3166,2),0)))+
SUMPRODUCT((IFERROR(MONTH(CASSA!$B7:$B3166)=MONTH(L$2),FALSE))*(CASSA!$G7:$G3166="MATERIALE BAR - IGIENE E PULIZIA")*(IFERROR(ROUND(CASSA!$F7:$F3166,2),0)))+
SUMPRODUCT((IFERROR(MONTH(BANCA!$B8:$B4163)=MONTH(L$2),FALSE))*(BANCA!$G8:$G4163="ACQUISTI DI MATERIALI DI CONSUMO")*(IFERROR(ROUND(BANCA!$F8:$F4163,2),0)))+
SUMPRODUCT((IFERROR(MONTH(BANCA!$B8:$B4163)=MONTH(L$2),FALSE))*(BANCA!$G8:$G4163="ACQUISTO DI BICCHIERI USA &amp; GETTA")*(IFERROR(ROUND(BANCA!$F8:$F4163,2),0)))+
SUMPRODUCT((IFERROR(MONTH(BANCA!$B8:$B4163)=MONTH(L$2),FALSE))*(BANCA!$G8:$G4163="ACQUISTO DI BICCHIERI VETRO")*(IFERROR(ROUND(BANCA!$F8:$F4163,2),0)))+
SUMPRODUCT((IFERROR(MONTH(BANCA!$B8:$B4163)=MONTH(L$2),FALSE))*(BANCA!$G8:$G4163="CANCELLERIA E STAMPATI")*(IFERROR(ROUND(BANCA!$F8:$F4163,2),0)))+
SUMPRODUCT((IFERROR(MONTH(BANCA!$B8:$B4163)=MONTH(L$2),FALSE))*(BANCA!$G8:$G4163="MATERIALE BAR - IGIENE E PULIZIA")*(IFERROR(ROUND(BANCA!$F8:$F4163,2),0)))-
SUMPRODUCT((IFERROR(MONTH(CASSA!$B7:$B3166)=MONTH(L$2),FALSE))*(CASSA!$G7:$G3166="ACQUISTI DI MATERIALI DI CONSUMO")*(IFERROR(ROUND(CASSA!$E7:$E3166,2),0)))-
SUMPRODUCT((IFERROR(MONTH(CASSA!$B7:$B3166)=MONTH(L$2),FALSE))*(CASSA!$G7:$G3166="ACQUISTO DI BICCHIERI USA &amp; GETTA")*(IFERROR(ROUND(CASSA!$E7:$E3166,2),0)))-
SUMPRODUCT((IFERROR(MONTH(CASSA!$B7:$B3166)=MONTH(L$2),FALSE))*(CASSA!$G7:$G3166="ACQUISTO DI BICCHIERI VETRO")*(IFERROR(ROUND(CASSA!$E7:$E3166,2),0)))-
SUMPRODUCT((IFERROR(MONTH(CASSA!$B7:$B3166)=MONTH(L$2),FALSE))*(CASSA!$G7:$G3166="CANCELLERIA E STAMPATI")*(IFERROR(ROUND(CASSA!$E7:$E3166,2),0)))-
SUMPRODUCT((IFERROR(MONTH(CASSA!$B7:$B3166)=MONTH(L$2),FALSE))*(CASSA!$G7:$G3166="MATERIALE BAR - IGIENE E PULIZIA")*(IFERROR(ROUND(CASSA!$E7:$E3166,2),0)))-
SUMPRODUCT((IFERROR(MONTH(BANCA!$B8:$B4163)=MONTH(L$2),FALSE))*(BANCA!$G8:$G4163="ACQUISTI DI MATERIALI DI CONSUMO")*(IFERROR(ROUND(BANCA!$E8:$E4163,2),0)))-
SUMPRODUCT((IFERROR(MONTH(BANCA!$B8:$B4163)=MONTH(L$2),FALSE))*(BANCA!$G8:$G4163="ACQUISTO DI BICCHIERI USA &amp; GETTA")*(IFERROR(ROUND(BANCA!$E8:$E4163,2),0)))-
SUMPRODUCT((IFERROR(MONTH(BANCA!$B8:$B4163)=MONTH(L$2),FALSE))*(BANCA!$G8:$G4163="ACQUISTO DI BICCHIERI VETRO")*(IFERROR(ROUND(BANCA!$E8:$E4163,2),0)))-
SUMPRODUCT((IFERROR(MONTH(BANCA!$B8:$B4163)=MONTH(L$2),FALSE))*(BANCA!$G8:$G4163="CANCELLERIA E STAMPATI")*(IFERROR(ROUND(BANCA!$E8:$E4163,2),0)))-
SUMPRODUCT((IFERROR(MONTH(BANCA!$B8:$B4163)=MONTH(L$2),FALSE))*(BANCA!$G8:$G4163="MATERIALE BAR - IGIENE E PULIZIA")*(IFERROR(ROUND(BANCA!$E8:$E4163,2),0)))</f>
        <v>655.7</v>
      </c>
      <c r="M34" s="297"/>
      <c r="N34" s="297" cm="1">
        <f t="array" ref="N34">SUMPRODUCT((IFERROR(MONTH(CASSA!$B7:$B3166)=MONTH(N$2),FALSE))*(CASSA!$G7:$G3166="ACQUISTI DI MATERIALI DI CONSUMO")*(IFERROR(ROUND(CASSA!$F7:$F3166,2),0)))+
SUMPRODUCT((IFERROR(MONTH(CASSA!$B7:$B3166)=MONTH(N$2),FALSE))*(CASSA!$G7:$G3166="ACQUISTO DI BICCHIERI USA &amp; GETTA")*(IFERROR(ROUND(CASSA!$F7:$F3166,2),0)))+
SUMPRODUCT((IFERROR(MONTH(CASSA!$B7:$B3166)=MONTH(N$2),FALSE))*(CASSA!$G7:$G3166="ACQUISTO DI BICCHIERI VETRO")*(IFERROR(ROUND(CASSA!$F7:$F3166,2),0)))+
SUMPRODUCT((IFERROR(MONTH(CASSA!$B7:$B3166)=MONTH(N$2),FALSE))*(CASSA!$G7:$G3166="CANCELLERIA E STAMPATI")*(IFERROR(ROUND(CASSA!$F7:$F3166,2),0)))+
SUMPRODUCT((IFERROR(MONTH(CASSA!$B7:$B3166)=MONTH(N$2),FALSE))*(CASSA!$G7:$G3166="MATERIALE BAR - IGIENE E PULIZIA")*(IFERROR(ROUND(CASSA!$F7:$F3166,2),0)))+
SUMPRODUCT((IFERROR(MONTH(BANCA!$B8:$B4163)=MONTH(N$2),FALSE))*(BANCA!$G8:$G4163="ACQUISTI DI MATERIALI DI CONSUMO")*(IFERROR(ROUND(BANCA!$F8:$F4163,2),0)))+
SUMPRODUCT((IFERROR(MONTH(BANCA!$B8:$B4163)=MONTH(N$2),FALSE))*(BANCA!$G8:$G4163="ACQUISTO DI BICCHIERI USA &amp; GETTA")*(IFERROR(ROUND(BANCA!$F8:$F4163,2),0)))+
SUMPRODUCT((IFERROR(MONTH(BANCA!$B8:$B4163)=MONTH(N$2),FALSE))*(BANCA!$G8:$G4163="ACQUISTO DI BICCHIERI VETRO")*(IFERROR(ROUND(BANCA!$F8:$F4163,2),0)))+
SUMPRODUCT((IFERROR(MONTH(BANCA!$B8:$B4163)=MONTH(N$2),FALSE))*(BANCA!$G8:$G4163="CANCELLERIA E STAMPATI")*(IFERROR(ROUND(BANCA!$F8:$F4163,2),0)))+
SUMPRODUCT((IFERROR(MONTH(BANCA!$B8:$B4163)=MONTH(N$2),FALSE))*(BANCA!$G8:$G4163="MATERIALE BAR - IGIENE E PULIZIA")*(IFERROR(ROUND(BANCA!$F8:$F4163,2),0)))-
SUMPRODUCT((IFERROR(MONTH(CASSA!$B7:$B3166)=MONTH(N$2),FALSE))*(CASSA!$G7:$G3166="ACQUISTI DI MATERIALI DI CONSUMO")*(IFERROR(ROUND(CASSA!$E7:$E3166,2),0)))-
SUMPRODUCT((IFERROR(MONTH(CASSA!$B7:$B3166)=MONTH(N$2),FALSE))*(CASSA!$G7:$G3166="ACQUISTO DI BICCHIERI USA &amp; GETTA")*(IFERROR(ROUND(CASSA!$E7:$E3166,2),0)))-
SUMPRODUCT((IFERROR(MONTH(CASSA!$B7:$B3166)=MONTH(N$2),FALSE))*(CASSA!$G7:$G3166="ACQUISTO DI BICCHIERI VETRO")*(IFERROR(ROUND(CASSA!$E7:$E3166,2),0)))-
SUMPRODUCT((IFERROR(MONTH(CASSA!$B7:$B3166)=MONTH(N$2),FALSE))*(CASSA!$G7:$G3166="CANCELLERIA E STAMPATI")*(IFERROR(ROUND(CASSA!$E7:$E3166,2),0)))-
SUMPRODUCT((IFERROR(MONTH(CASSA!$B7:$B3166)=MONTH(N$2),FALSE))*(CASSA!$G7:$G3166="MATERIALE BAR - IGIENE E PULIZIA")*(IFERROR(ROUND(CASSA!$E7:$E3166,2),0)))-
SUMPRODUCT((IFERROR(MONTH(BANCA!$B8:$B4163)=MONTH(N$2),FALSE))*(BANCA!$G8:$G4163="ACQUISTI DI MATERIALI DI CONSUMO")*(IFERROR(ROUND(BANCA!$E8:$E4163,2),0)))-
SUMPRODUCT((IFERROR(MONTH(BANCA!$B8:$B4163)=MONTH(N$2),FALSE))*(BANCA!$G8:$G4163="ACQUISTO DI BICCHIERI USA &amp; GETTA")*(IFERROR(ROUND(BANCA!$E8:$E4163,2),0)))-
SUMPRODUCT((IFERROR(MONTH(BANCA!$B8:$B4163)=MONTH(N$2),FALSE))*(BANCA!$G8:$G4163="ACQUISTO DI BICCHIERI VETRO")*(IFERROR(ROUND(BANCA!$E8:$E4163,2),0)))-
SUMPRODUCT((IFERROR(MONTH(BANCA!$B8:$B4163)=MONTH(N$2),FALSE))*(BANCA!$G8:$G4163="CANCELLERIA E STAMPATI")*(IFERROR(ROUND(BANCA!$E8:$E4163,2),0)))-
SUMPRODUCT((IFERROR(MONTH(BANCA!$B8:$B4163)=MONTH(N$2),FALSE))*(BANCA!$G8:$G4163="MATERIALE BAR - IGIENE E PULIZIA")*(IFERROR(ROUND(BANCA!$E8:$E4163,2),0)))</f>
        <v>472.18999999999994</v>
      </c>
      <c r="O34" s="297"/>
      <c r="P34" s="297" cm="1">
        <f t="array" ref="P34">SUMPRODUCT((IFERROR(MONTH(CASSA!$B7:$B3166)=MONTH(P$2),FALSE))*(CASSA!$G7:$G3166="ACQUISTI DI MATERIALI DI CONSUMO")*(IFERROR(ROUND(CASSA!$F7:$F3166,2),0)))+
SUMPRODUCT((IFERROR(MONTH(CASSA!$B7:$B3166)=MONTH(P$2),FALSE))*(CASSA!$G7:$G3166="ACQUISTO DI BICCHIERI USA &amp; GETTA")*(IFERROR(ROUND(CASSA!$F7:$F3166,2),0)))+
SUMPRODUCT((IFERROR(MONTH(CASSA!$B7:$B3166)=MONTH(P$2),FALSE))*(CASSA!$G7:$G3166="ACQUISTO DI BICCHIERI VETRO")*(IFERROR(ROUND(CASSA!$F7:$F3166,2),0)))+
SUMPRODUCT((IFERROR(MONTH(CASSA!$B7:$B3166)=MONTH(P$2),FALSE))*(CASSA!$G7:$G3166="CANCELLERIA E STAMPATI")*(IFERROR(ROUND(CASSA!$F7:$F3166,2),0)))+
SUMPRODUCT((IFERROR(MONTH(CASSA!$B7:$B3166)=MONTH(P$2),FALSE))*(CASSA!$G7:$G3166="MATERIALE BAR - IGIENE E PULIZIA")*(IFERROR(ROUND(CASSA!$F7:$F3166,2),0)))+
SUMPRODUCT((IFERROR(MONTH(BANCA!$B8:$B4163)=MONTH(P$2),FALSE))*(BANCA!$G8:$G4163="ACQUISTI DI MATERIALI DI CONSUMO")*(IFERROR(ROUND(BANCA!$F8:$F4163,2),0)))+
SUMPRODUCT((IFERROR(MONTH(BANCA!$B8:$B4163)=MONTH(P$2),FALSE))*(BANCA!$G8:$G4163="ACQUISTO DI BICCHIERI USA &amp; GETTA")*(IFERROR(ROUND(BANCA!$F8:$F4163,2),0)))+
SUMPRODUCT((IFERROR(MONTH(BANCA!$B8:$B4163)=MONTH(P$2),FALSE))*(BANCA!$G8:$G4163="ACQUISTO DI BICCHIERI VETRO")*(IFERROR(ROUND(BANCA!$F8:$F4163,2),0)))+
SUMPRODUCT((IFERROR(MONTH(BANCA!$B8:$B4163)=MONTH(P$2),FALSE))*(BANCA!$G8:$G4163="CANCELLERIA E STAMPATI")*(IFERROR(ROUND(BANCA!$F8:$F4163,2),0)))+
SUMPRODUCT((IFERROR(MONTH(BANCA!$B8:$B4163)=MONTH(P$2),FALSE))*(BANCA!$G8:$G4163="MATERIALE BAR - IGIENE E PULIZIA")*(IFERROR(ROUND(BANCA!$F8:$F4163,2),0)))-
SUMPRODUCT((IFERROR(MONTH(CASSA!$B7:$B3166)=MONTH(P$2),FALSE))*(CASSA!$G7:$G3166="ACQUISTI DI MATERIALI DI CONSUMO")*(IFERROR(ROUND(CASSA!$E7:$E3166,2),0)))-
SUMPRODUCT((IFERROR(MONTH(CASSA!$B7:$B3166)=MONTH(P$2),FALSE))*(CASSA!$G7:$G3166="ACQUISTO DI BICCHIERI USA &amp; GETTA")*(IFERROR(ROUND(CASSA!$E7:$E3166,2),0)))-
SUMPRODUCT((IFERROR(MONTH(CASSA!$B7:$B3166)=MONTH(P$2),FALSE))*(CASSA!$G7:$G3166="ACQUISTO DI BICCHIERI VETRO")*(IFERROR(ROUND(CASSA!$E7:$E3166,2),0)))-
SUMPRODUCT((IFERROR(MONTH(CASSA!$B7:$B3166)=MONTH(P$2),FALSE))*(CASSA!$G7:$G3166="CANCELLERIA E STAMPATI")*(IFERROR(ROUND(CASSA!$E7:$E3166,2),0)))-
SUMPRODUCT((IFERROR(MONTH(CASSA!$B7:$B3166)=MONTH(P$2),FALSE))*(CASSA!$G7:$G3166="MATERIALE BAR - IGIENE E PULIZIA")*(IFERROR(ROUND(CASSA!$E7:$E3166,2),0)))-
SUMPRODUCT((IFERROR(MONTH(BANCA!$B8:$B4163)=MONTH(P$2),FALSE))*(BANCA!$G8:$G4163="ACQUISTI DI MATERIALI DI CONSUMO")*(IFERROR(ROUND(BANCA!$E8:$E4163,2),0)))-
SUMPRODUCT((IFERROR(MONTH(BANCA!$B8:$B4163)=MONTH(P$2),FALSE))*(BANCA!$G8:$G4163="ACQUISTO DI BICCHIERI USA &amp; GETTA")*(IFERROR(ROUND(BANCA!$E8:$E4163,2),0)))-
SUMPRODUCT((IFERROR(MONTH(BANCA!$B8:$B4163)=MONTH(P$2),FALSE))*(BANCA!$G8:$G4163="ACQUISTO DI BICCHIERI VETRO")*(IFERROR(ROUND(BANCA!$E8:$E4163,2),0)))-
SUMPRODUCT((IFERROR(MONTH(BANCA!$B8:$B4163)=MONTH(P$2),FALSE))*(BANCA!$G8:$G4163="CANCELLERIA E STAMPATI")*(IFERROR(ROUND(BANCA!$E8:$E4163,2),0)))-
SUMPRODUCT((IFERROR(MONTH(BANCA!$B8:$B4163)=MONTH(P$2),FALSE))*(BANCA!$G8:$G4163="MATERIALE BAR - IGIENE E PULIZIA")*(IFERROR(ROUND(BANCA!$E8:$E4163,2),0)))</f>
        <v>3245.13</v>
      </c>
      <c r="Q34" s="297"/>
      <c r="R34" s="297" cm="1">
        <f t="array" ref="R34">SUMPRODUCT((IFERROR(MONTH(CASSA!$B7:$B3166)=MONTH(R$2),FALSE))*(CASSA!$G7:$G3166="ACQUISTI DI MATERIALI DI CONSUMO")*(IFERROR(ROUND(CASSA!$F7:$F3166,2),0)))+
SUMPRODUCT((IFERROR(MONTH(CASSA!$B7:$B3166)=MONTH(R$2),FALSE))*(CASSA!$G7:$G3166="ACQUISTO DI BICCHIERI USA &amp; GETTA")*(IFERROR(ROUND(CASSA!$F7:$F3166,2),0)))+
SUMPRODUCT((IFERROR(MONTH(CASSA!$B7:$B3166)=MONTH(R$2),FALSE))*(CASSA!$G7:$G3166="ACQUISTO DI BICCHIERI VETRO")*(IFERROR(ROUND(CASSA!$F7:$F3166,2),0)))+
SUMPRODUCT((IFERROR(MONTH(CASSA!$B7:$B3166)=MONTH(R$2),FALSE))*(CASSA!$G7:$G3166="CANCELLERIA E STAMPATI")*(IFERROR(ROUND(CASSA!$F7:$F3166,2),0)))+
SUMPRODUCT((IFERROR(MONTH(CASSA!$B7:$B3166)=MONTH(R$2),FALSE))*(CASSA!$G7:$G3166="MATERIALE BAR - IGIENE E PULIZIA")*(IFERROR(ROUND(CASSA!$F7:$F3166,2),0)))+
SUMPRODUCT((IFERROR(MONTH(BANCA!$B8:$B4163)=MONTH(R$2),FALSE))*(BANCA!$G8:$G4163="ACQUISTI DI MATERIALI DI CONSUMO")*(IFERROR(ROUND(BANCA!$F8:$F4163,2),0)))+
SUMPRODUCT((IFERROR(MONTH(BANCA!$B8:$B4163)=MONTH(R$2),FALSE))*(BANCA!$G8:$G4163="ACQUISTO DI BICCHIERI USA &amp; GETTA")*(IFERROR(ROUND(BANCA!$F8:$F4163,2),0)))+
SUMPRODUCT((IFERROR(MONTH(BANCA!$B8:$B4163)=MONTH(R$2),FALSE))*(BANCA!$G8:$G4163="ACQUISTO DI BICCHIERI VETRO")*(IFERROR(ROUND(BANCA!$F8:$F4163,2),0)))+
SUMPRODUCT((IFERROR(MONTH(BANCA!$B8:$B4163)=MONTH(R$2),FALSE))*(BANCA!$G8:$G4163="CANCELLERIA E STAMPATI")*(IFERROR(ROUND(BANCA!$F8:$F4163,2),0)))+
SUMPRODUCT((IFERROR(MONTH(BANCA!$B8:$B4163)=MONTH(R$2),FALSE))*(BANCA!$G8:$G4163="MATERIALE BAR - IGIENE E PULIZIA")*(IFERROR(ROUND(BANCA!$F8:$F4163,2),0)))-
SUMPRODUCT((IFERROR(MONTH(CASSA!$B7:$B3166)=MONTH(R$2),FALSE))*(CASSA!$G7:$G3166="ACQUISTI DI MATERIALI DI CONSUMO")*(IFERROR(ROUND(CASSA!$E7:$E3166,2),0)))-
SUMPRODUCT((IFERROR(MONTH(CASSA!$B7:$B3166)=MONTH(R$2),FALSE))*(CASSA!$G7:$G3166="ACQUISTO DI BICCHIERI USA &amp; GETTA")*(IFERROR(ROUND(CASSA!$E7:$E3166,2),0)))-
SUMPRODUCT((IFERROR(MONTH(CASSA!$B7:$B3166)=MONTH(R$2),FALSE))*(CASSA!$G7:$G3166="ACQUISTO DI BICCHIERI VETRO")*(IFERROR(ROUND(CASSA!$E7:$E3166,2),0)))-
SUMPRODUCT((IFERROR(MONTH(CASSA!$B7:$B3166)=MONTH(R$2),FALSE))*(CASSA!$G7:$G3166="CANCELLERIA E STAMPATI")*(IFERROR(ROUND(CASSA!$E7:$E3166,2),0)))-
SUMPRODUCT((IFERROR(MONTH(CASSA!$B7:$B3166)=MONTH(R$2),FALSE))*(CASSA!$G7:$G3166="MATERIALE BAR - IGIENE E PULIZIA")*(IFERROR(ROUND(CASSA!$E7:$E3166,2),0)))-
SUMPRODUCT((IFERROR(MONTH(BANCA!$B8:$B4163)=MONTH(R$2),FALSE))*(BANCA!$G8:$G4163="ACQUISTI DI MATERIALI DI CONSUMO")*(IFERROR(ROUND(BANCA!$E8:$E4163,2),0)))-
SUMPRODUCT((IFERROR(MONTH(BANCA!$B8:$B4163)=MONTH(R$2),FALSE))*(BANCA!$G8:$G4163="ACQUISTO DI BICCHIERI USA &amp; GETTA")*(IFERROR(ROUND(BANCA!$E8:$E4163,2),0)))-
SUMPRODUCT((IFERROR(MONTH(BANCA!$B8:$B4163)=MONTH(R$2),FALSE))*(BANCA!$G8:$G4163="ACQUISTO DI BICCHIERI VETRO")*(IFERROR(ROUND(BANCA!$E8:$E4163,2),0)))-
SUMPRODUCT((IFERROR(MONTH(BANCA!$B8:$B4163)=MONTH(R$2),FALSE))*(BANCA!$G8:$G4163="CANCELLERIA E STAMPATI")*(IFERROR(ROUND(BANCA!$E8:$E4163,2),0)))-
SUMPRODUCT((IFERROR(MONTH(BANCA!$B8:$B4163)=MONTH(R$2),FALSE))*(BANCA!$G8:$G4163="MATERIALE BAR - IGIENE E PULIZIA")*(IFERROR(ROUND(BANCA!$E8:$E4163,2),0)))</f>
        <v>3183.63</v>
      </c>
      <c r="S34" s="297"/>
      <c r="T34" s="297" cm="1">
        <f t="array" ref="T34">SUMPRODUCT((IFERROR(MONTH(CASSA!$B7:$B3166)=MONTH(T$2),FALSE))*(CASSA!$G7:$G3166="ACQUISTI DI MATERIALI DI CONSUMO")*(IFERROR(ROUND(CASSA!$F7:$F3166,2),0)))+
SUMPRODUCT((IFERROR(MONTH(CASSA!$B7:$B3166)=MONTH(T$2),FALSE))*(CASSA!$G7:$G3166="ACQUISTO DI BICCHIERI USA &amp; GETTA")*(IFERROR(ROUND(CASSA!$F7:$F3166,2),0)))+
SUMPRODUCT((IFERROR(MONTH(CASSA!$B7:$B3166)=MONTH(T$2),FALSE))*(CASSA!$G7:$G3166="ACQUISTO DI BICCHIERI VETRO")*(IFERROR(ROUND(CASSA!$F7:$F3166,2),0)))+
SUMPRODUCT((IFERROR(MONTH(CASSA!$B7:$B3166)=MONTH(T$2),FALSE))*(CASSA!$G7:$G3166="CANCELLERIA E STAMPATI")*(IFERROR(ROUND(CASSA!$F7:$F3166,2),0)))+
SUMPRODUCT((IFERROR(MONTH(CASSA!$B7:$B3166)=MONTH(T$2),FALSE))*(CASSA!$G7:$G3166="MATERIALE BAR - IGIENE E PULIZIA")*(IFERROR(ROUND(CASSA!$F7:$F3166,2),0)))+
SUMPRODUCT((IFERROR(MONTH(BANCA!$B8:$B4163)=MONTH(T$2),FALSE))*(BANCA!$G8:$G4163="ACQUISTI DI MATERIALI DI CONSUMO")*(IFERROR(ROUND(BANCA!$F8:$F4163,2),0)))+
SUMPRODUCT((IFERROR(MONTH(BANCA!$B8:$B4163)=MONTH(T$2),FALSE))*(BANCA!$G8:$G4163="ACQUISTO DI BICCHIERI USA &amp; GETTA")*(IFERROR(ROUND(BANCA!$F8:$F4163,2),0)))+
SUMPRODUCT((IFERROR(MONTH(BANCA!$B8:$B4163)=MONTH(T$2),FALSE))*(BANCA!$G8:$G4163="ACQUISTO DI BICCHIERI VETRO")*(IFERROR(ROUND(BANCA!$F8:$F4163,2),0)))+
SUMPRODUCT((IFERROR(MONTH(BANCA!$B8:$B4163)=MONTH(T$2),FALSE))*(BANCA!$G8:$G4163="CANCELLERIA E STAMPATI")*(IFERROR(ROUND(BANCA!$F8:$F4163,2),0)))+
SUMPRODUCT((IFERROR(MONTH(BANCA!$B8:$B4163)=MONTH(T$2),FALSE))*(BANCA!$G8:$G4163="MATERIALE BAR - IGIENE E PULIZIA")*(IFERROR(ROUND(BANCA!$F8:$F4163,2),0)))-
SUMPRODUCT((IFERROR(MONTH(CASSA!$B7:$B3166)=MONTH(T$2),FALSE))*(CASSA!$G7:$G3166="ACQUISTI DI MATERIALI DI CONSUMO")*(IFERROR(ROUND(CASSA!$E7:$E3166,2),0)))-
SUMPRODUCT((IFERROR(MONTH(CASSA!$B7:$B3166)=MONTH(T$2),FALSE))*(CASSA!$G7:$G3166="ACQUISTO DI BICCHIERI USA &amp; GETTA")*(IFERROR(ROUND(CASSA!$E7:$E3166,2),0)))-
SUMPRODUCT((IFERROR(MONTH(CASSA!$B7:$B3166)=MONTH(T$2),FALSE))*(CASSA!$G7:$G3166="ACQUISTO DI BICCHIERI VETRO")*(IFERROR(ROUND(CASSA!$E7:$E3166,2),0)))-
SUMPRODUCT((IFERROR(MONTH(CASSA!$B7:$B3166)=MONTH(T$2),FALSE))*(CASSA!$G7:$G3166="CANCELLERIA E STAMPATI")*(IFERROR(ROUND(CASSA!$E7:$E3166,2),0)))-
SUMPRODUCT((IFERROR(MONTH(CASSA!$B7:$B3166)=MONTH(T$2),FALSE))*(CASSA!$G7:$G3166="MATERIALE BAR - IGIENE E PULIZIA")*(IFERROR(ROUND(CASSA!$E7:$E3166,2),0)))-
SUMPRODUCT((IFERROR(MONTH(BANCA!$B8:$B4163)=MONTH(T$2),FALSE))*(BANCA!$G8:$G4163="ACQUISTI DI MATERIALI DI CONSUMO")*(IFERROR(ROUND(BANCA!$E8:$E4163,2),0)))-
SUMPRODUCT((IFERROR(MONTH(BANCA!$B8:$B4163)=MONTH(T$2),FALSE))*(BANCA!$G8:$G4163="ACQUISTO DI BICCHIERI USA &amp; GETTA")*(IFERROR(ROUND(BANCA!$E8:$E4163,2),0)))-
SUMPRODUCT((IFERROR(MONTH(BANCA!$B8:$B4163)=MONTH(T$2),FALSE))*(BANCA!$G8:$G4163="ACQUISTO DI BICCHIERI VETRO")*(IFERROR(ROUND(BANCA!$E8:$E4163,2),0)))-
SUMPRODUCT((IFERROR(MONTH(BANCA!$B8:$B4163)=MONTH(T$2),FALSE))*(BANCA!$G8:$G4163="CANCELLERIA E STAMPATI")*(IFERROR(ROUND(BANCA!$E8:$E4163,2),0)))-
SUMPRODUCT((IFERROR(MONTH(BANCA!$B8:$B4163)=MONTH(T$2),FALSE))*(BANCA!$G8:$G4163="MATERIALE BAR - IGIENE E PULIZIA")*(IFERROR(ROUND(BANCA!$E8:$E4163,2),0)))</f>
        <v>1464.6000000000001</v>
      </c>
      <c r="U34" s="297"/>
      <c r="V34" s="297" cm="1">
        <f t="array" ref="V34">SUMPRODUCT((IFERROR(MONTH(CASSA!$B7:$B3166)=MONTH(V$2),FALSE))*(CASSA!$G7:$G3166="ACQUISTI DI MATERIALI DI CONSUMO")*(IFERROR(ROUND(CASSA!$F7:$F3166,2),0)))+
SUMPRODUCT((IFERROR(MONTH(CASSA!$B7:$B3166)=MONTH(V$2),FALSE))*(CASSA!$G7:$G3166="ACQUISTO DI BICCHIERI USA &amp; GETTA")*(IFERROR(ROUND(CASSA!$F7:$F3166,2),0)))+
SUMPRODUCT((IFERROR(MONTH(CASSA!$B7:$B3166)=MONTH(V$2),FALSE))*(CASSA!$G7:$G3166="ACQUISTO DI BICCHIERI VETRO")*(IFERROR(ROUND(CASSA!$F7:$F3166,2),0)))+
SUMPRODUCT((IFERROR(MONTH(CASSA!$B7:$B3166)=MONTH(V$2),FALSE))*(CASSA!$G7:$G3166="CANCELLERIA E STAMPATI")*(IFERROR(ROUND(CASSA!$F7:$F3166,2),0)))+
SUMPRODUCT((IFERROR(MONTH(CASSA!$B7:$B3166)=MONTH(V$2),FALSE))*(CASSA!$G7:$G3166="MATERIALE BAR - IGIENE E PULIZIA")*(IFERROR(ROUND(CASSA!$F7:$F3166,2),0)))+
SUMPRODUCT((IFERROR(MONTH(BANCA!$B8:$B4163)=MONTH(V$2),FALSE))*(BANCA!$G8:$G4163="ACQUISTI DI MATERIALI DI CONSUMO")*(IFERROR(ROUND(BANCA!$F8:$F4163,2),0)))+
SUMPRODUCT((IFERROR(MONTH(BANCA!$B8:$B4163)=MONTH(V$2),FALSE))*(BANCA!$G8:$G4163="ACQUISTO DI BICCHIERI USA &amp; GETTA")*(IFERROR(ROUND(BANCA!$F8:$F4163,2),0)))+
SUMPRODUCT((IFERROR(MONTH(BANCA!$B8:$B4163)=MONTH(V$2),FALSE))*(BANCA!$G8:$G4163="ACQUISTO DI BICCHIERI VETRO")*(IFERROR(ROUND(BANCA!$F8:$F4163,2),0)))+
SUMPRODUCT((IFERROR(MONTH(BANCA!$B8:$B4163)=MONTH(V$2),FALSE))*(BANCA!$G8:$G4163="CANCELLERIA E STAMPATI")*(IFERROR(ROUND(BANCA!$F8:$F4163,2),0)))+
SUMPRODUCT((IFERROR(MONTH(BANCA!$B8:$B4163)=MONTH(V$2),FALSE))*(BANCA!$G8:$G4163="MATERIALE BAR - IGIENE E PULIZIA")*(IFERROR(ROUND(BANCA!$F8:$F4163,2),0)))-
SUMPRODUCT((IFERROR(MONTH(CASSA!$B7:$B3166)=MONTH(V$2),FALSE))*(CASSA!$G7:$G3166="ACQUISTI DI MATERIALI DI CONSUMO")*(IFERROR(ROUND(CASSA!$E7:$E3166,2),0)))-
SUMPRODUCT((IFERROR(MONTH(CASSA!$B7:$B3166)=MONTH(V$2),FALSE))*(CASSA!$G7:$G3166="ACQUISTO DI BICCHIERI USA &amp; GETTA")*(IFERROR(ROUND(CASSA!$E7:$E3166,2),0)))-
SUMPRODUCT((IFERROR(MONTH(CASSA!$B7:$B3166)=MONTH(V$2),FALSE))*(CASSA!$G7:$G3166="ACQUISTO DI BICCHIERI VETRO")*(IFERROR(ROUND(CASSA!$E7:$E3166,2),0)))-
SUMPRODUCT((IFERROR(MONTH(CASSA!$B7:$B3166)=MONTH(V$2),FALSE))*(CASSA!$G7:$G3166="CANCELLERIA E STAMPATI")*(IFERROR(ROUND(CASSA!$E7:$E3166,2),0)))-
SUMPRODUCT((IFERROR(MONTH(CASSA!$B7:$B3166)=MONTH(V$2),FALSE))*(CASSA!$G7:$G3166="MATERIALE BAR - IGIENE E PULIZIA")*(IFERROR(ROUND(CASSA!$E7:$E3166,2),0)))-
SUMPRODUCT((IFERROR(MONTH(BANCA!$B8:$B4163)=MONTH(V$2),FALSE))*(BANCA!$G8:$G4163="ACQUISTI DI MATERIALI DI CONSUMO")*(IFERROR(ROUND(BANCA!$E8:$E4163,2),0)))-
SUMPRODUCT((IFERROR(MONTH(BANCA!$B8:$B4163)=MONTH(V$2),FALSE))*(BANCA!$G8:$G4163="ACQUISTO DI BICCHIERI USA &amp; GETTA")*(IFERROR(ROUND(BANCA!$E8:$E4163,2),0)))-
SUMPRODUCT((IFERROR(MONTH(BANCA!$B8:$B4163)=MONTH(V$2),FALSE))*(BANCA!$G8:$G4163="ACQUISTO DI BICCHIERI VETRO")*(IFERROR(ROUND(BANCA!$E8:$E4163,2),0)))-
SUMPRODUCT((IFERROR(MONTH(BANCA!$B8:$B4163)=MONTH(V$2),FALSE))*(BANCA!$G8:$G4163="CANCELLERIA E STAMPATI")*(IFERROR(ROUND(BANCA!$E8:$E4163,2),0)))-
SUMPRODUCT((IFERROR(MONTH(BANCA!$B8:$B4163)=MONTH(V$2),FALSE))*(BANCA!$G8:$G4163="MATERIALE BAR - IGIENE E PULIZIA")*(IFERROR(ROUND(BANCA!$E8:$E4163,2),0)))</f>
        <v>937.98</v>
      </c>
      <c r="W34" s="297"/>
      <c r="X34" s="297" cm="1">
        <f t="array" ref="X34">SUMPRODUCT((IFERROR(MONTH(CASSA!$B7:$B3166)=MONTH(X$2),FALSE))*(CASSA!$G7:$G3166="ACQUISTI DI MATERIALI DI CONSUMO")*(IFERROR(ROUND(CASSA!$F7:$F3166,2),0)))+
SUMPRODUCT((IFERROR(MONTH(CASSA!$B7:$B3166)=MONTH(X$2),FALSE))*(CASSA!$G7:$G3166="ACQUISTO DI BICCHIERI USA &amp; GETTA")*(IFERROR(ROUND(CASSA!$F7:$F3166,2),0)))+
SUMPRODUCT((IFERROR(MONTH(CASSA!$B7:$B3166)=MONTH(X$2),FALSE))*(CASSA!$G7:$G3166="ACQUISTO DI BICCHIERI VETRO")*(IFERROR(ROUND(CASSA!$F7:$F3166,2),0)))+
SUMPRODUCT((IFERROR(MONTH(CASSA!$B7:$B3166)=MONTH(X$2),FALSE))*(CASSA!$G7:$G3166="CANCELLERIA E STAMPATI")*(IFERROR(ROUND(CASSA!$F7:$F3166,2),0)))+
SUMPRODUCT((IFERROR(MONTH(CASSA!$B7:$B3166)=MONTH(X$2),FALSE))*(CASSA!$G7:$G3166="MATERIALE BAR - IGIENE E PULIZIA")*(IFERROR(ROUND(CASSA!$F7:$F3166,2),0)))+
SUMPRODUCT((IFERROR(MONTH(BANCA!$B8:$B4163)=MONTH(X$2),FALSE))*(BANCA!$G8:$G4163="ACQUISTI DI MATERIALI DI CONSUMO")*(IFERROR(ROUND(BANCA!$F8:$F4163,2),0)))+
SUMPRODUCT((IFERROR(MONTH(BANCA!$B8:$B4163)=MONTH(X$2),FALSE))*(BANCA!$G8:$G4163="ACQUISTO DI BICCHIERI USA &amp; GETTA")*(IFERROR(ROUND(BANCA!$F8:$F4163,2),0)))+
SUMPRODUCT((IFERROR(MONTH(BANCA!$B8:$B4163)=MONTH(X$2),FALSE))*(BANCA!$G8:$G4163="ACQUISTO DI BICCHIERI VETRO")*(IFERROR(ROUND(BANCA!$F8:$F4163,2),0)))+
SUMPRODUCT((IFERROR(MONTH(BANCA!$B8:$B4163)=MONTH(X$2),FALSE))*(BANCA!$G8:$G4163="CANCELLERIA E STAMPATI")*(IFERROR(ROUND(BANCA!$F8:$F4163,2),0)))+
SUMPRODUCT((IFERROR(MONTH(BANCA!$B8:$B4163)=MONTH(X$2),FALSE))*(BANCA!$G8:$G4163="MATERIALE BAR - IGIENE E PULIZIA")*(IFERROR(ROUND(BANCA!$F8:$F4163,2),0)))-
SUMPRODUCT((IFERROR(MONTH(CASSA!$B7:$B3166)=MONTH(X$2),FALSE))*(CASSA!$G7:$G3166="ACQUISTI DI MATERIALI DI CONSUMO")*(IFERROR(ROUND(CASSA!$E7:$E3166,2),0)))-
SUMPRODUCT((IFERROR(MONTH(CASSA!$B7:$B3166)=MONTH(X$2),FALSE))*(CASSA!$G7:$G3166="ACQUISTO DI BICCHIERI USA &amp; GETTA")*(IFERROR(ROUND(CASSA!$E7:$E3166,2),0)))-
SUMPRODUCT((IFERROR(MONTH(CASSA!$B7:$B3166)=MONTH(X$2),FALSE))*(CASSA!$G7:$G3166="ACQUISTO DI BICCHIERI VETRO")*(IFERROR(ROUND(CASSA!$E7:$E3166,2),0)))-
SUMPRODUCT((IFERROR(MONTH(CASSA!$B7:$B3166)=MONTH(X$2),FALSE))*(CASSA!$G7:$G3166="CANCELLERIA E STAMPATI")*(IFERROR(ROUND(CASSA!$E7:$E3166,2),0)))-
SUMPRODUCT((IFERROR(MONTH(CASSA!$B7:$B3166)=MONTH(X$2),FALSE))*(CASSA!$G7:$G3166="MATERIALE BAR - IGIENE E PULIZIA")*(IFERROR(ROUND(CASSA!$E7:$E3166,2),0)))-
SUMPRODUCT((IFERROR(MONTH(BANCA!$B8:$B4163)=MONTH(X$2),FALSE))*(BANCA!$G8:$G4163="ACQUISTI DI MATERIALI DI CONSUMO")*(IFERROR(ROUND(BANCA!$E8:$E4163,2),0)))-
SUMPRODUCT((IFERROR(MONTH(BANCA!$B8:$B4163)=MONTH(X$2),FALSE))*(BANCA!$G8:$G4163="ACQUISTO DI BICCHIERI USA &amp; GETTA")*(IFERROR(ROUND(BANCA!$E8:$E4163,2),0)))-
SUMPRODUCT((IFERROR(MONTH(BANCA!$B8:$B4163)=MONTH(X$2),FALSE))*(BANCA!$G8:$G4163="ACQUISTO DI BICCHIERI VETRO")*(IFERROR(ROUND(BANCA!$E8:$E4163,2),0)))-
SUMPRODUCT((IFERROR(MONTH(BANCA!$B8:$B4163)=MONTH(X$2),FALSE))*(BANCA!$G8:$G4163="CANCELLERIA E STAMPATI")*(IFERROR(ROUND(BANCA!$E8:$E4163,2),0)))-
SUMPRODUCT((IFERROR(MONTH(BANCA!$B8:$B4163)=MONTH(X$2),FALSE))*(BANCA!$G8:$G4163="MATERIALE BAR - IGIENE E PULIZIA")*(IFERROR(ROUND(BANCA!$E8:$E4163,2),0)))</f>
        <v>1500.8199999999997</v>
      </c>
      <c r="Y34" s="297"/>
      <c r="Z34" s="297" cm="1">
        <f t="array" ref="Z34">SUMPRODUCT((IFERROR(MONTH(CASSA!$B7:$B3166)=MONTH(Z$2),FALSE))*(CASSA!$G7:$G3166="ACQUISTI DI MATERIALI DI CONSUMO")*(IFERROR(ROUND(CASSA!$F7:$F3166,2),0)))+
SUMPRODUCT((IFERROR(MONTH(CASSA!$B7:$B3166)=MONTH(Z$2),FALSE))*(CASSA!$G7:$G3166="ACQUISTO DI BICCHIERI USA &amp; GETTA")*(IFERROR(ROUND(CASSA!$F7:$F3166,2),0)))+
SUMPRODUCT((IFERROR(MONTH(CASSA!$B7:$B3166)=MONTH(Z$2),FALSE))*(CASSA!$G7:$G3166="ACQUISTO DI BICCHIERI VETRO")*(IFERROR(ROUND(CASSA!$F7:$F3166,2),0)))+
SUMPRODUCT((IFERROR(MONTH(CASSA!$B7:$B3166)=MONTH(Z$2),FALSE))*(CASSA!$G7:$G3166="CANCELLERIA E STAMPATI")*(IFERROR(ROUND(CASSA!$F7:$F3166,2),0)))+
SUMPRODUCT((IFERROR(MONTH(CASSA!$B7:$B3166)=MONTH(Z$2),FALSE))*(CASSA!$G7:$G3166="MATERIALE BAR - IGIENE E PULIZIA")*(IFERROR(ROUND(CASSA!$F7:$F3166,2),0)))+
SUMPRODUCT((IFERROR(MONTH(BANCA!$B8:$B4163)=MONTH(Z$2),FALSE))*(BANCA!$G8:$G4163="ACQUISTI DI MATERIALI DI CONSUMO")*(IFERROR(ROUND(BANCA!$F8:$F4163,2),0)))+
SUMPRODUCT((IFERROR(MONTH(BANCA!$B8:$B4163)=MONTH(Z$2),FALSE))*(BANCA!$G8:$G4163="ACQUISTO DI BICCHIERI USA &amp; GETTA")*(IFERROR(ROUND(BANCA!$F8:$F4163,2),0)))+
SUMPRODUCT((IFERROR(MONTH(BANCA!$B8:$B4163)=MONTH(Z$2),FALSE))*(BANCA!$G8:$G4163="ACQUISTO DI BICCHIERI VETRO")*(IFERROR(ROUND(BANCA!$F8:$F4163,2),0)))+
SUMPRODUCT((IFERROR(MONTH(BANCA!$B8:$B4163)=MONTH(Z$2),FALSE))*(BANCA!$G8:$G4163="CANCELLERIA E STAMPATI")*(IFERROR(ROUND(BANCA!$F8:$F4163,2),0)))+
SUMPRODUCT((IFERROR(MONTH(BANCA!$B8:$B4163)=MONTH(Z$2),FALSE))*(BANCA!$G8:$G4163="MATERIALE BAR - IGIENE E PULIZIA")*(IFERROR(ROUND(BANCA!$F8:$F4163,2),0)))-
SUMPRODUCT((IFERROR(MONTH(CASSA!$B7:$B3166)=MONTH(Z$2),FALSE))*(CASSA!$G7:$G3166="ACQUISTI DI MATERIALI DI CONSUMO")*(IFERROR(ROUND(CASSA!$E7:$E3166,2),0)))-
SUMPRODUCT((IFERROR(MONTH(CASSA!$B7:$B3166)=MONTH(Z$2),FALSE))*(CASSA!$G7:$G3166="ACQUISTO DI BICCHIERI USA &amp; GETTA")*(IFERROR(ROUND(CASSA!$E7:$E3166,2),0)))-
SUMPRODUCT((IFERROR(MONTH(CASSA!$B7:$B3166)=MONTH(Z$2),FALSE))*(CASSA!$G7:$G3166="ACQUISTO DI BICCHIERI VETRO")*(IFERROR(ROUND(CASSA!$E7:$E3166,2),0)))-
SUMPRODUCT((IFERROR(MONTH(CASSA!$B7:$B3166)=MONTH(Z$2),FALSE))*(CASSA!$G7:$G3166="CANCELLERIA E STAMPATI")*(IFERROR(ROUND(CASSA!$E7:$E3166,2),0)))-
SUMPRODUCT((IFERROR(MONTH(CASSA!$B7:$B3166)=MONTH(Z$2),FALSE))*(CASSA!$G7:$G3166="MATERIALE BAR - IGIENE E PULIZIA")*(IFERROR(ROUND(CASSA!$E7:$E3166,2),0)))-
SUMPRODUCT((IFERROR(MONTH(BANCA!$B8:$B4163)=MONTH(Z$2),FALSE))*(BANCA!$G8:$G4163="ACQUISTI DI MATERIALI DI CONSUMO")*(IFERROR(ROUND(BANCA!$E8:$E4163,2),0)))-
SUMPRODUCT((IFERROR(MONTH(BANCA!$B8:$B4163)=MONTH(Z$2),FALSE))*(BANCA!$G8:$G4163="ACQUISTO DI BICCHIERI USA &amp; GETTA")*(IFERROR(ROUND(BANCA!$E8:$E4163,2),0)))-
SUMPRODUCT((IFERROR(MONTH(BANCA!$B8:$B4163)=MONTH(Z$2),FALSE))*(BANCA!$G8:$G4163="ACQUISTO DI BICCHIERI VETRO")*(IFERROR(ROUND(BANCA!$E8:$E4163,2),0)))-
SUMPRODUCT((IFERROR(MONTH(BANCA!$B8:$B4163)=MONTH(Z$2),FALSE))*(BANCA!$G8:$G4163="CANCELLERIA E STAMPATI")*(IFERROR(ROUND(BANCA!$E8:$E4163,2),0)))-
SUMPRODUCT((IFERROR(MONTH(BANCA!$B8:$B4163)=MONTH(Z$2),FALSE))*(BANCA!$G8:$G4163="MATERIALE BAR - IGIENE E PULIZIA")*(IFERROR(ROUND(BANCA!$E8:$E4163,2),0)))</f>
        <v>0</v>
      </c>
      <c r="AA34" s="297"/>
      <c r="AB34" s="769">
        <f>SUM(D34:Z34)</f>
        <v>15259.14</v>
      </c>
      <c r="AC34" s="792" t="s">
        <v>1993</v>
      </c>
      <c r="AD34" s="284"/>
      <c r="AE34" s="284"/>
      <c r="AF34" s="284"/>
      <c r="AG34" s="284"/>
      <c r="AH34" s="284"/>
      <c r="AI34" s="284"/>
      <c r="AJ34" s="284"/>
      <c r="AK34" s="284"/>
      <c r="AL34" s="284"/>
      <c r="AM34" s="284"/>
      <c r="AN34" s="284"/>
    </row>
    <row r="35" spans="2:40" s="232" customFormat="1" ht="18" customHeight="1">
      <c r="B35" s="905" t="s">
        <v>149</v>
      </c>
      <c r="C35" s="905"/>
      <c r="D35" s="297" cm="1">
        <f t="array" ref="D35">SUMPRODUCT((IFERROR(MONTH(CASSA!$B7:$B3166)=MONTH(D$2),FALSE))*(CASSA!$G7:$G3166="Acquisti di beni &lt; 516,46€ ded. 100%")*(IFERROR(ROUND(CASSA!$F7:$F3166,2),0)))+
SUMPRODUCT((IFERROR(MONTH(BANCA!$B8:$B4163)=MONTH(D$2),FALSE))*(BANCA!$G8:$G4163="Acquisti di beni &lt; 516,46€ ded. 100%")*(IFERROR(ROUND(BANCA!$F8:$F4163,2),0)))+
SUMPRODUCT((IFERROR(MONTH(CASSA!$B7:$B3166)=MONTH(D$2),FALSE))*(CASSA!$G7:$G3166="Acquisto attrezzatura varia e minuta")*(IFERROR(ROUND(CASSA!$F7:$F3166,2),0)))+
SUMPRODUCT((IFERROR(MONTH(BANCA!$B8:$B4163)=MONTH(D$2),FALSE))*(BANCA!$G8:$G4163="Acquisto attrezzatura varia e minuta")*(IFERROR(ROUND(BANCA!$F8:$F4163,2),0)))</f>
        <v>590</v>
      </c>
      <c r="E35" s="297"/>
      <c r="F35" s="297" cm="1">
        <f t="array" ref="F35">SUMPRODUCT((IFERROR(MONTH(CASSA!$B7:$B3166)=MONTH(F$2),FALSE))*(CASSA!$G7:$G3166="Acquisti di beni &lt; 516,46€ ded. 100%")*(IFERROR(ROUND(CASSA!$F7:$F3166,2),0)))+
SUMPRODUCT((IFERROR(MONTH(BANCA!$B8:$B4163)=MONTH(F$2),FALSE))*(BANCA!$G8:$G4163="Acquisti di beni &lt; 516,46€ ded. 100%")*(IFERROR(ROUND(BANCA!$F8:$F4163,2),0)))+
SUMPRODUCT((IFERROR(MONTH(CASSA!$B7:$B3166)=MONTH(F$2),FALSE))*(CASSA!$G7:$G3166="Acquisto attrezzatura varia e minuta")*(IFERROR(ROUND(CASSA!$F7:$F3166,2),0)))+
SUMPRODUCT((IFERROR(MONTH(BANCA!$B8:$B4163)=MONTH(F$2),FALSE))*(BANCA!$G8:$G4163="Acquisto attrezzatura varia e minuta")*(IFERROR(ROUND(BANCA!$F8:$F4163,2),0)))</f>
        <v>428.87999999999994</v>
      </c>
      <c r="G35" s="297"/>
      <c r="H35" s="297" cm="1">
        <f t="array" ref="H35">SUMPRODUCT((IFERROR(MONTH(CASSA!$B7:$B3166)=MONTH(H$2),FALSE))*(CASSA!$G7:$G3166="Acquisti di beni &lt; 516,46€ ded. 100%")*(IFERROR(ROUND(CASSA!$F7:$F3166,2),0)))+
SUMPRODUCT((IFERROR(MONTH(BANCA!$B8:$B4163)=MONTH(H$2),FALSE))*(BANCA!$G8:$G4163="Acquisti di beni &lt; 516,46€ ded. 100%")*(IFERROR(ROUND(BANCA!$F8:$F4163,2),0)))+
SUMPRODUCT((IFERROR(MONTH(CASSA!$B7:$B3166)=MONTH(H$2),FALSE))*(CASSA!$G7:$G3166="Acquisto attrezzatura varia e minuta")*(IFERROR(ROUND(CASSA!$F7:$F3166,2),0)))+
SUMPRODUCT((IFERROR(MONTH(BANCA!$B8:$B4163)=MONTH(H$2),FALSE))*(BANCA!$G8:$G4163="Acquisto attrezzatura varia e minuta")*(IFERROR(ROUND(BANCA!$F8:$F4163,2),0)))</f>
        <v>1808.8199999999997</v>
      </c>
      <c r="I35" s="297"/>
      <c r="J35" s="297" cm="1">
        <f t="array" ref="J35">SUMPRODUCT((IFERROR(MONTH(CASSA!$B7:$B3166)=MONTH(J$2),FALSE))*(CASSA!$G7:$G3166="Acquisti di beni &lt; 516,46€ ded. 100%")*(IFERROR(ROUND(CASSA!$F7:$F3166,2),0)))+
SUMPRODUCT((IFERROR(MONTH(BANCA!$B8:$B4163)=MONTH(J$2),FALSE))*(BANCA!$G8:$G4163="Acquisti di beni &lt; 516,46€ ded. 100%")*(IFERROR(ROUND(BANCA!$F8:$F4163,2),0)))+
SUMPRODUCT((IFERROR(MONTH(CASSA!$B7:$B3166)=MONTH(J$2),FALSE))*(CASSA!$G7:$G3166="Acquisto attrezzatura varia e minuta")*(IFERROR(ROUND(CASSA!$F7:$F3166,2),0)))+
SUMPRODUCT((IFERROR(MONTH(BANCA!$B8:$B4163)=MONTH(J$2),FALSE))*(BANCA!$G8:$G4163="Acquisto attrezzatura varia e minuta")*(IFERROR(ROUND(BANCA!$F8:$F4163,2),0)))</f>
        <v>538.19000000000005</v>
      </c>
      <c r="K35" s="297"/>
      <c r="L35" s="297" cm="1">
        <f t="array" ref="L35">SUMPRODUCT((IFERROR(MONTH(CASSA!$B7:$B3166)=MONTH(L$2),FALSE))*(CASSA!$G7:$G3166="Acquisti di beni &lt; 516,46€ ded. 100%")*(IFERROR(ROUND(CASSA!$F7:$F3166,2),0)))+
SUMPRODUCT((IFERROR(MONTH(BANCA!$B8:$B4163)=MONTH(L$2),FALSE))*(BANCA!$G8:$G4163="Acquisti di beni &lt; 516,46€ ded. 100%")*(IFERROR(ROUND(BANCA!$F8:$F4163,2),0)))+
SUMPRODUCT((IFERROR(MONTH(CASSA!$B7:$B3166)=MONTH(L$2),FALSE))*(CASSA!$G7:$G3166="Acquisto attrezzatura varia e minuta")*(IFERROR(ROUND(CASSA!$F7:$F3166,2),0)))+
SUMPRODUCT((IFERROR(MONTH(BANCA!$B8:$B4163)=MONTH(L$2),FALSE))*(BANCA!$G8:$G4163="Acquisto attrezzatura varia e minuta")*(IFERROR(ROUND(BANCA!$F8:$F4163,2),0)))</f>
        <v>1702.76</v>
      </c>
      <c r="M35" s="297"/>
      <c r="N35" s="297" cm="1">
        <f t="array" ref="N35">SUMPRODUCT((IFERROR(MONTH(CASSA!$B7:$B3166)=MONTH(N$2),FALSE))*(CASSA!$G7:$G3166="Acquisti di beni &lt; 516,46€ ded. 100%")*(IFERROR(ROUND(CASSA!$F7:$F3166,2),0)))+
SUMPRODUCT((IFERROR(MONTH(BANCA!$B8:$B4163)=MONTH(N$2),FALSE))*(BANCA!$G8:$G4163="Acquisti di beni &lt; 516,46€ ded. 100%")*(IFERROR(ROUND(BANCA!$F8:$F4163,2),0)))+
SUMPRODUCT((IFERROR(MONTH(CASSA!$B7:$B3166)=MONTH(N$2),FALSE))*(CASSA!$G7:$G3166="Acquisto attrezzatura varia e minuta")*(IFERROR(ROUND(CASSA!$F7:$F3166,2),0)))+
SUMPRODUCT((IFERROR(MONTH(BANCA!$B8:$B4163)=MONTH(N$2),FALSE))*(BANCA!$G8:$G4163="Acquisto attrezzatura varia e minuta")*(IFERROR(ROUND(BANCA!$F8:$F4163,2),0)))</f>
        <v>833.06</v>
      </c>
      <c r="O35" s="297"/>
      <c r="P35" s="297" cm="1">
        <f t="array" ref="P35">SUMPRODUCT((IFERROR(MONTH(CASSA!$B7:$B3166)=MONTH(P$2),FALSE))*(CASSA!$G7:$G3166="Acquisti di beni &lt; 516,46€ ded. 100%")*(IFERROR(ROUND(CASSA!$F7:$F3166,2),0)))+
SUMPRODUCT((IFERROR(MONTH(BANCA!$B8:$B4163)=MONTH(P$2),FALSE))*(BANCA!$G8:$G4163="Acquisti di beni &lt; 516,46€ ded. 100%")*(IFERROR(ROUND(BANCA!$F8:$F4163,2),0)))+
SUMPRODUCT((IFERROR(MONTH(CASSA!$B7:$B3166)=MONTH(P$2),FALSE))*(CASSA!$G7:$G3166="Acquisto attrezzatura varia e minuta")*(IFERROR(ROUND(CASSA!$F7:$F3166,2),0)))+
SUMPRODUCT((IFERROR(MONTH(BANCA!$B8:$B4163)=MONTH(P$2),FALSE))*(BANCA!$G8:$G4163="Acquisto attrezzatura varia e minuta")*(IFERROR(ROUND(BANCA!$F8:$F4163,2),0)))</f>
        <v>1430.77</v>
      </c>
      <c r="Q35" s="297"/>
      <c r="R35" s="297" cm="1">
        <f t="array" ref="R35">SUMPRODUCT((IFERROR(MONTH(CASSA!$B7:$B3166)=MONTH(R$2),FALSE))*(CASSA!$G7:$G3166="Acquisti di beni &lt; 516,46€ ded. 100%")*(IFERROR(ROUND(CASSA!$F7:$F3166,2),0)))+
SUMPRODUCT((IFERROR(MONTH(BANCA!$B8:$B4163)=MONTH(R$2),FALSE))*(BANCA!$G8:$G4163="Acquisti di beni &lt; 516,46€ ded. 100%")*(IFERROR(ROUND(BANCA!$F8:$F4163,2),0)))+
SUMPRODUCT((IFERROR(MONTH(CASSA!$B7:$B3166)=MONTH(R$2),FALSE))*(CASSA!$G7:$G3166="Acquisto attrezzatura varia e minuta")*(IFERROR(ROUND(CASSA!$F7:$F3166,2),0)))+
SUMPRODUCT((IFERROR(MONTH(BANCA!$B8:$B4163)=MONTH(R$2),FALSE))*(BANCA!$G8:$G4163="Acquisto attrezzatura varia e minuta")*(IFERROR(ROUND(BANCA!$F8:$F4163,2),0)))</f>
        <v>1303.3400000000001</v>
      </c>
      <c r="S35" s="297"/>
      <c r="T35" s="297" cm="1">
        <f t="array" ref="T35">SUMPRODUCT((IFERROR(MONTH(CASSA!$B7:$B3166)=MONTH(T$2),FALSE))*(CASSA!$G7:$G3166="Acquisti di beni &lt; 516,46€ ded. 100%")*(IFERROR(ROUND(CASSA!$F7:$F3166,2),0)))+
SUMPRODUCT((IFERROR(MONTH(BANCA!$B8:$B4163)=MONTH(T$2),FALSE))*(BANCA!$G8:$G4163="Acquisti di beni &lt; 516,46€ ded. 100%")*(IFERROR(ROUND(BANCA!$F8:$F4163,2),0)))+
SUMPRODUCT((IFERROR(MONTH(CASSA!$B7:$B3166)=MONTH(T$2),FALSE))*(CASSA!$G7:$G3166="Acquisto attrezzatura varia e minuta")*(IFERROR(ROUND(CASSA!$F7:$F3166,2),0)))+
SUMPRODUCT((IFERROR(MONTH(BANCA!$B8:$B4163)=MONTH(T$2),FALSE))*(BANCA!$G8:$G4163="Acquisto attrezzatura varia e minuta")*(IFERROR(ROUND(BANCA!$F8:$F4163,2),0)))</f>
        <v>745.91</v>
      </c>
      <c r="U35" s="297"/>
      <c r="V35" s="297" cm="1">
        <f t="array" ref="V35">SUMPRODUCT((IFERROR(MONTH(CASSA!$B7:$B3166)=MONTH(V$2),FALSE))*(CASSA!$G7:$G3166="Acquisti di beni &lt; 516,46€ ded. 100%")*(IFERROR(ROUND(CASSA!$F7:$F3166,2),0)))+
SUMPRODUCT((IFERROR(MONTH(BANCA!$B8:$B4163)=MONTH(V$2),FALSE))*(BANCA!$G8:$G4163="Acquisti di beni &lt; 516,46€ ded. 100%")*(IFERROR(ROUND(BANCA!$F8:$F4163,2),0)))+
SUMPRODUCT((IFERROR(MONTH(CASSA!$B7:$B3166)=MONTH(V$2),FALSE))*(CASSA!$G7:$G3166="Acquisto attrezzatura varia e minuta")*(IFERROR(ROUND(CASSA!$F7:$F3166,2),0)))+
SUMPRODUCT((IFERROR(MONTH(BANCA!$B8:$B4163)=MONTH(V$2),FALSE))*(BANCA!$G8:$G4163="Acquisto attrezzatura varia e minuta")*(IFERROR(ROUND(BANCA!$F8:$F4163,2),0)))</f>
        <v>1104.31</v>
      </c>
      <c r="W35" s="297"/>
      <c r="X35" s="297" cm="1">
        <f t="array" ref="X35">SUMPRODUCT((IFERROR(MONTH(CASSA!$B7:$B3166)=MONTH(X$2),FALSE))*(CASSA!$G7:$G3166="Acquisti di beni &lt; 516,46€ ded. 100%")*(IFERROR(ROUND(CASSA!$F7:$F3166,2),0)))+
SUMPRODUCT((IFERROR(MONTH(BANCA!$B8:$B4163)=MONTH(X$2),FALSE))*(BANCA!$G8:$G4163="Acquisti di beni &lt; 516,46€ ded. 100%")*(IFERROR(ROUND(BANCA!$F8:$F4163,2),0)))+
SUMPRODUCT((IFERROR(MONTH(CASSA!$B7:$B3166)=MONTH(X$2),FALSE))*(CASSA!$G7:$G3166="Acquisto attrezzatura varia e minuta")*(IFERROR(ROUND(CASSA!$F7:$F3166,2),0)))+
SUMPRODUCT((IFERROR(MONTH(BANCA!$B8:$B4163)=MONTH(X$2),FALSE))*(BANCA!$G8:$G4163="Acquisto attrezzatura varia e minuta")*(IFERROR(ROUND(BANCA!$F8:$F4163,2),0)))</f>
        <v>1060.5</v>
      </c>
      <c r="Y35" s="297"/>
      <c r="Z35" s="297" cm="1">
        <f t="array" ref="Z35">SUMPRODUCT((IFERROR(MONTH(CASSA!$B7:$B3166)=MONTH(Z$2),FALSE))*(CASSA!$G7:$G3166="Acquisti di beni &lt; 516,46€ ded. 100%")*(IFERROR(ROUND(CASSA!$F7:$F3166,2),0)))+
SUMPRODUCT((IFERROR(MONTH(BANCA!$B8:$B4163)=MONTH(Z$2),FALSE))*(BANCA!$G8:$G4163="Acquisti di beni &lt; 516,46€ ded. 100%")*(IFERROR(ROUND(BANCA!$F8:$F4163,2),0)))+
SUMPRODUCT((IFERROR(MONTH(CASSA!$B7:$B3166)=MONTH(Z$2),FALSE))*(CASSA!$G7:$G3166="Acquisto attrezzatura varia e minuta")*(IFERROR(ROUND(CASSA!$F7:$F3166,2),0)))+
SUMPRODUCT((IFERROR(MONTH(BANCA!$B8:$B4163)=MONTH(Z$2),FALSE))*(BANCA!$G8:$G4163="Acquisto attrezzatura varia e minuta")*(IFERROR(ROUND(BANCA!$F8:$F4163,2),0)))</f>
        <v>534.80999999999995</v>
      </c>
      <c r="AA35" s="297"/>
      <c r="AB35" s="769">
        <f>SUM(D35:Z35)</f>
        <v>12081.349999999999</v>
      </c>
      <c r="AC35" s="792" t="s">
        <v>1993</v>
      </c>
      <c r="AD35" s="284"/>
      <c r="AE35" s="284"/>
      <c r="AF35" s="284"/>
      <c r="AG35" s="284"/>
      <c r="AH35" s="284"/>
      <c r="AI35" s="284"/>
      <c r="AJ35" s="284"/>
      <c r="AK35" s="284"/>
      <c r="AL35" s="284"/>
      <c r="AM35" s="284"/>
      <c r="AN35" s="284"/>
    </row>
    <row r="36" spans="2:40">
      <c r="B36" s="300"/>
      <c r="C36" s="300"/>
      <c r="D36" s="785">
        <f>SUM(D33:D33)/D5</f>
        <v>0.19115830356580613</v>
      </c>
      <c r="E36" s="785"/>
      <c r="F36" s="785">
        <f t="shared" ref="F36:Z36" si="17">SUM(F33:F34)/F5</f>
        <v>0.32342646048500862</v>
      </c>
      <c r="G36" s="785"/>
      <c r="H36" s="785">
        <f t="shared" si="17"/>
        <v>0.5900583186809859</v>
      </c>
      <c r="I36" s="785"/>
      <c r="J36" s="785">
        <f t="shared" si="17"/>
        <v>0.53693636787957211</v>
      </c>
      <c r="K36" s="785"/>
      <c r="L36" s="785">
        <f t="shared" si="17"/>
        <v>0.62606700233956569</v>
      </c>
      <c r="M36" s="785"/>
      <c r="N36" s="785">
        <f t="shared" si="17"/>
        <v>0.4224961196832081</v>
      </c>
      <c r="O36" s="785"/>
      <c r="P36" s="785">
        <f t="shared" si="17"/>
        <v>0.51816442483865421</v>
      </c>
      <c r="Q36" s="785"/>
      <c r="R36" s="785">
        <f t="shared" si="17"/>
        <v>0.34445224663977925</v>
      </c>
      <c r="S36" s="785"/>
      <c r="T36" s="785">
        <f t="shared" si="17"/>
        <v>0.47993616034611247</v>
      </c>
      <c r="U36" s="785"/>
      <c r="V36" s="785">
        <f t="shared" si="17"/>
        <v>0.52755149470756013</v>
      </c>
      <c r="W36" s="785"/>
      <c r="X36" s="785">
        <f t="shared" si="17"/>
        <v>0.2392879891110436</v>
      </c>
      <c r="Y36" s="785"/>
      <c r="Z36" s="785">
        <f t="shared" si="17"/>
        <v>-9.0205502776407126E-2</v>
      </c>
      <c r="AA36" s="785"/>
      <c r="AB36" s="771">
        <f>SUM(AB33:AB35)/AB5</f>
        <v>0.4203167462064033</v>
      </c>
    </row>
    <row r="37" spans="2:40" s="232" customFormat="1" ht="24" customHeight="1">
      <c r="B37" s="906" t="s">
        <v>1863</v>
      </c>
      <c r="C37" s="906"/>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c r="AB37" s="743"/>
      <c r="AC37" s="284"/>
      <c r="AD37" s="284"/>
      <c r="AE37" s="284"/>
      <c r="AF37" s="284"/>
      <c r="AG37" s="284"/>
      <c r="AH37" s="284"/>
      <c r="AI37" s="284"/>
      <c r="AJ37" s="284"/>
      <c r="AK37" s="284"/>
      <c r="AL37" s="284"/>
      <c r="AM37" s="284"/>
      <c r="AN37" s="284"/>
    </row>
    <row r="38" spans="2:40" s="232" customFormat="1" ht="18" customHeight="1">
      <c r="B38" s="907" t="s">
        <v>1864</v>
      </c>
      <c r="C38" s="907"/>
      <c r="D38" s="297" cm="1">
        <f t="array" ref="D38">SUMPRODUCT((IFERROR(MONTH(CASSA!$B7:$B3166)=MONTH(D$2),FALSE))*(CASSA!$G7:$G3166="Affitti e locazioni immobili - UFFICIO")*(IFERROR(ROUND(CASSA!$F7:$F3166,2),0)))+
SUMPRODUCT((IFERROR(MONTH(CASSA!$B7:$B3166)=MONTH(D$2),FALSE))*(CASSA!$G7:$G3166=" Somministrazione energia elettrica - UFFICIO")*(IFERROR(ROUND(CASSA!$F7:$F3166,2),0)))+
SUMPRODUCT((IFERROR(MONTH(BANCA!$B8:$B4163)=MONTH(D$2),FALSE))*(BANCA!$G8:$G4163="Affitti e locazioni immobili - UFFICIO")*(IFERROR(ROUND(BANCA!$F8:$F4163,2),0)))+
SUMPRODUCT((IFERROR(MONTH(BANCA!$B8:$B4163)=MONTH(D$2),FALSE))*(BANCA!$G8:$G4163=" Somministrazione energia elettrica - UFFICIO")*(IFERROR(ROUND(BANCA!$F8:$F4163,2),0)))-SUMPRODUCT((IFERROR(MONTH(CASSA!$B7:$B3166)=MONTH(D$2),FALSE))*(CASSA!$G7:$G3166="Affitti e locazioni immobili - UFFICIO")*(IFERROR(ROUND(CASSA!$E7:$E3166,2),0)))-
SUMPRODUCT((IFERROR(MONTH(CASSA!$B7:$B3166)=MONTH(D$2),FALSE))*(CASSA!$G7:$G3166=" Somministrazione energia elettrica - UFFICIO")*(IFERROR(ROUND(CASSA!$E7:$E3166,2),0)))-
SUMPRODUCT((IFERROR(MONTH(BANCA!$B8:$B4163)=MONTH(D$2),FALSE))*(BANCA!$G8:$G4163="Affitti e locazioni immobili - UFFICIO")*(IFERROR(ROUND(BANCA!$E8:$E4163,2),0)))-
SUMPRODUCT((IFERROR(MONTH(BANCA!$B8:$B4163)=MONTH(D$2),FALSE))*(BANCA!$G8:$G4163=" Somministrazione energia elettrica - UFFICIO")*(IFERROR(ROUND(BANCA!$E8:$E4163,2),0)))</f>
        <v>0</v>
      </c>
      <c r="E38" s="297"/>
      <c r="F38" s="297" cm="1">
        <f t="array" ref="F38">SUMPRODUCT((IFERROR(MONTH(CASSA!$B7:$B3166)=MONTH(F$2),FALSE))*(CASSA!$G7:$G3166="Affitti e locazioni immobili - UFFICIO")*(IFERROR(ROUND(CASSA!$F7:$F3166,2),0)))+
SUMPRODUCT((IFERROR(MONTH(CASSA!$B7:$B3166)=MONTH(F$2),FALSE))*(CASSA!$G7:$G3166=" Somministrazione energia elettrica - UFFICIO")*(IFERROR(ROUND(CASSA!$F7:$F3166,2),0)))+
SUMPRODUCT((IFERROR(MONTH(BANCA!$B8:$B4163)=MONTH(F$2),FALSE))*(BANCA!$G8:$G4163="Affitti e locazioni immobili - UFFICIO")*(IFERROR(ROUND(BANCA!$F8:$F4163,2),0)))+
SUMPRODUCT((IFERROR(MONTH(BANCA!$B8:$B4163)=MONTH(F$2),FALSE))*(BANCA!$G8:$G4163=" Somministrazione energia elettrica - UFFICIO")*(IFERROR(ROUND(BANCA!$F8:$F4163,2),0)))-SUMPRODUCT((IFERROR(MONTH(CASSA!$B7:$B3166)=MONTH(F$2),FALSE))*(CASSA!$G7:$G3166="Affitti e locazioni immobili - UFFICIO")*(IFERROR(ROUND(CASSA!$E7:$E3166,2),0)))-
SUMPRODUCT((IFERROR(MONTH(CASSA!$B7:$B3166)=MONTH(F$2),FALSE))*(CASSA!$G7:$G3166=" Somministrazione energia elettrica - UFFICIO")*(IFERROR(ROUND(CASSA!$E7:$E3166,2),0)))-
SUMPRODUCT((IFERROR(MONTH(BANCA!$B8:$B4163)=MONTH(F$2),FALSE))*(BANCA!$G8:$G4163="Affitti e locazioni immobili - UFFICIO")*(IFERROR(ROUND(BANCA!$E8:$E4163,2),0)))-
SUMPRODUCT((IFERROR(MONTH(BANCA!$B8:$B4163)=MONTH(F$2),FALSE))*(BANCA!$G8:$G4163=" Somministrazione energia elettrica - UFFICIO")*(IFERROR(ROUND(BANCA!$E8:$E4163,2),0)))</f>
        <v>0</v>
      </c>
      <c r="G38" s="297"/>
      <c r="H38" s="297" cm="1">
        <f t="array" ref="H38">SUMPRODUCT((IFERROR(MONTH(CASSA!$B7:$B3166)=MONTH(H$2),FALSE))*(CASSA!$G7:$G3166="Affitti e locazioni immobili - UFFICIO")*(IFERROR(ROUND(CASSA!$F7:$F3166,2),0)))+
SUMPRODUCT((IFERROR(MONTH(CASSA!$B7:$B3166)=MONTH(H$2),FALSE))*(CASSA!$G7:$G3166=" Somministrazione energia elettrica - UFFICIO")*(IFERROR(ROUND(CASSA!$F7:$F3166,2),0)))+
SUMPRODUCT((IFERROR(MONTH(BANCA!$B8:$B4163)=MONTH(H$2),FALSE))*(BANCA!$G8:$G4163="Affitti e locazioni immobili - UFFICIO")*(IFERROR(ROUND(BANCA!$F8:$F4163,2),0)))+
SUMPRODUCT((IFERROR(MONTH(BANCA!$B8:$B4163)=MONTH(H$2),FALSE))*(BANCA!$G8:$G4163=" Somministrazione energia elettrica - UFFICIO")*(IFERROR(ROUND(BANCA!$F8:$F4163,2),0)))-SUMPRODUCT((IFERROR(MONTH(CASSA!$B7:$B3166)=MONTH(H$2),FALSE))*(CASSA!$G7:$G3166="Affitti e locazioni immobili - UFFICIO")*(IFERROR(ROUND(CASSA!$E7:$E3166,2),0)))-
SUMPRODUCT((IFERROR(MONTH(CASSA!$B7:$B3166)=MONTH(H$2),FALSE))*(CASSA!$G7:$G3166=" Somministrazione energia elettrica - UFFICIO")*(IFERROR(ROUND(CASSA!$E7:$E3166,2),0)))-
SUMPRODUCT((IFERROR(MONTH(BANCA!$B8:$B4163)=MONTH(H$2),FALSE))*(BANCA!$G8:$G4163="Affitti e locazioni immobili - UFFICIO")*(IFERROR(ROUND(BANCA!$E8:$E4163,2),0)))-
SUMPRODUCT((IFERROR(MONTH(BANCA!$B8:$B4163)=MONTH(H$2),FALSE))*(BANCA!$G8:$G4163=" Somministrazione energia elettrica - UFFICIO")*(IFERROR(ROUND(BANCA!$E8:$E4163,2),0)))</f>
        <v>0</v>
      </c>
      <c r="I38" s="297"/>
      <c r="J38" s="297" cm="1">
        <f t="array" ref="J38">SUMPRODUCT((IFERROR(MONTH(CASSA!$B7:$B3166)=MONTH(J$2),FALSE))*(CASSA!$G7:$G3166="Affitti e locazioni immobili - UFFICIO")*(IFERROR(ROUND(CASSA!$F7:$F3166,2),0)))+
SUMPRODUCT((IFERROR(MONTH(CASSA!$B7:$B3166)=MONTH(J$2),FALSE))*(CASSA!$G7:$G3166=" Somministrazione energia elettrica - UFFICIO")*(IFERROR(ROUND(CASSA!$F7:$F3166,2),0)))+
SUMPRODUCT((IFERROR(MONTH(BANCA!$B8:$B4163)=MONTH(J$2),FALSE))*(BANCA!$G8:$G4163="Affitti e locazioni immobili - UFFICIO")*(IFERROR(ROUND(BANCA!$F8:$F4163,2),0)))+
SUMPRODUCT((IFERROR(MONTH(BANCA!$B8:$B4163)=MONTH(J$2),FALSE))*(BANCA!$G8:$G4163=" Somministrazione energia elettrica - UFFICIO")*(IFERROR(ROUND(BANCA!$F8:$F4163,2),0)))-SUMPRODUCT((IFERROR(MONTH(CASSA!$B7:$B3166)=MONTH(J$2),FALSE))*(CASSA!$G7:$G3166="Affitti e locazioni immobili - UFFICIO")*(IFERROR(ROUND(CASSA!$E7:$E3166,2),0)))-
SUMPRODUCT((IFERROR(MONTH(CASSA!$B7:$B3166)=MONTH(J$2),FALSE))*(CASSA!$G7:$G3166=" Somministrazione energia elettrica - UFFICIO")*(IFERROR(ROUND(CASSA!$E7:$E3166,2),0)))-
SUMPRODUCT((IFERROR(MONTH(BANCA!$B8:$B4163)=MONTH(J$2),FALSE))*(BANCA!$G8:$G4163="Affitti e locazioni immobili - UFFICIO")*(IFERROR(ROUND(BANCA!$E8:$E4163,2),0)))-
SUMPRODUCT((IFERROR(MONTH(BANCA!$B8:$B4163)=MONTH(J$2),FALSE))*(BANCA!$G8:$G4163=" Somministrazione energia elettrica - UFFICIO")*(IFERROR(ROUND(BANCA!$E8:$E4163,2),0)))</f>
        <v>0</v>
      </c>
      <c r="K38" s="297"/>
      <c r="L38" s="297" cm="1">
        <f t="array" ref="L38">SUMPRODUCT((IFERROR(MONTH(CASSA!$B7:$B3166)=MONTH(L$2),FALSE))*(CASSA!$G7:$G3166="Affitti e locazioni immobili - UFFICIO")*(IFERROR(ROUND(CASSA!$F7:$F3166,2),0)))+
SUMPRODUCT((IFERROR(MONTH(CASSA!$B7:$B3166)=MONTH(L$2),FALSE))*(CASSA!$G7:$G3166=" Somministrazione energia elettrica - UFFICIO")*(IFERROR(ROUND(CASSA!$F7:$F3166,2),0)))+
SUMPRODUCT((IFERROR(MONTH(BANCA!$B8:$B4163)=MONTH(L$2),FALSE))*(BANCA!$G8:$G4163="Affitti e locazioni immobili - UFFICIO")*(IFERROR(ROUND(BANCA!$F8:$F4163,2),0)))+
SUMPRODUCT((IFERROR(MONTH(BANCA!$B8:$B4163)=MONTH(L$2),FALSE))*(BANCA!$G8:$G4163=" Somministrazione energia elettrica - UFFICIO")*(IFERROR(ROUND(BANCA!$F8:$F4163,2),0)))-SUMPRODUCT((IFERROR(MONTH(CASSA!$B7:$B3166)=MONTH(L$2),FALSE))*(CASSA!$G7:$G3166="Affitti e locazioni immobili - UFFICIO")*(IFERROR(ROUND(CASSA!$E7:$E3166,2),0)))-
SUMPRODUCT((IFERROR(MONTH(CASSA!$B7:$B3166)=MONTH(L$2),FALSE))*(CASSA!$G7:$G3166=" Somministrazione energia elettrica - UFFICIO")*(IFERROR(ROUND(CASSA!$E7:$E3166,2),0)))-
SUMPRODUCT((IFERROR(MONTH(BANCA!$B8:$B4163)=MONTH(L$2),FALSE))*(BANCA!$G8:$G4163="Affitti e locazioni immobili - UFFICIO")*(IFERROR(ROUND(BANCA!$E8:$E4163,2),0)))-
SUMPRODUCT((IFERROR(MONTH(BANCA!$B8:$B4163)=MONTH(L$2),FALSE))*(BANCA!$G8:$G4163=" Somministrazione energia elettrica - UFFICIO")*(IFERROR(ROUND(BANCA!$E8:$E4163,2),0)))</f>
        <v>0</v>
      </c>
      <c r="M38" s="297"/>
      <c r="N38" s="297" cm="1">
        <f t="array" ref="N38">SUMPRODUCT((IFERROR(MONTH(CASSA!$B7:$B3166)=MONTH(N$2),FALSE))*(CASSA!$G7:$G3166="Affitti e locazioni immobili - UFFICIO")*(IFERROR(ROUND(CASSA!$F7:$F3166,2),0)))+
SUMPRODUCT((IFERROR(MONTH(CASSA!$B7:$B3166)=MONTH(N$2),FALSE))*(CASSA!$G7:$G3166=" Somministrazione energia elettrica - UFFICIO")*(IFERROR(ROUND(CASSA!$F7:$F3166,2),0)))+
SUMPRODUCT((IFERROR(MONTH(BANCA!$B8:$B4163)=MONTH(N$2),FALSE))*(BANCA!$G8:$G4163="Affitti e locazioni immobili - UFFICIO")*(IFERROR(ROUND(BANCA!$F8:$F4163,2),0)))+
SUMPRODUCT((IFERROR(MONTH(BANCA!$B8:$B4163)=MONTH(N$2),FALSE))*(BANCA!$G8:$G4163=" Somministrazione energia elettrica - UFFICIO")*(IFERROR(ROUND(BANCA!$F8:$F4163,2),0)))-SUMPRODUCT((IFERROR(MONTH(CASSA!$B7:$B3166)=MONTH(N$2),FALSE))*(CASSA!$G7:$G3166="Affitti e locazioni immobili - UFFICIO")*(IFERROR(ROUND(CASSA!$E7:$E3166,2),0)))-
SUMPRODUCT((IFERROR(MONTH(CASSA!$B7:$B3166)=MONTH(N$2),FALSE))*(CASSA!$G7:$G3166=" Somministrazione energia elettrica - UFFICIO")*(IFERROR(ROUND(CASSA!$E7:$E3166,2),0)))-
SUMPRODUCT((IFERROR(MONTH(BANCA!$B8:$B4163)=MONTH(N$2),FALSE))*(BANCA!$G8:$G4163="Affitti e locazioni immobili - UFFICIO")*(IFERROR(ROUND(BANCA!$E8:$E4163,2),0)))-
SUMPRODUCT((IFERROR(MONTH(BANCA!$B8:$B4163)=MONTH(N$2),FALSE))*(BANCA!$G8:$G4163=" Somministrazione energia elettrica - UFFICIO")*(IFERROR(ROUND(BANCA!$E8:$E4163,2),0)))</f>
        <v>0</v>
      </c>
      <c r="O38" s="297"/>
      <c r="P38" s="297" cm="1">
        <f t="array" ref="P38">SUMPRODUCT((IFERROR(MONTH(CASSA!$B7:$B3166)=MONTH(P$2),FALSE))*(CASSA!$G7:$G3166="Affitti e locazioni immobili - UFFICIO")*(IFERROR(ROUND(CASSA!$F7:$F3166,2),0)))+
SUMPRODUCT((IFERROR(MONTH(CASSA!$B7:$B3166)=MONTH(P$2),FALSE))*(CASSA!$G7:$G3166=" Somministrazione energia elettrica - UFFICIO")*(IFERROR(ROUND(CASSA!$F7:$F3166,2),0)))+
SUMPRODUCT((IFERROR(MONTH(BANCA!$B8:$B4163)=MONTH(P$2),FALSE))*(BANCA!$G8:$G4163="Affitti e locazioni immobili - UFFICIO")*(IFERROR(ROUND(BANCA!$F8:$F4163,2),0)))+
SUMPRODUCT((IFERROR(MONTH(BANCA!$B8:$B4163)=MONTH(P$2),FALSE))*(BANCA!$G8:$G4163=" Somministrazione energia elettrica - UFFICIO")*(IFERROR(ROUND(BANCA!$F8:$F4163,2),0)))-SUMPRODUCT((IFERROR(MONTH(CASSA!$B7:$B3166)=MONTH(P$2),FALSE))*(CASSA!$G7:$G3166="Affitti e locazioni immobili - UFFICIO")*(IFERROR(ROUND(CASSA!$E7:$E3166,2),0)))-
SUMPRODUCT((IFERROR(MONTH(CASSA!$B7:$B3166)=MONTH(P$2),FALSE))*(CASSA!$G7:$G3166=" Somministrazione energia elettrica - UFFICIO")*(IFERROR(ROUND(CASSA!$E7:$E3166,2),0)))-
SUMPRODUCT((IFERROR(MONTH(BANCA!$B8:$B4163)=MONTH(P$2),FALSE))*(BANCA!$G8:$G4163="Affitti e locazioni immobili - UFFICIO")*(IFERROR(ROUND(BANCA!$E8:$E4163,2),0)))-
SUMPRODUCT((IFERROR(MONTH(BANCA!$B8:$B4163)=MONTH(P$2),FALSE))*(BANCA!$G8:$G4163=" Somministrazione energia elettrica - UFFICIO")*(IFERROR(ROUND(BANCA!$E8:$E4163,2),0)))</f>
        <v>442.5</v>
      </c>
      <c r="Q38" s="297"/>
      <c r="R38" s="297" cm="1">
        <f t="array" ref="R38">SUMPRODUCT((IFERROR(MONTH(CASSA!$B7:$B3166)=MONTH(R$2),FALSE))*(CASSA!$G7:$G3166="Affitti e locazioni immobili - UFFICIO")*(IFERROR(ROUND(CASSA!$F7:$F3166,2),0)))+
SUMPRODUCT((IFERROR(MONTH(CASSA!$B7:$B3166)=MONTH(R$2),FALSE))*(CASSA!$G7:$G3166=" Somministrazione energia elettrica - UFFICIO")*(IFERROR(ROUND(CASSA!$F7:$F3166,2),0)))+
SUMPRODUCT((IFERROR(MONTH(BANCA!$B8:$B4163)=MONTH(R$2),FALSE))*(BANCA!$G8:$G4163="Affitti e locazioni immobili - UFFICIO")*(IFERROR(ROUND(BANCA!$F8:$F4163,2),0)))+
SUMPRODUCT((IFERROR(MONTH(BANCA!$B8:$B4163)=MONTH(R$2),FALSE))*(BANCA!$G8:$G4163=" Somministrazione energia elettrica - UFFICIO")*(IFERROR(ROUND(BANCA!$F8:$F4163,2),0)))-SUMPRODUCT((IFERROR(MONTH(CASSA!$B7:$B3166)=MONTH(R$2),FALSE))*(CASSA!$G7:$G3166="Affitti e locazioni immobili - UFFICIO")*(IFERROR(ROUND(CASSA!$E7:$E3166,2),0)))-
SUMPRODUCT((IFERROR(MONTH(CASSA!$B7:$B3166)=MONTH(R$2),FALSE))*(CASSA!$G7:$G3166=" Somministrazione energia elettrica - UFFICIO")*(IFERROR(ROUND(CASSA!$E7:$E3166,2),0)))-
SUMPRODUCT((IFERROR(MONTH(BANCA!$B8:$B4163)=MONTH(R$2),FALSE))*(BANCA!$G8:$G4163="Affitti e locazioni immobili - UFFICIO")*(IFERROR(ROUND(BANCA!$E8:$E4163,2),0)))-
SUMPRODUCT((IFERROR(MONTH(BANCA!$B8:$B4163)=MONTH(R$2),FALSE))*(BANCA!$G8:$G4163=" Somministrazione energia elettrica - UFFICIO")*(IFERROR(ROUND(BANCA!$E8:$E4163,2),0)))</f>
        <v>500</v>
      </c>
      <c r="S38" s="297"/>
      <c r="T38" s="297" cm="1">
        <f t="array" ref="T38">SUMPRODUCT((IFERROR(MONTH(CASSA!$B7:$B3166)=MONTH(T$2),FALSE))*(CASSA!$G7:$G3166="Affitti e locazioni immobili - UFFICIO")*(IFERROR(ROUND(CASSA!$F7:$F3166,2),0)))+
SUMPRODUCT((IFERROR(MONTH(CASSA!$B7:$B3166)=MONTH(T$2),FALSE))*(CASSA!$G7:$G3166=" Somministrazione energia elettrica - UFFICIO")*(IFERROR(ROUND(CASSA!$F7:$F3166,2),0)))+
SUMPRODUCT((IFERROR(MONTH(BANCA!$B8:$B4163)=MONTH(T$2),FALSE))*(BANCA!$G8:$G4163="Affitti e locazioni immobili - UFFICIO")*(IFERROR(ROUND(BANCA!$F8:$F4163,2),0)))+
SUMPRODUCT((IFERROR(MONTH(BANCA!$B8:$B4163)=MONTH(T$2),FALSE))*(BANCA!$G8:$G4163=" Somministrazione energia elettrica - UFFICIO")*(IFERROR(ROUND(BANCA!$F8:$F4163,2),0)))-SUMPRODUCT((IFERROR(MONTH(CASSA!$B7:$B3166)=MONTH(T$2),FALSE))*(CASSA!$G7:$G3166="Affitti e locazioni immobili - UFFICIO")*(IFERROR(ROUND(CASSA!$E7:$E3166,2),0)))-
SUMPRODUCT((IFERROR(MONTH(CASSA!$B7:$B3166)=MONTH(T$2),FALSE))*(CASSA!$G7:$G3166=" Somministrazione energia elettrica - UFFICIO")*(IFERROR(ROUND(CASSA!$E7:$E3166,2),0)))-
SUMPRODUCT((IFERROR(MONTH(BANCA!$B8:$B4163)=MONTH(T$2),FALSE))*(BANCA!$G8:$G4163="Affitti e locazioni immobili - UFFICIO")*(IFERROR(ROUND(BANCA!$E8:$E4163,2),0)))-
SUMPRODUCT((IFERROR(MONTH(BANCA!$B8:$B4163)=MONTH(T$2),FALSE))*(BANCA!$G8:$G4163=" Somministrazione energia elettrica - UFFICIO")*(IFERROR(ROUND(BANCA!$E8:$E4163,2),0)))</f>
        <v>500</v>
      </c>
      <c r="U38" s="297"/>
      <c r="V38" s="297" cm="1">
        <f t="array" ref="V38">SUMPRODUCT((IFERROR(MONTH(CASSA!$B7:$B3166)=MONTH(V$2),FALSE))*(CASSA!$G7:$G3166="Affitti e locazioni immobili - UFFICIO")*(IFERROR(ROUND(CASSA!$F7:$F3166,2),0)))+
SUMPRODUCT((IFERROR(MONTH(CASSA!$B7:$B3166)=MONTH(V$2),FALSE))*(CASSA!$G7:$G3166=" Somministrazione energia elettrica - UFFICIO")*(IFERROR(ROUND(CASSA!$F7:$F3166,2),0)))+
SUMPRODUCT((IFERROR(MONTH(BANCA!$B8:$B4163)=MONTH(V$2),FALSE))*(BANCA!$G8:$G4163="Affitti e locazioni immobili - UFFICIO")*(IFERROR(ROUND(BANCA!$F8:$F4163,2),0)))+
SUMPRODUCT((IFERROR(MONTH(BANCA!$B8:$B4163)=MONTH(V$2),FALSE))*(BANCA!$G8:$G4163=" Somministrazione energia elettrica - UFFICIO")*(IFERROR(ROUND(BANCA!$F8:$F4163,2),0)))-SUMPRODUCT((IFERROR(MONTH(CASSA!$B7:$B3166)=MONTH(V$2),FALSE))*(CASSA!$G7:$G3166="Affitti e locazioni immobili - UFFICIO")*(IFERROR(ROUND(CASSA!$E7:$E3166,2),0)))-
SUMPRODUCT((IFERROR(MONTH(CASSA!$B7:$B3166)=MONTH(V$2),FALSE))*(CASSA!$G7:$G3166=" Somministrazione energia elettrica - UFFICIO")*(IFERROR(ROUND(CASSA!$E7:$E3166,2),0)))-
SUMPRODUCT((IFERROR(MONTH(BANCA!$B8:$B4163)=MONTH(V$2),FALSE))*(BANCA!$G8:$G4163="Affitti e locazioni immobili - UFFICIO")*(IFERROR(ROUND(BANCA!$E8:$E4163,2),0)))-
SUMPRODUCT((IFERROR(MONTH(BANCA!$B8:$B4163)=MONTH(V$2),FALSE))*(BANCA!$G8:$G4163=" Somministrazione energia elettrica - UFFICIO")*(IFERROR(ROUND(BANCA!$E8:$E4163,2),0)))</f>
        <v>0</v>
      </c>
      <c r="W38" s="297"/>
      <c r="X38" s="297" cm="1">
        <f t="array" ref="X38">SUMPRODUCT((IFERROR(MONTH(CASSA!$B7:$B3166)=MONTH(X$2),FALSE))*(CASSA!$G7:$G3166="Affitti e locazioni immobili - UFFICIO")*(IFERROR(ROUND(CASSA!$F7:$F3166,2),0)))+
SUMPRODUCT((IFERROR(MONTH(CASSA!$B7:$B3166)=MONTH(X$2),FALSE))*(CASSA!$G7:$G3166=" Somministrazione energia elettrica - UFFICIO")*(IFERROR(ROUND(CASSA!$F7:$F3166,2),0)))+
SUMPRODUCT((IFERROR(MONTH(BANCA!$B8:$B4163)=MONTH(X$2),FALSE))*(BANCA!$G8:$G4163="Affitti e locazioni immobili - UFFICIO")*(IFERROR(ROUND(BANCA!$F8:$F4163,2),0)))+
SUMPRODUCT((IFERROR(MONTH(BANCA!$B8:$B4163)=MONTH(X$2),FALSE))*(BANCA!$G8:$G4163=" Somministrazione energia elettrica - UFFICIO")*(IFERROR(ROUND(BANCA!$F8:$F4163,2),0)))-SUMPRODUCT((IFERROR(MONTH(CASSA!$B7:$B3166)=MONTH(X$2),FALSE))*(CASSA!$G7:$G3166="Affitti e locazioni immobili - UFFICIO")*(IFERROR(ROUND(CASSA!$E7:$E3166,2),0)))-
SUMPRODUCT((IFERROR(MONTH(CASSA!$B7:$B3166)=MONTH(X$2),FALSE))*(CASSA!$G7:$G3166=" Somministrazione energia elettrica - UFFICIO")*(IFERROR(ROUND(CASSA!$E7:$E3166,2),0)))-
SUMPRODUCT((IFERROR(MONTH(BANCA!$B8:$B4163)=MONTH(X$2),FALSE))*(BANCA!$G8:$G4163="Affitti e locazioni immobili - UFFICIO")*(IFERROR(ROUND(BANCA!$E8:$E4163,2),0)))-
SUMPRODUCT((IFERROR(MONTH(BANCA!$B8:$B4163)=MONTH(X$2),FALSE))*(BANCA!$G8:$G4163=" Somministrazione energia elettrica - UFFICIO")*(IFERROR(ROUND(BANCA!$E8:$E4163,2),0)))</f>
        <v>0</v>
      </c>
      <c r="Y38" s="297"/>
      <c r="Z38" s="297" cm="1">
        <f t="array" ref="Z38">SUMPRODUCT((IFERROR(MONTH(CASSA!$B7:$B3166)=MONTH(Z$2),FALSE))*(CASSA!$G7:$G3166="Affitti e locazioni immobili - UFFICIO")*(IFERROR(ROUND(CASSA!$F7:$F3166,2),0)))+
SUMPRODUCT((IFERROR(MONTH(CASSA!$B7:$B3166)=MONTH(Z$2),FALSE))*(CASSA!$G7:$G3166=" Somministrazione energia elettrica - UFFICIO")*(IFERROR(ROUND(CASSA!$F7:$F3166,2),0)))+
SUMPRODUCT((IFERROR(MONTH(BANCA!$B8:$B4163)=MONTH(Z$2),FALSE))*(BANCA!$G8:$G4163="Affitti e locazioni immobili - UFFICIO")*(IFERROR(ROUND(BANCA!$F8:$F4163,2),0)))+
SUMPRODUCT((IFERROR(MONTH(BANCA!$B8:$B4163)=MONTH(Z$2),FALSE))*(BANCA!$G8:$G4163=" Somministrazione energia elettrica - UFFICIO")*(IFERROR(ROUND(BANCA!$F8:$F4163,2),0)))-SUMPRODUCT((IFERROR(MONTH(CASSA!$B7:$B3166)=MONTH(Z$2),FALSE))*(CASSA!$G7:$G3166="Affitti e locazioni immobili - UFFICIO")*(IFERROR(ROUND(CASSA!$E7:$E3166,2),0)))-
SUMPRODUCT((IFERROR(MONTH(CASSA!$B7:$B3166)=MONTH(Z$2),FALSE))*(CASSA!$G7:$G3166=" Somministrazione energia elettrica - UFFICIO")*(IFERROR(ROUND(CASSA!$E7:$E3166,2),0)))-
SUMPRODUCT((IFERROR(MONTH(BANCA!$B8:$B4163)=MONTH(Z$2),FALSE))*(BANCA!$G8:$G4163="Affitti e locazioni immobili - UFFICIO")*(IFERROR(ROUND(BANCA!$E8:$E4163,2),0)))-
SUMPRODUCT((IFERROR(MONTH(BANCA!$B8:$B4163)=MONTH(Z$2),FALSE))*(BANCA!$G8:$G4163=" Somministrazione energia elettrica - UFFICIO")*(IFERROR(ROUND(BANCA!$E8:$E4163,2),0)))</f>
        <v>0</v>
      </c>
      <c r="AA38" s="297"/>
      <c r="AB38" s="769">
        <f>SUM(D38:Z38)</f>
        <v>1442.5</v>
      </c>
      <c r="AC38" s="792" t="s">
        <v>1993</v>
      </c>
      <c r="AD38" s="284"/>
      <c r="AE38" s="284"/>
      <c r="AF38" s="284"/>
      <c r="AG38" s="284"/>
      <c r="AH38" s="284"/>
      <c r="AI38" s="284"/>
      <c r="AJ38" s="284"/>
      <c r="AK38" s="284"/>
      <c r="AL38" s="284"/>
      <c r="AM38" s="284"/>
      <c r="AN38" s="284"/>
    </row>
    <row r="39" spans="2:40" s="232" customFormat="1" ht="18" customHeight="1">
      <c r="B39" s="905" t="s">
        <v>148</v>
      </c>
      <c r="C39" s="905"/>
      <c r="D39" s="297" cm="1">
        <f t="array" ref="D39">SUMPRODUCT((IFERROR(MONTH(CASSA!$B7:$B3166)=MONTH(D$2),FALSE))*(CASSA!$G7:$G3166="Cancelleria e stampati - UFFICIO")*(IFERROR(ROUND(CASSA!$F7:$F3166,2),0)))+
SUMPRODUCT((IFERROR(MONTH(CASSA!$B7:$B3166)=MONTH(D$2),FALSE))*(CASSA!$G7:$G3166=" Altri costi amministrativi - UFFICIO")*(IFERROR(ROUND(CASSA!$F7:$F3166,2),0)))+
SUMPRODUCT((IFERROR(MONTH(BANCA!$B8:$B4163)=MONTH(D$2),FALSE))*(BANCA!$G8:$G4163="Cancelleria e stampati - UFFICIO")*(IFERROR(ROUND(BANCA!$F8:$F4163,2),0)))+
SUMPRODUCT((IFERROR(MONTH(BANCA!$B8:$B4163)=MONTH(D$2),FALSE))*(BANCA!$G8:$G4163=" Altri costi amministrativi - UFFICIO")*(IFERROR(ROUND(BANCA!$F8:$F4163,2),0)))-SUMPRODUCT((IFERROR(MONTH(CASSA!$B7:$B3166)=MONTH(D$2),FALSE))*(CASSA!$G7:$G3166="Cancelleria e stampati - UFFICIO")*(IFERROR(ROUND(CASSA!$E7:$E3166,2),0)))+
SUMPRODUCT((IFERROR(MONTH(CASSA!$B7:$B3166)=MONTH(D$2),FALSE))*(CASSA!$G7:$G3166=" Altri costi amministrativi - UFFICIO")*(IFERROR(ROUND(CASSA!$E7:$E3166,2),0)))-
SUMPRODUCT((IFERROR(MONTH(BANCA!$B8:$B4163)=MONTH(D$2),FALSE))*(BANCA!$G8:$G4163="Cancelleria e stampati - UFFICIO")*(IFERROR(ROUND(BANCA!$E8:$E4163,2),0)))-
SUMPRODUCT((IFERROR(MONTH(BANCA!$B8:$B4163)=MONTH(D$2),FALSE))*(BANCA!$G8:$G4163=" Altri costi amministrativi - UFFICIO")*(IFERROR(ROUND(BANCA!$E8:$E4163,2),0)))</f>
        <v>0</v>
      </c>
      <c r="E39" s="297"/>
      <c r="F39" s="297" cm="1">
        <f t="array" ref="F39">SUMPRODUCT((IFERROR(MONTH(CASSA!$B7:$B3166)=MONTH(F$2),FALSE))*(CASSA!$G7:$G3166="Cancelleria e stampati - UFFICIO")*(IFERROR(ROUND(CASSA!$F7:$F3166,2),0)))+
SUMPRODUCT((IFERROR(MONTH(CASSA!$B7:$B3166)=MONTH(F$2),FALSE))*(CASSA!$G7:$G3166=" Altri costi amministrativi - UFFICIO")*(IFERROR(ROUND(CASSA!$F7:$F3166,2),0)))+
SUMPRODUCT((IFERROR(MONTH(BANCA!$B8:$B4163)=MONTH(F$2),FALSE))*(BANCA!$G8:$G4163="Cancelleria e stampati - UFFICIO")*(IFERROR(ROUND(BANCA!$F8:$F4163,2),0)))+
SUMPRODUCT((IFERROR(MONTH(BANCA!$B8:$B4163)=MONTH(F$2),FALSE))*(BANCA!$G8:$G4163=" Altri costi amministrativi - UFFICIO")*(IFERROR(ROUND(BANCA!$F8:$F4163,2),0)))-SUMPRODUCT((IFERROR(MONTH(CASSA!$B7:$B3166)=MONTH(F$2),FALSE))*(CASSA!$G7:$G3166="Cancelleria e stampati - UFFICIO")*(IFERROR(ROUND(CASSA!$E7:$E3166,2),0)))+
SUMPRODUCT((IFERROR(MONTH(CASSA!$B7:$B3166)=MONTH(F$2),FALSE))*(CASSA!$G7:$G3166=" Altri costi amministrativi - UFFICIO")*(IFERROR(ROUND(CASSA!$E7:$E3166,2),0)))-
SUMPRODUCT((IFERROR(MONTH(BANCA!$B8:$B4163)=MONTH(F$2),FALSE))*(BANCA!$G8:$G4163="Cancelleria e stampati - UFFICIO")*(IFERROR(ROUND(BANCA!$E8:$E4163,2),0)))-
SUMPRODUCT((IFERROR(MONTH(BANCA!$B8:$B4163)=MONTH(F$2),FALSE))*(BANCA!$G8:$G4163=" Altri costi amministrativi - UFFICIO")*(IFERROR(ROUND(BANCA!$E8:$E4163,2),0)))</f>
        <v>0</v>
      </c>
      <c r="G39" s="297"/>
      <c r="H39" s="297" cm="1">
        <f t="array" ref="H39">SUMPRODUCT((IFERROR(MONTH(CASSA!$B7:$B3166)=MONTH(H$2),FALSE))*(CASSA!$G7:$G3166="Cancelleria e stampati - UFFICIO")*(IFERROR(ROUND(CASSA!$F7:$F3166,2),0)))+
SUMPRODUCT((IFERROR(MONTH(CASSA!$B7:$B3166)=MONTH(H$2),FALSE))*(CASSA!$G7:$G3166=" Altri costi amministrativi - UFFICIO")*(IFERROR(ROUND(CASSA!$F7:$F3166,2),0)))+
SUMPRODUCT((IFERROR(MONTH(BANCA!$B8:$B4163)=MONTH(H$2),FALSE))*(BANCA!$G8:$G4163="Cancelleria e stampati - UFFICIO")*(IFERROR(ROUND(BANCA!$F8:$F4163,2),0)))+
SUMPRODUCT((IFERROR(MONTH(BANCA!$B8:$B4163)=MONTH(H$2),FALSE))*(BANCA!$G8:$G4163=" Altri costi amministrativi - UFFICIO")*(IFERROR(ROUND(BANCA!$F8:$F4163,2),0)))-SUMPRODUCT((IFERROR(MONTH(CASSA!$B7:$B3166)=MONTH(H$2),FALSE))*(CASSA!$G7:$G3166="Cancelleria e stampati - UFFICIO")*(IFERROR(ROUND(CASSA!$E7:$E3166,2),0)))+
SUMPRODUCT((IFERROR(MONTH(CASSA!$B7:$B3166)=MONTH(H$2),FALSE))*(CASSA!$G7:$G3166=" Altri costi amministrativi - UFFICIO")*(IFERROR(ROUND(CASSA!$E7:$E3166,2),0)))-
SUMPRODUCT((IFERROR(MONTH(BANCA!$B8:$B4163)=MONTH(H$2),FALSE))*(BANCA!$G8:$G4163="Cancelleria e stampati - UFFICIO")*(IFERROR(ROUND(BANCA!$E8:$E4163,2),0)))-
SUMPRODUCT((IFERROR(MONTH(BANCA!$B8:$B4163)=MONTH(H$2),FALSE))*(BANCA!$G8:$G4163=" Altri costi amministrativi - UFFICIO")*(IFERROR(ROUND(BANCA!$E8:$E4163,2),0)))</f>
        <v>0</v>
      </c>
      <c r="I39" s="297"/>
      <c r="J39" s="297" cm="1">
        <f t="array" ref="J39">SUMPRODUCT((IFERROR(MONTH(CASSA!$B7:$B3166)=MONTH(J$2),FALSE))*(CASSA!$G7:$G3166="Cancelleria e stampati - UFFICIO")*(IFERROR(ROUND(CASSA!$F7:$F3166,2),0)))+
SUMPRODUCT((IFERROR(MONTH(CASSA!$B7:$B3166)=MONTH(J$2),FALSE))*(CASSA!$G7:$G3166=" Altri costi amministrativi - UFFICIO")*(IFERROR(ROUND(CASSA!$F7:$F3166,2),0)))+
SUMPRODUCT((IFERROR(MONTH(BANCA!$B8:$B4163)=MONTH(J$2),FALSE))*(BANCA!$G8:$G4163="Cancelleria e stampati - UFFICIO")*(IFERROR(ROUND(BANCA!$F8:$F4163,2),0)))+
SUMPRODUCT((IFERROR(MONTH(BANCA!$B8:$B4163)=MONTH(J$2),FALSE))*(BANCA!$G8:$G4163=" Altri costi amministrativi - UFFICIO")*(IFERROR(ROUND(BANCA!$F8:$F4163,2),0)))-SUMPRODUCT((IFERROR(MONTH(CASSA!$B7:$B3166)=MONTH(J$2),FALSE))*(CASSA!$G7:$G3166="Cancelleria e stampati - UFFICIO")*(IFERROR(ROUND(CASSA!$E7:$E3166,2),0)))+
SUMPRODUCT((IFERROR(MONTH(CASSA!$B7:$B3166)=MONTH(J$2),FALSE))*(CASSA!$G7:$G3166=" Altri costi amministrativi - UFFICIO")*(IFERROR(ROUND(CASSA!$E7:$E3166,2),0)))-
SUMPRODUCT((IFERROR(MONTH(BANCA!$B8:$B4163)=MONTH(J$2),FALSE))*(BANCA!$G8:$G4163="Cancelleria e stampati - UFFICIO")*(IFERROR(ROUND(BANCA!$E8:$E4163,2),0)))-
SUMPRODUCT((IFERROR(MONTH(BANCA!$B8:$B4163)=MONTH(J$2),FALSE))*(BANCA!$G8:$G4163=" Altri costi amministrativi - UFFICIO")*(IFERROR(ROUND(BANCA!$E8:$E4163,2),0)))</f>
        <v>0</v>
      </c>
      <c r="K39" s="297"/>
      <c r="L39" s="297" cm="1">
        <f t="array" ref="L39">SUMPRODUCT((IFERROR(MONTH(CASSA!$B7:$B3166)=MONTH(L$2),FALSE))*(CASSA!$G7:$G3166="Cancelleria e stampati - UFFICIO")*(IFERROR(ROUND(CASSA!$F7:$F3166,2),0)))+
SUMPRODUCT((IFERROR(MONTH(CASSA!$B7:$B3166)=MONTH(L$2),FALSE))*(CASSA!$G7:$G3166=" Altri costi amministrativi - UFFICIO")*(IFERROR(ROUND(CASSA!$F7:$F3166,2),0)))+
SUMPRODUCT((IFERROR(MONTH(BANCA!$B8:$B4163)=MONTH(L$2),FALSE))*(BANCA!$G8:$G4163="Cancelleria e stampati - UFFICIO")*(IFERROR(ROUND(BANCA!$F8:$F4163,2),0)))+
SUMPRODUCT((IFERROR(MONTH(BANCA!$B8:$B4163)=MONTH(L$2),FALSE))*(BANCA!$G8:$G4163=" Altri costi amministrativi - UFFICIO")*(IFERROR(ROUND(BANCA!$F8:$F4163,2),0)))-SUMPRODUCT((IFERROR(MONTH(CASSA!$B7:$B3166)=MONTH(L$2),FALSE))*(CASSA!$G7:$G3166="Cancelleria e stampati - UFFICIO")*(IFERROR(ROUND(CASSA!$E7:$E3166,2),0)))+
SUMPRODUCT((IFERROR(MONTH(CASSA!$B7:$B3166)=MONTH(L$2),FALSE))*(CASSA!$G7:$G3166=" Altri costi amministrativi - UFFICIO")*(IFERROR(ROUND(CASSA!$E7:$E3166,2),0)))-
SUMPRODUCT((IFERROR(MONTH(BANCA!$B8:$B4163)=MONTH(L$2),FALSE))*(BANCA!$G8:$G4163="Cancelleria e stampati - UFFICIO")*(IFERROR(ROUND(BANCA!$E8:$E4163,2),0)))-
SUMPRODUCT((IFERROR(MONTH(BANCA!$B8:$B4163)=MONTH(L$2),FALSE))*(BANCA!$G8:$G4163=" Altri costi amministrativi - UFFICIO")*(IFERROR(ROUND(BANCA!$E8:$E4163,2),0)))</f>
        <v>0</v>
      </c>
      <c r="M39" s="297"/>
      <c r="N39" s="297" cm="1">
        <f t="array" ref="N39">SUMPRODUCT((IFERROR(MONTH(CASSA!$B7:$B3166)=MONTH(N$2),FALSE))*(CASSA!$G7:$G3166="Cancelleria e stampati - UFFICIO")*(IFERROR(ROUND(CASSA!$F7:$F3166,2),0)))+
SUMPRODUCT((IFERROR(MONTH(CASSA!$B7:$B3166)=MONTH(N$2),FALSE))*(CASSA!$G7:$G3166=" Altri costi amministrativi - UFFICIO")*(IFERROR(ROUND(CASSA!$F7:$F3166,2),0)))+
SUMPRODUCT((IFERROR(MONTH(BANCA!$B8:$B4163)=MONTH(N$2),FALSE))*(BANCA!$G8:$G4163="Cancelleria e stampati - UFFICIO")*(IFERROR(ROUND(BANCA!$F8:$F4163,2),0)))+
SUMPRODUCT((IFERROR(MONTH(BANCA!$B8:$B4163)=MONTH(N$2),FALSE))*(BANCA!$G8:$G4163=" Altri costi amministrativi - UFFICIO")*(IFERROR(ROUND(BANCA!$F8:$F4163,2),0)))-SUMPRODUCT((IFERROR(MONTH(CASSA!$B7:$B3166)=MONTH(N$2),FALSE))*(CASSA!$G7:$G3166="Cancelleria e stampati - UFFICIO")*(IFERROR(ROUND(CASSA!$E7:$E3166,2),0)))+
SUMPRODUCT((IFERROR(MONTH(CASSA!$B7:$B3166)=MONTH(N$2),FALSE))*(CASSA!$G7:$G3166=" Altri costi amministrativi - UFFICIO")*(IFERROR(ROUND(CASSA!$E7:$E3166,2),0)))-
SUMPRODUCT((IFERROR(MONTH(BANCA!$B8:$B4163)=MONTH(N$2),FALSE))*(BANCA!$G8:$G4163="Cancelleria e stampati - UFFICIO")*(IFERROR(ROUND(BANCA!$E8:$E4163,2),0)))-
SUMPRODUCT((IFERROR(MONTH(BANCA!$B8:$B4163)=MONTH(N$2),FALSE))*(BANCA!$G8:$G4163=" Altri costi amministrativi - UFFICIO")*(IFERROR(ROUND(BANCA!$E8:$E4163,2),0)))</f>
        <v>0</v>
      </c>
      <c r="O39" s="297"/>
      <c r="P39" s="297" cm="1">
        <f t="array" ref="P39">SUMPRODUCT((IFERROR(MONTH(CASSA!$B7:$B3166)=MONTH(P$2),FALSE))*(CASSA!$G7:$G3166="Cancelleria e stampati - UFFICIO")*(IFERROR(ROUND(CASSA!$F7:$F3166,2),0)))+
SUMPRODUCT((IFERROR(MONTH(CASSA!$B7:$B3166)=MONTH(P$2),FALSE))*(CASSA!$G7:$G3166=" Altri costi amministrativi - UFFICIO")*(IFERROR(ROUND(CASSA!$F7:$F3166,2),0)))+
SUMPRODUCT((IFERROR(MONTH(BANCA!$B8:$B4163)=MONTH(P$2),FALSE))*(BANCA!$G8:$G4163="Cancelleria e stampati - UFFICIO")*(IFERROR(ROUND(BANCA!$F8:$F4163,2),0)))+
SUMPRODUCT((IFERROR(MONTH(BANCA!$B8:$B4163)=MONTH(P$2),FALSE))*(BANCA!$G8:$G4163=" Altri costi amministrativi - UFFICIO")*(IFERROR(ROUND(BANCA!$F8:$F4163,2),0)))-SUMPRODUCT((IFERROR(MONTH(CASSA!$B7:$B3166)=MONTH(P$2),FALSE))*(CASSA!$G7:$G3166="Cancelleria e stampati - UFFICIO")*(IFERROR(ROUND(CASSA!$E7:$E3166,2),0)))+
SUMPRODUCT((IFERROR(MONTH(CASSA!$B7:$B3166)=MONTH(P$2),FALSE))*(CASSA!$G7:$G3166=" Altri costi amministrativi - UFFICIO")*(IFERROR(ROUND(CASSA!$E7:$E3166,2),0)))-
SUMPRODUCT((IFERROR(MONTH(BANCA!$B8:$B4163)=MONTH(P$2),FALSE))*(BANCA!$G8:$G4163="Cancelleria e stampati - UFFICIO")*(IFERROR(ROUND(BANCA!$E8:$E4163,2),0)))-
SUMPRODUCT((IFERROR(MONTH(BANCA!$B8:$B4163)=MONTH(P$2),FALSE))*(BANCA!$G8:$G4163=" Altri costi amministrativi - UFFICIO")*(IFERROR(ROUND(BANCA!$E8:$E4163,2),0)))</f>
        <v>0</v>
      </c>
      <c r="Q39" s="297"/>
      <c r="R39" s="297" cm="1">
        <f t="array" ref="R39">SUMPRODUCT((IFERROR(MONTH(CASSA!$B7:$B3166)=MONTH(R$2),FALSE))*(CASSA!$G7:$G3166="Cancelleria e stampati - UFFICIO")*(IFERROR(ROUND(CASSA!$F7:$F3166,2),0)))+
SUMPRODUCT((IFERROR(MONTH(CASSA!$B7:$B3166)=MONTH(R$2),FALSE))*(CASSA!$G7:$G3166=" Altri costi amministrativi - UFFICIO")*(IFERROR(ROUND(CASSA!$F7:$F3166,2),0)))+
SUMPRODUCT((IFERROR(MONTH(BANCA!$B8:$B4163)=MONTH(R$2),FALSE))*(BANCA!$G8:$G4163="Cancelleria e stampati - UFFICIO")*(IFERROR(ROUND(BANCA!$F8:$F4163,2),0)))+
SUMPRODUCT((IFERROR(MONTH(BANCA!$B8:$B4163)=MONTH(R$2),FALSE))*(BANCA!$G8:$G4163=" Altri costi amministrativi - UFFICIO")*(IFERROR(ROUND(BANCA!$F8:$F4163,2),0)))-SUMPRODUCT((IFERROR(MONTH(CASSA!$B7:$B3166)=MONTH(R$2),FALSE))*(CASSA!$G7:$G3166="Cancelleria e stampati - UFFICIO")*(IFERROR(ROUND(CASSA!$E7:$E3166,2),0)))+
SUMPRODUCT((IFERROR(MONTH(CASSA!$B7:$B3166)=MONTH(R$2),FALSE))*(CASSA!$G7:$G3166=" Altri costi amministrativi - UFFICIO")*(IFERROR(ROUND(CASSA!$E7:$E3166,2),0)))-
SUMPRODUCT((IFERROR(MONTH(BANCA!$B8:$B4163)=MONTH(R$2),FALSE))*(BANCA!$G8:$G4163="Cancelleria e stampati - UFFICIO")*(IFERROR(ROUND(BANCA!$E8:$E4163,2),0)))-
SUMPRODUCT((IFERROR(MONTH(BANCA!$B8:$B4163)=MONTH(R$2),FALSE))*(BANCA!$G8:$G4163=" Altri costi amministrativi - UFFICIO")*(IFERROR(ROUND(BANCA!$E8:$E4163,2),0)))</f>
        <v>0</v>
      </c>
      <c r="S39" s="297"/>
      <c r="T39" s="297" cm="1">
        <f t="array" ref="T39">SUMPRODUCT((IFERROR(MONTH(CASSA!$B7:$B3166)=MONTH(T$2),FALSE))*(CASSA!$G7:$G3166="Cancelleria e stampati - UFFICIO")*(IFERROR(ROUND(CASSA!$F7:$F3166,2),0)))+
SUMPRODUCT((IFERROR(MONTH(CASSA!$B7:$B3166)=MONTH(T$2),FALSE))*(CASSA!$G7:$G3166=" Altri costi amministrativi - UFFICIO")*(IFERROR(ROUND(CASSA!$F7:$F3166,2),0)))+
SUMPRODUCT((IFERROR(MONTH(BANCA!$B8:$B4163)=MONTH(T$2),FALSE))*(BANCA!$G8:$G4163="Cancelleria e stampati - UFFICIO")*(IFERROR(ROUND(BANCA!$F8:$F4163,2),0)))+
SUMPRODUCT((IFERROR(MONTH(BANCA!$B8:$B4163)=MONTH(T$2),FALSE))*(BANCA!$G8:$G4163=" Altri costi amministrativi - UFFICIO")*(IFERROR(ROUND(BANCA!$F8:$F4163,2),0)))-SUMPRODUCT((IFERROR(MONTH(CASSA!$B7:$B3166)=MONTH(T$2),FALSE))*(CASSA!$G7:$G3166="Cancelleria e stampati - UFFICIO")*(IFERROR(ROUND(CASSA!$E7:$E3166,2),0)))+
SUMPRODUCT((IFERROR(MONTH(CASSA!$B7:$B3166)=MONTH(T$2),FALSE))*(CASSA!$G7:$G3166=" Altri costi amministrativi - UFFICIO")*(IFERROR(ROUND(CASSA!$E7:$E3166,2),0)))-
SUMPRODUCT((IFERROR(MONTH(BANCA!$B8:$B4163)=MONTH(T$2),FALSE))*(BANCA!$G8:$G4163="Cancelleria e stampati - UFFICIO")*(IFERROR(ROUND(BANCA!$E8:$E4163,2),0)))-
SUMPRODUCT((IFERROR(MONTH(BANCA!$B8:$B4163)=MONTH(T$2),FALSE))*(BANCA!$G8:$G4163=" Altri costi amministrativi - UFFICIO")*(IFERROR(ROUND(BANCA!$E8:$E4163,2),0)))</f>
        <v>57.85</v>
      </c>
      <c r="U39" s="297"/>
      <c r="V39" s="297" cm="1">
        <f t="array" ref="V39">SUMPRODUCT((IFERROR(MONTH(CASSA!$B7:$B3166)=MONTH(V$2),FALSE))*(CASSA!$G7:$G3166="Cancelleria e stampati - UFFICIO")*(IFERROR(ROUND(CASSA!$F7:$F3166,2),0)))+
SUMPRODUCT((IFERROR(MONTH(CASSA!$B7:$B3166)=MONTH(V$2),FALSE))*(CASSA!$G7:$G3166=" Altri costi amministrativi - UFFICIO")*(IFERROR(ROUND(CASSA!$F7:$F3166,2),0)))+
SUMPRODUCT((IFERROR(MONTH(BANCA!$B8:$B4163)=MONTH(V$2),FALSE))*(BANCA!$G8:$G4163="Cancelleria e stampati - UFFICIO")*(IFERROR(ROUND(BANCA!$F8:$F4163,2),0)))+
SUMPRODUCT((IFERROR(MONTH(BANCA!$B8:$B4163)=MONTH(V$2),FALSE))*(BANCA!$G8:$G4163=" Altri costi amministrativi - UFFICIO")*(IFERROR(ROUND(BANCA!$F8:$F4163,2),0)))-SUMPRODUCT((IFERROR(MONTH(CASSA!$B7:$B3166)=MONTH(V$2),FALSE))*(CASSA!$G7:$G3166="Cancelleria e stampati - UFFICIO")*(IFERROR(ROUND(CASSA!$E7:$E3166,2),0)))+
SUMPRODUCT((IFERROR(MONTH(CASSA!$B7:$B3166)=MONTH(V$2),FALSE))*(CASSA!$G7:$G3166=" Altri costi amministrativi - UFFICIO")*(IFERROR(ROUND(CASSA!$E7:$E3166,2),0)))-
SUMPRODUCT((IFERROR(MONTH(BANCA!$B8:$B4163)=MONTH(V$2),FALSE))*(BANCA!$G8:$G4163="Cancelleria e stampati - UFFICIO")*(IFERROR(ROUND(BANCA!$E8:$E4163,2),0)))-
SUMPRODUCT((IFERROR(MONTH(BANCA!$B8:$B4163)=MONTH(V$2),FALSE))*(BANCA!$G8:$G4163=" Altri costi amministrativi - UFFICIO")*(IFERROR(ROUND(BANCA!$E8:$E4163,2),0)))</f>
        <v>0</v>
      </c>
      <c r="W39" s="297"/>
      <c r="X39" s="297" cm="1">
        <f t="array" ref="X39">SUMPRODUCT((IFERROR(MONTH(CASSA!$B7:$B3166)=MONTH(X$2),FALSE))*(CASSA!$G7:$G3166="Cancelleria e stampati - UFFICIO")*(IFERROR(ROUND(CASSA!$F7:$F3166,2),0)))+
SUMPRODUCT((IFERROR(MONTH(CASSA!$B7:$B3166)=MONTH(X$2),FALSE))*(CASSA!$G7:$G3166=" Altri costi amministrativi - UFFICIO")*(IFERROR(ROUND(CASSA!$F7:$F3166,2),0)))+
SUMPRODUCT((IFERROR(MONTH(BANCA!$B8:$B4163)=MONTH(X$2),FALSE))*(BANCA!$G8:$G4163="Cancelleria e stampati - UFFICIO")*(IFERROR(ROUND(BANCA!$F8:$F4163,2),0)))+
SUMPRODUCT((IFERROR(MONTH(BANCA!$B8:$B4163)=MONTH(X$2),FALSE))*(BANCA!$G8:$G4163=" Altri costi amministrativi - UFFICIO")*(IFERROR(ROUND(BANCA!$F8:$F4163,2),0)))-SUMPRODUCT((IFERROR(MONTH(CASSA!$B7:$B3166)=MONTH(X$2),FALSE))*(CASSA!$G7:$G3166="Cancelleria e stampati - UFFICIO")*(IFERROR(ROUND(CASSA!$E7:$E3166,2),0)))+
SUMPRODUCT((IFERROR(MONTH(CASSA!$B7:$B3166)=MONTH(X$2),FALSE))*(CASSA!$G7:$G3166=" Altri costi amministrativi - UFFICIO")*(IFERROR(ROUND(CASSA!$E7:$E3166,2),0)))-
SUMPRODUCT((IFERROR(MONTH(BANCA!$B8:$B4163)=MONTH(X$2),FALSE))*(BANCA!$G8:$G4163="Cancelleria e stampati - UFFICIO")*(IFERROR(ROUND(BANCA!$E8:$E4163,2),0)))-
SUMPRODUCT((IFERROR(MONTH(BANCA!$B8:$B4163)=MONTH(X$2),FALSE))*(BANCA!$G8:$G4163=" Altri costi amministrativi - UFFICIO")*(IFERROR(ROUND(BANCA!$E8:$E4163,2),0)))</f>
        <v>0</v>
      </c>
      <c r="Y39" s="297"/>
      <c r="Z39" s="297" cm="1">
        <f t="array" ref="Z39">SUMPRODUCT((IFERROR(MONTH(CASSA!$B7:$B3166)=MONTH(Z$2),FALSE))*(CASSA!$G7:$G3166="Cancelleria e stampati - UFFICIO")*(IFERROR(ROUND(CASSA!$F7:$F3166,2),0)))+
SUMPRODUCT((IFERROR(MONTH(CASSA!$B7:$B3166)=MONTH(Z$2),FALSE))*(CASSA!$G7:$G3166=" Altri costi amministrativi - UFFICIO")*(IFERROR(ROUND(CASSA!$F7:$F3166,2),0)))+
SUMPRODUCT((IFERROR(MONTH(BANCA!$B8:$B4163)=MONTH(Z$2),FALSE))*(BANCA!$G8:$G4163="Cancelleria e stampati - UFFICIO")*(IFERROR(ROUND(BANCA!$F8:$F4163,2),0)))+
SUMPRODUCT((IFERROR(MONTH(BANCA!$B8:$B4163)=MONTH(Z$2),FALSE))*(BANCA!$G8:$G4163=" Altri costi amministrativi - UFFICIO")*(IFERROR(ROUND(BANCA!$F8:$F4163,2),0)))-SUMPRODUCT((IFERROR(MONTH(CASSA!$B7:$B3166)=MONTH(Z$2),FALSE))*(CASSA!$G7:$G3166="Cancelleria e stampati - UFFICIO")*(IFERROR(ROUND(CASSA!$E7:$E3166,2),0)))+
SUMPRODUCT((IFERROR(MONTH(CASSA!$B7:$B3166)=MONTH(Z$2),FALSE))*(CASSA!$G7:$G3166=" Altri costi amministrativi - UFFICIO")*(IFERROR(ROUND(CASSA!$E7:$E3166,2),0)))-
SUMPRODUCT((IFERROR(MONTH(BANCA!$B8:$B4163)=MONTH(Z$2),FALSE))*(BANCA!$G8:$G4163="Cancelleria e stampati - UFFICIO")*(IFERROR(ROUND(BANCA!$E8:$E4163,2),0)))-
SUMPRODUCT((IFERROR(MONTH(BANCA!$B8:$B4163)=MONTH(Z$2),FALSE))*(BANCA!$G8:$G4163=" Altri costi amministrativi - UFFICIO")*(IFERROR(ROUND(BANCA!$E8:$E4163,2),0)))</f>
        <v>0</v>
      </c>
      <c r="AA39" s="297"/>
      <c r="AB39" s="769">
        <f>SUM(D39:Z39)</f>
        <v>57.85</v>
      </c>
      <c r="AC39" s="792" t="s">
        <v>1993</v>
      </c>
      <c r="AD39" s="284"/>
      <c r="AE39" s="284"/>
      <c r="AF39" s="284"/>
      <c r="AG39" s="284"/>
      <c r="AH39" s="284"/>
      <c r="AI39" s="284"/>
      <c r="AJ39" s="284"/>
      <c r="AK39" s="284"/>
      <c r="AL39" s="284"/>
      <c r="AM39" s="284"/>
      <c r="AN39" s="284"/>
    </row>
    <row r="40" spans="2:40" s="232" customFormat="1" ht="18" customHeight="1">
      <c r="B40" s="905" t="s">
        <v>1938</v>
      </c>
      <c r="C40" s="905"/>
      <c r="D40" s="297" cm="1">
        <f t="array" ref="D40">SUMPRODUCT((IFERROR(MONTH(CASSA!$B7:$B3166)=MONTH(D$2),FALSE))*(CASSA!$G7:$G3166="Retribuzione del personale - UFFICIO")*(IFERROR(ROUND(CASSA!$F7:$F3166,2),0)))+
SUMPRODUCT((IFERROR(MONTH(BANCA!$B8:$B4163)=MONTH(D$2),FALSE))*(BANCA!$G8:$G4163="Retribuzione del personale - UFFICIO")*(IFERROR(ROUND(BANCA!$F8:$F4163,2),0)))-SUMPRODUCT((IFERROR(MONTH(CASSA!$B7:$B3166)=MONTH(D$2),FALSE))*(CASSA!$G7:$G3166="Retribuzione del personale - UFFICIO")*(IFERROR(ROUND(CASSA!$E7:$E3166,2),0)))-
SUMPRODUCT((IFERROR(MONTH(BANCA!$B8:$B4163)=MONTH(D$2),FALSE))*(BANCA!$G8:$G4163="Retribuzione del personale - UFFICIO")*(IFERROR(ROUND(BANCA!$E8:$E4163,2),0)))</f>
        <v>0</v>
      </c>
      <c r="E40" s="297"/>
      <c r="F40" s="297" cm="1">
        <f t="array" ref="F40">SUMPRODUCT((IFERROR(MONTH(CASSA!$B7:$B3166)=MONTH(F$2),FALSE))*(CASSA!$G7:$G3166="Retribuzione del personale - UFFICIO")*(IFERROR(ROUND(CASSA!$F7:$F3166,2),0)))+
SUMPRODUCT((IFERROR(MONTH(BANCA!$B8:$B4163)=MONTH(F$2),FALSE))*(BANCA!$G8:$G4163="Retribuzione del personale - UFFICIO")*(IFERROR(ROUND(BANCA!$F8:$F4163,2),0)))-SUMPRODUCT((IFERROR(MONTH(CASSA!$B7:$B3166)=MONTH(F$2),FALSE))*(CASSA!$G7:$G3166="Retribuzione del personale - UFFICIO")*(IFERROR(ROUND(CASSA!$E7:$E3166,2),0)))-
SUMPRODUCT((IFERROR(MONTH(BANCA!$B8:$B4163)=MONTH(F$2),FALSE))*(BANCA!$G8:$G4163="Retribuzione del personale - UFFICIO")*(IFERROR(ROUND(BANCA!$E8:$E4163,2),0)))</f>
        <v>0</v>
      </c>
      <c r="G40" s="297"/>
      <c r="H40" s="297" cm="1">
        <f t="array" ref="H40">SUMPRODUCT((IFERROR(MONTH(CASSA!$B7:$B3166)=MONTH(H$2),FALSE))*(CASSA!$G7:$G3166="Retribuzione del personale - UFFICIO")*(IFERROR(ROUND(CASSA!$F7:$F3166,2),0)))+
SUMPRODUCT((IFERROR(MONTH(BANCA!$B8:$B4163)=MONTH(H$2),FALSE))*(BANCA!$G8:$G4163="Retribuzione del personale - UFFICIO")*(IFERROR(ROUND(BANCA!$F8:$F4163,2),0)))-SUMPRODUCT((IFERROR(MONTH(CASSA!$B7:$B3166)=MONTH(H$2),FALSE))*(CASSA!$G7:$G3166="Retribuzione del personale - UFFICIO")*(IFERROR(ROUND(CASSA!$E7:$E3166,2),0)))-
SUMPRODUCT((IFERROR(MONTH(BANCA!$B8:$B4163)=MONTH(H$2),FALSE))*(BANCA!$G8:$G4163="Retribuzione del personale - UFFICIO")*(IFERROR(ROUND(BANCA!$E8:$E4163,2),0)))</f>
        <v>0</v>
      </c>
      <c r="I40" s="297"/>
      <c r="J40" s="297" cm="1">
        <f t="array" ref="J40">SUMPRODUCT((IFERROR(MONTH(CASSA!$B7:$B3166)=MONTH(J$2),FALSE))*(CASSA!$G7:$G3166="Retribuzione del personale - UFFICIO")*(IFERROR(ROUND(CASSA!$F7:$F3166,2),0)))+
SUMPRODUCT((IFERROR(MONTH(BANCA!$B8:$B4163)=MONTH(J$2),FALSE))*(BANCA!$G8:$G4163="Retribuzione del personale - UFFICIO")*(IFERROR(ROUND(BANCA!$F8:$F4163,2),0)))-SUMPRODUCT((IFERROR(MONTH(CASSA!$B7:$B3166)=MONTH(J$2),FALSE))*(CASSA!$G7:$G3166="Retribuzione del personale - UFFICIO")*(IFERROR(ROUND(CASSA!$E7:$E3166,2),0)))-
SUMPRODUCT((IFERROR(MONTH(BANCA!$B8:$B4163)=MONTH(J$2),FALSE))*(BANCA!$G8:$G4163="Retribuzione del personale - UFFICIO")*(IFERROR(ROUND(BANCA!$E8:$E4163,2),0)))</f>
        <v>0</v>
      </c>
      <c r="K40" s="297"/>
      <c r="L40" s="297" cm="1">
        <f t="array" ref="L40">SUMPRODUCT((IFERROR(MONTH(CASSA!$B7:$B3166)=MONTH(L$2),FALSE))*(CASSA!$G7:$G3166="Retribuzione del personale - UFFICIO")*(IFERROR(ROUND(CASSA!$F7:$F3166,2),0)))+
SUMPRODUCT((IFERROR(MONTH(BANCA!$B8:$B4163)=MONTH(L$2),FALSE))*(BANCA!$G8:$G4163="Retribuzione del personale - UFFICIO")*(IFERROR(ROUND(BANCA!$F8:$F4163,2),0)))-SUMPRODUCT((IFERROR(MONTH(CASSA!$B7:$B3166)=MONTH(L$2),FALSE))*(CASSA!$G7:$G3166="Retribuzione del personale - UFFICIO")*(IFERROR(ROUND(CASSA!$E7:$E3166,2),0)))-
SUMPRODUCT((IFERROR(MONTH(BANCA!$B8:$B4163)=MONTH(L$2),FALSE))*(BANCA!$G8:$G4163="Retribuzione del personale - UFFICIO")*(IFERROR(ROUND(BANCA!$E8:$E4163,2),0)))</f>
        <v>0</v>
      </c>
      <c r="M40" s="297"/>
      <c r="N40" s="297" cm="1">
        <f t="array" ref="N40">SUMPRODUCT((IFERROR(MONTH(CASSA!$B7:$B3166)=MONTH(N$2),FALSE))*(CASSA!$G7:$G3166="Retribuzione del personale - UFFICIO")*(IFERROR(ROUND(CASSA!$F7:$F3166,2),0)))+
SUMPRODUCT((IFERROR(MONTH(BANCA!$B8:$B4163)=MONTH(N$2),FALSE))*(BANCA!$G8:$G4163="Retribuzione del personale - UFFICIO")*(IFERROR(ROUND(BANCA!$F8:$F4163,2),0)))-SUMPRODUCT((IFERROR(MONTH(CASSA!$B7:$B3166)=MONTH(N$2),FALSE))*(CASSA!$G7:$G3166="Retribuzione del personale - UFFICIO")*(IFERROR(ROUND(CASSA!$E7:$E3166,2),0)))-
SUMPRODUCT((IFERROR(MONTH(BANCA!$B8:$B4163)=MONTH(N$2),FALSE))*(BANCA!$G8:$G4163="Retribuzione del personale - UFFICIO")*(IFERROR(ROUND(BANCA!$E8:$E4163,2),0)))</f>
        <v>1407</v>
      </c>
      <c r="O40" s="297"/>
      <c r="P40" s="297" cm="1">
        <f t="array" ref="P40">SUMPRODUCT((IFERROR(MONTH(CASSA!$B7:$B3166)=MONTH(P$2),FALSE))*(CASSA!$G7:$G3166="Retribuzione del personale - UFFICIO")*(IFERROR(ROUND(CASSA!$F7:$F3166,2),0)))+
SUMPRODUCT((IFERROR(MONTH(BANCA!$B8:$B4163)=MONTH(P$2),FALSE))*(BANCA!$G8:$G4163="Retribuzione del personale - UFFICIO")*(IFERROR(ROUND(BANCA!$F8:$F4163,2),0)))-SUMPRODUCT((IFERROR(MONTH(CASSA!$B7:$B3166)=MONTH(P$2),FALSE))*(CASSA!$G7:$G3166="Retribuzione del personale - UFFICIO")*(IFERROR(ROUND(CASSA!$E7:$E3166,2),0)))-
SUMPRODUCT((IFERROR(MONTH(BANCA!$B8:$B4163)=MONTH(P$2),FALSE))*(BANCA!$G8:$G4163="Retribuzione del personale - UFFICIO")*(IFERROR(ROUND(BANCA!$E8:$E4163,2),0)))</f>
        <v>1313</v>
      </c>
      <c r="Q40" s="297"/>
      <c r="R40" s="297" cm="1">
        <f t="array" ref="R40">SUMPRODUCT((IFERROR(MONTH(CASSA!$B7:$B3166)=MONTH(R$2),FALSE))*(CASSA!$G7:$G3166="Retribuzione del personale - UFFICIO")*(IFERROR(ROUND(CASSA!$F7:$F3166,2),0)))+
SUMPRODUCT((IFERROR(MONTH(BANCA!$B8:$B4163)=MONTH(R$2),FALSE))*(BANCA!$G8:$G4163="Retribuzione del personale - UFFICIO")*(IFERROR(ROUND(BANCA!$F8:$F4163,2),0)))-SUMPRODUCT((IFERROR(MONTH(CASSA!$B7:$B3166)=MONTH(R$2),FALSE))*(CASSA!$G7:$G3166="Retribuzione del personale - UFFICIO")*(IFERROR(ROUND(CASSA!$E7:$E3166,2),0)))-
SUMPRODUCT((IFERROR(MONTH(BANCA!$B8:$B4163)=MONTH(R$2),FALSE))*(BANCA!$G8:$G4163="Retribuzione del personale - UFFICIO")*(IFERROR(ROUND(BANCA!$E8:$E4163,2),0)))</f>
        <v>1109</v>
      </c>
      <c r="S40" s="297"/>
      <c r="T40" s="297" cm="1">
        <f t="array" ref="T40">SUMPRODUCT((IFERROR(MONTH(CASSA!$B7:$B3166)=MONTH(T$2),FALSE))*(CASSA!$G7:$G3166="Retribuzione del personale - UFFICIO")*(IFERROR(ROUND(CASSA!$F7:$F3166,2),0)))+
SUMPRODUCT((IFERROR(MONTH(BANCA!$B8:$B4163)=MONTH(T$2),FALSE))*(BANCA!$G8:$G4163="Retribuzione del personale - UFFICIO")*(IFERROR(ROUND(BANCA!$F8:$F4163,2),0)))-SUMPRODUCT((IFERROR(MONTH(CASSA!$B7:$B3166)=MONTH(T$2),FALSE))*(CASSA!$G7:$G3166="Retribuzione del personale - UFFICIO")*(IFERROR(ROUND(CASSA!$E7:$E3166,2),0)))-
SUMPRODUCT((IFERROR(MONTH(BANCA!$B8:$B4163)=MONTH(T$2),FALSE))*(BANCA!$G8:$G4163="Retribuzione del personale - UFFICIO")*(IFERROR(ROUND(BANCA!$E8:$E4163,2),0)))</f>
        <v>1433</v>
      </c>
      <c r="U40" s="297"/>
      <c r="V40" s="297" cm="1">
        <f t="array" ref="V40">SUMPRODUCT((IFERROR(MONTH(CASSA!$B7:$B3166)=MONTH(V$2),FALSE))*(CASSA!$G7:$G3166="Retribuzione del personale - UFFICIO")*(IFERROR(ROUND(CASSA!$F7:$F3166,2),0)))+
SUMPRODUCT((IFERROR(MONTH(BANCA!$B8:$B4163)=MONTH(V$2),FALSE))*(BANCA!$G8:$G4163="Retribuzione del personale - UFFICIO")*(IFERROR(ROUND(BANCA!$F8:$F4163,2),0)))-SUMPRODUCT((IFERROR(MONTH(CASSA!$B7:$B3166)=MONTH(V$2),FALSE))*(CASSA!$G7:$G3166="Retribuzione del personale - UFFICIO")*(IFERROR(ROUND(CASSA!$E7:$E3166,2),0)))-
SUMPRODUCT((IFERROR(MONTH(BANCA!$B8:$B4163)=MONTH(V$2),FALSE))*(BANCA!$G8:$G4163="Retribuzione del personale - UFFICIO")*(IFERROR(ROUND(BANCA!$E8:$E4163,2),0)))</f>
        <v>1409</v>
      </c>
      <c r="W40" s="297"/>
      <c r="X40" s="297" cm="1">
        <f t="array" ref="X40">SUMPRODUCT((IFERROR(MONTH(CASSA!$B7:$B3166)=MONTH(X$2),FALSE))*(CASSA!$G7:$G3166="Retribuzione del personale - UFFICIO")*(IFERROR(ROUND(CASSA!$F7:$F3166,2),0)))+
SUMPRODUCT((IFERROR(MONTH(BANCA!$B8:$B4163)=MONTH(X$2),FALSE))*(BANCA!$G8:$G4163="Retribuzione del personale - UFFICIO")*(IFERROR(ROUND(BANCA!$F8:$F4163,2),0)))-SUMPRODUCT((IFERROR(MONTH(CASSA!$B7:$B3166)=MONTH(X$2),FALSE))*(CASSA!$G7:$G3166="Retribuzione del personale - UFFICIO")*(IFERROR(ROUND(CASSA!$E7:$E3166,2),0)))-
SUMPRODUCT((IFERROR(MONTH(BANCA!$B8:$B4163)=MONTH(X$2),FALSE))*(BANCA!$G8:$G4163="Retribuzione del personale - UFFICIO")*(IFERROR(ROUND(BANCA!$E8:$E4163,2),0)))</f>
        <v>2754</v>
      </c>
      <c r="Y40" s="297"/>
      <c r="Z40" s="297" cm="1">
        <f t="array" ref="Z40">SUMPRODUCT((IFERROR(MONTH(CASSA!$B7:$B3166)=MONTH(Z$2),FALSE))*(CASSA!$G7:$G3166="Retribuzione del personale - UFFICIO")*(IFERROR(ROUND(CASSA!$F7:$F3166,2),0)))+
SUMPRODUCT((IFERROR(MONTH(BANCA!$B8:$B4163)=MONTH(Z$2),FALSE))*(BANCA!$G8:$G4163="Retribuzione del personale - UFFICIO")*(IFERROR(ROUND(BANCA!$F8:$F4163,2),0)))-SUMPRODUCT((IFERROR(MONTH(CASSA!$B7:$B3166)=MONTH(Z$2),FALSE))*(CASSA!$G7:$G3166="Retribuzione del personale - UFFICIO")*(IFERROR(ROUND(CASSA!$E7:$E3166,2),0)))-
SUMPRODUCT((IFERROR(MONTH(BANCA!$B8:$B4163)=MONTH(Z$2),FALSE))*(BANCA!$G8:$G4163="Retribuzione del personale - UFFICIO")*(IFERROR(ROUND(BANCA!$E8:$E4163,2),0)))</f>
        <v>0</v>
      </c>
      <c r="AA40" s="297"/>
      <c r="AB40" s="769">
        <f>SUM(D40:Z40)</f>
        <v>9425</v>
      </c>
      <c r="AC40" s="792" t="s">
        <v>1993</v>
      </c>
      <c r="AD40" s="284"/>
      <c r="AE40" s="284"/>
      <c r="AF40" s="284"/>
      <c r="AG40" s="284"/>
      <c r="AH40" s="284"/>
      <c r="AI40" s="284"/>
      <c r="AJ40" s="284"/>
      <c r="AK40" s="284"/>
      <c r="AL40" s="284"/>
      <c r="AM40" s="284"/>
      <c r="AN40" s="284"/>
    </row>
    <row r="41" spans="2:40" s="232" customFormat="1" ht="18" customHeight="1">
      <c r="B41" s="905" t="s">
        <v>149</v>
      </c>
      <c r="C41" s="905"/>
      <c r="D41" s="297" cm="1">
        <f t="array" ref="D41">SUMPRODUCT((IFERROR(MONTH(CASSA!$B7:$B3166)=MONTH(D$2),FALSE))*(CASSA!$G7:$G3166="Acquisti di beni &lt; 516,46€ ded. 100% - UFFICIO")*(IFERROR(ROUND(CASSA!$F7:$F3166,2),0)))+
SUMPRODUCT((IFERROR(MONTH(BANCA!$B8:$B4163)=MONTH(D$2),FALSE))*(BANCA!$G8:$G4163="Acquisti di beni &lt; 516,46€ ded. 100% - UFFICIO")*(IFERROR(ROUND(BANCA!$F8:$F4163,2),0)))-SUMPRODUCT((IFERROR(MONTH(CASSA!$B7:$B3166)=MONTH(D$2),FALSE))*(CASSA!$G7:$G3166="Acquisti di beni &lt; 516,46€ ded. 100% - UFFICIO")*(IFERROR(ROUND(CASSA!$E7:$E3166,2),0)))-
SUMPRODUCT((IFERROR(MONTH(BANCA!$B8:$B4163)=MONTH(D$2),FALSE))*(BANCA!$G8:$G4163="Acquisti di beni &lt; 516,46€ ded. 100% - UFFICIO")*(IFERROR(ROUND(BANCA!$E8:$E4163,2),0)))</f>
        <v>0</v>
      </c>
      <c r="E41" s="297"/>
      <c r="F41" s="297" cm="1">
        <f t="array" ref="F41">SUMPRODUCT((IFERROR(MONTH(CASSA!$B7:$B3166)=MONTH(F$2),FALSE))*(CASSA!$G7:$G3166="Acquisti di beni &lt; 516,46€ ded. 100% - UFFICIO")*(IFERROR(ROUND(CASSA!$F7:$F3166,2),0)))+
SUMPRODUCT((IFERROR(MONTH(BANCA!$B8:$B4163)=MONTH(F$2),FALSE))*(BANCA!$G8:$G4163="Acquisti di beni &lt; 516,46€ ded. 100% - UFFICIO")*(IFERROR(ROUND(BANCA!$F8:$F4163,2),0)))-SUMPRODUCT((IFERROR(MONTH(CASSA!$B7:$B3166)=MONTH(F$2),FALSE))*(CASSA!$G7:$G3166="Acquisti di beni &lt; 516,46€ ded. 100% - UFFICIO")*(IFERROR(ROUND(CASSA!$E7:$E3166,2),0)))-
SUMPRODUCT((IFERROR(MONTH(BANCA!$B8:$B4163)=MONTH(F$2),FALSE))*(BANCA!$G8:$G4163="Acquisti di beni &lt; 516,46€ ded. 100% - UFFICIO")*(IFERROR(ROUND(BANCA!$E8:$E4163,2),0)))</f>
        <v>0</v>
      </c>
      <c r="G41" s="297"/>
      <c r="H41" s="297" cm="1">
        <f t="array" ref="H41">SUMPRODUCT((IFERROR(MONTH(CASSA!$B7:$B3166)=MONTH(H$2),FALSE))*(CASSA!$G7:$G3166="Acquisti di beni &lt; 516,46€ ded. 100% - UFFICIO")*(IFERROR(ROUND(CASSA!$F7:$F3166,2),0)))+
SUMPRODUCT((IFERROR(MONTH(BANCA!$B8:$B4163)=MONTH(H$2),FALSE))*(BANCA!$G8:$G4163="Acquisti di beni &lt; 516,46€ ded. 100% - UFFICIO")*(IFERROR(ROUND(BANCA!$F8:$F4163,2),0)))-SUMPRODUCT((IFERROR(MONTH(CASSA!$B7:$B3166)=MONTH(H$2),FALSE))*(CASSA!$G7:$G3166="Acquisti di beni &lt; 516,46€ ded. 100% - UFFICIO")*(IFERROR(ROUND(CASSA!$E7:$E3166,2),0)))-
SUMPRODUCT((IFERROR(MONTH(BANCA!$B8:$B4163)=MONTH(H$2),FALSE))*(BANCA!$G8:$G4163="Acquisti di beni &lt; 516,46€ ded. 100% - UFFICIO")*(IFERROR(ROUND(BANCA!$E8:$E4163,2),0)))</f>
        <v>0</v>
      </c>
      <c r="I41" s="297"/>
      <c r="J41" s="297" cm="1">
        <f t="array" ref="J41">SUMPRODUCT((IFERROR(MONTH(CASSA!$B7:$B3166)=MONTH(J$2),FALSE))*(CASSA!$G7:$G3166="Acquisti di beni &lt; 516,46€ ded. 100% - UFFICIO")*(IFERROR(ROUND(CASSA!$F7:$F3166,2),0)))+
SUMPRODUCT((IFERROR(MONTH(BANCA!$B8:$B4163)=MONTH(J$2),FALSE))*(BANCA!$G8:$G4163="Acquisti di beni &lt; 516,46€ ded. 100% - UFFICIO")*(IFERROR(ROUND(BANCA!$F8:$F4163,2),0)))-SUMPRODUCT((IFERROR(MONTH(CASSA!$B7:$B3166)=MONTH(J$2),FALSE))*(CASSA!$G7:$G3166="Acquisti di beni &lt; 516,46€ ded. 100% - UFFICIO")*(IFERROR(ROUND(CASSA!$E7:$E3166,2),0)))-
SUMPRODUCT((IFERROR(MONTH(BANCA!$B8:$B4163)=MONTH(J$2),FALSE))*(BANCA!$G8:$G4163="Acquisti di beni &lt; 516,46€ ded. 100% - UFFICIO")*(IFERROR(ROUND(BANCA!$E8:$E4163,2),0)))</f>
        <v>0</v>
      </c>
      <c r="K41" s="297"/>
      <c r="L41" s="297" cm="1">
        <f t="array" ref="L41">SUMPRODUCT((IFERROR(MONTH(CASSA!$B7:$B3166)=MONTH(L$2),FALSE))*(CASSA!$G7:$G3166="Acquisti di beni &lt; 516,46€ ded. 100% - UFFICIO")*(IFERROR(ROUND(CASSA!$F7:$F3166,2),0)))+
SUMPRODUCT((IFERROR(MONTH(BANCA!$B8:$B4163)=MONTH(L$2),FALSE))*(BANCA!$G8:$G4163="Acquisti di beni &lt; 516,46€ ded. 100% - UFFICIO")*(IFERROR(ROUND(BANCA!$F8:$F4163,2),0)))-SUMPRODUCT((IFERROR(MONTH(CASSA!$B7:$B3166)=MONTH(L$2),FALSE))*(CASSA!$G7:$G3166="Acquisti di beni &lt; 516,46€ ded. 100% - UFFICIO")*(IFERROR(ROUND(CASSA!$E7:$E3166,2),0)))-
SUMPRODUCT((IFERROR(MONTH(BANCA!$B8:$B4163)=MONTH(L$2),FALSE))*(BANCA!$G8:$G4163="Acquisti di beni &lt; 516,46€ ded. 100% - UFFICIO")*(IFERROR(ROUND(BANCA!$E8:$E4163,2),0)))</f>
        <v>0</v>
      </c>
      <c r="M41" s="297"/>
      <c r="N41" s="297" cm="1">
        <f t="array" ref="N41">SUMPRODUCT((IFERROR(MONTH(CASSA!$B7:$B3166)=MONTH(N$2),FALSE))*(CASSA!$G7:$G3166="Acquisti di beni &lt; 516,46€ ded. 100% - UFFICIO")*(IFERROR(ROUND(CASSA!$F7:$F3166,2),0)))+
SUMPRODUCT((IFERROR(MONTH(BANCA!$B8:$B4163)=MONTH(N$2),FALSE))*(BANCA!$G8:$G4163="Acquisti di beni &lt; 516,46€ ded. 100% - UFFICIO")*(IFERROR(ROUND(BANCA!$F8:$F4163,2),0)))-SUMPRODUCT((IFERROR(MONTH(CASSA!$B7:$B3166)=MONTH(N$2),FALSE))*(CASSA!$G7:$G3166="Acquisti di beni &lt; 516,46€ ded. 100% - UFFICIO")*(IFERROR(ROUND(CASSA!$E7:$E3166,2),0)))-
SUMPRODUCT((IFERROR(MONTH(BANCA!$B8:$B4163)=MONTH(N$2),FALSE))*(BANCA!$G8:$G4163="Acquisti di beni &lt; 516,46€ ded. 100% - UFFICIO")*(IFERROR(ROUND(BANCA!$E8:$E4163,2),0)))</f>
        <v>0</v>
      </c>
      <c r="O41" s="297"/>
      <c r="P41" s="297" cm="1">
        <f t="array" ref="P41">SUMPRODUCT((IFERROR(MONTH(CASSA!$B7:$B3166)=MONTH(P$2),FALSE))*(CASSA!$G7:$G3166="Acquisti di beni &lt; 516,46€ ded. 100% - UFFICIO")*(IFERROR(ROUND(CASSA!$F7:$F3166,2),0)))+
SUMPRODUCT((IFERROR(MONTH(BANCA!$B8:$B4163)=MONTH(P$2),FALSE))*(BANCA!$G8:$G4163="Acquisti di beni &lt; 516,46€ ded. 100% - UFFICIO")*(IFERROR(ROUND(BANCA!$F8:$F4163,2),0)))-SUMPRODUCT((IFERROR(MONTH(CASSA!$B7:$B3166)=MONTH(P$2),FALSE))*(CASSA!$G7:$G3166="Acquisti di beni &lt; 516,46€ ded. 100% - UFFICIO")*(IFERROR(ROUND(CASSA!$E7:$E3166,2),0)))-
SUMPRODUCT((IFERROR(MONTH(BANCA!$B8:$B4163)=MONTH(P$2),FALSE))*(BANCA!$G8:$G4163="Acquisti di beni &lt; 516,46€ ded. 100% - UFFICIO")*(IFERROR(ROUND(BANCA!$E8:$E4163,2),0)))</f>
        <v>221.66</v>
      </c>
      <c r="Q41" s="297"/>
      <c r="R41" s="297" cm="1">
        <f t="array" ref="R41">SUMPRODUCT((IFERROR(MONTH(CASSA!$B7:$B3166)=MONTH(R$2),FALSE))*(CASSA!$G7:$G3166="Acquisti di beni &lt; 516,46€ ded. 100% - UFFICIO")*(IFERROR(ROUND(CASSA!$F7:$F3166,2),0)))+
SUMPRODUCT((IFERROR(MONTH(BANCA!$B8:$B4163)=MONTH(R$2),FALSE))*(BANCA!$G8:$G4163="Acquisti di beni &lt; 516,46€ ded. 100% - UFFICIO")*(IFERROR(ROUND(BANCA!$F8:$F4163,2),0)))-SUMPRODUCT((IFERROR(MONTH(CASSA!$B7:$B3166)=MONTH(R$2),FALSE))*(CASSA!$G7:$G3166="Acquisti di beni &lt; 516,46€ ded. 100% - UFFICIO")*(IFERROR(ROUND(CASSA!$E7:$E3166,2),0)))-
SUMPRODUCT((IFERROR(MONTH(BANCA!$B8:$B4163)=MONTH(R$2),FALSE))*(BANCA!$G8:$G4163="Acquisti di beni &lt; 516,46€ ded. 100% - UFFICIO")*(IFERROR(ROUND(BANCA!$E8:$E4163,2),0)))</f>
        <v>1043</v>
      </c>
      <c r="S41" s="297"/>
      <c r="T41" s="297" cm="1">
        <f t="array" ref="T41">SUMPRODUCT((IFERROR(MONTH(CASSA!$B7:$B3166)=MONTH(T$2),FALSE))*(CASSA!$G7:$G3166="Acquisti di beni &lt; 516,46€ ded. 100% - UFFICIO")*(IFERROR(ROUND(CASSA!$F7:$F3166,2),0)))+
SUMPRODUCT((IFERROR(MONTH(BANCA!$B8:$B4163)=MONTH(T$2),FALSE))*(BANCA!$G8:$G4163="Acquisti di beni &lt; 516,46€ ded. 100% - UFFICIO")*(IFERROR(ROUND(BANCA!$F8:$F4163,2),0)))-SUMPRODUCT((IFERROR(MONTH(CASSA!$B7:$B3166)=MONTH(T$2),FALSE))*(CASSA!$G7:$G3166="Acquisti di beni &lt; 516,46€ ded. 100% - UFFICIO")*(IFERROR(ROUND(CASSA!$E7:$E3166,2),0)))-
SUMPRODUCT((IFERROR(MONTH(BANCA!$B8:$B4163)=MONTH(T$2),FALSE))*(BANCA!$G8:$G4163="Acquisti di beni &lt; 516,46€ ded. 100% - UFFICIO")*(IFERROR(ROUND(BANCA!$E8:$E4163,2),0)))</f>
        <v>0</v>
      </c>
      <c r="U41" s="297"/>
      <c r="V41" s="297" cm="1">
        <f t="array" ref="V41">SUMPRODUCT((IFERROR(MONTH(CASSA!$B7:$B3166)=MONTH(V$2),FALSE))*(CASSA!$G7:$G3166="Acquisti di beni &lt; 516,46€ ded. 100% - UFFICIO")*(IFERROR(ROUND(CASSA!$F7:$F3166,2),0)))+
SUMPRODUCT((IFERROR(MONTH(BANCA!$B8:$B4163)=MONTH(V$2),FALSE))*(BANCA!$G8:$G4163="Acquisti di beni &lt; 516,46€ ded. 100% - UFFICIO")*(IFERROR(ROUND(BANCA!$F8:$F4163,2),0)))-SUMPRODUCT((IFERROR(MONTH(CASSA!$B7:$B3166)=MONTH(V$2),FALSE))*(CASSA!$G7:$G3166="Acquisti di beni &lt; 516,46€ ded. 100% - UFFICIO")*(IFERROR(ROUND(CASSA!$E7:$E3166,2),0)))-
SUMPRODUCT((IFERROR(MONTH(BANCA!$B8:$B4163)=MONTH(V$2),FALSE))*(BANCA!$G8:$G4163="Acquisti di beni &lt; 516,46€ ded. 100% - UFFICIO")*(IFERROR(ROUND(BANCA!$E8:$E4163,2),0)))</f>
        <v>0</v>
      </c>
      <c r="W41" s="297"/>
      <c r="X41" s="297" cm="1">
        <f t="array" ref="X41">SUMPRODUCT((IFERROR(MONTH(CASSA!$B7:$B3166)=MONTH(X$2),FALSE))*(CASSA!$G7:$G3166="Acquisti di beni &lt; 516,46€ ded. 100% - UFFICIO")*(IFERROR(ROUND(CASSA!$F7:$F3166,2),0)))+
SUMPRODUCT((IFERROR(MONTH(BANCA!$B8:$B4163)=MONTH(X$2),FALSE))*(BANCA!$G8:$G4163="Acquisti di beni &lt; 516,46€ ded. 100% - UFFICIO")*(IFERROR(ROUND(BANCA!$F8:$F4163,2),0)))-SUMPRODUCT((IFERROR(MONTH(CASSA!$B7:$B3166)=MONTH(X$2),FALSE))*(CASSA!$G7:$G3166="Acquisti di beni &lt; 516,46€ ded. 100% - UFFICIO")*(IFERROR(ROUND(CASSA!$E7:$E3166,2),0)))-
SUMPRODUCT((IFERROR(MONTH(BANCA!$B8:$B4163)=MONTH(X$2),FALSE))*(BANCA!$G8:$G4163="Acquisti di beni &lt; 516,46€ ded. 100% - UFFICIO")*(IFERROR(ROUND(BANCA!$E8:$E4163,2),0)))</f>
        <v>0</v>
      </c>
      <c r="Y41" s="297"/>
      <c r="Z41" s="297" cm="1">
        <f t="array" ref="Z41">SUMPRODUCT((IFERROR(MONTH(CASSA!$B7:$B3166)=MONTH(Z$2),FALSE))*(CASSA!$G7:$G3166="Acquisti di beni &lt; 516,46€ ded. 100% - UFFICIO")*(IFERROR(ROUND(CASSA!$F7:$F3166,2),0)))+
SUMPRODUCT((IFERROR(MONTH(BANCA!$B8:$B4163)=MONTH(Z$2),FALSE))*(BANCA!$G8:$G4163="Acquisti di beni &lt; 516,46€ ded. 100% - UFFICIO")*(IFERROR(ROUND(BANCA!$F8:$F4163,2),0)))-SUMPRODUCT((IFERROR(MONTH(CASSA!$B7:$B3166)=MONTH(Z$2),FALSE))*(CASSA!$G7:$G3166="Acquisti di beni &lt; 516,46€ ded. 100% - UFFICIO")*(IFERROR(ROUND(CASSA!$E7:$E3166,2),0)))-
SUMPRODUCT((IFERROR(MONTH(BANCA!$B8:$B4163)=MONTH(Z$2),FALSE))*(BANCA!$G8:$G4163="Acquisti di beni &lt; 516,46€ ded. 100% - UFFICIO")*(IFERROR(ROUND(BANCA!$E8:$E4163,2),0)))</f>
        <v>0</v>
      </c>
      <c r="AA41" s="297"/>
      <c r="AB41" s="769">
        <f>SUM(D41:Z41)</f>
        <v>1264.6600000000001</v>
      </c>
      <c r="AC41" s="792" t="s">
        <v>1993</v>
      </c>
      <c r="AD41" s="284"/>
      <c r="AE41" s="284"/>
      <c r="AF41" s="284"/>
      <c r="AG41" s="284"/>
      <c r="AH41" s="284"/>
      <c r="AI41" s="284"/>
      <c r="AJ41" s="284"/>
      <c r="AK41" s="284"/>
      <c r="AL41" s="284"/>
      <c r="AM41" s="284"/>
      <c r="AN41" s="284"/>
    </row>
    <row r="42" spans="2:40">
      <c r="B42" s="300"/>
      <c r="C42" s="300"/>
      <c r="D42" s="785">
        <f>SUM(D38:D38)/D12</f>
        <v>0</v>
      </c>
      <c r="E42" s="785"/>
      <c r="F42" s="785">
        <f t="shared" ref="F42:P42" si="18">SUM(F38:F39)/F12</f>
        <v>0</v>
      </c>
      <c r="G42" s="785"/>
      <c r="H42" s="785">
        <f t="shared" si="18"/>
        <v>0</v>
      </c>
      <c r="I42" s="785"/>
      <c r="J42" s="785">
        <f t="shared" si="18"/>
        <v>0</v>
      </c>
      <c r="K42" s="785"/>
      <c r="L42" s="785">
        <f t="shared" si="18"/>
        <v>0</v>
      </c>
      <c r="M42" s="785"/>
      <c r="N42" s="785">
        <f t="shared" si="18"/>
        <v>0</v>
      </c>
      <c r="O42" s="785"/>
      <c r="P42" s="785">
        <f t="shared" si="18"/>
        <v>2.0694638334888354E-2</v>
      </c>
      <c r="Q42" s="785"/>
      <c r="R42" s="785">
        <f>SUM(R38:R41)/R5</f>
        <v>2.9738549705204845E-2</v>
      </c>
      <c r="S42" s="785"/>
      <c r="T42" s="785">
        <f>SUM(T38:T39)/T12</f>
        <v>3.8354150753091676E-2</v>
      </c>
      <c r="U42" s="785"/>
      <c r="V42" s="785">
        <f>SUM(V38:V39)/V12</f>
        <v>0</v>
      </c>
      <c r="W42" s="785"/>
      <c r="X42" s="785">
        <f>SUM(X38:X39)/X12</f>
        <v>0</v>
      </c>
      <c r="Y42" s="785"/>
      <c r="Z42" s="785">
        <f>SUM(Z38:Z39)/Z12</f>
        <v>0</v>
      </c>
      <c r="AA42" s="785"/>
      <c r="AB42" s="771">
        <f>SUM(AB38:AB41)/AB5</f>
        <v>1.6605794243180448E-2</v>
      </c>
    </row>
    <row r="43" spans="2:40">
      <c r="B43" s="300"/>
      <c r="C43" s="300"/>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744"/>
    </row>
    <row r="44" spans="2:40" ht="23" customHeight="1">
      <c r="B44" s="906" t="s">
        <v>1961</v>
      </c>
      <c r="C44" s="906"/>
      <c r="D44" s="297"/>
      <c r="E44" s="297"/>
      <c r="F44" s="297"/>
      <c r="G44" s="297"/>
      <c r="H44" s="297"/>
      <c r="I44" s="297"/>
      <c r="J44" s="297"/>
      <c r="K44" s="297"/>
      <c r="L44" s="297"/>
      <c r="M44" s="297"/>
      <c r="N44" s="297"/>
      <c r="O44" s="297"/>
      <c r="P44" s="297"/>
      <c r="Q44" s="297"/>
      <c r="R44" s="297"/>
      <c r="S44" s="297"/>
      <c r="T44" s="297"/>
      <c r="U44" s="297"/>
      <c r="V44" s="297"/>
      <c r="W44" s="297"/>
      <c r="X44" s="297"/>
      <c r="Y44" s="297"/>
      <c r="Z44" s="297"/>
      <c r="AA44" s="297"/>
      <c r="AB44" s="743"/>
    </row>
    <row r="45" spans="2:40" s="232" customFormat="1" ht="18" customHeight="1">
      <c r="B45" s="907" t="s">
        <v>150</v>
      </c>
      <c r="C45" s="907"/>
      <c r="D45" s="297" cm="1">
        <f t="array" ref="D45">SUMPRODUCT((IFERROR(MONTH(CASSA!$B7:$B3155)=MONTH(D$2),FALSE))*(CASSA!$G7:$G3155="AFFITTI E LOCAZIONI IMMOBILI")*(IFERROR(ROUND(CASSA!$F7:$F3155,2),0))) +
SUMPRODUCT((IFERROR(MONTH(BANCA!$B8:$B4155)=MONTH(D$2),FALSE))*(BANCA!$G8:$G4155="AFFITTI E LOCAZIONI IMMOBILI")*(IFERROR(ROUND(BANCA!$F8:$F4155,2),0)))-SUMPRODUCT((IFERROR(MONTH(CASSA!$B7:$B3155)=MONTH(D$2),FALSE))*(CASSA!$G7:$G3155="AFFITTI E LOCAZIONI IMMOBILI")*(IFERROR(ROUND(CASSA!$E7:$E3155,2),0))) -
SUMPRODUCT((IFERROR(MONTH(BANCA!$B8:$B4155)=MONTH(D$2),FALSE))*(BANCA!$G8:$G4155="AFFITTI E LOCAZIONI IMMOBILI")*(IFERROR(ROUND(BANCA!$E8:$E4155,2),0)))</f>
        <v>4027.5099999999998</v>
      </c>
      <c r="E45" s="297"/>
      <c r="F45" s="297" cm="1">
        <f t="array" ref="F45">SUMPRODUCT((IFERROR(MONTH(CASSA!$B7:$B3155)=MONTH(F$2),FALSE))*(CASSA!$G7:$G3155="AFFITTI E LOCAZIONI IMMOBILI")*(IFERROR(ROUND(CASSA!$F7:$F3155,2),0))) +
SUMPRODUCT((IFERROR(MONTH(BANCA!$B8:$B4155)=MONTH(F$2),FALSE))*(BANCA!$G8:$G4155="AFFITTI E LOCAZIONI IMMOBILI")*(IFERROR(ROUND(BANCA!$F8:$F4155,2),0)))-SUMPRODUCT((IFERROR(MONTH(CASSA!$B7:$B3155)=MONTH(F$2),FALSE))*(CASSA!$G7:$G3155="AFFITTI E LOCAZIONI IMMOBILI")*(IFERROR(ROUND(CASSA!$E7:$E3155,2),0))) -
SUMPRODUCT((IFERROR(MONTH(BANCA!$B8:$B4155)=MONTH(F$2),FALSE))*(BANCA!$G8:$G4155="AFFITTI E LOCAZIONI IMMOBILI")*(IFERROR(ROUND(BANCA!$E8:$E4155,2),0)))</f>
        <v>3611.7</v>
      </c>
      <c r="G45" s="297"/>
      <c r="H45" s="297" cm="1">
        <f t="array" ref="H45">SUMPRODUCT((IFERROR(MONTH(CASSA!$B7:$B3155)=MONTH(H$2),FALSE))*(CASSA!$G7:$G3155="AFFITTI E LOCAZIONI IMMOBILI")*(IFERROR(ROUND(CASSA!$F7:$F3155,2),0))) +
SUMPRODUCT((IFERROR(MONTH(BANCA!$B8:$B4155)=MONTH(H$2),FALSE))*(BANCA!$G8:$G4155="AFFITTI E LOCAZIONI IMMOBILI")*(IFERROR(ROUND(BANCA!$F8:$F4155,2),0)))-SUMPRODUCT((IFERROR(MONTH(CASSA!$B7:$B3155)=MONTH(H$2),FALSE))*(CASSA!$G7:$G3155="AFFITTI E LOCAZIONI IMMOBILI")*(IFERROR(ROUND(CASSA!$E7:$E3155,2),0))) -
SUMPRODUCT((IFERROR(MONTH(BANCA!$B8:$B4155)=MONTH(H$2),FALSE))*(BANCA!$G8:$G4155="AFFITTI E LOCAZIONI IMMOBILI")*(IFERROR(ROUND(BANCA!$E8:$E4155,2),0)))</f>
        <v>3611.7</v>
      </c>
      <c r="I45" s="297"/>
      <c r="J45" s="297" cm="1">
        <f t="array" ref="J45">SUMPRODUCT((IFERROR(MONTH(CASSA!$B7:$B3155)=MONTH(J$2),FALSE))*(CASSA!$G7:$G3155="AFFITTI E LOCAZIONI IMMOBILI")*(IFERROR(ROUND(CASSA!$F7:$F3155,2),0))) +
SUMPRODUCT((IFERROR(MONTH(BANCA!$B8:$B4155)=MONTH(J$2),FALSE))*(BANCA!$G8:$G4155="AFFITTI E LOCAZIONI IMMOBILI")*(IFERROR(ROUND(BANCA!$F8:$F4155,2),0)))-SUMPRODUCT((IFERROR(MONTH(CASSA!$B7:$B3155)=MONTH(J$2),FALSE))*(CASSA!$G7:$G3155="AFFITTI E LOCAZIONI IMMOBILI")*(IFERROR(ROUND(CASSA!$E7:$E3155,2),0))) -
SUMPRODUCT((IFERROR(MONTH(BANCA!$B8:$B4155)=MONTH(J$2),FALSE))*(BANCA!$G8:$G4155="AFFITTI E LOCAZIONI IMMOBILI")*(IFERROR(ROUND(BANCA!$E8:$E4155,2),0)))</f>
        <v>5200.6899999999996</v>
      </c>
      <c r="K45" s="297"/>
      <c r="L45" s="297" cm="1">
        <f t="array" ref="L45">SUMPRODUCT((IFERROR(MONTH(CASSA!$B7:$B3155)=MONTH(L$2),FALSE))*(CASSA!$G7:$G3155="AFFITTI E LOCAZIONI IMMOBILI")*(IFERROR(ROUND(CASSA!$F7:$F3155,2),0))) +
SUMPRODUCT((IFERROR(MONTH(BANCA!$B8:$B4155)=MONTH(L$2),FALSE))*(BANCA!$G8:$G4155="AFFITTI E LOCAZIONI IMMOBILI")*(IFERROR(ROUND(BANCA!$F8:$F4155,2),0)))-SUMPRODUCT((IFERROR(MONTH(CASSA!$B7:$B3155)=MONTH(L$2),FALSE))*(CASSA!$G7:$G3155="AFFITTI E LOCAZIONI IMMOBILI")*(IFERROR(ROUND(CASSA!$E7:$E3155,2),0))) -
SUMPRODUCT((IFERROR(MONTH(BANCA!$B8:$B4155)=MONTH(L$2),FALSE))*(BANCA!$G8:$G4155="AFFITTI E LOCAZIONI IMMOBILI")*(IFERROR(ROUND(BANCA!$E8:$E4155,2),0)))</f>
        <v>3611.7</v>
      </c>
      <c r="M45" s="297"/>
      <c r="N45" s="297" cm="1">
        <f t="array" ref="N45">SUMPRODUCT((IFERROR(MONTH(CASSA!$B7:$B3155)=MONTH(N$2),FALSE))*(CASSA!$G7:$G3155="AFFITTI E LOCAZIONI IMMOBILI")*(IFERROR(ROUND(CASSA!$F7:$F3155,2),0))) +
SUMPRODUCT((IFERROR(MONTH(BANCA!$B8:$B4155)=MONTH(N$2),FALSE))*(BANCA!$G8:$G4155="AFFITTI E LOCAZIONI IMMOBILI")*(IFERROR(ROUND(BANCA!$F8:$F4155,2),0)))-SUMPRODUCT((IFERROR(MONTH(CASSA!$B7:$B3155)=MONTH(N$2),FALSE))*(CASSA!$G7:$G3155="AFFITTI E LOCAZIONI IMMOBILI")*(IFERROR(ROUND(CASSA!$E7:$E3155,2),0))) -
SUMPRODUCT((IFERROR(MONTH(BANCA!$B8:$B4155)=MONTH(N$2),FALSE))*(BANCA!$G8:$G4155="AFFITTI E LOCAZIONI IMMOBILI")*(IFERROR(ROUND(BANCA!$E8:$E4155,2),0)))</f>
        <v>5116.6000000000004</v>
      </c>
      <c r="O45" s="297"/>
      <c r="P45" s="297" cm="1">
        <f t="array" ref="P45">SUMPRODUCT((IFERROR(MONTH(CASSA!$B7:$B3155)=MONTH(P$2),FALSE))*(CASSA!$G7:$G3155="AFFITTI E LOCAZIONI IMMOBILI")*(IFERROR(ROUND(CASSA!$F7:$F3155,2),0))) +
SUMPRODUCT((IFERROR(MONTH(BANCA!$B8:$B4155)=MONTH(P$2),FALSE))*(BANCA!$G8:$G4155="AFFITTI E LOCAZIONI IMMOBILI")*(IFERROR(ROUND(BANCA!$F8:$F4155,2),0)))-SUMPRODUCT((IFERROR(MONTH(CASSA!$B7:$B3155)=MONTH(P$2),FALSE))*(CASSA!$G7:$G3155="AFFITTI E LOCAZIONI IMMOBILI")*(IFERROR(ROUND(CASSA!$E7:$E3155,2),0))) -
SUMPRODUCT((IFERROR(MONTH(BANCA!$B8:$B4155)=MONTH(P$2),FALSE))*(BANCA!$G8:$G4155="AFFITTI E LOCAZIONI IMMOBILI")*(IFERROR(ROUND(BANCA!$E8:$E4155,2),0)))</f>
        <v>4394.2899999999991</v>
      </c>
      <c r="Q45" s="297"/>
      <c r="R45" s="297" cm="1">
        <f t="array" ref="R45">SUMPRODUCT((IFERROR(MONTH(CASSA!$B7:$B3155)=MONTH(R$2),FALSE))*(CASSA!$G7:$G3155="AFFITTI E LOCAZIONI IMMOBILI")*(IFERROR(ROUND(CASSA!$F7:$F3155,2),0))) +
SUMPRODUCT((IFERROR(MONTH(BANCA!$B8:$B4155)=MONTH(R$2),FALSE))*(BANCA!$G8:$G4155="AFFITTI E LOCAZIONI IMMOBILI")*(IFERROR(ROUND(BANCA!$F8:$F4155,2),0)))-SUMPRODUCT((IFERROR(MONTH(CASSA!$B7:$B3155)=MONTH(R$2),FALSE))*(CASSA!$G7:$G3155="AFFITTI E LOCAZIONI IMMOBILI")*(IFERROR(ROUND(CASSA!$E7:$E3155,2),0))) -
SUMPRODUCT((IFERROR(MONTH(BANCA!$B8:$B4155)=MONTH(R$2),FALSE))*(BANCA!$G8:$G4155="AFFITTI E LOCAZIONI IMMOBILI")*(IFERROR(ROUND(BANCA!$E8:$E4155,2),0)))</f>
        <v>4121.5</v>
      </c>
      <c r="S45" s="297"/>
      <c r="T45" s="297" cm="1">
        <f t="array" ref="T45">SUMPRODUCT((IFERROR(MONTH(CASSA!$B7:$B3155)=MONTH(T$2),FALSE))*(CASSA!$G7:$G3155="AFFITTI E LOCAZIONI IMMOBILI")*(IFERROR(ROUND(CASSA!$F7:$F3155,2),0))) +
SUMPRODUCT((IFERROR(MONTH(BANCA!$B8:$B4155)=MONTH(T$2),FALSE))*(BANCA!$G8:$G4155="AFFITTI E LOCAZIONI IMMOBILI")*(IFERROR(ROUND(BANCA!$F8:$F4155,2),0)))-SUMPRODUCT((IFERROR(MONTH(CASSA!$B7:$B3155)=MONTH(T$2),FALSE))*(CASSA!$G7:$G3155="AFFITTI E LOCAZIONI IMMOBILI")*(IFERROR(ROUND(CASSA!$E7:$E3155,2),0))) -
SUMPRODUCT((IFERROR(MONTH(BANCA!$B8:$B4155)=MONTH(T$2),FALSE))*(BANCA!$G8:$G4155="AFFITTI E LOCAZIONI IMMOBILI")*(IFERROR(ROUND(BANCA!$E8:$E4155,2),0)))</f>
        <v>3616.6</v>
      </c>
      <c r="U45" s="297"/>
      <c r="V45" s="297" cm="1">
        <f t="array" ref="V45">SUMPRODUCT((IFERROR(MONTH(CASSA!$B7:$B3155)=MONTH(V$2),FALSE))*(CASSA!$G7:$G3155="AFFITTI E LOCAZIONI IMMOBILI")*(IFERROR(ROUND(CASSA!$F7:$F3155,2),0))) +
SUMPRODUCT((IFERROR(MONTH(BANCA!$B8:$B4155)=MONTH(V$2),FALSE))*(BANCA!$G8:$G4155="AFFITTI E LOCAZIONI IMMOBILI")*(IFERROR(ROUND(BANCA!$F8:$F4155,2),0)))-SUMPRODUCT((IFERROR(MONTH(CASSA!$B7:$B3155)=MONTH(V$2),FALSE))*(CASSA!$G7:$G3155="AFFITTI E LOCAZIONI IMMOBILI")*(IFERROR(ROUND(CASSA!$E7:$E3155,2),0))) -
SUMPRODUCT((IFERROR(MONTH(BANCA!$B8:$B4155)=MONTH(V$2),FALSE))*(BANCA!$G8:$G4155="AFFITTI E LOCAZIONI IMMOBILI")*(IFERROR(ROUND(BANCA!$E8:$E4155,2),0)))</f>
        <v>3815.6699999999996</v>
      </c>
      <c r="W45" s="297"/>
      <c r="X45" s="297" cm="1">
        <f t="array" ref="X45">SUMPRODUCT((IFERROR(MONTH(CASSA!$B7:$B3155)=MONTH(X$2),FALSE))*(CASSA!$G7:$G3155="AFFITTI E LOCAZIONI IMMOBILI")*(IFERROR(ROUND(CASSA!$F7:$F3155,2),0))) +
SUMPRODUCT((IFERROR(MONTH(BANCA!$B8:$B4155)=MONTH(X$2),FALSE))*(BANCA!$G8:$G4155="AFFITTI E LOCAZIONI IMMOBILI")*(IFERROR(ROUND(BANCA!$F8:$F4155,2),0)))-SUMPRODUCT((IFERROR(MONTH(CASSA!$B7:$B3155)=MONTH(X$2),FALSE))*(CASSA!$G7:$G3155="AFFITTI E LOCAZIONI IMMOBILI")*(IFERROR(ROUND(CASSA!$E7:$E3155,2),0))) -
SUMPRODUCT((IFERROR(MONTH(BANCA!$B8:$B4155)=MONTH(X$2),FALSE))*(BANCA!$G8:$G4155="AFFITTI E LOCAZIONI IMMOBILI")*(IFERROR(ROUND(BANCA!$E8:$E4155,2),0)))</f>
        <v>4116.5999999999995</v>
      </c>
      <c r="Y45" s="297"/>
      <c r="Z45" s="297" cm="1">
        <f t="array" ref="Z45">SUMPRODUCT((IFERROR(MONTH(CASSA!$B7:$B3155)=MONTH(Z$2),FALSE))*(CASSA!$G7:$G3155="AFFITTI E LOCAZIONI IMMOBILI")*(IFERROR(ROUND(CASSA!$F7:$F3155,2),0))) +
SUMPRODUCT((IFERROR(MONTH(BANCA!$B8:$B4155)=MONTH(Z$2),FALSE))*(BANCA!$G8:$G4155="AFFITTI E LOCAZIONI IMMOBILI")*(IFERROR(ROUND(BANCA!$F8:$F4155,2),0)))-SUMPRODUCT((IFERROR(MONTH(CASSA!$B7:$B3155)=MONTH(Z$2),FALSE))*(CASSA!$G7:$G3155="AFFITTI E LOCAZIONI IMMOBILI")*(IFERROR(ROUND(CASSA!$E7:$E3155,2),0))) -
SUMPRODUCT((IFERROR(MONTH(BANCA!$B8:$B4155)=MONTH(Z$2),FALSE))*(BANCA!$G8:$G4155="AFFITTI E LOCAZIONI IMMOBILI")*(IFERROR(ROUND(BANCA!$E8:$E4155,2),0)))</f>
        <v>4116.5999999999995</v>
      </c>
      <c r="AA45" s="297"/>
      <c r="AB45" s="769">
        <f>SUM(D45:Z45)</f>
        <v>49361.159999999996</v>
      </c>
      <c r="AC45" s="792" t="s">
        <v>1993</v>
      </c>
      <c r="AD45" s="284"/>
      <c r="AE45" s="284"/>
      <c r="AF45" s="284"/>
      <c r="AG45" s="284"/>
      <c r="AH45" s="284"/>
      <c r="AI45" s="284"/>
      <c r="AJ45" s="284"/>
      <c r="AK45" s="284"/>
      <c r="AL45" s="284"/>
      <c r="AM45" s="284"/>
      <c r="AN45" s="284"/>
    </row>
    <row r="46" spans="2:40" s="232" customFormat="1" ht="18" customHeight="1">
      <c r="B46" s="742" t="s">
        <v>151</v>
      </c>
      <c r="C46" s="742"/>
      <c r="D46" s="297" cm="1">
        <f t="array" ref="D46">SUMPRODUCT((IFERROR(MONTH(CASSA!$B7:$B3155)=MONTH(D$2),FALSE))*(CASSA!$G7:$G3155="ILIA &amp; TARI")*(IFERROR(ROUND(CASSA!$F7:$F3155,2),0))) +
SUMPRODUCT((IFERROR(MONTH(BANCA!$B8:$B4155)=MONTH(D$2),FALSE))*(BANCA!$G8:$G4155="ILIA &amp; TARI")*(IFERROR(ROUND(BANCA!$F8:$F4155,2),0)))-SUMPRODUCT((IFERROR(MONTH(CASSA!$B7:$B3155)=MONTH(D$2),FALSE))*(CASSA!$G7:$G3155="ILIA &amp; TARI")*(IFERROR(ROUND(CASSA!$E7:$E3155,2),0))) -
SUMPRODUCT((IFERROR(MONTH(BANCA!$B8:$B4155)=MONTH(D$2),FALSE))*(BANCA!$G8:$G4155="ILIA &amp; TARI")*(IFERROR(ROUND(BANCA!#REF!,2),0)))</f>
        <v>0</v>
      </c>
      <c r="E46" s="297"/>
      <c r="F46" s="297" cm="1">
        <f t="array" ref="F46">SUMPRODUCT((IFERROR(MONTH(CASSA!$B7:$B3155)=MONTH(F$2),FALSE))*(CASSA!$G7:$G3155="ILIA &amp; TARI")*(IFERROR(ROUND(CASSA!$F7:$F3155,2),0))) +
SUMPRODUCT((IFERROR(MONTH(BANCA!$B8:$B4155)=MONTH(F$2),FALSE))*(BANCA!$G8:$G4155="ILIA &amp; TARI")*(IFERROR(ROUND(BANCA!$F8:$F4155,2),0)))-SUMPRODUCT((IFERROR(MONTH(CASSA!$B7:$B3155)=MONTH(F$2),FALSE))*(CASSA!$G7:$G3155="ILIA &amp; TARI")*(IFERROR(ROUND(CASSA!$E7:$E3155,2),0))) -
SUMPRODUCT((IFERROR(MONTH(BANCA!$B8:$B4155)=MONTH(F$2),FALSE))*(BANCA!$G8:$G4155="ILIA &amp; TARI")*(IFERROR(ROUND(BANCA!#REF!,2),0)))</f>
        <v>0</v>
      </c>
      <c r="G46" s="297"/>
      <c r="H46" s="297" cm="1">
        <f t="array" ref="H46">SUMPRODUCT((IFERROR(MONTH(CASSA!$B7:$B3155)=MONTH(H$2),FALSE))*(CASSA!$G7:$G3155="ILIA &amp; TARI")*(IFERROR(ROUND(CASSA!$F7:$F3155,2),0))) +
SUMPRODUCT((IFERROR(MONTH(BANCA!$B8:$B4155)=MONTH(H$2),FALSE))*(BANCA!$G8:$G4155="ILIA &amp; TARI")*(IFERROR(ROUND(BANCA!$F8:$F4155,2),0)))-SUMPRODUCT((IFERROR(MONTH(CASSA!$B7:$B3155)=MONTH(H$2),FALSE))*(CASSA!$G7:$G3155="ILIA &amp; TARI")*(IFERROR(ROUND(CASSA!$E7:$E3155,2),0))) -
SUMPRODUCT((IFERROR(MONTH(BANCA!$B8:$B4155)=MONTH(H$2),FALSE))*(BANCA!$G8:$G4155="ILIA &amp; TARI")*(IFERROR(ROUND(BANCA!#REF!,2),0)))</f>
        <v>0</v>
      </c>
      <c r="I46" s="297"/>
      <c r="J46" s="297" cm="1">
        <f t="array" ref="J46">SUMPRODUCT((IFERROR(MONTH(CASSA!$B7:$B3155)=MONTH(J$2),FALSE))*(CASSA!$G7:$G3155="ILIA &amp; TARI")*(IFERROR(ROUND(CASSA!$F7:$F3155,2),0))) +
SUMPRODUCT((IFERROR(MONTH(BANCA!$B8:$B4155)=MONTH(J$2),FALSE))*(BANCA!$G8:$G4155="ILIA &amp; TARI")*(IFERROR(ROUND(BANCA!$F8:$F4155,2),0)))-SUMPRODUCT((IFERROR(MONTH(CASSA!$B7:$B3155)=MONTH(J$2),FALSE))*(CASSA!$G7:$G3155="ILIA &amp; TARI")*(IFERROR(ROUND(CASSA!$E7:$E3155,2),0))) -
SUMPRODUCT((IFERROR(MONTH(BANCA!$B8:$B4155)=MONTH(J$2),FALSE))*(BANCA!$G8:$G4155="ILIA &amp; TARI")*(IFERROR(ROUND(BANCA!#REF!,2),0)))</f>
        <v>0</v>
      </c>
      <c r="K46" s="297"/>
      <c r="L46" s="297" cm="1">
        <f t="array" ref="L46">SUMPRODUCT((IFERROR(MONTH(CASSA!$B7:$B3155)=MONTH(L$2),FALSE))*(CASSA!$G7:$G3155="ILIA &amp; TARI")*(IFERROR(ROUND(CASSA!$F7:$F3155,2),0))) +
SUMPRODUCT((IFERROR(MONTH(BANCA!$B8:$B4155)=MONTH(L$2),FALSE))*(BANCA!$G8:$G4155="ILIA &amp; TARI")*(IFERROR(ROUND(BANCA!$F8:$F4155,2),0)))-SUMPRODUCT((IFERROR(MONTH(CASSA!$B7:$B3155)=MONTH(L$2),FALSE))*(CASSA!$G7:$G3155="ILIA &amp; TARI")*(IFERROR(ROUND(CASSA!$E7:$E3155,2),0))) -
SUMPRODUCT((IFERROR(MONTH(BANCA!$B8:$B4155)=MONTH(L$2),FALSE))*(BANCA!$G8:$G4155="ILIA &amp; TARI")*(IFERROR(ROUND(BANCA!#REF!,2),0)))</f>
        <v>0</v>
      </c>
      <c r="M46" s="297"/>
      <c r="N46" s="297" cm="1">
        <f t="array" ref="N46">SUMPRODUCT((IFERROR(MONTH(CASSA!$B7:$B3155)=MONTH(N$2),FALSE))*(CASSA!$G7:$G3155="ILIA &amp; TARI")*(IFERROR(ROUND(CASSA!$F7:$F3155,2),0))) +
SUMPRODUCT((IFERROR(MONTH(BANCA!$B8:$B4155)=MONTH(N$2),FALSE))*(BANCA!$G8:$G4155="ILIA &amp; TARI")*(IFERROR(ROUND(BANCA!$F8:$F4155,2),0)))-SUMPRODUCT((IFERROR(MONTH(CASSA!$B7:$B3155)=MONTH(N$2),FALSE))*(CASSA!$G7:$G3155="ILIA &amp; TARI")*(IFERROR(ROUND(CASSA!$E7:$E3155,2),0))) -
SUMPRODUCT((IFERROR(MONTH(BANCA!$B8:$B4155)=MONTH(N$2),FALSE))*(BANCA!$G8:$G4155="ILIA &amp; TARI")*(IFERROR(ROUND(BANCA!#REF!,2),0)))</f>
        <v>3469</v>
      </c>
      <c r="O46" s="297"/>
      <c r="P46" s="297" cm="1">
        <f t="array" ref="P46">SUMPRODUCT((IFERROR(MONTH(CASSA!$B7:$B3155)=MONTH(P$2),FALSE))*(CASSA!$G7:$G3155="ILIA &amp; TARI")*(IFERROR(ROUND(CASSA!$F7:$F3155,2),0))) +
SUMPRODUCT((IFERROR(MONTH(BANCA!$B8:$B4155)=MONTH(P$2),FALSE))*(BANCA!$G8:$G4155="ILIA &amp; TARI")*(IFERROR(ROUND(BANCA!$F8:$F4155,2),0)))-SUMPRODUCT((IFERROR(MONTH(CASSA!$B7:$B3155)=MONTH(P$2),FALSE))*(CASSA!$G7:$G3155="ILIA &amp; TARI")*(IFERROR(ROUND(CASSA!$E7:$E3155,2),0))) -
SUMPRODUCT((IFERROR(MONTH(BANCA!$B8:$B4155)=MONTH(P$2),FALSE))*(BANCA!$G8:$G4155="ILIA &amp; TARI")*(IFERROR(ROUND(BANCA!#REF!,2),0)))</f>
        <v>0</v>
      </c>
      <c r="Q46" s="297"/>
      <c r="R46" s="297" cm="1">
        <f t="array" ref="R46">SUMPRODUCT((IFERROR(MONTH(CASSA!$B7:$B3155)=MONTH(R$2),FALSE))*(CASSA!$G7:$G3155="ILIA &amp; TARI")*(IFERROR(ROUND(CASSA!$F7:$F3155,2),0))) +
SUMPRODUCT((IFERROR(MONTH(BANCA!$B8:$B4155)=MONTH(R$2),FALSE))*(BANCA!$G8:$G4155="ILIA &amp; TARI")*(IFERROR(ROUND(BANCA!$F8:$F4155,2),0)))-SUMPRODUCT((IFERROR(MONTH(CASSA!$B7:$B3155)=MONTH(R$2),FALSE))*(CASSA!$G7:$G3155="ILIA &amp; TARI")*(IFERROR(ROUND(CASSA!$E7:$E3155,2),0))) -
SUMPRODUCT((IFERROR(MONTH(BANCA!$B8:$B4155)=MONTH(R$2),FALSE))*(BANCA!$G8:$G4155="ILIA &amp; TARI")*(IFERROR(ROUND(BANCA!#REF!,2),0)))</f>
        <v>0</v>
      </c>
      <c r="S46" s="297"/>
      <c r="T46" s="297" cm="1">
        <f t="array" ref="T46">SUMPRODUCT((IFERROR(MONTH(CASSA!$B7:$B3155)=MONTH(T$2),FALSE))*(CASSA!$G7:$G3155="ILIA &amp; TARI")*(IFERROR(ROUND(CASSA!$F7:$F3155,2),0))) +
SUMPRODUCT((IFERROR(MONTH(BANCA!$B8:$B4155)=MONTH(T$2),FALSE))*(BANCA!$G8:$G4155="ILIA &amp; TARI")*(IFERROR(ROUND(BANCA!$F8:$F4155,2),0)))-SUMPRODUCT((IFERROR(MONTH(CASSA!$B7:$B3155)=MONTH(T$2),FALSE))*(CASSA!$G7:$G3155="ILIA &amp; TARI")*(IFERROR(ROUND(CASSA!$E7:$E3155,2),0))) -
SUMPRODUCT((IFERROR(MONTH(BANCA!$B8:$B4155)=MONTH(T$2),FALSE))*(BANCA!$G8:$G4155="ILIA &amp; TARI")*(IFERROR(ROUND(BANCA!#REF!,2),0)))</f>
        <v>585.6</v>
      </c>
      <c r="U46" s="297"/>
      <c r="V46" s="297" cm="1">
        <f t="array" ref="V46">SUMPRODUCT((IFERROR(MONTH(CASSA!$B7:$B3155)=MONTH(V$2),FALSE))*(CASSA!$G7:$G3155="ILIA &amp; TARI")*(IFERROR(ROUND(CASSA!$F7:$F3155,2),0))) +
SUMPRODUCT((IFERROR(MONTH(BANCA!$B8:$B4155)=MONTH(V$2),FALSE))*(BANCA!$G8:$G4155="ILIA &amp; TARI")*(IFERROR(ROUND(BANCA!$F8:$F4155,2),0)))-SUMPRODUCT((IFERROR(MONTH(CASSA!$B7:$B3155)=MONTH(V$2),FALSE))*(CASSA!$G7:$G3155="ILIA &amp; TARI")*(IFERROR(ROUND(CASSA!$E7:$E3155,2),0))) -
SUMPRODUCT((IFERROR(MONTH(BANCA!$B8:$B4155)=MONTH(V$2),FALSE))*(BANCA!$G8:$G4155="ILIA &amp; TARI")*(IFERROR(ROUND(BANCA!#REF!,2),0)))</f>
        <v>0</v>
      </c>
      <c r="W46" s="297"/>
      <c r="X46" s="297" cm="1">
        <f t="array" ref="X46">SUMPRODUCT((IFERROR(MONTH(CASSA!$B7:$B3155)=MONTH(X$2),FALSE))*(CASSA!$G7:$G3155="ILIA &amp; TARI")*(IFERROR(ROUND(CASSA!$F7:$F3155,2),0))) +
SUMPRODUCT((IFERROR(MONTH(BANCA!$B8:$B4155)=MONTH(X$2),FALSE))*(BANCA!$G8:$G4155="ILIA &amp; TARI")*(IFERROR(ROUND(BANCA!$F8:$F4155,2),0)))-SUMPRODUCT((IFERROR(MONTH(CASSA!$B7:$B3155)=MONTH(X$2),FALSE))*(CASSA!$G7:$G3155="ILIA &amp; TARI")*(IFERROR(ROUND(CASSA!$E7:$E3155,2),0))) -
SUMPRODUCT((IFERROR(MONTH(BANCA!$B8:$B4155)=MONTH(X$2),FALSE))*(BANCA!$G8:$G4155="ILIA &amp; TARI")*(IFERROR(ROUND(BANCA!#REF!,2),0)))</f>
        <v>0</v>
      </c>
      <c r="Y46" s="297"/>
      <c r="Z46" s="297" cm="1">
        <f t="array" ref="Z46">SUMPRODUCT((IFERROR(MONTH(CASSA!$B7:$B3155)=MONTH(Z$2),FALSE))*(CASSA!$G7:$G3155="ILIA &amp; TARI")*(IFERROR(ROUND(CASSA!$F7:$F3155,2),0))) +
SUMPRODUCT((IFERROR(MONTH(BANCA!$B8:$B4155)=MONTH(Z$2),FALSE))*(BANCA!$G8:$G4155="ILIA &amp; TARI")*(IFERROR(ROUND(BANCA!$F8:$F4155,2),0)))-SUMPRODUCT((IFERROR(MONTH(CASSA!$B7:$B3155)=MONTH(Z$2),FALSE))*(CASSA!$G7:$G3155="ILIA &amp; TARI")*(IFERROR(ROUND(CASSA!$E7:$E3155,2),0))) -
SUMPRODUCT((IFERROR(MONTH(BANCA!$B8:$B4155)=MONTH(Z$2),FALSE))*(BANCA!$G8:$G4155="ILIA &amp; TARI")*(IFERROR(ROUND(BANCA!#REF!,2),0)))</f>
        <v>0</v>
      </c>
      <c r="AA46" s="297"/>
      <c r="AB46" s="769">
        <f>SUM(D46:Z46)</f>
        <v>4054.6</v>
      </c>
      <c r="AC46" s="792" t="s">
        <v>1993</v>
      </c>
      <c r="AD46" s="284"/>
      <c r="AE46" s="284"/>
      <c r="AF46" s="284"/>
      <c r="AG46" s="284"/>
      <c r="AH46" s="284"/>
      <c r="AI46" s="284"/>
      <c r="AJ46" s="284"/>
      <c r="AK46" s="284"/>
      <c r="AL46" s="284"/>
      <c r="AM46" s="284"/>
      <c r="AN46" s="284"/>
    </row>
    <row r="47" spans="2:40" s="232" customFormat="1" ht="18" customHeight="1">
      <c r="B47" s="742" t="s">
        <v>152</v>
      </c>
      <c r="C47" s="742"/>
      <c r="D47" s="297" cm="1">
        <f t="array" ref="D47">SUMPRODUCT((IFERROR(MONTH(CASSA!$B7:$B3155)=MONTH(D$2),FALSE))*(CASSA!$G7:$G3155="Spese condominiali")*(IFERROR(ROUND(CASSA!$F7:$F3155,2),0))) + SUMPRODUCT((IFERROR(MONTH(BANCA!$B8:$B4155)=MONTH(D$2),FALSE))*(BANCA!$G8:$G4155="Spese condominiali")*(IFERROR(ROUND(BANCA!$F8:$F4155,2),0)))-SUMPRODUCT((IFERROR(MONTH(CASSA!$B7:$B3155)=MONTH(D$2),FALSE))*(CASSA!$G7:$G3155="Spese condominiali")*(IFERROR(ROUND(CASSA!$E7:$E3155,2),0)))- SUMPRODUCT((IFERROR(MONTH(BANCA!$B8:$B4155)=MONTH(D$2),FALSE))*(BANCA!$G8:$G4155="Spese condominiali")*(IFERROR(ROUND(BANCA!$E8:$E4155,2),0)))</f>
        <v>3452</v>
      </c>
      <c r="E47" s="297"/>
      <c r="F47" s="297" cm="1">
        <f t="array" ref="F47">SUMPRODUCT((IFERROR(MONTH(CASSA!$B7:$B3155)=MONTH(F$2),FALSE))*(CASSA!$G7:$G3155="Spese condominiali")*(IFERROR(ROUND(CASSA!$F7:$F3155,2),0))) + SUMPRODUCT((IFERROR(MONTH(BANCA!$B8:$B4155)=MONTH(F$2),FALSE))*(BANCA!$G8:$G4155="Spese condominiali")*(IFERROR(ROUND(BANCA!$F8:$F4155,2),0)))-SUMPRODUCT((IFERROR(MONTH(CASSA!$B7:$B3155)=MONTH(F$2),FALSE))*(CASSA!$G7:$G3155="Spese condominiali")*(IFERROR(ROUND(CASSA!$E7:$E3155,2),0)))- SUMPRODUCT((IFERROR(MONTH(BANCA!$B8:$B4155)=MONTH(F$2),FALSE))*(BANCA!$G8:$G4155="Spese condominiali")*(IFERROR(ROUND(BANCA!$E8:$E4155,2),0)))</f>
        <v>1703.25</v>
      </c>
      <c r="G47" s="297"/>
      <c r="H47" s="297" cm="1">
        <f t="array" ref="H47">SUMPRODUCT((IFERROR(MONTH(CASSA!$B7:$B3155)=MONTH(H$2),FALSE))*(CASSA!$G7:$G3155="Spese condominiali")*(IFERROR(ROUND(CASSA!$F7:$F3155,2),0))) + SUMPRODUCT((IFERROR(MONTH(BANCA!$B8:$B4155)=MONTH(H$2),FALSE))*(BANCA!$G8:$G4155="Spese condominiali")*(IFERROR(ROUND(BANCA!$F8:$F4155,2),0)))-SUMPRODUCT((IFERROR(MONTH(CASSA!$B7:$B3155)=MONTH(H$2),FALSE))*(CASSA!$G7:$G3155="Spese condominiali")*(IFERROR(ROUND(CASSA!$E7:$E3155,2),0)))- SUMPRODUCT((IFERROR(MONTH(BANCA!$B8:$B4155)=MONTH(H$2),FALSE))*(BANCA!$G8:$G4155="Spese condominiali")*(IFERROR(ROUND(BANCA!$E8:$E4155,2),0)))</f>
        <v>3452</v>
      </c>
      <c r="I47" s="297"/>
      <c r="J47" s="297" cm="1">
        <f t="array" ref="J47">SUMPRODUCT((IFERROR(MONTH(CASSA!$B7:$B3155)=MONTH(J$2),FALSE))*(CASSA!$G7:$G3155="Spese condominiali")*(IFERROR(ROUND(CASSA!$F7:$F3155,2),0))) + SUMPRODUCT((IFERROR(MONTH(BANCA!$B8:$B4155)=MONTH(J$2),FALSE))*(BANCA!$G8:$G4155="Spese condominiali")*(IFERROR(ROUND(BANCA!$F8:$F4155,2),0)))-SUMPRODUCT((IFERROR(MONTH(CASSA!$B7:$B3155)=MONTH(J$2),FALSE))*(CASSA!$G7:$G3155="Spese condominiali")*(IFERROR(ROUND(CASSA!$E7:$E3155,2),0)))- SUMPRODUCT((IFERROR(MONTH(BANCA!$B8:$B4155)=MONTH(J$2),FALSE))*(BANCA!$G8:$G4155="Spese condominiali")*(IFERROR(ROUND(BANCA!$E8:$E4155,2),0)))</f>
        <v>0</v>
      </c>
      <c r="K47" s="297"/>
      <c r="L47" s="297" cm="1">
        <f t="array" ref="L47">SUMPRODUCT((IFERROR(MONTH(CASSA!$B7:$B3155)=MONTH(L$2),FALSE))*(CASSA!$G7:$G3155="Spese condominiali")*(IFERROR(ROUND(CASSA!$F7:$F3155,2),0))) + SUMPRODUCT((IFERROR(MONTH(BANCA!$B8:$B4155)=MONTH(L$2),FALSE))*(BANCA!$G8:$G4155="Spese condominiali")*(IFERROR(ROUND(BANCA!$F8:$F4155,2),0)))-SUMPRODUCT((IFERROR(MONTH(CASSA!$B7:$B3155)=MONTH(L$2),FALSE))*(CASSA!$G7:$G3155="Spese condominiali")*(IFERROR(ROUND(CASSA!$E7:$E3155,2),0)))- SUMPRODUCT((IFERROR(MONTH(BANCA!$B8:$B4155)=MONTH(L$2),FALSE))*(BANCA!$G8:$G4155="Spese condominiali")*(IFERROR(ROUND(BANCA!$E8:$E4155,2),0)))</f>
        <v>0</v>
      </c>
      <c r="M47" s="297"/>
      <c r="N47" s="297" cm="1">
        <f t="array" ref="N47">SUMPRODUCT((IFERROR(MONTH(CASSA!$B7:$B3155)=MONTH(N$2),FALSE))*(CASSA!$G7:$G3155="Spese condominiali")*(IFERROR(ROUND(CASSA!$F7:$F3155,2),0))) + SUMPRODUCT((IFERROR(MONTH(BANCA!$B8:$B4155)=MONTH(N$2),FALSE))*(BANCA!$G8:$G4155="Spese condominiali")*(IFERROR(ROUND(BANCA!$F8:$F4155,2),0)))-SUMPRODUCT((IFERROR(MONTH(CASSA!$B7:$B3155)=MONTH(N$2),FALSE))*(CASSA!$G7:$G3155="Spese condominiali")*(IFERROR(ROUND(CASSA!$E7:$E3155,2),0)))- SUMPRODUCT((IFERROR(MONTH(BANCA!$B8:$B4155)=MONTH(N$2),FALSE))*(BANCA!$G8:$G4155="Spese condominiali")*(IFERROR(ROUND(BANCA!$E8:$E4155,2),0)))</f>
        <v>0</v>
      </c>
      <c r="O47" s="297"/>
      <c r="P47" s="297" cm="1">
        <f t="array" ref="P47">SUMPRODUCT((IFERROR(MONTH(CASSA!$B7:$B3155)=MONTH(P$2),FALSE))*(CASSA!$G7:$G3155="Spese condominiali")*(IFERROR(ROUND(CASSA!$F7:$F3155,2),0))) + SUMPRODUCT((IFERROR(MONTH(BANCA!$B8:$B4155)=MONTH(P$2),FALSE))*(BANCA!$G8:$G4155="Spese condominiali")*(IFERROR(ROUND(BANCA!$F8:$F4155,2),0)))-SUMPRODUCT((IFERROR(MONTH(CASSA!$B7:$B3155)=MONTH(P$2),FALSE))*(CASSA!$G7:$G3155="Spese condominiali")*(IFERROR(ROUND(CASSA!$E7:$E3155,2),0)))- SUMPRODUCT((IFERROR(MONTH(BANCA!$B8:$B4155)=MONTH(P$2),FALSE))*(BANCA!$G8:$G4155="Spese condominiali")*(IFERROR(ROUND(BANCA!$E8:$E4155,2),0)))</f>
        <v>0</v>
      </c>
      <c r="Q47" s="297"/>
      <c r="R47" s="297" cm="1">
        <f t="array" ref="R47">SUMPRODUCT((IFERROR(MONTH(CASSA!$B7:$B3155)=MONTH(R$2),FALSE))*(CASSA!$G7:$G3155="Spese condominiali")*(IFERROR(ROUND(CASSA!$F7:$F3155,2),0))) + SUMPRODUCT((IFERROR(MONTH(BANCA!$B8:$B4155)=MONTH(R$2),FALSE))*(BANCA!$G8:$G4155="Spese condominiali")*(IFERROR(ROUND(BANCA!$F8:$F4155,2),0)))-SUMPRODUCT((IFERROR(MONTH(CASSA!$B7:$B3155)=MONTH(R$2),FALSE))*(CASSA!$G7:$G3155="Spese condominiali")*(IFERROR(ROUND(CASSA!$E7:$E3155,2),0)))- SUMPRODUCT((IFERROR(MONTH(BANCA!$B8:$B4155)=MONTH(R$2),FALSE))*(BANCA!$G8:$G4155="Spese condominiali")*(IFERROR(ROUND(BANCA!$E8:$E4155,2),0)))</f>
        <v>0</v>
      </c>
      <c r="S47" s="297"/>
      <c r="T47" s="297" cm="1">
        <f t="array" ref="T47">SUMPRODUCT((IFERROR(MONTH(CASSA!$B7:$B3155)=MONTH(T$2),FALSE))*(CASSA!$G7:$G3155="Spese condominiali")*(IFERROR(ROUND(CASSA!$F7:$F3155,2),0))) + SUMPRODUCT((IFERROR(MONTH(BANCA!$B8:$B4155)=MONTH(T$2),FALSE))*(BANCA!$G8:$G4155="Spese condominiali")*(IFERROR(ROUND(BANCA!$F8:$F4155,2),0)))-SUMPRODUCT((IFERROR(MONTH(CASSA!$B7:$B3155)=MONTH(T$2),FALSE))*(CASSA!$G7:$G3155="Spese condominiali")*(IFERROR(ROUND(CASSA!$E7:$E3155,2),0)))- SUMPRODUCT((IFERROR(MONTH(BANCA!$B8:$B4155)=MONTH(T$2),FALSE))*(BANCA!$G8:$G4155="Spese condominiali")*(IFERROR(ROUND(BANCA!$E8:$E4155,2),0)))</f>
        <v>0</v>
      </c>
      <c r="U47" s="297"/>
      <c r="V47" s="297" cm="1">
        <f t="array" ref="V47">SUMPRODUCT((IFERROR(MONTH(CASSA!$B7:$B3155)=MONTH(V$2),FALSE))*(CASSA!$G7:$G3155="Spese condominiali")*(IFERROR(ROUND(CASSA!$F7:$F3155,2),0))) + SUMPRODUCT((IFERROR(MONTH(BANCA!$B8:$B4155)=MONTH(V$2),FALSE))*(BANCA!$G8:$G4155="Spese condominiali")*(IFERROR(ROUND(BANCA!$F8:$F4155,2),0)))-SUMPRODUCT((IFERROR(MONTH(CASSA!$B7:$B3155)=MONTH(V$2),FALSE))*(CASSA!$G7:$G3155="Spese condominiali")*(IFERROR(ROUND(CASSA!$E7:$E3155,2),0)))- SUMPRODUCT((IFERROR(MONTH(BANCA!$B8:$B4155)=MONTH(V$2),FALSE))*(BANCA!$G8:$G4155="Spese condominiali")*(IFERROR(ROUND(BANCA!$E8:$E4155,2),0)))</f>
        <v>0</v>
      </c>
      <c r="W47" s="297"/>
      <c r="X47" s="297" cm="1">
        <f t="array" ref="X47">SUMPRODUCT((IFERROR(MONTH(CASSA!$B7:$B3155)=MONTH(X$2),FALSE))*(CASSA!$G7:$G3155="Spese condominiali")*(IFERROR(ROUND(CASSA!$F7:$F3155,2),0))) + SUMPRODUCT((IFERROR(MONTH(BANCA!$B8:$B4155)=MONTH(X$2),FALSE))*(BANCA!$G8:$G4155="Spese condominiali")*(IFERROR(ROUND(BANCA!$F8:$F4155,2),0)))-SUMPRODUCT((IFERROR(MONTH(CASSA!$B7:$B3155)=MONTH(X$2),FALSE))*(CASSA!$G7:$G3155="Spese condominiali")*(IFERROR(ROUND(CASSA!$E7:$E3155,2),0)))- SUMPRODUCT((IFERROR(MONTH(BANCA!$B8:$B4155)=MONTH(X$2),FALSE))*(BANCA!$G8:$G4155="Spese condominiali")*(IFERROR(ROUND(BANCA!$E8:$E4155,2),0)))</f>
        <v>4547</v>
      </c>
      <c r="Y47" s="297"/>
      <c r="Z47" s="297" cm="1">
        <f t="array" ref="Z47">SUMPRODUCT((IFERROR(MONTH(CASSA!$B7:$B3155)=MONTH(Z$2),FALSE))*(CASSA!$G7:$G3155="Spese condominiali")*(IFERROR(ROUND(CASSA!$F7:$F3155,2),0))) + SUMPRODUCT((IFERROR(MONTH(BANCA!$B8:$B4155)=MONTH(Z$2),FALSE))*(BANCA!$G8:$G4155="Spese condominiali")*(IFERROR(ROUND(BANCA!$F8:$F4155,2),0)))-SUMPRODUCT((IFERROR(MONTH(CASSA!$B7:$B3155)=MONTH(Z$2),FALSE))*(CASSA!$G7:$G3155="Spese condominiali")*(IFERROR(ROUND(CASSA!$E7:$E3155,2),0)))- SUMPRODUCT((IFERROR(MONTH(BANCA!$B8:$B4155)=MONTH(Z$2),FALSE))*(BANCA!$G8:$G4155="Spese condominiali")*(IFERROR(ROUND(BANCA!$E8:$E4155,2),0)))</f>
        <v>0</v>
      </c>
      <c r="AA47" s="297"/>
      <c r="AB47" s="769">
        <f>SUM(D47:Z47)</f>
        <v>13154.25</v>
      </c>
      <c r="AC47" s="792" t="s">
        <v>1993</v>
      </c>
      <c r="AD47" s="284"/>
      <c r="AE47" s="284"/>
      <c r="AF47" s="284"/>
      <c r="AG47" s="284"/>
      <c r="AH47" s="284"/>
      <c r="AI47" s="284"/>
      <c r="AJ47" s="284"/>
      <c r="AK47" s="284"/>
      <c r="AL47" s="284"/>
      <c r="AM47" s="284"/>
      <c r="AN47" s="284"/>
    </row>
    <row r="48" spans="2:40" s="232" customFormat="1" ht="18" customHeight="1">
      <c r="B48" s="281"/>
      <c r="C48" s="281"/>
      <c r="D48" s="785">
        <f t="shared" ref="D48:AB48" si="19">SUM(D45:D47)/D5</f>
        <v>0.11544064171915343</v>
      </c>
      <c r="E48" s="785"/>
      <c r="F48" s="785">
        <f t="shared" si="19"/>
        <v>0.11407290904966177</v>
      </c>
      <c r="G48" s="785"/>
      <c r="H48" s="785">
        <f t="shared" si="19"/>
        <v>0.14360012091871388</v>
      </c>
      <c r="I48" s="785"/>
      <c r="J48" s="785">
        <f t="shared" si="19"/>
        <v>9.0847205491474056E-2</v>
      </c>
      <c r="K48" s="785"/>
      <c r="L48" s="785">
        <f t="shared" si="19"/>
        <v>9.8139488121472607E-2</v>
      </c>
      <c r="M48" s="785"/>
      <c r="N48" s="785">
        <f t="shared" si="19"/>
        <v>0.11620107376635161</v>
      </c>
      <c r="O48" s="785"/>
      <c r="P48" s="785">
        <f t="shared" si="19"/>
        <v>5.8018448226441317E-2</v>
      </c>
      <c r="Q48" s="785"/>
      <c r="R48" s="785">
        <f t="shared" si="19"/>
        <v>4.621698062217261E-2</v>
      </c>
      <c r="S48" s="785"/>
      <c r="T48" s="785">
        <f t="shared" si="19"/>
        <v>5.0562988835520718E-2</v>
      </c>
      <c r="U48" s="785"/>
      <c r="V48" s="785">
        <f t="shared" si="19"/>
        <v>5.8864075014374032E-2</v>
      </c>
      <c r="W48" s="785"/>
      <c r="X48" s="785">
        <f t="shared" si="19"/>
        <v>0.15264977821239631</v>
      </c>
      <c r="Y48" s="785"/>
      <c r="Z48" s="785">
        <f t="shared" si="19"/>
        <v>0.11443662216538909</v>
      </c>
      <c r="AA48" s="785"/>
      <c r="AB48" s="771">
        <f t="shared" si="19"/>
        <v>9.0684740113130741E-2</v>
      </c>
      <c r="AC48" s="284"/>
      <c r="AD48" s="284"/>
      <c r="AE48" s="284"/>
      <c r="AF48" s="284"/>
      <c r="AG48" s="284"/>
      <c r="AH48" s="284"/>
      <c r="AI48" s="284"/>
      <c r="AJ48" s="284"/>
      <c r="AK48" s="284"/>
      <c r="AL48" s="284"/>
      <c r="AM48" s="284"/>
      <c r="AN48" s="284"/>
    </row>
    <row r="49" spans="2:40">
      <c r="B49" s="300"/>
      <c r="C49" s="300"/>
      <c r="D49" s="300"/>
      <c r="E49" s="300"/>
      <c r="F49" s="300"/>
      <c r="G49" s="300"/>
      <c r="H49" s="300"/>
      <c r="I49" s="300"/>
      <c r="J49" s="300"/>
      <c r="K49" s="300"/>
      <c r="L49" s="300"/>
      <c r="M49" s="300"/>
      <c r="N49" s="300"/>
      <c r="O49" s="300"/>
      <c r="P49" s="300"/>
      <c r="Q49" s="300"/>
      <c r="R49" s="291"/>
      <c r="S49" s="291"/>
      <c r="T49" s="291"/>
      <c r="U49" s="291"/>
      <c r="V49" s="291"/>
      <c r="W49" s="291"/>
      <c r="X49" s="291"/>
      <c r="Y49" s="291"/>
      <c r="Z49" s="291"/>
      <c r="AA49" s="291"/>
      <c r="AB49" s="744"/>
    </row>
    <row r="50" spans="2:40" s="232" customFormat="1" ht="24" customHeight="1">
      <c r="B50" s="906" t="s">
        <v>1960</v>
      </c>
      <c r="C50" s="906"/>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c r="AB50" s="743"/>
      <c r="AC50" s="298"/>
      <c r="AD50" s="298"/>
      <c r="AE50" s="298"/>
      <c r="AF50" s="298"/>
      <c r="AG50" s="298"/>
      <c r="AH50" s="298"/>
      <c r="AI50" s="298"/>
      <c r="AJ50" s="298"/>
      <c r="AK50" s="298"/>
      <c r="AL50" s="298"/>
      <c r="AM50" s="298"/>
      <c r="AN50" s="298"/>
    </row>
    <row r="51" spans="2:40" s="232" customFormat="1" ht="18" customHeight="1">
      <c r="B51" s="907" t="s">
        <v>153</v>
      </c>
      <c r="C51" s="907"/>
      <c r="D51" s="297" cm="1">
        <f t="array" ref="D51">SUMPRODUCT((IFERROR(MONTH(CASSA!$B7:$B3155)=MONTH(D$2),FALSE))*(CASSA!$G7:$G3155="SOMMINISTRAZIONE ENERGIA ELETTRICA")*(IFERROR(ROUND(CASSA!$F7:$F3155,2),0))) +
SUMPRODUCT((IFERROR(MONTH(BANCA!$B8:$B4155)=MONTH(D$2),FALSE))*(BANCA!$G8:$G4155="SOMMINISTRAZIONE ENERGIA ELETTRICA")*(IFERROR(ROUND(BANCA!$F8:$F4155,2),0)))-SUMPRODUCT((IFERROR(MONTH(CASSA!$B7:$B3155)=MONTH(D$2),FALSE))*(CASSA!$G7:$G3155="SOMMINISTRAZIONE ENERGIA ELETTRICA")*(IFERROR(ROUND(CASSA!$E7:$E3155,2),0))) -
SUMPRODUCT((IFERROR(MONTH(BANCA!$B8:$B4155)=MONTH(D$2),FALSE))*(BANCA!$G8:$G4155="SOMMINISTRAZIONE ENERGIA ELETTRICA")*(IFERROR(ROUND(BANCA!$E8:$E4155,2),0)))</f>
        <v>0</v>
      </c>
      <c r="E51" s="297"/>
      <c r="F51" s="297" cm="1">
        <f t="array" ref="F51">SUMPRODUCT((IFERROR(MONTH(CASSA!$B7:$B3155)=MONTH(F$2),FALSE))*(CASSA!$G7:$G3155="SOMMINISTRAZIONE ENERGIA ELETTRICA")*(IFERROR(ROUND(CASSA!$F7:$F3155,2),0))) +
SUMPRODUCT((IFERROR(MONTH(BANCA!$B8:$B4155)=MONTH(F$2),FALSE))*(BANCA!$G8:$G4155="SOMMINISTRAZIONE ENERGIA ELETTRICA")*(IFERROR(ROUND(BANCA!$F8:$F4155,2),0)))-SUMPRODUCT((IFERROR(MONTH(CASSA!$B7:$B3155)=MONTH(F$2),FALSE))*(CASSA!$G7:$G3155="SOMMINISTRAZIONE ENERGIA ELETTRICA")*(IFERROR(ROUND(CASSA!$E7:$E3155,2),0))) -
SUMPRODUCT((IFERROR(MONTH(BANCA!$B8:$B4155)=MONTH(F$2),FALSE))*(BANCA!$G8:$G4155="SOMMINISTRAZIONE ENERGIA ELETTRICA")*(IFERROR(ROUND(BANCA!$E8:$E4155,2),0)))</f>
        <v>1431.96</v>
      </c>
      <c r="G51" s="297"/>
      <c r="H51" s="297" cm="1">
        <f t="array" ref="H51">SUMPRODUCT((IFERROR(MONTH(CASSA!$B7:$B3155)=MONTH(H$2),FALSE))*(CASSA!$G7:$G3155="SOMMINISTRAZIONE ENERGIA ELETTRICA")*(IFERROR(ROUND(CASSA!$F7:$F3155,2),0))) +
SUMPRODUCT((IFERROR(MONTH(BANCA!$B8:$B4155)=MONTH(H$2),FALSE))*(BANCA!$G8:$G4155="SOMMINISTRAZIONE ENERGIA ELETTRICA")*(IFERROR(ROUND(BANCA!$F8:$F4155,2),0)))-SUMPRODUCT((IFERROR(MONTH(CASSA!$B7:$B3155)=MONTH(H$2),FALSE))*(CASSA!$G7:$G3155="SOMMINISTRAZIONE ENERGIA ELETTRICA")*(IFERROR(ROUND(CASSA!$E7:$E3155,2),0))) -
SUMPRODUCT((IFERROR(MONTH(BANCA!$B8:$B4155)=MONTH(H$2),FALSE))*(BANCA!$G8:$G4155="SOMMINISTRAZIONE ENERGIA ELETTRICA")*(IFERROR(ROUND(BANCA!$E8:$E4155,2),0)))</f>
        <v>1479.87</v>
      </c>
      <c r="I51" s="297"/>
      <c r="J51" s="297" cm="1">
        <f t="array" ref="J51">SUMPRODUCT((IFERROR(MONTH(CASSA!$B7:$B3155)=MONTH(J$2),FALSE))*(CASSA!$G7:$G3155="SOMMINISTRAZIONE ENERGIA ELETTRICA")*(IFERROR(ROUND(CASSA!$F7:$F3155,2),0))) +
SUMPRODUCT((IFERROR(MONTH(BANCA!$B8:$B4155)=MONTH(J$2),FALSE))*(BANCA!$G8:$G4155="SOMMINISTRAZIONE ENERGIA ELETTRICA")*(IFERROR(ROUND(BANCA!$F8:$F4155,2),0)))-SUMPRODUCT((IFERROR(MONTH(CASSA!$B7:$B3155)=MONTH(J$2),FALSE))*(CASSA!$G7:$G3155="SOMMINISTRAZIONE ENERGIA ELETTRICA")*(IFERROR(ROUND(CASSA!$E7:$E3155,2),0))) -
SUMPRODUCT((IFERROR(MONTH(BANCA!$B8:$B4155)=MONTH(J$2),FALSE))*(BANCA!$G8:$G4155="SOMMINISTRAZIONE ENERGIA ELETTRICA")*(IFERROR(ROUND(BANCA!$E8:$E4155,2),0)))</f>
        <v>1184.3399999999999</v>
      </c>
      <c r="K51" s="297"/>
      <c r="L51" s="297" cm="1">
        <f t="array" ref="L51">SUMPRODUCT((IFERROR(MONTH(CASSA!$B7:$B3155)=MONTH(L$2),FALSE))*(CASSA!$G7:$G3155="SOMMINISTRAZIONE ENERGIA ELETTRICA")*(IFERROR(ROUND(CASSA!$F7:$F3155,2),0))) +
SUMPRODUCT((IFERROR(MONTH(BANCA!$B8:$B4155)=MONTH(L$2),FALSE))*(BANCA!$G8:$G4155="SOMMINISTRAZIONE ENERGIA ELETTRICA")*(IFERROR(ROUND(BANCA!$F8:$F4155,2),0)))-SUMPRODUCT((IFERROR(MONTH(CASSA!$B7:$B3155)=MONTH(L$2),FALSE))*(CASSA!$G7:$G3155="SOMMINISTRAZIONE ENERGIA ELETTRICA")*(IFERROR(ROUND(CASSA!$E7:$E3155,2),0))) -
SUMPRODUCT((IFERROR(MONTH(BANCA!$B8:$B4155)=MONTH(L$2),FALSE))*(BANCA!$G8:$G4155="SOMMINISTRAZIONE ENERGIA ELETTRICA")*(IFERROR(ROUND(BANCA!$E8:$E4155,2),0)))</f>
        <v>1219.4100000000001</v>
      </c>
      <c r="M51" s="297"/>
      <c r="N51" s="297" cm="1">
        <f t="array" ref="N51">SUMPRODUCT((IFERROR(MONTH(CASSA!$B7:$B3155)=MONTH(N$2),FALSE))*(CASSA!$G7:$G3155="SOMMINISTRAZIONE ENERGIA ELETTRICA")*(IFERROR(ROUND(CASSA!$F7:$F3155,2),0))) +
SUMPRODUCT((IFERROR(MONTH(BANCA!$B8:$B4155)=MONTH(N$2),FALSE))*(BANCA!$G8:$G4155="SOMMINISTRAZIONE ENERGIA ELETTRICA")*(IFERROR(ROUND(BANCA!$F8:$F4155,2),0)))-SUMPRODUCT((IFERROR(MONTH(CASSA!$B7:$B3155)=MONTH(N$2),FALSE))*(CASSA!$G7:$G3155="SOMMINISTRAZIONE ENERGIA ELETTRICA")*(IFERROR(ROUND(CASSA!$E7:$E3155,2),0))) -
SUMPRODUCT((IFERROR(MONTH(BANCA!$B8:$B4155)=MONTH(N$2),FALSE))*(BANCA!$G8:$G4155="SOMMINISTRAZIONE ENERGIA ELETTRICA")*(IFERROR(ROUND(BANCA!$E8:$E4155,2),0)))</f>
        <v>1608.85</v>
      </c>
      <c r="O51" s="297"/>
      <c r="P51" s="297" cm="1">
        <f t="array" ref="P51">SUMPRODUCT((IFERROR(MONTH(CASSA!$B7:$B3155)=MONTH(P$2),FALSE))*(CASSA!$G7:$G3155="SOMMINISTRAZIONE ENERGIA ELETTRICA")*(IFERROR(ROUND(CASSA!$F7:$F3155,2),0))) +
SUMPRODUCT((IFERROR(MONTH(BANCA!$B8:$B4155)=MONTH(P$2),FALSE))*(BANCA!$G8:$G4155="SOMMINISTRAZIONE ENERGIA ELETTRICA")*(IFERROR(ROUND(BANCA!$F8:$F4155,2),0)))-SUMPRODUCT((IFERROR(MONTH(CASSA!$B7:$B3155)=MONTH(P$2),FALSE))*(CASSA!$G7:$G3155="SOMMINISTRAZIONE ENERGIA ELETTRICA")*(IFERROR(ROUND(CASSA!$E7:$E3155,2),0))) -
SUMPRODUCT((IFERROR(MONTH(BANCA!$B8:$B4155)=MONTH(P$2),FALSE))*(BANCA!$G8:$G4155="SOMMINISTRAZIONE ENERGIA ELETTRICA")*(IFERROR(ROUND(BANCA!$E8:$E4155,2),0)))</f>
        <v>1608.85</v>
      </c>
      <c r="Q51" s="297"/>
      <c r="R51" s="297" cm="1">
        <f t="array" ref="R51">SUMPRODUCT((IFERROR(MONTH(CASSA!$B7:$B3155)=MONTH(R$2),FALSE))*(CASSA!$G7:$G3155="SOMMINISTRAZIONE ENERGIA ELETTRICA")*(IFERROR(ROUND(CASSA!$F7:$F3155,2),0))) +
SUMPRODUCT((IFERROR(MONTH(BANCA!$B8:$B4155)=MONTH(R$2),FALSE))*(BANCA!$G8:$G4155="SOMMINISTRAZIONE ENERGIA ELETTRICA")*(IFERROR(ROUND(BANCA!$F8:$F4155,2),0)))-SUMPRODUCT((IFERROR(MONTH(CASSA!$B7:$B3155)=MONTH(R$2),FALSE))*(CASSA!$G7:$G3155="SOMMINISTRAZIONE ENERGIA ELETTRICA")*(IFERROR(ROUND(CASSA!$E7:$E3155,2),0))) -
SUMPRODUCT((IFERROR(MONTH(BANCA!$B8:$B4155)=MONTH(R$2),FALSE))*(BANCA!$G8:$G4155="SOMMINISTRAZIONE ENERGIA ELETTRICA")*(IFERROR(ROUND(BANCA!$E8:$E4155,2),0)))</f>
        <v>1558.89</v>
      </c>
      <c r="S51" s="297"/>
      <c r="T51" s="297" cm="1">
        <f t="array" ref="T51">SUMPRODUCT((IFERROR(MONTH(CASSA!$B7:$B3155)=MONTH(T$2),FALSE))*(CASSA!$G7:$G3155="SOMMINISTRAZIONE ENERGIA ELETTRICA")*(IFERROR(ROUND(CASSA!$F7:$F3155,2),0))) +
SUMPRODUCT((IFERROR(MONTH(BANCA!$B8:$B4155)=MONTH(T$2),FALSE))*(BANCA!$G8:$G4155="SOMMINISTRAZIONE ENERGIA ELETTRICA")*(IFERROR(ROUND(BANCA!$F8:$F4155,2),0)))-SUMPRODUCT((IFERROR(MONTH(CASSA!$B7:$B3155)=MONTH(T$2),FALSE))*(CASSA!$G7:$G3155="SOMMINISTRAZIONE ENERGIA ELETTRICA")*(IFERROR(ROUND(CASSA!$E7:$E3155,2),0))) -
SUMPRODUCT((IFERROR(MONTH(BANCA!$B8:$B4155)=MONTH(T$2),FALSE))*(BANCA!$G8:$G4155="SOMMINISTRAZIONE ENERGIA ELETTRICA")*(IFERROR(ROUND(BANCA!$E8:$E4155,2),0)))</f>
        <v>1415.74</v>
      </c>
      <c r="U51" s="297"/>
      <c r="V51" s="297" cm="1">
        <f t="array" ref="V51">SUMPRODUCT((IFERROR(MONTH(CASSA!$B7:$B3155)=MONTH(V$2),FALSE))*(CASSA!$G7:$G3155="SOMMINISTRAZIONE ENERGIA ELETTRICA")*(IFERROR(ROUND(CASSA!$F7:$F3155,2),0))) +
SUMPRODUCT((IFERROR(MONTH(BANCA!$B8:$B4155)=MONTH(V$2),FALSE))*(BANCA!$G8:$G4155="SOMMINISTRAZIONE ENERGIA ELETTRICA")*(IFERROR(ROUND(BANCA!$F8:$F4155,2),0)))-SUMPRODUCT((IFERROR(MONTH(CASSA!$B7:$B3155)=MONTH(V$2),FALSE))*(CASSA!$G7:$G3155="SOMMINISTRAZIONE ENERGIA ELETTRICA")*(IFERROR(ROUND(CASSA!$E7:$E3155,2),0))) -
SUMPRODUCT((IFERROR(MONTH(BANCA!$B8:$B4155)=MONTH(V$2),FALSE))*(BANCA!$G8:$G4155="SOMMINISTRAZIONE ENERGIA ELETTRICA")*(IFERROR(ROUND(BANCA!$E8:$E4155,2),0)))</f>
        <v>0</v>
      </c>
      <c r="W51" s="297"/>
      <c r="X51" s="297" cm="1">
        <f t="array" ref="X51">SUMPRODUCT((IFERROR(MONTH(CASSA!$B7:$B3155)=MONTH(X$2),FALSE))*(CASSA!$G7:$G3155="SOMMINISTRAZIONE ENERGIA ELETTRICA")*(IFERROR(ROUND(CASSA!$F7:$F3155,2),0))) +
SUMPRODUCT((IFERROR(MONTH(BANCA!$B8:$B4155)=MONTH(X$2),FALSE))*(BANCA!$G8:$G4155="SOMMINISTRAZIONE ENERGIA ELETTRICA")*(IFERROR(ROUND(BANCA!$F8:$F4155,2),0)))-SUMPRODUCT((IFERROR(MONTH(CASSA!$B7:$B3155)=MONTH(X$2),FALSE))*(CASSA!$G7:$G3155="SOMMINISTRAZIONE ENERGIA ELETTRICA")*(IFERROR(ROUND(CASSA!$E7:$E3155,2),0))) -
SUMPRODUCT((IFERROR(MONTH(BANCA!$B8:$B4155)=MONTH(X$2),FALSE))*(BANCA!$G8:$G4155="SOMMINISTRAZIONE ENERGIA ELETTRICA")*(IFERROR(ROUND(BANCA!$E8:$E4155,2),0)))</f>
        <v>1653.28</v>
      </c>
      <c r="Y51" s="297"/>
      <c r="Z51" s="297" cm="1">
        <f t="array" ref="Z51">SUMPRODUCT((IFERROR(MONTH(CASSA!$B7:$B3155)=MONTH(Z$2),FALSE))*(CASSA!$G7:$G3155="SOMMINISTRAZIONE ENERGIA ELETTRICA")*(IFERROR(ROUND(CASSA!$F7:$F3155,2),0))) +
SUMPRODUCT((IFERROR(MONTH(BANCA!$B8:$B4155)=MONTH(Z$2),FALSE))*(BANCA!$G8:$G4155="SOMMINISTRAZIONE ENERGIA ELETTRICA")*(IFERROR(ROUND(BANCA!$F8:$F4155,2),0)))-SUMPRODUCT((IFERROR(MONTH(CASSA!$B7:$B3155)=MONTH(Z$2),FALSE))*(CASSA!$G7:$G3155="SOMMINISTRAZIONE ENERGIA ELETTRICA")*(IFERROR(ROUND(CASSA!$E7:$E3155,2),0))) -
SUMPRODUCT((IFERROR(MONTH(BANCA!$B8:$B4155)=MONTH(Z$2),FALSE))*(BANCA!$G8:$G4155="SOMMINISTRAZIONE ENERGIA ELETTRICA")*(IFERROR(ROUND(BANCA!$E8:$E4155,2),0)))</f>
        <v>0</v>
      </c>
      <c r="AA51" s="297"/>
      <c r="AB51" s="769">
        <f t="shared" ref="AB51:AB66" si="20">SUM(D51:Z51)</f>
        <v>13161.19</v>
      </c>
      <c r="AC51" s="792" t="s">
        <v>1993</v>
      </c>
      <c r="AD51" s="284"/>
      <c r="AE51" s="284"/>
      <c r="AF51" s="284"/>
      <c r="AG51" s="284"/>
      <c r="AH51" s="284"/>
      <c r="AI51" s="284"/>
      <c r="AJ51" s="284"/>
      <c r="AK51" s="284"/>
      <c r="AL51" s="284"/>
      <c r="AM51" s="284"/>
      <c r="AN51" s="284"/>
    </row>
    <row r="52" spans="2:40" s="232" customFormat="1" ht="18" customHeight="1">
      <c r="B52" s="905" t="s">
        <v>154</v>
      </c>
      <c r="C52" s="905"/>
      <c r="D52" s="297" cm="1">
        <f t="array" ref="D52">SUMPRODUCT((IFERROR(MONTH(CASSA!$B7:$B3155)=MONTH(D$2),FALSE))*(CASSA!$G7:$G3155="CANONE UTILIZZO SPECCHIO ACQUEO LIVENZA")*(IFERROR(ROUND(CASSA!$F7:$F3155,2),0))) +
SUMPRODUCT((IFERROR(MONTH(BANCA!$B8:$B4155)=MONTH(D$2),FALSE))*(BANCA!$G8:$G4155="CANONE UTILIZZO SPECCHIO ACQUEO LIVENZA")*(IFERROR(ROUND(BANCA!$F8:$F4155,2),0)))-SUMPRODUCT((IFERROR(MONTH(CASSA!$B7:$B3155)=MONTH(D$2),FALSE))*(CASSA!$G7:$G3155="CANONE UTILIZZO SPECCHIO ACQUEO LIVENZA")*(IFERROR(ROUND(CASSA!$E7:$E3155,2),0))) +
SUMPRODUCT((IFERROR(MONTH(BANCA!$B8:$B4155)=MONTH(D$2),FALSE))*(BANCA!$G8:$G4155="CANONE UTILIZZO SPECCHIO ACQUEO LIVENZA")*(IFERROR(ROUND(BANCA!$E8:$E4155,2),0)))</f>
        <v>0</v>
      </c>
      <c r="E52" s="297"/>
      <c r="F52" s="297" cm="1">
        <f t="array" ref="F52">SUMPRODUCT((IFERROR(MONTH(CASSA!$B7:$B3155)=MONTH(F$2),FALSE))*(CASSA!$G7:$G3155="CANONE UTILIZZO SPECCHIO ACQUEO LIVENZA")*(IFERROR(ROUND(CASSA!$F7:$F3155,2),0))) +
SUMPRODUCT((IFERROR(MONTH(BANCA!$B8:$B4155)=MONTH(F$2),FALSE))*(BANCA!$G8:$G4155="CANONE UTILIZZO SPECCHIO ACQUEO LIVENZA")*(IFERROR(ROUND(BANCA!$F8:$F4155,2),0)))-SUMPRODUCT((IFERROR(MONTH(CASSA!$B7:$B3155)=MONTH(F$2),FALSE))*(CASSA!$G7:$G3155="CANONE UTILIZZO SPECCHIO ACQUEO LIVENZA")*(IFERROR(ROUND(CASSA!$E7:$E3155,2),0))) +
SUMPRODUCT((IFERROR(MONTH(BANCA!$B8:$B4155)=MONTH(F$2),FALSE))*(BANCA!$G8:$G4155="CANONE UTILIZZO SPECCHIO ACQUEO LIVENZA")*(IFERROR(ROUND(BANCA!$E8:$E4155,2),0)))</f>
        <v>0</v>
      </c>
      <c r="G52" s="297"/>
      <c r="H52" s="297" cm="1">
        <f t="array" ref="H52">SUMPRODUCT((IFERROR(MONTH(CASSA!$B7:$B3155)=MONTH(H$2),FALSE))*(CASSA!$G7:$G3155="CANONE UTILIZZO SPECCHIO ACQUEO LIVENZA")*(IFERROR(ROUND(CASSA!$F7:$F3155,2),0))) +
SUMPRODUCT((IFERROR(MONTH(BANCA!$B8:$B4155)=MONTH(H$2),FALSE))*(BANCA!$G8:$G4155="CANONE UTILIZZO SPECCHIO ACQUEO LIVENZA")*(IFERROR(ROUND(BANCA!$F8:$F4155,2),0)))-SUMPRODUCT((IFERROR(MONTH(CASSA!$B7:$B3155)=MONTH(H$2),FALSE))*(CASSA!$G7:$G3155="CANONE UTILIZZO SPECCHIO ACQUEO LIVENZA")*(IFERROR(ROUND(CASSA!$E7:$E3155,2),0))) +
SUMPRODUCT((IFERROR(MONTH(BANCA!$B8:$B4155)=MONTH(H$2),FALSE))*(BANCA!$G8:$G4155="CANONE UTILIZZO SPECCHIO ACQUEO LIVENZA")*(IFERROR(ROUND(BANCA!$E8:$E4155,2),0)))</f>
        <v>0</v>
      </c>
      <c r="I52" s="297"/>
      <c r="J52" s="297" cm="1">
        <f t="array" ref="J52">SUMPRODUCT((IFERROR(MONTH(CASSA!$B7:$B3155)=MONTH(J$2),FALSE))*(CASSA!$G7:$G3155="CANONE UTILIZZO SPECCHIO ACQUEO LIVENZA")*(IFERROR(ROUND(CASSA!$F7:$F3155,2),0))) +
SUMPRODUCT((IFERROR(MONTH(BANCA!$B8:$B4155)=MONTH(J$2),FALSE))*(BANCA!$G8:$G4155="CANONE UTILIZZO SPECCHIO ACQUEO LIVENZA")*(IFERROR(ROUND(BANCA!$F8:$F4155,2),0)))-SUMPRODUCT((IFERROR(MONTH(CASSA!$B7:$B3155)=MONTH(J$2),FALSE))*(CASSA!$G7:$G3155="CANONE UTILIZZO SPECCHIO ACQUEO LIVENZA")*(IFERROR(ROUND(CASSA!$E7:$E3155,2),0))) +
SUMPRODUCT((IFERROR(MONTH(BANCA!$B8:$B4155)=MONTH(J$2),FALSE))*(BANCA!$G8:$G4155="CANONE UTILIZZO SPECCHIO ACQUEO LIVENZA")*(IFERROR(ROUND(BANCA!$E8:$E4155,2),0)))</f>
        <v>1147.6199999999999</v>
      </c>
      <c r="K52" s="297"/>
      <c r="L52" s="297" cm="1">
        <f t="array" ref="L52">SUMPRODUCT((IFERROR(MONTH(CASSA!$B7:$B3155)=MONTH(L$2),FALSE))*(CASSA!$G7:$G3155="CANONE UTILIZZO SPECCHIO ACQUEO LIVENZA")*(IFERROR(ROUND(CASSA!$F7:$F3155,2),0))) +
SUMPRODUCT((IFERROR(MONTH(BANCA!$B8:$B4155)=MONTH(L$2),FALSE))*(BANCA!$G8:$G4155="CANONE UTILIZZO SPECCHIO ACQUEO LIVENZA")*(IFERROR(ROUND(BANCA!$F8:$F4155,2),0)))-SUMPRODUCT((IFERROR(MONTH(CASSA!$B7:$B3155)=MONTH(L$2),FALSE))*(CASSA!$G7:$G3155="CANONE UTILIZZO SPECCHIO ACQUEO LIVENZA")*(IFERROR(ROUND(CASSA!$E7:$E3155,2),0))) +
SUMPRODUCT((IFERROR(MONTH(BANCA!$B8:$B4155)=MONTH(L$2),FALSE))*(BANCA!$G8:$G4155="CANONE UTILIZZO SPECCHIO ACQUEO LIVENZA")*(IFERROR(ROUND(BANCA!$E8:$E4155,2),0)))</f>
        <v>0</v>
      </c>
      <c r="M52" s="297"/>
      <c r="N52" s="297" cm="1">
        <f t="array" ref="N52">SUMPRODUCT((IFERROR(MONTH(CASSA!$B7:$B3155)=MONTH(N$2),FALSE))*(CASSA!$G7:$G3155="CANONE UTILIZZO SPECCHIO ACQUEO LIVENZA")*(IFERROR(ROUND(CASSA!$F7:$F3155,2),0))) +
SUMPRODUCT((IFERROR(MONTH(BANCA!$B8:$B4155)=MONTH(N$2),FALSE))*(BANCA!$G8:$G4155="CANONE UTILIZZO SPECCHIO ACQUEO LIVENZA")*(IFERROR(ROUND(BANCA!$F8:$F4155,2),0)))-SUMPRODUCT((IFERROR(MONTH(CASSA!$B7:$B3155)=MONTH(N$2),FALSE))*(CASSA!$G7:$G3155="CANONE UTILIZZO SPECCHIO ACQUEO LIVENZA")*(IFERROR(ROUND(CASSA!$E7:$E3155,2),0))) +
SUMPRODUCT((IFERROR(MONTH(BANCA!$B8:$B4155)=MONTH(N$2),FALSE))*(BANCA!$G8:$G4155="CANONE UTILIZZO SPECCHIO ACQUEO LIVENZA")*(IFERROR(ROUND(BANCA!$E8:$E4155,2),0)))</f>
        <v>0</v>
      </c>
      <c r="O52" s="297"/>
      <c r="P52" s="297" cm="1">
        <f t="array" ref="P52">SUMPRODUCT((IFERROR(MONTH(CASSA!$B7:$B3155)=MONTH(P$2),FALSE))*(CASSA!$G7:$G3155="CANONE UTILIZZO SPECCHIO ACQUEO LIVENZA")*(IFERROR(ROUND(CASSA!$F7:$F3155,2),0))) +
SUMPRODUCT((IFERROR(MONTH(BANCA!$B8:$B4155)=MONTH(P$2),FALSE))*(BANCA!$G8:$G4155="CANONE UTILIZZO SPECCHIO ACQUEO LIVENZA")*(IFERROR(ROUND(BANCA!$F8:$F4155,2),0)))-SUMPRODUCT((IFERROR(MONTH(CASSA!$B7:$B3155)=MONTH(P$2),FALSE))*(CASSA!$G7:$G3155="CANONE UTILIZZO SPECCHIO ACQUEO LIVENZA")*(IFERROR(ROUND(CASSA!$E7:$E3155,2),0))) +
SUMPRODUCT((IFERROR(MONTH(BANCA!$B8:$B4155)=MONTH(P$2),FALSE))*(BANCA!$G8:$G4155="CANONE UTILIZZO SPECCHIO ACQUEO LIVENZA")*(IFERROR(ROUND(BANCA!$E8:$E4155,2),0)))</f>
        <v>0</v>
      </c>
      <c r="Q52" s="297"/>
      <c r="R52" s="297" cm="1">
        <f t="array" ref="R52">SUMPRODUCT((IFERROR(MONTH(CASSA!$B7:$B3155)=MONTH(R$2),FALSE))*(CASSA!$G7:$G3155="CANONE UTILIZZO SPECCHIO ACQUEO LIVENZA")*(IFERROR(ROUND(CASSA!$F7:$F3155,2),0))) +
SUMPRODUCT((IFERROR(MONTH(BANCA!$B8:$B4155)=MONTH(R$2),FALSE))*(BANCA!$G8:$G4155="CANONE UTILIZZO SPECCHIO ACQUEO LIVENZA")*(IFERROR(ROUND(BANCA!$F8:$F4155,2),0)))-SUMPRODUCT((IFERROR(MONTH(CASSA!$B7:$B3155)=MONTH(R$2),FALSE))*(CASSA!$G7:$G3155="CANONE UTILIZZO SPECCHIO ACQUEO LIVENZA")*(IFERROR(ROUND(CASSA!$E7:$E3155,2),0))) +
SUMPRODUCT((IFERROR(MONTH(BANCA!$B8:$B4155)=MONTH(R$2),FALSE))*(BANCA!$G8:$G4155="CANONE UTILIZZO SPECCHIO ACQUEO LIVENZA")*(IFERROR(ROUND(BANCA!$E8:$E4155,2),0)))</f>
        <v>0</v>
      </c>
      <c r="S52" s="297"/>
      <c r="T52" s="297" cm="1">
        <f t="array" ref="T52">SUMPRODUCT((IFERROR(MONTH(CASSA!$B7:$B3155)=MONTH(T$2),FALSE))*(CASSA!$G7:$G3155="CANONE UTILIZZO SPECCHIO ACQUEO LIVENZA")*(IFERROR(ROUND(CASSA!$F7:$F3155,2),0))) +
SUMPRODUCT((IFERROR(MONTH(BANCA!$B8:$B4155)=MONTH(T$2),FALSE))*(BANCA!$G8:$G4155="CANONE UTILIZZO SPECCHIO ACQUEO LIVENZA")*(IFERROR(ROUND(BANCA!$F8:$F4155,2),0)))-SUMPRODUCT((IFERROR(MONTH(CASSA!$B7:$B3155)=MONTH(T$2),FALSE))*(CASSA!$G7:$G3155="CANONE UTILIZZO SPECCHIO ACQUEO LIVENZA")*(IFERROR(ROUND(CASSA!$E7:$E3155,2),0))) +
SUMPRODUCT((IFERROR(MONTH(BANCA!$B8:$B4155)=MONTH(T$2),FALSE))*(BANCA!$G8:$G4155="CANONE UTILIZZO SPECCHIO ACQUEO LIVENZA")*(IFERROR(ROUND(BANCA!$E8:$E4155,2),0)))</f>
        <v>0</v>
      </c>
      <c r="U52" s="297"/>
      <c r="V52" s="297" cm="1">
        <f t="array" ref="V52">SUMPRODUCT((IFERROR(MONTH(CASSA!$B7:$B3155)=MONTH(V$2),FALSE))*(CASSA!$G7:$G3155="CANONE UTILIZZO SPECCHIO ACQUEO LIVENZA")*(IFERROR(ROUND(CASSA!$F7:$F3155,2),0))) +
SUMPRODUCT((IFERROR(MONTH(BANCA!$B8:$B4155)=MONTH(V$2),FALSE))*(BANCA!$G8:$G4155="CANONE UTILIZZO SPECCHIO ACQUEO LIVENZA")*(IFERROR(ROUND(BANCA!$F8:$F4155,2),0)))-SUMPRODUCT((IFERROR(MONTH(CASSA!$B7:$B3155)=MONTH(V$2),FALSE))*(CASSA!$G7:$G3155="CANONE UTILIZZO SPECCHIO ACQUEO LIVENZA")*(IFERROR(ROUND(CASSA!$E7:$E3155,2),0))) +
SUMPRODUCT((IFERROR(MONTH(BANCA!$B8:$B4155)=MONTH(V$2),FALSE))*(BANCA!$G8:$G4155="CANONE UTILIZZO SPECCHIO ACQUEO LIVENZA")*(IFERROR(ROUND(BANCA!$E8:$E4155,2),0)))</f>
        <v>0</v>
      </c>
      <c r="W52" s="297"/>
      <c r="X52" s="297" cm="1">
        <f t="array" ref="X52">SUMPRODUCT((IFERROR(MONTH(CASSA!$B7:$B3155)=MONTH(X$2),FALSE))*(CASSA!$G7:$G3155="CANONE UTILIZZO SPECCHIO ACQUEO LIVENZA")*(IFERROR(ROUND(CASSA!$F7:$F3155,2),0))) +
SUMPRODUCT((IFERROR(MONTH(BANCA!$B8:$B4155)=MONTH(X$2),FALSE))*(BANCA!$G8:$G4155="CANONE UTILIZZO SPECCHIO ACQUEO LIVENZA")*(IFERROR(ROUND(BANCA!$F8:$F4155,2),0)))-SUMPRODUCT((IFERROR(MONTH(CASSA!$B7:$B3155)=MONTH(X$2),FALSE))*(CASSA!$G7:$G3155="CANONE UTILIZZO SPECCHIO ACQUEO LIVENZA")*(IFERROR(ROUND(CASSA!$E7:$E3155,2),0))) +
SUMPRODUCT((IFERROR(MONTH(BANCA!$B8:$B4155)=MONTH(X$2),FALSE))*(BANCA!$G8:$G4155="CANONE UTILIZZO SPECCHIO ACQUEO LIVENZA")*(IFERROR(ROUND(BANCA!$E8:$E4155,2),0)))</f>
        <v>0</v>
      </c>
      <c r="Y52" s="297"/>
      <c r="Z52" s="297" cm="1">
        <f t="array" ref="Z52">SUMPRODUCT((IFERROR(MONTH(CASSA!$B7:$B3155)=MONTH(Z$2),FALSE))*(CASSA!$G7:$G3155="CANONE UTILIZZO SPECCHIO ACQUEO LIVENZA")*(IFERROR(ROUND(CASSA!$F7:$F3155,2),0))) +
SUMPRODUCT((IFERROR(MONTH(BANCA!$B8:$B4155)=MONTH(Z$2),FALSE))*(BANCA!$G8:$G4155="CANONE UTILIZZO SPECCHIO ACQUEO LIVENZA")*(IFERROR(ROUND(BANCA!$F8:$F4155,2),0)))-SUMPRODUCT((IFERROR(MONTH(CASSA!$B7:$B3155)=MONTH(Z$2),FALSE))*(CASSA!$G7:$G3155="CANONE UTILIZZO SPECCHIO ACQUEO LIVENZA")*(IFERROR(ROUND(CASSA!$E7:$E3155,2),0))) +
SUMPRODUCT((IFERROR(MONTH(BANCA!$B8:$B4155)=MONTH(Z$2),FALSE))*(BANCA!$G8:$G4155="CANONE UTILIZZO SPECCHIO ACQUEO LIVENZA")*(IFERROR(ROUND(BANCA!$E8:$E4155,2),0)))</f>
        <v>0</v>
      </c>
      <c r="AA52" s="297"/>
      <c r="AB52" s="769">
        <f t="shared" si="20"/>
        <v>1147.6199999999999</v>
      </c>
      <c r="AC52" s="792" t="s">
        <v>1993</v>
      </c>
      <c r="AD52" s="284"/>
      <c r="AE52" s="284"/>
      <c r="AF52" s="284"/>
      <c r="AG52" s="284"/>
      <c r="AH52" s="284"/>
      <c r="AI52" s="284"/>
      <c r="AJ52" s="284"/>
      <c r="AK52" s="284"/>
      <c r="AL52" s="284"/>
      <c r="AM52" s="284"/>
      <c r="AN52" s="284"/>
    </row>
    <row r="53" spans="2:40" s="232" customFormat="1" ht="18" customHeight="1">
      <c r="B53" s="907" t="s">
        <v>155</v>
      </c>
      <c r="C53" s="907"/>
      <c r="D53" s="297" cm="1">
        <f t="array" ref="D53">SUMPRODUCT((IFERROR(MONTH(CASSA!$B7:$B3155)=MONTH(D$2),FALSE))*(CASSA!$G7:$G3155="CONSULENZE CONTABILITÀ E DICHIARAZIONI FISCALI")*(IFERROR(ROUND(CASSA!$F7:$F3155,2),0))) +
SUMPRODUCT((IFERROR(MONTH(BANCA!$B8:$B4155)=MONTH(D$2),FALSE))*(BANCA!$G8:$G4155="CONSULENZE CONTABILITÀ E DICHIARAZIONI FISCALI")*(IFERROR(ROUND(BANCA!$F8:$F4155,2),0)))-SUMPRODUCT((IFERROR(MONTH(CASSA!$B7:$B3155)=MONTH(D$2),FALSE))*(CASSA!$G7:$G3155="CONSULENZE CONTABILITÀ E DICHIARAZIONI FISCALI")*(IFERROR(ROUND(CASSA!$E7:$E3155,2),0))) +
SUMPRODUCT((IFERROR(MONTH(BANCA!$B8:$B4155)=MONTH(D$2),FALSE))*(BANCA!$G8:$G4155="CONSULENZE CONTABILITÀ E DICHIARAZIONI FISCALI")*(IFERROR(ROUND(BANCA!$E8:$E4155,2),0)))</f>
        <v>350.01</v>
      </c>
      <c r="E53" s="297"/>
      <c r="F53" s="297" cm="1">
        <f t="array" ref="F53">SUMPRODUCT((IFERROR(MONTH(CASSA!$B7:$B3155)=MONTH(F$2),FALSE))*(CASSA!$G7:$G3155="CONSULENZE CONTABILITÀ E DICHIARAZIONI FISCALI")*(IFERROR(ROUND(CASSA!$F7:$F3155,2),0))) +
SUMPRODUCT((IFERROR(MONTH(BANCA!$B8:$B4155)=MONTH(F$2),FALSE))*(BANCA!$G8:$G4155="CONSULENZE CONTABILITÀ E DICHIARAZIONI FISCALI")*(IFERROR(ROUND(BANCA!$F8:$F4155,2),0)))-SUMPRODUCT((IFERROR(MONTH(CASSA!$B7:$B3155)=MONTH(F$2),FALSE))*(CASSA!$G7:$G3155="CONSULENZE CONTABILITÀ E DICHIARAZIONI FISCALI")*(IFERROR(ROUND(CASSA!$E7:$E3155,2),0))) +
SUMPRODUCT((IFERROR(MONTH(BANCA!$B8:$B4155)=MONTH(F$2),FALSE))*(BANCA!$G8:$G4155="CONSULENZE CONTABILITÀ E DICHIARAZIONI FISCALI")*(IFERROR(ROUND(BANCA!$E8:$E4155,2),0)))</f>
        <v>433.34</v>
      </c>
      <c r="G53" s="297"/>
      <c r="H53" s="297" cm="1">
        <f t="array" ref="H53">SUMPRODUCT((IFERROR(MONTH(CASSA!$B7:$B3155)=MONTH(H$2),FALSE))*(CASSA!$G7:$G3155="CONSULENZE CONTABILITÀ E DICHIARAZIONI FISCALI")*(IFERROR(ROUND(CASSA!$F7:$F3155,2),0))) +
SUMPRODUCT((IFERROR(MONTH(BANCA!$B8:$B4155)=MONTH(H$2),FALSE))*(BANCA!$G8:$G4155="CONSULENZE CONTABILITÀ E DICHIARAZIONI FISCALI")*(IFERROR(ROUND(BANCA!$F8:$F4155,2),0)))-SUMPRODUCT((IFERROR(MONTH(CASSA!$B7:$B3155)=MONTH(H$2),FALSE))*(CASSA!$G7:$G3155="CONSULENZE CONTABILITÀ E DICHIARAZIONI FISCALI")*(IFERROR(ROUND(CASSA!$E7:$E3155,2),0))) +
SUMPRODUCT((IFERROR(MONTH(BANCA!$B8:$B4155)=MONTH(H$2),FALSE))*(BANCA!$G8:$G4155="CONSULENZE CONTABILITÀ E DICHIARAZIONI FISCALI")*(IFERROR(ROUND(BANCA!$E8:$E4155,2),0)))</f>
        <v>433.34</v>
      </c>
      <c r="I53" s="297"/>
      <c r="J53" s="297" cm="1">
        <f t="array" ref="J53">SUMPRODUCT((IFERROR(MONTH(CASSA!$B7:$B3155)=MONTH(J$2),FALSE))*(CASSA!$G7:$G3155="CONSULENZE CONTABILITÀ E DICHIARAZIONI FISCALI")*(IFERROR(ROUND(CASSA!$F7:$F3155,2),0))) +
SUMPRODUCT((IFERROR(MONTH(BANCA!$B8:$B4155)=MONTH(J$2),FALSE))*(BANCA!$G8:$G4155="CONSULENZE CONTABILITÀ E DICHIARAZIONI FISCALI")*(IFERROR(ROUND(BANCA!$F8:$F4155,2),0)))-SUMPRODUCT((IFERROR(MONTH(CASSA!$B7:$B3155)=MONTH(J$2),FALSE))*(CASSA!$G7:$G3155="CONSULENZE CONTABILITÀ E DICHIARAZIONI FISCALI")*(IFERROR(ROUND(CASSA!$E7:$E3155,2),0))) +
SUMPRODUCT((IFERROR(MONTH(BANCA!$B8:$B4155)=MONTH(J$2),FALSE))*(BANCA!$G8:$G4155="CONSULENZE CONTABILITÀ E DICHIARAZIONI FISCALI")*(IFERROR(ROUND(BANCA!$E8:$E4155,2),0)))</f>
        <v>516.66999999999996</v>
      </c>
      <c r="K53" s="297"/>
      <c r="L53" s="297" cm="1">
        <f t="array" ref="L53">SUMPRODUCT((IFERROR(MONTH(CASSA!$B7:$B3155)=MONTH(L$2),FALSE))*(CASSA!$G7:$G3155="CONSULENZE CONTABILITÀ E DICHIARAZIONI FISCALI")*(IFERROR(ROUND(CASSA!$F7:$F3155,2),0))) +
SUMPRODUCT((IFERROR(MONTH(BANCA!$B8:$B4155)=MONTH(L$2),FALSE))*(BANCA!$G8:$G4155="CONSULENZE CONTABILITÀ E DICHIARAZIONI FISCALI")*(IFERROR(ROUND(BANCA!$F8:$F4155,2),0)))-SUMPRODUCT((IFERROR(MONTH(CASSA!$B7:$B3155)=MONTH(L$2),FALSE))*(CASSA!$G7:$G3155="CONSULENZE CONTABILITÀ E DICHIARAZIONI FISCALI")*(IFERROR(ROUND(CASSA!$E7:$E3155,2),0))) +
SUMPRODUCT((IFERROR(MONTH(BANCA!$B8:$B4155)=MONTH(L$2),FALSE))*(BANCA!$G8:$G4155="CONSULENZE CONTABILITÀ E DICHIARAZIONI FISCALI")*(IFERROR(ROUND(BANCA!$E8:$E4155,2),0)))</f>
        <v>433.34</v>
      </c>
      <c r="M53" s="297"/>
      <c r="N53" s="297" cm="1">
        <f t="array" ref="N53">SUMPRODUCT((IFERROR(MONTH(CASSA!$B7:$B3155)=MONTH(N$2),FALSE))*(CASSA!$G7:$G3155="CONSULENZE CONTABILITÀ E DICHIARAZIONI FISCALI")*(IFERROR(ROUND(CASSA!$F7:$F3155,2),0))) +
SUMPRODUCT((IFERROR(MONTH(BANCA!$B8:$B4155)=MONTH(N$2),FALSE))*(BANCA!$G8:$G4155="CONSULENZE CONTABILITÀ E DICHIARAZIONI FISCALI")*(IFERROR(ROUND(BANCA!$F8:$F4155,2),0)))-SUMPRODUCT((IFERROR(MONTH(CASSA!$B7:$B3155)=MONTH(N$2),FALSE))*(CASSA!$G7:$G3155="CONSULENZE CONTABILITÀ E DICHIARAZIONI FISCALI")*(IFERROR(ROUND(CASSA!$E7:$E3155,2),0))) +
SUMPRODUCT((IFERROR(MONTH(BANCA!$B8:$B4155)=MONTH(N$2),FALSE))*(BANCA!$G8:$G4155="CONSULENZE CONTABILITÀ E DICHIARAZIONI FISCALI")*(IFERROR(ROUND(BANCA!$E8:$E4155,2),0)))</f>
        <v>350.01</v>
      </c>
      <c r="O53" s="297"/>
      <c r="P53" s="297" cm="1">
        <f t="array" ref="P53">SUMPRODUCT((IFERROR(MONTH(CASSA!$B7:$B3155)=MONTH(P$2),FALSE))*(CASSA!$G7:$G3155="CONSULENZE CONTABILITÀ E DICHIARAZIONI FISCALI")*(IFERROR(ROUND(CASSA!$F7:$F3155,2),0))) +
SUMPRODUCT((IFERROR(MONTH(BANCA!$B8:$B4155)=MONTH(P$2),FALSE))*(BANCA!$G8:$G4155="CONSULENZE CONTABILITÀ E DICHIARAZIONI FISCALI")*(IFERROR(ROUND(BANCA!$F8:$F4155,2),0)))-SUMPRODUCT((IFERROR(MONTH(CASSA!$B7:$B3155)=MONTH(P$2),FALSE))*(CASSA!$G7:$G3155="CONSULENZE CONTABILITÀ E DICHIARAZIONI FISCALI")*(IFERROR(ROUND(CASSA!$E7:$E3155,2),0))) +
SUMPRODUCT((IFERROR(MONTH(BANCA!$B8:$B4155)=MONTH(P$2),FALSE))*(BANCA!$G8:$G4155="CONSULENZE CONTABILITÀ E DICHIARAZIONI FISCALI")*(IFERROR(ROUND(BANCA!$E8:$E4155,2),0)))</f>
        <v>433.34</v>
      </c>
      <c r="Q53" s="297"/>
      <c r="R53" s="297" cm="1">
        <f t="array" ref="R53">SUMPRODUCT((IFERROR(MONTH(CASSA!$B7:$B3155)=MONTH(R$2),FALSE))*(CASSA!$G7:$G3155="CONSULENZE CONTABILITÀ E DICHIARAZIONI FISCALI")*(IFERROR(ROUND(CASSA!$F7:$F3155,2),0))) +
SUMPRODUCT((IFERROR(MONTH(BANCA!$B8:$B4155)=MONTH(R$2),FALSE))*(BANCA!$G8:$G4155="CONSULENZE CONTABILITÀ E DICHIARAZIONI FISCALI")*(IFERROR(ROUND(BANCA!$F8:$F4155,2),0)))-SUMPRODUCT((IFERROR(MONTH(CASSA!$B7:$B3155)=MONTH(R$2),FALSE))*(CASSA!$G7:$G3155="CONSULENZE CONTABILITÀ E DICHIARAZIONI FISCALI")*(IFERROR(ROUND(CASSA!$E7:$E3155,2),0))) +
SUMPRODUCT((IFERROR(MONTH(BANCA!$B8:$B4155)=MONTH(R$2),FALSE))*(BANCA!$G8:$G4155="CONSULENZE CONTABILITÀ E DICHIARAZIONI FISCALI")*(IFERROR(ROUND(BANCA!$E8:$E4155,2),0)))</f>
        <v>83.33</v>
      </c>
      <c r="S53" s="297"/>
      <c r="T53" s="297" cm="1">
        <f t="array" ref="T53">SUMPRODUCT((IFERROR(MONTH(CASSA!$B7:$B3155)=MONTH(T$2),FALSE))*(CASSA!$G7:$G3155="CONSULENZE CONTABILITÀ E DICHIARAZIONI FISCALI")*(IFERROR(ROUND(CASSA!$F7:$F3155,2),0))) +
SUMPRODUCT((IFERROR(MONTH(BANCA!$B8:$B4155)=MONTH(T$2),FALSE))*(BANCA!$G8:$G4155="CONSULENZE CONTABILITÀ E DICHIARAZIONI FISCALI")*(IFERROR(ROUND(BANCA!$F8:$F4155,2),0)))-SUMPRODUCT((IFERROR(MONTH(CASSA!$B7:$B3155)=MONTH(T$2),FALSE))*(CASSA!$G7:$G3155="CONSULENZE CONTABILITÀ E DICHIARAZIONI FISCALI")*(IFERROR(ROUND(CASSA!$E7:$E3155,2),0))) +
SUMPRODUCT((IFERROR(MONTH(BANCA!$B8:$B4155)=MONTH(T$2),FALSE))*(BANCA!$G8:$G4155="CONSULENZE CONTABILITÀ E DICHIARAZIONI FISCALI")*(IFERROR(ROUND(BANCA!$E8:$E4155,2),0)))</f>
        <v>0</v>
      </c>
      <c r="U53" s="297"/>
      <c r="V53" s="297" cm="1">
        <f t="array" ref="V53">SUMPRODUCT((IFERROR(MONTH(CASSA!$B7:$B3155)=MONTH(V$2),FALSE))*(CASSA!$G7:$G3155="CONSULENZE CONTABILITÀ E DICHIARAZIONI FISCALI")*(IFERROR(ROUND(CASSA!$F7:$F3155,2),0))) +
SUMPRODUCT((IFERROR(MONTH(BANCA!$B8:$B4155)=MONTH(V$2),FALSE))*(BANCA!$G8:$G4155="CONSULENZE CONTABILITÀ E DICHIARAZIONI FISCALI")*(IFERROR(ROUND(BANCA!$F8:$F4155,2),0)))-SUMPRODUCT((IFERROR(MONTH(CASSA!$B7:$B3155)=MONTH(V$2),FALSE))*(CASSA!$G7:$G3155="CONSULENZE CONTABILITÀ E DICHIARAZIONI FISCALI")*(IFERROR(ROUND(CASSA!$E7:$E3155,2),0))) +
SUMPRODUCT((IFERROR(MONTH(BANCA!$B8:$B4155)=MONTH(V$2),FALSE))*(BANCA!$G8:$G4155="CONSULENZE CONTABILITÀ E DICHIARAZIONI FISCALI")*(IFERROR(ROUND(BANCA!$E8:$E4155,2),0)))</f>
        <v>350.01</v>
      </c>
      <c r="W53" s="297"/>
      <c r="X53" s="297" cm="1">
        <f t="array" ref="X53">SUMPRODUCT((IFERROR(MONTH(CASSA!$B7:$B3155)=MONTH(X$2),FALSE))*(CASSA!$G7:$G3155="CONSULENZE CONTABILITÀ E DICHIARAZIONI FISCALI")*(IFERROR(ROUND(CASSA!$F7:$F3155,2),0))) +
SUMPRODUCT((IFERROR(MONTH(BANCA!$B8:$B4155)=MONTH(X$2),FALSE))*(BANCA!$G8:$G4155="CONSULENZE CONTABILITÀ E DICHIARAZIONI FISCALI")*(IFERROR(ROUND(BANCA!$F8:$F4155,2),0)))-SUMPRODUCT((IFERROR(MONTH(CASSA!$B7:$B3155)=MONTH(X$2),FALSE))*(CASSA!$G7:$G3155="CONSULENZE CONTABILITÀ E DICHIARAZIONI FISCALI")*(IFERROR(ROUND(CASSA!$E7:$E3155,2),0))) +
SUMPRODUCT((IFERROR(MONTH(BANCA!$B8:$B4155)=MONTH(X$2),FALSE))*(BANCA!$G8:$G4155="CONSULENZE CONTABILITÀ E DICHIARAZIONI FISCALI")*(IFERROR(ROUND(BANCA!$E8:$E4155,2),0)))</f>
        <v>433.34</v>
      </c>
      <c r="Y53" s="297"/>
      <c r="Z53" s="297" cm="1">
        <f t="array" ref="Z53">SUMPRODUCT((IFERROR(MONTH(CASSA!$B7:$B3155)=MONTH(Z$2),FALSE))*(CASSA!$G7:$G3155="CONSULENZE CONTABILITÀ E DICHIARAZIONI FISCALI")*(IFERROR(ROUND(CASSA!$F7:$F3155,2),0))) +
SUMPRODUCT((IFERROR(MONTH(BANCA!$B8:$B4155)=MONTH(Z$2),FALSE))*(BANCA!$G8:$G4155="CONSULENZE CONTABILITÀ E DICHIARAZIONI FISCALI")*(IFERROR(ROUND(BANCA!$F8:$F4155,2),0)))-SUMPRODUCT((IFERROR(MONTH(CASSA!$B7:$B3155)=MONTH(Z$2),FALSE))*(CASSA!$G7:$G3155="CONSULENZE CONTABILITÀ E DICHIARAZIONI FISCALI")*(IFERROR(ROUND(CASSA!$E7:$E3155,2),0))) +
SUMPRODUCT((IFERROR(MONTH(BANCA!$B8:$B4155)=MONTH(Z$2),FALSE))*(BANCA!$G8:$G4155="CONSULENZE CONTABILITÀ E DICHIARAZIONI FISCALI")*(IFERROR(ROUND(BANCA!$E8:$E4155,2),0)))</f>
        <v>1250.01</v>
      </c>
      <c r="AA53" s="297"/>
      <c r="AB53" s="769">
        <f t="shared" si="20"/>
        <v>5066.7400000000007</v>
      </c>
      <c r="AC53" s="792" t="s">
        <v>1993</v>
      </c>
      <c r="AD53" s="284"/>
      <c r="AE53" s="284"/>
      <c r="AF53" s="284"/>
      <c r="AG53" s="284"/>
      <c r="AH53" s="284"/>
      <c r="AI53" s="284"/>
      <c r="AJ53" s="284"/>
      <c r="AK53" s="284"/>
      <c r="AL53" s="284"/>
      <c r="AM53" s="284"/>
      <c r="AN53" s="284"/>
    </row>
    <row r="54" spans="2:40" s="232" customFormat="1" ht="18" customHeight="1">
      <c r="B54" s="905" t="s">
        <v>156</v>
      </c>
      <c r="C54" s="905"/>
      <c r="D54" s="297" cm="1">
        <f t="array" ref="D54">SUMPRODUCT((IFERROR(MONTH(CASSA!$B7:$B3155)=MONTH(D$2),FALSE))*(CASSA!$G7:$G3155="SERVIZI ELABORAZIONE PAGHE")*(IFERROR(ROUND(CASSA!$F7:$F3155,2),0))) +
SUMPRODUCT((IFERROR(MONTH(BANCA!$B8:$B4155)=MONTH(D$2),FALSE))*(BANCA!$G8:$G4155="SERVIZI ELABORAZIONE PAGHE")*(IFERROR(ROUND(BANCA!$F8:$F4155,2),0)))-SUMPRODUCT((IFERROR(MONTH(CASSA!$B7:$B3155)=MONTH(D$2),FALSE))*(CASSA!$G7:$G3155="SERVIZI ELABORAZIONE PAGHE")*(IFERROR(ROUND(CASSA!$E7:$E3155,2),0)))-
SUMPRODUCT((IFERROR(MONTH(BANCA!$B8:$B4155)=MONTH(D$2),FALSE))*(BANCA!$G8:$G4155="SERVIZI ELABORAZIONE PAGHE")*(IFERROR(ROUND(BANCA!$E8:$E4155,2),0)))</f>
        <v>0</v>
      </c>
      <c r="E54" s="297"/>
      <c r="F54" s="297" cm="1">
        <f t="array" ref="F54">SUMPRODUCT((IFERROR(MONTH(CASSA!$B7:$B3155)=MONTH(F$2),FALSE))*(CASSA!$G7:$G3155="SERVIZI ELABORAZIONE PAGHE")*(IFERROR(ROUND(CASSA!$F7:$F3155,2),0))) +
SUMPRODUCT((IFERROR(MONTH(BANCA!$B8:$B4155)=MONTH(F$2),FALSE))*(BANCA!$G8:$G4155="SERVIZI ELABORAZIONE PAGHE")*(IFERROR(ROUND(BANCA!$F8:$F4155,2),0)))-SUMPRODUCT((IFERROR(MONTH(CASSA!$B7:$B3155)=MONTH(F$2),FALSE))*(CASSA!$G7:$G3155="SERVIZI ELABORAZIONE PAGHE")*(IFERROR(ROUND(CASSA!$E7:$E3155,2),0)))-
SUMPRODUCT((IFERROR(MONTH(BANCA!$B8:$B4155)=MONTH(F$2),FALSE))*(BANCA!$G8:$G4155="SERVIZI ELABORAZIONE PAGHE")*(IFERROR(ROUND(BANCA!$E8:$E4155,2),0)))</f>
        <v>722.8</v>
      </c>
      <c r="G54" s="297"/>
      <c r="H54" s="297" cm="1">
        <f t="array" ref="H54">SUMPRODUCT((IFERROR(MONTH(CASSA!$B7:$B3155)=MONTH(H$2),FALSE))*(CASSA!$G7:$G3155="SERVIZI ELABORAZIONE PAGHE")*(IFERROR(ROUND(CASSA!$F7:$F3155,2),0))) +
SUMPRODUCT((IFERROR(MONTH(BANCA!$B8:$B4155)=MONTH(H$2),FALSE))*(BANCA!$G8:$G4155="SERVIZI ELABORAZIONE PAGHE")*(IFERROR(ROUND(BANCA!$F8:$F4155,2),0)))-SUMPRODUCT((IFERROR(MONTH(CASSA!$B7:$B3155)=MONTH(H$2),FALSE))*(CASSA!$G7:$G3155="SERVIZI ELABORAZIONE PAGHE")*(IFERROR(ROUND(CASSA!$E7:$E3155,2),0)))-
SUMPRODUCT((IFERROR(MONTH(BANCA!$B8:$B4155)=MONTH(H$2),FALSE))*(BANCA!$G8:$G4155="SERVIZI ELABORAZIONE PAGHE")*(IFERROR(ROUND(BANCA!$E8:$E4155,2),0)))</f>
        <v>139</v>
      </c>
      <c r="I54" s="297"/>
      <c r="J54" s="297" cm="1">
        <f t="array" ref="J54">SUMPRODUCT((IFERROR(MONTH(CASSA!$B7:$B3155)=MONTH(J$2),FALSE))*(CASSA!$G7:$G3155="SERVIZI ELABORAZIONE PAGHE")*(IFERROR(ROUND(CASSA!$F7:$F3155,2),0))) +
SUMPRODUCT((IFERROR(MONTH(BANCA!$B8:$B4155)=MONTH(J$2),FALSE))*(BANCA!$G8:$G4155="SERVIZI ELABORAZIONE PAGHE")*(IFERROR(ROUND(BANCA!$F8:$F4155,2),0)))-SUMPRODUCT((IFERROR(MONTH(CASSA!$B7:$B3155)=MONTH(J$2),FALSE))*(CASSA!$G7:$G3155="SERVIZI ELABORAZIONE PAGHE")*(IFERROR(ROUND(CASSA!$E7:$E3155,2),0)))-
SUMPRODUCT((IFERROR(MONTH(BANCA!$B8:$B4155)=MONTH(J$2),FALSE))*(BANCA!$G8:$G4155="SERVIZI ELABORAZIONE PAGHE")*(IFERROR(ROUND(BANCA!$E8:$E4155,2),0)))</f>
        <v>0</v>
      </c>
      <c r="K54" s="297"/>
      <c r="L54" s="297" cm="1">
        <f t="array" ref="L54">SUMPRODUCT((IFERROR(MONTH(CASSA!$B7:$B3155)=MONTH(L$2),FALSE))*(CASSA!$G7:$G3155="SERVIZI ELABORAZIONE PAGHE")*(IFERROR(ROUND(CASSA!$F7:$F3155,2),0))) +
SUMPRODUCT((IFERROR(MONTH(BANCA!$B8:$B4155)=MONTH(L$2),FALSE))*(BANCA!$G8:$G4155="SERVIZI ELABORAZIONE PAGHE")*(IFERROR(ROUND(BANCA!$F8:$F4155,2),0)))-SUMPRODUCT((IFERROR(MONTH(CASSA!$B7:$B3155)=MONTH(L$2),FALSE))*(CASSA!$G7:$G3155="SERVIZI ELABORAZIONE PAGHE")*(IFERROR(ROUND(CASSA!$E7:$E3155,2),0)))-
SUMPRODUCT((IFERROR(MONTH(BANCA!$B8:$B4155)=MONTH(L$2),FALSE))*(BANCA!$G8:$G4155="SERVIZI ELABORAZIONE PAGHE")*(IFERROR(ROUND(BANCA!$E8:$E4155,2),0)))</f>
        <v>1054</v>
      </c>
      <c r="M54" s="297"/>
      <c r="N54" s="297" cm="1">
        <f t="array" ref="N54">SUMPRODUCT((IFERROR(MONTH(CASSA!$B7:$B3155)=MONTH(N$2),FALSE))*(CASSA!$G7:$G3155="SERVIZI ELABORAZIONE PAGHE")*(IFERROR(ROUND(CASSA!$F7:$F3155,2),0))) +
SUMPRODUCT((IFERROR(MONTH(BANCA!$B8:$B4155)=MONTH(N$2),FALSE))*(BANCA!$G8:$G4155="SERVIZI ELABORAZIONE PAGHE")*(IFERROR(ROUND(BANCA!$F8:$F4155,2),0)))-SUMPRODUCT((IFERROR(MONTH(CASSA!$B7:$B3155)=MONTH(N$2),FALSE))*(CASSA!$G7:$G3155="SERVIZI ELABORAZIONE PAGHE")*(IFERROR(ROUND(CASSA!$E7:$E3155,2),0)))-
SUMPRODUCT((IFERROR(MONTH(BANCA!$B8:$B4155)=MONTH(N$2),FALSE))*(BANCA!$G8:$G4155="SERVIZI ELABORAZIONE PAGHE")*(IFERROR(ROUND(BANCA!$E8:$E4155,2),0)))</f>
        <v>0</v>
      </c>
      <c r="O54" s="297"/>
      <c r="P54" s="297" cm="1">
        <f t="array" ref="P54">SUMPRODUCT((IFERROR(MONTH(CASSA!$B7:$B3155)=MONTH(P$2),FALSE))*(CASSA!$G7:$G3155="SERVIZI ELABORAZIONE PAGHE")*(IFERROR(ROUND(CASSA!$F7:$F3155,2),0))) +
SUMPRODUCT((IFERROR(MONTH(BANCA!$B8:$B4155)=MONTH(P$2),FALSE))*(BANCA!$G8:$G4155="SERVIZI ELABORAZIONE PAGHE")*(IFERROR(ROUND(BANCA!$F8:$F4155,2),0)))-SUMPRODUCT((IFERROR(MONTH(CASSA!$B7:$B3155)=MONTH(P$2),FALSE))*(CASSA!$G7:$G3155="SERVIZI ELABORAZIONE PAGHE")*(IFERROR(ROUND(CASSA!$E7:$E3155,2),0)))-
SUMPRODUCT((IFERROR(MONTH(BANCA!$B8:$B4155)=MONTH(P$2),FALSE))*(BANCA!$G8:$G4155="SERVIZI ELABORAZIONE PAGHE")*(IFERROR(ROUND(BANCA!$E8:$E4155,2),0)))</f>
        <v>923.8</v>
      </c>
      <c r="Q54" s="297"/>
      <c r="R54" s="297" cm="1">
        <f t="array" ref="R54">SUMPRODUCT((IFERROR(MONTH(CASSA!$B7:$B3155)=MONTH(R$2),FALSE))*(CASSA!$G7:$G3155="SERVIZI ELABORAZIONE PAGHE")*(IFERROR(ROUND(CASSA!$F7:$F3155,2),0))) +
SUMPRODUCT((IFERROR(MONTH(BANCA!$B8:$B4155)=MONTH(R$2),FALSE))*(BANCA!$G8:$G4155="SERVIZI ELABORAZIONE PAGHE")*(IFERROR(ROUND(BANCA!$F8:$F4155,2),0)))-SUMPRODUCT((IFERROR(MONTH(CASSA!$B7:$B3155)=MONTH(R$2),FALSE))*(CASSA!$G7:$G3155="SERVIZI ELABORAZIONE PAGHE")*(IFERROR(ROUND(CASSA!$E7:$E3155,2),0)))-
SUMPRODUCT((IFERROR(MONTH(BANCA!$B8:$B4155)=MONTH(R$2),FALSE))*(BANCA!$G8:$G4155="SERVIZI ELABORAZIONE PAGHE")*(IFERROR(ROUND(BANCA!$E8:$E4155,2),0)))</f>
        <v>350.01</v>
      </c>
      <c r="S54" s="297"/>
      <c r="T54" s="297" cm="1">
        <f t="array" ref="T54">SUMPRODUCT((IFERROR(MONTH(CASSA!$B7:$B3155)=MONTH(T$2),FALSE))*(CASSA!$G7:$G3155="SERVIZI ELABORAZIONE PAGHE")*(IFERROR(ROUND(CASSA!$F7:$F3155,2),0))) +
SUMPRODUCT((IFERROR(MONTH(BANCA!$B8:$B4155)=MONTH(T$2),FALSE))*(BANCA!$G8:$G4155="SERVIZI ELABORAZIONE PAGHE")*(IFERROR(ROUND(BANCA!$F8:$F4155,2),0)))-SUMPRODUCT((IFERROR(MONTH(CASSA!$B7:$B3155)=MONTH(T$2),FALSE))*(CASSA!$G7:$G3155="SERVIZI ELABORAZIONE PAGHE")*(IFERROR(ROUND(CASSA!$E7:$E3155,2),0)))-
SUMPRODUCT((IFERROR(MONTH(BANCA!$B8:$B4155)=MONTH(T$2),FALSE))*(BANCA!$G8:$G4155="SERVIZI ELABORAZIONE PAGHE")*(IFERROR(ROUND(BANCA!$E8:$E4155,2),0)))</f>
        <v>350.01</v>
      </c>
      <c r="U54" s="297"/>
      <c r="V54" s="297" cm="1">
        <f t="array" ref="V54">SUMPRODUCT((IFERROR(MONTH(CASSA!$B7:$B3155)=MONTH(V$2),FALSE))*(CASSA!$G7:$G3155="SERVIZI ELABORAZIONE PAGHE")*(IFERROR(ROUND(CASSA!$F7:$F3155,2),0))) +
SUMPRODUCT((IFERROR(MONTH(BANCA!$B8:$B4155)=MONTH(V$2),FALSE))*(BANCA!$G8:$G4155="SERVIZI ELABORAZIONE PAGHE")*(IFERROR(ROUND(BANCA!$F8:$F4155,2),0)))-SUMPRODUCT((IFERROR(MONTH(CASSA!$B7:$B3155)=MONTH(V$2),FALSE))*(CASSA!$G7:$G3155="SERVIZI ELABORAZIONE PAGHE")*(IFERROR(ROUND(CASSA!$E7:$E3155,2),0)))-
SUMPRODUCT((IFERROR(MONTH(BANCA!$B8:$B4155)=MONTH(V$2),FALSE))*(BANCA!$G8:$G4155="SERVIZI ELABORAZIONE PAGHE")*(IFERROR(ROUND(BANCA!$E8:$E4155,2),0)))</f>
        <v>733.2</v>
      </c>
      <c r="W54" s="297"/>
      <c r="X54" s="297" cm="1">
        <f t="array" ref="X54">SUMPRODUCT((IFERROR(MONTH(CASSA!$B7:$B3155)=MONTH(X$2),FALSE))*(CASSA!$G7:$G3155="SERVIZI ELABORAZIONE PAGHE")*(IFERROR(ROUND(CASSA!$F7:$F3155,2),0))) +
SUMPRODUCT((IFERROR(MONTH(BANCA!$B8:$B4155)=MONTH(X$2),FALSE))*(BANCA!$G8:$G4155="SERVIZI ELABORAZIONE PAGHE")*(IFERROR(ROUND(BANCA!$F8:$F4155,2),0)))-SUMPRODUCT((IFERROR(MONTH(CASSA!$B7:$B3155)=MONTH(X$2),FALSE))*(CASSA!$G7:$G3155="SERVIZI ELABORAZIONE PAGHE")*(IFERROR(ROUND(CASSA!$E7:$E3155,2),0)))-
SUMPRODUCT((IFERROR(MONTH(BANCA!$B8:$B4155)=MONTH(X$2),FALSE))*(BANCA!$G8:$G4155="SERVIZI ELABORAZIONE PAGHE")*(IFERROR(ROUND(BANCA!$E8:$E4155,2),0)))</f>
        <v>957.4</v>
      </c>
      <c r="Y54" s="297"/>
      <c r="Z54" s="297" cm="1">
        <f t="array" ref="Z54">SUMPRODUCT((IFERROR(MONTH(CASSA!$B7:$B3155)=MONTH(Z$2),FALSE))*(CASSA!$G7:$G3155="SERVIZI ELABORAZIONE PAGHE")*(IFERROR(ROUND(CASSA!$F7:$F3155,2),0))) +
SUMPRODUCT((IFERROR(MONTH(BANCA!$B8:$B4155)=MONTH(Z$2),FALSE))*(BANCA!$G8:$G4155="SERVIZI ELABORAZIONE PAGHE")*(IFERROR(ROUND(BANCA!$F8:$F4155,2),0)))-SUMPRODUCT((IFERROR(MONTH(CASSA!$B7:$B3155)=MONTH(Z$2),FALSE))*(CASSA!$G7:$G3155="SERVIZI ELABORAZIONE PAGHE")*(IFERROR(ROUND(CASSA!$E7:$E3155,2),0)))-
SUMPRODUCT((IFERROR(MONTH(BANCA!$B8:$B4155)=MONTH(Z$2),FALSE))*(BANCA!$G8:$G4155="SERVIZI ELABORAZIONE PAGHE")*(IFERROR(ROUND(BANCA!$E8:$E4155,2),0)))</f>
        <v>0</v>
      </c>
      <c r="AA54" s="297"/>
      <c r="AB54" s="769">
        <f t="shared" si="20"/>
        <v>5230.2199999999993</v>
      </c>
      <c r="AC54" s="792" t="s">
        <v>1993</v>
      </c>
      <c r="AD54" s="284"/>
      <c r="AE54" s="284"/>
      <c r="AF54" s="284"/>
      <c r="AG54" s="284"/>
      <c r="AH54" s="284"/>
      <c r="AI54" s="284"/>
      <c r="AJ54" s="284"/>
      <c r="AK54" s="284"/>
      <c r="AL54" s="284"/>
      <c r="AM54" s="284"/>
      <c r="AN54" s="284"/>
    </row>
    <row r="55" spans="2:40" s="232" customFormat="1" ht="18" customHeight="1">
      <c r="B55" s="905" t="s">
        <v>157</v>
      </c>
      <c r="C55" s="905"/>
      <c r="D55" s="297" cm="1">
        <f t="array" ref="D55">SUMPRODUCT((IFERROR(MONTH(CASSA!$B7:$B3155)=MONTH(D$2),FALSE))*(CASSA!$G7:$G3155="SPESE TELEFONICHE")*(IFERROR(ROUND(CASSA!$F7:$F3155,2),0))) +
SUMPRODUCT((IFERROR(MONTH(BANCA!$B8:$B4155)=MONTH(D$2),FALSE))*(BANCA!$G8:$G4155="SPESE TELEFONICHE")*(IFERROR(ROUND(BANCA!$F8:$F4155,2),0)))-SUMPRODUCT((IFERROR(MONTH(CASSA!$B7:$B3155)=MONTH(D$2),FALSE))*(CASSA!$G7:$G3155="SPESE TELEFONICHE")*(IFERROR(ROUND(CASSA!$E7:$E3155,2),0)))-
SUMPRODUCT((IFERROR(MONTH(BANCA!$B8:$B4155)=MONTH(D$2),FALSE))*(BANCA!$G8:$G4155="SPESE TELEFONICHE")*(IFERROR(ROUND(BANCA!$E8:$E4155,2),0)))</f>
        <v>51.89</v>
      </c>
      <c r="E55" s="297"/>
      <c r="F55" s="297" cm="1">
        <f t="array" ref="F55">SUMPRODUCT((IFERROR(MONTH(CASSA!$B7:$B3155)=MONTH(F$2),FALSE))*(CASSA!$G7:$G3155="SPESE TELEFONICHE")*(IFERROR(ROUND(CASSA!$F7:$F3155,2),0))) +
SUMPRODUCT((IFERROR(MONTH(BANCA!$B8:$B4155)=MONTH(F$2),FALSE))*(BANCA!$G8:$G4155="SPESE TELEFONICHE")*(IFERROR(ROUND(BANCA!$F8:$F4155,2),0)))-SUMPRODUCT((IFERROR(MONTH(CASSA!$B7:$B3155)=MONTH(F$2),FALSE))*(CASSA!$G7:$G3155="SPESE TELEFONICHE")*(IFERROR(ROUND(CASSA!$E7:$E3155,2),0)))-
SUMPRODUCT((IFERROR(MONTH(BANCA!$B8:$B4155)=MONTH(F$2),FALSE))*(BANCA!$G8:$G4155="SPESE TELEFONICHE")*(IFERROR(ROUND(BANCA!$E8:$E4155,2),0)))</f>
        <v>215.62</v>
      </c>
      <c r="G55" s="297"/>
      <c r="H55" s="297" cm="1">
        <f t="array" ref="H55">SUMPRODUCT((IFERROR(MONTH(CASSA!$B7:$B3155)=MONTH(H$2),FALSE))*(CASSA!$G7:$G3155="SPESE TELEFONICHE")*(IFERROR(ROUND(CASSA!$F7:$F3155,2),0))) +
SUMPRODUCT((IFERROR(MONTH(BANCA!$B8:$B4155)=MONTH(H$2),FALSE))*(BANCA!$G8:$G4155="SPESE TELEFONICHE")*(IFERROR(ROUND(BANCA!$F8:$F4155,2),0)))-SUMPRODUCT((IFERROR(MONTH(CASSA!$B7:$B3155)=MONTH(H$2),FALSE))*(CASSA!$G7:$G3155="SPESE TELEFONICHE")*(IFERROR(ROUND(CASSA!$E7:$E3155,2),0)))-
SUMPRODUCT((IFERROR(MONTH(BANCA!$B8:$B4155)=MONTH(H$2),FALSE))*(BANCA!$G8:$G4155="SPESE TELEFONICHE")*(IFERROR(ROUND(BANCA!$E8:$E4155,2),0)))</f>
        <v>83.39</v>
      </c>
      <c r="I55" s="297"/>
      <c r="J55" s="297" cm="1">
        <f t="array" ref="J55">SUMPRODUCT((IFERROR(MONTH(CASSA!$B7:$B3155)=MONTH(J$2),FALSE))*(CASSA!$G7:$G3155="SPESE TELEFONICHE")*(IFERROR(ROUND(CASSA!$F7:$F3155,2),0))) +
SUMPRODUCT((IFERROR(MONTH(BANCA!$B8:$B4155)=MONTH(J$2),FALSE))*(BANCA!$G8:$G4155="SPESE TELEFONICHE")*(IFERROR(ROUND(BANCA!$F8:$F4155,2),0)))-SUMPRODUCT((IFERROR(MONTH(CASSA!$B7:$B3155)=MONTH(J$2),FALSE))*(CASSA!$G7:$G3155="SPESE TELEFONICHE")*(IFERROR(ROUND(CASSA!$E7:$E3155,2),0)))-
SUMPRODUCT((IFERROR(MONTH(BANCA!$B8:$B4155)=MONTH(J$2),FALSE))*(BANCA!$G8:$G4155="SPESE TELEFONICHE")*(IFERROR(ROUND(BANCA!$E8:$E4155,2),0)))</f>
        <v>124.75999999999999</v>
      </c>
      <c r="K55" s="297"/>
      <c r="L55" s="297" cm="1">
        <f t="array" ref="L55">SUMPRODUCT((IFERROR(MONTH(CASSA!$B7:$B3155)=MONTH(L$2),FALSE))*(CASSA!$G7:$G3155="SPESE TELEFONICHE")*(IFERROR(ROUND(CASSA!$F7:$F3155,2),0))) +
SUMPRODUCT((IFERROR(MONTH(BANCA!$B8:$B4155)=MONTH(L$2),FALSE))*(BANCA!$G8:$G4155="SPESE TELEFONICHE")*(IFERROR(ROUND(BANCA!$F8:$F4155,2),0)))-SUMPRODUCT((IFERROR(MONTH(CASSA!$B7:$B3155)=MONTH(L$2),FALSE))*(CASSA!$G7:$G3155="SPESE TELEFONICHE")*(IFERROR(ROUND(CASSA!$E7:$E3155,2),0)))-
SUMPRODUCT((IFERROR(MONTH(BANCA!$B8:$B4155)=MONTH(L$2),FALSE))*(BANCA!$G8:$G4155="SPESE TELEFONICHE")*(IFERROR(ROUND(BANCA!$E8:$E4155,2),0)))</f>
        <v>130.07999999999998</v>
      </c>
      <c r="M55" s="297"/>
      <c r="N55" s="297" cm="1">
        <f t="array" ref="N55">SUMPRODUCT((IFERROR(MONTH(CASSA!$B7:$B3155)=MONTH(N$2),FALSE))*(CASSA!$G7:$G3155="SPESE TELEFONICHE")*(IFERROR(ROUND(CASSA!$F7:$F3155,2),0))) +
SUMPRODUCT((IFERROR(MONTH(BANCA!$B8:$B4155)=MONTH(N$2),FALSE))*(BANCA!$G8:$G4155="SPESE TELEFONICHE")*(IFERROR(ROUND(BANCA!$F8:$F4155,2),0)))-SUMPRODUCT((IFERROR(MONTH(CASSA!$B7:$B3155)=MONTH(N$2),FALSE))*(CASSA!$G7:$G3155="SPESE TELEFONICHE")*(IFERROR(ROUND(CASSA!$E7:$E3155,2),0)))-
SUMPRODUCT((IFERROR(MONTH(BANCA!$B8:$B4155)=MONTH(N$2),FALSE))*(BANCA!$G8:$G4155="SPESE TELEFONICHE")*(IFERROR(ROUND(BANCA!$E8:$E4155,2),0)))</f>
        <v>55.18</v>
      </c>
      <c r="O55" s="297"/>
      <c r="P55" s="297" cm="1">
        <f t="array" ref="P55">SUMPRODUCT((IFERROR(MONTH(CASSA!$B7:$B3155)=MONTH(P$2),FALSE))*(CASSA!$G7:$G3155="SPESE TELEFONICHE")*(IFERROR(ROUND(CASSA!$F7:$F3155,2),0))) +
SUMPRODUCT((IFERROR(MONTH(BANCA!$B8:$B4155)=MONTH(P$2),FALSE))*(BANCA!$G8:$G4155="SPESE TELEFONICHE")*(IFERROR(ROUND(BANCA!$F8:$F4155,2),0)))-SUMPRODUCT((IFERROR(MONTH(CASSA!$B7:$B3155)=MONTH(P$2),FALSE))*(CASSA!$G7:$G3155="SPESE TELEFONICHE")*(IFERROR(ROUND(CASSA!$E7:$E3155,2),0)))-
SUMPRODUCT((IFERROR(MONTH(BANCA!$B8:$B4155)=MONTH(P$2),FALSE))*(BANCA!$G8:$G4155="SPESE TELEFONICHE")*(IFERROR(ROUND(BANCA!$E8:$E4155,2),0)))</f>
        <v>54.79</v>
      </c>
      <c r="Q55" s="297"/>
      <c r="R55" s="297" cm="1">
        <f t="array" ref="R55">SUMPRODUCT((IFERROR(MONTH(CASSA!$B7:$B3155)=MONTH(R$2),FALSE))*(CASSA!$G7:$G3155="SPESE TELEFONICHE")*(IFERROR(ROUND(CASSA!$F7:$F3155,2),0))) +
SUMPRODUCT((IFERROR(MONTH(BANCA!$B8:$B4155)=MONTH(R$2),FALSE))*(BANCA!$G8:$G4155="SPESE TELEFONICHE")*(IFERROR(ROUND(BANCA!$F8:$F4155,2),0)))-SUMPRODUCT((IFERROR(MONTH(CASSA!$B7:$B3155)=MONTH(R$2),FALSE))*(CASSA!$G7:$G3155="SPESE TELEFONICHE")*(IFERROR(ROUND(CASSA!$E7:$E3155,2),0)))-
SUMPRODUCT((IFERROR(MONTH(BANCA!$B8:$B4155)=MONTH(R$2),FALSE))*(BANCA!$G8:$G4155="SPESE TELEFONICHE")*(IFERROR(ROUND(BANCA!$E8:$E4155,2),0)))</f>
        <v>97.36</v>
      </c>
      <c r="S55" s="297"/>
      <c r="T55" s="297" cm="1">
        <f t="array" ref="T55">SUMPRODUCT((IFERROR(MONTH(CASSA!$B7:$B3155)=MONTH(T$2),FALSE))*(CASSA!$G7:$G3155="SPESE TELEFONICHE")*(IFERROR(ROUND(CASSA!$F7:$F3155,2),0))) +
SUMPRODUCT((IFERROR(MONTH(BANCA!$B8:$B4155)=MONTH(T$2),FALSE))*(BANCA!$G8:$G4155="SPESE TELEFONICHE")*(IFERROR(ROUND(BANCA!$F8:$F4155,2),0)))-SUMPRODUCT((IFERROR(MONTH(CASSA!$B7:$B3155)=MONTH(T$2),FALSE))*(CASSA!$G7:$G3155="SPESE TELEFONICHE")*(IFERROR(ROUND(CASSA!$E7:$E3155,2),0)))-
SUMPRODUCT((IFERROR(MONTH(BANCA!$B8:$B4155)=MONTH(T$2),FALSE))*(BANCA!$G8:$G4155="SPESE TELEFONICHE")*(IFERROR(ROUND(BANCA!$E8:$E4155,2),0)))</f>
        <v>43.06</v>
      </c>
      <c r="U55" s="297"/>
      <c r="V55" s="297" cm="1">
        <f t="array" ref="V55">SUMPRODUCT((IFERROR(MONTH(CASSA!$B7:$B3155)=MONTH(V$2),FALSE))*(CASSA!$G7:$G3155="SPESE TELEFONICHE")*(IFERROR(ROUND(CASSA!$F7:$F3155,2),0))) +
SUMPRODUCT((IFERROR(MONTH(BANCA!$B8:$B4155)=MONTH(V$2),FALSE))*(BANCA!$G8:$G4155="SPESE TELEFONICHE")*(IFERROR(ROUND(BANCA!$F8:$F4155,2),0)))-SUMPRODUCT((IFERROR(MONTH(CASSA!$B7:$B3155)=MONTH(V$2),FALSE))*(CASSA!$G7:$G3155="SPESE TELEFONICHE")*(IFERROR(ROUND(CASSA!$E7:$E3155,2),0)))-
SUMPRODUCT((IFERROR(MONTH(BANCA!$B8:$B4155)=MONTH(V$2),FALSE))*(BANCA!$G8:$G4155="SPESE TELEFONICHE")*(IFERROR(ROUND(BANCA!$E8:$E4155,2),0)))</f>
        <v>476.63</v>
      </c>
      <c r="W55" s="297"/>
      <c r="X55" s="297" cm="1">
        <f t="array" ref="X55">SUMPRODUCT((IFERROR(MONTH(CASSA!$B7:$B3155)=MONTH(X$2),FALSE))*(CASSA!$G7:$G3155="SPESE TELEFONICHE")*(IFERROR(ROUND(CASSA!$F7:$F3155,2),0))) +
SUMPRODUCT((IFERROR(MONTH(BANCA!$B8:$B4155)=MONTH(X$2),FALSE))*(BANCA!$G8:$G4155="SPESE TELEFONICHE")*(IFERROR(ROUND(BANCA!$F8:$F4155,2),0)))-SUMPRODUCT((IFERROR(MONTH(CASSA!$B7:$B3155)=MONTH(X$2),FALSE))*(CASSA!$G7:$G3155="SPESE TELEFONICHE")*(IFERROR(ROUND(CASSA!$E7:$E3155,2),0)))-
SUMPRODUCT((IFERROR(MONTH(BANCA!$B8:$B4155)=MONTH(X$2),FALSE))*(BANCA!$G8:$G4155="SPESE TELEFONICHE")*(IFERROR(ROUND(BANCA!$E8:$E4155,2),0)))</f>
        <v>0</v>
      </c>
      <c r="Y55" s="297"/>
      <c r="Z55" s="297" cm="1">
        <f t="array" ref="Z55">SUMPRODUCT((IFERROR(MONTH(CASSA!$B7:$B3155)=MONTH(Z$2),FALSE))*(CASSA!$G7:$G3155="SPESE TELEFONICHE")*(IFERROR(ROUND(CASSA!$F7:$F3155,2),0))) +
SUMPRODUCT((IFERROR(MONTH(BANCA!$B8:$B4155)=MONTH(Z$2),FALSE))*(BANCA!$G8:$G4155="SPESE TELEFONICHE")*(IFERROR(ROUND(BANCA!$F8:$F4155,2),0)))-SUMPRODUCT((IFERROR(MONTH(CASSA!$B7:$B3155)=MONTH(Z$2),FALSE))*(CASSA!$G7:$G3155="SPESE TELEFONICHE")*(IFERROR(ROUND(CASSA!$E7:$E3155,2),0)))-
SUMPRODUCT((IFERROR(MONTH(BANCA!$B8:$B4155)=MONTH(Z$2),FALSE))*(BANCA!$G8:$G4155="SPESE TELEFONICHE")*(IFERROR(ROUND(BANCA!$E8:$E4155,2),0)))</f>
        <v>50.8</v>
      </c>
      <c r="AA55" s="297"/>
      <c r="AB55" s="769">
        <f t="shared" si="20"/>
        <v>1383.5599999999997</v>
      </c>
      <c r="AC55" s="792" t="s">
        <v>1993</v>
      </c>
      <c r="AD55" s="284"/>
      <c r="AE55" s="284"/>
      <c r="AF55" s="284"/>
      <c r="AG55" s="284"/>
      <c r="AH55" s="284"/>
      <c r="AI55" s="284"/>
      <c r="AJ55" s="284"/>
      <c r="AK55" s="284"/>
      <c r="AL55" s="284"/>
      <c r="AM55" s="284"/>
      <c r="AN55" s="284"/>
    </row>
    <row r="56" spans="2:40" s="232" customFormat="1" ht="18" customHeight="1">
      <c r="B56" s="905" t="s">
        <v>158</v>
      </c>
      <c r="C56" s="905"/>
      <c r="D56" s="297" cm="1">
        <f t="array" ref="D56">SUMPRODUCT((IFERROR(MONTH(CASSA!$B7:$B3155)=MONTH(D$2),FALSE))*(CASSA!$G7:$G3155="NOLEGGIO ALTRI BENI")*(IFERROR(ROUND(CASSA!$F7:$F3155,2),0))) +
SUMPRODUCT((IFERROR(MONTH(BANCA!$B8:$B4155)=MONTH(D$2),FALSE))*(BANCA!$G8:$G4155="NOLEGGIO ALTRI BENI")*(IFERROR(ROUND(BANCA!$F8:$F4155,2),0)))-SUMPRODUCT((IFERROR(MONTH(CASSA!$B7:$B3155)=MONTH(D$2),FALSE))*(CASSA!$G7:$G3155="NOLEGGIO ALTRI BENI")*(IFERROR(ROUND(CASSA!$E7:$E3155,2),0)))-
SUMPRODUCT((IFERROR(MONTH(BANCA!$B8:$B4155)=MONTH(D$2),FALSE))*(BANCA!$G8:$G4155="NOLEGGIO ALTRI BENI")*(IFERROR(ROUND(BANCA!$E8:$E4155,2),0)))</f>
        <v>276</v>
      </c>
      <c r="E56" s="297"/>
      <c r="F56" s="297" cm="1">
        <f t="array" ref="F56">SUMPRODUCT((IFERROR(MONTH(CASSA!$B7:$B3155)=MONTH(F$2),FALSE))*(CASSA!$G7:$G3155="NOLEGGIO ALTRI BENI")*(IFERROR(ROUND(CASSA!$F7:$F3155,2),0))) +
SUMPRODUCT((IFERROR(MONTH(BANCA!$B8:$B4155)=MONTH(F$2),FALSE))*(BANCA!$G8:$G4155="NOLEGGIO ALTRI BENI")*(IFERROR(ROUND(BANCA!$F8:$F4155,2),0)))-SUMPRODUCT((IFERROR(MONTH(CASSA!$B7:$B3155)=MONTH(F$2),FALSE))*(CASSA!$G7:$G3155="NOLEGGIO ALTRI BENI")*(IFERROR(ROUND(CASSA!$E7:$E3155,2),0)))-
SUMPRODUCT((IFERROR(MONTH(BANCA!$B8:$B4155)=MONTH(F$2),FALSE))*(BANCA!$G8:$G4155="NOLEGGIO ALTRI BENI")*(IFERROR(ROUND(BANCA!$E8:$E4155,2),0)))</f>
        <v>130</v>
      </c>
      <c r="G56" s="297"/>
      <c r="H56" s="297" cm="1">
        <f t="array" ref="H56">SUMPRODUCT((IFERROR(MONTH(CASSA!$B7:$B3155)=MONTH(H$2),FALSE))*(CASSA!$G7:$G3155="NOLEGGIO ALTRI BENI")*(IFERROR(ROUND(CASSA!$F7:$F3155,2),0))) +
SUMPRODUCT((IFERROR(MONTH(BANCA!$B8:$B4155)=MONTH(H$2),FALSE))*(BANCA!$G8:$G4155="NOLEGGIO ALTRI BENI")*(IFERROR(ROUND(BANCA!$F8:$F4155,2),0)))-SUMPRODUCT((IFERROR(MONTH(CASSA!$B7:$B3155)=MONTH(H$2),FALSE))*(CASSA!$G7:$G3155="NOLEGGIO ALTRI BENI")*(IFERROR(ROUND(CASSA!$E7:$E3155,2),0)))-
SUMPRODUCT((IFERROR(MONTH(BANCA!$B8:$B4155)=MONTH(H$2),FALSE))*(BANCA!$G8:$G4155="NOLEGGIO ALTRI BENI")*(IFERROR(ROUND(BANCA!$E8:$E4155,2),0)))</f>
        <v>130</v>
      </c>
      <c r="I56" s="297"/>
      <c r="J56" s="297" cm="1">
        <f t="array" ref="J56">SUMPRODUCT((IFERROR(MONTH(CASSA!$B7:$B3155)=MONTH(J$2),FALSE))*(CASSA!$G7:$G3155="NOLEGGIO ALTRI BENI")*(IFERROR(ROUND(CASSA!$F7:$F3155,2),0))) +
SUMPRODUCT((IFERROR(MONTH(BANCA!$B8:$B4155)=MONTH(J$2),FALSE))*(BANCA!$G8:$G4155="NOLEGGIO ALTRI BENI")*(IFERROR(ROUND(BANCA!$F8:$F4155,2),0)))-SUMPRODUCT((IFERROR(MONTH(CASSA!$B7:$B3155)=MONTH(J$2),FALSE))*(CASSA!$G7:$G3155="NOLEGGIO ALTRI BENI")*(IFERROR(ROUND(CASSA!$E7:$E3155,2),0)))-
SUMPRODUCT((IFERROR(MONTH(BANCA!$B8:$B4155)=MONTH(J$2),FALSE))*(BANCA!$G8:$G4155="NOLEGGIO ALTRI BENI")*(IFERROR(ROUND(BANCA!$E8:$E4155,2),0)))</f>
        <v>0</v>
      </c>
      <c r="K56" s="297"/>
      <c r="L56" s="297" cm="1">
        <f t="array" ref="L56">SUMPRODUCT((IFERROR(MONTH(CASSA!$B7:$B3155)=MONTH(L$2),FALSE))*(CASSA!$G7:$G3155="NOLEGGIO ALTRI BENI")*(IFERROR(ROUND(CASSA!$F7:$F3155,2),0))) +
SUMPRODUCT((IFERROR(MONTH(BANCA!$B8:$B4155)=MONTH(L$2),FALSE))*(BANCA!$G8:$G4155="NOLEGGIO ALTRI BENI")*(IFERROR(ROUND(BANCA!$F8:$F4155,2),0)))-SUMPRODUCT((IFERROR(MONTH(CASSA!$B7:$B3155)=MONTH(L$2),FALSE))*(CASSA!$G7:$G3155="NOLEGGIO ALTRI BENI")*(IFERROR(ROUND(CASSA!$E7:$E3155,2),0)))-
SUMPRODUCT((IFERROR(MONTH(BANCA!$B8:$B4155)=MONTH(L$2),FALSE))*(BANCA!$G8:$G4155="NOLEGGIO ALTRI BENI")*(IFERROR(ROUND(BANCA!$E8:$E4155,2),0)))</f>
        <v>80</v>
      </c>
      <c r="M56" s="297"/>
      <c r="N56" s="297" cm="1">
        <f t="array" ref="N56">SUMPRODUCT((IFERROR(MONTH(CASSA!$B7:$B3155)=MONTH(N$2),FALSE))*(CASSA!$G7:$G3155="NOLEGGIO ALTRI BENI")*(IFERROR(ROUND(CASSA!$F7:$F3155,2),0))) +
SUMPRODUCT((IFERROR(MONTH(BANCA!$B8:$B4155)=MONTH(N$2),FALSE))*(BANCA!$G8:$G4155="NOLEGGIO ALTRI BENI")*(IFERROR(ROUND(BANCA!$F8:$F4155,2),0)))-SUMPRODUCT((IFERROR(MONTH(CASSA!$B7:$B3155)=MONTH(N$2),FALSE))*(CASSA!$G7:$G3155="NOLEGGIO ALTRI BENI")*(IFERROR(ROUND(CASSA!$E7:$E3155,2),0)))-
SUMPRODUCT((IFERROR(MONTH(BANCA!$B8:$B4155)=MONTH(N$2),FALSE))*(BANCA!$G8:$G4155="NOLEGGIO ALTRI BENI")*(IFERROR(ROUND(BANCA!$E8:$E4155,2),0)))</f>
        <v>844</v>
      </c>
      <c r="O56" s="297"/>
      <c r="P56" s="297" cm="1">
        <f t="array" ref="P56">SUMPRODUCT((IFERROR(MONTH(CASSA!$B7:$B3155)=MONTH(P$2),FALSE))*(CASSA!$G7:$G3155="NOLEGGIO ALTRI BENI")*(IFERROR(ROUND(CASSA!$F7:$F3155,2),0))) +
SUMPRODUCT((IFERROR(MONTH(BANCA!$B8:$B4155)=MONTH(P$2),FALSE))*(BANCA!$G8:$G4155="NOLEGGIO ALTRI BENI")*(IFERROR(ROUND(BANCA!$F8:$F4155,2),0)))-SUMPRODUCT((IFERROR(MONTH(CASSA!$B7:$B3155)=MONTH(P$2),FALSE))*(CASSA!$G7:$G3155="NOLEGGIO ALTRI BENI")*(IFERROR(ROUND(CASSA!$E7:$E3155,2),0)))-
SUMPRODUCT((IFERROR(MONTH(BANCA!$B8:$B4155)=MONTH(P$2),FALSE))*(BANCA!$G8:$G4155="NOLEGGIO ALTRI BENI")*(IFERROR(ROUND(BANCA!$E8:$E4155,2),0)))</f>
        <v>276</v>
      </c>
      <c r="Q56" s="297"/>
      <c r="R56" s="297" cm="1">
        <f t="array" ref="R56">SUMPRODUCT((IFERROR(MONTH(CASSA!$B7:$B3155)=MONTH(R$2),FALSE))*(CASSA!$G7:$G3155="NOLEGGIO ALTRI BENI")*(IFERROR(ROUND(CASSA!$F7:$F3155,2),0))) +
SUMPRODUCT((IFERROR(MONTH(BANCA!$B8:$B4155)=MONTH(R$2),FALSE))*(BANCA!$G8:$G4155="NOLEGGIO ALTRI BENI")*(IFERROR(ROUND(BANCA!$F8:$F4155,2),0)))-SUMPRODUCT((IFERROR(MONTH(CASSA!$B7:$B3155)=MONTH(R$2),FALSE))*(CASSA!$G7:$G3155="NOLEGGIO ALTRI BENI")*(IFERROR(ROUND(CASSA!$E7:$E3155,2),0)))-
SUMPRODUCT((IFERROR(MONTH(BANCA!$B8:$B4155)=MONTH(R$2),FALSE))*(BANCA!$G8:$G4155="NOLEGGIO ALTRI BENI")*(IFERROR(ROUND(BANCA!$E8:$E4155,2),0)))</f>
        <v>276</v>
      </c>
      <c r="S56" s="297"/>
      <c r="T56" s="297" cm="1">
        <f t="array" ref="T56">SUMPRODUCT((IFERROR(MONTH(CASSA!$B7:$B3155)=MONTH(T$2),FALSE))*(CASSA!$G7:$G3155="NOLEGGIO ALTRI BENI")*(IFERROR(ROUND(CASSA!$F7:$F3155,2),0))) +
SUMPRODUCT((IFERROR(MONTH(BANCA!$B8:$B4155)=MONTH(T$2),FALSE))*(BANCA!$G8:$G4155="NOLEGGIO ALTRI BENI")*(IFERROR(ROUND(BANCA!$F8:$F4155,2),0)))-SUMPRODUCT((IFERROR(MONTH(CASSA!$B7:$B3155)=MONTH(T$2),FALSE))*(CASSA!$G7:$G3155="NOLEGGIO ALTRI BENI")*(IFERROR(ROUND(CASSA!$E7:$E3155,2),0)))-
SUMPRODUCT((IFERROR(MONTH(BANCA!$B8:$B4155)=MONTH(T$2),FALSE))*(BANCA!$G8:$G4155="NOLEGGIO ALTRI BENI")*(IFERROR(ROUND(BANCA!$E8:$E4155,2),0)))</f>
        <v>276</v>
      </c>
      <c r="U56" s="297"/>
      <c r="V56" s="297" cm="1">
        <f t="array" ref="V56">SUMPRODUCT((IFERROR(MONTH(CASSA!$B7:$B3155)=MONTH(V$2),FALSE))*(CASSA!$G7:$G3155="NOLEGGIO ALTRI BENI")*(IFERROR(ROUND(CASSA!$F7:$F3155,2),0))) +
SUMPRODUCT((IFERROR(MONTH(BANCA!$B8:$B4155)=MONTH(V$2),FALSE))*(BANCA!$G8:$G4155="NOLEGGIO ALTRI BENI")*(IFERROR(ROUND(BANCA!$F8:$F4155,2),0)))-SUMPRODUCT((IFERROR(MONTH(CASSA!$B7:$B3155)=MONTH(V$2),FALSE))*(CASSA!$G7:$G3155="NOLEGGIO ALTRI BENI")*(IFERROR(ROUND(CASSA!$E7:$E3155,2),0)))-
SUMPRODUCT((IFERROR(MONTH(BANCA!$B8:$B4155)=MONTH(V$2),FALSE))*(BANCA!$G8:$G4155="NOLEGGIO ALTRI BENI")*(IFERROR(ROUND(BANCA!$E8:$E4155,2),0)))</f>
        <v>1126</v>
      </c>
      <c r="W56" s="297"/>
      <c r="X56" s="297" cm="1">
        <f t="array" ref="X56">SUMPRODUCT((IFERROR(MONTH(CASSA!$B7:$B3155)=MONTH(X$2),FALSE))*(CASSA!$G7:$G3155="NOLEGGIO ALTRI BENI")*(IFERROR(ROUND(CASSA!$F7:$F3155,2),0))) +
SUMPRODUCT((IFERROR(MONTH(BANCA!$B8:$B4155)=MONTH(X$2),FALSE))*(BANCA!$G8:$G4155="NOLEGGIO ALTRI BENI")*(IFERROR(ROUND(BANCA!$F8:$F4155,2),0)))-SUMPRODUCT((IFERROR(MONTH(CASSA!$B7:$B3155)=MONTH(X$2),FALSE))*(CASSA!$G7:$G3155="NOLEGGIO ALTRI BENI")*(IFERROR(ROUND(CASSA!$E7:$E3155,2),0)))-
SUMPRODUCT((IFERROR(MONTH(BANCA!$B8:$B4155)=MONTH(X$2),FALSE))*(BANCA!$G8:$G4155="NOLEGGIO ALTRI BENI")*(IFERROR(ROUND(BANCA!$E8:$E4155,2),0)))</f>
        <v>40</v>
      </c>
      <c r="Y56" s="297"/>
      <c r="Z56" s="297" cm="1">
        <f t="array" ref="Z56">SUMPRODUCT((IFERROR(MONTH(CASSA!$B7:$B3155)=MONTH(Z$2),FALSE))*(CASSA!$G7:$G3155="NOLEGGIO ALTRI BENI")*(IFERROR(ROUND(CASSA!$F7:$F3155,2),0))) +
SUMPRODUCT((IFERROR(MONTH(BANCA!$B8:$B4155)=MONTH(Z$2),FALSE))*(BANCA!$G8:$G4155="NOLEGGIO ALTRI BENI")*(IFERROR(ROUND(BANCA!$F8:$F4155,2),0)))-SUMPRODUCT((IFERROR(MONTH(CASSA!$B7:$B3155)=MONTH(Z$2),FALSE))*(CASSA!$G7:$G3155="NOLEGGIO ALTRI BENI")*(IFERROR(ROUND(CASSA!$E7:$E3155,2),0)))-
SUMPRODUCT((IFERROR(MONTH(BANCA!$B8:$B4155)=MONTH(Z$2),FALSE))*(BANCA!$G8:$G4155="NOLEGGIO ALTRI BENI")*(IFERROR(ROUND(BANCA!$E8:$E4155,2),0)))</f>
        <v>296</v>
      </c>
      <c r="AA56" s="297"/>
      <c r="AB56" s="769">
        <f t="shared" si="20"/>
        <v>3750</v>
      </c>
      <c r="AC56" s="792" t="s">
        <v>1993</v>
      </c>
      <c r="AD56" s="284"/>
      <c r="AE56" s="284"/>
      <c r="AF56" s="284"/>
      <c r="AG56" s="284"/>
      <c r="AH56" s="284"/>
      <c r="AI56" s="284"/>
      <c r="AJ56" s="284"/>
      <c r="AK56" s="284"/>
      <c r="AL56" s="284"/>
      <c r="AM56" s="284"/>
      <c r="AN56" s="284"/>
    </row>
    <row r="57" spans="2:40" s="232" customFormat="1" ht="18" customHeight="1">
      <c r="B57" s="905" t="s">
        <v>159</v>
      </c>
      <c r="C57" s="905"/>
      <c r="D57" s="297" cm="1">
        <f t="array" ref="D57">SUMPRODUCT((IFERROR(MONTH(CASSA!$B7:$B3155)=MONTH(D$2),FALSE))*(CASSA!$G7:$G3155="ASSICURAZIONE")*(IFERROR(ROUND(CASSA!$F7:$F3155,2),0))) +
SUMPRODUCT((IFERROR(MONTH(BANCA!$B8:$B4155)=MONTH(D$2),FALSE))*(BANCA!$G8:$G4155="ASSICURAZIONE")*(IFERROR(ROUND(BANCA!$F8:$F4155,2),0)))-SUMPRODUCT((IFERROR(MONTH(CASSA!$B7:$B3155)=MONTH(D$2),FALSE))*(CASSA!$G7:$G3155="ASSICURAZIONE")*(IFERROR(ROUND(CASSA!$E7:$E3155,2),0)))-
SUMPRODUCT((IFERROR(MONTH(BANCA!$B8:$B4155)=MONTH(D$2),FALSE))*(BANCA!$G8:$G4155="ASSICURAZIONE")*(IFERROR(ROUND(BANCA!$E8:$E4155,2),0)))</f>
        <v>45</v>
      </c>
      <c r="E57" s="297"/>
      <c r="F57" s="297" cm="1">
        <f t="array" ref="F57">SUMPRODUCT((IFERROR(MONTH(CASSA!$B7:$B3155)=MONTH(F$2),FALSE))*(CASSA!$G7:$G3155="ASSICURAZIONE")*(IFERROR(ROUND(CASSA!$F7:$F3155,2),0))) +
SUMPRODUCT((IFERROR(MONTH(BANCA!$B8:$B4155)=MONTH(F$2),FALSE))*(BANCA!$G8:$G4155="ASSICURAZIONE")*(IFERROR(ROUND(BANCA!$F8:$F4155,2),0)))-SUMPRODUCT((IFERROR(MONTH(CASSA!$B7:$B3155)=MONTH(F$2),FALSE))*(CASSA!$G7:$G3155="ASSICURAZIONE")*(IFERROR(ROUND(CASSA!$E7:$E3155,2),0)))-
SUMPRODUCT((IFERROR(MONTH(BANCA!$B8:$B4155)=MONTH(F$2),FALSE))*(BANCA!$G8:$G4155="ASSICURAZIONE")*(IFERROR(ROUND(BANCA!$E8:$E4155,2),0)))</f>
        <v>0</v>
      </c>
      <c r="G57" s="297"/>
      <c r="H57" s="297" cm="1">
        <f t="array" ref="H57">SUMPRODUCT((IFERROR(MONTH(CASSA!$B7:$B3155)=MONTH(H$2),FALSE))*(CASSA!$G7:$G3155="ASSICURAZIONE")*(IFERROR(ROUND(CASSA!$F7:$F3155,2),0))) +
SUMPRODUCT((IFERROR(MONTH(BANCA!$B8:$B4155)=MONTH(H$2),FALSE))*(BANCA!$G8:$G4155="ASSICURAZIONE")*(IFERROR(ROUND(BANCA!$F8:$F4155,2),0)))-SUMPRODUCT((IFERROR(MONTH(CASSA!$B7:$B3155)=MONTH(H$2),FALSE))*(CASSA!$G7:$G3155="ASSICURAZIONE")*(IFERROR(ROUND(CASSA!$E7:$E3155,2),0)))-
SUMPRODUCT((IFERROR(MONTH(BANCA!$B8:$B4155)=MONTH(H$2),FALSE))*(BANCA!$G8:$G4155="ASSICURAZIONE")*(IFERROR(ROUND(BANCA!$E8:$E4155,2),0)))</f>
        <v>0</v>
      </c>
      <c r="I57" s="297"/>
      <c r="J57" s="297" cm="1">
        <f t="array" ref="J57">SUMPRODUCT((IFERROR(MONTH(CASSA!$B7:$B3155)=MONTH(J$2),FALSE))*(CASSA!$G7:$G3155="ASSICURAZIONE")*(IFERROR(ROUND(CASSA!$F7:$F3155,2),0))) +
SUMPRODUCT((IFERROR(MONTH(BANCA!$B8:$B4155)=MONTH(J$2),FALSE))*(BANCA!$G8:$G4155="ASSICURAZIONE")*(IFERROR(ROUND(BANCA!$F8:$F4155,2),0)))-SUMPRODUCT((IFERROR(MONTH(CASSA!$B7:$B3155)=MONTH(J$2),FALSE))*(CASSA!$G7:$G3155="ASSICURAZIONE")*(IFERROR(ROUND(CASSA!$E7:$E3155,2),0)))-
SUMPRODUCT((IFERROR(MONTH(BANCA!$B8:$B4155)=MONTH(J$2),FALSE))*(BANCA!$G8:$G4155="ASSICURAZIONE")*(IFERROR(ROUND(BANCA!$E8:$E4155,2),0)))</f>
        <v>0</v>
      </c>
      <c r="K57" s="297"/>
      <c r="L57" s="297" cm="1">
        <f t="array" ref="L57">SUMPRODUCT((IFERROR(MONTH(CASSA!$B7:$B3155)=MONTH(L$2),FALSE))*(CASSA!$G7:$G3155="ASSICURAZIONE")*(IFERROR(ROUND(CASSA!$F7:$F3155,2),0))) +
SUMPRODUCT((IFERROR(MONTH(BANCA!$B8:$B4155)=MONTH(L$2),FALSE))*(BANCA!$G8:$G4155="ASSICURAZIONE")*(IFERROR(ROUND(BANCA!$F8:$F4155,2),0)))-SUMPRODUCT((IFERROR(MONTH(CASSA!$B7:$B3155)=MONTH(L$2),FALSE))*(CASSA!$G7:$G3155="ASSICURAZIONE")*(IFERROR(ROUND(CASSA!$E7:$E3155,2),0)))-
SUMPRODUCT((IFERROR(MONTH(BANCA!$B8:$B4155)=MONTH(L$2),FALSE))*(BANCA!$G8:$G4155="ASSICURAZIONE")*(IFERROR(ROUND(BANCA!$E8:$E4155,2),0)))</f>
        <v>0</v>
      </c>
      <c r="M57" s="297"/>
      <c r="N57" s="297" cm="1">
        <f t="array" ref="N57">SUMPRODUCT((IFERROR(MONTH(CASSA!$B7:$B3155)=MONTH(N$2),FALSE))*(CASSA!$G7:$G3155="ASSICURAZIONE")*(IFERROR(ROUND(CASSA!$F7:$F3155,2),0))) +
SUMPRODUCT((IFERROR(MONTH(BANCA!$B8:$B4155)=MONTH(N$2),FALSE))*(BANCA!$G8:$G4155="ASSICURAZIONE")*(IFERROR(ROUND(BANCA!$F8:$F4155,2),0)))-SUMPRODUCT((IFERROR(MONTH(CASSA!$B7:$B3155)=MONTH(N$2),FALSE))*(CASSA!$G7:$G3155="ASSICURAZIONE")*(IFERROR(ROUND(CASSA!$E7:$E3155,2),0)))-
SUMPRODUCT((IFERROR(MONTH(BANCA!$B8:$B4155)=MONTH(N$2),FALSE))*(BANCA!$G8:$G4155="ASSICURAZIONE")*(IFERROR(ROUND(BANCA!$E8:$E4155,2),0)))</f>
        <v>0</v>
      </c>
      <c r="O57" s="297"/>
      <c r="P57" s="297" cm="1">
        <f t="array" ref="P57">SUMPRODUCT((IFERROR(MONTH(CASSA!$B7:$B3155)=MONTH(P$2),FALSE))*(CASSA!$G7:$G3155="ASSICURAZIONE")*(IFERROR(ROUND(CASSA!$F7:$F3155,2),0))) +
SUMPRODUCT((IFERROR(MONTH(BANCA!$B8:$B4155)=MONTH(P$2),FALSE))*(BANCA!$G8:$G4155="ASSICURAZIONE")*(IFERROR(ROUND(BANCA!$F8:$F4155,2),0)))-SUMPRODUCT((IFERROR(MONTH(CASSA!$B7:$B3155)=MONTH(P$2),FALSE))*(CASSA!$G7:$G3155="ASSICURAZIONE")*(IFERROR(ROUND(CASSA!$E7:$E3155,2),0)))-
SUMPRODUCT((IFERROR(MONTH(BANCA!$B8:$B4155)=MONTH(P$2),FALSE))*(BANCA!$G8:$G4155="ASSICURAZIONE")*(IFERROR(ROUND(BANCA!$E8:$E4155,2),0)))</f>
        <v>-143</v>
      </c>
      <c r="Q57" s="297"/>
      <c r="R57" s="297" cm="1">
        <f t="array" ref="R57">SUMPRODUCT((IFERROR(MONTH(CASSA!$B7:$B3155)=MONTH(R$2),FALSE))*(CASSA!$G7:$G3155="ASSICURAZIONE")*(IFERROR(ROUND(CASSA!$F7:$F3155,2),0))) +
SUMPRODUCT((IFERROR(MONTH(BANCA!$B8:$B4155)=MONTH(R$2),FALSE))*(BANCA!$G8:$G4155="ASSICURAZIONE")*(IFERROR(ROUND(BANCA!$F8:$F4155,2),0)))-SUMPRODUCT((IFERROR(MONTH(CASSA!$B7:$B3155)=MONTH(R$2),FALSE))*(CASSA!$G7:$G3155="ASSICURAZIONE")*(IFERROR(ROUND(CASSA!$E7:$E3155,2),0)))-
SUMPRODUCT((IFERROR(MONTH(BANCA!$B8:$B4155)=MONTH(R$2),FALSE))*(BANCA!$G8:$G4155="ASSICURAZIONE")*(IFERROR(ROUND(BANCA!$E8:$E4155,2),0)))</f>
        <v>0</v>
      </c>
      <c r="S57" s="297"/>
      <c r="T57" s="297" cm="1">
        <f t="array" ref="T57">SUMPRODUCT((IFERROR(MONTH(CASSA!$B7:$B3155)=MONTH(T$2),FALSE))*(CASSA!$G7:$G3155="ASSICURAZIONE")*(IFERROR(ROUND(CASSA!$F7:$F3155,2),0))) +
SUMPRODUCT((IFERROR(MONTH(BANCA!$B8:$B4155)=MONTH(T$2),FALSE))*(BANCA!$G8:$G4155="ASSICURAZIONE")*(IFERROR(ROUND(BANCA!$F8:$F4155,2),0)))-SUMPRODUCT((IFERROR(MONTH(CASSA!$B7:$B3155)=MONTH(T$2),FALSE))*(CASSA!$G7:$G3155="ASSICURAZIONE")*(IFERROR(ROUND(CASSA!$E7:$E3155,2),0)))-
SUMPRODUCT((IFERROR(MONTH(BANCA!$B8:$B4155)=MONTH(T$2),FALSE))*(BANCA!$G8:$G4155="ASSICURAZIONE")*(IFERROR(ROUND(BANCA!$E8:$E4155,2),0)))</f>
        <v>0</v>
      </c>
      <c r="U57" s="297"/>
      <c r="V57" s="297" cm="1">
        <f t="array" ref="V57">SUMPRODUCT((IFERROR(MONTH(CASSA!$B7:$B3155)=MONTH(V$2),FALSE))*(CASSA!$G7:$G3155="ASSICURAZIONE")*(IFERROR(ROUND(CASSA!$F7:$F3155,2),0))) +
SUMPRODUCT((IFERROR(MONTH(BANCA!$B8:$B4155)=MONTH(V$2),FALSE))*(BANCA!$G8:$G4155="ASSICURAZIONE")*(IFERROR(ROUND(BANCA!$F8:$F4155,2),0)))-SUMPRODUCT((IFERROR(MONTH(CASSA!$B7:$B3155)=MONTH(V$2),FALSE))*(CASSA!$G7:$G3155="ASSICURAZIONE")*(IFERROR(ROUND(CASSA!$E7:$E3155,2),0)))-
SUMPRODUCT((IFERROR(MONTH(BANCA!$B8:$B4155)=MONTH(V$2),FALSE))*(BANCA!$G8:$G4155="ASSICURAZIONE")*(IFERROR(ROUND(BANCA!$E8:$E4155,2),0)))</f>
        <v>0</v>
      </c>
      <c r="W57" s="297"/>
      <c r="X57" s="297" cm="1">
        <f t="array" ref="X57">SUMPRODUCT((IFERROR(MONTH(CASSA!$B7:$B3155)=MONTH(X$2),FALSE))*(CASSA!$G7:$G3155="ASSICURAZIONE")*(IFERROR(ROUND(CASSA!$F7:$F3155,2),0))) +
SUMPRODUCT((IFERROR(MONTH(BANCA!$B8:$B4155)=MONTH(X$2),FALSE))*(BANCA!$G8:$G4155="ASSICURAZIONE")*(IFERROR(ROUND(BANCA!$F8:$F4155,2),0)))-SUMPRODUCT((IFERROR(MONTH(CASSA!$B7:$B3155)=MONTH(X$2),FALSE))*(CASSA!$G7:$G3155="ASSICURAZIONE")*(IFERROR(ROUND(CASSA!$E7:$E3155,2),0)))-
SUMPRODUCT((IFERROR(MONTH(BANCA!$B8:$B4155)=MONTH(X$2),FALSE))*(BANCA!$G8:$G4155="ASSICURAZIONE")*(IFERROR(ROUND(BANCA!$E8:$E4155,2),0)))</f>
        <v>0</v>
      </c>
      <c r="Y57" s="297"/>
      <c r="Z57" s="297" cm="1">
        <f t="array" ref="Z57">SUMPRODUCT((IFERROR(MONTH(CASSA!$B7:$B3155)=MONTH(Z$2),FALSE))*(CASSA!$G7:$G3155="ASSICURAZIONE")*(IFERROR(ROUND(CASSA!$F7:$F3155,2),0))) +
SUMPRODUCT((IFERROR(MONTH(BANCA!$B8:$B4155)=MONTH(Z$2),FALSE))*(BANCA!$G8:$G4155="ASSICURAZIONE")*(IFERROR(ROUND(BANCA!$F8:$F4155,2),0)))-SUMPRODUCT((IFERROR(MONTH(CASSA!$B7:$B3155)=MONTH(Z$2),FALSE))*(CASSA!$G7:$G3155="ASSICURAZIONE")*(IFERROR(ROUND(CASSA!$E7:$E3155,2),0)))-
SUMPRODUCT((IFERROR(MONTH(BANCA!$B8:$B4155)=MONTH(Z$2),FALSE))*(BANCA!$G8:$G4155="ASSICURAZIONE")*(IFERROR(ROUND(BANCA!$E8:$E4155,2),0)))</f>
        <v>904.63</v>
      </c>
      <c r="AA57" s="297"/>
      <c r="AB57" s="769">
        <f t="shared" si="20"/>
        <v>806.63</v>
      </c>
      <c r="AC57" s="792" t="s">
        <v>1993</v>
      </c>
      <c r="AD57" s="284"/>
      <c r="AE57" s="284"/>
      <c r="AF57" s="284"/>
      <c r="AG57" s="284"/>
      <c r="AH57" s="284"/>
      <c r="AI57" s="284"/>
      <c r="AJ57" s="284"/>
      <c r="AK57" s="284"/>
      <c r="AL57" s="284"/>
      <c r="AM57" s="284"/>
      <c r="AN57" s="284"/>
    </row>
    <row r="58" spans="2:40" s="232" customFormat="1" ht="18" customHeight="1">
      <c r="B58" s="905" t="s">
        <v>160</v>
      </c>
      <c r="C58" s="905"/>
      <c r="D58" s="297" cm="1">
        <f t="array" ref="D58">SUMPRODUCT((IFERROR(MONTH(CASSA!$B7:$B3155)=MONTH(D$2),FALSE))*(CASSA!$G7:$G3155="SERVIZI DI VIGILANZA UFFICI")*(IFERROR(ROUND(CASSA!$F7:$F3155,2),0))) +
SUMPRODUCT((IFERROR(MONTH(BANCA!$B8:$B4155)=MONTH(D$2),FALSE))*(BANCA!$G8:$G4155="SERVIZI DI VIGILANZA UFFICI")*(IFERROR(ROUND(BANCA!$F8:$F4155,2),0)))</f>
        <v>158.1</v>
      </c>
      <c r="E58" s="297"/>
      <c r="F58" s="297" cm="1">
        <f t="array" ref="F58">SUMPRODUCT((IFERROR(MONTH(CASSA!$B7:$B3155)=MONTH(F$2),FALSE))*(CASSA!$G7:$G3155="SERVIZI DI VIGILANZA UFFICI")*(IFERROR(ROUND(CASSA!$F7:$F3155,2),0))) +
SUMPRODUCT((IFERROR(MONTH(BANCA!$B8:$B4155)=MONTH(F$2),FALSE))*(BANCA!$G8:$G4155="SERVIZI DI VIGILANZA UFFICI")*(IFERROR(ROUND(BANCA!$F8:$F4155,2),0)))</f>
        <v>0</v>
      </c>
      <c r="G58" s="297"/>
      <c r="H58" s="297" cm="1">
        <f t="array" ref="H58">SUMPRODUCT((IFERROR(MONTH(CASSA!$B7:$B3155)=MONTH(H$2),FALSE))*(CASSA!$G7:$G3155="SERVIZI DI VIGILANZA UFFICI")*(IFERROR(ROUND(CASSA!$F7:$F3155,2),0))) +
SUMPRODUCT((IFERROR(MONTH(BANCA!$B8:$B4155)=MONTH(H$2),FALSE))*(BANCA!$G8:$G4155="SERVIZI DI VIGILANZA UFFICI")*(IFERROR(ROUND(BANCA!$F8:$F4155,2),0)))</f>
        <v>0</v>
      </c>
      <c r="I58" s="297"/>
      <c r="J58" s="297" cm="1">
        <f t="array" ref="J58">SUMPRODUCT((IFERROR(MONTH(CASSA!$B7:$B3155)=MONTH(J$2),FALSE))*(CASSA!$G7:$G3155="SERVIZI DI VIGILANZA UFFICI")*(IFERROR(ROUND(CASSA!$F7:$F3155,2),0))) +
SUMPRODUCT((IFERROR(MONTH(BANCA!$B8:$B4155)=MONTH(J$2),FALSE))*(BANCA!$G8:$G4155="SERVIZI DI VIGILANZA UFFICI")*(IFERROR(ROUND(BANCA!$F8:$F4155,2),0)))</f>
        <v>0</v>
      </c>
      <c r="K58" s="297"/>
      <c r="L58" s="297" cm="1">
        <f t="array" ref="L58">SUMPRODUCT((IFERROR(MONTH(CASSA!$B7:$B3155)=MONTH(L$2),FALSE))*(CASSA!$G7:$G3155="SERVIZI DI VIGILANZA UFFICI")*(IFERROR(ROUND(CASSA!$F7:$F3155,2),0))) +
SUMPRODUCT((IFERROR(MONTH(BANCA!$B8:$B4155)=MONTH(L$2),FALSE))*(BANCA!$G8:$G4155="SERVIZI DI VIGILANZA UFFICI")*(IFERROR(ROUND(BANCA!$F8:$F4155,2),0)))</f>
        <v>0</v>
      </c>
      <c r="M58" s="297"/>
      <c r="N58" s="297" cm="1">
        <f t="array" ref="N58">SUMPRODUCT((IFERROR(MONTH(CASSA!$B7:$B3155)=MONTH(N$2),FALSE))*(CASSA!$G7:$G3155="SERVIZI DI VIGILANZA UFFICI")*(IFERROR(ROUND(CASSA!$F7:$F3155,2),0))) +
SUMPRODUCT((IFERROR(MONTH(BANCA!$B8:$B4155)=MONTH(N$2),FALSE))*(BANCA!$G8:$G4155="SERVIZI DI VIGILANZA UFFICI")*(IFERROR(ROUND(BANCA!$F8:$F4155,2),0)))</f>
        <v>0</v>
      </c>
      <c r="O58" s="297"/>
      <c r="P58" s="297" cm="1">
        <f t="array" ref="P58">SUMPRODUCT((IFERROR(MONTH(CASSA!$B7:$B3155)=MONTH(P$2),FALSE))*(CASSA!$G7:$G3155="SERVIZI DI VIGILANZA UFFICI")*(IFERROR(ROUND(CASSA!$F7:$F3155,2),0))) +
SUMPRODUCT((IFERROR(MONTH(BANCA!$B8:$B4155)=MONTH(P$2),FALSE))*(BANCA!$G8:$G4155="SERVIZI DI VIGILANZA UFFICI")*(IFERROR(ROUND(BANCA!$F8:$F4155,2),0)))</f>
        <v>0</v>
      </c>
      <c r="Q58" s="297"/>
      <c r="R58" s="297" cm="1">
        <f t="array" ref="R58">SUMPRODUCT((IFERROR(MONTH(CASSA!$B7:$B3155)=MONTH(R$2),FALSE))*(CASSA!$G7:$G3155="SERVIZI DI VIGILANZA UFFICI")*(IFERROR(ROUND(CASSA!$F7:$F3155,2),0))) +
SUMPRODUCT((IFERROR(MONTH(BANCA!$B8:$B4155)=MONTH(R$2),FALSE))*(BANCA!$G8:$G4155="SERVIZI DI VIGILANZA UFFICI")*(IFERROR(ROUND(BANCA!$F8:$F4155,2),0)))</f>
        <v>0</v>
      </c>
      <c r="S58" s="297"/>
      <c r="T58" s="297" cm="1">
        <f t="array" ref="T58">SUMPRODUCT((IFERROR(MONTH(CASSA!$B7:$B3155)=MONTH(T$2),FALSE))*(CASSA!$G7:$G3155="SERVIZI DI VIGILANZA UFFICI")*(IFERROR(ROUND(CASSA!$F7:$F3155,2),0))) +
SUMPRODUCT((IFERROR(MONTH(BANCA!$B8:$B4155)=MONTH(T$2),FALSE))*(BANCA!$G8:$G4155="SERVIZI DI VIGILANZA UFFICI")*(IFERROR(ROUND(BANCA!$F8:$F4155,2),0)))</f>
        <v>0</v>
      </c>
      <c r="U58" s="297"/>
      <c r="V58" s="297" cm="1">
        <f t="array" ref="V58">SUMPRODUCT((IFERROR(MONTH(CASSA!$B7:$B3155)=MONTH(V$2),FALSE))*(CASSA!$G7:$G3155="SERVIZI DI VIGILANZA UFFICI")*(IFERROR(ROUND(CASSA!$F7:$F3155,2),0))) +
SUMPRODUCT((IFERROR(MONTH(BANCA!$B8:$B4155)=MONTH(V$2),FALSE))*(BANCA!$G8:$G4155="SERVIZI DI VIGILANZA UFFICI")*(IFERROR(ROUND(BANCA!$F8:$F4155,2),0)))</f>
        <v>0</v>
      </c>
      <c r="W58" s="297"/>
      <c r="X58" s="297" cm="1">
        <f t="array" ref="X58">SUMPRODUCT((IFERROR(MONTH(CASSA!$B7:$B3155)=MONTH(X$2),FALSE))*(CASSA!$G7:$G3155="SERVIZI DI VIGILANZA UFFICI")*(IFERROR(ROUND(CASSA!$F7:$F3155,2),0))) +
SUMPRODUCT((IFERROR(MONTH(BANCA!$B8:$B4155)=MONTH(X$2),FALSE))*(BANCA!$G8:$G4155="SERVIZI DI VIGILANZA UFFICI")*(IFERROR(ROUND(BANCA!$F8:$F4155,2),0)))</f>
        <v>0</v>
      </c>
      <c r="Y58" s="297"/>
      <c r="Z58" s="297" cm="1">
        <f t="array" ref="Z58">SUMPRODUCT((IFERROR(MONTH(CASSA!$B7:$B3155)=MONTH(Z$2),FALSE))*(CASSA!$G7:$G3155="SERVIZI DI VIGILANZA UFFICI")*(IFERROR(ROUND(CASSA!$F7:$F3155,2),0))) +
SUMPRODUCT((IFERROR(MONTH(BANCA!$B8:$B4155)=MONTH(Z$2),FALSE))*(BANCA!$G8:$G4155="SERVIZI DI VIGILANZA UFFICI")*(IFERROR(ROUND(BANCA!$F8:$F4155,2),0)))</f>
        <v>0</v>
      </c>
      <c r="AA58" s="297"/>
      <c r="AB58" s="769">
        <f t="shared" si="20"/>
        <v>158.1</v>
      </c>
      <c r="AC58" s="284"/>
      <c r="AD58" s="284"/>
      <c r="AE58" s="284"/>
      <c r="AF58" s="284"/>
      <c r="AG58" s="284"/>
      <c r="AH58" s="284"/>
      <c r="AI58" s="284"/>
      <c r="AJ58" s="284"/>
      <c r="AK58" s="284"/>
      <c r="AL58" s="284"/>
      <c r="AM58" s="284"/>
      <c r="AN58" s="284"/>
    </row>
    <row r="59" spans="2:40" s="232" customFormat="1" ht="18" customHeight="1">
      <c r="B59" s="905" t="s">
        <v>161</v>
      </c>
      <c r="C59" s="905"/>
      <c r="D59" s="297" cm="1">
        <f t="array" ref="D59">SUMPRODUCT((IFERROR(MONTH(CASSA!$B7:$B3155)=MONTH(D$2),FALSE))*(CASSA!$G7:$G3155="Servizi fotografici &amp; social")*(IFERROR(ROUND(CASSA!$F7:$F3155,2),0)))+
SUMPRODUCT((IFERROR(MONTH(BANCA!$B8:$B4155)=MONTH(D$2),FALSE))*(BANCA!$G8:$G4155="Servizi fotografici &amp; social")*(IFERROR(ROUND(BANCA!$F8:$F4155,2),0)))</f>
        <v>0</v>
      </c>
      <c r="E59" s="297"/>
      <c r="F59" s="297" cm="1">
        <f t="array" ref="F59">SUMPRODUCT((IFERROR(MONTH(CASSA!$B7:$B3155)=MONTH(F$2),FALSE))*(CASSA!$G7:$G3155="Servizi fotografici &amp; social")*(IFERROR(ROUND(CASSA!$F7:$F3155,2),0)))+
SUMPRODUCT((IFERROR(MONTH(BANCA!$B8:$B4155)=MONTH(F$2),FALSE))*(BANCA!$G8:$G4155="Servizi fotografici &amp; social")*(IFERROR(ROUND(BANCA!$F8:$F4155,2),0)))</f>
        <v>0</v>
      </c>
      <c r="G59" s="297"/>
      <c r="H59" s="297" cm="1">
        <f t="array" ref="H59">SUMPRODUCT((IFERROR(MONTH(CASSA!$B7:$B3155)=MONTH(H$2),FALSE))*(CASSA!$G7:$G3155="Servizi fotografici &amp; social")*(IFERROR(ROUND(CASSA!$F7:$F3155,2),0)))+
SUMPRODUCT((IFERROR(MONTH(BANCA!$B8:$B4155)=MONTH(H$2),FALSE))*(BANCA!$G8:$G4155="Servizi fotografici &amp; social")*(IFERROR(ROUND(BANCA!$F8:$F4155,2),0)))</f>
        <v>0</v>
      </c>
      <c r="I59" s="297"/>
      <c r="J59" s="297" cm="1">
        <f t="array" ref="J59">SUMPRODUCT((IFERROR(MONTH(CASSA!$B7:$B3155)=MONTH(J$2),FALSE))*(CASSA!$G7:$G3155="Servizi fotografici &amp; social")*(IFERROR(ROUND(CASSA!$F7:$F3155,2),0)))+
SUMPRODUCT((IFERROR(MONTH(BANCA!$B8:$B4155)=MONTH(J$2),FALSE))*(BANCA!$G8:$G4155="Servizi fotografici &amp; social")*(IFERROR(ROUND(BANCA!$F8:$F4155,2),0)))</f>
        <v>80</v>
      </c>
      <c r="K59" s="297"/>
      <c r="L59" s="297" cm="1">
        <f t="array" ref="L59">SUMPRODUCT((IFERROR(MONTH(CASSA!$B7:$B3155)=MONTH(L$2),FALSE))*(CASSA!$G7:$G3155="Servizi fotografici &amp; social")*(IFERROR(ROUND(CASSA!$F7:$F3155,2),0)))+
SUMPRODUCT((IFERROR(MONTH(BANCA!$B8:$B4155)=MONTH(L$2),FALSE))*(BANCA!$G8:$G4155="Servizi fotografici &amp; social")*(IFERROR(ROUND(BANCA!$F8:$F4155,2),0)))</f>
        <v>0</v>
      </c>
      <c r="M59" s="297"/>
      <c r="N59" s="297" cm="1">
        <f t="array" ref="N59">SUMPRODUCT((IFERROR(MONTH(CASSA!$B7:$B3155)=MONTH(N$2),FALSE))*(CASSA!$G7:$G3155="Servizi fotografici &amp; social")*(IFERROR(ROUND(CASSA!$F7:$F3155,2),0)))+
SUMPRODUCT((IFERROR(MONTH(BANCA!$B8:$B4155)=MONTH(N$2),FALSE))*(BANCA!$G8:$G4155="Servizi fotografici &amp; social")*(IFERROR(ROUND(BANCA!$F8:$F4155,2),0)))</f>
        <v>0</v>
      </c>
      <c r="O59" s="297"/>
      <c r="P59" s="297" cm="1">
        <f t="array" ref="P59">SUMPRODUCT((IFERROR(MONTH(CASSA!$B7:$B3155)=MONTH(P$2),FALSE))*(CASSA!$G7:$G3155="Servizi fotografici &amp; social")*(IFERROR(ROUND(CASSA!$F7:$F3155,2),0)))+
SUMPRODUCT((IFERROR(MONTH(BANCA!$B8:$B4155)=MONTH(P$2),FALSE))*(BANCA!$G8:$G4155="Servizi fotografici &amp; social")*(IFERROR(ROUND(BANCA!$F8:$F4155,2),0)))</f>
        <v>1010</v>
      </c>
      <c r="Q59" s="297"/>
      <c r="R59" s="297" cm="1">
        <f t="array" ref="R59">SUMPRODUCT((IFERROR(MONTH(CASSA!$B7:$B3155)=MONTH(R$2),FALSE))*(CASSA!$G7:$G3155="Servizi fotografici &amp; social")*(IFERROR(ROUND(CASSA!$F7:$F3155,2),0)))+
SUMPRODUCT((IFERROR(MONTH(BANCA!$B8:$B4155)=MONTH(R$2),FALSE))*(BANCA!$G8:$G4155="Servizi fotografici &amp; social")*(IFERROR(ROUND(BANCA!$F8:$F4155,2),0)))</f>
        <v>0</v>
      </c>
      <c r="S59" s="297"/>
      <c r="T59" s="297" cm="1">
        <f t="array" ref="T59">SUMPRODUCT((IFERROR(MONTH(CASSA!$B7:$B3155)=MONTH(T$2),FALSE))*(CASSA!$G7:$G3155="Servizi fotografici &amp; social")*(IFERROR(ROUND(CASSA!$F7:$F3155,2),0)))+
SUMPRODUCT((IFERROR(MONTH(BANCA!$B8:$B4155)=MONTH(T$2),FALSE))*(BANCA!$G8:$G4155="Servizi fotografici &amp; social")*(IFERROR(ROUND(BANCA!$F8:$F4155,2),0)))</f>
        <v>0</v>
      </c>
      <c r="U59" s="297"/>
      <c r="V59" s="297" cm="1">
        <f t="array" ref="V59">SUMPRODUCT((IFERROR(MONTH(CASSA!$B7:$B3155)=MONTH(V$2),FALSE))*(CASSA!$G7:$G3155="Servizi fotografici &amp; social")*(IFERROR(ROUND(CASSA!$F7:$F3155,2),0)))+
SUMPRODUCT((IFERROR(MONTH(BANCA!$B8:$B4155)=MONTH(V$2),FALSE))*(BANCA!$G8:$G4155="Servizi fotografici &amp; social")*(IFERROR(ROUND(BANCA!$F8:$F4155,2),0)))</f>
        <v>0</v>
      </c>
      <c r="W59" s="297"/>
      <c r="X59" s="297" cm="1">
        <f t="array" ref="X59">SUMPRODUCT((IFERROR(MONTH(CASSA!$B7:$B3155)=MONTH(X$2),FALSE))*(CASSA!$G7:$G3155="Servizi fotografici &amp; social")*(IFERROR(ROUND(CASSA!$F7:$F3155,2),0)))+
SUMPRODUCT((IFERROR(MONTH(BANCA!$B8:$B4155)=MONTH(X$2),FALSE))*(BANCA!$G8:$G4155="Servizi fotografici &amp; social")*(IFERROR(ROUND(BANCA!$F8:$F4155,2),0)))</f>
        <v>100</v>
      </c>
      <c r="Y59" s="297"/>
      <c r="Z59" s="297" cm="1">
        <f t="array" ref="Z59">SUMPRODUCT((IFERROR(MONTH(CASSA!$B7:$B3155)=MONTH(Z$2),FALSE))*(CASSA!$G7:$G3155="Servizi fotografici &amp; social")*(IFERROR(ROUND(CASSA!$F7:$F3155,2),0)))+
SUMPRODUCT((IFERROR(MONTH(BANCA!$B8:$B4155)=MONTH(Z$2),FALSE))*(BANCA!$G8:$G4155="Servizi fotografici &amp; social")*(IFERROR(ROUND(BANCA!$F8:$F4155,2),0)))</f>
        <v>0</v>
      </c>
      <c r="AA59" s="297"/>
      <c r="AB59" s="769">
        <f t="shared" si="20"/>
        <v>1190</v>
      </c>
      <c r="AC59" s="792" t="s">
        <v>1993</v>
      </c>
      <c r="AD59" s="284"/>
      <c r="AE59" s="284"/>
      <c r="AF59" s="284"/>
      <c r="AG59" s="284"/>
      <c r="AH59" s="284"/>
      <c r="AI59" s="284"/>
      <c r="AJ59" s="284"/>
      <c r="AK59" s="284"/>
      <c r="AL59" s="284"/>
      <c r="AM59" s="284"/>
      <c r="AN59" s="284"/>
    </row>
    <row r="60" spans="2:40" s="232" customFormat="1" ht="18" customHeight="1">
      <c r="B60" s="905" t="s">
        <v>162</v>
      </c>
      <c r="C60" s="905"/>
      <c r="D60" s="297" cm="1">
        <f t="array" ref="D60">SUMPRODUCT((IFERROR(MONTH(CASSA!$B7:$B3155)=MONTH(D$2),FALSE))*(CASSA!$G7:$G3155="CONSULENZE E COLLABORAZIONI TECNICHE")*(IFERROR(ROUND(CASSA!$F7:$F3155,2),0)))+
SUMPRODUCT((IFERROR(MONTH(CASSA!$B7:$B3155)=MONTH(D$2),FALSE))*(CASSA!$G7:$G3155="CONSULENZE LEGALI")*(IFERROR(ROUND(CASSA!$F7:$F3155,2),0)))+
SUMPRODUCT((IFERROR(MONTH(BANCA!$B8:$B4155)=MONTH(D$2),FALSE))*(BANCA!$G8:$G4155="CONSULENZE LEGALI")*(IFERROR(ROUND(BANCA!$F8:$F4155,2),0)))+
SUMPRODUCT((IFERROR(MONTH(BANCA!$B8:$B4155)=MONTH(D$2),FALSE))*(BANCA!$G8:$G4155="CONSULENZE E COLLABORAZIONI TECNICHE")*(IFERROR(ROUND(BANCA!$F8:$F4155,2),0)))</f>
        <v>0</v>
      </c>
      <c r="E60" s="297"/>
      <c r="F60" s="297" cm="1">
        <f t="array" ref="F60">SUMPRODUCT((IFERROR(MONTH(CASSA!$B7:$B3155)=MONTH(F$2),FALSE))*(CASSA!$G7:$G3155="CONSULENZE E COLLABORAZIONI TECNICHE")*(IFERROR(ROUND(CASSA!$F7:$F3155,2),0)))+
SUMPRODUCT((IFERROR(MONTH(CASSA!$B7:$B3155)=MONTH(F$2),FALSE))*(CASSA!$G7:$G3155="CONSULENZE LEGALI")*(IFERROR(ROUND(CASSA!$F7:$F3155,2),0)))+
SUMPRODUCT((IFERROR(MONTH(BANCA!$B8:$B4155)=MONTH(F$2),FALSE))*(BANCA!$G8:$G4155="CONSULENZE LEGALI")*(IFERROR(ROUND(BANCA!$F8:$F4155,2),0)))+
SUMPRODUCT((IFERROR(MONTH(BANCA!$B8:$B4155)=MONTH(F$2),FALSE))*(BANCA!$G8:$G4155="CONSULENZE E COLLABORAZIONI TECNICHE")*(IFERROR(ROUND(BANCA!$F8:$F4155,2),0)))</f>
        <v>0</v>
      </c>
      <c r="G60" s="297"/>
      <c r="H60" s="297" cm="1">
        <f t="array" ref="H60">SUMPRODUCT((IFERROR(MONTH(CASSA!$B7:$B3155)=MONTH(H$2),FALSE))*(CASSA!$G7:$G3155="CONSULENZE E COLLABORAZIONI TECNICHE")*(IFERROR(ROUND(CASSA!$F7:$F3155,2),0)))+
SUMPRODUCT((IFERROR(MONTH(CASSA!$B7:$B3155)=MONTH(H$2),FALSE))*(CASSA!$G7:$G3155="CONSULENZE LEGALI")*(IFERROR(ROUND(CASSA!$F7:$F3155,2),0)))+
SUMPRODUCT((IFERROR(MONTH(BANCA!$B8:$B4155)=MONTH(H$2),FALSE))*(BANCA!$G8:$G4155="CONSULENZE LEGALI")*(IFERROR(ROUND(BANCA!$F8:$F4155,2),0)))+
SUMPRODUCT((IFERROR(MONTH(BANCA!$B8:$B4155)=MONTH(H$2),FALSE))*(BANCA!$G8:$G4155="CONSULENZE E COLLABORAZIONI TECNICHE")*(IFERROR(ROUND(BANCA!$F8:$F4155,2),0)))</f>
        <v>21.95</v>
      </c>
      <c r="I60" s="297"/>
      <c r="J60" s="297" cm="1">
        <f t="array" ref="J60">SUMPRODUCT((IFERROR(MONTH(CASSA!$B7:$B3155)=MONTH(J$2),FALSE))*(CASSA!$G7:$G3155="CONSULENZE E COLLABORAZIONI TECNICHE")*(IFERROR(ROUND(CASSA!$F7:$F3155,2),0)))+
SUMPRODUCT((IFERROR(MONTH(CASSA!$B7:$B3155)=MONTH(J$2),FALSE))*(CASSA!$G7:$G3155="CONSULENZE LEGALI")*(IFERROR(ROUND(CASSA!$F7:$F3155,2),0)))+
SUMPRODUCT((IFERROR(MONTH(BANCA!$B8:$B4155)=MONTH(J$2),FALSE))*(BANCA!$G8:$G4155="CONSULENZE LEGALI")*(IFERROR(ROUND(BANCA!$F8:$F4155,2),0)))+
SUMPRODUCT((IFERROR(MONTH(BANCA!$B8:$B4155)=MONTH(J$2),FALSE))*(BANCA!$G8:$G4155="CONSULENZE E COLLABORAZIONI TECNICHE")*(IFERROR(ROUND(BANCA!$F8:$F4155,2),0)))</f>
        <v>368</v>
      </c>
      <c r="K60" s="297"/>
      <c r="L60" s="297" cm="1">
        <f t="array" ref="L60">SUMPRODUCT((IFERROR(MONTH(CASSA!$B7:$B3155)=MONTH(L$2),FALSE))*(CASSA!$G7:$G3155="CONSULENZE E COLLABORAZIONI TECNICHE")*(IFERROR(ROUND(CASSA!$F7:$F3155,2),0)))+
SUMPRODUCT((IFERROR(MONTH(CASSA!$B7:$B3155)=MONTH(L$2),FALSE))*(CASSA!$G7:$G3155="CONSULENZE LEGALI")*(IFERROR(ROUND(CASSA!$F7:$F3155,2),0)))+
SUMPRODUCT((IFERROR(MONTH(BANCA!$B8:$B4155)=MONTH(L$2),FALSE))*(BANCA!$G8:$G4155="CONSULENZE LEGALI")*(IFERROR(ROUND(BANCA!$F8:$F4155,2),0)))+
SUMPRODUCT((IFERROR(MONTH(BANCA!$B8:$B4155)=MONTH(L$2),FALSE))*(BANCA!$G8:$G4155="CONSULENZE E COLLABORAZIONI TECNICHE")*(IFERROR(ROUND(BANCA!$F8:$F4155,2),0)))</f>
        <v>0</v>
      </c>
      <c r="M60" s="297"/>
      <c r="N60" s="297" cm="1">
        <f t="array" ref="N60">SUMPRODUCT((IFERROR(MONTH(CASSA!$B7:$B3155)=MONTH(N$2),FALSE))*(CASSA!$G7:$G3155="CONSULENZE E COLLABORAZIONI TECNICHE")*(IFERROR(ROUND(CASSA!$F7:$F3155,2),0)))+
SUMPRODUCT((IFERROR(MONTH(CASSA!$B7:$B3155)=MONTH(N$2),FALSE))*(CASSA!$G7:$G3155="CONSULENZE LEGALI")*(IFERROR(ROUND(CASSA!$F7:$F3155,2),0)))+
SUMPRODUCT((IFERROR(MONTH(BANCA!$B8:$B4155)=MONTH(N$2),FALSE))*(BANCA!$G8:$G4155="CONSULENZE LEGALI")*(IFERROR(ROUND(BANCA!$F8:$F4155,2),0)))+
SUMPRODUCT((IFERROR(MONTH(BANCA!$B8:$B4155)=MONTH(N$2),FALSE))*(BANCA!$G8:$G4155="CONSULENZE E COLLABORAZIONI TECNICHE")*(IFERROR(ROUND(BANCA!$F8:$F4155,2),0)))</f>
        <v>3823.44</v>
      </c>
      <c r="O60" s="297"/>
      <c r="P60" s="297" cm="1">
        <f t="array" ref="P60">SUMPRODUCT((IFERROR(MONTH(CASSA!$B7:$B3155)=MONTH(P$2),FALSE))*(CASSA!$G7:$G3155="CONSULENZE E COLLABORAZIONI TECNICHE")*(IFERROR(ROUND(CASSA!$F7:$F3155,2),0)))+
SUMPRODUCT((IFERROR(MONTH(CASSA!$B7:$B3155)=MONTH(P$2),FALSE))*(CASSA!$G7:$G3155="CONSULENZE LEGALI")*(IFERROR(ROUND(CASSA!$F7:$F3155,2),0)))+
SUMPRODUCT((IFERROR(MONTH(BANCA!$B8:$B4155)=MONTH(P$2),FALSE))*(BANCA!$G8:$G4155="CONSULENZE LEGALI")*(IFERROR(ROUND(BANCA!$F8:$F4155,2),0)))+
SUMPRODUCT((IFERROR(MONTH(BANCA!$B8:$B4155)=MONTH(P$2),FALSE))*(BANCA!$G8:$G4155="CONSULENZE E COLLABORAZIONI TECNICHE")*(IFERROR(ROUND(BANCA!$F8:$F4155,2),0)))</f>
        <v>1980.68</v>
      </c>
      <c r="Q60" s="297"/>
      <c r="R60" s="297" cm="1">
        <f t="array" ref="R60">SUMPRODUCT((IFERROR(MONTH(CASSA!$B7:$B3155)=MONTH(R$2),FALSE))*(CASSA!$G7:$G3155="CONSULENZE E COLLABORAZIONI TECNICHE")*(IFERROR(ROUND(CASSA!$F7:$F3155,2),0)))+
SUMPRODUCT((IFERROR(MONTH(CASSA!$B7:$B3155)=MONTH(R$2),FALSE))*(CASSA!$G7:$G3155="CONSULENZE LEGALI")*(IFERROR(ROUND(CASSA!$F7:$F3155,2),0)))+
SUMPRODUCT((IFERROR(MONTH(BANCA!$B8:$B4155)=MONTH(R$2),FALSE))*(BANCA!$G8:$G4155="CONSULENZE LEGALI")*(IFERROR(ROUND(BANCA!$F8:$F4155,2),0)))+
SUMPRODUCT((IFERROR(MONTH(BANCA!$B8:$B4155)=MONTH(R$2),FALSE))*(BANCA!$G8:$G4155="CONSULENZE E COLLABORAZIONI TECNICHE")*(IFERROR(ROUND(BANCA!$F8:$F4155,2),0)))</f>
        <v>0</v>
      </c>
      <c r="S60" s="297"/>
      <c r="T60" s="297" cm="1">
        <f t="array" ref="T60">SUMPRODUCT((IFERROR(MONTH(CASSA!$B7:$B3155)=MONTH(T$2),FALSE))*(CASSA!$G7:$G3155="CONSULENZE E COLLABORAZIONI TECNICHE")*(IFERROR(ROUND(CASSA!$F7:$F3155,2),0)))+
SUMPRODUCT((IFERROR(MONTH(CASSA!$B7:$B3155)=MONTH(T$2),FALSE))*(CASSA!$G7:$G3155="CONSULENZE LEGALI")*(IFERROR(ROUND(CASSA!$F7:$F3155,2),0)))+
SUMPRODUCT((IFERROR(MONTH(BANCA!$B8:$B4155)=MONTH(T$2),FALSE))*(BANCA!$G8:$G4155="CONSULENZE LEGALI")*(IFERROR(ROUND(BANCA!$F8:$F4155,2),0)))+
SUMPRODUCT((IFERROR(MONTH(BANCA!$B8:$B4155)=MONTH(T$2),FALSE))*(BANCA!$G8:$G4155="CONSULENZE E COLLABORAZIONI TECNICHE")*(IFERROR(ROUND(BANCA!$F8:$F4155,2),0)))</f>
        <v>2458.69</v>
      </c>
      <c r="U60" s="297"/>
      <c r="V60" s="297" cm="1">
        <f t="array" ref="V60">SUMPRODUCT((IFERROR(MONTH(CASSA!$B7:$B3155)=MONTH(V$2),FALSE))*(CASSA!$G7:$G3155="CONSULENZE E COLLABORAZIONI TECNICHE")*(IFERROR(ROUND(CASSA!$F7:$F3155,2),0)))+
SUMPRODUCT((IFERROR(MONTH(CASSA!$B7:$B3155)=MONTH(V$2),FALSE))*(CASSA!$G7:$G3155="CONSULENZE LEGALI")*(IFERROR(ROUND(CASSA!$F7:$F3155,2),0)))+
SUMPRODUCT((IFERROR(MONTH(BANCA!$B8:$B4155)=MONTH(V$2),FALSE))*(BANCA!$G8:$G4155="CONSULENZE LEGALI")*(IFERROR(ROUND(BANCA!$F8:$F4155,2),0)))+
SUMPRODUCT((IFERROR(MONTH(BANCA!$B8:$B4155)=MONTH(V$2),FALSE))*(BANCA!$G8:$G4155="CONSULENZE E COLLABORAZIONI TECNICHE")*(IFERROR(ROUND(BANCA!$F8:$F4155,2),0)))</f>
        <v>0</v>
      </c>
      <c r="W60" s="297"/>
      <c r="X60" s="297" cm="1">
        <f t="array" ref="X60">SUMPRODUCT((IFERROR(MONTH(CASSA!$B7:$B3155)=MONTH(X$2),FALSE))*(CASSA!$G7:$G3155="CONSULENZE E COLLABORAZIONI TECNICHE")*(IFERROR(ROUND(CASSA!$F7:$F3155,2),0)))+
SUMPRODUCT((IFERROR(MONTH(CASSA!$B7:$B3155)=MONTH(X$2),FALSE))*(CASSA!$G7:$G3155="CONSULENZE LEGALI")*(IFERROR(ROUND(CASSA!$F7:$F3155,2),0)))+
SUMPRODUCT((IFERROR(MONTH(BANCA!$B8:$B4155)=MONTH(X$2),FALSE))*(BANCA!$G8:$G4155="CONSULENZE LEGALI")*(IFERROR(ROUND(BANCA!$F8:$F4155,2),0)))+
SUMPRODUCT((IFERROR(MONTH(BANCA!$B8:$B4155)=MONTH(X$2),FALSE))*(BANCA!$G8:$G4155="CONSULENZE E COLLABORAZIONI TECNICHE")*(IFERROR(ROUND(BANCA!$F8:$F4155,2),0)))</f>
        <v>0</v>
      </c>
      <c r="Y60" s="297"/>
      <c r="Z60" s="297" cm="1">
        <f t="array" ref="Z60">SUMPRODUCT((IFERROR(MONTH(CASSA!$B7:$B3155)=MONTH(Z$2),FALSE))*(CASSA!$G7:$G3155="CONSULENZE E COLLABORAZIONI TECNICHE")*(IFERROR(ROUND(CASSA!$F7:$F3155,2),0)))+
SUMPRODUCT((IFERROR(MONTH(CASSA!$B7:$B3155)=MONTH(Z$2),FALSE))*(CASSA!$G7:$G3155="CONSULENZE LEGALI")*(IFERROR(ROUND(CASSA!$F7:$F3155,2),0)))+
SUMPRODUCT((IFERROR(MONTH(BANCA!$B8:$B4155)=MONTH(Z$2),FALSE))*(BANCA!$G8:$G4155="CONSULENZE LEGALI")*(IFERROR(ROUND(BANCA!$F8:$F4155,2),0)))+
SUMPRODUCT((IFERROR(MONTH(BANCA!$B8:$B4155)=MONTH(Z$2),FALSE))*(BANCA!$G8:$G4155="CONSULENZE E COLLABORAZIONI TECNICHE")*(IFERROR(ROUND(BANCA!$F8:$F4155,2),0)))</f>
        <v>241.5</v>
      </c>
      <c r="AA60" s="297"/>
      <c r="AB60" s="769">
        <f t="shared" si="20"/>
        <v>8894.26</v>
      </c>
      <c r="AC60" s="792" t="s">
        <v>1993</v>
      </c>
      <c r="AD60" s="284"/>
      <c r="AE60" s="284"/>
      <c r="AF60" s="284"/>
      <c r="AG60" s="284"/>
      <c r="AH60" s="284"/>
      <c r="AI60" s="284"/>
      <c r="AJ60" s="284"/>
      <c r="AK60" s="284"/>
      <c r="AL60" s="284"/>
      <c r="AM60" s="284"/>
      <c r="AN60" s="284"/>
    </row>
    <row r="61" spans="2:40" s="232" customFormat="1" ht="18" customHeight="1">
      <c r="B61" s="905" t="s">
        <v>163</v>
      </c>
      <c r="C61" s="905"/>
      <c r="D61" s="297" cm="1">
        <f t="array" ref="D61">SUMPRODUCT((IFERROR(MONTH(CASSA!$B7:$B3155)=MONTH(D$2),FALSE))*(CASSA!$G7:$G3155="RIPARAZIONI E MANUTENZIONI DIVERSE")*(IFERROR(ROUND(CASSA!$F7:$F3155,2),0)))+
SUMPRODUCT((IFERROR(MONTH(BANCA!$B8:$B4155)=MONTH(D$2),FALSE))*(BANCA!$G8:$G4155="RIPARAZIONI E MANUTENZIONI DIVERSE")*(IFERROR(ROUND(BANCA!$F8:$F4155,2),0)))</f>
        <v>515</v>
      </c>
      <c r="E61" s="297"/>
      <c r="F61" s="297" cm="1">
        <f t="array" ref="F61">SUMPRODUCT((IFERROR(MONTH(CASSA!$B7:$B3155)=MONTH(F$2),FALSE))*(CASSA!$G7:$G3155="RIPARAZIONI E MANUTENZIONI DIVERSE")*(IFERROR(ROUND(CASSA!$F7:$F3155,2),0)))+
SUMPRODUCT((IFERROR(MONTH(BANCA!$B8:$B4155)=MONTH(F$2),FALSE))*(BANCA!$G8:$G4155="RIPARAZIONI E MANUTENZIONI DIVERSE")*(IFERROR(ROUND(BANCA!$F8:$F4155,2),0)))</f>
        <v>0</v>
      </c>
      <c r="G61" s="297"/>
      <c r="H61" s="297" cm="1">
        <f t="array" ref="H61">SUMPRODUCT((IFERROR(MONTH(CASSA!$B7:$B3155)=MONTH(H$2),FALSE))*(CASSA!$G7:$G3155="RIPARAZIONI E MANUTENZIONI DIVERSE")*(IFERROR(ROUND(CASSA!$F7:$F3155,2),0)))+
SUMPRODUCT((IFERROR(MONTH(BANCA!$B8:$B4155)=MONTH(H$2),FALSE))*(BANCA!$G8:$G4155="RIPARAZIONI E MANUTENZIONI DIVERSE")*(IFERROR(ROUND(BANCA!$F8:$F4155,2),0)))</f>
        <v>852.8</v>
      </c>
      <c r="I61" s="297"/>
      <c r="J61" s="297" cm="1">
        <f t="array" ref="J61">SUMPRODUCT((IFERROR(MONTH(CASSA!$B7:$B3155)=MONTH(J$2),FALSE))*(CASSA!$G7:$G3155="RIPARAZIONI E MANUTENZIONI DIVERSE")*(IFERROR(ROUND(CASSA!$F7:$F3155,2),0)))+
SUMPRODUCT((IFERROR(MONTH(BANCA!$B8:$B4155)=MONTH(J$2),FALSE))*(BANCA!$G8:$G4155="RIPARAZIONI E MANUTENZIONI DIVERSE")*(IFERROR(ROUND(BANCA!$F8:$F4155,2),0)))</f>
        <v>30</v>
      </c>
      <c r="K61" s="297"/>
      <c r="L61" s="297" cm="1">
        <f t="array" ref="L61">SUMPRODUCT((IFERROR(MONTH(CASSA!$B7:$B3155)=MONTH(L$2),FALSE))*(CASSA!$G7:$G3155="RIPARAZIONI E MANUTENZIONI DIVERSE")*(IFERROR(ROUND(CASSA!$F7:$F3155,2),0)))+
SUMPRODUCT((IFERROR(MONTH(BANCA!$B8:$B4155)=MONTH(L$2),FALSE))*(BANCA!$G8:$G4155="RIPARAZIONI E MANUTENZIONI DIVERSE")*(IFERROR(ROUND(BANCA!$F8:$F4155,2),0)))</f>
        <v>0</v>
      </c>
      <c r="M61" s="297"/>
      <c r="N61" s="297" cm="1">
        <f t="array" ref="N61">SUMPRODUCT((IFERROR(MONTH(CASSA!$B7:$B3155)=MONTH(N$2),FALSE))*(CASSA!$G7:$G3155="RIPARAZIONI E MANUTENZIONI DIVERSE")*(IFERROR(ROUND(CASSA!$F7:$F3155,2),0)))+
SUMPRODUCT((IFERROR(MONTH(BANCA!$B8:$B4155)=MONTH(N$2),FALSE))*(BANCA!$G8:$G4155="RIPARAZIONI E MANUTENZIONI DIVERSE")*(IFERROR(ROUND(BANCA!$F8:$F4155,2),0)))</f>
        <v>195</v>
      </c>
      <c r="O61" s="297"/>
      <c r="P61" s="297" cm="1">
        <f t="array" ref="P61">SUMPRODUCT((IFERROR(MONTH(CASSA!$B7:$B3155)=MONTH(P$2),FALSE))*(CASSA!$G7:$G3155="RIPARAZIONI E MANUTENZIONI DIVERSE")*(IFERROR(ROUND(CASSA!$F7:$F3155,2),0)))+
SUMPRODUCT((IFERROR(MONTH(BANCA!$B8:$B4155)=MONTH(P$2),FALSE))*(BANCA!$G8:$G4155="RIPARAZIONI E MANUTENZIONI DIVERSE")*(IFERROR(ROUND(BANCA!$F8:$F4155,2),0)))</f>
        <v>1100</v>
      </c>
      <c r="Q61" s="297"/>
      <c r="R61" s="297" cm="1">
        <f t="array" ref="R61">SUMPRODUCT((IFERROR(MONTH(CASSA!$B7:$B3155)=MONTH(R$2),FALSE))*(CASSA!$G7:$G3155="RIPARAZIONI E MANUTENZIONI DIVERSE")*(IFERROR(ROUND(CASSA!$F7:$F3155,2),0)))+
SUMPRODUCT((IFERROR(MONTH(BANCA!$B8:$B4155)=MONTH(R$2),FALSE))*(BANCA!$G8:$G4155="RIPARAZIONI E MANUTENZIONI DIVERSE")*(IFERROR(ROUND(BANCA!$F8:$F4155,2),0)))</f>
        <v>30</v>
      </c>
      <c r="S61" s="297"/>
      <c r="T61" s="297" cm="1">
        <f t="array" ref="T61">SUMPRODUCT((IFERROR(MONTH(CASSA!$B7:$B3155)=MONTH(T$2),FALSE))*(CASSA!$G7:$G3155="RIPARAZIONI E MANUTENZIONI DIVERSE")*(IFERROR(ROUND(CASSA!$F7:$F3155,2),0)))+
SUMPRODUCT((IFERROR(MONTH(BANCA!$B8:$B4155)=MONTH(T$2),FALSE))*(BANCA!$G8:$G4155="RIPARAZIONI E MANUTENZIONI DIVERSE")*(IFERROR(ROUND(BANCA!$F8:$F4155,2),0)))</f>
        <v>532</v>
      </c>
      <c r="U61" s="297"/>
      <c r="V61" s="297" cm="1">
        <f t="array" ref="V61">SUMPRODUCT((IFERROR(MONTH(CASSA!$B7:$B3155)=MONTH(V$2),FALSE))*(CASSA!$G7:$G3155="RIPARAZIONI E MANUTENZIONI DIVERSE")*(IFERROR(ROUND(CASSA!$F7:$F3155,2),0)))+
SUMPRODUCT((IFERROR(MONTH(BANCA!$B8:$B4155)=MONTH(V$2),FALSE))*(BANCA!$G8:$G4155="RIPARAZIONI E MANUTENZIONI DIVERSE")*(IFERROR(ROUND(BANCA!$F8:$F4155,2),0)))</f>
        <v>0</v>
      </c>
      <c r="W61" s="297"/>
      <c r="X61" s="297" cm="1">
        <f t="array" ref="X61">SUMPRODUCT((IFERROR(MONTH(CASSA!$B7:$B3155)=MONTH(X$2),FALSE))*(CASSA!$G7:$G3155="RIPARAZIONI E MANUTENZIONI DIVERSE")*(IFERROR(ROUND(CASSA!$F7:$F3155,2),0)))+
SUMPRODUCT((IFERROR(MONTH(BANCA!$B8:$B4155)=MONTH(X$2),FALSE))*(BANCA!$G8:$G4155="RIPARAZIONI E MANUTENZIONI DIVERSE")*(IFERROR(ROUND(BANCA!$F8:$F4155,2),0)))</f>
        <v>448.9</v>
      </c>
      <c r="Y61" s="297"/>
      <c r="Z61" s="297" cm="1">
        <f t="array" ref="Z61">SUMPRODUCT((IFERROR(MONTH(CASSA!$B7:$B3155)=MONTH(Z$2),FALSE))*(CASSA!$G7:$G3155="RIPARAZIONI E MANUTENZIONI DIVERSE")*(IFERROR(ROUND(CASSA!$F7:$F3155,2),0)))+
SUMPRODUCT((IFERROR(MONTH(BANCA!$B8:$B4155)=MONTH(Z$2),FALSE))*(BANCA!$G8:$G4155="RIPARAZIONI E MANUTENZIONI DIVERSE")*(IFERROR(ROUND(BANCA!$F8:$F4155,2),0)))</f>
        <v>0</v>
      </c>
      <c r="AA61" s="297"/>
      <c r="AB61" s="769">
        <f t="shared" si="20"/>
        <v>3703.7000000000003</v>
      </c>
      <c r="AC61" s="792" t="s">
        <v>1993</v>
      </c>
      <c r="AD61" s="284"/>
      <c r="AE61" s="284"/>
      <c r="AF61" s="284"/>
      <c r="AG61" s="284"/>
      <c r="AH61" s="284"/>
      <c r="AI61" s="284"/>
      <c r="AJ61" s="284"/>
      <c r="AK61" s="284"/>
      <c r="AL61" s="284"/>
      <c r="AM61" s="284"/>
      <c r="AN61" s="284"/>
    </row>
    <row r="62" spans="2:40" s="232" customFormat="1" ht="18" customHeight="1">
      <c r="B62" s="905" t="s">
        <v>146</v>
      </c>
      <c r="C62" s="905"/>
      <c r="D62" s="299" cm="1">
        <f t="array" ref="D62">SUMPRODUCT((IFERROR(MONTH(CASSA!$B7:$B3155)=MONTH(D$2),FALSE))*(CASSA!$G7:$G3155="Personale EVENTI")*(IFERROR(ROUND(CASSA!$F7:$F3155,2),0)))+
SUMPRODUCT((IFERROR(MONTH(CASSA!$B7:$B3155)=MONTH(D$2),FALSE))*(CASSA!$G7:$G3155="Servizi di pulizia EVENTI")*(IFERROR(ROUND(CASSA!$F7:$F3155,2),0)))+
SUMPRODUCT((IFERROR(MONTH(CASSA!$B7:$B3155)=MONTH(D$2),FALSE))*(CASSA!$G7:$G3155="PR EVENTI")*(IFERROR(ROUND(CASSA!$F7:$F3155,2),0)))+
SUMPRODUCT((IFERROR(MONTH(CASSA!$B7:$B3155)=MONTH(D$2),FALSE))*(CASSA!$G7:$G3155="DJ EVENTI")*(IFERROR(ROUND(CASSA!$F7:$F3155,2),0)))+
SUMPRODUCT((IFERROR(MONTH(CASSA!$B7:$B3155)=MONTH(D$2),FALSE))*(CASSA!$G7:$G3155="Sicurezza EVENTI")*(IFERROR(ROUND(CASSA!$F7:$F3155,2),0)))+
SUMPRODUCT((IFERROR(MONTH(CASSA!$B7:$B3155)=MONTH(D$2),FALSE))*(CASSA!$G7:$G3155="Sponsorizzate EVENTI")*(IFERROR(ROUND(CASSA!$F7:$F3155,2),0)))+
SUMPRODUCT((IFERROR(MONTH(CASSA!$B7:$B3155)=MONTH(D$2),FALSE))*(CASSA!$G7:$G3155="Foto &amp; Grafiche EVENTI")*(IFERROR(ROUND(CASSA!$F7:$F3155,2),0)))+
SUMPRODUCT((IFERROR(MONTH(BANCA!$B8:$B4155)=MONTH(D$2),FALSE))*(BANCA!$G8:$G4155="Personale EVENTI")*(IFERROR(ROUND(BANCA!$F8:$F4155,2),0)))+
SUMPRODUCT((IFERROR(MONTH(BANCA!$B8:$B4155)=MONTH(D$2),FALSE))*(BANCA!$G8:$G4155="PR EVENTI")*(IFERROR(ROUND(BANCA!$F8:$F4155,2),0)))+
SUMPRODUCT((IFERROR(MONTH(BANCA!$B8:$B4155)=MONTH(D$2),FALSE))*(BANCA!$G8:$G4155="DJ EVENTI")*(IFERROR(ROUND(BANCA!$F8:$F4155,2),0)))+
SUMPRODUCT((IFERROR(MONTH(BANCA!$B8:$B4155)=MONTH(D$2),FALSE))*(BANCA!$G8:$G4155="Servizi di pulizia EVENTI")*(IFERROR(ROUND(BANCA!$F8:$F4155,2),0)))+
SUMPRODUCT((IFERROR(MONTH(BANCA!$B8:$B4155)=MONTH(D$2),FALSE))*(BANCA!$G8:$G4155="Sicurezza EVENTI")*(IFERROR(ROUND(BANCA!$F8:$F4155,2),0)))+
SUMPRODUCT((IFERROR(MONTH(BANCA!$B8:$B4155)=MONTH(D$2),FALSE))*(BANCA!$G8:$G4155="Sponsorizzate EVENTI")*(IFERROR(ROUND(BANCA!$F8:$F4155,2),0)))+
SUMPRODUCT((IFERROR(MONTH(BANCA!$B8:$B4155)=MONTH(D$2),FALSE))*(BANCA!$G8:$G4155="Foto &amp; Grafiche EVENTI")*(IFERROR(ROUND(BANCA!$F8:$F4155,2),0)))-SUMPRODUCT((IFERROR(MONTH(CASSA!$B7:$B3155)=MONTH(D$2),FALSE))*(CASSA!$G7:$G3155="Personale EVENTI")*(IFERROR(ROUND(CASSA!$E7:$E3155,2),0)))-
SUMPRODUCT((IFERROR(MONTH(CASSA!$B7:$B3155)=MONTH(D$2),FALSE))*(CASSA!$G7:$G3155="Servizi di pulizia EVENTI")*(IFERROR(ROUND(CASSA!$E7:$E3155,2),0)))-
SUMPRODUCT((IFERROR(MONTH(CASSA!$B7:$B3155)=MONTH(D$2),FALSE))*(CASSA!$G7:$G3155="PR EVENTI")*(IFERROR(ROUND(CASSA!$E7:$E3155,2),0)))-
SUMPRODUCT((IFERROR(MONTH(CASSA!$B7:$B3155)=MONTH(D$2),FALSE))*(CASSA!$G7:$G3155="DJ EVENTI")*(IFERROR(ROUND(CASSA!$E7:$E3155,2),0)))-
SUMPRODUCT((IFERROR(MONTH(CASSA!$B7:$B3155)=MONTH(D$2),FALSE))*(CASSA!$G7:$G3155="Sicurezza EVENTI")*(IFERROR(ROUND(CASSA!$E7:$E3155,2),0)))-
SUMPRODUCT((IFERROR(MONTH(CASSA!$B7:$B3155)=MONTH(D$2),FALSE))*(CASSA!$G7:$G3155="Sponsorizzate EVENTI")*(IFERROR(ROUND(CASSA!$E7:$E3155,2),0)))-
SUMPRODUCT((IFERROR(MONTH(CASSA!$B7:$B3155)=MONTH(D$2),FALSE))*(CASSA!$G7:$G3155="Foto &amp; Grafiche EVENTI")*(IFERROR(ROUND(CASSA!$E7:$E3155,2),0)))-
SUMPRODUCT((IFERROR(MONTH(BANCA!$B8:$B4155)=MONTH(D$2),FALSE))*(BANCA!$G8:$G4155="Personale EVENTI")*(IFERROR(ROUND(BANCA!$E8:$E4155,2),0)))-
SUMPRODUCT((IFERROR(MONTH(BANCA!$B8:$B4155)=MONTH(D$2),FALSE))*(BANCA!$G8:$G4155="PR EVENTI")*(IFERROR(ROUND(BANCA!$E8:$E4155,2),0)))-
SUMPRODUCT((IFERROR(MONTH(BANCA!$B8:$B4155)=MONTH(D$2),FALSE))*(BANCA!$G8:$G4155="DJ EVENTI")*(IFERROR(ROUND(BANCA!$E8:$E4155,2),0)))-
SUMPRODUCT((IFERROR(MONTH(BANCA!$B8:$B4155)=MONTH(D$2),FALSE))*(BANCA!$G8:$G4155="Servizi di pulizia EVENTI")*(IFERROR(ROUND(BANCA!$E8:$E4155,2),0)))-
SUMPRODUCT((IFERROR(MONTH(BANCA!$B8:$B4155)=MONTH(D$2),FALSE))*(BANCA!$G8:$G4155="Sicurezza EVENTI")*(IFERROR(ROUND(BANCA!$E8:$E4155,2),0)))-
SUMPRODUCT((IFERROR(MONTH(BANCA!$B8:$B4155)=MONTH(D$2),FALSE))*(BANCA!$G8:$G4155="Sponsorizzate EVENTI")*(IFERROR(ROUND(BANCA!$E8:$E4155,2),0)))-
SUMPRODUCT((IFERROR(MONTH(BANCA!$B8:$B4155)=MONTH(D$2),FALSE))*(BANCA!$G8:$G4155="Foto &amp; Grafiche EVENTI")*(IFERROR(ROUND(BANCA!$E8:$E4155,2),0)))</f>
        <v>4632.3999999999996</v>
      </c>
      <c r="E62" s="299"/>
      <c r="F62" s="299" cm="1">
        <f t="array" ref="F62">SUMPRODUCT((IFERROR(MONTH(CASSA!$B7:$B3155)=MONTH(F$2),FALSE))*(CASSA!$G7:$G3155="Personale EVENTI")*(IFERROR(ROUND(CASSA!$F7:$F3155,2),0)))+
SUMPRODUCT((IFERROR(MONTH(CASSA!$B7:$B3155)=MONTH(F$2),FALSE))*(CASSA!$G7:$G3155="Servizi di pulizia EVENTI")*(IFERROR(ROUND(CASSA!$F7:$F3155,2),0)))+
SUMPRODUCT((IFERROR(MONTH(CASSA!$B7:$B3155)=MONTH(F$2),FALSE))*(CASSA!$G7:$G3155="PR EVENTI")*(IFERROR(ROUND(CASSA!$F7:$F3155,2),0)))+
SUMPRODUCT((IFERROR(MONTH(CASSA!$B7:$B3155)=MONTH(F$2),FALSE))*(CASSA!$G7:$G3155="DJ EVENTI")*(IFERROR(ROUND(CASSA!$F7:$F3155,2),0)))+
SUMPRODUCT((IFERROR(MONTH(CASSA!$B7:$B3155)=MONTH(F$2),FALSE))*(CASSA!$G7:$G3155="Sicurezza EVENTI")*(IFERROR(ROUND(CASSA!$F7:$F3155,2),0)))+
SUMPRODUCT((IFERROR(MONTH(CASSA!$B7:$B3155)=MONTH(F$2),FALSE))*(CASSA!$G7:$G3155="Sponsorizzate EVENTI")*(IFERROR(ROUND(CASSA!$F7:$F3155,2),0)))+
SUMPRODUCT((IFERROR(MONTH(CASSA!$B7:$B3155)=MONTH(F$2),FALSE))*(CASSA!$G7:$G3155="Foto &amp; Grafiche EVENTI")*(IFERROR(ROUND(CASSA!$F7:$F3155,2),0)))+
SUMPRODUCT((IFERROR(MONTH(BANCA!$B8:$B4155)=MONTH(F$2),FALSE))*(BANCA!$G8:$G4155="Personale EVENTI")*(IFERROR(ROUND(BANCA!$F8:$F4155,2),0)))+
SUMPRODUCT((IFERROR(MONTH(BANCA!$B8:$B4155)=MONTH(F$2),FALSE))*(BANCA!$G8:$G4155="PR EVENTI")*(IFERROR(ROUND(BANCA!$F8:$F4155,2),0)))+
SUMPRODUCT((IFERROR(MONTH(BANCA!$B8:$B4155)=MONTH(F$2),FALSE))*(BANCA!$G8:$G4155="DJ EVENTI")*(IFERROR(ROUND(BANCA!$F8:$F4155,2),0)))+
SUMPRODUCT((IFERROR(MONTH(BANCA!$B8:$B4155)=MONTH(F$2),FALSE))*(BANCA!$G8:$G4155="Servizi di pulizia EVENTI")*(IFERROR(ROUND(BANCA!$F8:$F4155,2),0)))+
SUMPRODUCT((IFERROR(MONTH(BANCA!$B8:$B4155)=MONTH(F$2),FALSE))*(BANCA!$G8:$G4155="Sicurezza EVENTI")*(IFERROR(ROUND(BANCA!$F8:$F4155,2),0)))+
SUMPRODUCT((IFERROR(MONTH(BANCA!$B8:$B4155)=MONTH(F$2),FALSE))*(BANCA!$G8:$G4155="Sponsorizzate EVENTI")*(IFERROR(ROUND(BANCA!$F8:$F4155,2),0)))+
SUMPRODUCT((IFERROR(MONTH(BANCA!$B8:$B4155)=MONTH(F$2),FALSE))*(BANCA!$G8:$G4155="Foto &amp; Grafiche EVENTI")*(IFERROR(ROUND(BANCA!$F8:$F4155,2),0)))-SUMPRODUCT((IFERROR(MONTH(CASSA!$B7:$B3155)=MONTH(F$2),FALSE))*(CASSA!$G7:$G3155="Personale EVENTI")*(IFERROR(ROUND(CASSA!$E7:$E3155,2),0)))-
SUMPRODUCT((IFERROR(MONTH(CASSA!$B7:$B3155)=MONTH(F$2),FALSE))*(CASSA!$G7:$G3155="Servizi di pulizia EVENTI")*(IFERROR(ROUND(CASSA!$E7:$E3155,2),0)))-
SUMPRODUCT((IFERROR(MONTH(CASSA!$B7:$B3155)=MONTH(F$2),FALSE))*(CASSA!$G7:$G3155="PR EVENTI")*(IFERROR(ROUND(CASSA!$E7:$E3155,2),0)))-
SUMPRODUCT((IFERROR(MONTH(CASSA!$B7:$B3155)=MONTH(F$2),FALSE))*(CASSA!$G7:$G3155="DJ EVENTI")*(IFERROR(ROUND(CASSA!$E7:$E3155,2),0)))-
SUMPRODUCT((IFERROR(MONTH(CASSA!$B7:$B3155)=MONTH(F$2),FALSE))*(CASSA!$G7:$G3155="Sicurezza EVENTI")*(IFERROR(ROUND(CASSA!$E7:$E3155,2),0)))-
SUMPRODUCT((IFERROR(MONTH(CASSA!$B7:$B3155)=MONTH(F$2),FALSE))*(CASSA!$G7:$G3155="Sponsorizzate EVENTI")*(IFERROR(ROUND(CASSA!$E7:$E3155,2),0)))-
SUMPRODUCT((IFERROR(MONTH(CASSA!$B7:$B3155)=MONTH(F$2),FALSE))*(CASSA!$G7:$G3155="Foto &amp; Grafiche EVENTI")*(IFERROR(ROUND(CASSA!$E7:$E3155,2),0)))-
SUMPRODUCT((IFERROR(MONTH(BANCA!$B8:$B4155)=MONTH(F$2),FALSE))*(BANCA!$G8:$G4155="Personale EVENTI")*(IFERROR(ROUND(BANCA!$E8:$E4155,2),0)))-
SUMPRODUCT((IFERROR(MONTH(BANCA!$B8:$B4155)=MONTH(F$2),FALSE))*(BANCA!$G8:$G4155="PR EVENTI")*(IFERROR(ROUND(BANCA!$E8:$E4155,2),0)))-
SUMPRODUCT((IFERROR(MONTH(BANCA!$B8:$B4155)=MONTH(F$2),FALSE))*(BANCA!$G8:$G4155="DJ EVENTI")*(IFERROR(ROUND(BANCA!$E8:$E4155,2),0)))-
SUMPRODUCT((IFERROR(MONTH(BANCA!$B8:$B4155)=MONTH(F$2),FALSE))*(BANCA!$G8:$G4155="Servizi di pulizia EVENTI")*(IFERROR(ROUND(BANCA!$E8:$E4155,2),0)))-
SUMPRODUCT((IFERROR(MONTH(BANCA!$B8:$B4155)=MONTH(F$2),FALSE))*(BANCA!$G8:$G4155="Sicurezza EVENTI")*(IFERROR(ROUND(BANCA!$E8:$E4155,2),0)))-
SUMPRODUCT((IFERROR(MONTH(BANCA!$B8:$B4155)=MONTH(F$2),FALSE))*(BANCA!$G8:$G4155="Sponsorizzate EVENTI")*(IFERROR(ROUND(BANCA!$E8:$E4155,2),0)))-
SUMPRODUCT((IFERROR(MONTH(BANCA!$B8:$B4155)=MONTH(F$2),FALSE))*(BANCA!$G8:$G4155="Foto &amp; Grafiche EVENTI")*(IFERROR(ROUND(BANCA!$E8:$E4155,2),0)))</f>
        <v>5770.6500000000005</v>
      </c>
      <c r="G62" s="299"/>
      <c r="H62" s="299" cm="1">
        <f t="array" ref="H62">SUMPRODUCT((IFERROR(MONTH(CASSA!$B7:$B3155)=MONTH(H$2),FALSE))*(CASSA!$G7:$G3155="Personale EVENTI")*(IFERROR(ROUND(CASSA!$F7:$F3155,2),0)))+
SUMPRODUCT((IFERROR(MONTH(CASSA!$B7:$B3155)=MONTH(H$2),FALSE))*(CASSA!$G7:$G3155="Servizi di pulizia EVENTI")*(IFERROR(ROUND(CASSA!$F7:$F3155,2),0)))+
SUMPRODUCT((IFERROR(MONTH(CASSA!$B7:$B3155)=MONTH(H$2),FALSE))*(CASSA!$G7:$G3155="PR EVENTI")*(IFERROR(ROUND(CASSA!$F7:$F3155,2),0)))+
SUMPRODUCT((IFERROR(MONTH(CASSA!$B7:$B3155)=MONTH(H$2),FALSE))*(CASSA!$G7:$G3155="DJ EVENTI")*(IFERROR(ROUND(CASSA!$F7:$F3155,2),0)))+
SUMPRODUCT((IFERROR(MONTH(CASSA!$B7:$B3155)=MONTH(H$2),FALSE))*(CASSA!$G7:$G3155="Sicurezza EVENTI")*(IFERROR(ROUND(CASSA!$F7:$F3155,2),0)))+
SUMPRODUCT((IFERROR(MONTH(CASSA!$B7:$B3155)=MONTH(H$2),FALSE))*(CASSA!$G7:$G3155="Sponsorizzate EVENTI")*(IFERROR(ROUND(CASSA!$F7:$F3155,2),0)))+
SUMPRODUCT((IFERROR(MONTH(CASSA!$B7:$B3155)=MONTH(H$2),FALSE))*(CASSA!$G7:$G3155="Foto &amp; Grafiche EVENTI")*(IFERROR(ROUND(CASSA!$F7:$F3155,2),0)))+
SUMPRODUCT((IFERROR(MONTH(BANCA!$B8:$B4155)=MONTH(H$2),FALSE))*(BANCA!$G8:$G4155="Personale EVENTI")*(IFERROR(ROUND(BANCA!$F8:$F4155,2),0)))+
SUMPRODUCT((IFERROR(MONTH(BANCA!$B8:$B4155)=MONTH(H$2),FALSE))*(BANCA!$G8:$G4155="PR EVENTI")*(IFERROR(ROUND(BANCA!$F8:$F4155,2),0)))+
SUMPRODUCT((IFERROR(MONTH(BANCA!$B8:$B4155)=MONTH(H$2),FALSE))*(BANCA!$G8:$G4155="DJ EVENTI")*(IFERROR(ROUND(BANCA!$F8:$F4155,2),0)))+
SUMPRODUCT((IFERROR(MONTH(BANCA!$B8:$B4155)=MONTH(H$2),FALSE))*(BANCA!$G8:$G4155="Servizi di pulizia EVENTI")*(IFERROR(ROUND(BANCA!$F8:$F4155,2),0)))+
SUMPRODUCT((IFERROR(MONTH(BANCA!$B8:$B4155)=MONTH(H$2),FALSE))*(BANCA!$G8:$G4155="Sicurezza EVENTI")*(IFERROR(ROUND(BANCA!$F8:$F4155,2),0)))+
SUMPRODUCT((IFERROR(MONTH(BANCA!$B8:$B4155)=MONTH(H$2),FALSE))*(BANCA!$G8:$G4155="Sponsorizzate EVENTI")*(IFERROR(ROUND(BANCA!$F8:$F4155,2),0)))+
SUMPRODUCT((IFERROR(MONTH(BANCA!$B8:$B4155)=MONTH(H$2),FALSE))*(BANCA!$G8:$G4155="Foto &amp; Grafiche EVENTI")*(IFERROR(ROUND(BANCA!$F8:$F4155,2),0)))-SUMPRODUCT((IFERROR(MONTH(CASSA!$B7:$B3155)=MONTH(H$2),FALSE))*(CASSA!$G7:$G3155="Personale EVENTI")*(IFERROR(ROUND(CASSA!$E7:$E3155,2),0)))-
SUMPRODUCT((IFERROR(MONTH(CASSA!$B7:$B3155)=MONTH(H$2),FALSE))*(CASSA!$G7:$G3155="Servizi di pulizia EVENTI")*(IFERROR(ROUND(CASSA!$E7:$E3155,2),0)))-
SUMPRODUCT((IFERROR(MONTH(CASSA!$B7:$B3155)=MONTH(H$2),FALSE))*(CASSA!$G7:$G3155="PR EVENTI")*(IFERROR(ROUND(CASSA!$E7:$E3155,2),0)))-
SUMPRODUCT((IFERROR(MONTH(CASSA!$B7:$B3155)=MONTH(H$2),FALSE))*(CASSA!$G7:$G3155="DJ EVENTI")*(IFERROR(ROUND(CASSA!$E7:$E3155,2),0)))-
SUMPRODUCT((IFERROR(MONTH(CASSA!$B7:$B3155)=MONTH(H$2),FALSE))*(CASSA!$G7:$G3155="Sicurezza EVENTI")*(IFERROR(ROUND(CASSA!$E7:$E3155,2),0)))-
SUMPRODUCT((IFERROR(MONTH(CASSA!$B7:$B3155)=MONTH(H$2),FALSE))*(CASSA!$G7:$G3155="Sponsorizzate EVENTI")*(IFERROR(ROUND(CASSA!$E7:$E3155,2),0)))-
SUMPRODUCT((IFERROR(MONTH(CASSA!$B7:$B3155)=MONTH(H$2),FALSE))*(CASSA!$G7:$G3155="Foto &amp; Grafiche EVENTI")*(IFERROR(ROUND(CASSA!$E7:$E3155,2),0)))-
SUMPRODUCT((IFERROR(MONTH(BANCA!$B8:$B4155)=MONTH(H$2),FALSE))*(BANCA!$G8:$G4155="Personale EVENTI")*(IFERROR(ROUND(BANCA!$E8:$E4155,2),0)))-
SUMPRODUCT((IFERROR(MONTH(BANCA!$B8:$B4155)=MONTH(H$2),FALSE))*(BANCA!$G8:$G4155="PR EVENTI")*(IFERROR(ROUND(BANCA!$E8:$E4155,2),0)))-
SUMPRODUCT((IFERROR(MONTH(BANCA!$B8:$B4155)=MONTH(H$2),FALSE))*(BANCA!$G8:$G4155="DJ EVENTI")*(IFERROR(ROUND(BANCA!$E8:$E4155,2),0)))-
SUMPRODUCT((IFERROR(MONTH(BANCA!$B8:$B4155)=MONTH(H$2),FALSE))*(BANCA!$G8:$G4155="Servizi di pulizia EVENTI")*(IFERROR(ROUND(BANCA!$E8:$E4155,2),0)))-
SUMPRODUCT((IFERROR(MONTH(BANCA!$B8:$B4155)=MONTH(H$2),FALSE))*(BANCA!$G8:$G4155="Sicurezza EVENTI")*(IFERROR(ROUND(BANCA!$E8:$E4155,2),0)))-
SUMPRODUCT((IFERROR(MONTH(BANCA!$B8:$B4155)=MONTH(H$2),FALSE))*(BANCA!$G8:$G4155="Sponsorizzate EVENTI")*(IFERROR(ROUND(BANCA!$E8:$E4155,2),0)))-
SUMPRODUCT((IFERROR(MONTH(BANCA!$B8:$B4155)=MONTH(H$2),FALSE))*(BANCA!$G8:$G4155="Foto &amp; Grafiche EVENTI")*(IFERROR(ROUND(BANCA!$E8:$E4155,2),0)))</f>
        <v>7897.7899999999991</v>
      </c>
      <c r="I62" s="299"/>
      <c r="J62" s="299" cm="1">
        <f t="array" ref="J62">SUMPRODUCT((IFERROR(MONTH(CASSA!$B7:$B3155)=MONTH(J$2),FALSE))*(CASSA!$G7:$G3155="Personale EVENTI")*(IFERROR(ROUND(CASSA!$F7:$F3155,2),0)))+
SUMPRODUCT((IFERROR(MONTH(CASSA!$B7:$B3155)=MONTH(J$2),FALSE))*(CASSA!$G7:$G3155="Servizi di pulizia EVENTI")*(IFERROR(ROUND(CASSA!$F7:$F3155,2),0)))+
SUMPRODUCT((IFERROR(MONTH(CASSA!$B7:$B3155)=MONTH(J$2),FALSE))*(CASSA!$G7:$G3155="PR EVENTI")*(IFERROR(ROUND(CASSA!$F7:$F3155,2),0)))+
SUMPRODUCT((IFERROR(MONTH(CASSA!$B7:$B3155)=MONTH(J$2),FALSE))*(CASSA!$G7:$G3155="DJ EVENTI")*(IFERROR(ROUND(CASSA!$F7:$F3155,2),0)))+
SUMPRODUCT((IFERROR(MONTH(CASSA!$B7:$B3155)=MONTH(J$2),FALSE))*(CASSA!$G7:$G3155="Sicurezza EVENTI")*(IFERROR(ROUND(CASSA!$F7:$F3155,2),0)))+
SUMPRODUCT((IFERROR(MONTH(CASSA!$B7:$B3155)=MONTH(J$2),FALSE))*(CASSA!$G7:$G3155="Sponsorizzate EVENTI")*(IFERROR(ROUND(CASSA!$F7:$F3155,2),0)))+
SUMPRODUCT((IFERROR(MONTH(CASSA!$B7:$B3155)=MONTH(J$2),FALSE))*(CASSA!$G7:$G3155="Foto &amp; Grafiche EVENTI")*(IFERROR(ROUND(CASSA!$F7:$F3155,2),0)))+
SUMPRODUCT((IFERROR(MONTH(BANCA!$B8:$B4155)=MONTH(J$2),FALSE))*(BANCA!$G8:$G4155="Personale EVENTI")*(IFERROR(ROUND(BANCA!$F8:$F4155,2),0)))+
SUMPRODUCT((IFERROR(MONTH(BANCA!$B8:$B4155)=MONTH(J$2),FALSE))*(BANCA!$G8:$G4155="PR EVENTI")*(IFERROR(ROUND(BANCA!$F8:$F4155,2),0)))+
SUMPRODUCT((IFERROR(MONTH(BANCA!$B8:$B4155)=MONTH(J$2),FALSE))*(BANCA!$G8:$G4155="DJ EVENTI")*(IFERROR(ROUND(BANCA!$F8:$F4155,2),0)))+
SUMPRODUCT((IFERROR(MONTH(BANCA!$B8:$B4155)=MONTH(J$2),FALSE))*(BANCA!$G8:$G4155="Servizi di pulizia EVENTI")*(IFERROR(ROUND(BANCA!$F8:$F4155,2),0)))+
SUMPRODUCT((IFERROR(MONTH(BANCA!$B8:$B4155)=MONTH(J$2),FALSE))*(BANCA!$G8:$G4155="Sicurezza EVENTI")*(IFERROR(ROUND(BANCA!$F8:$F4155,2),0)))+
SUMPRODUCT((IFERROR(MONTH(BANCA!$B8:$B4155)=MONTH(J$2),FALSE))*(BANCA!$G8:$G4155="Sponsorizzate EVENTI")*(IFERROR(ROUND(BANCA!$F8:$F4155,2),0)))+
SUMPRODUCT((IFERROR(MONTH(BANCA!$B8:$B4155)=MONTH(J$2),FALSE))*(BANCA!$G8:$G4155="Foto &amp; Grafiche EVENTI")*(IFERROR(ROUND(BANCA!$F8:$F4155,2),0)))-SUMPRODUCT((IFERROR(MONTH(CASSA!$B7:$B3155)=MONTH(J$2),FALSE))*(CASSA!$G7:$G3155="Personale EVENTI")*(IFERROR(ROUND(CASSA!$E7:$E3155,2),0)))-
SUMPRODUCT((IFERROR(MONTH(CASSA!$B7:$B3155)=MONTH(J$2),FALSE))*(CASSA!$G7:$G3155="Servizi di pulizia EVENTI")*(IFERROR(ROUND(CASSA!$E7:$E3155,2),0)))-
SUMPRODUCT((IFERROR(MONTH(CASSA!$B7:$B3155)=MONTH(J$2),FALSE))*(CASSA!$G7:$G3155="PR EVENTI")*(IFERROR(ROUND(CASSA!$E7:$E3155,2),0)))-
SUMPRODUCT((IFERROR(MONTH(CASSA!$B7:$B3155)=MONTH(J$2),FALSE))*(CASSA!$G7:$G3155="DJ EVENTI")*(IFERROR(ROUND(CASSA!$E7:$E3155,2),0)))-
SUMPRODUCT((IFERROR(MONTH(CASSA!$B7:$B3155)=MONTH(J$2),FALSE))*(CASSA!$G7:$G3155="Sicurezza EVENTI")*(IFERROR(ROUND(CASSA!$E7:$E3155,2),0)))-
SUMPRODUCT((IFERROR(MONTH(CASSA!$B7:$B3155)=MONTH(J$2),FALSE))*(CASSA!$G7:$G3155="Sponsorizzate EVENTI")*(IFERROR(ROUND(CASSA!$E7:$E3155,2),0)))-
SUMPRODUCT((IFERROR(MONTH(CASSA!$B7:$B3155)=MONTH(J$2),FALSE))*(CASSA!$G7:$G3155="Foto &amp; Grafiche EVENTI")*(IFERROR(ROUND(CASSA!$E7:$E3155,2),0)))-
SUMPRODUCT((IFERROR(MONTH(BANCA!$B8:$B4155)=MONTH(J$2),FALSE))*(BANCA!$G8:$G4155="Personale EVENTI")*(IFERROR(ROUND(BANCA!$E8:$E4155,2),0)))-
SUMPRODUCT((IFERROR(MONTH(BANCA!$B8:$B4155)=MONTH(J$2),FALSE))*(BANCA!$G8:$G4155="PR EVENTI")*(IFERROR(ROUND(BANCA!$E8:$E4155,2),0)))-
SUMPRODUCT((IFERROR(MONTH(BANCA!$B8:$B4155)=MONTH(J$2),FALSE))*(BANCA!$G8:$G4155="DJ EVENTI")*(IFERROR(ROUND(BANCA!$E8:$E4155,2),0)))-
SUMPRODUCT((IFERROR(MONTH(BANCA!$B8:$B4155)=MONTH(J$2),FALSE))*(BANCA!$G8:$G4155="Servizi di pulizia EVENTI")*(IFERROR(ROUND(BANCA!$E8:$E4155,2),0)))-
SUMPRODUCT((IFERROR(MONTH(BANCA!$B8:$B4155)=MONTH(J$2),FALSE))*(BANCA!$G8:$G4155="Sicurezza EVENTI")*(IFERROR(ROUND(BANCA!$E8:$E4155,2),0)))-
SUMPRODUCT((IFERROR(MONTH(BANCA!$B8:$B4155)=MONTH(J$2),FALSE))*(BANCA!$G8:$G4155="Sponsorizzate EVENTI")*(IFERROR(ROUND(BANCA!$E8:$E4155,2),0)))-
SUMPRODUCT((IFERROR(MONTH(BANCA!$B8:$B4155)=MONTH(J$2),FALSE))*(BANCA!$G8:$G4155="Foto &amp; Grafiche EVENTI")*(IFERROR(ROUND(BANCA!$E8:$E4155,2),0)))</f>
        <v>9210</v>
      </c>
      <c r="K62" s="299"/>
      <c r="L62" s="299" cm="1">
        <f t="array" ref="L62">SUMPRODUCT((IFERROR(MONTH(CASSA!$B7:$B3155)=MONTH(L$2),FALSE))*(CASSA!$G7:$G3155="Personale EVENTI")*(IFERROR(ROUND(CASSA!$F7:$F3155,2),0)))+
SUMPRODUCT((IFERROR(MONTH(CASSA!$B7:$B3155)=MONTH(L$2),FALSE))*(CASSA!$G7:$G3155="Servizi di pulizia EVENTI")*(IFERROR(ROUND(CASSA!$F7:$F3155,2),0)))+
SUMPRODUCT((IFERROR(MONTH(CASSA!$B7:$B3155)=MONTH(L$2),FALSE))*(CASSA!$G7:$G3155="PR EVENTI")*(IFERROR(ROUND(CASSA!$F7:$F3155,2),0)))+
SUMPRODUCT((IFERROR(MONTH(CASSA!$B7:$B3155)=MONTH(L$2),FALSE))*(CASSA!$G7:$G3155="DJ EVENTI")*(IFERROR(ROUND(CASSA!$F7:$F3155,2),0)))+
SUMPRODUCT((IFERROR(MONTH(CASSA!$B7:$B3155)=MONTH(L$2),FALSE))*(CASSA!$G7:$G3155="Sicurezza EVENTI")*(IFERROR(ROUND(CASSA!$F7:$F3155,2),0)))+
SUMPRODUCT((IFERROR(MONTH(CASSA!$B7:$B3155)=MONTH(L$2),FALSE))*(CASSA!$G7:$G3155="Sponsorizzate EVENTI")*(IFERROR(ROUND(CASSA!$F7:$F3155,2),0)))+
SUMPRODUCT((IFERROR(MONTH(CASSA!$B7:$B3155)=MONTH(L$2),FALSE))*(CASSA!$G7:$G3155="Foto &amp; Grafiche EVENTI")*(IFERROR(ROUND(CASSA!$F7:$F3155,2),0)))+
SUMPRODUCT((IFERROR(MONTH(BANCA!$B8:$B4155)=MONTH(L$2),FALSE))*(BANCA!$G8:$G4155="Personale EVENTI")*(IFERROR(ROUND(BANCA!$F8:$F4155,2),0)))+
SUMPRODUCT((IFERROR(MONTH(BANCA!$B8:$B4155)=MONTH(L$2),FALSE))*(BANCA!$G8:$G4155="PR EVENTI")*(IFERROR(ROUND(BANCA!$F8:$F4155,2),0)))+
SUMPRODUCT((IFERROR(MONTH(BANCA!$B8:$B4155)=MONTH(L$2),FALSE))*(BANCA!$G8:$G4155="DJ EVENTI")*(IFERROR(ROUND(BANCA!$F8:$F4155,2),0)))+
SUMPRODUCT((IFERROR(MONTH(BANCA!$B8:$B4155)=MONTH(L$2),FALSE))*(BANCA!$G8:$G4155="Servizi di pulizia EVENTI")*(IFERROR(ROUND(BANCA!$F8:$F4155,2),0)))+
SUMPRODUCT((IFERROR(MONTH(BANCA!$B8:$B4155)=MONTH(L$2),FALSE))*(BANCA!$G8:$G4155="Sicurezza EVENTI")*(IFERROR(ROUND(BANCA!$F8:$F4155,2),0)))+
SUMPRODUCT((IFERROR(MONTH(BANCA!$B8:$B4155)=MONTH(L$2),FALSE))*(BANCA!$G8:$G4155="Sponsorizzate EVENTI")*(IFERROR(ROUND(BANCA!$F8:$F4155,2),0)))+
SUMPRODUCT((IFERROR(MONTH(BANCA!$B8:$B4155)=MONTH(L$2),FALSE))*(BANCA!$G8:$G4155="Foto &amp; Grafiche EVENTI")*(IFERROR(ROUND(BANCA!$F8:$F4155,2),0)))-SUMPRODUCT((IFERROR(MONTH(CASSA!$B7:$B3155)=MONTH(L$2),FALSE))*(CASSA!$G7:$G3155="Personale EVENTI")*(IFERROR(ROUND(CASSA!$E7:$E3155,2),0)))-
SUMPRODUCT((IFERROR(MONTH(CASSA!$B7:$B3155)=MONTH(L$2),FALSE))*(CASSA!$G7:$G3155="Servizi di pulizia EVENTI")*(IFERROR(ROUND(CASSA!$E7:$E3155,2),0)))-
SUMPRODUCT((IFERROR(MONTH(CASSA!$B7:$B3155)=MONTH(L$2),FALSE))*(CASSA!$G7:$G3155="PR EVENTI")*(IFERROR(ROUND(CASSA!$E7:$E3155,2),0)))-
SUMPRODUCT((IFERROR(MONTH(CASSA!$B7:$B3155)=MONTH(L$2),FALSE))*(CASSA!$G7:$G3155="DJ EVENTI")*(IFERROR(ROUND(CASSA!$E7:$E3155,2),0)))-
SUMPRODUCT((IFERROR(MONTH(CASSA!$B7:$B3155)=MONTH(L$2),FALSE))*(CASSA!$G7:$G3155="Sicurezza EVENTI")*(IFERROR(ROUND(CASSA!$E7:$E3155,2),0)))-
SUMPRODUCT((IFERROR(MONTH(CASSA!$B7:$B3155)=MONTH(L$2),FALSE))*(CASSA!$G7:$G3155="Sponsorizzate EVENTI")*(IFERROR(ROUND(CASSA!$E7:$E3155,2),0)))-
SUMPRODUCT((IFERROR(MONTH(CASSA!$B7:$B3155)=MONTH(L$2),FALSE))*(CASSA!$G7:$G3155="Foto &amp; Grafiche EVENTI")*(IFERROR(ROUND(CASSA!$E7:$E3155,2),0)))-
SUMPRODUCT((IFERROR(MONTH(BANCA!$B8:$B4155)=MONTH(L$2),FALSE))*(BANCA!$G8:$G4155="Personale EVENTI")*(IFERROR(ROUND(BANCA!$E8:$E4155,2),0)))-
SUMPRODUCT((IFERROR(MONTH(BANCA!$B8:$B4155)=MONTH(L$2),FALSE))*(BANCA!$G8:$G4155="PR EVENTI")*(IFERROR(ROUND(BANCA!$E8:$E4155,2),0)))-
SUMPRODUCT((IFERROR(MONTH(BANCA!$B8:$B4155)=MONTH(L$2),FALSE))*(BANCA!$G8:$G4155="DJ EVENTI")*(IFERROR(ROUND(BANCA!$E8:$E4155,2),0)))-
SUMPRODUCT((IFERROR(MONTH(BANCA!$B8:$B4155)=MONTH(L$2),FALSE))*(BANCA!$G8:$G4155="Servizi di pulizia EVENTI")*(IFERROR(ROUND(BANCA!$E8:$E4155,2),0)))-
SUMPRODUCT((IFERROR(MONTH(BANCA!$B8:$B4155)=MONTH(L$2),FALSE))*(BANCA!$G8:$G4155="Sicurezza EVENTI")*(IFERROR(ROUND(BANCA!$E8:$E4155,2),0)))-
SUMPRODUCT((IFERROR(MONTH(BANCA!$B8:$B4155)=MONTH(L$2),FALSE))*(BANCA!$G8:$G4155="Sponsorizzate EVENTI")*(IFERROR(ROUND(BANCA!$E8:$E4155,2),0)))-
SUMPRODUCT((IFERROR(MONTH(BANCA!$B8:$B4155)=MONTH(L$2),FALSE))*(BANCA!$G8:$G4155="Foto &amp; Grafiche EVENTI")*(IFERROR(ROUND(BANCA!$E8:$E4155,2),0)))</f>
        <v>1721.58</v>
      </c>
      <c r="M62" s="299"/>
      <c r="N62" s="299" cm="1">
        <f t="array" ref="N62">SUMPRODUCT((IFERROR(MONTH(CASSA!$B7:$B3155)=MONTH(N$2),FALSE))*(CASSA!$G7:$G3155="Personale EVENTI")*(IFERROR(ROUND(CASSA!$F7:$F3155,2),0)))+
SUMPRODUCT((IFERROR(MONTH(CASSA!$B7:$B3155)=MONTH(N$2),FALSE))*(CASSA!$G7:$G3155="Servizi di pulizia EVENTI")*(IFERROR(ROUND(CASSA!$F7:$F3155,2),0)))+
SUMPRODUCT((IFERROR(MONTH(CASSA!$B7:$B3155)=MONTH(N$2),FALSE))*(CASSA!$G7:$G3155="PR EVENTI")*(IFERROR(ROUND(CASSA!$F7:$F3155,2),0)))+
SUMPRODUCT((IFERROR(MONTH(CASSA!$B7:$B3155)=MONTH(N$2),FALSE))*(CASSA!$G7:$G3155="DJ EVENTI")*(IFERROR(ROUND(CASSA!$F7:$F3155,2),0)))+
SUMPRODUCT((IFERROR(MONTH(CASSA!$B7:$B3155)=MONTH(N$2),FALSE))*(CASSA!$G7:$G3155="Sicurezza EVENTI")*(IFERROR(ROUND(CASSA!$F7:$F3155,2),0)))+
SUMPRODUCT((IFERROR(MONTH(CASSA!$B7:$B3155)=MONTH(N$2),FALSE))*(CASSA!$G7:$G3155="Sponsorizzate EVENTI")*(IFERROR(ROUND(CASSA!$F7:$F3155,2),0)))+
SUMPRODUCT((IFERROR(MONTH(CASSA!$B7:$B3155)=MONTH(N$2),FALSE))*(CASSA!$G7:$G3155="Foto &amp; Grafiche EVENTI")*(IFERROR(ROUND(CASSA!$F7:$F3155,2),0)))+
SUMPRODUCT((IFERROR(MONTH(BANCA!$B8:$B4155)=MONTH(N$2),FALSE))*(BANCA!$G8:$G4155="Personale EVENTI")*(IFERROR(ROUND(BANCA!$F8:$F4155,2),0)))+
SUMPRODUCT((IFERROR(MONTH(BANCA!$B8:$B4155)=MONTH(N$2),FALSE))*(BANCA!$G8:$G4155="PR EVENTI")*(IFERROR(ROUND(BANCA!$F8:$F4155,2),0)))+
SUMPRODUCT((IFERROR(MONTH(BANCA!$B8:$B4155)=MONTH(N$2),FALSE))*(BANCA!$G8:$G4155="DJ EVENTI")*(IFERROR(ROUND(BANCA!$F8:$F4155,2),0)))+
SUMPRODUCT((IFERROR(MONTH(BANCA!$B8:$B4155)=MONTH(N$2),FALSE))*(BANCA!$G8:$G4155="Servizi di pulizia EVENTI")*(IFERROR(ROUND(BANCA!$F8:$F4155,2),0)))+
SUMPRODUCT((IFERROR(MONTH(BANCA!$B8:$B4155)=MONTH(N$2),FALSE))*(BANCA!$G8:$G4155="Sicurezza EVENTI")*(IFERROR(ROUND(BANCA!$F8:$F4155,2),0)))+
SUMPRODUCT((IFERROR(MONTH(BANCA!$B8:$B4155)=MONTH(N$2),FALSE))*(BANCA!$G8:$G4155="Sponsorizzate EVENTI")*(IFERROR(ROUND(BANCA!$F8:$F4155,2),0)))+
SUMPRODUCT((IFERROR(MONTH(BANCA!$B8:$B4155)=MONTH(N$2),FALSE))*(BANCA!$G8:$G4155="Foto &amp; Grafiche EVENTI")*(IFERROR(ROUND(BANCA!$F8:$F4155,2),0)))-SUMPRODUCT((IFERROR(MONTH(CASSA!$B7:$B3155)=MONTH(N$2),FALSE))*(CASSA!$G7:$G3155="Personale EVENTI")*(IFERROR(ROUND(CASSA!$E7:$E3155,2),0)))-
SUMPRODUCT((IFERROR(MONTH(CASSA!$B7:$B3155)=MONTH(N$2),FALSE))*(CASSA!$G7:$G3155="Servizi di pulizia EVENTI")*(IFERROR(ROUND(CASSA!$E7:$E3155,2),0)))-
SUMPRODUCT((IFERROR(MONTH(CASSA!$B7:$B3155)=MONTH(N$2),FALSE))*(CASSA!$G7:$G3155="PR EVENTI")*(IFERROR(ROUND(CASSA!$E7:$E3155,2),0)))-
SUMPRODUCT((IFERROR(MONTH(CASSA!$B7:$B3155)=MONTH(N$2),FALSE))*(CASSA!$G7:$G3155="DJ EVENTI")*(IFERROR(ROUND(CASSA!$E7:$E3155,2),0)))-
SUMPRODUCT((IFERROR(MONTH(CASSA!$B7:$B3155)=MONTH(N$2),FALSE))*(CASSA!$G7:$G3155="Sicurezza EVENTI")*(IFERROR(ROUND(CASSA!$E7:$E3155,2),0)))-
SUMPRODUCT((IFERROR(MONTH(CASSA!$B7:$B3155)=MONTH(N$2),FALSE))*(CASSA!$G7:$G3155="Sponsorizzate EVENTI")*(IFERROR(ROUND(CASSA!$E7:$E3155,2),0)))-
SUMPRODUCT((IFERROR(MONTH(CASSA!$B7:$B3155)=MONTH(N$2),FALSE))*(CASSA!$G7:$G3155="Foto &amp; Grafiche EVENTI")*(IFERROR(ROUND(CASSA!$E7:$E3155,2),0)))-
SUMPRODUCT((IFERROR(MONTH(BANCA!$B8:$B4155)=MONTH(N$2),FALSE))*(BANCA!$G8:$G4155="Personale EVENTI")*(IFERROR(ROUND(BANCA!$E8:$E4155,2),0)))-
SUMPRODUCT((IFERROR(MONTH(BANCA!$B8:$B4155)=MONTH(N$2),FALSE))*(BANCA!$G8:$G4155="PR EVENTI")*(IFERROR(ROUND(BANCA!$E8:$E4155,2),0)))-
SUMPRODUCT((IFERROR(MONTH(BANCA!$B8:$B4155)=MONTH(N$2),FALSE))*(BANCA!$G8:$G4155="DJ EVENTI")*(IFERROR(ROUND(BANCA!$E8:$E4155,2),0)))-
SUMPRODUCT((IFERROR(MONTH(BANCA!$B8:$B4155)=MONTH(N$2),FALSE))*(BANCA!$G8:$G4155="Servizi di pulizia EVENTI")*(IFERROR(ROUND(BANCA!$E8:$E4155,2),0)))-
SUMPRODUCT((IFERROR(MONTH(BANCA!$B8:$B4155)=MONTH(N$2),FALSE))*(BANCA!$G8:$G4155="Sicurezza EVENTI")*(IFERROR(ROUND(BANCA!$E8:$E4155,2),0)))-
SUMPRODUCT((IFERROR(MONTH(BANCA!$B8:$B4155)=MONTH(N$2),FALSE))*(BANCA!$G8:$G4155="Sponsorizzate EVENTI")*(IFERROR(ROUND(BANCA!$E8:$E4155,2),0)))-
SUMPRODUCT((IFERROR(MONTH(BANCA!$B8:$B4155)=MONTH(N$2),FALSE))*(BANCA!$G8:$G4155="Foto &amp; Grafiche EVENTI")*(IFERROR(ROUND(BANCA!$E8:$E4155,2),0)))</f>
        <v>1528.05</v>
      </c>
      <c r="O62" s="299"/>
      <c r="P62" s="299" cm="1">
        <f t="array" ref="P62">SUMPRODUCT((IFERROR(MONTH(CASSA!$B7:$B3155)=MONTH(P$2),FALSE))*(CASSA!$G7:$G3155="Personale EVENTI")*(IFERROR(ROUND(CASSA!$F7:$F3155,2),0)))+
SUMPRODUCT((IFERROR(MONTH(CASSA!$B7:$B3155)=MONTH(P$2),FALSE))*(CASSA!$G7:$G3155="Servizi di pulizia EVENTI")*(IFERROR(ROUND(CASSA!$F7:$F3155,2),0)))+
SUMPRODUCT((IFERROR(MONTH(CASSA!$B7:$B3155)=MONTH(P$2),FALSE))*(CASSA!$G7:$G3155="PR EVENTI")*(IFERROR(ROUND(CASSA!$F7:$F3155,2),0)))+
SUMPRODUCT((IFERROR(MONTH(CASSA!$B7:$B3155)=MONTH(P$2),FALSE))*(CASSA!$G7:$G3155="DJ EVENTI")*(IFERROR(ROUND(CASSA!$F7:$F3155,2),0)))+
SUMPRODUCT((IFERROR(MONTH(CASSA!$B7:$B3155)=MONTH(P$2),FALSE))*(CASSA!$G7:$G3155="Sicurezza EVENTI")*(IFERROR(ROUND(CASSA!$F7:$F3155,2),0)))+
SUMPRODUCT((IFERROR(MONTH(CASSA!$B7:$B3155)=MONTH(P$2),FALSE))*(CASSA!$G7:$G3155="Sponsorizzate EVENTI")*(IFERROR(ROUND(CASSA!$F7:$F3155,2),0)))+
SUMPRODUCT((IFERROR(MONTH(CASSA!$B7:$B3155)=MONTH(P$2),FALSE))*(CASSA!$G7:$G3155="Foto &amp; Grafiche EVENTI")*(IFERROR(ROUND(CASSA!$F7:$F3155,2),0)))+
SUMPRODUCT((IFERROR(MONTH(BANCA!$B8:$B4155)=MONTH(P$2),FALSE))*(BANCA!$G8:$G4155="Personale EVENTI")*(IFERROR(ROUND(BANCA!$F8:$F4155,2),0)))+
SUMPRODUCT((IFERROR(MONTH(BANCA!$B8:$B4155)=MONTH(P$2),FALSE))*(BANCA!$G8:$G4155="PR EVENTI")*(IFERROR(ROUND(BANCA!$F8:$F4155,2),0)))+
SUMPRODUCT((IFERROR(MONTH(BANCA!$B8:$B4155)=MONTH(P$2),FALSE))*(BANCA!$G8:$G4155="DJ EVENTI")*(IFERROR(ROUND(BANCA!$F8:$F4155,2),0)))+
SUMPRODUCT((IFERROR(MONTH(BANCA!$B8:$B4155)=MONTH(P$2),FALSE))*(BANCA!$G8:$G4155="Servizi di pulizia EVENTI")*(IFERROR(ROUND(BANCA!$F8:$F4155,2),0)))+
SUMPRODUCT((IFERROR(MONTH(BANCA!$B8:$B4155)=MONTH(P$2),FALSE))*(BANCA!$G8:$G4155="Sicurezza EVENTI")*(IFERROR(ROUND(BANCA!$F8:$F4155,2),0)))+
SUMPRODUCT((IFERROR(MONTH(BANCA!$B8:$B4155)=MONTH(P$2),FALSE))*(BANCA!$G8:$G4155="Sponsorizzate EVENTI")*(IFERROR(ROUND(BANCA!$F8:$F4155,2),0)))+
SUMPRODUCT((IFERROR(MONTH(BANCA!$B8:$B4155)=MONTH(P$2),FALSE))*(BANCA!$G8:$G4155="Foto &amp; Grafiche EVENTI")*(IFERROR(ROUND(BANCA!$F8:$F4155,2),0)))-SUMPRODUCT((IFERROR(MONTH(CASSA!$B7:$B3155)=MONTH(P$2),FALSE))*(CASSA!$G7:$G3155="Personale EVENTI")*(IFERROR(ROUND(CASSA!$E7:$E3155,2),0)))-
SUMPRODUCT((IFERROR(MONTH(CASSA!$B7:$B3155)=MONTH(P$2),FALSE))*(CASSA!$G7:$G3155="Servizi di pulizia EVENTI")*(IFERROR(ROUND(CASSA!$E7:$E3155,2),0)))-
SUMPRODUCT((IFERROR(MONTH(CASSA!$B7:$B3155)=MONTH(P$2),FALSE))*(CASSA!$G7:$G3155="PR EVENTI")*(IFERROR(ROUND(CASSA!$E7:$E3155,2),0)))-
SUMPRODUCT((IFERROR(MONTH(CASSA!$B7:$B3155)=MONTH(P$2),FALSE))*(CASSA!$G7:$G3155="DJ EVENTI")*(IFERROR(ROUND(CASSA!$E7:$E3155,2),0)))-
SUMPRODUCT((IFERROR(MONTH(CASSA!$B7:$B3155)=MONTH(P$2),FALSE))*(CASSA!$G7:$G3155="Sicurezza EVENTI")*(IFERROR(ROUND(CASSA!$E7:$E3155,2),0)))-
SUMPRODUCT((IFERROR(MONTH(CASSA!$B7:$B3155)=MONTH(P$2),FALSE))*(CASSA!$G7:$G3155="Sponsorizzate EVENTI")*(IFERROR(ROUND(CASSA!$E7:$E3155,2),0)))-
SUMPRODUCT((IFERROR(MONTH(CASSA!$B7:$B3155)=MONTH(P$2),FALSE))*(CASSA!$G7:$G3155="Foto &amp; Grafiche EVENTI")*(IFERROR(ROUND(CASSA!$E7:$E3155,2),0)))-
SUMPRODUCT((IFERROR(MONTH(BANCA!$B8:$B4155)=MONTH(P$2),FALSE))*(BANCA!$G8:$G4155="Personale EVENTI")*(IFERROR(ROUND(BANCA!$E8:$E4155,2),0)))-
SUMPRODUCT((IFERROR(MONTH(BANCA!$B8:$B4155)=MONTH(P$2),FALSE))*(BANCA!$G8:$G4155="PR EVENTI")*(IFERROR(ROUND(BANCA!$E8:$E4155,2),0)))-
SUMPRODUCT((IFERROR(MONTH(BANCA!$B8:$B4155)=MONTH(P$2),FALSE))*(BANCA!$G8:$G4155="DJ EVENTI")*(IFERROR(ROUND(BANCA!$E8:$E4155,2),0)))-
SUMPRODUCT((IFERROR(MONTH(BANCA!$B8:$B4155)=MONTH(P$2),FALSE))*(BANCA!$G8:$G4155="Servizi di pulizia EVENTI")*(IFERROR(ROUND(BANCA!$E8:$E4155,2),0)))-
SUMPRODUCT((IFERROR(MONTH(BANCA!$B8:$B4155)=MONTH(P$2),FALSE))*(BANCA!$G8:$G4155="Sicurezza EVENTI")*(IFERROR(ROUND(BANCA!$E8:$E4155,2),0)))-
SUMPRODUCT((IFERROR(MONTH(BANCA!$B8:$B4155)=MONTH(P$2),FALSE))*(BANCA!$G8:$G4155="Sponsorizzate EVENTI")*(IFERROR(ROUND(BANCA!$E8:$E4155,2),0)))-
SUMPRODUCT((IFERROR(MONTH(BANCA!$B8:$B4155)=MONTH(P$2),FALSE))*(BANCA!$G8:$G4155="Foto &amp; Grafiche EVENTI")*(IFERROR(ROUND(BANCA!$E8:$E4155,2),0)))</f>
        <v>1375.8</v>
      </c>
      <c r="Q62" s="299"/>
      <c r="R62" s="299" cm="1">
        <f t="array" ref="R62">SUMPRODUCT((IFERROR(MONTH(CASSA!$B7:$B3155)=MONTH(R$2),FALSE))*(CASSA!$G7:$G3155="Personale EVENTI")*(IFERROR(ROUND(CASSA!$F7:$F3155,2),0)))+
SUMPRODUCT((IFERROR(MONTH(CASSA!$B7:$B3155)=MONTH(R$2),FALSE))*(CASSA!$G7:$G3155="Servizi di pulizia EVENTI")*(IFERROR(ROUND(CASSA!$F7:$F3155,2),0)))+
SUMPRODUCT((IFERROR(MONTH(CASSA!$B7:$B3155)=MONTH(R$2),FALSE))*(CASSA!$G7:$G3155="PR EVENTI")*(IFERROR(ROUND(CASSA!$F7:$F3155,2),0)))+
SUMPRODUCT((IFERROR(MONTH(CASSA!$B7:$B3155)=MONTH(R$2),FALSE))*(CASSA!$G7:$G3155="DJ EVENTI")*(IFERROR(ROUND(CASSA!$F7:$F3155,2),0)))+
SUMPRODUCT((IFERROR(MONTH(CASSA!$B7:$B3155)=MONTH(R$2),FALSE))*(CASSA!$G7:$G3155="Sicurezza EVENTI")*(IFERROR(ROUND(CASSA!$F7:$F3155,2),0)))+
SUMPRODUCT((IFERROR(MONTH(CASSA!$B7:$B3155)=MONTH(R$2),FALSE))*(CASSA!$G7:$G3155="Sponsorizzate EVENTI")*(IFERROR(ROUND(CASSA!$F7:$F3155,2),0)))+
SUMPRODUCT((IFERROR(MONTH(CASSA!$B7:$B3155)=MONTH(R$2),FALSE))*(CASSA!$G7:$G3155="Foto &amp; Grafiche EVENTI")*(IFERROR(ROUND(CASSA!$F7:$F3155,2),0)))+
SUMPRODUCT((IFERROR(MONTH(BANCA!$B8:$B4155)=MONTH(R$2),FALSE))*(BANCA!$G8:$G4155="Personale EVENTI")*(IFERROR(ROUND(BANCA!$F8:$F4155,2),0)))+
SUMPRODUCT((IFERROR(MONTH(BANCA!$B8:$B4155)=MONTH(R$2),FALSE))*(BANCA!$G8:$G4155="PR EVENTI")*(IFERROR(ROUND(BANCA!$F8:$F4155,2),0)))+
SUMPRODUCT((IFERROR(MONTH(BANCA!$B8:$B4155)=MONTH(R$2),FALSE))*(BANCA!$G8:$G4155="DJ EVENTI")*(IFERROR(ROUND(BANCA!$F8:$F4155,2),0)))+
SUMPRODUCT((IFERROR(MONTH(BANCA!$B8:$B4155)=MONTH(R$2),FALSE))*(BANCA!$G8:$G4155="Servizi di pulizia EVENTI")*(IFERROR(ROUND(BANCA!$F8:$F4155,2),0)))+
SUMPRODUCT((IFERROR(MONTH(BANCA!$B8:$B4155)=MONTH(R$2),FALSE))*(BANCA!$G8:$G4155="Sicurezza EVENTI")*(IFERROR(ROUND(BANCA!$F8:$F4155,2),0)))+
SUMPRODUCT((IFERROR(MONTH(BANCA!$B8:$B4155)=MONTH(R$2),FALSE))*(BANCA!$G8:$G4155="Sponsorizzate EVENTI")*(IFERROR(ROUND(BANCA!$F8:$F4155,2),0)))+
SUMPRODUCT((IFERROR(MONTH(BANCA!$B8:$B4155)=MONTH(R$2),FALSE))*(BANCA!$G8:$G4155="Foto &amp; Grafiche EVENTI")*(IFERROR(ROUND(BANCA!$F8:$F4155,2),0)))-SUMPRODUCT((IFERROR(MONTH(CASSA!$B7:$B3155)=MONTH(R$2),FALSE))*(CASSA!$G7:$G3155="Personale EVENTI")*(IFERROR(ROUND(CASSA!$E7:$E3155,2),0)))-
SUMPRODUCT((IFERROR(MONTH(CASSA!$B7:$B3155)=MONTH(R$2),FALSE))*(CASSA!$G7:$G3155="Servizi di pulizia EVENTI")*(IFERROR(ROUND(CASSA!$E7:$E3155,2),0)))-
SUMPRODUCT((IFERROR(MONTH(CASSA!$B7:$B3155)=MONTH(R$2),FALSE))*(CASSA!$G7:$G3155="PR EVENTI")*(IFERROR(ROUND(CASSA!$E7:$E3155,2),0)))-
SUMPRODUCT((IFERROR(MONTH(CASSA!$B7:$B3155)=MONTH(R$2),FALSE))*(CASSA!$G7:$G3155="DJ EVENTI")*(IFERROR(ROUND(CASSA!$E7:$E3155,2),0)))-
SUMPRODUCT((IFERROR(MONTH(CASSA!$B7:$B3155)=MONTH(R$2),FALSE))*(CASSA!$G7:$G3155="Sicurezza EVENTI")*(IFERROR(ROUND(CASSA!$E7:$E3155,2),0)))-
SUMPRODUCT((IFERROR(MONTH(CASSA!$B7:$B3155)=MONTH(R$2),FALSE))*(CASSA!$G7:$G3155="Sponsorizzate EVENTI")*(IFERROR(ROUND(CASSA!$E7:$E3155,2),0)))-
SUMPRODUCT((IFERROR(MONTH(CASSA!$B7:$B3155)=MONTH(R$2),FALSE))*(CASSA!$G7:$G3155="Foto &amp; Grafiche EVENTI")*(IFERROR(ROUND(CASSA!$E7:$E3155,2),0)))-
SUMPRODUCT((IFERROR(MONTH(BANCA!$B8:$B4155)=MONTH(R$2),FALSE))*(BANCA!$G8:$G4155="Personale EVENTI")*(IFERROR(ROUND(BANCA!$E8:$E4155,2),0)))-
SUMPRODUCT((IFERROR(MONTH(BANCA!$B8:$B4155)=MONTH(R$2),FALSE))*(BANCA!$G8:$G4155="PR EVENTI")*(IFERROR(ROUND(BANCA!$E8:$E4155,2),0)))-
SUMPRODUCT((IFERROR(MONTH(BANCA!$B8:$B4155)=MONTH(R$2),FALSE))*(BANCA!$G8:$G4155="DJ EVENTI")*(IFERROR(ROUND(BANCA!$E8:$E4155,2),0)))-
SUMPRODUCT((IFERROR(MONTH(BANCA!$B8:$B4155)=MONTH(R$2),FALSE))*(BANCA!$G8:$G4155="Servizi di pulizia EVENTI")*(IFERROR(ROUND(BANCA!$E8:$E4155,2),0)))-
SUMPRODUCT((IFERROR(MONTH(BANCA!$B8:$B4155)=MONTH(R$2),FALSE))*(BANCA!$G8:$G4155="Sicurezza EVENTI")*(IFERROR(ROUND(BANCA!$E8:$E4155,2),0)))-
SUMPRODUCT((IFERROR(MONTH(BANCA!$B8:$B4155)=MONTH(R$2),FALSE))*(BANCA!$G8:$G4155="Sponsorizzate EVENTI")*(IFERROR(ROUND(BANCA!$E8:$E4155,2),0)))-
SUMPRODUCT((IFERROR(MONTH(BANCA!$B8:$B4155)=MONTH(R$2),FALSE))*(BANCA!$G8:$G4155="Foto &amp; Grafiche EVENTI")*(IFERROR(ROUND(BANCA!$E8:$E4155,2),0)))</f>
        <v>1473.74</v>
      </c>
      <c r="S62" s="299"/>
      <c r="T62" s="299" cm="1">
        <f t="array" ref="T62">SUMPRODUCT((IFERROR(MONTH(CASSA!$B7:$B3155)=MONTH(T$2),FALSE))*(CASSA!$G7:$G3155="Personale EVENTI")*(IFERROR(ROUND(CASSA!$F7:$F3155,2),0)))+
SUMPRODUCT((IFERROR(MONTH(CASSA!$B7:$B3155)=MONTH(T$2),FALSE))*(CASSA!$G7:$G3155="Servizi di pulizia EVENTI")*(IFERROR(ROUND(CASSA!$F7:$F3155,2),0)))+
SUMPRODUCT((IFERROR(MONTH(CASSA!$B7:$B3155)=MONTH(T$2),FALSE))*(CASSA!$G7:$G3155="PR EVENTI")*(IFERROR(ROUND(CASSA!$F7:$F3155,2),0)))+
SUMPRODUCT((IFERROR(MONTH(CASSA!$B7:$B3155)=MONTH(T$2),FALSE))*(CASSA!$G7:$G3155="DJ EVENTI")*(IFERROR(ROUND(CASSA!$F7:$F3155,2),0)))+
SUMPRODUCT((IFERROR(MONTH(CASSA!$B7:$B3155)=MONTH(T$2),FALSE))*(CASSA!$G7:$G3155="Sicurezza EVENTI")*(IFERROR(ROUND(CASSA!$F7:$F3155,2),0)))+
SUMPRODUCT((IFERROR(MONTH(CASSA!$B7:$B3155)=MONTH(T$2),FALSE))*(CASSA!$G7:$G3155="Sponsorizzate EVENTI")*(IFERROR(ROUND(CASSA!$F7:$F3155,2),0)))+
SUMPRODUCT((IFERROR(MONTH(CASSA!$B7:$B3155)=MONTH(T$2),FALSE))*(CASSA!$G7:$G3155="Foto &amp; Grafiche EVENTI")*(IFERROR(ROUND(CASSA!$F7:$F3155,2),0)))+
SUMPRODUCT((IFERROR(MONTH(BANCA!$B8:$B4155)=MONTH(T$2),FALSE))*(BANCA!$G8:$G4155="Personale EVENTI")*(IFERROR(ROUND(BANCA!$F8:$F4155,2),0)))+
SUMPRODUCT((IFERROR(MONTH(BANCA!$B8:$B4155)=MONTH(T$2),FALSE))*(BANCA!$G8:$G4155="PR EVENTI")*(IFERROR(ROUND(BANCA!$F8:$F4155,2),0)))+
SUMPRODUCT((IFERROR(MONTH(BANCA!$B8:$B4155)=MONTH(T$2),FALSE))*(BANCA!$G8:$G4155="DJ EVENTI")*(IFERROR(ROUND(BANCA!$F8:$F4155,2),0)))+
SUMPRODUCT((IFERROR(MONTH(BANCA!$B8:$B4155)=MONTH(T$2),FALSE))*(BANCA!$G8:$G4155="Servizi di pulizia EVENTI")*(IFERROR(ROUND(BANCA!$F8:$F4155,2),0)))+
SUMPRODUCT((IFERROR(MONTH(BANCA!$B8:$B4155)=MONTH(T$2),FALSE))*(BANCA!$G8:$G4155="Sicurezza EVENTI")*(IFERROR(ROUND(BANCA!$F8:$F4155,2),0)))+
SUMPRODUCT((IFERROR(MONTH(BANCA!$B8:$B4155)=MONTH(T$2),FALSE))*(BANCA!$G8:$G4155="Sponsorizzate EVENTI")*(IFERROR(ROUND(BANCA!$F8:$F4155,2),0)))+
SUMPRODUCT((IFERROR(MONTH(BANCA!$B8:$B4155)=MONTH(T$2),FALSE))*(BANCA!$G8:$G4155="Foto &amp; Grafiche EVENTI")*(IFERROR(ROUND(BANCA!$F8:$F4155,2),0)))-SUMPRODUCT((IFERROR(MONTH(CASSA!$B7:$B3155)=MONTH(T$2),FALSE))*(CASSA!$G7:$G3155="Personale EVENTI")*(IFERROR(ROUND(CASSA!$E7:$E3155,2),0)))-
SUMPRODUCT((IFERROR(MONTH(CASSA!$B7:$B3155)=MONTH(T$2),FALSE))*(CASSA!$G7:$G3155="Servizi di pulizia EVENTI")*(IFERROR(ROUND(CASSA!$E7:$E3155,2),0)))-
SUMPRODUCT((IFERROR(MONTH(CASSA!$B7:$B3155)=MONTH(T$2),FALSE))*(CASSA!$G7:$G3155="PR EVENTI")*(IFERROR(ROUND(CASSA!$E7:$E3155,2),0)))-
SUMPRODUCT((IFERROR(MONTH(CASSA!$B7:$B3155)=MONTH(T$2),FALSE))*(CASSA!$G7:$G3155="DJ EVENTI")*(IFERROR(ROUND(CASSA!$E7:$E3155,2),0)))-
SUMPRODUCT((IFERROR(MONTH(CASSA!$B7:$B3155)=MONTH(T$2),FALSE))*(CASSA!$G7:$G3155="Sicurezza EVENTI")*(IFERROR(ROUND(CASSA!$E7:$E3155,2),0)))-
SUMPRODUCT((IFERROR(MONTH(CASSA!$B7:$B3155)=MONTH(T$2),FALSE))*(CASSA!$G7:$G3155="Sponsorizzate EVENTI")*(IFERROR(ROUND(CASSA!$E7:$E3155,2),0)))-
SUMPRODUCT((IFERROR(MONTH(CASSA!$B7:$B3155)=MONTH(T$2),FALSE))*(CASSA!$G7:$G3155="Foto &amp; Grafiche EVENTI")*(IFERROR(ROUND(CASSA!$E7:$E3155,2),0)))-
SUMPRODUCT((IFERROR(MONTH(BANCA!$B8:$B4155)=MONTH(T$2),FALSE))*(BANCA!$G8:$G4155="Personale EVENTI")*(IFERROR(ROUND(BANCA!$E8:$E4155,2),0)))-
SUMPRODUCT((IFERROR(MONTH(BANCA!$B8:$B4155)=MONTH(T$2),FALSE))*(BANCA!$G8:$G4155="PR EVENTI")*(IFERROR(ROUND(BANCA!$E8:$E4155,2),0)))-
SUMPRODUCT((IFERROR(MONTH(BANCA!$B8:$B4155)=MONTH(T$2),FALSE))*(BANCA!$G8:$G4155="DJ EVENTI")*(IFERROR(ROUND(BANCA!$E8:$E4155,2),0)))-
SUMPRODUCT((IFERROR(MONTH(BANCA!$B8:$B4155)=MONTH(T$2),FALSE))*(BANCA!$G8:$G4155="Servizi di pulizia EVENTI")*(IFERROR(ROUND(BANCA!$E8:$E4155,2),0)))-
SUMPRODUCT((IFERROR(MONTH(BANCA!$B8:$B4155)=MONTH(T$2),FALSE))*(BANCA!$G8:$G4155="Sicurezza EVENTI")*(IFERROR(ROUND(BANCA!$E8:$E4155,2),0)))-
SUMPRODUCT((IFERROR(MONTH(BANCA!$B8:$B4155)=MONTH(T$2),FALSE))*(BANCA!$G8:$G4155="Sponsorizzate EVENTI")*(IFERROR(ROUND(BANCA!$E8:$E4155,2),0)))-
SUMPRODUCT((IFERROR(MONTH(BANCA!$B8:$B4155)=MONTH(T$2),FALSE))*(BANCA!$G8:$G4155="Foto &amp; Grafiche EVENTI")*(IFERROR(ROUND(BANCA!$E8:$E4155,2),0)))</f>
        <v>672.15</v>
      </c>
      <c r="U62" s="299"/>
      <c r="V62" s="299" cm="1">
        <f t="array" ref="V62">SUMPRODUCT((IFERROR(MONTH(CASSA!$B7:$B3155)=MONTH(V$2),FALSE))*(CASSA!$G7:$G3155="Personale EVENTI")*(IFERROR(ROUND(CASSA!$F7:$F3155,2),0)))+
SUMPRODUCT((IFERROR(MONTH(CASSA!$B7:$B3155)=MONTH(V$2),FALSE))*(CASSA!$G7:$G3155="Servizi di pulizia EVENTI")*(IFERROR(ROUND(CASSA!$F7:$F3155,2),0)))+
SUMPRODUCT((IFERROR(MONTH(CASSA!$B7:$B3155)=MONTH(V$2),FALSE))*(CASSA!$G7:$G3155="PR EVENTI")*(IFERROR(ROUND(CASSA!$F7:$F3155,2),0)))+
SUMPRODUCT((IFERROR(MONTH(CASSA!$B7:$B3155)=MONTH(V$2),FALSE))*(CASSA!$G7:$G3155="DJ EVENTI")*(IFERROR(ROUND(CASSA!$F7:$F3155,2),0)))+
SUMPRODUCT((IFERROR(MONTH(CASSA!$B7:$B3155)=MONTH(V$2),FALSE))*(CASSA!$G7:$G3155="Sicurezza EVENTI")*(IFERROR(ROUND(CASSA!$F7:$F3155,2),0)))+
SUMPRODUCT((IFERROR(MONTH(CASSA!$B7:$B3155)=MONTH(V$2),FALSE))*(CASSA!$G7:$G3155="Sponsorizzate EVENTI")*(IFERROR(ROUND(CASSA!$F7:$F3155,2),0)))+
SUMPRODUCT((IFERROR(MONTH(CASSA!$B7:$B3155)=MONTH(V$2),FALSE))*(CASSA!$G7:$G3155="Foto &amp; Grafiche EVENTI")*(IFERROR(ROUND(CASSA!$F7:$F3155,2),0)))+
SUMPRODUCT((IFERROR(MONTH(BANCA!$B8:$B4155)=MONTH(V$2),FALSE))*(BANCA!$G8:$G4155="Personale EVENTI")*(IFERROR(ROUND(BANCA!$F8:$F4155,2),0)))+
SUMPRODUCT((IFERROR(MONTH(BANCA!$B8:$B4155)=MONTH(V$2),FALSE))*(BANCA!$G8:$G4155="PR EVENTI")*(IFERROR(ROUND(BANCA!$F8:$F4155,2),0)))+
SUMPRODUCT((IFERROR(MONTH(BANCA!$B8:$B4155)=MONTH(V$2),FALSE))*(BANCA!$G8:$G4155="DJ EVENTI")*(IFERROR(ROUND(BANCA!$F8:$F4155,2),0)))+
SUMPRODUCT((IFERROR(MONTH(BANCA!$B8:$B4155)=MONTH(V$2),FALSE))*(BANCA!$G8:$G4155="Servizi di pulizia EVENTI")*(IFERROR(ROUND(BANCA!$F8:$F4155,2),0)))+
SUMPRODUCT((IFERROR(MONTH(BANCA!$B8:$B4155)=MONTH(V$2),FALSE))*(BANCA!$G8:$G4155="Sicurezza EVENTI")*(IFERROR(ROUND(BANCA!$F8:$F4155,2),0)))+
SUMPRODUCT((IFERROR(MONTH(BANCA!$B8:$B4155)=MONTH(V$2),FALSE))*(BANCA!$G8:$G4155="Sponsorizzate EVENTI")*(IFERROR(ROUND(BANCA!$F8:$F4155,2),0)))+
SUMPRODUCT((IFERROR(MONTH(BANCA!$B8:$B4155)=MONTH(V$2),FALSE))*(BANCA!$G8:$G4155="Foto &amp; Grafiche EVENTI")*(IFERROR(ROUND(BANCA!$F8:$F4155,2),0)))-SUMPRODUCT((IFERROR(MONTH(CASSA!$B7:$B3155)=MONTH(V$2),FALSE))*(CASSA!$G7:$G3155="Personale EVENTI")*(IFERROR(ROUND(CASSA!$E7:$E3155,2),0)))-
SUMPRODUCT((IFERROR(MONTH(CASSA!$B7:$B3155)=MONTH(V$2),FALSE))*(CASSA!$G7:$G3155="Servizi di pulizia EVENTI")*(IFERROR(ROUND(CASSA!$E7:$E3155,2),0)))-
SUMPRODUCT((IFERROR(MONTH(CASSA!$B7:$B3155)=MONTH(V$2),FALSE))*(CASSA!$G7:$G3155="PR EVENTI")*(IFERROR(ROUND(CASSA!$E7:$E3155,2),0)))-
SUMPRODUCT((IFERROR(MONTH(CASSA!$B7:$B3155)=MONTH(V$2),FALSE))*(CASSA!$G7:$G3155="DJ EVENTI")*(IFERROR(ROUND(CASSA!$E7:$E3155,2),0)))-
SUMPRODUCT((IFERROR(MONTH(CASSA!$B7:$B3155)=MONTH(V$2),FALSE))*(CASSA!$G7:$G3155="Sicurezza EVENTI")*(IFERROR(ROUND(CASSA!$E7:$E3155,2),0)))-
SUMPRODUCT((IFERROR(MONTH(CASSA!$B7:$B3155)=MONTH(V$2),FALSE))*(CASSA!$G7:$G3155="Sponsorizzate EVENTI")*(IFERROR(ROUND(CASSA!$E7:$E3155,2),0)))-
SUMPRODUCT((IFERROR(MONTH(CASSA!$B7:$B3155)=MONTH(V$2),FALSE))*(CASSA!$G7:$G3155="Foto &amp; Grafiche EVENTI")*(IFERROR(ROUND(CASSA!$E7:$E3155,2),0)))-
SUMPRODUCT((IFERROR(MONTH(BANCA!$B8:$B4155)=MONTH(V$2),FALSE))*(BANCA!$G8:$G4155="Personale EVENTI")*(IFERROR(ROUND(BANCA!$E8:$E4155,2),0)))-
SUMPRODUCT((IFERROR(MONTH(BANCA!$B8:$B4155)=MONTH(V$2),FALSE))*(BANCA!$G8:$G4155="PR EVENTI")*(IFERROR(ROUND(BANCA!$E8:$E4155,2),0)))-
SUMPRODUCT((IFERROR(MONTH(BANCA!$B8:$B4155)=MONTH(V$2),FALSE))*(BANCA!$G8:$G4155="DJ EVENTI")*(IFERROR(ROUND(BANCA!$E8:$E4155,2),0)))-
SUMPRODUCT((IFERROR(MONTH(BANCA!$B8:$B4155)=MONTH(V$2),FALSE))*(BANCA!$G8:$G4155="Servizi di pulizia EVENTI")*(IFERROR(ROUND(BANCA!$E8:$E4155,2),0)))-
SUMPRODUCT((IFERROR(MONTH(BANCA!$B8:$B4155)=MONTH(V$2),FALSE))*(BANCA!$G8:$G4155="Sicurezza EVENTI")*(IFERROR(ROUND(BANCA!$E8:$E4155,2),0)))-
SUMPRODUCT((IFERROR(MONTH(BANCA!$B8:$B4155)=MONTH(V$2),FALSE))*(BANCA!$G8:$G4155="Sponsorizzate EVENTI")*(IFERROR(ROUND(BANCA!$E8:$E4155,2),0)))-
SUMPRODUCT((IFERROR(MONTH(BANCA!$B8:$B4155)=MONTH(V$2),FALSE))*(BANCA!$G8:$G4155="Foto &amp; Grafiche EVENTI")*(IFERROR(ROUND(BANCA!$E8:$E4155,2),0)))</f>
        <v>4850.38</v>
      </c>
      <c r="W62" s="299"/>
      <c r="X62" s="299" cm="1">
        <f t="array" ref="X62">SUMPRODUCT((IFERROR(MONTH(CASSA!$B7:$B3155)=MONTH(X$2),FALSE))*(CASSA!$G7:$G3155="Personale EVENTI")*(IFERROR(ROUND(CASSA!$F7:$F3155,2),0)))+
SUMPRODUCT((IFERROR(MONTH(CASSA!$B7:$B3155)=MONTH(X$2),FALSE))*(CASSA!$G7:$G3155="Servizi di pulizia EVENTI")*(IFERROR(ROUND(CASSA!$F7:$F3155,2),0)))+
SUMPRODUCT((IFERROR(MONTH(CASSA!$B7:$B3155)=MONTH(X$2),FALSE))*(CASSA!$G7:$G3155="PR EVENTI")*(IFERROR(ROUND(CASSA!$F7:$F3155,2),0)))+
SUMPRODUCT((IFERROR(MONTH(CASSA!$B7:$B3155)=MONTH(X$2),FALSE))*(CASSA!$G7:$G3155="DJ EVENTI")*(IFERROR(ROUND(CASSA!$F7:$F3155,2),0)))+
SUMPRODUCT((IFERROR(MONTH(CASSA!$B7:$B3155)=MONTH(X$2),FALSE))*(CASSA!$G7:$G3155="Sicurezza EVENTI")*(IFERROR(ROUND(CASSA!$F7:$F3155,2),0)))+
SUMPRODUCT((IFERROR(MONTH(CASSA!$B7:$B3155)=MONTH(X$2),FALSE))*(CASSA!$G7:$G3155="Sponsorizzate EVENTI")*(IFERROR(ROUND(CASSA!$F7:$F3155,2),0)))+
SUMPRODUCT((IFERROR(MONTH(CASSA!$B7:$B3155)=MONTH(X$2),FALSE))*(CASSA!$G7:$G3155="Foto &amp; Grafiche EVENTI")*(IFERROR(ROUND(CASSA!$F7:$F3155,2),0)))+
SUMPRODUCT((IFERROR(MONTH(BANCA!$B8:$B4155)=MONTH(X$2),FALSE))*(BANCA!$G8:$G4155="Personale EVENTI")*(IFERROR(ROUND(BANCA!$F8:$F4155,2),0)))+
SUMPRODUCT((IFERROR(MONTH(BANCA!$B8:$B4155)=MONTH(X$2),FALSE))*(BANCA!$G8:$G4155="PR EVENTI")*(IFERROR(ROUND(BANCA!$F8:$F4155,2),0)))+
SUMPRODUCT((IFERROR(MONTH(BANCA!$B8:$B4155)=MONTH(X$2),FALSE))*(BANCA!$G8:$G4155="DJ EVENTI")*(IFERROR(ROUND(BANCA!$F8:$F4155,2),0)))+
SUMPRODUCT((IFERROR(MONTH(BANCA!$B8:$B4155)=MONTH(X$2),FALSE))*(BANCA!$G8:$G4155="Servizi di pulizia EVENTI")*(IFERROR(ROUND(BANCA!$F8:$F4155,2),0)))+
SUMPRODUCT((IFERROR(MONTH(BANCA!$B8:$B4155)=MONTH(X$2),FALSE))*(BANCA!$G8:$G4155="Sicurezza EVENTI")*(IFERROR(ROUND(BANCA!$F8:$F4155,2),0)))+
SUMPRODUCT((IFERROR(MONTH(BANCA!$B8:$B4155)=MONTH(X$2),FALSE))*(BANCA!$G8:$G4155="Sponsorizzate EVENTI")*(IFERROR(ROUND(BANCA!$F8:$F4155,2),0)))+
SUMPRODUCT((IFERROR(MONTH(BANCA!$B8:$B4155)=MONTH(X$2),FALSE))*(BANCA!$G8:$G4155="Foto &amp; Grafiche EVENTI")*(IFERROR(ROUND(BANCA!$F8:$F4155,2),0)))-SUMPRODUCT((IFERROR(MONTH(CASSA!$B7:$B3155)=MONTH(X$2),FALSE))*(CASSA!$G7:$G3155="Personale EVENTI")*(IFERROR(ROUND(CASSA!$E7:$E3155,2),0)))-
SUMPRODUCT((IFERROR(MONTH(CASSA!$B7:$B3155)=MONTH(X$2),FALSE))*(CASSA!$G7:$G3155="Servizi di pulizia EVENTI")*(IFERROR(ROUND(CASSA!$E7:$E3155,2),0)))-
SUMPRODUCT((IFERROR(MONTH(CASSA!$B7:$B3155)=MONTH(X$2),FALSE))*(CASSA!$G7:$G3155="PR EVENTI")*(IFERROR(ROUND(CASSA!$E7:$E3155,2),0)))-
SUMPRODUCT((IFERROR(MONTH(CASSA!$B7:$B3155)=MONTH(X$2),FALSE))*(CASSA!$G7:$G3155="DJ EVENTI")*(IFERROR(ROUND(CASSA!$E7:$E3155,2),0)))-
SUMPRODUCT((IFERROR(MONTH(CASSA!$B7:$B3155)=MONTH(X$2),FALSE))*(CASSA!$G7:$G3155="Sicurezza EVENTI")*(IFERROR(ROUND(CASSA!$E7:$E3155,2),0)))-
SUMPRODUCT((IFERROR(MONTH(CASSA!$B7:$B3155)=MONTH(X$2),FALSE))*(CASSA!$G7:$G3155="Sponsorizzate EVENTI")*(IFERROR(ROUND(CASSA!$E7:$E3155,2),0)))-
SUMPRODUCT((IFERROR(MONTH(CASSA!$B7:$B3155)=MONTH(X$2),FALSE))*(CASSA!$G7:$G3155="Foto &amp; Grafiche EVENTI")*(IFERROR(ROUND(CASSA!$E7:$E3155,2),0)))-
SUMPRODUCT((IFERROR(MONTH(BANCA!$B8:$B4155)=MONTH(X$2),FALSE))*(BANCA!$G8:$G4155="Personale EVENTI")*(IFERROR(ROUND(BANCA!$E8:$E4155,2),0)))-
SUMPRODUCT((IFERROR(MONTH(BANCA!$B8:$B4155)=MONTH(X$2),FALSE))*(BANCA!$G8:$G4155="PR EVENTI")*(IFERROR(ROUND(BANCA!$E8:$E4155,2),0)))-
SUMPRODUCT((IFERROR(MONTH(BANCA!$B8:$B4155)=MONTH(X$2),FALSE))*(BANCA!$G8:$G4155="DJ EVENTI")*(IFERROR(ROUND(BANCA!$E8:$E4155,2),0)))-
SUMPRODUCT((IFERROR(MONTH(BANCA!$B8:$B4155)=MONTH(X$2),FALSE))*(BANCA!$G8:$G4155="Servizi di pulizia EVENTI")*(IFERROR(ROUND(BANCA!$E8:$E4155,2),0)))-
SUMPRODUCT((IFERROR(MONTH(BANCA!$B8:$B4155)=MONTH(X$2),FALSE))*(BANCA!$G8:$G4155="Sicurezza EVENTI")*(IFERROR(ROUND(BANCA!$E8:$E4155,2),0)))-
SUMPRODUCT((IFERROR(MONTH(BANCA!$B8:$B4155)=MONTH(X$2),FALSE))*(BANCA!$G8:$G4155="Sponsorizzate EVENTI")*(IFERROR(ROUND(BANCA!$E8:$E4155,2),0)))-
SUMPRODUCT((IFERROR(MONTH(BANCA!$B8:$B4155)=MONTH(X$2),FALSE))*(BANCA!$G8:$G4155="Foto &amp; Grafiche EVENTI")*(IFERROR(ROUND(BANCA!$E8:$E4155,2),0)))</f>
        <v>4252</v>
      </c>
      <c r="Y62" s="299"/>
      <c r="Z62" s="299" cm="1">
        <f t="array" ref="Z62">SUMPRODUCT((IFERROR(MONTH(CASSA!$B7:$B3155)=MONTH(Z$2),FALSE))*(CASSA!$G7:$G3155="Personale EVENTI")*(IFERROR(ROUND(CASSA!$F7:$F3155,2),0)))+
SUMPRODUCT((IFERROR(MONTH(CASSA!$B7:$B3155)=MONTH(Z$2),FALSE))*(CASSA!$G7:$G3155="Servizi di pulizia EVENTI")*(IFERROR(ROUND(CASSA!$F7:$F3155,2),0)))+
SUMPRODUCT((IFERROR(MONTH(CASSA!$B7:$B3155)=MONTH(Z$2),FALSE))*(CASSA!$G7:$G3155="PR EVENTI")*(IFERROR(ROUND(CASSA!$F7:$F3155,2),0)))+
SUMPRODUCT((IFERROR(MONTH(CASSA!$B7:$B3155)=MONTH(Z$2),FALSE))*(CASSA!$G7:$G3155="DJ EVENTI")*(IFERROR(ROUND(CASSA!$F7:$F3155,2),0)))+
SUMPRODUCT((IFERROR(MONTH(CASSA!$B7:$B3155)=MONTH(Z$2),FALSE))*(CASSA!$G7:$G3155="Sicurezza EVENTI")*(IFERROR(ROUND(CASSA!$F7:$F3155,2),0)))+
SUMPRODUCT((IFERROR(MONTH(CASSA!$B7:$B3155)=MONTH(Z$2),FALSE))*(CASSA!$G7:$G3155="Sponsorizzate EVENTI")*(IFERROR(ROUND(CASSA!$F7:$F3155,2),0)))+
SUMPRODUCT((IFERROR(MONTH(CASSA!$B7:$B3155)=MONTH(Z$2),FALSE))*(CASSA!$G7:$G3155="Foto &amp; Grafiche EVENTI")*(IFERROR(ROUND(CASSA!$F7:$F3155,2),0)))+
SUMPRODUCT((IFERROR(MONTH(BANCA!$B8:$B4155)=MONTH(Z$2),FALSE))*(BANCA!$G8:$G4155="Personale EVENTI")*(IFERROR(ROUND(BANCA!$F8:$F4155,2),0)))+
SUMPRODUCT((IFERROR(MONTH(BANCA!$B8:$B4155)=MONTH(Z$2),FALSE))*(BANCA!$G8:$G4155="PR EVENTI")*(IFERROR(ROUND(BANCA!$F8:$F4155,2),0)))+
SUMPRODUCT((IFERROR(MONTH(BANCA!$B8:$B4155)=MONTH(Z$2),FALSE))*(BANCA!$G8:$G4155="DJ EVENTI")*(IFERROR(ROUND(BANCA!$F8:$F4155,2),0)))+
SUMPRODUCT((IFERROR(MONTH(BANCA!$B8:$B4155)=MONTH(Z$2),FALSE))*(BANCA!$G8:$G4155="Servizi di pulizia EVENTI")*(IFERROR(ROUND(BANCA!$F8:$F4155,2),0)))+
SUMPRODUCT((IFERROR(MONTH(BANCA!$B8:$B4155)=MONTH(Z$2),FALSE))*(BANCA!$G8:$G4155="Sicurezza EVENTI")*(IFERROR(ROUND(BANCA!$F8:$F4155,2),0)))+
SUMPRODUCT((IFERROR(MONTH(BANCA!$B8:$B4155)=MONTH(Z$2),FALSE))*(BANCA!$G8:$G4155="Sponsorizzate EVENTI")*(IFERROR(ROUND(BANCA!$F8:$F4155,2),0)))+
SUMPRODUCT((IFERROR(MONTH(BANCA!$B8:$B4155)=MONTH(Z$2),FALSE))*(BANCA!$G8:$G4155="Foto &amp; Grafiche EVENTI")*(IFERROR(ROUND(BANCA!$F8:$F4155,2),0)))-SUMPRODUCT((IFERROR(MONTH(CASSA!$B7:$B3155)=MONTH(Z$2),FALSE))*(CASSA!$G7:$G3155="Personale EVENTI")*(IFERROR(ROUND(CASSA!$E7:$E3155,2),0)))-
SUMPRODUCT((IFERROR(MONTH(CASSA!$B7:$B3155)=MONTH(Z$2),FALSE))*(CASSA!$G7:$G3155="Servizi di pulizia EVENTI")*(IFERROR(ROUND(CASSA!$E7:$E3155,2),0)))-
SUMPRODUCT((IFERROR(MONTH(CASSA!$B7:$B3155)=MONTH(Z$2),FALSE))*(CASSA!$G7:$G3155="PR EVENTI")*(IFERROR(ROUND(CASSA!$E7:$E3155,2),0)))-
SUMPRODUCT((IFERROR(MONTH(CASSA!$B7:$B3155)=MONTH(Z$2),FALSE))*(CASSA!$G7:$G3155="DJ EVENTI")*(IFERROR(ROUND(CASSA!$E7:$E3155,2),0)))-
SUMPRODUCT((IFERROR(MONTH(CASSA!$B7:$B3155)=MONTH(Z$2),FALSE))*(CASSA!$G7:$G3155="Sicurezza EVENTI")*(IFERROR(ROUND(CASSA!$E7:$E3155,2),0)))-
SUMPRODUCT((IFERROR(MONTH(CASSA!$B7:$B3155)=MONTH(Z$2),FALSE))*(CASSA!$G7:$G3155="Sponsorizzate EVENTI")*(IFERROR(ROUND(CASSA!$E7:$E3155,2),0)))-
SUMPRODUCT((IFERROR(MONTH(CASSA!$B7:$B3155)=MONTH(Z$2),FALSE))*(CASSA!$G7:$G3155="Foto &amp; Grafiche EVENTI")*(IFERROR(ROUND(CASSA!$E7:$E3155,2),0)))-
SUMPRODUCT((IFERROR(MONTH(BANCA!$B8:$B4155)=MONTH(Z$2),FALSE))*(BANCA!$G8:$G4155="Personale EVENTI")*(IFERROR(ROUND(BANCA!$E8:$E4155,2),0)))-
SUMPRODUCT((IFERROR(MONTH(BANCA!$B8:$B4155)=MONTH(Z$2),FALSE))*(BANCA!$G8:$G4155="PR EVENTI")*(IFERROR(ROUND(BANCA!$E8:$E4155,2),0)))-
SUMPRODUCT((IFERROR(MONTH(BANCA!$B8:$B4155)=MONTH(Z$2),FALSE))*(BANCA!$G8:$G4155="DJ EVENTI")*(IFERROR(ROUND(BANCA!$E8:$E4155,2),0)))-
SUMPRODUCT((IFERROR(MONTH(BANCA!$B8:$B4155)=MONTH(Z$2),FALSE))*(BANCA!$G8:$G4155="Servizi di pulizia EVENTI")*(IFERROR(ROUND(BANCA!$E8:$E4155,2),0)))-
SUMPRODUCT((IFERROR(MONTH(BANCA!$B8:$B4155)=MONTH(Z$2),FALSE))*(BANCA!$G8:$G4155="Sicurezza EVENTI")*(IFERROR(ROUND(BANCA!$E8:$E4155,2),0)))-
SUMPRODUCT((IFERROR(MONTH(BANCA!$B8:$B4155)=MONTH(Z$2),FALSE))*(BANCA!$G8:$G4155="Sponsorizzate EVENTI")*(IFERROR(ROUND(BANCA!$E8:$E4155,2),0)))-
SUMPRODUCT((IFERROR(MONTH(BANCA!$B8:$B4155)=MONTH(Z$2),FALSE))*(BANCA!$G8:$G4155="Foto &amp; Grafiche EVENTI")*(IFERROR(ROUND(BANCA!$E8:$E4155,2),0)))</f>
        <v>2455.2799999999997</v>
      </c>
      <c r="AA62" s="299"/>
      <c r="AB62" s="761">
        <f t="shared" si="20"/>
        <v>45839.819999999992</v>
      </c>
      <c r="AC62" s="792" t="s">
        <v>1993</v>
      </c>
      <c r="AD62" s="284"/>
      <c r="AE62" s="284"/>
      <c r="AF62" s="284"/>
      <c r="AG62" s="284"/>
      <c r="AH62" s="284"/>
      <c r="AI62" s="284"/>
      <c r="AJ62" s="284"/>
      <c r="AK62" s="284"/>
      <c r="AL62" s="284"/>
      <c r="AM62" s="284"/>
      <c r="AN62" s="284"/>
    </row>
    <row r="63" spans="2:40" s="232" customFormat="1" ht="18" customHeight="1">
      <c r="B63" s="905" t="s">
        <v>164</v>
      </c>
      <c r="C63" s="905"/>
      <c r="D63" s="297" cm="1">
        <f t="array" ref="D63">SUMPRODUCT((IFERROR(MONTH(CASSA!$B7:$B3155)=MONTH(D$2),FALSE))*(CASSA!$G7:$G3155="COSTI ALTRI SERVIZI INDEDUCIBILI")*(IFERROR(ROUND(CASSA!$F7:$F3155,2),0)))+
SUMPRODUCT((IFERROR(MONTH(CASSA!$B7:$B3155)=MONTH(D$2),FALSE))*(CASSA!$G7:$G3155="COSTI PER ALTRI SERVIZI")*(IFERROR(ROUND(CASSA!$F7:$F3155,2),0)))+
SUMPRODUCT((IFERROR(MONTH(BANCA!$B8:$B4155)=MONTH(D$2),FALSE))*(BANCA!$G8:$G4155="COSTI PER ALTRI SERVIZI")*(IFERROR(ROUND(BANCA!$F8:$F4155,2),0)))+
SUMPRODUCT((IFERROR(MONTH(BANCA!$B8:$B4155)=MONTH(D$2),FALSE))*(BANCA!$G8:$G4155="COSTI ALTRI SERVIZI INDEDUCIBILI")*(IFERROR(ROUND(BANCA!$F8:$F4155,2),0)))-SUMPRODUCT((IFERROR(MONTH(CASSA!$B7:$B3155)=MONTH(D$2),FALSE))*(CASSA!$G7:$G3155="COSTI ALTRI SERVIZI INDEDUCIBILI")*(IFERROR(ROUND(CASSA!$E7:$E3155,2),0)))-
SUMPRODUCT((IFERROR(MONTH(CASSA!$B7:$B3155)=MONTH(D$2),FALSE))*(CASSA!$G7:$G3155="COSTI PER ALTRI SERVIZI")*(IFERROR(ROUND(CASSA!$E7:$E3155,2),0)))-
SUMPRODUCT((IFERROR(MONTH(BANCA!$B8:$B4155)=MONTH(D$2),FALSE))*(BANCA!$G8:$G4155="COSTI PER ALTRI SERVIZI")*(IFERROR(ROUND(BANCA!$E8:$E4155,2),0)))-
SUMPRODUCT((IFERROR(MONTH(BANCA!$B8:$B4155)=MONTH(D$2),FALSE))*(BANCA!$G8:$G4155="COSTI ALTRI SERVIZI INDEDUCIBILI")*(IFERROR(ROUND(BANCA!$E8:$E4155,2),0)))</f>
        <v>0</v>
      </c>
      <c r="E63" s="297"/>
      <c r="F63" s="297" cm="1">
        <f t="array" ref="F63">SUMPRODUCT((IFERROR(MONTH(CASSA!$B7:$B3155)=MONTH(F$2),FALSE))*(CASSA!$G7:$G3155="COSTI ALTRI SERVIZI INDEDUCIBILI")*(IFERROR(ROUND(CASSA!$F7:$F3155,2),0)))+
SUMPRODUCT((IFERROR(MONTH(CASSA!$B7:$B3155)=MONTH(F$2),FALSE))*(CASSA!$G7:$G3155="COSTI PER ALTRI SERVIZI")*(IFERROR(ROUND(CASSA!$F7:$F3155,2),0)))+
SUMPRODUCT((IFERROR(MONTH(BANCA!$B8:$B4155)=MONTH(F$2),FALSE))*(BANCA!$G8:$G4155="COSTI PER ALTRI SERVIZI")*(IFERROR(ROUND(BANCA!$F8:$F4155,2),0)))+
SUMPRODUCT((IFERROR(MONTH(BANCA!$B8:$B4155)=MONTH(F$2),FALSE))*(BANCA!$G8:$G4155="COSTI ALTRI SERVIZI INDEDUCIBILI")*(IFERROR(ROUND(BANCA!$F8:$F4155,2),0)))-SUMPRODUCT((IFERROR(MONTH(CASSA!$B7:$B3155)=MONTH(F$2),FALSE))*(CASSA!$G7:$G3155="COSTI ALTRI SERVIZI INDEDUCIBILI")*(IFERROR(ROUND(CASSA!$E7:$E3155,2),0)))-
SUMPRODUCT((IFERROR(MONTH(CASSA!$B7:$B3155)=MONTH(F$2),FALSE))*(CASSA!$G7:$G3155="COSTI PER ALTRI SERVIZI")*(IFERROR(ROUND(CASSA!$E7:$E3155,2),0)))-
SUMPRODUCT((IFERROR(MONTH(BANCA!$B8:$B4155)=MONTH(F$2),FALSE))*(BANCA!$G8:$G4155="COSTI PER ALTRI SERVIZI")*(IFERROR(ROUND(BANCA!$E8:$E4155,2),0)))-
SUMPRODUCT((IFERROR(MONTH(BANCA!$B8:$B4155)=MONTH(F$2),FALSE))*(BANCA!$G8:$G4155="COSTI ALTRI SERVIZI INDEDUCIBILI")*(IFERROR(ROUND(BANCA!$E8:$E4155,2),0)))</f>
        <v>342.5</v>
      </c>
      <c r="G63" s="297"/>
      <c r="H63" s="297" cm="1">
        <f t="array" ref="H63">SUMPRODUCT((IFERROR(MONTH(CASSA!$B7:$B3155)=MONTH(H$2),FALSE))*(CASSA!$G7:$G3155="COSTI ALTRI SERVIZI INDEDUCIBILI")*(IFERROR(ROUND(CASSA!$F7:$F3155,2),0)))+
SUMPRODUCT((IFERROR(MONTH(CASSA!$B7:$B3155)=MONTH(H$2),FALSE))*(CASSA!$G7:$G3155="COSTI PER ALTRI SERVIZI")*(IFERROR(ROUND(CASSA!$F7:$F3155,2),0)))+
SUMPRODUCT((IFERROR(MONTH(BANCA!$B8:$B4155)=MONTH(H$2),FALSE))*(BANCA!$G8:$G4155="COSTI PER ALTRI SERVIZI")*(IFERROR(ROUND(BANCA!$F8:$F4155,2),0)))+
SUMPRODUCT((IFERROR(MONTH(BANCA!$B8:$B4155)=MONTH(H$2),FALSE))*(BANCA!$G8:$G4155="COSTI ALTRI SERVIZI INDEDUCIBILI")*(IFERROR(ROUND(BANCA!$F8:$F4155,2),0)))-SUMPRODUCT((IFERROR(MONTH(CASSA!$B7:$B3155)=MONTH(H$2),FALSE))*(CASSA!$G7:$G3155="COSTI ALTRI SERVIZI INDEDUCIBILI")*(IFERROR(ROUND(CASSA!$E7:$E3155,2),0)))-
SUMPRODUCT((IFERROR(MONTH(CASSA!$B7:$B3155)=MONTH(H$2),FALSE))*(CASSA!$G7:$G3155="COSTI PER ALTRI SERVIZI")*(IFERROR(ROUND(CASSA!$E7:$E3155,2),0)))-
SUMPRODUCT((IFERROR(MONTH(BANCA!$B8:$B4155)=MONTH(H$2),FALSE))*(BANCA!$G8:$G4155="COSTI PER ALTRI SERVIZI")*(IFERROR(ROUND(BANCA!$E8:$E4155,2),0)))-
SUMPRODUCT((IFERROR(MONTH(BANCA!$B8:$B4155)=MONTH(H$2),FALSE))*(BANCA!$G8:$G4155="COSTI ALTRI SERVIZI INDEDUCIBILI")*(IFERROR(ROUND(BANCA!$E8:$E4155,2),0)))</f>
        <v>1869</v>
      </c>
      <c r="I63" s="297"/>
      <c r="J63" s="297" cm="1">
        <f t="array" ref="J63">SUMPRODUCT((IFERROR(MONTH(CASSA!$B7:$B3155)=MONTH(J$2),FALSE))*(CASSA!$G7:$G3155="COSTI ALTRI SERVIZI INDEDUCIBILI")*(IFERROR(ROUND(CASSA!$F7:$F3155,2),0)))+
SUMPRODUCT((IFERROR(MONTH(CASSA!$B7:$B3155)=MONTH(J$2),FALSE))*(CASSA!$G7:$G3155="COSTI PER ALTRI SERVIZI")*(IFERROR(ROUND(CASSA!$F7:$F3155,2),0)))+
SUMPRODUCT((IFERROR(MONTH(BANCA!$B8:$B4155)=MONTH(J$2),FALSE))*(BANCA!$G8:$G4155="COSTI PER ALTRI SERVIZI")*(IFERROR(ROUND(BANCA!$F8:$F4155,2),0)))+
SUMPRODUCT((IFERROR(MONTH(BANCA!$B8:$B4155)=MONTH(J$2),FALSE))*(BANCA!$G8:$G4155="COSTI ALTRI SERVIZI INDEDUCIBILI")*(IFERROR(ROUND(BANCA!$F8:$F4155,2),0)))-SUMPRODUCT((IFERROR(MONTH(CASSA!$B7:$B3155)=MONTH(J$2),FALSE))*(CASSA!$G7:$G3155="COSTI ALTRI SERVIZI INDEDUCIBILI")*(IFERROR(ROUND(CASSA!$E7:$E3155,2),0)))-
SUMPRODUCT((IFERROR(MONTH(CASSA!$B7:$B3155)=MONTH(J$2),FALSE))*(CASSA!$G7:$G3155="COSTI PER ALTRI SERVIZI")*(IFERROR(ROUND(CASSA!$E7:$E3155,2),0)))-
SUMPRODUCT((IFERROR(MONTH(BANCA!$B8:$B4155)=MONTH(J$2),FALSE))*(BANCA!$G8:$G4155="COSTI PER ALTRI SERVIZI")*(IFERROR(ROUND(BANCA!$E8:$E4155,2),0)))-
SUMPRODUCT((IFERROR(MONTH(BANCA!$B8:$B4155)=MONTH(J$2),FALSE))*(BANCA!$G8:$G4155="COSTI ALTRI SERVIZI INDEDUCIBILI")*(IFERROR(ROUND(BANCA!$E8:$E4155,2),0)))</f>
        <v>-83</v>
      </c>
      <c r="K63" s="297"/>
      <c r="L63" s="297" cm="1">
        <f t="array" ref="L63">SUMPRODUCT((IFERROR(MONTH(CASSA!$B7:$B3155)=MONTH(L$2),FALSE))*(CASSA!$G7:$G3155="COSTI ALTRI SERVIZI INDEDUCIBILI")*(IFERROR(ROUND(CASSA!$F7:$F3155,2),0)))+
SUMPRODUCT((IFERROR(MONTH(CASSA!$B7:$B3155)=MONTH(L$2),FALSE))*(CASSA!$G7:$G3155="COSTI PER ALTRI SERVIZI")*(IFERROR(ROUND(CASSA!$F7:$F3155,2),0)))+
SUMPRODUCT((IFERROR(MONTH(BANCA!$B8:$B4155)=MONTH(L$2),FALSE))*(BANCA!$G8:$G4155="COSTI PER ALTRI SERVIZI")*(IFERROR(ROUND(BANCA!$F8:$F4155,2),0)))+
SUMPRODUCT((IFERROR(MONTH(BANCA!$B8:$B4155)=MONTH(L$2),FALSE))*(BANCA!$G8:$G4155="COSTI ALTRI SERVIZI INDEDUCIBILI")*(IFERROR(ROUND(BANCA!$F8:$F4155,2),0)))-SUMPRODUCT((IFERROR(MONTH(CASSA!$B7:$B3155)=MONTH(L$2),FALSE))*(CASSA!$G7:$G3155="COSTI ALTRI SERVIZI INDEDUCIBILI")*(IFERROR(ROUND(CASSA!$E7:$E3155,2),0)))-
SUMPRODUCT((IFERROR(MONTH(CASSA!$B7:$B3155)=MONTH(L$2),FALSE))*(CASSA!$G7:$G3155="COSTI PER ALTRI SERVIZI")*(IFERROR(ROUND(CASSA!$E7:$E3155,2),0)))-
SUMPRODUCT((IFERROR(MONTH(BANCA!$B8:$B4155)=MONTH(L$2),FALSE))*(BANCA!$G8:$G4155="COSTI PER ALTRI SERVIZI")*(IFERROR(ROUND(BANCA!$E8:$E4155,2),0)))-
SUMPRODUCT((IFERROR(MONTH(BANCA!$B8:$B4155)=MONTH(L$2),FALSE))*(BANCA!$G8:$G4155="COSTI ALTRI SERVIZI INDEDUCIBILI")*(IFERROR(ROUND(BANCA!$E8:$E4155,2),0)))</f>
        <v>3605.61</v>
      </c>
      <c r="M63" s="297"/>
      <c r="N63" s="297" cm="1">
        <f t="array" ref="N63">SUMPRODUCT((IFERROR(MONTH(CASSA!$B7:$B3155)=MONTH(N$2),FALSE))*(CASSA!$G7:$G3155="COSTI ALTRI SERVIZI INDEDUCIBILI")*(IFERROR(ROUND(CASSA!$F7:$F3155,2),0)))+
SUMPRODUCT((IFERROR(MONTH(CASSA!$B7:$B3155)=MONTH(N$2),FALSE))*(CASSA!$G7:$G3155="COSTI PER ALTRI SERVIZI")*(IFERROR(ROUND(CASSA!$F7:$F3155,2),0)))+
SUMPRODUCT((IFERROR(MONTH(BANCA!$B8:$B4155)=MONTH(N$2),FALSE))*(BANCA!$G8:$G4155="COSTI PER ALTRI SERVIZI")*(IFERROR(ROUND(BANCA!$F8:$F4155,2),0)))+
SUMPRODUCT((IFERROR(MONTH(BANCA!$B8:$B4155)=MONTH(N$2),FALSE))*(BANCA!$G8:$G4155="COSTI ALTRI SERVIZI INDEDUCIBILI")*(IFERROR(ROUND(BANCA!$F8:$F4155,2),0)))-SUMPRODUCT((IFERROR(MONTH(CASSA!$B7:$B3155)=MONTH(N$2),FALSE))*(CASSA!$G7:$G3155="COSTI ALTRI SERVIZI INDEDUCIBILI")*(IFERROR(ROUND(CASSA!$E7:$E3155,2),0)))-
SUMPRODUCT((IFERROR(MONTH(CASSA!$B7:$B3155)=MONTH(N$2),FALSE))*(CASSA!$G7:$G3155="COSTI PER ALTRI SERVIZI")*(IFERROR(ROUND(CASSA!$E7:$E3155,2),0)))-
SUMPRODUCT((IFERROR(MONTH(BANCA!$B8:$B4155)=MONTH(N$2),FALSE))*(BANCA!$G8:$G4155="COSTI PER ALTRI SERVIZI")*(IFERROR(ROUND(BANCA!$E8:$E4155,2),0)))-
SUMPRODUCT((IFERROR(MONTH(BANCA!$B8:$B4155)=MONTH(N$2),FALSE))*(BANCA!$G8:$G4155="COSTI ALTRI SERVIZI INDEDUCIBILI")*(IFERROR(ROUND(BANCA!$E8:$E4155,2),0)))</f>
        <v>296.48</v>
      </c>
      <c r="O63" s="297"/>
      <c r="P63" s="297" cm="1">
        <f t="array" ref="P63">SUMPRODUCT((IFERROR(MONTH(CASSA!$B7:$B3155)=MONTH(P$2),FALSE))*(CASSA!$G7:$G3155="COSTI ALTRI SERVIZI INDEDUCIBILI")*(IFERROR(ROUND(CASSA!$F7:$F3155,2),0)))+
SUMPRODUCT((IFERROR(MONTH(CASSA!$B7:$B3155)=MONTH(P$2),FALSE))*(CASSA!$G7:$G3155="COSTI PER ALTRI SERVIZI")*(IFERROR(ROUND(CASSA!$F7:$F3155,2),0)))+
SUMPRODUCT((IFERROR(MONTH(BANCA!$B8:$B4155)=MONTH(P$2),FALSE))*(BANCA!$G8:$G4155="COSTI PER ALTRI SERVIZI")*(IFERROR(ROUND(BANCA!$F8:$F4155,2),0)))+
SUMPRODUCT((IFERROR(MONTH(BANCA!$B8:$B4155)=MONTH(P$2),FALSE))*(BANCA!$G8:$G4155="COSTI ALTRI SERVIZI INDEDUCIBILI")*(IFERROR(ROUND(BANCA!$F8:$F4155,2),0)))-SUMPRODUCT((IFERROR(MONTH(CASSA!$B7:$B3155)=MONTH(P$2),FALSE))*(CASSA!$G7:$G3155="COSTI ALTRI SERVIZI INDEDUCIBILI")*(IFERROR(ROUND(CASSA!$E7:$E3155,2),0)))-
SUMPRODUCT((IFERROR(MONTH(CASSA!$B7:$B3155)=MONTH(P$2),FALSE))*(CASSA!$G7:$G3155="COSTI PER ALTRI SERVIZI")*(IFERROR(ROUND(CASSA!$E7:$E3155,2),0)))-
SUMPRODUCT((IFERROR(MONTH(BANCA!$B8:$B4155)=MONTH(P$2),FALSE))*(BANCA!$G8:$G4155="COSTI PER ALTRI SERVIZI")*(IFERROR(ROUND(BANCA!$E8:$E4155,2),0)))-
SUMPRODUCT((IFERROR(MONTH(BANCA!$B8:$B4155)=MONTH(P$2),FALSE))*(BANCA!$G8:$G4155="COSTI ALTRI SERVIZI INDEDUCIBILI")*(IFERROR(ROUND(BANCA!$E8:$E4155,2),0)))</f>
        <v>675.30000000000007</v>
      </c>
      <c r="Q63" s="297"/>
      <c r="R63" s="297" cm="1">
        <f t="array" ref="R63">SUMPRODUCT((IFERROR(MONTH(CASSA!$B7:$B3155)=MONTH(R$2),FALSE))*(CASSA!$G7:$G3155="COSTI ALTRI SERVIZI INDEDUCIBILI")*(IFERROR(ROUND(CASSA!$F7:$F3155,2),0)))+
SUMPRODUCT((IFERROR(MONTH(CASSA!$B7:$B3155)=MONTH(R$2),FALSE))*(CASSA!$G7:$G3155="COSTI PER ALTRI SERVIZI")*(IFERROR(ROUND(CASSA!$F7:$F3155,2),0)))+
SUMPRODUCT((IFERROR(MONTH(BANCA!$B8:$B4155)=MONTH(R$2),FALSE))*(BANCA!$G8:$G4155="COSTI PER ALTRI SERVIZI")*(IFERROR(ROUND(BANCA!$F8:$F4155,2),0)))+
SUMPRODUCT((IFERROR(MONTH(BANCA!$B8:$B4155)=MONTH(R$2),FALSE))*(BANCA!$G8:$G4155="COSTI ALTRI SERVIZI INDEDUCIBILI")*(IFERROR(ROUND(BANCA!$F8:$F4155,2),0)))-SUMPRODUCT((IFERROR(MONTH(CASSA!$B7:$B3155)=MONTH(R$2),FALSE))*(CASSA!$G7:$G3155="COSTI ALTRI SERVIZI INDEDUCIBILI")*(IFERROR(ROUND(CASSA!$E7:$E3155,2),0)))-
SUMPRODUCT((IFERROR(MONTH(CASSA!$B7:$B3155)=MONTH(R$2),FALSE))*(CASSA!$G7:$G3155="COSTI PER ALTRI SERVIZI")*(IFERROR(ROUND(CASSA!$E7:$E3155,2),0)))-
SUMPRODUCT((IFERROR(MONTH(BANCA!$B8:$B4155)=MONTH(R$2),FALSE))*(BANCA!$G8:$G4155="COSTI PER ALTRI SERVIZI")*(IFERROR(ROUND(BANCA!$E8:$E4155,2),0)))-
SUMPRODUCT((IFERROR(MONTH(BANCA!$B8:$B4155)=MONTH(R$2),FALSE))*(BANCA!$G8:$G4155="COSTI ALTRI SERVIZI INDEDUCIBILI")*(IFERROR(ROUND(BANCA!$E8:$E4155,2),0)))</f>
        <v>992.36999999999989</v>
      </c>
      <c r="S63" s="297"/>
      <c r="T63" s="297" cm="1">
        <f t="array" ref="T63">SUMPRODUCT((IFERROR(MONTH(CASSA!$B7:$B3155)=MONTH(T$2),FALSE))*(CASSA!$G7:$G3155="COSTI ALTRI SERVIZI INDEDUCIBILI")*(IFERROR(ROUND(CASSA!$F7:$F3155,2),0)))+
SUMPRODUCT((IFERROR(MONTH(CASSA!$B7:$B3155)=MONTH(T$2),FALSE))*(CASSA!$G7:$G3155="COSTI PER ALTRI SERVIZI")*(IFERROR(ROUND(CASSA!$F7:$F3155,2),0)))+
SUMPRODUCT((IFERROR(MONTH(BANCA!$B8:$B4155)=MONTH(T$2),FALSE))*(BANCA!$G8:$G4155="COSTI PER ALTRI SERVIZI")*(IFERROR(ROUND(BANCA!$F8:$F4155,2),0)))+
SUMPRODUCT((IFERROR(MONTH(BANCA!$B8:$B4155)=MONTH(T$2),FALSE))*(BANCA!$G8:$G4155="COSTI ALTRI SERVIZI INDEDUCIBILI")*(IFERROR(ROUND(BANCA!$F8:$F4155,2),0)))-SUMPRODUCT((IFERROR(MONTH(CASSA!$B7:$B3155)=MONTH(T$2),FALSE))*(CASSA!$G7:$G3155="COSTI ALTRI SERVIZI INDEDUCIBILI")*(IFERROR(ROUND(CASSA!$E7:$E3155,2),0)))-
SUMPRODUCT((IFERROR(MONTH(CASSA!$B7:$B3155)=MONTH(T$2),FALSE))*(CASSA!$G7:$G3155="COSTI PER ALTRI SERVIZI")*(IFERROR(ROUND(CASSA!$E7:$E3155,2),0)))-
SUMPRODUCT((IFERROR(MONTH(BANCA!$B8:$B4155)=MONTH(T$2),FALSE))*(BANCA!$G8:$G4155="COSTI PER ALTRI SERVIZI")*(IFERROR(ROUND(BANCA!$E8:$E4155,2),0)))-
SUMPRODUCT((IFERROR(MONTH(BANCA!$B8:$B4155)=MONTH(T$2),FALSE))*(BANCA!$G8:$G4155="COSTI ALTRI SERVIZI INDEDUCIBILI")*(IFERROR(ROUND(BANCA!$E8:$E4155,2),0)))</f>
        <v>497.62</v>
      </c>
      <c r="U63" s="297"/>
      <c r="V63" s="297" cm="1">
        <f t="array" ref="V63">SUMPRODUCT((IFERROR(MONTH(CASSA!$B7:$B3155)=MONTH(V$2),FALSE))*(CASSA!$G7:$G3155="COSTI ALTRI SERVIZI INDEDUCIBILI")*(IFERROR(ROUND(CASSA!$F7:$F3155,2),0)))+
SUMPRODUCT((IFERROR(MONTH(CASSA!$B7:$B3155)=MONTH(V$2),FALSE))*(CASSA!$G7:$G3155="COSTI PER ALTRI SERVIZI")*(IFERROR(ROUND(CASSA!$F7:$F3155,2),0)))+
SUMPRODUCT((IFERROR(MONTH(BANCA!$B8:$B4155)=MONTH(V$2),FALSE))*(BANCA!$G8:$G4155="COSTI PER ALTRI SERVIZI")*(IFERROR(ROUND(BANCA!$F8:$F4155,2),0)))+
SUMPRODUCT((IFERROR(MONTH(BANCA!$B8:$B4155)=MONTH(V$2),FALSE))*(BANCA!$G8:$G4155="COSTI ALTRI SERVIZI INDEDUCIBILI")*(IFERROR(ROUND(BANCA!$F8:$F4155,2),0)))-SUMPRODUCT((IFERROR(MONTH(CASSA!$B7:$B3155)=MONTH(V$2),FALSE))*(CASSA!$G7:$G3155="COSTI ALTRI SERVIZI INDEDUCIBILI")*(IFERROR(ROUND(CASSA!$E7:$E3155,2),0)))-
SUMPRODUCT((IFERROR(MONTH(CASSA!$B7:$B3155)=MONTH(V$2),FALSE))*(CASSA!$G7:$G3155="COSTI PER ALTRI SERVIZI")*(IFERROR(ROUND(CASSA!$E7:$E3155,2),0)))-
SUMPRODUCT((IFERROR(MONTH(BANCA!$B8:$B4155)=MONTH(V$2),FALSE))*(BANCA!$G8:$G4155="COSTI PER ALTRI SERVIZI")*(IFERROR(ROUND(BANCA!$E8:$E4155,2),0)))-
SUMPRODUCT((IFERROR(MONTH(BANCA!$B8:$B4155)=MONTH(V$2),FALSE))*(BANCA!$G8:$G4155="COSTI ALTRI SERVIZI INDEDUCIBILI")*(IFERROR(ROUND(BANCA!$E8:$E4155,2),0)))</f>
        <v>5699.63</v>
      </c>
      <c r="W63" s="297"/>
      <c r="X63" s="297" cm="1">
        <f t="array" ref="X63">SUMPRODUCT((IFERROR(MONTH(CASSA!$B7:$B3155)=MONTH(X$2),FALSE))*(CASSA!$G7:$G3155="COSTI ALTRI SERVIZI INDEDUCIBILI")*(IFERROR(ROUND(CASSA!$F7:$F3155,2),0)))+
SUMPRODUCT((IFERROR(MONTH(CASSA!$B7:$B3155)=MONTH(X$2),FALSE))*(CASSA!$G7:$G3155="COSTI PER ALTRI SERVIZI")*(IFERROR(ROUND(CASSA!$F7:$F3155,2),0)))+
SUMPRODUCT((IFERROR(MONTH(BANCA!$B8:$B4155)=MONTH(X$2),FALSE))*(BANCA!$G8:$G4155="COSTI PER ALTRI SERVIZI")*(IFERROR(ROUND(BANCA!$F8:$F4155,2),0)))+
SUMPRODUCT((IFERROR(MONTH(BANCA!$B8:$B4155)=MONTH(X$2),FALSE))*(BANCA!$G8:$G4155="COSTI ALTRI SERVIZI INDEDUCIBILI")*(IFERROR(ROUND(BANCA!$F8:$F4155,2),0)))-SUMPRODUCT((IFERROR(MONTH(CASSA!$B7:$B3155)=MONTH(X$2),FALSE))*(CASSA!$G7:$G3155="COSTI ALTRI SERVIZI INDEDUCIBILI")*(IFERROR(ROUND(CASSA!$E7:$E3155,2),0)))-
SUMPRODUCT((IFERROR(MONTH(CASSA!$B7:$B3155)=MONTH(X$2),FALSE))*(CASSA!$G7:$G3155="COSTI PER ALTRI SERVIZI")*(IFERROR(ROUND(CASSA!$E7:$E3155,2),0)))-
SUMPRODUCT((IFERROR(MONTH(BANCA!$B8:$B4155)=MONTH(X$2),FALSE))*(BANCA!$G8:$G4155="COSTI PER ALTRI SERVIZI")*(IFERROR(ROUND(BANCA!$E8:$E4155,2),0)))-
SUMPRODUCT((IFERROR(MONTH(BANCA!$B8:$B4155)=MONTH(X$2),FALSE))*(BANCA!$G8:$G4155="COSTI ALTRI SERVIZI INDEDUCIBILI")*(IFERROR(ROUND(BANCA!$E8:$E4155,2),0)))</f>
        <v>3997.8</v>
      </c>
      <c r="Y63" s="297"/>
      <c r="Z63" s="297" cm="1">
        <f t="array" ref="Z63">SUMPRODUCT((IFERROR(MONTH(CASSA!$B7:$B3155)=MONTH(Z$2),FALSE))*(CASSA!$G7:$G3155="COSTI ALTRI SERVIZI INDEDUCIBILI")*(IFERROR(ROUND(CASSA!$F7:$F3155,2),0)))+
SUMPRODUCT((IFERROR(MONTH(CASSA!$B7:$B3155)=MONTH(Z$2),FALSE))*(CASSA!$G7:$G3155="COSTI PER ALTRI SERVIZI")*(IFERROR(ROUND(CASSA!$F7:$F3155,2),0)))+
SUMPRODUCT((IFERROR(MONTH(BANCA!$B8:$B4155)=MONTH(Z$2),FALSE))*(BANCA!$G8:$G4155="COSTI PER ALTRI SERVIZI")*(IFERROR(ROUND(BANCA!$F8:$F4155,2),0)))+
SUMPRODUCT((IFERROR(MONTH(BANCA!$B8:$B4155)=MONTH(Z$2),FALSE))*(BANCA!$G8:$G4155="COSTI ALTRI SERVIZI INDEDUCIBILI")*(IFERROR(ROUND(BANCA!$F8:$F4155,2),0)))-SUMPRODUCT((IFERROR(MONTH(CASSA!$B7:$B3155)=MONTH(Z$2),FALSE))*(CASSA!$G7:$G3155="COSTI ALTRI SERVIZI INDEDUCIBILI")*(IFERROR(ROUND(CASSA!$E7:$E3155,2),0)))-
SUMPRODUCT((IFERROR(MONTH(CASSA!$B7:$B3155)=MONTH(Z$2),FALSE))*(CASSA!$G7:$G3155="COSTI PER ALTRI SERVIZI")*(IFERROR(ROUND(CASSA!$E7:$E3155,2),0)))-
SUMPRODUCT((IFERROR(MONTH(BANCA!$B8:$B4155)=MONTH(Z$2),FALSE))*(BANCA!$G8:$G4155="COSTI PER ALTRI SERVIZI")*(IFERROR(ROUND(BANCA!$E8:$E4155,2),0)))-
SUMPRODUCT((IFERROR(MONTH(BANCA!$B8:$B4155)=MONTH(Z$2),FALSE))*(BANCA!$G8:$G4155="COSTI ALTRI SERVIZI INDEDUCIBILI")*(IFERROR(ROUND(BANCA!$E8:$E4155,2),0)))</f>
        <v>260</v>
      </c>
      <c r="AA63" s="297"/>
      <c r="AB63" s="769">
        <f t="shared" si="20"/>
        <v>18153.310000000001</v>
      </c>
      <c r="AC63" s="792" t="s">
        <v>1993</v>
      </c>
      <c r="AD63" s="284"/>
      <c r="AE63" s="284"/>
      <c r="AF63" s="284"/>
      <c r="AG63" s="284"/>
      <c r="AH63" s="284"/>
      <c r="AI63" s="284"/>
      <c r="AJ63" s="284"/>
      <c r="AK63" s="284"/>
      <c r="AL63" s="284"/>
      <c r="AM63" s="284"/>
      <c r="AN63" s="284"/>
    </row>
    <row r="64" spans="2:40" s="232" customFormat="1" ht="18" customHeight="1">
      <c r="B64" s="905" t="s">
        <v>165</v>
      </c>
      <c r="C64" s="905"/>
      <c r="D64" s="297" cm="1">
        <f t="array" ref="D64">SUMPRODUCT((IFERROR(MONTH(CASSA!$B7:$B3155)=MONTH(D$2),FALSE))*(CASSA!$G7:$G3155="IMPOSTA DI BOLLO")*(IFERROR(ROUND(CASSA!$F7:$F3155,2),0)))+
SUMPRODUCT((IFERROR(MONTH(CASSA!$B7:$B3155)=MONTH(D$2),FALSE))*(CASSA!$G7:$G3155="Tassa annuale libri sociali")*(IFERROR(ROUND(CASSA!$F7:$F3155,2),0)))+
SUMPRODUCT((IFERROR(MONTH(CASSA!$B7:$B3155)=MONTH(D$2),FALSE))*(CASSA!$G7:$G3155="Abbonamenti e pubblicazioni")*(IFERROR(ROUND(CASSA!$F7:$F3155,2),0)))+
SUMPRODUCT((IFERROR(MONTH(CASSA!$B7:$B3155)=MONTH(D$2),FALSE))*(CASSA!$G7:$G3155="Spese camerali, catastali e diritti vari")*(IFERROR(ROUND(CASSA!$F7:$F3155,2),0)))+
SUMPRODUCT((IFERROR(MONTH(CASSA!$B7:$B3155)=MONTH(D$2),FALSE))*(CASSA!$G7:$G3155="Sanzioni tributarie e previdenziali")*(IFERROR(ROUND(CASSA!$F7:$F3155,2),0)))+
SUMPRODUCT((IFERROR(MONTH(CASSA!$B7:$B3155)=MONTH(D$2),FALSE))*(CASSA!$G7:$G3155="Altri oneri di gestione")*(IFERROR(ROUND(CASSA!$F7:$F3155,2),0)))+
SUMPRODUCT((IFERROR(MONTH(BANCA!$B8:$B4155)=MONTH(D$2),FALSE))*(BANCA!$G8:$G4155="IMPOSTA DI BOLLO")*(IFERROR(ROUND(BANCA!$F8:$F4155,2),0)))+
SUMPRODUCT((IFERROR(MONTH(BANCA!$B8:$B4155)=MONTH(D$2),FALSE))*(BANCA!$G8:$G4155="Abbonamenti e pubblicazioni")*(IFERROR(ROUND(BANCA!$F8:$F4155,2),0)))+
SUMPRODUCT((IFERROR(MONTH(BANCA!$B8:$B4155)=MONTH(D$2),FALSE))*(BANCA!$G8:$G4155="Spese camerali, catastali e diritti vari")*(IFERROR(ROUND(BANCA!$F8:$F4155,2),0)))+
SUMPRODUCT((IFERROR(MONTH(BANCA!$B8:$B4155)=MONTH(D$2),FALSE))*(BANCA!$G8:$G4155="Sanzioni tributarie e previdenziali")*(IFERROR(ROUND(BANCA!$F8:$F4155,2),0)))+
SUMPRODUCT((IFERROR(MONTH(BANCA!$B8:$B4155)=MONTH(D$2),FALSE))*(BANCA!$G8:$G4155="Altri oneri di gestione")*(IFERROR(ROUND(BANCA!$F8:$F4155,2),0)))+
SUMPRODUCT((IFERROR(MONTH(BANCA!$B8:$B4155)=MONTH(D$2),FALSE))*(BANCA!$G8:$G4155="Tassa annuale libri sociali")*(IFERROR(ROUND(BANCA!$F8:$F4155,2),0)))</f>
        <v>236.7</v>
      </c>
      <c r="E64" s="297"/>
      <c r="F64" s="297" cm="1">
        <f t="array" ref="F64">SUMPRODUCT((IFERROR(MONTH(CASSA!$B7:$B3155)=MONTH(F$2),FALSE))*(CASSA!$G7:$G3155="IMPOSTA DI BOLLO")*(IFERROR(ROUND(CASSA!$F7:$F3155,2),0)))+
SUMPRODUCT((IFERROR(MONTH(CASSA!$B7:$B3155)=MONTH(F$2),FALSE))*(CASSA!$G7:$G3155="Tassa annuale libri sociali")*(IFERROR(ROUND(CASSA!$F7:$F3155,2),0)))+
SUMPRODUCT((IFERROR(MONTH(CASSA!$B7:$B3155)=MONTH(F$2),FALSE))*(CASSA!$G7:$G3155="Abbonamenti e pubblicazioni")*(IFERROR(ROUND(CASSA!$F7:$F3155,2),0)))+
SUMPRODUCT((IFERROR(MONTH(CASSA!$B7:$B3155)=MONTH(F$2),FALSE))*(CASSA!$G7:$G3155="Spese camerali, catastali e diritti vari")*(IFERROR(ROUND(CASSA!$F7:$F3155,2),0)))+
SUMPRODUCT((IFERROR(MONTH(CASSA!$B7:$B3155)=MONTH(F$2),FALSE))*(CASSA!$G7:$G3155="Sanzioni tributarie e previdenziali")*(IFERROR(ROUND(CASSA!$F7:$F3155,2),0)))+
SUMPRODUCT((IFERROR(MONTH(CASSA!$B7:$B3155)=MONTH(F$2),FALSE))*(CASSA!$G7:$G3155="Altri oneri di gestione")*(IFERROR(ROUND(CASSA!$F7:$F3155,2),0)))+
SUMPRODUCT((IFERROR(MONTH(BANCA!$B8:$B4155)=MONTH(F$2),FALSE))*(BANCA!$G8:$G4155="IMPOSTA DI BOLLO")*(IFERROR(ROUND(BANCA!$F8:$F4155,2),0)))+
SUMPRODUCT((IFERROR(MONTH(BANCA!$B8:$B4155)=MONTH(F$2),FALSE))*(BANCA!$G8:$G4155="Abbonamenti e pubblicazioni")*(IFERROR(ROUND(BANCA!$F8:$F4155,2),0)))+
SUMPRODUCT((IFERROR(MONTH(BANCA!$B8:$B4155)=MONTH(F$2),FALSE))*(BANCA!$G8:$G4155="Spese camerali, catastali e diritti vari")*(IFERROR(ROUND(BANCA!$F8:$F4155,2),0)))+
SUMPRODUCT((IFERROR(MONTH(BANCA!$B8:$B4155)=MONTH(F$2),FALSE))*(BANCA!$G8:$G4155="Sanzioni tributarie e previdenziali")*(IFERROR(ROUND(BANCA!$F8:$F4155,2),0)))+
SUMPRODUCT((IFERROR(MONTH(BANCA!$B8:$B4155)=MONTH(F$2),FALSE))*(BANCA!$G8:$G4155="Altri oneri di gestione")*(IFERROR(ROUND(BANCA!$F8:$F4155,2),0)))+
SUMPRODUCT((IFERROR(MONTH(BANCA!$B8:$B4155)=MONTH(F$2),FALSE))*(BANCA!$G8:$G4155="Tassa annuale libri sociali")*(IFERROR(ROUND(BANCA!$F8:$F4155,2),0)))</f>
        <v>412.94</v>
      </c>
      <c r="G64" s="297"/>
      <c r="H64" s="297" cm="1">
        <f t="array" ref="H64">SUMPRODUCT((IFERROR(MONTH(CASSA!$B7:$B3155)=MONTH(H$2),FALSE))*(CASSA!$G7:$G3155="IMPOSTA DI BOLLO")*(IFERROR(ROUND(CASSA!$F7:$F3155,2),0)))+
SUMPRODUCT((IFERROR(MONTH(CASSA!$B7:$B3155)=MONTH(H$2),FALSE))*(CASSA!$G7:$G3155="Tassa annuale libri sociali")*(IFERROR(ROUND(CASSA!$F7:$F3155,2),0)))+
SUMPRODUCT((IFERROR(MONTH(CASSA!$B7:$B3155)=MONTH(H$2),FALSE))*(CASSA!$G7:$G3155="Abbonamenti e pubblicazioni")*(IFERROR(ROUND(CASSA!$F7:$F3155,2),0)))+
SUMPRODUCT((IFERROR(MONTH(CASSA!$B7:$B3155)=MONTH(H$2),FALSE))*(CASSA!$G7:$G3155="Spese camerali, catastali e diritti vari")*(IFERROR(ROUND(CASSA!$F7:$F3155,2),0)))+
SUMPRODUCT((IFERROR(MONTH(CASSA!$B7:$B3155)=MONTH(H$2),FALSE))*(CASSA!$G7:$G3155="Sanzioni tributarie e previdenziali")*(IFERROR(ROUND(CASSA!$F7:$F3155,2),0)))+
SUMPRODUCT((IFERROR(MONTH(CASSA!$B7:$B3155)=MONTH(H$2),FALSE))*(CASSA!$G7:$G3155="Altri oneri di gestione")*(IFERROR(ROUND(CASSA!$F7:$F3155,2),0)))+
SUMPRODUCT((IFERROR(MONTH(BANCA!$B8:$B4155)=MONTH(H$2),FALSE))*(BANCA!$G8:$G4155="IMPOSTA DI BOLLO")*(IFERROR(ROUND(BANCA!$F8:$F4155,2),0)))+
SUMPRODUCT((IFERROR(MONTH(BANCA!$B8:$B4155)=MONTH(H$2),FALSE))*(BANCA!$G8:$G4155="Abbonamenti e pubblicazioni")*(IFERROR(ROUND(BANCA!$F8:$F4155,2),0)))+
SUMPRODUCT((IFERROR(MONTH(BANCA!$B8:$B4155)=MONTH(H$2),FALSE))*(BANCA!$G8:$G4155="Spese camerali, catastali e diritti vari")*(IFERROR(ROUND(BANCA!$F8:$F4155,2),0)))+
SUMPRODUCT((IFERROR(MONTH(BANCA!$B8:$B4155)=MONTH(H$2),FALSE))*(BANCA!$G8:$G4155="Sanzioni tributarie e previdenziali")*(IFERROR(ROUND(BANCA!$F8:$F4155,2),0)))+
SUMPRODUCT((IFERROR(MONTH(BANCA!$B8:$B4155)=MONTH(H$2),FALSE))*(BANCA!$G8:$G4155="Altri oneri di gestione")*(IFERROR(ROUND(BANCA!$F8:$F4155,2),0)))+
SUMPRODUCT((IFERROR(MONTH(BANCA!$B8:$B4155)=MONTH(H$2),FALSE))*(BANCA!$G8:$G4155="Tassa annuale libri sociali")*(IFERROR(ROUND(BANCA!$F8:$F4155,2),0)))</f>
        <v>170.79</v>
      </c>
      <c r="I64" s="297"/>
      <c r="J64" s="297" cm="1">
        <f t="array" ref="J64">SUMPRODUCT((IFERROR(MONTH(CASSA!$B7:$B3155)=MONTH(J$2),FALSE))*(CASSA!$G7:$G3155="IMPOSTA DI BOLLO")*(IFERROR(ROUND(CASSA!$F7:$F3155,2),0)))+
SUMPRODUCT((IFERROR(MONTH(CASSA!$B7:$B3155)=MONTH(J$2),FALSE))*(CASSA!$G7:$G3155="Tassa annuale libri sociali")*(IFERROR(ROUND(CASSA!$F7:$F3155,2),0)))+
SUMPRODUCT((IFERROR(MONTH(CASSA!$B7:$B3155)=MONTH(J$2),FALSE))*(CASSA!$G7:$G3155="Abbonamenti e pubblicazioni")*(IFERROR(ROUND(CASSA!$F7:$F3155,2),0)))+
SUMPRODUCT((IFERROR(MONTH(CASSA!$B7:$B3155)=MONTH(J$2),FALSE))*(CASSA!$G7:$G3155="Spese camerali, catastali e diritti vari")*(IFERROR(ROUND(CASSA!$F7:$F3155,2),0)))+
SUMPRODUCT((IFERROR(MONTH(CASSA!$B7:$B3155)=MONTH(J$2),FALSE))*(CASSA!$G7:$G3155="Sanzioni tributarie e previdenziali")*(IFERROR(ROUND(CASSA!$F7:$F3155,2),0)))+
SUMPRODUCT((IFERROR(MONTH(CASSA!$B7:$B3155)=MONTH(J$2),FALSE))*(CASSA!$G7:$G3155="Altri oneri di gestione")*(IFERROR(ROUND(CASSA!$F7:$F3155,2),0)))+
SUMPRODUCT((IFERROR(MONTH(BANCA!$B8:$B4155)=MONTH(J$2),FALSE))*(BANCA!$G8:$G4155="IMPOSTA DI BOLLO")*(IFERROR(ROUND(BANCA!$F8:$F4155,2),0)))+
SUMPRODUCT((IFERROR(MONTH(BANCA!$B8:$B4155)=MONTH(J$2),FALSE))*(BANCA!$G8:$G4155="Abbonamenti e pubblicazioni")*(IFERROR(ROUND(BANCA!$F8:$F4155,2),0)))+
SUMPRODUCT((IFERROR(MONTH(BANCA!$B8:$B4155)=MONTH(J$2),FALSE))*(BANCA!$G8:$G4155="Spese camerali, catastali e diritti vari")*(IFERROR(ROUND(BANCA!$F8:$F4155,2),0)))+
SUMPRODUCT((IFERROR(MONTH(BANCA!$B8:$B4155)=MONTH(J$2),FALSE))*(BANCA!$G8:$G4155="Sanzioni tributarie e previdenziali")*(IFERROR(ROUND(BANCA!$F8:$F4155,2),0)))+
SUMPRODUCT((IFERROR(MONTH(BANCA!$B8:$B4155)=MONTH(J$2),FALSE))*(BANCA!$G8:$G4155="Altri oneri di gestione")*(IFERROR(ROUND(BANCA!$F8:$F4155,2),0)))+
SUMPRODUCT((IFERROR(MONTH(BANCA!$B8:$B4155)=MONTH(J$2),FALSE))*(BANCA!$G8:$G4155="Tassa annuale libri sociali")*(IFERROR(ROUND(BANCA!$F8:$F4155,2),0)))</f>
        <v>81.300000000000011</v>
      </c>
      <c r="K64" s="297"/>
      <c r="L64" s="297" cm="1">
        <f t="array" ref="L64">SUMPRODUCT((IFERROR(MONTH(CASSA!$B7:$B3155)=MONTH(L$2),FALSE))*(CASSA!$G7:$G3155="IMPOSTA DI BOLLO")*(IFERROR(ROUND(CASSA!$F7:$F3155,2),0)))+
SUMPRODUCT((IFERROR(MONTH(CASSA!$B7:$B3155)=MONTH(L$2),FALSE))*(CASSA!$G7:$G3155="Tassa annuale libri sociali")*(IFERROR(ROUND(CASSA!$F7:$F3155,2),0)))+
SUMPRODUCT((IFERROR(MONTH(CASSA!$B7:$B3155)=MONTH(L$2),FALSE))*(CASSA!$G7:$G3155="Abbonamenti e pubblicazioni")*(IFERROR(ROUND(CASSA!$F7:$F3155,2),0)))+
SUMPRODUCT((IFERROR(MONTH(CASSA!$B7:$B3155)=MONTH(L$2),FALSE))*(CASSA!$G7:$G3155="Spese camerali, catastali e diritti vari")*(IFERROR(ROUND(CASSA!$F7:$F3155,2),0)))+
SUMPRODUCT((IFERROR(MONTH(CASSA!$B7:$B3155)=MONTH(L$2),FALSE))*(CASSA!$G7:$G3155="Sanzioni tributarie e previdenziali")*(IFERROR(ROUND(CASSA!$F7:$F3155,2),0)))+
SUMPRODUCT((IFERROR(MONTH(CASSA!$B7:$B3155)=MONTH(L$2),FALSE))*(CASSA!$G7:$G3155="Altri oneri di gestione")*(IFERROR(ROUND(CASSA!$F7:$F3155,2),0)))+
SUMPRODUCT((IFERROR(MONTH(BANCA!$B8:$B4155)=MONTH(L$2),FALSE))*(BANCA!$G8:$G4155="IMPOSTA DI BOLLO")*(IFERROR(ROUND(BANCA!$F8:$F4155,2),0)))+
SUMPRODUCT((IFERROR(MONTH(BANCA!$B8:$B4155)=MONTH(L$2),FALSE))*(BANCA!$G8:$G4155="Abbonamenti e pubblicazioni")*(IFERROR(ROUND(BANCA!$F8:$F4155,2),0)))+
SUMPRODUCT((IFERROR(MONTH(BANCA!$B8:$B4155)=MONTH(L$2),FALSE))*(BANCA!$G8:$G4155="Spese camerali, catastali e diritti vari")*(IFERROR(ROUND(BANCA!$F8:$F4155,2),0)))+
SUMPRODUCT((IFERROR(MONTH(BANCA!$B8:$B4155)=MONTH(L$2),FALSE))*(BANCA!$G8:$G4155="Sanzioni tributarie e previdenziali")*(IFERROR(ROUND(BANCA!$F8:$F4155,2),0)))+
SUMPRODUCT((IFERROR(MONTH(BANCA!$B8:$B4155)=MONTH(L$2),FALSE))*(BANCA!$G8:$G4155="Altri oneri di gestione")*(IFERROR(ROUND(BANCA!$F8:$F4155,2),0)))+
SUMPRODUCT((IFERROR(MONTH(BANCA!$B8:$B4155)=MONTH(L$2),FALSE))*(BANCA!$G8:$G4155="Tassa annuale libri sociali")*(IFERROR(ROUND(BANCA!$F8:$F4155,2),0)))</f>
        <v>4297.18</v>
      </c>
      <c r="M64" s="297"/>
      <c r="N64" s="297" cm="1">
        <f t="array" ref="N64">SUMPRODUCT((IFERROR(MONTH(CASSA!$B7:$B3155)=MONTH(N$2),FALSE))*(CASSA!$G7:$G3155="IMPOSTA DI BOLLO")*(IFERROR(ROUND(CASSA!$F7:$F3155,2),0)))+
SUMPRODUCT((IFERROR(MONTH(CASSA!$B7:$B3155)=MONTH(N$2),FALSE))*(CASSA!$G7:$G3155="Tassa annuale libri sociali")*(IFERROR(ROUND(CASSA!$F7:$F3155,2),0)))+
SUMPRODUCT((IFERROR(MONTH(CASSA!$B7:$B3155)=MONTH(N$2),FALSE))*(CASSA!$G7:$G3155="Abbonamenti e pubblicazioni")*(IFERROR(ROUND(CASSA!$F7:$F3155,2),0)))+
SUMPRODUCT((IFERROR(MONTH(CASSA!$B7:$B3155)=MONTH(N$2),FALSE))*(CASSA!$G7:$G3155="Spese camerali, catastali e diritti vari")*(IFERROR(ROUND(CASSA!$F7:$F3155,2),0)))+
SUMPRODUCT((IFERROR(MONTH(CASSA!$B7:$B3155)=MONTH(N$2),FALSE))*(CASSA!$G7:$G3155="Sanzioni tributarie e previdenziali")*(IFERROR(ROUND(CASSA!$F7:$F3155,2),0)))+
SUMPRODUCT((IFERROR(MONTH(CASSA!$B7:$B3155)=MONTH(N$2),FALSE))*(CASSA!$G7:$G3155="Altri oneri di gestione")*(IFERROR(ROUND(CASSA!$F7:$F3155,2),0)))+
SUMPRODUCT((IFERROR(MONTH(BANCA!$B8:$B4155)=MONTH(N$2),FALSE))*(BANCA!$G8:$G4155="IMPOSTA DI BOLLO")*(IFERROR(ROUND(BANCA!$F8:$F4155,2),0)))+
SUMPRODUCT((IFERROR(MONTH(BANCA!$B8:$B4155)=MONTH(N$2),FALSE))*(BANCA!$G8:$G4155="Abbonamenti e pubblicazioni")*(IFERROR(ROUND(BANCA!$F8:$F4155,2),0)))+
SUMPRODUCT((IFERROR(MONTH(BANCA!$B8:$B4155)=MONTH(N$2),FALSE))*(BANCA!$G8:$G4155="Spese camerali, catastali e diritti vari")*(IFERROR(ROUND(BANCA!$F8:$F4155,2),0)))+
SUMPRODUCT((IFERROR(MONTH(BANCA!$B8:$B4155)=MONTH(N$2),FALSE))*(BANCA!$G8:$G4155="Sanzioni tributarie e previdenziali")*(IFERROR(ROUND(BANCA!$F8:$F4155,2),0)))+
SUMPRODUCT((IFERROR(MONTH(BANCA!$B8:$B4155)=MONTH(N$2),FALSE))*(BANCA!$G8:$G4155="Altri oneri di gestione")*(IFERROR(ROUND(BANCA!$F8:$F4155,2),0)))+
SUMPRODUCT((IFERROR(MONTH(BANCA!$B8:$B4155)=MONTH(N$2),FALSE))*(BANCA!$G8:$G4155="Tassa annuale libri sociali")*(IFERROR(ROUND(BANCA!$F8:$F4155,2),0)))</f>
        <v>619.79</v>
      </c>
      <c r="O64" s="297"/>
      <c r="P64" s="297" cm="1">
        <f t="array" ref="P64">SUMPRODUCT((IFERROR(MONTH(CASSA!$B7:$B3155)=MONTH(P$2),FALSE))*(CASSA!$G7:$G3155="IMPOSTA DI BOLLO")*(IFERROR(ROUND(CASSA!$F7:$F3155,2),0)))+
SUMPRODUCT((IFERROR(MONTH(CASSA!$B7:$B3155)=MONTH(P$2),FALSE))*(CASSA!$G7:$G3155="Tassa annuale libri sociali")*(IFERROR(ROUND(CASSA!$F7:$F3155,2),0)))+
SUMPRODUCT((IFERROR(MONTH(CASSA!$B7:$B3155)=MONTH(P$2),FALSE))*(CASSA!$G7:$G3155="Abbonamenti e pubblicazioni")*(IFERROR(ROUND(CASSA!$F7:$F3155,2),0)))+
SUMPRODUCT((IFERROR(MONTH(CASSA!$B7:$B3155)=MONTH(P$2),FALSE))*(CASSA!$G7:$G3155="Spese camerali, catastali e diritti vari")*(IFERROR(ROUND(CASSA!$F7:$F3155,2),0)))+
SUMPRODUCT((IFERROR(MONTH(CASSA!$B7:$B3155)=MONTH(P$2),FALSE))*(CASSA!$G7:$G3155="Sanzioni tributarie e previdenziali")*(IFERROR(ROUND(CASSA!$F7:$F3155,2),0)))+
SUMPRODUCT((IFERROR(MONTH(CASSA!$B7:$B3155)=MONTH(P$2),FALSE))*(CASSA!$G7:$G3155="Altri oneri di gestione")*(IFERROR(ROUND(CASSA!$F7:$F3155,2),0)))+
SUMPRODUCT((IFERROR(MONTH(BANCA!$B8:$B4155)=MONTH(P$2),FALSE))*(BANCA!$G8:$G4155="IMPOSTA DI BOLLO")*(IFERROR(ROUND(BANCA!$F8:$F4155,2),0)))+
SUMPRODUCT((IFERROR(MONTH(BANCA!$B8:$B4155)=MONTH(P$2),FALSE))*(BANCA!$G8:$G4155="Abbonamenti e pubblicazioni")*(IFERROR(ROUND(BANCA!$F8:$F4155,2),0)))+
SUMPRODUCT((IFERROR(MONTH(BANCA!$B8:$B4155)=MONTH(P$2),FALSE))*(BANCA!$G8:$G4155="Spese camerali, catastali e diritti vari")*(IFERROR(ROUND(BANCA!$F8:$F4155,2),0)))+
SUMPRODUCT((IFERROR(MONTH(BANCA!$B8:$B4155)=MONTH(P$2),FALSE))*(BANCA!$G8:$G4155="Sanzioni tributarie e previdenziali")*(IFERROR(ROUND(BANCA!$F8:$F4155,2),0)))+
SUMPRODUCT((IFERROR(MONTH(BANCA!$B8:$B4155)=MONTH(P$2),FALSE))*(BANCA!$G8:$G4155="Altri oneri di gestione")*(IFERROR(ROUND(BANCA!$F8:$F4155,2),0)))+
SUMPRODUCT((IFERROR(MONTH(BANCA!$B8:$B4155)=MONTH(P$2),FALSE))*(BANCA!$G8:$G4155="Tassa annuale libri sociali")*(IFERROR(ROUND(BANCA!$F8:$F4155,2),0)))</f>
        <v>646.07999999999993</v>
      </c>
      <c r="Q64" s="297"/>
      <c r="R64" s="297" cm="1">
        <f t="array" ref="R64">SUMPRODUCT((IFERROR(MONTH(CASSA!$B7:$B3155)=MONTH(R$2),FALSE))*(CASSA!$G7:$G3155="IMPOSTA DI BOLLO")*(IFERROR(ROUND(CASSA!$F7:$F3155,2),0)))+
SUMPRODUCT((IFERROR(MONTH(CASSA!$B7:$B3155)=MONTH(R$2),FALSE))*(CASSA!$G7:$G3155="Tassa annuale libri sociali")*(IFERROR(ROUND(CASSA!$F7:$F3155,2),0)))+
SUMPRODUCT((IFERROR(MONTH(CASSA!$B7:$B3155)=MONTH(R$2),FALSE))*(CASSA!$G7:$G3155="Abbonamenti e pubblicazioni")*(IFERROR(ROUND(CASSA!$F7:$F3155,2),0)))+
SUMPRODUCT((IFERROR(MONTH(CASSA!$B7:$B3155)=MONTH(R$2),FALSE))*(CASSA!$G7:$G3155="Spese camerali, catastali e diritti vari")*(IFERROR(ROUND(CASSA!$F7:$F3155,2),0)))+
SUMPRODUCT((IFERROR(MONTH(CASSA!$B7:$B3155)=MONTH(R$2),FALSE))*(CASSA!$G7:$G3155="Sanzioni tributarie e previdenziali")*(IFERROR(ROUND(CASSA!$F7:$F3155,2),0)))+
SUMPRODUCT((IFERROR(MONTH(CASSA!$B7:$B3155)=MONTH(R$2),FALSE))*(CASSA!$G7:$G3155="Altri oneri di gestione")*(IFERROR(ROUND(CASSA!$F7:$F3155,2),0)))+
SUMPRODUCT((IFERROR(MONTH(BANCA!$B8:$B4155)=MONTH(R$2),FALSE))*(BANCA!$G8:$G4155="IMPOSTA DI BOLLO")*(IFERROR(ROUND(BANCA!$F8:$F4155,2),0)))+
SUMPRODUCT((IFERROR(MONTH(BANCA!$B8:$B4155)=MONTH(R$2),FALSE))*(BANCA!$G8:$G4155="Abbonamenti e pubblicazioni")*(IFERROR(ROUND(BANCA!$F8:$F4155,2),0)))+
SUMPRODUCT((IFERROR(MONTH(BANCA!$B8:$B4155)=MONTH(R$2),FALSE))*(BANCA!$G8:$G4155="Spese camerali, catastali e diritti vari")*(IFERROR(ROUND(BANCA!$F8:$F4155,2),0)))+
SUMPRODUCT((IFERROR(MONTH(BANCA!$B8:$B4155)=MONTH(R$2),FALSE))*(BANCA!$G8:$G4155="Sanzioni tributarie e previdenziali")*(IFERROR(ROUND(BANCA!$F8:$F4155,2),0)))+
SUMPRODUCT((IFERROR(MONTH(BANCA!$B8:$B4155)=MONTH(R$2),FALSE))*(BANCA!$G8:$G4155="Altri oneri di gestione")*(IFERROR(ROUND(BANCA!$F8:$F4155,2),0)))+
SUMPRODUCT((IFERROR(MONTH(BANCA!$B8:$B4155)=MONTH(R$2),FALSE))*(BANCA!$G8:$G4155="Tassa annuale libri sociali")*(IFERROR(ROUND(BANCA!$F8:$F4155,2),0)))</f>
        <v>498.73</v>
      </c>
      <c r="S64" s="297"/>
      <c r="T64" s="297" cm="1">
        <f t="array" ref="T64">SUMPRODUCT((IFERROR(MONTH(CASSA!$B7:$B3155)=MONTH(T$2),FALSE))*(CASSA!$G7:$G3155="IMPOSTA DI BOLLO")*(IFERROR(ROUND(CASSA!$F7:$F3155,2),0)))+
SUMPRODUCT((IFERROR(MONTH(CASSA!$B7:$B3155)=MONTH(T$2),FALSE))*(CASSA!$G7:$G3155="Tassa annuale libri sociali")*(IFERROR(ROUND(CASSA!$F7:$F3155,2),0)))+
SUMPRODUCT((IFERROR(MONTH(CASSA!$B7:$B3155)=MONTH(T$2),FALSE))*(CASSA!$G7:$G3155="Abbonamenti e pubblicazioni")*(IFERROR(ROUND(CASSA!$F7:$F3155,2),0)))+
SUMPRODUCT((IFERROR(MONTH(CASSA!$B7:$B3155)=MONTH(T$2),FALSE))*(CASSA!$G7:$G3155="Spese camerali, catastali e diritti vari")*(IFERROR(ROUND(CASSA!$F7:$F3155,2),0)))+
SUMPRODUCT((IFERROR(MONTH(CASSA!$B7:$B3155)=MONTH(T$2),FALSE))*(CASSA!$G7:$G3155="Sanzioni tributarie e previdenziali")*(IFERROR(ROUND(CASSA!$F7:$F3155,2),0)))+
SUMPRODUCT((IFERROR(MONTH(CASSA!$B7:$B3155)=MONTH(T$2),FALSE))*(CASSA!$G7:$G3155="Altri oneri di gestione")*(IFERROR(ROUND(CASSA!$F7:$F3155,2),0)))+
SUMPRODUCT((IFERROR(MONTH(BANCA!$B8:$B4155)=MONTH(T$2),FALSE))*(BANCA!$G8:$G4155="IMPOSTA DI BOLLO")*(IFERROR(ROUND(BANCA!$F8:$F4155,2),0)))+
SUMPRODUCT((IFERROR(MONTH(BANCA!$B8:$B4155)=MONTH(T$2),FALSE))*(BANCA!$G8:$G4155="Abbonamenti e pubblicazioni")*(IFERROR(ROUND(BANCA!$F8:$F4155,2),0)))+
SUMPRODUCT((IFERROR(MONTH(BANCA!$B8:$B4155)=MONTH(T$2),FALSE))*(BANCA!$G8:$G4155="Spese camerali, catastali e diritti vari")*(IFERROR(ROUND(BANCA!$F8:$F4155,2),0)))+
SUMPRODUCT((IFERROR(MONTH(BANCA!$B8:$B4155)=MONTH(T$2),FALSE))*(BANCA!$G8:$G4155="Sanzioni tributarie e previdenziali")*(IFERROR(ROUND(BANCA!$F8:$F4155,2),0)))+
SUMPRODUCT((IFERROR(MONTH(BANCA!$B8:$B4155)=MONTH(T$2),FALSE))*(BANCA!$G8:$G4155="Altri oneri di gestione")*(IFERROR(ROUND(BANCA!$F8:$F4155,2),0)))+
SUMPRODUCT((IFERROR(MONTH(BANCA!$B8:$B4155)=MONTH(T$2),FALSE))*(BANCA!$G8:$G4155="Tassa annuale libri sociali")*(IFERROR(ROUND(BANCA!$F8:$F4155,2),0)))</f>
        <v>1695.6</v>
      </c>
      <c r="U64" s="297"/>
      <c r="V64" s="297" cm="1">
        <f t="array" ref="V64">SUMPRODUCT((IFERROR(MONTH(CASSA!$B7:$B3155)=MONTH(V$2),FALSE))*(CASSA!$G7:$G3155="IMPOSTA DI BOLLO")*(IFERROR(ROUND(CASSA!$F7:$F3155,2),0)))+
SUMPRODUCT((IFERROR(MONTH(CASSA!$B7:$B3155)=MONTH(V$2),FALSE))*(CASSA!$G7:$G3155="Tassa annuale libri sociali")*(IFERROR(ROUND(CASSA!$F7:$F3155,2),0)))+
SUMPRODUCT((IFERROR(MONTH(CASSA!$B7:$B3155)=MONTH(V$2),FALSE))*(CASSA!$G7:$G3155="Abbonamenti e pubblicazioni")*(IFERROR(ROUND(CASSA!$F7:$F3155,2),0)))+
SUMPRODUCT((IFERROR(MONTH(CASSA!$B7:$B3155)=MONTH(V$2),FALSE))*(CASSA!$G7:$G3155="Spese camerali, catastali e diritti vari")*(IFERROR(ROUND(CASSA!$F7:$F3155,2),0)))+
SUMPRODUCT((IFERROR(MONTH(CASSA!$B7:$B3155)=MONTH(V$2),FALSE))*(CASSA!$G7:$G3155="Sanzioni tributarie e previdenziali")*(IFERROR(ROUND(CASSA!$F7:$F3155,2),0)))+
SUMPRODUCT((IFERROR(MONTH(CASSA!$B7:$B3155)=MONTH(V$2),FALSE))*(CASSA!$G7:$G3155="Altri oneri di gestione")*(IFERROR(ROUND(CASSA!$F7:$F3155,2),0)))+
SUMPRODUCT((IFERROR(MONTH(BANCA!$B8:$B4155)=MONTH(V$2),FALSE))*(BANCA!$G8:$G4155="IMPOSTA DI BOLLO")*(IFERROR(ROUND(BANCA!$F8:$F4155,2),0)))+
SUMPRODUCT((IFERROR(MONTH(BANCA!$B8:$B4155)=MONTH(V$2),FALSE))*(BANCA!$G8:$G4155="Abbonamenti e pubblicazioni")*(IFERROR(ROUND(BANCA!$F8:$F4155,2),0)))+
SUMPRODUCT((IFERROR(MONTH(BANCA!$B8:$B4155)=MONTH(V$2),FALSE))*(BANCA!$G8:$G4155="Spese camerali, catastali e diritti vari")*(IFERROR(ROUND(BANCA!$F8:$F4155,2),0)))+
SUMPRODUCT((IFERROR(MONTH(BANCA!$B8:$B4155)=MONTH(V$2),FALSE))*(BANCA!$G8:$G4155="Sanzioni tributarie e previdenziali")*(IFERROR(ROUND(BANCA!$F8:$F4155,2),0)))+
SUMPRODUCT((IFERROR(MONTH(BANCA!$B8:$B4155)=MONTH(V$2),FALSE))*(BANCA!$G8:$G4155="Altri oneri di gestione")*(IFERROR(ROUND(BANCA!$F8:$F4155,2),0)))+
SUMPRODUCT((IFERROR(MONTH(BANCA!$B8:$B4155)=MONTH(V$2),FALSE))*(BANCA!$G8:$G4155="Tassa annuale libri sociali")*(IFERROR(ROUND(BANCA!$F8:$F4155,2),0)))</f>
        <v>156</v>
      </c>
      <c r="W64" s="297"/>
      <c r="X64" s="297" cm="1">
        <f t="array" ref="X64">SUMPRODUCT((IFERROR(MONTH(CASSA!$B7:$B3155)=MONTH(X$2),FALSE))*(CASSA!$G7:$G3155="IMPOSTA DI BOLLO")*(IFERROR(ROUND(CASSA!$F7:$F3155,2),0)))+
SUMPRODUCT((IFERROR(MONTH(CASSA!$B7:$B3155)=MONTH(X$2),FALSE))*(CASSA!$G7:$G3155="Tassa annuale libri sociali")*(IFERROR(ROUND(CASSA!$F7:$F3155,2),0)))+
SUMPRODUCT((IFERROR(MONTH(CASSA!$B7:$B3155)=MONTH(X$2),FALSE))*(CASSA!$G7:$G3155="Abbonamenti e pubblicazioni")*(IFERROR(ROUND(CASSA!$F7:$F3155,2),0)))+
SUMPRODUCT((IFERROR(MONTH(CASSA!$B7:$B3155)=MONTH(X$2),FALSE))*(CASSA!$G7:$G3155="Spese camerali, catastali e diritti vari")*(IFERROR(ROUND(CASSA!$F7:$F3155,2),0)))+
SUMPRODUCT((IFERROR(MONTH(CASSA!$B7:$B3155)=MONTH(X$2),FALSE))*(CASSA!$G7:$G3155="Sanzioni tributarie e previdenziali")*(IFERROR(ROUND(CASSA!$F7:$F3155,2),0)))+
SUMPRODUCT((IFERROR(MONTH(CASSA!$B7:$B3155)=MONTH(X$2),FALSE))*(CASSA!$G7:$G3155="Altri oneri di gestione")*(IFERROR(ROUND(CASSA!$F7:$F3155,2),0)))+
SUMPRODUCT((IFERROR(MONTH(BANCA!$B8:$B4155)=MONTH(X$2),FALSE))*(BANCA!$G8:$G4155="IMPOSTA DI BOLLO")*(IFERROR(ROUND(BANCA!$F8:$F4155,2),0)))+
SUMPRODUCT((IFERROR(MONTH(BANCA!$B8:$B4155)=MONTH(X$2),FALSE))*(BANCA!$G8:$G4155="Abbonamenti e pubblicazioni")*(IFERROR(ROUND(BANCA!$F8:$F4155,2),0)))+
SUMPRODUCT((IFERROR(MONTH(BANCA!$B8:$B4155)=MONTH(X$2),FALSE))*(BANCA!$G8:$G4155="Spese camerali, catastali e diritti vari")*(IFERROR(ROUND(BANCA!$F8:$F4155,2),0)))+
SUMPRODUCT((IFERROR(MONTH(BANCA!$B8:$B4155)=MONTH(X$2),FALSE))*(BANCA!$G8:$G4155="Sanzioni tributarie e previdenziali")*(IFERROR(ROUND(BANCA!$F8:$F4155,2),0)))+
SUMPRODUCT((IFERROR(MONTH(BANCA!$B8:$B4155)=MONTH(X$2),FALSE))*(BANCA!$G8:$G4155="Altri oneri di gestione")*(IFERROR(ROUND(BANCA!$F8:$F4155,2),0)))+
SUMPRODUCT((IFERROR(MONTH(BANCA!$B8:$B4155)=MONTH(X$2),FALSE))*(BANCA!$G8:$G4155="Tassa annuale libri sociali")*(IFERROR(ROUND(BANCA!$F8:$F4155,2),0)))</f>
        <v>0</v>
      </c>
      <c r="Y64" s="297"/>
      <c r="Z64" s="297" cm="1">
        <f t="array" ref="Z64">SUMPRODUCT((IFERROR(MONTH(CASSA!$B7:$B3155)=MONTH(Z$2),FALSE))*(CASSA!$G7:$G3155="IMPOSTA DI BOLLO")*(IFERROR(ROUND(CASSA!$F7:$F3155,2),0)))+
SUMPRODUCT((IFERROR(MONTH(CASSA!$B7:$B3155)=MONTH(Z$2),FALSE))*(CASSA!$G7:$G3155="Tassa annuale libri sociali")*(IFERROR(ROUND(CASSA!$F7:$F3155,2),0)))+
SUMPRODUCT((IFERROR(MONTH(CASSA!$B7:$B3155)=MONTH(Z$2),FALSE))*(CASSA!$G7:$G3155="Abbonamenti e pubblicazioni")*(IFERROR(ROUND(CASSA!$F7:$F3155,2),0)))+
SUMPRODUCT((IFERROR(MONTH(CASSA!$B7:$B3155)=MONTH(Z$2),FALSE))*(CASSA!$G7:$G3155="Spese camerali, catastali e diritti vari")*(IFERROR(ROUND(CASSA!$F7:$F3155,2),0)))+
SUMPRODUCT((IFERROR(MONTH(CASSA!$B7:$B3155)=MONTH(Z$2),FALSE))*(CASSA!$G7:$G3155="Sanzioni tributarie e previdenziali")*(IFERROR(ROUND(CASSA!$F7:$F3155,2),0)))+
SUMPRODUCT((IFERROR(MONTH(CASSA!$B7:$B3155)=MONTH(Z$2),FALSE))*(CASSA!$G7:$G3155="Altri oneri di gestione")*(IFERROR(ROUND(CASSA!$F7:$F3155,2),0)))+
SUMPRODUCT((IFERROR(MONTH(BANCA!$B8:$B4155)=MONTH(Z$2),FALSE))*(BANCA!$G8:$G4155="IMPOSTA DI BOLLO")*(IFERROR(ROUND(BANCA!$F8:$F4155,2),0)))+
SUMPRODUCT((IFERROR(MONTH(BANCA!$B8:$B4155)=MONTH(Z$2),FALSE))*(BANCA!$G8:$G4155="Abbonamenti e pubblicazioni")*(IFERROR(ROUND(BANCA!$F8:$F4155,2),0)))+
SUMPRODUCT((IFERROR(MONTH(BANCA!$B8:$B4155)=MONTH(Z$2),FALSE))*(BANCA!$G8:$G4155="Spese camerali, catastali e diritti vari")*(IFERROR(ROUND(BANCA!$F8:$F4155,2),0)))+
SUMPRODUCT((IFERROR(MONTH(BANCA!$B8:$B4155)=MONTH(Z$2),FALSE))*(BANCA!$G8:$G4155="Sanzioni tributarie e previdenziali")*(IFERROR(ROUND(BANCA!$F8:$F4155,2),0)))+
SUMPRODUCT((IFERROR(MONTH(BANCA!$B8:$B4155)=MONTH(Z$2),FALSE))*(BANCA!$G8:$G4155="Altri oneri di gestione")*(IFERROR(ROUND(BANCA!$F8:$F4155,2),0)))+
SUMPRODUCT((IFERROR(MONTH(BANCA!$B8:$B4155)=MONTH(Z$2),FALSE))*(BANCA!$G8:$G4155="Tassa annuale libri sociali")*(IFERROR(ROUND(BANCA!$F8:$F4155,2),0)))</f>
        <v>130</v>
      </c>
      <c r="AA64" s="297"/>
      <c r="AB64" s="769">
        <f t="shared" si="20"/>
        <v>8945.11</v>
      </c>
      <c r="AC64" s="284"/>
      <c r="AD64" s="284"/>
      <c r="AE64" s="284"/>
      <c r="AF64" s="284"/>
      <c r="AG64" s="284"/>
      <c r="AH64" s="284"/>
      <c r="AI64" s="284"/>
      <c r="AJ64" s="284"/>
      <c r="AK64" s="284"/>
      <c r="AL64" s="284"/>
      <c r="AM64" s="284"/>
      <c r="AN64" s="284"/>
    </row>
    <row r="65" spans="2:40" s="232" customFormat="1" ht="18" customHeight="1">
      <c r="B65" s="905" t="s">
        <v>166</v>
      </c>
      <c r="C65" s="905"/>
      <c r="D65" s="297" cm="1">
        <f t="array" ref="D65">SUMPRODUCT((IFERROR(MONTH(CASSA!$B7:$B3155)=MONTH(D$2),FALSE))*(CASSA!$G7:$G3155="INTERESSI SUI MUTI")*(IFERROR(ROUND(CASSA!$F7:$F3155,2),0)))+
SUMPRODUCT((IFERROR(MONTH(CASSA!$B7:$B3155)=MONTH(D$2),FALSE))*(CASSA!$G7:$G3155="Interessi di mora verso i fornitori")*(IFERROR(ROUND(CASSA!$F7:$F3155,2),0)))+
SUMPRODUCT((IFERROR(MONTH(CASSA!$B7:$B3155)=MONTH(D$2),FALSE))*(CASSA!$G7:$G3155="Interessi da ravvedimenti operosi")*(IFERROR(ROUND(CASSA!$F7:$F3155,2),0)))+
SUMPRODUCT((IFERROR(MONTH(CASSA!$B7:$B3155)=MONTH(D$2),FALSE))*(CASSA!$G7:$G3155="Spese e servizi bancari (finanziari)")*(IFERROR(ROUND(CASSA!$F7:$F3155,2),0)))+
SUMPRODUCT((IFERROR(MONTH(BANCA!$B8:$B4155)=MONTH(D$2),FALSE))*(BANCA!$G8:$G4155="INTERESSI SUI MUTI")*(IFERROR(ROUND(BANCA!$F8:$F4155,2),0)))+
SUMPRODUCT((IFERROR(MONTH(BANCA!$B8:$B4155)=MONTH(D$2),FALSE))*(BANCA!$G8:$G4155="Interessi da ravvedimenti operosi")*(IFERROR(ROUND(BANCA!$F8:$F4155,2),0)))+
SUMPRODUCT((IFERROR(MONTH(BANCA!$B8:$B4155)=MONTH(D$2),FALSE))*(BANCA!$G8:$G4155="Spese e servizi bancari (finanziari)")*(IFERROR(ROUND(BANCA!$F8:$F4155,2),0)))+
SUMPRODUCT((IFERROR(MONTH(BANCA!$B8:$B4155)=MONTH(D$2),FALSE))*(BANCA!$G8:$G4155="Interessi di mora verso i fornitori")*(IFERROR(ROUND(BANCA!$F8:$F4155,2),0)))</f>
        <v>144.10999999999999</v>
      </c>
      <c r="E65" s="297"/>
      <c r="F65" s="297" cm="1">
        <f t="array" ref="F65">SUMPRODUCT((IFERROR(MONTH(CASSA!$B7:$B3155)=MONTH(F$2),FALSE))*(CASSA!$G7:$G3155="INTERESSI SUI MUTI")*(IFERROR(ROUND(CASSA!$F7:$F3155,2),0)))+
SUMPRODUCT((IFERROR(MONTH(CASSA!$B7:$B3155)=MONTH(F$2),FALSE))*(CASSA!$G7:$G3155="Interessi di mora verso i fornitori")*(IFERROR(ROUND(CASSA!$F7:$F3155,2),0)))+
SUMPRODUCT((IFERROR(MONTH(CASSA!$B7:$B3155)=MONTH(F$2),FALSE))*(CASSA!$G7:$G3155="Interessi da ravvedimenti operosi")*(IFERROR(ROUND(CASSA!$F7:$F3155,2),0)))+
SUMPRODUCT((IFERROR(MONTH(CASSA!$B7:$B3155)=MONTH(F$2),FALSE))*(CASSA!$G7:$G3155="Spese e servizi bancari (finanziari)")*(IFERROR(ROUND(CASSA!$F7:$F3155,2),0)))+
SUMPRODUCT((IFERROR(MONTH(BANCA!$B8:$B4155)=MONTH(F$2),FALSE))*(BANCA!$G8:$G4155="INTERESSI SUI MUTI")*(IFERROR(ROUND(BANCA!$F8:$F4155,2),0)))+
SUMPRODUCT((IFERROR(MONTH(BANCA!$B8:$B4155)=MONTH(F$2),FALSE))*(BANCA!$G8:$G4155="Interessi da ravvedimenti operosi")*(IFERROR(ROUND(BANCA!$F8:$F4155,2),0)))+
SUMPRODUCT((IFERROR(MONTH(BANCA!$B8:$B4155)=MONTH(F$2),FALSE))*(BANCA!$G8:$G4155="Spese e servizi bancari (finanziari)")*(IFERROR(ROUND(BANCA!$F8:$F4155,2),0)))+
SUMPRODUCT((IFERROR(MONTH(BANCA!$B8:$B4155)=MONTH(F$2),FALSE))*(BANCA!$G8:$G4155="Interessi di mora verso i fornitori")*(IFERROR(ROUND(BANCA!$F8:$F4155,2),0)))</f>
        <v>135.45999999999998</v>
      </c>
      <c r="G65" s="297"/>
      <c r="H65" s="297" cm="1">
        <f t="array" ref="H65">SUMPRODUCT((IFERROR(MONTH(CASSA!$B7:$B3155)=MONTH(H$2),FALSE))*(CASSA!$G7:$G3155="INTERESSI SUI MUTI")*(IFERROR(ROUND(CASSA!$F7:$F3155,2),0)))+
SUMPRODUCT((IFERROR(MONTH(CASSA!$B7:$B3155)=MONTH(H$2),FALSE))*(CASSA!$G7:$G3155="Interessi di mora verso i fornitori")*(IFERROR(ROUND(CASSA!$F7:$F3155,2),0)))+
SUMPRODUCT((IFERROR(MONTH(CASSA!$B7:$B3155)=MONTH(H$2),FALSE))*(CASSA!$G7:$G3155="Interessi da ravvedimenti operosi")*(IFERROR(ROUND(CASSA!$F7:$F3155,2),0)))+
SUMPRODUCT((IFERROR(MONTH(CASSA!$B7:$B3155)=MONTH(H$2),FALSE))*(CASSA!$G7:$G3155="Spese e servizi bancari (finanziari)")*(IFERROR(ROUND(CASSA!$F7:$F3155,2),0)))+
SUMPRODUCT((IFERROR(MONTH(BANCA!$B8:$B4155)=MONTH(H$2),FALSE))*(BANCA!$G8:$G4155="INTERESSI SUI MUTI")*(IFERROR(ROUND(BANCA!$F8:$F4155,2),0)))+
SUMPRODUCT((IFERROR(MONTH(BANCA!$B8:$B4155)=MONTH(H$2),FALSE))*(BANCA!$G8:$G4155="Interessi da ravvedimenti operosi")*(IFERROR(ROUND(BANCA!$F8:$F4155,2),0)))+
SUMPRODUCT((IFERROR(MONTH(BANCA!$B8:$B4155)=MONTH(H$2),FALSE))*(BANCA!$G8:$G4155="Spese e servizi bancari (finanziari)")*(IFERROR(ROUND(BANCA!$F8:$F4155,2),0)))+
SUMPRODUCT((IFERROR(MONTH(BANCA!$B8:$B4155)=MONTH(H$2),FALSE))*(BANCA!$G8:$G4155="Interessi di mora verso i fornitori")*(IFERROR(ROUND(BANCA!$F8:$F4155,2),0)))</f>
        <v>124.99000000000001</v>
      </c>
      <c r="I65" s="297"/>
      <c r="J65" s="297" cm="1">
        <f t="array" ref="J65">SUMPRODUCT((IFERROR(MONTH(CASSA!$B7:$B3155)=MONTH(J$2),FALSE))*(CASSA!$G7:$G3155="INTERESSI SUI MUTI")*(IFERROR(ROUND(CASSA!$F7:$F3155,2),0)))+
SUMPRODUCT((IFERROR(MONTH(CASSA!$B7:$B3155)=MONTH(J$2),FALSE))*(CASSA!$G7:$G3155="Interessi di mora verso i fornitori")*(IFERROR(ROUND(CASSA!$F7:$F3155,2),0)))+
SUMPRODUCT((IFERROR(MONTH(CASSA!$B7:$B3155)=MONTH(J$2),FALSE))*(CASSA!$G7:$G3155="Interessi da ravvedimenti operosi")*(IFERROR(ROUND(CASSA!$F7:$F3155,2),0)))+
SUMPRODUCT((IFERROR(MONTH(CASSA!$B7:$B3155)=MONTH(J$2),FALSE))*(CASSA!$G7:$G3155="Spese e servizi bancari (finanziari)")*(IFERROR(ROUND(CASSA!$F7:$F3155,2),0)))+
SUMPRODUCT((IFERROR(MONTH(BANCA!$B8:$B4155)=MONTH(J$2),FALSE))*(BANCA!$G8:$G4155="INTERESSI SUI MUTI")*(IFERROR(ROUND(BANCA!$F8:$F4155,2),0)))+
SUMPRODUCT((IFERROR(MONTH(BANCA!$B8:$B4155)=MONTH(J$2),FALSE))*(BANCA!$G8:$G4155="Interessi da ravvedimenti operosi")*(IFERROR(ROUND(BANCA!$F8:$F4155,2),0)))+
SUMPRODUCT((IFERROR(MONTH(BANCA!$B8:$B4155)=MONTH(J$2),FALSE))*(BANCA!$G8:$G4155="Spese e servizi bancari (finanziari)")*(IFERROR(ROUND(BANCA!$F8:$F4155,2),0)))+
SUMPRODUCT((IFERROR(MONTH(BANCA!$B8:$B4155)=MONTH(J$2),FALSE))*(BANCA!$G8:$G4155="Interessi di mora verso i fornitori")*(IFERROR(ROUND(BANCA!$F8:$F4155,2),0)))</f>
        <v>114.16</v>
      </c>
      <c r="K65" s="297"/>
      <c r="L65" s="297" cm="1">
        <f t="array" ref="L65">SUMPRODUCT((IFERROR(MONTH(CASSA!$B7:$B3155)=MONTH(L$2),FALSE))*(CASSA!$G7:$G3155="INTERESSI SUI MUTI")*(IFERROR(ROUND(CASSA!$F7:$F3155,2),0)))+
SUMPRODUCT((IFERROR(MONTH(CASSA!$B7:$B3155)=MONTH(L$2),FALSE))*(CASSA!$G7:$G3155="Interessi di mora verso i fornitori")*(IFERROR(ROUND(CASSA!$F7:$F3155,2),0)))+
SUMPRODUCT((IFERROR(MONTH(CASSA!$B7:$B3155)=MONTH(L$2),FALSE))*(CASSA!$G7:$G3155="Interessi da ravvedimenti operosi")*(IFERROR(ROUND(CASSA!$F7:$F3155,2),0)))+
SUMPRODUCT((IFERROR(MONTH(CASSA!$B7:$B3155)=MONTH(L$2),FALSE))*(CASSA!$G7:$G3155="Spese e servizi bancari (finanziari)")*(IFERROR(ROUND(CASSA!$F7:$F3155,2),0)))+
SUMPRODUCT((IFERROR(MONTH(BANCA!$B8:$B4155)=MONTH(L$2),FALSE))*(BANCA!$G8:$G4155="INTERESSI SUI MUTI")*(IFERROR(ROUND(BANCA!$F8:$F4155,2),0)))+
SUMPRODUCT((IFERROR(MONTH(BANCA!$B8:$B4155)=MONTH(L$2),FALSE))*(BANCA!$G8:$G4155="Interessi da ravvedimenti operosi")*(IFERROR(ROUND(BANCA!$F8:$F4155,2),0)))+
SUMPRODUCT((IFERROR(MONTH(BANCA!$B8:$B4155)=MONTH(L$2),FALSE))*(BANCA!$G8:$G4155="Spese e servizi bancari (finanziari)")*(IFERROR(ROUND(BANCA!$F8:$F4155,2),0)))+
SUMPRODUCT((IFERROR(MONTH(BANCA!$B8:$B4155)=MONTH(L$2),FALSE))*(BANCA!$G8:$G4155="Interessi di mora verso i fornitori")*(IFERROR(ROUND(BANCA!$F8:$F4155,2),0)))</f>
        <v>164.72</v>
      </c>
      <c r="M65" s="297"/>
      <c r="N65" s="297" cm="1">
        <f t="array" ref="N65">SUMPRODUCT((IFERROR(MONTH(CASSA!$B7:$B3155)=MONTH(N$2),FALSE))*(CASSA!$G7:$G3155="INTERESSI SUI MUTI")*(IFERROR(ROUND(CASSA!$F7:$F3155,2),0)))+
SUMPRODUCT((IFERROR(MONTH(CASSA!$B7:$B3155)=MONTH(N$2),FALSE))*(CASSA!$G7:$G3155="Interessi di mora verso i fornitori")*(IFERROR(ROUND(CASSA!$F7:$F3155,2),0)))+
SUMPRODUCT((IFERROR(MONTH(CASSA!$B7:$B3155)=MONTH(N$2),FALSE))*(CASSA!$G7:$G3155="Interessi da ravvedimenti operosi")*(IFERROR(ROUND(CASSA!$F7:$F3155,2),0)))+
SUMPRODUCT((IFERROR(MONTH(CASSA!$B7:$B3155)=MONTH(N$2),FALSE))*(CASSA!$G7:$G3155="Spese e servizi bancari (finanziari)")*(IFERROR(ROUND(CASSA!$F7:$F3155,2),0)))+
SUMPRODUCT((IFERROR(MONTH(BANCA!$B8:$B4155)=MONTH(N$2),FALSE))*(BANCA!$G8:$G4155="INTERESSI SUI MUTI")*(IFERROR(ROUND(BANCA!$F8:$F4155,2),0)))+
SUMPRODUCT((IFERROR(MONTH(BANCA!$B8:$B4155)=MONTH(N$2),FALSE))*(BANCA!$G8:$G4155="Interessi da ravvedimenti operosi")*(IFERROR(ROUND(BANCA!$F8:$F4155,2),0)))+
SUMPRODUCT((IFERROR(MONTH(BANCA!$B8:$B4155)=MONTH(N$2),FALSE))*(BANCA!$G8:$G4155="Spese e servizi bancari (finanziari)")*(IFERROR(ROUND(BANCA!$F8:$F4155,2),0)))+
SUMPRODUCT((IFERROR(MONTH(BANCA!$B8:$B4155)=MONTH(N$2),FALSE))*(BANCA!$G8:$G4155="Interessi di mora verso i fornitori")*(IFERROR(ROUND(BANCA!$F8:$F4155,2),0)))</f>
        <v>98.87</v>
      </c>
      <c r="O65" s="297"/>
      <c r="P65" s="297" cm="1">
        <f t="array" ref="P65">SUMPRODUCT((IFERROR(MONTH(CASSA!$B7:$B3155)=MONTH(P$2),FALSE))*(CASSA!$G7:$G3155="INTERESSI SUI MUTI")*(IFERROR(ROUND(CASSA!$F7:$F3155,2),0)))+
SUMPRODUCT((IFERROR(MONTH(CASSA!$B7:$B3155)=MONTH(P$2),FALSE))*(CASSA!$G7:$G3155="Interessi di mora verso i fornitori")*(IFERROR(ROUND(CASSA!$F7:$F3155,2),0)))+
SUMPRODUCT((IFERROR(MONTH(CASSA!$B7:$B3155)=MONTH(P$2),FALSE))*(CASSA!$G7:$G3155="Interessi da ravvedimenti operosi")*(IFERROR(ROUND(CASSA!$F7:$F3155,2),0)))+
SUMPRODUCT((IFERROR(MONTH(CASSA!$B7:$B3155)=MONTH(P$2),FALSE))*(CASSA!$G7:$G3155="Spese e servizi bancari (finanziari)")*(IFERROR(ROUND(CASSA!$F7:$F3155,2),0)))+
SUMPRODUCT((IFERROR(MONTH(BANCA!$B8:$B4155)=MONTH(P$2),FALSE))*(BANCA!$G8:$G4155="INTERESSI SUI MUTI")*(IFERROR(ROUND(BANCA!$F8:$F4155,2),0)))+
SUMPRODUCT((IFERROR(MONTH(BANCA!$B8:$B4155)=MONTH(P$2),FALSE))*(BANCA!$G8:$G4155="Interessi da ravvedimenti operosi")*(IFERROR(ROUND(BANCA!$F8:$F4155,2),0)))+
SUMPRODUCT((IFERROR(MONTH(BANCA!$B8:$B4155)=MONTH(P$2),FALSE))*(BANCA!$G8:$G4155="Spese e servizi bancari (finanziari)")*(IFERROR(ROUND(BANCA!$F8:$F4155,2),0)))+
SUMPRODUCT((IFERROR(MONTH(BANCA!$B8:$B4155)=MONTH(P$2),FALSE))*(BANCA!$G8:$G4155="Interessi di mora verso i fornitori")*(IFERROR(ROUND(BANCA!$F8:$F4155,2),0)))</f>
        <v>91.5</v>
      </c>
      <c r="Q65" s="297"/>
      <c r="R65" s="297" cm="1">
        <f t="array" ref="R65">SUMPRODUCT((IFERROR(MONTH(CASSA!$B7:$B3155)=MONTH(R$2),FALSE))*(CASSA!$G7:$G3155="INTERESSI SUI MUTI")*(IFERROR(ROUND(CASSA!$F7:$F3155,2),0)))+
SUMPRODUCT((IFERROR(MONTH(CASSA!$B7:$B3155)=MONTH(R$2),FALSE))*(CASSA!$G7:$G3155="Interessi di mora verso i fornitori")*(IFERROR(ROUND(CASSA!$F7:$F3155,2),0)))+
SUMPRODUCT((IFERROR(MONTH(CASSA!$B7:$B3155)=MONTH(R$2),FALSE))*(CASSA!$G7:$G3155="Interessi da ravvedimenti operosi")*(IFERROR(ROUND(CASSA!$F7:$F3155,2),0)))+
SUMPRODUCT((IFERROR(MONTH(CASSA!$B7:$B3155)=MONTH(R$2),FALSE))*(CASSA!$G7:$G3155="Spese e servizi bancari (finanziari)")*(IFERROR(ROUND(CASSA!$F7:$F3155,2),0)))+
SUMPRODUCT((IFERROR(MONTH(BANCA!$B8:$B4155)=MONTH(R$2),FALSE))*(BANCA!$G8:$G4155="INTERESSI SUI MUTI")*(IFERROR(ROUND(BANCA!$F8:$F4155,2),0)))+
SUMPRODUCT((IFERROR(MONTH(BANCA!$B8:$B4155)=MONTH(R$2),FALSE))*(BANCA!$G8:$G4155="Interessi da ravvedimenti operosi")*(IFERROR(ROUND(BANCA!$F8:$F4155,2),0)))+
SUMPRODUCT((IFERROR(MONTH(BANCA!$B8:$B4155)=MONTH(R$2),FALSE))*(BANCA!$G8:$G4155="Spese e servizi bancari (finanziari)")*(IFERROR(ROUND(BANCA!$F8:$F4155,2),0)))+
SUMPRODUCT((IFERROR(MONTH(BANCA!$B8:$B4155)=MONTH(R$2),FALSE))*(BANCA!$G8:$G4155="Interessi di mora verso i fornitori")*(IFERROR(ROUND(BANCA!$F8:$F4155,2),0)))</f>
        <v>87.600000000000009</v>
      </c>
      <c r="S65" s="297"/>
      <c r="T65" s="297" cm="1">
        <f t="array" ref="T65">SUMPRODUCT((IFERROR(MONTH(CASSA!$B7:$B3155)=MONTH(T$2),FALSE))*(CASSA!$G7:$G3155="INTERESSI SUI MUTI")*(IFERROR(ROUND(CASSA!$F7:$F3155,2),0)))+
SUMPRODUCT((IFERROR(MONTH(CASSA!$B7:$B3155)=MONTH(T$2),FALSE))*(CASSA!$G7:$G3155="Interessi di mora verso i fornitori")*(IFERROR(ROUND(CASSA!$F7:$F3155,2),0)))+
SUMPRODUCT((IFERROR(MONTH(CASSA!$B7:$B3155)=MONTH(T$2),FALSE))*(CASSA!$G7:$G3155="Interessi da ravvedimenti operosi")*(IFERROR(ROUND(CASSA!$F7:$F3155,2),0)))+
SUMPRODUCT((IFERROR(MONTH(CASSA!$B7:$B3155)=MONTH(T$2),FALSE))*(CASSA!$G7:$G3155="Spese e servizi bancari (finanziari)")*(IFERROR(ROUND(CASSA!$F7:$F3155,2),0)))+
SUMPRODUCT((IFERROR(MONTH(BANCA!$B8:$B4155)=MONTH(T$2),FALSE))*(BANCA!$G8:$G4155="INTERESSI SUI MUTI")*(IFERROR(ROUND(BANCA!$F8:$F4155,2),0)))+
SUMPRODUCT((IFERROR(MONTH(BANCA!$B8:$B4155)=MONTH(T$2),FALSE))*(BANCA!$G8:$G4155="Interessi da ravvedimenti operosi")*(IFERROR(ROUND(BANCA!$F8:$F4155,2),0)))+
SUMPRODUCT((IFERROR(MONTH(BANCA!$B8:$B4155)=MONTH(T$2),FALSE))*(BANCA!$G8:$G4155="Spese e servizi bancari (finanziari)")*(IFERROR(ROUND(BANCA!$F8:$F4155,2),0)))+
SUMPRODUCT((IFERROR(MONTH(BANCA!$B8:$B4155)=MONTH(T$2),FALSE))*(BANCA!$G8:$G4155="Interessi di mora verso i fornitori")*(IFERROR(ROUND(BANCA!$F8:$F4155,2),0)))</f>
        <v>78.86</v>
      </c>
      <c r="U65" s="297"/>
      <c r="V65" s="297" cm="1">
        <f t="array" ref="V65">SUMPRODUCT((IFERROR(MONTH(CASSA!$B7:$B3155)=MONTH(V$2),FALSE))*(CASSA!$G7:$G3155="INTERESSI SUI MUTI")*(IFERROR(ROUND(CASSA!$F7:$F3155,2),0)))+
SUMPRODUCT((IFERROR(MONTH(CASSA!$B7:$B3155)=MONTH(V$2),FALSE))*(CASSA!$G7:$G3155="Interessi di mora verso i fornitori")*(IFERROR(ROUND(CASSA!$F7:$F3155,2),0)))+
SUMPRODUCT((IFERROR(MONTH(CASSA!$B7:$B3155)=MONTH(V$2),FALSE))*(CASSA!$G7:$G3155="Interessi da ravvedimenti operosi")*(IFERROR(ROUND(CASSA!$F7:$F3155,2),0)))+
SUMPRODUCT((IFERROR(MONTH(CASSA!$B7:$B3155)=MONTH(V$2),FALSE))*(CASSA!$G7:$G3155="Spese e servizi bancari (finanziari)")*(IFERROR(ROUND(CASSA!$F7:$F3155,2),0)))+
SUMPRODUCT((IFERROR(MONTH(BANCA!$B8:$B4155)=MONTH(V$2),FALSE))*(BANCA!$G8:$G4155="INTERESSI SUI MUTI")*(IFERROR(ROUND(BANCA!$F8:$F4155,2),0)))+
SUMPRODUCT((IFERROR(MONTH(BANCA!$B8:$B4155)=MONTH(V$2),FALSE))*(BANCA!$G8:$G4155="Interessi da ravvedimenti operosi")*(IFERROR(ROUND(BANCA!$F8:$F4155,2),0)))+
SUMPRODUCT((IFERROR(MONTH(BANCA!$B8:$B4155)=MONTH(V$2),FALSE))*(BANCA!$G8:$G4155="Spese e servizi bancari (finanziari)")*(IFERROR(ROUND(BANCA!$F8:$F4155,2),0)))+
SUMPRODUCT((IFERROR(MONTH(BANCA!$B8:$B4155)=MONTH(V$2),FALSE))*(BANCA!$G8:$G4155="Interessi di mora verso i fornitori")*(IFERROR(ROUND(BANCA!$F8:$F4155,2),0)))</f>
        <v>78.86</v>
      </c>
      <c r="W65" s="297"/>
      <c r="X65" s="297" cm="1">
        <f t="array" ref="X65">SUMPRODUCT((IFERROR(MONTH(CASSA!$B7:$B3155)=MONTH(X$2),FALSE))*(CASSA!$G7:$G3155="INTERESSI SUI MUTI")*(IFERROR(ROUND(CASSA!$F7:$F3155,2),0)))+
SUMPRODUCT((IFERROR(MONTH(CASSA!$B7:$B3155)=MONTH(X$2),FALSE))*(CASSA!$G7:$G3155="Interessi di mora verso i fornitori")*(IFERROR(ROUND(CASSA!$F7:$F3155,2),0)))+
SUMPRODUCT((IFERROR(MONTH(CASSA!$B7:$B3155)=MONTH(X$2),FALSE))*(CASSA!$G7:$G3155="Interessi da ravvedimenti operosi")*(IFERROR(ROUND(CASSA!$F7:$F3155,2),0)))+
SUMPRODUCT((IFERROR(MONTH(CASSA!$B7:$B3155)=MONTH(X$2),FALSE))*(CASSA!$G7:$G3155="Spese e servizi bancari (finanziari)")*(IFERROR(ROUND(CASSA!$F7:$F3155,2),0)))+
SUMPRODUCT((IFERROR(MONTH(BANCA!$B8:$B4155)=MONTH(X$2),FALSE))*(BANCA!$G8:$G4155="INTERESSI SUI MUTI")*(IFERROR(ROUND(BANCA!$F8:$F4155,2),0)))+
SUMPRODUCT((IFERROR(MONTH(BANCA!$B8:$B4155)=MONTH(X$2),FALSE))*(BANCA!$G8:$G4155="Interessi da ravvedimenti operosi")*(IFERROR(ROUND(BANCA!$F8:$F4155,2),0)))+
SUMPRODUCT((IFERROR(MONTH(BANCA!$B8:$B4155)=MONTH(X$2),FALSE))*(BANCA!$G8:$G4155="Spese e servizi bancari (finanziari)")*(IFERROR(ROUND(BANCA!$F8:$F4155,2),0)))+
SUMPRODUCT((IFERROR(MONTH(BANCA!$B8:$B4155)=MONTH(X$2),FALSE))*(BANCA!$G8:$G4155="Interessi di mora verso i fornitori")*(IFERROR(ROUND(BANCA!$F8:$F4155,2),0)))</f>
        <v>78.86</v>
      </c>
      <c r="Y65" s="297"/>
      <c r="Z65" s="297" cm="1">
        <f t="array" ref="Z65">SUMPRODUCT((IFERROR(MONTH(CASSA!$B7:$B3155)=MONTH(Z$2),FALSE))*(CASSA!$G7:$G3155="INTERESSI SUI MUTI")*(IFERROR(ROUND(CASSA!$F7:$F3155,2),0)))+
SUMPRODUCT((IFERROR(MONTH(CASSA!$B7:$B3155)=MONTH(Z$2),FALSE))*(CASSA!$G7:$G3155="Interessi di mora verso i fornitori")*(IFERROR(ROUND(CASSA!$F7:$F3155,2),0)))+
SUMPRODUCT((IFERROR(MONTH(CASSA!$B7:$B3155)=MONTH(Z$2),FALSE))*(CASSA!$G7:$G3155="Interessi da ravvedimenti operosi")*(IFERROR(ROUND(CASSA!$F7:$F3155,2),0)))+
SUMPRODUCT((IFERROR(MONTH(CASSA!$B7:$B3155)=MONTH(Z$2),FALSE))*(CASSA!$G7:$G3155="Spese e servizi bancari (finanziari)")*(IFERROR(ROUND(CASSA!$F7:$F3155,2),0)))+
SUMPRODUCT((IFERROR(MONTH(BANCA!$B8:$B4155)=MONTH(Z$2),FALSE))*(BANCA!$G8:$G4155="INTERESSI SUI MUTI")*(IFERROR(ROUND(BANCA!$F8:$F4155,2),0)))+
SUMPRODUCT((IFERROR(MONTH(BANCA!$B8:$B4155)=MONTH(Z$2),FALSE))*(BANCA!$G8:$G4155="Interessi da ravvedimenti operosi")*(IFERROR(ROUND(BANCA!$F8:$F4155,2),0)))+
SUMPRODUCT((IFERROR(MONTH(BANCA!$B8:$B4155)=MONTH(Z$2),FALSE))*(BANCA!$G8:$G4155="Spese e servizi bancari (finanziari)")*(IFERROR(ROUND(BANCA!$F8:$F4155,2),0)))+
SUMPRODUCT((IFERROR(MONTH(BANCA!$B8:$B4155)=MONTH(Z$2),FALSE))*(BANCA!$G8:$G4155="Interessi di mora verso i fornitori")*(IFERROR(ROUND(BANCA!$F8:$F4155,2),0)))</f>
        <v>0</v>
      </c>
      <c r="AA65" s="297"/>
      <c r="AB65" s="769">
        <f t="shared" si="20"/>
        <v>1197.9899999999998</v>
      </c>
      <c r="AC65" s="284"/>
      <c r="AD65" s="284"/>
      <c r="AE65" s="284"/>
      <c r="AF65" s="284"/>
      <c r="AG65" s="284"/>
      <c r="AH65" s="284"/>
      <c r="AI65" s="284"/>
      <c r="AJ65" s="284"/>
      <c r="AK65" s="284"/>
      <c r="AL65" s="284"/>
      <c r="AM65" s="284"/>
      <c r="AN65" s="284"/>
    </row>
    <row r="66" spans="2:40" s="232" customFormat="1" ht="18" customHeight="1">
      <c r="B66" s="742" t="s">
        <v>167</v>
      </c>
      <c r="C66" s="742"/>
      <c r="D66" s="297" cm="1">
        <f t="array" ref="D66">SUMPRODUCT((IFERROR(MONTH(CASSA!$B6:$B3154)=MONTH(D$2),FALSE))*(CASSA!$G6:$G3154="Commissioni Pagobancomat")*(IFERROR(ROUND(CASSA!$F6:$F3154,2),0)))+
SUMPRODUCT((IFERROR(MONTH(CASSA!$B6:$B3154)=MONTH(D$2),FALSE))*(CASSA!$G6:$G3154="Commissioni Axerve")*(IFERROR(ROUND(CASSA!$F6:$F3154,2),0)))+
SUMPRODUCT((IFERROR(MONTH(CASSA!$B6:$B3154)=MONTH(D$2),FALSE))*(CASSA!$G6:$G3154="Commissioni Carte Internazionali")*(IFERROR(ROUND(CASSA!$F6:$F3154,2),0)))+
SUMPRODUCT((IFERROR(MONTH(CASSA!$B6:$B3154)=MONTH(D$2),FALSE))*(CASSA!$G6:$G3154="Commissioni SumUp")*(IFERROR(ROUND(CASSA!$F6:$F3154,2),0)))+
SUMPRODUCT((IFERROR(MONTH(CASSA!$B6:$B3154)=MONTH(D$2),FALSE))*(CASSA!$G6:$G3154="Commissioni RID")*(IFERROR(ROUND(CASSA!$F6:$F3154,2),0)))+
SUMPRODUCT((IFERROR(MONTH(CASSA!$B6:$B3154)=MONTH(D$2),FALSE))*(CASSA!$G6:$G3154="Commissioni Bonifici")*(IFERROR(ROUND(CASSA!$F6:$F3154,2),0)))+
SUMPRODUCT((IFERROR(MONTH(BANCA!$B7:$B4154)=MONTH(D$2),FALSE))*(BANCA!$G7:$G4154="Commissioni Pagobancomat")*(IFERROR(ROUND(BANCA!$F7:$F4154,2),0)))+
SUMPRODUCT((IFERROR(MONTH(BANCA!$B7:$B4154)=MONTH(D$2),FALSE))*(BANCA!$G7:$G4154="Commissioni Carte Internazionali")*(IFERROR(ROUND(BANCA!$F7:$F4154,2),0)))+
SUMPRODUCT((IFERROR(MONTH(BANCA!$B7:$B4154)=MONTH(D$2),FALSE))*(BANCA!$G7:$G4154="Commissioni SumUp")*(IFERROR(ROUND(BANCA!$F7:$F4154,2),0)))+
SUMPRODUCT((IFERROR(MONTH(BANCA!$B7:$B4154)=MONTH(D$2),FALSE))*(BANCA!$G7:$G4154="Commissioni Axerve")*(IFERROR(ROUND(BANCA!$F7:$F4154,2),0)))+
SUMPRODUCT((IFERROR(MONTH(BANCA!$B7:$B4154)=MONTH(D$2),FALSE))*(BANCA!$G7:$G4154="Commissioni RID")*(IFERROR(ROUND(BANCA!$F7:$F4154,2),0)))+
SUMPRODUCT((IFERROR(MONTH(BANCA!$B7:$B4154)=MONTH(D$2),FALSE))*(BANCA!$G7:$G4154="Commissioni Bonifici")*(IFERROR(ROUND(BANCA!$F7:$F4154,2),0)))</f>
        <v>292.08</v>
      </c>
      <c r="E66" s="297"/>
      <c r="F66" s="297" cm="1">
        <f t="array" ref="F66">SUMPRODUCT((IFERROR(MONTH(CASSA!$B6:$B3154)=MONTH(F$2),FALSE))*(CASSA!$G6:$G3154="Commissioni Pagobancomat")*(IFERROR(ROUND(CASSA!$F6:$F3154,2),0)))+
SUMPRODUCT((IFERROR(MONTH(CASSA!$B6:$B3154)=MONTH(F$2),FALSE))*(CASSA!$G6:$G3154="Commissioni Axerve")*(IFERROR(ROUND(CASSA!$F6:$F3154,2),0)))+
SUMPRODUCT((IFERROR(MONTH(CASSA!$B6:$B3154)=MONTH(F$2),FALSE))*(CASSA!$G6:$G3154="Commissioni Carte Internazionali")*(IFERROR(ROUND(CASSA!$F6:$F3154,2),0)))+
SUMPRODUCT((IFERROR(MONTH(CASSA!$B6:$B3154)=MONTH(F$2),FALSE))*(CASSA!$G6:$G3154="Commissioni SumUp")*(IFERROR(ROUND(CASSA!$F6:$F3154,2),0)))+
SUMPRODUCT((IFERROR(MONTH(CASSA!$B6:$B3154)=MONTH(F$2),FALSE))*(CASSA!$G6:$G3154="Commissioni RID")*(IFERROR(ROUND(CASSA!$F6:$F3154,2),0)))+
SUMPRODUCT((IFERROR(MONTH(CASSA!$B6:$B3154)=MONTH(F$2),FALSE))*(CASSA!$G6:$G3154="Commissioni Bonifici")*(IFERROR(ROUND(CASSA!$F6:$F3154,2),0)))+
SUMPRODUCT((IFERROR(MONTH(BANCA!$B7:$B4154)=MONTH(F$2),FALSE))*(BANCA!$G7:$G4154="Commissioni Pagobancomat")*(IFERROR(ROUND(BANCA!$F7:$F4154,2),0)))+
SUMPRODUCT((IFERROR(MONTH(BANCA!$B7:$B4154)=MONTH(F$2),FALSE))*(BANCA!$G7:$G4154="Commissioni Carte Internazionali")*(IFERROR(ROUND(BANCA!$F7:$F4154,2),0)))+
SUMPRODUCT((IFERROR(MONTH(BANCA!$B7:$B4154)=MONTH(F$2),FALSE))*(BANCA!$G7:$G4154="Commissioni SumUp")*(IFERROR(ROUND(BANCA!$F7:$F4154,2),0)))+
SUMPRODUCT((IFERROR(MONTH(BANCA!$B7:$B4154)=MONTH(F$2),FALSE))*(BANCA!$G7:$G4154="Commissioni Axerve")*(IFERROR(ROUND(BANCA!$F7:$F4154,2),0)))+
SUMPRODUCT((IFERROR(MONTH(BANCA!$B7:$B4154)=MONTH(F$2),FALSE))*(BANCA!$G7:$G4154="Commissioni RID")*(IFERROR(ROUND(BANCA!$F7:$F4154,2),0)))+
SUMPRODUCT((IFERROR(MONTH(BANCA!$B7:$B4154)=MONTH(F$2),FALSE))*(BANCA!$G7:$G4154="Commissioni Bonifici")*(IFERROR(ROUND(BANCA!$F7:$F4154,2),0)))</f>
        <v>151.13999999999999</v>
      </c>
      <c r="G66" s="297"/>
      <c r="H66" s="297" cm="1">
        <f t="array" ref="H66">SUMPRODUCT((IFERROR(MONTH(CASSA!$B6:$B3154)=MONTH(H$2),FALSE))*(CASSA!$G6:$G3154="Commissioni Pagobancomat")*(IFERROR(ROUND(CASSA!$F6:$F3154,2),0)))+
SUMPRODUCT((IFERROR(MONTH(CASSA!$B6:$B3154)=MONTH(H$2),FALSE))*(CASSA!$G6:$G3154="Commissioni Axerve")*(IFERROR(ROUND(CASSA!$F6:$F3154,2),0)))+
SUMPRODUCT((IFERROR(MONTH(CASSA!$B6:$B3154)=MONTH(H$2),FALSE))*(CASSA!$G6:$G3154="Commissioni Carte Internazionali")*(IFERROR(ROUND(CASSA!$F6:$F3154,2),0)))+
SUMPRODUCT((IFERROR(MONTH(CASSA!$B6:$B3154)=MONTH(H$2),FALSE))*(CASSA!$G6:$G3154="Commissioni SumUp")*(IFERROR(ROUND(CASSA!$F6:$F3154,2),0)))+
SUMPRODUCT((IFERROR(MONTH(CASSA!$B6:$B3154)=MONTH(H$2),FALSE))*(CASSA!$G6:$G3154="Commissioni RID")*(IFERROR(ROUND(CASSA!$F6:$F3154,2),0)))+
SUMPRODUCT((IFERROR(MONTH(CASSA!$B6:$B3154)=MONTH(H$2),FALSE))*(CASSA!$G6:$G3154="Commissioni Bonifici")*(IFERROR(ROUND(CASSA!$F6:$F3154,2),0)))+
SUMPRODUCT((IFERROR(MONTH(BANCA!$B7:$B4154)=MONTH(H$2),FALSE))*(BANCA!$G7:$G4154="Commissioni Pagobancomat")*(IFERROR(ROUND(BANCA!$F7:$F4154,2),0)))+
SUMPRODUCT((IFERROR(MONTH(BANCA!$B7:$B4154)=MONTH(H$2),FALSE))*(BANCA!$G7:$G4154="Commissioni Carte Internazionali")*(IFERROR(ROUND(BANCA!$F7:$F4154,2),0)))+
SUMPRODUCT((IFERROR(MONTH(BANCA!$B7:$B4154)=MONTH(H$2),FALSE))*(BANCA!$G7:$G4154="Commissioni SumUp")*(IFERROR(ROUND(BANCA!$F7:$F4154,2),0)))+
SUMPRODUCT((IFERROR(MONTH(BANCA!$B7:$B4154)=MONTH(H$2),FALSE))*(BANCA!$G7:$G4154="Commissioni Axerve")*(IFERROR(ROUND(BANCA!$F7:$F4154,2),0)))+
SUMPRODUCT((IFERROR(MONTH(BANCA!$B7:$B4154)=MONTH(H$2),FALSE))*(BANCA!$G7:$G4154="Commissioni RID")*(IFERROR(ROUND(BANCA!$F7:$F4154,2),0)))+
SUMPRODUCT((IFERROR(MONTH(BANCA!$B7:$B4154)=MONTH(H$2),FALSE))*(BANCA!$G7:$G4154="Commissioni Bonifici")*(IFERROR(ROUND(BANCA!$F7:$F4154,2),0)))</f>
        <v>371.46999999999997</v>
      </c>
      <c r="I66" s="297"/>
      <c r="J66" s="297" cm="1">
        <f t="array" ref="J66">SUMPRODUCT((IFERROR(MONTH(CASSA!$B6:$B3154)=MONTH(J$2),FALSE))*(CASSA!$G6:$G3154="Commissioni Pagobancomat")*(IFERROR(ROUND(CASSA!$F6:$F3154,2),0)))+
SUMPRODUCT((IFERROR(MONTH(CASSA!$B6:$B3154)=MONTH(J$2),FALSE))*(CASSA!$G6:$G3154="Commissioni Axerve")*(IFERROR(ROUND(CASSA!$F6:$F3154,2),0)))+
SUMPRODUCT((IFERROR(MONTH(CASSA!$B6:$B3154)=MONTH(J$2),FALSE))*(CASSA!$G6:$G3154="Commissioni Carte Internazionali")*(IFERROR(ROUND(CASSA!$F6:$F3154,2),0)))+
SUMPRODUCT((IFERROR(MONTH(CASSA!$B6:$B3154)=MONTH(J$2),FALSE))*(CASSA!$G6:$G3154="Commissioni SumUp")*(IFERROR(ROUND(CASSA!$F6:$F3154,2),0)))+
SUMPRODUCT((IFERROR(MONTH(CASSA!$B6:$B3154)=MONTH(J$2),FALSE))*(CASSA!$G6:$G3154="Commissioni RID")*(IFERROR(ROUND(CASSA!$F6:$F3154,2),0)))+
SUMPRODUCT((IFERROR(MONTH(CASSA!$B6:$B3154)=MONTH(J$2),FALSE))*(CASSA!$G6:$G3154="Commissioni Bonifici")*(IFERROR(ROUND(CASSA!$F6:$F3154,2),0)))+
SUMPRODUCT((IFERROR(MONTH(BANCA!$B7:$B4154)=MONTH(J$2),FALSE))*(BANCA!$G7:$G4154="Commissioni Pagobancomat")*(IFERROR(ROUND(BANCA!$F7:$F4154,2),0)))+
SUMPRODUCT((IFERROR(MONTH(BANCA!$B7:$B4154)=MONTH(J$2),FALSE))*(BANCA!$G7:$G4154="Commissioni Carte Internazionali")*(IFERROR(ROUND(BANCA!$F7:$F4154,2),0)))+
SUMPRODUCT((IFERROR(MONTH(BANCA!$B7:$B4154)=MONTH(J$2),FALSE))*(BANCA!$G7:$G4154="Commissioni SumUp")*(IFERROR(ROUND(BANCA!$F7:$F4154,2),0)))+
SUMPRODUCT((IFERROR(MONTH(BANCA!$B7:$B4154)=MONTH(J$2),FALSE))*(BANCA!$G7:$G4154="Commissioni Axerve")*(IFERROR(ROUND(BANCA!$F7:$F4154,2),0)))+
SUMPRODUCT((IFERROR(MONTH(BANCA!$B7:$B4154)=MONTH(J$2),FALSE))*(BANCA!$G7:$G4154="Commissioni RID")*(IFERROR(ROUND(BANCA!$F7:$F4154,2),0)))+
SUMPRODUCT((IFERROR(MONTH(BANCA!$B7:$B4154)=MONTH(J$2),FALSE))*(BANCA!$G7:$G4154="Commissioni Bonifici")*(IFERROR(ROUND(BANCA!$F7:$F4154,2),0)))</f>
        <v>666.47</v>
      </c>
      <c r="K66" s="297"/>
      <c r="L66" s="297" cm="1">
        <f t="array" ref="L66">SUMPRODUCT((IFERROR(MONTH(CASSA!$B6:$B3154)=MONTH(L$2),FALSE))*(CASSA!$G6:$G3154="Commissioni Pagobancomat")*(IFERROR(ROUND(CASSA!$F6:$F3154,2),0)))+
SUMPRODUCT((IFERROR(MONTH(CASSA!$B6:$B3154)=MONTH(L$2),FALSE))*(CASSA!$G6:$G3154="Commissioni Axerve")*(IFERROR(ROUND(CASSA!$F6:$F3154,2),0)))+
SUMPRODUCT((IFERROR(MONTH(CASSA!$B6:$B3154)=MONTH(L$2),FALSE))*(CASSA!$G6:$G3154="Commissioni Carte Internazionali")*(IFERROR(ROUND(CASSA!$F6:$F3154,2),0)))+
SUMPRODUCT((IFERROR(MONTH(CASSA!$B6:$B3154)=MONTH(L$2),FALSE))*(CASSA!$G6:$G3154="Commissioni SumUp")*(IFERROR(ROUND(CASSA!$F6:$F3154,2),0)))+
SUMPRODUCT((IFERROR(MONTH(CASSA!$B6:$B3154)=MONTH(L$2),FALSE))*(CASSA!$G6:$G3154="Commissioni RID")*(IFERROR(ROUND(CASSA!$F6:$F3154,2),0)))+
SUMPRODUCT((IFERROR(MONTH(CASSA!$B6:$B3154)=MONTH(L$2),FALSE))*(CASSA!$G6:$G3154="Commissioni Bonifici")*(IFERROR(ROUND(CASSA!$F6:$F3154,2),0)))+
SUMPRODUCT((IFERROR(MONTH(BANCA!$B7:$B4154)=MONTH(L$2),FALSE))*(BANCA!$G7:$G4154="Commissioni Pagobancomat")*(IFERROR(ROUND(BANCA!$F7:$F4154,2),0)))+
SUMPRODUCT((IFERROR(MONTH(BANCA!$B7:$B4154)=MONTH(L$2),FALSE))*(BANCA!$G7:$G4154="Commissioni Carte Internazionali")*(IFERROR(ROUND(BANCA!$F7:$F4154,2),0)))+
SUMPRODUCT((IFERROR(MONTH(BANCA!$B7:$B4154)=MONTH(L$2),FALSE))*(BANCA!$G7:$G4154="Commissioni SumUp")*(IFERROR(ROUND(BANCA!$F7:$F4154,2),0)))+
SUMPRODUCT((IFERROR(MONTH(BANCA!$B7:$B4154)=MONTH(L$2),FALSE))*(BANCA!$G7:$G4154="Commissioni Axerve")*(IFERROR(ROUND(BANCA!$F7:$F4154,2),0)))+
SUMPRODUCT((IFERROR(MONTH(BANCA!$B7:$B4154)=MONTH(L$2),FALSE))*(BANCA!$G7:$G4154="Commissioni RID")*(IFERROR(ROUND(BANCA!$F7:$F4154,2),0)))+
SUMPRODUCT((IFERROR(MONTH(BANCA!$B7:$B4154)=MONTH(L$2),FALSE))*(BANCA!$G7:$G4154="Commissioni Bonifici")*(IFERROR(ROUND(BANCA!$F7:$F4154,2),0)))</f>
        <v>609.01</v>
      </c>
      <c r="M66" s="297"/>
      <c r="N66" s="297" cm="1">
        <f t="array" ref="N66">SUMPRODUCT((IFERROR(MONTH(CASSA!$B6:$B3154)=MONTH(N$2),FALSE))*(CASSA!$G6:$G3154="Commissioni Pagobancomat")*(IFERROR(ROUND(CASSA!$F6:$F3154,2),0)))+
SUMPRODUCT((IFERROR(MONTH(CASSA!$B6:$B3154)=MONTH(N$2),FALSE))*(CASSA!$G6:$G3154="Commissioni Axerve")*(IFERROR(ROUND(CASSA!$F6:$F3154,2),0)))+
SUMPRODUCT((IFERROR(MONTH(CASSA!$B6:$B3154)=MONTH(N$2),FALSE))*(CASSA!$G6:$G3154="Commissioni Carte Internazionali")*(IFERROR(ROUND(CASSA!$F6:$F3154,2),0)))+
SUMPRODUCT((IFERROR(MONTH(CASSA!$B6:$B3154)=MONTH(N$2),FALSE))*(CASSA!$G6:$G3154="Commissioni SumUp")*(IFERROR(ROUND(CASSA!$F6:$F3154,2),0)))+
SUMPRODUCT((IFERROR(MONTH(CASSA!$B6:$B3154)=MONTH(N$2),FALSE))*(CASSA!$G6:$G3154="Commissioni RID")*(IFERROR(ROUND(CASSA!$F6:$F3154,2),0)))+
SUMPRODUCT((IFERROR(MONTH(CASSA!$B6:$B3154)=MONTH(N$2),FALSE))*(CASSA!$G6:$G3154="Commissioni Bonifici")*(IFERROR(ROUND(CASSA!$F6:$F3154,2),0)))+
SUMPRODUCT((IFERROR(MONTH(BANCA!$B7:$B4154)=MONTH(N$2),FALSE))*(BANCA!$G7:$G4154="Commissioni Pagobancomat")*(IFERROR(ROUND(BANCA!$F7:$F4154,2),0)))+
SUMPRODUCT((IFERROR(MONTH(BANCA!$B7:$B4154)=MONTH(N$2),FALSE))*(BANCA!$G7:$G4154="Commissioni Carte Internazionali")*(IFERROR(ROUND(BANCA!$F7:$F4154,2),0)))+
SUMPRODUCT((IFERROR(MONTH(BANCA!$B7:$B4154)=MONTH(N$2),FALSE))*(BANCA!$G7:$G4154="Commissioni SumUp")*(IFERROR(ROUND(BANCA!$F7:$F4154,2),0)))+
SUMPRODUCT((IFERROR(MONTH(BANCA!$B7:$B4154)=MONTH(N$2),FALSE))*(BANCA!$G7:$G4154="Commissioni Axerve")*(IFERROR(ROUND(BANCA!$F7:$F4154,2),0)))+
SUMPRODUCT((IFERROR(MONTH(BANCA!$B7:$B4154)=MONTH(N$2),FALSE))*(BANCA!$G7:$G4154="Commissioni RID")*(IFERROR(ROUND(BANCA!$F7:$F4154,2),0)))+
SUMPRODUCT((IFERROR(MONTH(BANCA!$B7:$B4154)=MONTH(N$2),FALSE))*(BANCA!$G7:$G4154="Commissioni Bonifici")*(IFERROR(ROUND(BANCA!$F7:$F4154,2),0)))</f>
        <v>1067.83</v>
      </c>
      <c r="O66" s="297"/>
      <c r="P66" s="297" cm="1">
        <f t="array" ref="P66">SUMPRODUCT((IFERROR(MONTH(CASSA!$B6:$B3154)=MONTH(P$2),FALSE))*(CASSA!$G6:$G3154="Commissioni Pagobancomat")*(IFERROR(ROUND(CASSA!$F6:$F3154,2),0)))+
SUMPRODUCT((IFERROR(MONTH(CASSA!$B6:$B3154)=MONTH(P$2),FALSE))*(CASSA!$G6:$G3154="Commissioni Axerve")*(IFERROR(ROUND(CASSA!$F6:$F3154,2),0)))+
SUMPRODUCT((IFERROR(MONTH(CASSA!$B6:$B3154)=MONTH(P$2),FALSE))*(CASSA!$G6:$G3154="Commissioni Carte Internazionali")*(IFERROR(ROUND(CASSA!$F6:$F3154,2),0)))+
SUMPRODUCT((IFERROR(MONTH(CASSA!$B6:$B3154)=MONTH(P$2),FALSE))*(CASSA!$G6:$G3154="Commissioni SumUp")*(IFERROR(ROUND(CASSA!$F6:$F3154,2),0)))+
SUMPRODUCT((IFERROR(MONTH(CASSA!$B6:$B3154)=MONTH(P$2),FALSE))*(CASSA!$G6:$G3154="Commissioni RID")*(IFERROR(ROUND(CASSA!$F6:$F3154,2),0)))+
SUMPRODUCT((IFERROR(MONTH(CASSA!$B6:$B3154)=MONTH(P$2),FALSE))*(CASSA!$G6:$G3154="Commissioni Bonifici")*(IFERROR(ROUND(CASSA!$F6:$F3154,2),0)))+
SUMPRODUCT((IFERROR(MONTH(BANCA!$B7:$B4154)=MONTH(P$2),FALSE))*(BANCA!$G7:$G4154="Commissioni Pagobancomat")*(IFERROR(ROUND(BANCA!$F7:$F4154,2),0)))+
SUMPRODUCT((IFERROR(MONTH(BANCA!$B7:$B4154)=MONTH(P$2),FALSE))*(BANCA!$G7:$G4154="Commissioni Carte Internazionali")*(IFERROR(ROUND(BANCA!$F7:$F4154,2),0)))+
SUMPRODUCT((IFERROR(MONTH(BANCA!$B7:$B4154)=MONTH(P$2),FALSE))*(BANCA!$G7:$G4154="Commissioni SumUp")*(IFERROR(ROUND(BANCA!$F7:$F4154,2),0)))+
SUMPRODUCT((IFERROR(MONTH(BANCA!$B7:$B4154)=MONTH(P$2),FALSE))*(BANCA!$G7:$G4154="Commissioni Axerve")*(IFERROR(ROUND(BANCA!$F7:$F4154,2),0)))+
SUMPRODUCT((IFERROR(MONTH(BANCA!$B7:$B4154)=MONTH(P$2),FALSE))*(BANCA!$G7:$G4154="Commissioni RID")*(IFERROR(ROUND(BANCA!$F7:$F4154,2),0)))+
SUMPRODUCT((IFERROR(MONTH(BANCA!$B7:$B4154)=MONTH(P$2),FALSE))*(BANCA!$G7:$G4154="Commissioni Bonifici")*(IFERROR(ROUND(BANCA!$F7:$F4154,2),0)))</f>
        <v>500.55</v>
      </c>
      <c r="Q66" s="297"/>
      <c r="R66" s="297" cm="1">
        <f t="array" ref="R66">SUMPRODUCT((IFERROR(MONTH(CASSA!$B6:$B3154)=MONTH(R$2),FALSE))*(CASSA!$G6:$G3154="Commissioni Pagobancomat")*(IFERROR(ROUND(CASSA!$F6:$F3154,2),0)))+
SUMPRODUCT((IFERROR(MONTH(CASSA!$B6:$B3154)=MONTH(R$2),FALSE))*(CASSA!$G6:$G3154="Commissioni Axerve")*(IFERROR(ROUND(CASSA!$F6:$F3154,2),0)))+
SUMPRODUCT((IFERROR(MONTH(CASSA!$B6:$B3154)=MONTH(R$2),FALSE))*(CASSA!$G6:$G3154="Commissioni Carte Internazionali")*(IFERROR(ROUND(CASSA!$F6:$F3154,2),0)))+
SUMPRODUCT((IFERROR(MONTH(CASSA!$B6:$B3154)=MONTH(R$2),FALSE))*(CASSA!$G6:$G3154="Commissioni SumUp")*(IFERROR(ROUND(CASSA!$F6:$F3154,2),0)))+
SUMPRODUCT((IFERROR(MONTH(CASSA!$B6:$B3154)=MONTH(R$2),FALSE))*(CASSA!$G6:$G3154="Commissioni RID")*(IFERROR(ROUND(CASSA!$F6:$F3154,2),0)))+
SUMPRODUCT((IFERROR(MONTH(CASSA!$B6:$B3154)=MONTH(R$2),FALSE))*(CASSA!$G6:$G3154="Commissioni Bonifici")*(IFERROR(ROUND(CASSA!$F6:$F3154,2),0)))+
SUMPRODUCT((IFERROR(MONTH(BANCA!$B7:$B4154)=MONTH(R$2),FALSE))*(BANCA!$G7:$G4154="Commissioni Pagobancomat")*(IFERROR(ROUND(BANCA!$F7:$F4154,2),0)))+
SUMPRODUCT((IFERROR(MONTH(BANCA!$B7:$B4154)=MONTH(R$2),FALSE))*(BANCA!$G7:$G4154="Commissioni Carte Internazionali")*(IFERROR(ROUND(BANCA!$F7:$F4154,2),0)))+
SUMPRODUCT((IFERROR(MONTH(BANCA!$B7:$B4154)=MONTH(R$2),FALSE))*(BANCA!$G7:$G4154="Commissioni SumUp")*(IFERROR(ROUND(BANCA!$F7:$F4154,2),0)))+
SUMPRODUCT((IFERROR(MONTH(BANCA!$B7:$B4154)=MONTH(R$2),FALSE))*(BANCA!$G7:$G4154="Commissioni Axerve")*(IFERROR(ROUND(BANCA!$F7:$F4154,2),0)))+
SUMPRODUCT((IFERROR(MONTH(BANCA!$B7:$B4154)=MONTH(R$2),FALSE))*(BANCA!$G7:$G4154="Commissioni RID")*(IFERROR(ROUND(BANCA!$F7:$F4154,2),0)))+
SUMPRODUCT((IFERROR(MONTH(BANCA!$B7:$B4154)=MONTH(R$2),FALSE))*(BANCA!$G7:$G4154="Commissioni Bonifici")*(IFERROR(ROUND(BANCA!$F7:$F4154,2),0)))</f>
        <v>66.52</v>
      </c>
      <c r="S66" s="297"/>
      <c r="T66" s="297" cm="1">
        <f t="array" ref="T66">SUMPRODUCT((IFERROR(MONTH(CASSA!$B6:$B3154)=MONTH(T$2),FALSE))*(CASSA!$G6:$G3154="Commissioni Pagobancomat")*(IFERROR(ROUND(CASSA!$F6:$F3154,2),0)))+
SUMPRODUCT((IFERROR(MONTH(CASSA!$B6:$B3154)=MONTH(T$2),FALSE))*(CASSA!$G6:$G3154="Commissioni Axerve")*(IFERROR(ROUND(CASSA!$F6:$F3154,2),0)))+
SUMPRODUCT((IFERROR(MONTH(CASSA!$B6:$B3154)=MONTH(T$2),FALSE))*(CASSA!$G6:$G3154="Commissioni Carte Internazionali")*(IFERROR(ROUND(CASSA!$F6:$F3154,2),0)))+
SUMPRODUCT((IFERROR(MONTH(CASSA!$B6:$B3154)=MONTH(T$2),FALSE))*(CASSA!$G6:$G3154="Commissioni SumUp")*(IFERROR(ROUND(CASSA!$F6:$F3154,2),0)))+
SUMPRODUCT((IFERROR(MONTH(CASSA!$B6:$B3154)=MONTH(T$2),FALSE))*(CASSA!$G6:$G3154="Commissioni RID")*(IFERROR(ROUND(CASSA!$F6:$F3154,2),0)))+
SUMPRODUCT((IFERROR(MONTH(CASSA!$B6:$B3154)=MONTH(T$2),FALSE))*(CASSA!$G6:$G3154="Commissioni Bonifici")*(IFERROR(ROUND(CASSA!$F6:$F3154,2),0)))+
SUMPRODUCT((IFERROR(MONTH(BANCA!$B7:$B4154)=MONTH(T$2),FALSE))*(BANCA!$G7:$G4154="Commissioni Pagobancomat")*(IFERROR(ROUND(BANCA!$F7:$F4154,2),0)))+
SUMPRODUCT((IFERROR(MONTH(BANCA!$B7:$B4154)=MONTH(T$2),FALSE))*(BANCA!$G7:$G4154="Commissioni Carte Internazionali")*(IFERROR(ROUND(BANCA!$F7:$F4154,2),0)))+
SUMPRODUCT((IFERROR(MONTH(BANCA!$B7:$B4154)=MONTH(T$2),FALSE))*(BANCA!$G7:$G4154="Commissioni SumUp")*(IFERROR(ROUND(BANCA!$F7:$F4154,2),0)))+
SUMPRODUCT((IFERROR(MONTH(BANCA!$B7:$B4154)=MONTH(T$2),FALSE))*(BANCA!$G7:$G4154="Commissioni Axerve")*(IFERROR(ROUND(BANCA!$F7:$F4154,2),0)))+
SUMPRODUCT((IFERROR(MONTH(BANCA!$B7:$B4154)=MONTH(T$2),FALSE))*(BANCA!$G7:$G4154="Commissioni RID")*(IFERROR(ROUND(BANCA!$F7:$F4154,2),0)))+
SUMPRODUCT((IFERROR(MONTH(BANCA!$B7:$B4154)=MONTH(T$2),FALSE))*(BANCA!$G7:$G4154="Commissioni Bonifici")*(IFERROR(ROUND(BANCA!$F7:$F4154,2),0)))</f>
        <v>1046.8700000000001</v>
      </c>
      <c r="U66" s="297"/>
      <c r="V66" s="297" cm="1">
        <f t="array" ref="V66">SUMPRODUCT((IFERROR(MONTH(CASSA!$B6:$B3154)=MONTH(V$2),FALSE))*(CASSA!$G6:$G3154="Commissioni Pagobancomat")*(IFERROR(ROUND(CASSA!$F6:$F3154,2),0)))+
SUMPRODUCT((IFERROR(MONTH(CASSA!$B6:$B3154)=MONTH(V$2),FALSE))*(CASSA!$G6:$G3154="Commissioni Axerve")*(IFERROR(ROUND(CASSA!$F6:$F3154,2),0)))+
SUMPRODUCT((IFERROR(MONTH(CASSA!$B6:$B3154)=MONTH(V$2),FALSE))*(CASSA!$G6:$G3154="Commissioni Carte Internazionali")*(IFERROR(ROUND(CASSA!$F6:$F3154,2),0)))+
SUMPRODUCT((IFERROR(MONTH(CASSA!$B6:$B3154)=MONTH(V$2),FALSE))*(CASSA!$G6:$G3154="Commissioni SumUp")*(IFERROR(ROUND(CASSA!$F6:$F3154,2),0)))+
SUMPRODUCT((IFERROR(MONTH(CASSA!$B6:$B3154)=MONTH(V$2),FALSE))*(CASSA!$G6:$G3154="Commissioni RID")*(IFERROR(ROUND(CASSA!$F6:$F3154,2),0)))+
SUMPRODUCT((IFERROR(MONTH(CASSA!$B6:$B3154)=MONTH(V$2),FALSE))*(CASSA!$G6:$G3154="Commissioni Bonifici")*(IFERROR(ROUND(CASSA!$F6:$F3154,2),0)))+
SUMPRODUCT((IFERROR(MONTH(BANCA!$B7:$B4154)=MONTH(V$2),FALSE))*(BANCA!$G7:$G4154="Commissioni Pagobancomat")*(IFERROR(ROUND(BANCA!$F7:$F4154,2),0)))+
SUMPRODUCT((IFERROR(MONTH(BANCA!$B7:$B4154)=MONTH(V$2),FALSE))*(BANCA!$G7:$G4154="Commissioni Carte Internazionali")*(IFERROR(ROUND(BANCA!$F7:$F4154,2),0)))+
SUMPRODUCT((IFERROR(MONTH(BANCA!$B7:$B4154)=MONTH(V$2),FALSE))*(BANCA!$G7:$G4154="Commissioni SumUp")*(IFERROR(ROUND(BANCA!$F7:$F4154,2),0)))+
SUMPRODUCT((IFERROR(MONTH(BANCA!$B7:$B4154)=MONTH(V$2),FALSE))*(BANCA!$G7:$G4154="Commissioni Axerve")*(IFERROR(ROUND(BANCA!$F7:$F4154,2),0)))+
SUMPRODUCT((IFERROR(MONTH(BANCA!$B7:$B4154)=MONTH(V$2),FALSE))*(BANCA!$G7:$G4154="Commissioni RID")*(IFERROR(ROUND(BANCA!$F7:$F4154,2),0)))+
SUMPRODUCT((IFERROR(MONTH(BANCA!$B7:$B4154)=MONTH(V$2),FALSE))*(BANCA!$G7:$G4154="Commissioni Bonifici")*(IFERROR(ROUND(BANCA!$F7:$F4154,2),0)))</f>
        <v>507.21999999999997</v>
      </c>
      <c r="W66" s="297"/>
      <c r="X66" s="297" cm="1">
        <f t="array" ref="X66">SUMPRODUCT((IFERROR(MONTH(CASSA!$B6:$B3154)=MONTH(X$2),FALSE))*(CASSA!$G6:$G3154="Commissioni Pagobancomat")*(IFERROR(ROUND(CASSA!$F6:$F3154,2),0)))+
SUMPRODUCT((IFERROR(MONTH(CASSA!$B6:$B3154)=MONTH(X$2),FALSE))*(CASSA!$G6:$G3154="Commissioni Axerve")*(IFERROR(ROUND(CASSA!$F6:$F3154,2),0)))+
SUMPRODUCT((IFERROR(MONTH(CASSA!$B6:$B3154)=MONTH(X$2),FALSE))*(CASSA!$G6:$G3154="Commissioni Carte Internazionali")*(IFERROR(ROUND(CASSA!$F6:$F3154,2),0)))+
SUMPRODUCT((IFERROR(MONTH(CASSA!$B6:$B3154)=MONTH(X$2),FALSE))*(CASSA!$G6:$G3154="Commissioni SumUp")*(IFERROR(ROUND(CASSA!$F6:$F3154,2),0)))+
SUMPRODUCT((IFERROR(MONTH(CASSA!$B6:$B3154)=MONTH(X$2),FALSE))*(CASSA!$G6:$G3154="Commissioni RID")*(IFERROR(ROUND(CASSA!$F6:$F3154,2),0)))+
SUMPRODUCT((IFERROR(MONTH(CASSA!$B6:$B3154)=MONTH(X$2),FALSE))*(CASSA!$G6:$G3154="Commissioni Bonifici")*(IFERROR(ROUND(CASSA!$F6:$F3154,2),0)))+
SUMPRODUCT((IFERROR(MONTH(BANCA!$B7:$B4154)=MONTH(X$2),FALSE))*(BANCA!$G7:$G4154="Commissioni Pagobancomat")*(IFERROR(ROUND(BANCA!$F7:$F4154,2),0)))+
SUMPRODUCT((IFERROR(MONTH(BANCA!$B7:$B4154)=MONTH(X$2),FALSE))*(BANCA!$G7:$G4154="Commissioni Carte Internazionali")*(IFERROR(ROUND(BANCA!$F7:$F4154,2),0)))+
SUMPRODUCT((IFERROR(MONTH(BANCA!$B7:$B4154)=MONTH(X$2),FALSE))*(BANCA!$G7:$G4154="Commissioni SumUp")*(IFERROR(ROUND(BANCA!$F7:$F4154,2),0)))+
SUMPRODUCT((IFERROR(MONTH(BANCA!$B7:$B4154)=MONTH(X$2),FALSE))*(BANCA!$G7:$G4154="Commissioni Axerve")*(IFERROR(ROUND(BANCA!$F7:$F4154,2),0)))+
SUMPRODUCT((IFERROR(MONTH(BANCA!$B7:$B4154)=MONTH(X$2),FALSE))*(BANCA!$G7:$G4154="Commissioni RID")*(IFERROR(ROUND(BANCA!$F7:$F4154,2),0)))+
SUMPRODUCT((IFERROR(MONTH(BANCA!$B7:$B4154)=MONTH(X$2),FALSE))*(BANCA!$G7:$G4154="Commissioni Bonifici")*(IFERROR(ROUND(BANCA!$F7:$F4154,2),0)))</f>
        <v>510.53000000000003</v>
      </c>
      <c r="Y66" s="297"/>
      <c r="Z66" s="297" cm="1">
        <f t="array" ref="Z66">SUMPRODUCT((IFERROR(MONTH(CASSA!$B6:$B3154)=MONTH(Z$2),FALSE))*(CASSA!$G6:$G3154="Commissioni Pagobancomat")*(IFERROR(ROUND(CASSA!$F6:$F3154,2),0)))+
SUMPRODUCT((IFERROR(MONTH(CASSA!$B6:$B3154)=MONTH(Z$2),FALSE))*(CASSA!$G6:$G3154="Commissioni Axerve")*(IFERROR(ROUND(CASSA!$F6:$F3154,2),0)))+
SUMPRODUCT((IFERROR(MONTH(CASSA!$B6:$B3154)=MONTH(Z$2),FALSE))*(CASSA!$G6:$G3154="Commissioni Carte Internazionali")*(IFERROR(ROUND(CASSA!$F6:$F3154,2),0)))+
SUMPRODUCT((IFERROR(MONTH(CASSA!$B6:$B3154)=MONTH(Z$2),FALSE))*(CASSA!$G6:$G3154="Commissioni SumUp")*(IFERROR(ROUND(CASSA!$F6:$F3154,2),0)))+
SUMPRODUCT((IFERROR(MONTH(CASSA!$B6:$B3154)=MONTH(Z$2),FALSE))*(CASSA!$G6:$G3154="Commissioni RID")*(IFERROR(ROUND(CASSA!$F6:$F3154,2),0)))+
SUMPRODUCT((IFERROR(MONTH(CASSA!$B6:$B3154)=MONTH(Z$2),FALSE))*(CASSA!$G6:$G3154="Commissioni Bonifici")*(IFERROR(ROUND(CASSA!$F6:$F3154,2),0)))+
SUMPRODUCT((IFERROR(MONTH(BANCA!$B7:$B4154)=MONTH(Z$2),FALSE))*(BANCA!$G7:$G4154="Commissioni Pagobancomat")*(IFERROR(ROUND(BANCA!$F7:$F4154,2),0)))+
SUMPRODUCT((IFERROR(MONTH(BANCA!$B7:$B4154)=MONTH(Z$2),FALSE))*(BANCA!$G7:$G4154="Commissioni Carte Internazionali")*(IFERROR(ROUND(BANCA!$F7:$F4154,2),0)))+
SUMPRODUCT((IFERROR(MONTH(BANCA!$B7:$B4154)=MONTH(Z$2),FALSE))*(BANCA!$G7:$G4154="Commissioni SumUp")*(IFERROR(ROUND(BANCA!$F7:$F4154,2),0)))+
SUMPRODUCT((IFERROR(MONTH(BANCA!$B7:$B4154)=MONTH(Z$2),FALSE))*(BANCA!$G7:$G4154="Commissioni Axerve")*(IFERROR(ROUND(BANCA!$F7:$F4154,2),0)))+
SUMPRODUCT((IFERROR(MONTH(BANCA!$B7:$B4154)=MONTH(Z$2),FALSE))*(BANCA!$G7:$G4154="Commissioni RID")*(IFERROR(ROUND(BANCA!$F7:$F4154,2),0)))+
SUMPRODUCT((IFERROR(MONTH(BANCA!$B7:$B4154)=MONTH(Z$2),FALSE))*(BANCA!$G7:$G4154="Commissioni Bonifici")*(IFERROR(ROUND(BANCA!$F7:$F4154,2),0)))</f>
        <v>320.88</v>
      </c>
      <c r="AA66" s="297"/>
      <c r="AB66" s="769">
        <f t="shared" si="20"/>
        <v>6110.5700000000006</v>
      </c>
      <c r="AC66" s="284"/>
      <c r="AD66" s="284"/>
      <c r="AE66" s="284"/>
      <c r="AF66" s="284"/>
      <c r="AG66" s="284"/>
      <c r="AH66" s="284"/>
      <c r="AI66" s="284"/>
      <c r="AJ66" s="284"/>
      <c r="AK66" s="284"/>
      <c r="AL66" s="284"/>
      <c r="AM66" s="284"/>
      <c r="AN66" s="284"/>
    </row>
    <row r="67" spans="2:40" s="232" customFormat="1" ht="18" customHeight="1">
      <c r="B67" s="765"/>
      <c r="C67" s="766"/>
      <c r="D67" s="785">
        <f t="shared" ref="D67:AB67" si="21">SUM(D51:D66)/D5</f>
        <v>0.103429398175301</v>
      </c>
      <c r="E67" s="785"/>
      <c r="F67" s="785">
        <f t="shared" si="21"/>
        <v>0.20918378187766848</v>
      </c>
      <c r="G67" s="785"/>
      <c r="H67" s="785">
        <f t="shared" si="21"/>
        <v>0.27595793215988512</v>
      </c>
      <c r="I67" s="785"/>
      <c r="J67" s="785">
        <f t="shared" si="21"/>
        <v>0.23477952212325068</v>
      </c>
      <c r="K67" s="785"/>
      <c r="L67" s="785">
        <f t="shared" si="21"/>
        <v>0.36180203631897428</v>
      </c>
      <c r="M67" s="785"/>
      <c r="N67" s="785">
        <f t="shared" si="21"/>
        <v>0.14194217773069004</v>
      </c>
      <c r="O67" s="785"/>
      <c r="P67" s="785">
        <f t="shared" si="21"/>
        <v>0.13907783689706021</v>
      </c>
      <c r="Q67" s="785"/>
      <c r="R67" s="785">
        <f t="shared" si="21"/>
        <v>6.183812944073809E-2</v>
      </c>
      <c r="S67" s="785"/>
      <c r="T67" s="785">
        <f t="shared" si="21"/>
        <v>0.10909390190284425</v>
      </c>
      <c r="U67" s="785"/>
      <c r="V67" s="785">
        <f t="shared" si="21"/>
        <v>0.21563655139612947</v>
      </c>
      <c r="W67" s="785"/>
      <c r="X67" s="785">
        <f t="shared" si="21"/>
        <v>0.21975446989018546</v>
      </c>
      <c r="Y67" s="785"/>
      <c r="Z67" s="785">
        <f t="shared" si="21"/>
        <v>0.16426600690800677</v>
      </c>
      <c r="AA67" s="785"/>
      <c r="AB67" s="771">
        <f t="shared" si="21"/>
        <v>0.16992497783489285</v>
      </c>
      <c r="AC67" s="284"/>
      <c r="AD67" s="284"/>
      <c r="AE67" s="284"/>
      <c r="AF67" s="284"/>
      <c r="AG67" s="284"/>
      <c r="AH67" s="284"/>
      <c r="AI67" s="284"/>
      <c r="AJ67" s="284"/>
      <c r="AK67" s="284"/>
      <c r="AL67" s="284"/>
      <c r="AM67" s="284"/>
      <c r="AN67" s="284"/>
    </row>
    <row r="68" spans="2:40" s="232" customFormat="1" ht="18" customHeight="1">
      <c r="B68" s="742"/>
      <c r="C68" s="742"/>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743"/>
      <c r="AC68" s="284"/>
      <c r="AD68" s="284"/>
      <c r="AE68" s="284"/>
      <c r="AF68" s="284"/>
      <c r="AG68" s="284"/>
      <c r="AH68" s="284"/>
      <c r="AI68" s="284"/>
      <c r="AJ68" s="284"/>
      <c r="AK68" s="284"/>
      <c r="AL68" s="284"/>
      <c r="AM68" s="284"/>
      <c r="AN68" s="284"/>
    </row>
    <row r="69" spans="2:40" s="232" customFormat="1" ht="18" customHeight="1">
      <c r="B69" s="764" t="s">
        <v>1848</v>
      </c>
      <c r="C69" s="762"/>
      <c r="D69" s="763" cm="1">
        <f t="array" ref="D69">SUMPRODUCT((IFERROR(MONTH(CASSA!$B7:$B3155)=MONTH(D$2),FALSE))*(CASSA!$G7:$G3155="Imposte e tasse")*(IFERROR(ROUND(CASSA!$F7:$F3155,2),0)))+
SUMPRODUCT((IFERROR(MONTH(BANCA!$B8:$B4155)=MONTH(D$2),FALSE))*(BANCA!$G8:$G4155="Imposte e tasse")*(IFERROR(ROUND(BANCA!$F8:$F4155,2),0)))</f>
        <v>0</v>
      </c>
      <c r="E69" s="763"/>
      <c r="F69" s="763" cm="1">
        <f t="array" ref="F69">SUMPRODUCT((IFERROR(MONTH(CASSA!$B7:$B3155)=MONTH(F$2),FALSE))*(CASSA!$G7:$G3155="Imposte e tasse")*(IFERROR(ROUND(CASSA!$F7:$F3155,2),0)))+
SUMPRODUCT((IFERROR(MONTH(BANCA!$B8:$B4155)=MONTH(F$2),FALSE))*(BANCA!$G8:$G4155="Imposte e tasse")*(IFERROR(ROUND(BANCA!$F8:$F4155,2),0)))</f>
        <v>0</v>
      </c>
      <c r="G69" s="763"/>
      <c r="H69" s="763" cm="1">
        <f t="array" ref="H69">SUMPRODUCT((IFERROR(MONTH(CASSA!$B7:$B3155)=MONTH(H$2),FALSE))*(CASSA!$G7:$G3155="Imposte e tasse")*(IFERROR(ROUND(CASSA!$F7:$F3155,2),0)))+
SUMPRODUCT((IFERROR(MONTH(BANCA!$B8:$B4155)=MONTH(H$2),FALSE))*(BANCA!$G8:$G4155="Imposte e tasse")*(IFERROR(ROUND(BANCA!$F8:$F4155,2),0)))</f>
        <v>0</v>
      </c>
      <c r="I69" s="763"/>
      <c r="J69" s="763" cm="1">
        <f t="array" ref="J69">SUMPRODUCT((IFERROR(MONTH(CASSA!$B7:$B3155)=MONTH(J$2),FALSE))*(CASSA!$G7:$G3155="Imposte e tasse")*(IFERROR(ROUND(CASSA!$F7:$F3155,2),0)))+
SUMPRODUCT((IFERROR(MONTH(BANCA!$B8:$B4155)=MONTH(J$2),FALSE))*(BANCA!$G8:$G4155="Imposte e tasse")*(IFERROR(ROUND(BANCA!$F8:$F4155,2),0)))</f>
        <v>0</v>
      </c>
      <c r="K69" s="763"/>
      <c r="L69" s="763" cm="1">
        <f t="array" ref="L69">SUMPRODUCT((IFERROR(MONTH(CASSA!$B7:$B3155)=MONTH(L$2),FALSE))*(CASSA!$G7:$G3155="Imposte e tasse")*(IFERROR(ROUND(CASSA!$F7:$F3155,2),0)))+
SUMPRODUCT((IFERROR(MONTH(BANCA!$B8:$B4155)=MONTH(L$2),FALSE))*(BANCA!$G8:$G4155="Imposte e tasse")*(IFERROR(ROUND(BANCA!$F8:$F4155,2),0)))</f>
        <v>0</v>
      </c>
      <c r="M69" s="763"/>
      <c r="N69" s="763" cm="1">
        <f t="array" ref="N69">SUMPRODUCT((IFERROR(MONTH(CASSA!$B7:$B3155)=MONTH(N$2),FALSE))*(CASSA!$G7:$G3155="Imposte e tasse")*(IFERROR(ROUND(CASSA!$F7:$F3155,2),0)))+
SUMPRODUCT((IFERROR(MONTH(BANCA!$B8:$B4155)=MONTH(N$2),FALSE))*(BANCA!$G8:$G4155="Imposte e tasse")*(IFERROR(ROUND(BANCA!$F8:$F4155,2),0)))</f>
        <v>0</v>
      </c>
      <c r="O69" s="763"/>
      <c r="P69" s="763" cm="1">
        <f t="array" ref="P69">SUMPRODUCT((IFERROR(MONTH(CASSA!$B7:$B3155)=MONTH(P$2),FALSE))*(CASSA!$G7:$G3155="Imposte e tasse")*(IFERROR(ROUND(CASSA!$F7:$F3155,2),0)))+
SUMPRODUCT((IFERROR(MONTH(BANCA!$B8:$B4155)=MONTH(P$2),FALSE))*(BANCA!$G8:$G4155="Imposte e tasse")*(IFERROR(ROUND(BANCA!$F8:$F4155,2),0)))</f>
        <v>2300.12</v>
      </c>
      <c r="Q69" s="763"/>
      <c r="R69" s="763" cm="1">
        <f t="array" ref="R69">SUMPRODUCT((IFERROR(MONTH(CASSA!$B7:$B3155)=MONTH(R$2),FALSE))*(CASSA!$G7:$G3155="Imposte e tasse")*(IFERROR(ROUND(CASSA!$F7:$F3155,2),0)))+
SUMPRODUCT((IFERROR(MONTH(BANCA!$B8:$B4155)=MONTH(R$2),FALSE))*(BANCA!$G8:$G4155="Imposte e tasse")*(IFERROR(ROUND(BANCA!$F8:$F4155,2),0)))</f>
        <v>4616.1100000000006</v>
      </c>
      <c r="S69" s="763"/>
      <c r="T69" s="763" cm="1">
        <f t="array" ref="T69">SUMPRODUCT((IFERROR(MONTH(CASSA!$B7:$B3155)=MONTH(T$2),FALSE))*(CASSA!$G7:$G3155="Imposte e tasse")*(IFERROR(ROUND(CASSA!$F7:$F3155,2),0)))+
SUMPRODUCT((IFERROR(MONTH(BANCA!$B8:$B4155)=MONTH(T$2),FALSE))*(BANCA!$G8:$G4155="Imposte e tasse")*(IFERROR(ROUND(BANCA!$F8:$F4155,2),0)))</f>
        <v>467.84000000000003</v>
      </c>
      <c r="U69" s="763"/>
      <c r="V69" s="763" cm="1">
        <f t="array" ref="V69">SUMPRODUCT((IFERROR(MONTH(CASSA!$B7:$B3155)=MONTH(V$2),FALSE))*(CASSA!$G7:$G3155="Imposte e tasse")*(IFERROR(ROUND(CASSA!$F7:$F3155,2),0)))+
SUMPRODUCT((IFERROR(MONTH(BANCA!$B8:$B4155)=MONTH(V$2),FALSE))*(BANCA!$G8:$G4155="Imposte e tasse")*(IFERROR(ROUND(BANCA!$F8:$F4155,2),0)))</f>
        <v>0</v>
      </c>
      <c r="W69" s="763"/>
      <c r="X69" s="763" cm="1">
        <f t="array" ref="X69">SUMPRODUCT((IFERROR(MONTH(CASSA!$B7:$B3155)=MONTH(X$2),FALSE))*(CASSA!$G7:$G3155="Imposte e tasse")*(IFERROR(ROUND(CASSA!$F7:$F3155,2),0)))+
SUMPRODUCT((IFERROR(MONTH(BANCA!$B8:$B4155)=MONTH(X$2),FALSE))*(BANCA!$G8:$G4155="Imposte e tasse")*(IFERROR(ROUND(BANCA!$F8:$F4155,2),0)))</f>
        <v>0</v>
      </c>
      <c r="Y69" s="763"/>
      <c r="Z69" s="763" cm="1">
        <f t="array" ref="Z69">SUMPRODUCT((IFERROR(MONTH(CASSA!$B7:$B3155)=MONTH(Z$2),FALSE))*(CASSA!$G7:$G3155="Imposte e tasse")*(IFERROR(ROUND(CASSA!$F7:$F3155,2),0)))+
SUMPRODUCT((IFERROR(MONTH(BANCA!$B8:$B4155)=MONTH(Z$2),FALSE))*(BANCA!$G8:$G4155="Imposte e tasse")*(IFERROR(ROUND(BANCA!$F8:$F4155,2),0)))</f>
        <v>0</v>
      </c>
      <c r="AA69" s="763"/>
      <c r="AB69" s="768">
        <f>SUM(D69:Z69)</f>
        <v>7384.0700000000006</v>
      </c>
      <c r="AC69" s="903" t="s">
        <v>1958</v>
      </c>
      <c r="AD69" s="903"/>
      <c r="AE69" s="903"/>
      <c r="AF69" s="903"/>
      <c r="AG69" s="903"/>
      <c r="AH69" s="284"/>
      <c r="AI69" s="284"/>
      <c r="AJ69" s="284"/>
      <c r="AK69" s="284"/>
      <c r="AL69" s="284"/>
      <c r="AM69" s="284"/>
      <c r="AN69" s="284"/>
    </row>
    <row r="70" spans="2:40" s="232" customFormat="1" ht="18" customHeight="1">
      <c r="B70" s="765"/>
      <c r="C70" s="766"/>
      <c r="D70" s="785">
        <f t="shared" ref="D70:Z70" si="22">D69/D5</f>
        <v>0</v>
      </c>
      <c r="E70" s="785"/>
      <c r="F70" s="785">
        <f t="shared" si="22"/>
        <v>0</v>
      </c>
      <c r="G70" s="785"/>
      <c r="H70" s="785">
        <f t="shared" si="22"/>
        <v>0</v>
      </c>
      <c r="I70" s="785"/>
      <c r="J70" s="785">
        <f t="shared" si="22"/>
        <v>0</v>
      </c>
      <c r="K70" s="785"/>
      <c r="L70" s="785">
        <f t="shared" si="22"/>
        <v>0</v>
      </c>
      <c r="M70" s="785"/>
      <c r="N70" s="785">
        <f t="shared" si="22"/>
        <v>0</v>
      </c>
      <c r="O70" s="785"/>
      <c r="P70" s="785">
        <f>P69/P5</f>
        <v>3.0368817973916658E-2</v>
      </c>
      <c r="Q70" s="785"/>
      <c r="R70" s="785">
        <f t="shared" si="22"/>
        <v>5.1763354705766651E-2</v>
      </c>
      <c r="S70" s="785"/>
      <c r="T70" s="785">
        <f t="shared" si="22"/>
        <v>5.6292867300009554E-3</v>
      </c>
      <c r="U70" s="785"/>
      <c r="V70" s="785">
        <f t="shared" si="22"/>
        <v>0</v>
      </c>
      <c r="W70" s="785"/>
      <c r="X70" s="785">
        <f t="shared" si="22"/>
        <v>0</v>
      </c>
      <c r="Y70" s="785"/>
      <c r="Z70" s="785">
        <f t="shared" si="22"/>
        <v>0</v>
      </c>
      <c r="AA70" s="785"/>
      <c r="AB70" s="767">
        <f>AB69/AB5</f>
        <v>1.0058920960462008E-2</v>
      </c>
      <c r="AC70" s="284"/>
      <c r="AD70" s="284"/>
      <c r="AE70" s="284"/>
      <c r="AF70" s="284"/>
      <c r="AG70" s="284"/>
      <c r="AH70" s="284"/>
      <c r="AI70" s="284"/>
      <c r="AJ70" s="284"/>
      <c r="AK70" s="284"/>
      <c r="AL70" s="284"/>
      <c r="AM70" s="284"/>
      <c r="AN70" s="284"/>
    </row>
    <row r="71" spans="2:40" s="232" customFormat="1" ht="18" customHeight="1">
      <c r="B71" s="742"/>
      <c r="C71" s="742"/>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743"/>
      <c r="AC71" s="284"/>
      <c r="AD71" s="284"/>
      <c r="AE71" s="284"/>
      <c r="AF71" s="284"/>
      <c r="AG71" s="284"/>
      <c r="AH71" s="284"/>
      <c r="AI71" s="284"/>
      <c r="AJ71" s="284"/>
      <c r="AK71" s="284"/>
      <c r="AL71" s="284"/>
      <c r="AM71" s="284"/>
      <c r="AN71" s="284"/>
    </row>
    <row r="72" spans="2:40" s="232" customFormat="1" ht="18" customHeight="1">
      <c r="B72" s="915" t="s">
        <v>1951</v>
      </c>
      <c r="C72" s="915"/>
      <c r="D72" s="756" cm="1">
        <f t="array" ref="D72">SUMPRODUCT((IFERROR(MONTH(CASSA!$B6:$B4150)=MONTH(D$2),FALSE))*(CASSA!$G6:$G4150="Investimenti")*(IFERROR(ROUND(CASSA!$F6:$F4150,2),0)))+
SUMPRODUCT((IFERROR(MONTH(BANCA!$B7:$B4154)=MONTH(D$2),FALSE))*(BANCA!$G7:$G4154="Investimenti")*(IFERROR(ROUND(BANCA!$F7:$F4154,2),0)))-SUMPRODUCT((IFERROR(MONTH(CASSA!$B6:$B4150)=MONTH(D$2),FALSE))*(CASSA!$G6:$G4150="Investimenti")*(IFERROR(ROUND(CASSA!$E6:$E4150,2),0)))-
SUMPRODUCT((IFERROR(MONTH(BANCA!$B7:$B4154)=MONTH(D$2),FALSE))*(BANCA!$G7:$G4154="Investimenti")*(IFERROR(ROUND(BANCA!$E7:$E4154,2),0)))</f>
        <v>0</v>
      </c>
      <c r="E72" s="756"/>
      <c r="F72" s="756" cm="1">
        <f t="array" ref="F72">SUMPRODUCT((IFERROR(MONTH(CASSA!$B6:$B4150)=MONTH(F$2),FALSE))*(CASSA!$G6:$G4150="Investimenti")*(IFERROR(ROUND(CASSA!$F6:$F4150,2),0)))+
SUMPRODUCT((IFERROR(MONTH(BANCA!$B7:$B4154)=MONTH(F$2),FALSE))*(BANCA!$G7:$G4154="Investimenti")*(IFERROR(ROUND(BANCA!$F7:$F4154,2),0)))-SUMPRODUCT((IFERROR(MONTH(CASSA!$B6:$B4150)=MONTH(F$2),FALSE))*(CASSA!$G6:$G4150="Investimenti")*(IFERROR(ROUND(CASSA!$E6:$E4150,2),0)))-
SUMPRODUCT((IFERROR(MONTH(BANCA!$B7:$B4154)=MONTH(F$2),FALSE))*(BANCA!$G7:$G4154="Investimenti")*(IFERROR(ROUND(BANCA!$E7:$E4154,2),0)))</f>
        <v>12886.07</v>
      </c>
      <c r="G72" s="756"/>
      <c r="H72" s="756" cm="1">
        <f t="array" ref="H72">SUMPRODUCT((IFERROR(MONTH(CASSA!$B6:$B4150)=MONTH(H$2),FALSE))*(CASSA!$G6:$G4150="Investimenti")*(IFERROR(ROUND(CASSA!$F6:$F4150,2),0)))+
SUMPRODUCT((IFERROR(MONTH(BANCA!$B7:$B4154)=MONTH(H$2),FALSE))*(BANCA!$G7:$G4154="Investimenti")*(IFERROR(ROUND(BANCA!$F7:$F4154,2),0)))-SUMPRODUCT((IFERROR(MONTH(CASSA!$B6:$B4150)=MONTH(H$2),FALSE))*(CASSA!$G6:$G4150="Investimenti")*(IFERROR(ROUND(CASSA!$E6:$E4150,2),0)))-
SUMPRODUCT((IFERROR(MONTH(BANCA!$B7:$B4154)=MONTH(H$2),FALSE))*(BANCA!$G7:$G4154="Investimenti")*(IFERROR(ROUND(BANCA!$E7:$E4154,2),0)))</f>
        <v>1762.8200000000002</v>
      </c>
      <c r="I72" s="756"/>
      <c r="J72" s="756" cm="1">
        <f t="array" ref="J72">SUMPRODUCT((IFERROR(MONTH(CASSA!$B6:$B4150)=MONTH(J$2),FALSE))*(CASSA!$G6:$G4150="Investimenti")*(IFERROR(ROUND(CASSA!$F6:$F4150,2),0)))+
SUMPRODUCT((IFERROR(MONTH(BANCA!$B7:$B4154)=MONTH(J$2),FALSE))*(BANCA!$G7:$G4154="Investimenti")*(IFERROR(ROUND(BANCA!$F7:$F4154,2),0)))-SUMPRODUCT((IFERROR(MONTH(CASSA!$B6:$B4150)=MONTH(J$2),FALSE))*(CASSA!$G6:$G4150="Investimenti")*(IFERROR(ROUND(CASSA!$E6:$E4150,2),0)))-
SUMPRODUCT((IFERROR(MONTH(BANCA!$B7:$B4154)=MONTH(J$2),FALSE))*(BANCA!$G7:$G4154="Investimenti")*(IFERROR(ROUND(BANCA!$E7:$E4154,2),0)))</f>
        <v>10982.2</v>
      </c>
      <c r="K72" s="756"/>
      <c r="L72" s="756" cm="1">
        <f t="array" ref="L72">SUMPRODUCT((IFERROR(MONTH(CASSA!$B6:$B4150)=MONTH(L$2),FALSE))*(CASSA!$G6:$G4150="Investimenti")*(IFERROR(ROUND(CASSA!$F6:$F4150,2),0)))+
SUMPRODUCT((IFERROR(MONTH(BANCA!$B7:$B4154)=MONTH(L$2),FALSE))*(BANCA!$G7:$G4154="Investimenti")*(IFERROR(ROUND(BANCA!$F7:$F4154,2),0)))-SUMPRODUCT((IFERROR(MONTH(CASSA!$B6:$B4150)=MONTH(L$2),FALSE))*(CASSA!$G6:$G4150="Investimenti")*(IFERROR(ROUND(CASSA!$E6:$E4150,2),0)))-
SUMPRODUCT((IFERROR(MONTH(BANCA!$B7:$B4154)=MONTH(L$2),FALSE))*(BANCA!$G7:$G4154="Investimenti")*(IFERROR(ROUND(BANCA!$E7:$E4154,2),0)))</f>
        <v>3870.6</v>
      </c>
      <c r="M72" s="756"/>
      <c r="N72" s="756" cm="1">
        <f t="array" ref="N72">SUMPRODUCT((IFERROR(MONTH(CASSA!$B6:$B4150)=MONTH(N$2),FALSE))*(CASSA!$G6:$G4150="Investimenti")*(IFERROR(ROUND(CASSA!$F6:$F4150,2),0)))+
SUMPRODUCT((IFERROR(MONTH(BANCA!$B7:$B4154)=MONTH(N$2),FALSE))*(BANCA!$G7:$G4154="Investimenti")*(IFERROR(ROUND(BANCA!$F7:$F4154,2),0)))-SUMPRODUCT((IFERROR(MONTH(CASSA!$B6:$B4150)=MONTH(N$2),FALSE))*(CASSA!$G6:$G4150="Investimenti")*(IFERROR(ROUND(CASSA!$E6:$E4150,2),0)))-
SUMPRODUCT((IFERROR(MONTH(BANCA!$B7:$B4154)=MONTH(N$2),FALSE))*(BANCA!$G7:$G4154="Investimenti")*(IFERROR(ROUND(BANCA!$E7:$E4154,2),0)))</f>
        <v>1560.6599999999999</v>
      </c>
      <c r="O72" s="756"/>
      <c r="P72" s="756" cm="1">
        <f t="array" ref="P72">SUMPRODUCT((IFERROR(MONTH(CASSA!$B6:$B4150)=MONTH(P$2),FALSE))*(CASSA!$G6:$G4150="Investimenti")*(IFERROR(ROUND(CASSA!$F6:$F4150,2),0)))+
SUMPRODUCT((IFERROR(MONTH(BANCA!$B7:$B4154)=MONTH(P$2),FALSE))*(BANCA!$G7:$G4154="Investimenti")*(IFERROR(ROUND(BANCA!$F7:$F4154,2),0)))-SUMPRODUCT((IFERROR(MONTH(CASSA!$B6:$B4150)=MONTH(P$2),FALSE))*(CASSA!$G6:$G4150="Investimenti")*(IFERROR(ROUND(CASSA!$E6:$E4150,2),0)))-
SUMPRODUCT((IFERROR(MONTH(BANCA!$B7:$B4154)=MONTH(P$2),FALSE))*(BANCA!$G7:$G4154="Investimenti")*(IFERROR(ROUND(BANCA!$E7:$E4154,2),0)))</f>
        <v>18749.099999999999</v>
      </c>
      <c r="Q72" s="756"/>
      <c r="R72" s="756" cm="1">
        <f t="array" ref="R72">SUMPRODUCT((IFERROR(MONTH(CASSA!$B6:$B4150)=MONTH(R$2),FALSE))*(CASSA!$G6:$G4150="Investimenti")*(IFERROR(ROUND(CASSA!$F6:$F4150,2),0)))+
SUMPRODUCT((IFERROR(MONTH(BANCA!$B7:$B4154)=MONTH(R$2),FALSE))*(BANCA!$G7:$G4154="Investimenti")*(IFERROR(ROUND(BANCA!$F7:$F4154,2),0)))-SUMPRODUCT((IFERROR(MONTH(CASSA!$B6:$B4150)=MONTH(R$2),FALSE))*(CASSA!$G6:$G4150="Investimenti")*(IFERROR(ROUND(CASSA!$E6:$E4150,2),0)))-
SUMPRODUCT((IFERROR(MONTH(BANCA!$B7:$B4154)=MONTH(R$2),FALSE))*(BANCA!$G7:$G4154="Investimenti")*(IFERROR(ROUND(BANCA!$E7:$E4154,2),0)))</f>
        <v>-25545.07</v>
      </c>
      <c r="S72" s="756"/>
      <c r="T72" s="756" cm="1">
        <f t="array" ref="T72">SUMPRODUCT((IFERROR(MONTH(CASSA!$B6:$B4150)=MONTH(T$2),FALSE))*(CASSA!$G6:$G4150="Investimenti")*(IFERROR(ROUND(CASSA!$F6:$F4150,2),0)))+
SUMPRODUCT((IFERROR(MONTH(BANCA!$B7:$B4154)=MONTH(T$2),FALSE))*(BANCA!$G7:$G4154="Investimenti")*(IFERROR(ROUND(BANCA!$F7:$F4154,2),0)))-SUMPRODUCT((IFERROR(MONTH(CASSA!$B6:$B4150)=MONTH(T$2),FALSE))*(CASSA!$G6:$G4150="Investimenti")*(IFERROR(ROUND(CASSA!$E6:$E4150,2),0)))-
SUMPRODUCT((IFERROR(MONTH(BANCA!$B7:$B4154)=MONTH(T$2),FALSE))*(BANCA!$G7:$G4154="Investimenti")*(IFERROR(ROUND(BANCA!$E7:$E4154,2),0)))</f>
        <v>630</v>
      </c>
      <c r="U72" s="756"/>
      <c r="V72" s="756" cm="1">
        <f t="array" ref="V72">SUMPRODUCT((IFERROR(MONTH(CASSA!$B6:$B4150)=MONTH(V$2),FALSE))*(CASSA!$G6:$G4150="Investimenti")*(IFERROR(ROUND(CASSA!$F6:$F4150,2),0)))+
SUMPRODUCT((IFERROR(MONTH(BANCA!$B7:$B4154)=MONTH(V$2),FALSE))*(BANCA!$G7:$G4154="Investimenti")*(IFERROR(ROUND(BANCA!$F7:$F4154,2),0)))-SUMPRODUCT((IFERROR(MONTH(CASSA!$B6:$B4150)=MONTH(V$2),FALSE))*(CASSA!$G6:$G4150="Investimenti")*(IFERROR(ROUND(CASSA!$E6:$E4150,2),0)))-
SUMPRODUCT((IFERROR(MONTH(BANCA!$B7:$B4154)=MONTH(V$2),FALSE))*(BANCA!$G7:$G4154="Investimenti")*(IFERROR(ROUND(BANCA!$E7:$E4154,2),0)))</f>
        <v>0</v>
      </c>
      <c r="W72" s="756"/>
      <c r="X72" s="756" cm="1">
        <f t="array" ref="X72">SUMPRODUCT((IFERROR(MONTH(CASSA!$B6:$B4150)=MONTH(X$2),FALSE))*(CASSA!$G6:$G4150="Investimenti")*(IFERROR(ROUND(CASSA!$F6:$F4150,2),0)))+
SUMPRODUCT((IFERROR(MONTH(BANCA!$B7:$B4154)=MONTH(X$2),FALSE))*(BANCA!$G7:$G4154="Investimenti")*(IFERROR(ROUND(BANCA!$F7:$F4154,2),0)))-SUMPRODUCT((IFERROR(MONTH(CASSA!$B6:$B4150)=MONTH(X$2),FALSE))*(CASSA!$G6:$G4150="Investimenti")*(IFERROR(ROUND(CASSA!$E6:$E4150,2),0)))-
SUMPRODUCT((IFERROR(MONTH(BANCA!$B7:$B4154)=MONTH(X$2),FALSE))*(BANCA!$G7:$G4154="Investimenti")*(IFERROR(ROUND(BANCA!$E7:$E4154,2),0)))</f>
        <v>0</v>
      </c>
      <c r="Y72" s="756"/>
      <c r="Z72" s="756" cm="1">
        <f t="array" ref="Z72">SUMPRODUCT((IFERROR(MONTH(CASSA!$B6:$B4150)=MONTH(Z$2),FALSE))*(CASSA!$G6:$G4150="Investimenti")*(IFERROR(ROUND(CASSA!$F6:$F4150,2),0)))+
SUMPRODUCT((IFERROR(MONTH(BANCA!$B7:$B4154)=MONTH(Z$2),FALSE))*(BANCA!$G7:$G4154="Investimenti")*(IFERROR(ROUND(BANCA!$F7:$F4154,2),0)))-SUMPRODUCT((IFERROR(MONTH(CASSA!$B6:$B4150)=MONTH(Z$2),FALSE))*(CASSA!$G6:$G4150="Investimenti")*(IFERROR(ROUND(CASSA!$E6:$E4150,2),0)))-
SUMPRODUCT((IFERROR(MONTH(BANCA!$B7:$B4154)=MONTH(Z$2),FALSE))*(BANCA!$G7:$G4154="Investimenti")*(IFERROR(ROUND(BANCA!$E7:$E4154,2),0)))</f>
        <v>0</v>
      </c>
      <c r="AA72" s="756"/>
      <c r="AB72" s="757">
        <f>SUM(D72:Z72)</f>
        <v>24896.379999999997</v>
      </c>
      <c r="AC72" s="792" t="s">
        <v>1993</v>
      </c>
      <c r="AD72" s="284"/>
      <c r="AE72" s="284"/>
      <c r="AF72" s="284"/>
      <c r="AG72" s="284"/>
      <c r="AH72" s="284"/>
      <c r="AI72" s="284"/>
      <c r="AJ72" s="284"/>
      <c r="AK72" s="284"/>
      <c r="AL72" s="284"/>
      <c r="AM72" s="284"/>
      <c r="AN72" s="284"/>
    </row>
    <row r="73" spans="2:40">
      <c r="B73" s="300"/>
      <c r="C73" s="300"/>
      <c r="D73" s="785">
        <f t="shared" ref="D73:X73" si="23">D72/D5</f>
        <v>0</v>
      </c>
      <c r="E73" s="785"/>
      <c r="F73" s="785">
        <f t="shared" si="23"/>
        <v>0.27656920405978891</v>
      </c>
      <c r="G73" s="785"/>
      <c r="H73" s="785">
        <f t="shared" si="23"/>
        <v>3.583690773361372E-2</v>
      </c>
      <c r="I73" s="785"/>
      <c r="J73" s="785">
        <f t="shared" si="23"/>
        <v>0.1918403481362024</v>
      </c>
      <c r="K73" s="785"/>
      <c r="L73" s="785">
        <f t="shared" si="23"/>
        <v>0.10517448922196525</v>
      </c>
      <c r="M73" s="785"/>
      <c r="N73" s="785">
        <f t="shared" si="23"/>
        <v>2.1122620176131462E-2</v>
      </c>
      <c r="O73" s="785"/>
      <c r="P73" s="785">
        <f t="shared" si="23"/>
        <v>0.24754708670624176</v>
      </c>
      <c r="Q73" s="785"/>
      <c r="R73" s="785">
        <f t="shared" si="23"/>
        <v>-0.2864529916734303</v>
      </c>
      <c r="S73" s="785"/>
      <c r="T73" s="785">
        <f t="shared" si="23"/>
        <v>7.5804775989667447E-3</v>
      </c>
      <c r="U73" s="785"/>
      <c r="V73" s="785">
        <f t="shared" si="23"/>
        <v>0</v>
      </c>
      <c r="W73" s="785"/>
      <c r="X73" s="785">
        <f t="shared" si="23"/>
        <v>0</v>
      </c>
      <c r="Y73" s="785"/>
      <c r="Z73" s="785">
        <f>SUM(Z45:Z64)/Z5</f>
        <v>0.26978572493407277</v>
      </c>
      <c r="AA73" s="785"/>
      <c r="AB73" s="744">
        <f>AB72/AB5</f>
        <v>3.3914997910586851E-2</v>
      </c>
    </row>
    <row r="74" spans="2:40" ht="19" customHeight="1">
      <c r="B74" s="300"/>
      <c r="C74" s="300"/>
      <c r="D74" s="300"/>
      <c r="E74" s="300"/>
      <c r="F74" s="300"/>
      <c r="G74" s="300"/>
      <c r="H74" s="300"/>
      <c r="I74" s="300"/>
      <c r="J74" s="300"/>
      <c r="K74" s="300"/>
      <c r="L74" s="300"/>
      <c r="M74" s="300"/>
      <c r="N74" s="300"/>
      <c r="O74" s="300"/>
      <c r="P74" s="300"/>
      <c r="Q74" s="300"/>
      <c r="R74" s="291"/>
      <c r="S74" s="291"/>
      <c r="T74" s="291"/>
      <c r="U74" s="291"/>
      <c r="V74" s="291"/>
      <c r="W74" s="291"/>
      <c r="X74" s="291"/>
      <c r="Y74" s="291"/>
      <c r="Z74" s="291"/>
      <c r="AA74" s="291"/>
      <c r="AB74" s="745"/>
    </row>
    <row r="75" spans="2:40" ht="29" customHeight="1">
      <c r="B75" s="906" t="s">
        <v>168</v>
      </c>
      <c r="C75" s="906"/>
      <c r="D75" s="300"/>
      <c r="E75" s="300"/>
      <c r="F75" s="300"/>
      <c r="G75" s="300"/>
      <c r="H75" s="300"/>
      <c r="I75" s="300"/>
      <c r="J75" s="300"/>
      <c r="K75" s="300"/>
      <c r="L75" s="300"/>
      <c r="M75" s="300"/>
      <c r="N75" s="300"/>
      <c r="O75" s="300"/>
      <c r="P75" s="300"/>
      <c r="Q75" s="300"/>
      <c r="R75" s="291"/>
      <c r="S75" s="291"/>
      <c r="T75" s="291"/>
      <c r="U75" s="291"/>
      <c r="V75" s="291"/>
      <c r="W75" s="291"/>
      <c r="X75" s="291"/>
      <c r="Y75" s="291"/>
      <c r="Z75" s="291"/>
      <c r="AA75" s="291"/>
      <c r="AB75" s="744"/>
    </row>
    <row r="76" spans="2:40">
      <c r="B76" s="916" t="s">
        <v>170</v>
      </c>
      <c r="C76" s="916"/>
      <c r="D76" s="297" cm="1">
        <f t="array" ref="D76">SUMPRODUCT((IFERROR(MONTH(CASSA!$B7:$B3155)=MONTH(D$2),FALSE))*(CASSA!$G7:$G3155="IVA a credito")*(IFERROR(ROUND(CASSA!$F7:$F3155,2),0)))+
SUMPRODUCT((IFERROR(MONTH(BANCA!$B8:$B4155)=MONTH(D$2),FALSE))*(BANCA!$G8:$G4155="IVA a credito")*(IFERROR(ROUND(BANCA!$F8:$F4155,2),0)))</f>
        <v>2647.2199999999993</v>
      </c>
      <c r="E76" s="297"/>
      <c r="F76" s="297" cm="1">
        <f t="array" ref="F76">SUMPRODUCT((IFERROR(MONTH(CASSA!$B7:$B3155)=MONTH(F$2),FALSE))*(CASSA!$G7:$G3155="IVA a credito")*(IFERROR(ROUND(CASSA!$F7:$F3155,2),0)))+
SUMPRODUCT((IFERROR(MONTH(BANCA!$B8:$B4155)=MONTH(F$2),FALSE))*(BANCA!$G8:$G4155="IVA a credito")*(IFERROR(ROUND(BANCA!$F8:$F4155,2),0)))</f>
        <v>6738.170000000001</v>
      </c>
      <c r="G76" s="297"/>
      <c r="H76" s="297" cm="1">
        <f t="array" ref="H76">SUMPRODUCT((IFERROR(MONTH(CASSA!$B7:$B3155)=MONTH(H$2),FALSE))*(CASSA!$G7:$G3155="IVA a credito")*(IFERROR(ROUND(CASSA!$F7:$F3155,2),0)))+
SUMPRODUCT((IFERROR(MONTH(BANCA!$B8:$B4155)=MONTH(H$2),FALSE))*(BANCA!$G8:$G4155="IVA a credito")*(IFERROR(ROUND(BANCA!$F8:$F4155,2),0)))</f>
        <v>5714.369999999999</v>
      </c>
      <c r="I76" s="297"/>
      <c r="J76" s="297" cm="1">
        <f t="array" ref="J76">SUMPRODUCT((IFERROR(MONTH(CASSA!$B7:$B3155)=MONTH(J$2),FALSE))*(CASSA!$G7:$G3155="IVA a credito")*(IFERROR(ROUND(CASSA!$F7:$F3155,2),0)))+
SUMPRODUCT((IFERROR(MONTH(BANCA!$B8:$B4155)=MONTH(J$2),FALSE))*(BANCA!$G8:$G4155="IVA a credito")*(IFERROR(ROUND(BANCA!$F8:$F4155,2),0)))</f>
        <v>9113.1999999999989</v>
      </c>
      <c r="K76" s="297"/>
      <c r="L76" s="297" cm="1">
        <f t="array" ref="L76">SUMPRODUCT((IFERROR(MONTH(CASSA!$B7:$B3155)=MONTH(L$2),FALSE))*(CASSA!$G7:$G3155="IVA a credito")*(IFERROR(ROUND(CASSA!$F7:$F3155,2),0)))+
SUMPRODUCT((IFERROR(MONTH(BANCA!$B8:$B4155)=MONTH(L$2),FALSE))*(BANCA!$G8:$G4155="IVA a credito")*(IFERROR(ROUND(BANCA!$F8:$F4155,2),0)))</f>
        <v>9620.8100000000013</v>
      </c>
      <c r="M76" s="297"/>
      <c r="N76" s="297" cm="1">
        <f t="array" ref="N76">SUMPRODUCT((IFERROR(MONTH(CASSA!$B7:$B3155)=MONTH(N$2),FALSE))*(CASSA!$G7:$G3155="IVA a credito")*(IFERROR(ROUND(CASSA!$F7:$F3155,2),0)))+
SUMPRODUCT((IFERROR(MONTH(BANCA!$B8:$B4155)=MONTH(N$2),FALSE))*(BANCA!$G8:$G4155="IVA a credito")*(IFERROR(ROUND(BANCA!$F8:$F4155,2),0)))</f>
        <v>5294.4600000000019</v>
      </c>
      <c r="O76" s="297"/>
      <c r="P76" s="297" cm="1">
        <f t="array" ref="P76">SUMPRODUCT((IFERROR(MONTH(CASSA!$B7:$B3155)=MONTH(P$2),FALSE))*(CASSA!$G7:$G3155="IVA a credito")*(IFERROR(ROUND(CASSA!$F7:$F3155,2),0)))+
SUMPRODUCT((IFERROR(MONTH(BANCA!$B8:$B4155)=MONTH(P$2),FALSE))*(BANCA!$G8:$G4155="IVA a credito")*(IFERROR(ROUND(BANCA!$F8:$F4155,2),0)))</f>
        <v>11976.200000000006</v>
      </c>
      <c r="Q76" s="297"/>
      <c r="R76" s="297" cm="1">
        <f t="array" ref="R76">SUMPRODUCT((IFERROR(MONTH(CASSA!$B7:$B3155)=MONTH(R$2),FALSE))*(CASSA!$G7:$G3155="IVA a credito")*(IFERROR(ROUND(CASSA!$F7:$F3155,2),0)))+
SUMPRODUCT((IFERROR(MONTH(BANCA!$B8:$B4155)=MONTH(R$2),FALSE))*(BANCA!$G8:$G4155="IVA a credito")*(IFERROR(ROUND(BANCA!$F8:$F4155,2),0)))</f>
        <v>6391.9800000000005</v>
      </c>
      <c r="S76" s="297"/>
      <c r="T76" s="297" cm="1">
        <f t="array" ref="T76">SUMPRODUCT((IFERROR(MONTH(CASSA!$B7:$B3155)=MONTH(T$2),FALSE))*(CASSA!$G7:$G3155="IVA a credito")*(IFERROR(ROUND(CASSA!$F7:$F3155,2),0)))+
SUMPRODUCT((IFERROR(MONTH(BANCA!$B8:$B4155)=MONTH(T$2),FALSE))*(BANCA!$G8:$G4155="IVA a credito")*(IFERROR(ROUND(BANCA!$F8:$F4155,2),0)))</f>
        <v>6826.4500000000007</v>
      </c>
      <c r="U76" s="297"/>
      <c r="V76" s="297" cm="1">
        <f t="array" ref="V76">SUMPRODUCT((IFERROR(MONTH(CASSA!$B7:$B3155)=MONTH(V$2),FALSE))*(CASSA!$G7:$G3155="IVA a credito")*(IFERROR(ROUND(CASSA!$F7:$F3155,2),0)))+
SUMPRODUCT((IFERROR(MONTH(BANCA!$B8:$B4155)=MONTH(V$2),FALSE))*(BANCA!$G8:$G4155="IVA a credito")*(IFERROR(ROUND(BANCA!$F8:$F4155,2),0)))</f>
        <v>7751.3400000000011</v>
      </c>
      <c r="W76" s="297"/>
      <c r="X76" s="297" cm="1">
        <f t="array" ref="X76">SUMPRODUCT((IFERROR(MONTH(CASSA!$B7:$B3155)=MONTH(X$2),FALSE))*(CASSA!$G7:$G3155="IVA a credito")*(IFERROR(ROUND(CASSA!$F7:$F3155,2),0)))+
SUMPRODUCT((IFERROR(MONTH(BANCA!$B8:$B4155)=MONTH(X$2),FALSE))*(BANCA!$G8:$G4155="IVA a credito")*(IFERROR(ROUND(BANCA!$F8:$F4155,2),0)))</f>
        <v>3703.3400000000015</v>
      </c>
      <c r="Y76" s="297"/>
      <c r="Z76" s="297" cm="1">
        <f t="array" ref="Z76">SUMPRODUCT((IFERROR(MONTH(CASSA!$B7:$B3155)=MONTH(Z$2),FALSE))*(CASSA!$G7:$G3155="IVA a credito")*(IFERROR(ROUND(CASSA!$F7:$F3155,2),0)))+
SUMPRODUCT((IFERROR(MONTH(BANCA!$B8:$B4155)=MONTH(Z$2),FALSE))*(BANCA!$G8:$G4155="IVA a credito")*(IFERROR(ROUND(BANCA!$F8:$F4155,2),0)))</f>
        <v>4553.5999999999995</v>
      </c>
      <c r="AA76" s="291"/>
      <c r="AB76" s="744"/>
    </row>
    <row r="77" spans="2:40">
      <c r="B77" s="916" t="s">
        <v>171</v>
      </c>
      <c r="C77" s="916"/>
      <c r="D77" s="297" cm="1">
        <f t="array" ref="D77">SUMPRODUCT((IFERROR(MONTH(CASSA!$B7:$B3155)=MONTH(D$2),FALSE))*(CASSA!$G7:$G3155="IVA a debito")*(IFERROR(ROUND(CASSA!$E7:$E3155,2),0)))+
SUMPRODUCT((IFERROR(MONTH(BANCA!$B8:$B4155)=MONTH(D$2),FALSE))*(BANCA!$G8:$G4155="IVA a debito")*(IFERROR(ROUND(BANCA!$E8:$E4155,2),0)))</f>
        <v>3311.1699999999996</v>
      </c>
      <c r="E77" s="297"/>
      <c r="F77" s="297" cm="1">
        <f t="array" ref="F77">SUMPRODUCT((IFERROR(MONTH(CASSA!$B7:$B3155)=MONTH(F$2),FALSE))*(CASSA!$G7:$G3155="IVA a debito")*(IFERROR(ROUND(CASSA!$E7:$E3155,2),0)))+
SUMPRODUCT((IFERROR(MONTH(BANCA!$B8:$B4155)=MONTH(F$2),FALSE))*(BANCA!$G8:$G4155="IVA a debito")*(IFERROR(ROUND(BANCA!$E8:$E4155,2),0)))</f>
        <v>4710.24</v>
      </c>
      <c r="G77" s="297"/>
      <c r="H77" s="297" cm="1">
        <f t="array" ref="H77">SUMPRODUCT((IFERROR(MONTH(CASSA!$B7:$B3155)=MONTH(H$2),FALSE))*(CASSA!$G7:$G3155="IVA a debito")*(IFERROR(ROUND(CASSA!$E7:$E3155,2),0)))+
SUMPRODUCT((IFERROR(MONTH(BANCA!$B8:$B4155)=MONTH(H$2),FALSE))*(BANCA!$G8:$G4155="IVA a debito")*(IFERROR(ROUND(BANCA!$E8:$E4155,2),0)))</f>
        <v>811.88</v>
      </c>
      <c r="I77" s="297"/>
      <c r="J77" s="297" cm="1">
        <f t="array" ref="J77">SUMPRODUCT((IFERROR(MONTH(CASSA!$B7:$B3155)=MONTH(J$2),FALSE))*(CASSA!$G7:$G3155="IVA a debito")*(IFERROR(ROUND(CASSA!$E7:$E3155,2),0)))+
SUMPRODUCT((IFERROR(MONTH(BANCA!$B8:$B4155)=MONTH(J$2),FALSE))*(BANCA!$G8:$G4155="IVA a debito")*(IFERROR(ROUND(BANCA!$E8:$E4155,2),0)))</f>
        <v>396</v>
      </c>
      <c r="K77" s="297"/>
      <c r="L77" s="297" cm="1">
        <f t="array" ref="L77">SUMPRODUCT((IFERROR(MONTH(CASSA!$B7:$B3155)=MONTH(L$2),FALSE))*(CASSA!$G7:$G3155="IVA a debito")*(IFERROR(ROUND(CASSA!$E7:$E3155,2),0)))+
SUMPRODUCT((IFERROR(MONTH(BANCA!$B8:$B4155)=MONTH(L$2),FALSE))*(BANCA!$G8:$G4155="IVA a debito")*(IFERROR(ROUND(BANCA!$E8:$E4155,2),0)))</f>
        <v>0</v>
      </c>
      <c r="M77" s="297"/>
      <c r="N77" s="297" cm="1">
        <f t="array" ref="N77">SUMPRODUCT((IFERROR(MONTH(CASSA!$B7:$B3155)=MONTH(N$2),FALSE))*(CASSA!$G7:$G3155="IVA a debito")*(IFERROR(ROUND(CASSA!$E7:$E3155,2),0)))+
SUMPRODUCT((IFERROR(MONTH(BANCA!$B8:$B4155)=MONTH(N$2),FALSE))*(BANCA!$G8:$G4155="IVA a debito")*(IFERROR(ROUND(BANCA!$E8:$E4155,2),0)))</f>
        <v>3987.5600000000004</v>
      </c>
      <c r="O77" s="297"/>
      <c r="P77" s="297" cm="1">
        <f t="array" ref="P77">SUMPRODUCT((IFERROR(MONTH(CASSA!$B7:$B3155)=MONTH(P$2),FALSE))*(CASSA!$G7:$G3155="IVA a debito")*(IFERROR(ROUND(CASSA!$E7:$E3155,2),0)))+
SUMPRODUCT((IFERROR(MONTH(BANCA!$B8:$B4155)=MONTH(P$2),FALSE))*(BANCA!$G8:$G4155="IVA a debito")*(IFERROR(ROUND(BANCA!$E8:$E4155,2),0)))</f>
        <v>5607.4599999999991</v>
      </c>
      <c r="Q77" s="297"/>
      <c r="R77" s="297" cm="1">
        <f t="array" ref="R77">SUMPRODUCT((IFERROR(MONTH(CASSA!$B7:$B3155)=MONTH(R$2),FALSE))*(CASSA!$G7:$G3155="IVA a debito")*(IFERROR(ROUND(CASSA!$E7:$E3155,2),0)))+
SUMPRODUCT((IFERROR(MONTH(BANCA!$B8:$B4155)=MONTH(R$2),FALSE))*(BANCA!$G8:$G4155="IVA a debito")*(IFERROR(ROUND(BANCA!$E8:$E4155,2),0)))</f>
        <v>6248.31</v>
      </c>
      <c r="S77" s="297"/>
      <c r="T77" s="297" cm="1">
        <f t="array" ref="T77">SUMPRODUCT((IFERROR(MONTH(CASSA!$B7:$B3155)=MONTH(T$2),FALSE))*(CASSA!$G7:$G3155="IVA a debito")*(IFERROR(ROUND(CASSA!$E7:$E3155,2),0)))+
SUMPRODUCT((IFERROR(MONTH(BANCA!$B8:$B4155)=MONTH(T$2),FALSE))*(BANCA!$G8:$G4155="IVA a debito")*(IFERROR(ROUND(BANCA!$E8:$E4155,2),0)))</f>
        <v>4693.09</v>
      </c>
      <c r="U77" s="297"/>
      <c r="V77" s="297" cm="1">
        <f t="array" ref="V77">SUMPRODUCT((IFERROR(MONTH(CASSA!$B7:$B3155)=MONTH(V$2),FALSE))*(CASSA!$G7:$G3155="IVA a debito")*(IFERROR(ROUND(CASSA!$E7:$E3155,2),0)))+
SUMPRODUCT((IFERROR(MONTH(BANCA!$B8:$B4155)=MONTH(V$2),FALSE))*(BANCA!$G8:$G4155="IVA a debito")*(IFERROR(ROUND(BANCA!$E8:$E4155,2),0)))</f>
        <v>5642.2900000000018</v>
      </c>
      <c r="W77" s="297"/>
      <c r="X77" s="297" cm="1">
        <f t="array" ref="X77">SUMPRODUCT((IFERROR(MONTH(CASSA!$B7:$B3155)=MONTH(X$2),FALSE))*(CASSA!$G7:$G3155="IVA a debito")*(IFERROR(ROUND(CASSA!$E7:$E3155,2),0)))+
SUMPRODUCT((IFERROR(MONTH(BANCA!$B8:$B4155)=MONTH(X$2),FALSE))*(BANCA!$G8:$G4155="IVA a debito")*(IFERROR(ROUND(BANCA!$E8:$E4155,2),0)))</f>
        <v>3161.7399999999989</v>
      </c>
      <c r="Y77" s="297"/>
      <c r="Z77" s="297" cm="1">
        <f t="array" ref="Z77">SUMPRODUCT((IFERROR(MONTH(CASSA!$B7:$B3155)=MONTH(Z$2),FALSE))*(CASSA!$G7:$G3155="IVA a debito")*(IFERROR(ROUND(CASSA!$E7:$E3155,2),0)))+
SUMPRODUCT((IFERROR(MONTH(BANCA!$B8:$B4155)=MONTH(Z$2),FALSE))*(BANCA!$G8:$G4155="IVA a debito")*(IFERROR(ROUND(BANCA!$E8:$E4155,2),0)))</f>
        <v>1837.1199999999997</v>
      </c>
      <c r="AA77" s="291"/>
      <c r="AB77" s="744"/>
    </row>
    <row r="78" spans="2:40">
      <c r="B78" s="914" t="s">
        <v>172</v>
      </c>
      <c r="C78" s="914"/>
      <c r="D78" s="297">
        <f>D76-D77</f>
        <v>-663.95000000000027</v>
      </c>
      <c r="E78" s="297"/>
      <c r="F78" s="297">
        <f t="shared" ref="F78:Z78" si="24">F76-F77</f>
        <v>2027.9300000000012</v>
      </c>
      <c r="G78" s="297"/>
      <c r="H78" s="297">
        <f t="shared" si="24"/>
        <v>4902.4899999999989</v>
      </c>
      <c r="I78" s="297"/>
      <c r="J78" s="297">
        <f t="shared" si="24"/>
        <v>8717.1999999999989</v>
      </c>
      <c r="K78" s="297"/>
      <c r="L78" s="297">
        <f t="shared" si="24"/>
        <v>9620.8100000000013</v>
      </c>
      <c r="M78" s="297"/>
      <c r="N78" s="297">
        <f t="shared" si="24"/>
        <v>1306.9000000000015</v>
      </c>
      <c r="O78" s="297"/>
      <c r="P78" s="297">
        <f t="shared" si="24"/>
        <v>6368.7400000000071</v>
      </c>
      <c r="Q78" s="297"/>
      <c r="R78" s="297">
        <f>R76-R77</f>
        <v>143.67000000000007</v>
      </c>
      <c r="S78" s="297"/>
      <c r="T78" s="297">
        <f t="shared" si="24"/>
        <v>2133.3600000000006</v>
      </c>
      <c r="U78" s="297"/>
      <c r="V78" s="297">
        <f t="shared" si="24"/>
        <v>2109.0499999999993</v>
      </c>
      <c r="W78" s="297"/>
      <c r="X78" s="297">
        <f t="shared" si="24"/>
        <v>541.60000000000264</v>
      </c>
      <c r="Y78" s="297"/>
      <c r="Z78" s="297">
        <f t="shared" si="24"/>
        <v>2716.4799999999996</v>
      </c>
      <c r="AA78" s="297"/>
      <c r="AB78" s="743">
        <f>SUM(D78:Z78)</f>
        <v>39924.280000000013</v>
      </c>
    </row>
    <row r="79" spans="2:40" ht="29" customHeight="1">
      <c r="B79" s="300"/>
      <c r="C79" s="300"/>
      <c r="D79" s="300"/>
      <c r="E79" s="300"/>
      <c r="F79" s="300"/>
      <c r="G79" s="300"/>
      <c r="H79" s="300"/>
      <c r="I79" s="300"/>
      <c r="J79" s="300"/>
      <c r="K79" s="300"/>
      <c r="L79" s="300"/>
      <c r="M79" s="300"/>
      <c r="N79" s="300"/>
      <c r="O79" s="300"/>
      <c r="P79" s="300"/>
      <c r="Q79" s="300"/>
      <c r="R79" s="291"/>
      <c r="S79" s="291"/>
      <c r="T79" s="291"/>
      <c r="U79" s="291"/>
      <c r="V79" s="291"/>
      <c r="W79" s="291"/>
      <c r="X79" s="291"/>
      <c r="Y79" s="291"/>
      <c r="Z79" s="291"/>
      <c r="AA79" s="291"/>
      <c r="AB79" s="291"/>
    </row>
    <row r="80" spans="2:40">
      <c r="B80" s="302"/>
      <c r="C80" s="302"/>
      <c r="D80" s="302"/>
      <c r="E80" s="302"/>
      <c r="F80" s="302"/>
      <c r="G80" s="302"/>
      <c r="H80" s="302"/>
      <c r="I80" s="302"/>
      <c r="J80" s="302"/>
      <c r="K80" s="302"/>
      <c r="L80" s="302"/>
      <c r="M80" s="302"/>
      <c r="N80" s="302"/>
      <c r="O80" s="302"/>
      <c r="P80" s="302"/>
      <c r="Q80" s="302"/>
      <c r="R80" s="291"/>
      <c r="S80" s="291"/>
      <c r="T80" s="291"/>
      <c r="U80" s="291"/>
      <c r="V80" s="291"/>
      <c r="W80" s="291"/>
      <c r="X80" s="291"/>
      <c r="Y80" s="291"/>
      <c r="Z80" s="291"/>
      <c r="AA80" s="291"/>
      <c r="AB80" s="291"/>
    </row>
    <row r="81" spans="2:28">
      <c r="B81" s="302"/>
      <c r="C81" s="302"/>
      <c r="D81" s="302"/>
      <c r="E81" s="302"/>
      <c r="F81" s="302"/>
      <c r="G81" s="302"/>
      <c r="H81" s="302"/>
      <c r="I81" s="302"/>
      <c r="J81" s="302"/>
      <c r="K81" s="302"/>
      <c r="L81" s="302"/>
      <c r="M81" s="302"/>
      <c r="N81" s="302"/>
      <c r="O81" s="302"/>
      <c r="P81" s="302"/>
      <c r="Q81" s="302"/>
      <c r="R81" s="291"/>
      <c r="S81" s="291"/>
      <c r="T81" s="291"/>
      <c r="U81" s="291"/>
      <c r="V81" s="291"/>
      <c r="W81" s="291"/>
      <c r="X81" s="291"/>
      <c r="Y81" s="291"/>
      <c r="Z81" s="291"/>
      <c r="AA81" s="291"/>
      <c r="AB81" s="291"/>
    </row>
    <row r="82" spans="2:28">
      <c r="B82" s="302"/>
      <c r="C82" s="302"/>
      <c r="D82" s="302"/>
      <c r="E82" s="302"/>
      <c r="F82" s="302"/>
      <c r="G82" s="302"/>
      <c r="H82" s="302"/>
      <c r="I82" s="302"/>
      <c r="J82" s="302"/>
      <c r="K82" s="302"/>
      <c r="L82" s="302"/>
      <c r="M82" s="302"/>
      <c r="N82" s="302"/>
      <c r="O82" s="302"/>
      <c r="P82" s="302"/>
      <c r="Q82" s="302"/>
      <c r="R82" s="291"/>
      <c r="S82" s="291"/>
      <c r="T82" s="291"/>
      <c r="U82" s="291"/>
      <c r="V82" s="291"/>
      <c r="W82" s="291"/>
      <c r="X82" s="291"/>
      <c r="Y82" s="291"/>
      <c r="Z82" s="291"/>
      <c r="AA82" s="291"/>
      <c r="AB82" s="291"/>
    </row>
    <row r="100" spans="6:7">
      <c r="F100" s="232"/>
      <c r="G100" s="232"/>
    </row>
  </sheetData>
  <mergeCells count="57">
    <mergeCell ref="B44:C44"/>
    <mergeCell ref="B8:C8"/>
    <mergeCell ref="B9:C9"/>
    <mergeCell ref="B55:C55"/>
    <mergeCell ref="B56:C56"/>
    <mergeCell ref="B34:C34"/>
    <mergeCell ref="B35:C35"/>
    <mergeCell ref="B50:C50"/>
    <mergeCell ref="B45:C45"/>
    <mergeCell ref="B51:C51"/>
    <mergeCell ref="B52:C52"/>
    <mergeCell ref="B53:C53"/>
    <mergeCell ref="B54:C54"/>
    <mergeCell ref="B24:C24"/>
    <mergeCell ref="B25:C25"/>
    <mergeCell ref="B26:C26"/>
    <mergeCell ref="B78:C78"/>
    <mergeCell ref="B75:C75"/>
    <mergeCell ref="B72:C72"/>
    <mergeCell ref="B76:C76"/>
    <mergeCell ref="B77:C77"/>
    <mergeCell ref="B3:C3"/>
    <mergeCell ref="B5:C5"/>
    <mergeCell ref="B6:C6"/>
    <mergeCell ref="B12:C12"/>
    <mergeCell ref="B10:C10"/>
    <mergeCell ref="B4:C4"/>
    <mergeCell ref="B7:C7"/>
    <mergeCell ref="B13:C13"/>
    <mergeCell ref="B16:C16"/>
    <mergeCell ref="B20:C20"/>
    <mergeCell ref="B23:C23"/>
    <mergeCell ref="B17:C17"/>
    <mergeCell ref="B21:C21"/>
    <mergeCell ref="B14:C14"/>
    <mergeCell ref="B65:C65"/>
    <mergeCell ref="B57:C57"/>
    <mergeCell ref="B58:C58"/>
    <mergeCell ref="B59:C59"/>
    <mergeCell ref="B60:C60"/>
    <mergeCell ref="B61:C61"/>
    <mergeCell ref="AC26:AD26"/>
    <mergeCell ref="AC69:AG69"/>
    <mergeCell ref="B15:C15"/>
    <mergeCell ref="B41:C41"/>
    <mergeCell ref="B37:C37"/>
    <mergeCell ref="B38:C38"/>
    <mergeCell ref="B39:C39"/>
    <mergeCell ref="B40:C40"/>
    <mergeCell ref="B27:C27"/>
    <mergeCell ref="B28:C28"/>
    <mergeCell ref="B29:C29"/>
    <mergeCell ref="B62:C62"/>
    <mergeCell ref="B33:C33"/>
    <mergeCell ref="B32:C32"/>
    <mergeCell ref="B63:C63"/>
    <mergeCell ref="B64:C64"/>
  </mergeCells>
  <pageMargins left="0.7" right="0.7" top="0.75" bottom="0.75" header="0.3" footer="0.3"/>
  <pageSetup paperSize="9" orientation="landscape"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908D-CB9D-4442-B365-2E088D8407B2}">
  <sheetPr>
    <tabColor rgb="FFFFC000"/>
  </sheetPr>
  <dimension ref="A1:AO8"/>
  <sheetViews>
    <sheetView workbookViewId="0">
      <selection activeCell="K10" sqref="K10"/>
    </sheetView>
  </sheetViews>
  <sheetFormatPr baseColWidth="10" defaultColWidth="10.83203125" defaultRowHeight="16"/>
  <cols>
    <col min="1" max="1" width="1.33203125" style="24" customWidth="1"/>
    <col min="2" max="2" width="5.33203125" style="24" bestFit="1" customWidth="1"/>
    <col min="3" max="4" width="11.6640625" style="25" customWidth="1"/>
    <col min="5" max="5" width="16.1640625" style="24" customWidth="1"/>
    <col min="6" max="6" width="5.6640625" style="24" bestFit="1" customWidth="1"/>
    <col min="7" max="41" width="10.83203125" style="24"/>
  </cols>
  <sheetData>
    <row r="1" spans="1:41" s="140" customFormat="1" ht="24" customHeight="1">
      <c r="A1" s="143"/>
      <c r="B1" s="919" t="s">
        <v>173</v>
      </c>
      <c r="C1" s="919"/>
      <c r="D1" s="919"/>
      <c r="E1" s="142"/>
      <c r="F1" s="142"/>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row>
    <row r="2" spans="1:41" s="140" customFormat="1" ht="24" customHeight="1">
      <c r="A2" s="143"/>
      <c r="B2" s="919" t="s">
        <v>0</v>
      </c>
      <c r="C2" s="919"/>
      <c r="D2" s="919"/>
      <c r="E2" s="142"/>
      <c r="F2" s="142"/>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row>
    <row r="3" spans="1:41" s="140" customFormat="1" ht="24" customHeight="1">
      <c r="A3" s="143"/>
      <c r="B3" s="919" t="s">
        <v>1</v>
      </c>
      <c r="C3" s="919"/>
      <c r="D3" s="919"/>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row>
    <row r="4" spans="1:41" s="140" customFormat="1" ht="24" customHeight="1">
      <c r="A4" s="143"/>
      <c r="B4" s="919" t="s">
        <v>2</v>
      </c>
      <c r="C4" s="919"/>
      <c r="D4" s="919"/>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row>
    <row r="5" spans="1:41" s="140" customFormat="1" ht="24" customHeight="1">
      <c r="A5" s="143"/>
      <c r="B5" s="919" t="s">
        <v>3</v>
      </c>
      <c r="C5" s="919"/>
      <c r="D5" s="919"/>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row>
    <row r="6" spans="1:41" s="140" customFormat="1" ht="24" customHeight="1">
      <c r="A6" s="143"/>
      <c r="B6" s="919" t="s">
        <v>4</v>
      </c>
      <c r="C6" s="919"/>
      <c r="D6" s="919"/>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row>
    <row r="7" spans="1:41" s="140" customFormat="1" ht="24" customHeight="1">
      <c r="A7" s="143"/>
      <c r="B7" s="919" t="s">
        <v>5</v>
      </c>
      <c r="C7" s="919"/>
      <c r="D7" s="919"/>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row>
    <row r="8" spans="1:41" s="140" customFormat="1" ht="24" customHeight="1">
      <c r="A8" s="143"/>
      <c r="B8" s="919" t="s">
        <v>174</v>
      </c>
      <c r="C8" s="919"/>
      <c r="D8" s="919"/>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row>
  </sheetData>
  <mergeCells count="8">
    <mergeCell ref="B8:D8"/>
    <mergeCell ref="B1:D1"/>
    <mergeCell ref="B2:D2"/>
    <mergeCell ref="B3:D3"/>
    <mergeCell ref="B4:D4"/>
    <mergeCell ref="B5:D5"/>
    <mergeCell ref="B6:D6"/>
    <mergeCell ref="B7:D7"/>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BA9B-F2C3-0B42-94EB-F91708F3D12B}">
  <sheetPr>
    <tabColor rgb="FFFFC000"/>
  </sheetPr>
  <dimension ref="A1:AO41"/>
  <sheetViews>
    <sheetView workbookViewId="0">
      <selection activeCell="K10" sqref="K10"/>
    </sheetView>
  </sheetViews>
  <sheetFormatPr baseColWidth="10" defaultColWidth="10.83203125" defaultRowHeight="16"/>
  <cols>
    <col min="1" max="1" width="1.33203125" style="24" customWidth="1"/>
    <col min="2" max="2" width="5.33203125" style="24" bestFit="1" customWidth="1"/>
    <col min="3" max="4" width="11.6640625" style="25" customWidth="1"/>
    <col min="5" max="5" width="7.1640625" style="24" bestFit="1" customWidth="1"/>
    <col min="6" max="6" width="5.6640625" style="24" bestFit="1" customWidth="1"/>
    <col min="7" max="41" width="10.83203125" style="24"/>
  </cols>
  <sheetData>
    <row r="1" spans="1:41" s="140" customFormat="1" ht="24" customHeight="1">
      <c r="A1" s="143"/>
      <c r="B1" s="919" t="s">
        <v>0</v>
      </c>
      <c r="C1" s="919"/>
      <c r="D1" s="919"/>
      <c r="E1" s="142"/>
      <c r="F1" s="142"/>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row>
    <row r="2" spans="1:41">
      <c r="B2" s="53" t="s">
        <v>175</v>
      </c>
      <c r="C2" s="144">
        <v>2000</v>
      </c>
      <c r="D2" s="141">
        <f>C2*1.1</f>
        <v>2200</v>
      </c>
    </row>
    <row r="3" spans="1:41">
      <c r="B3" s="53" t="s">
        <v>176</v>
      </c>
      <c r="C3" s="144">
        <v>3000</v>
      </c>
      <c r="D3" s="141">
        <f t="shared" ref="D3:D4" si="0">C3*1.1</f>
        <v>3300.0000000000005</v>
      </c>
    </row>
    <row r="4" spans="1:41">
      <c r="B4" s="53" t="s">
        <v>177</v>
      </c>
      <c r="C4" s="144">
        <v>1700</v>
      </c>
      <c r="D4" s="141">
        <f t="shared" si="0"/>
        <v>1870.0000000000002</v>
      </c>
    </row>
    <row r="5" spans="1:41">
      <c r="B5" s="53"/>
      <c r="C5" s="144">
        <f>AVERAGE(C2:C4)</f>
        <v>2233.3333333333335</v>
      </c>
      <c r="D5" s="141">
        <f>AVERAGE(D2:D4)</f>
        <v>2456.6666666666665</v>
      </c>
      <c r="E5" s="126">
        <f>(D5-C5)*12</f>
        <v>2679.9999999999964</v>
      </c>
      <c r="F5" s="126">
        <f>20*12</f>
        <v>240</v>
      </c>
      <c r="G5" s="126">
        <f>(E5*0.67)-F5</f>
        <v>1555.5999999999976</v>
      </c>
    </row>
    <row r="7" spans="1:41" s="140" customFormat="1" ht="24" customHeight="1">
      <c r="A7" s="143"/>
      <c r="B7" s="919" t="s">
        <v>1</v>
      </c>
      <c r="C7" s="919"/>
      <c r="D7" s="919"/>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row>
    <row r="8" spans="1:41">
      <c r="B8" s="53" t="s">
        <v>175</v>
      </c>
      <c r="C8" s="144">
        <v>1600</v>
      </c>
      <c r="D8" s="141">
        <f t="shared" ref="D8:D10" si="1">C8*1.1</f>
        <v>1760.0000000000002</v>
      </c>
    </row>
    <row r="9" spans="1:41">
      <c r="B9" s="53" t="s">
        <v>176</v>
      </c>
      <c r="C9" s="144">
        <v>2000</v>
      </c>
      <c r="D9" s="141">
        <f t="shared" si="1"/>
        <v>2200</v>
      </c>
    </row>
    <row r="10" spans="1:41">
      <c r="B10" s="53" t="s">
        <v>177</v>
      </c>
      <c r="C10" s="144">
        <v>1800</v>
      </c>
      <c r="D10" s="141">
        <f t="shared" si="1"/>
        <v>1980.0000000000002</v>
      </c>
    </row>
    <row r="11" spans="1:41">
      <c r="B11" s="53"/>
      <c r="C11" s="144">
        <f>AVERAGE(C8:C10)</f>
        <v>1800</v>
      </c>
      <c r="D11" s="141">
        <f>AVERAGE(D8:D10)</f>
        <v>1980</v>
      </c>
      <c r="E11" s="126">
        <f>(D11-C11)*12</f>
        <v>2160</v>
      </c>
      <c r="F11" s="126">
        <f>20*12</f>
        <v>240</v>
      </c>
      <c r="G11" s="126">
        <f>(E11*0.67)-F11</f>
        <v>1207.2</v>
      </c>
    </row>
    <row r="13" spans="1:41" s="140" customFormat="1" ht="24" customHeight="1">
      <c r="A13" s="143"/>
      <c r="B13" s="919" t="s">
        <v>2</v>
      </c>
      <c r="C13" s="919"/>
      <c r="D13" s="919"/>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row>
    <row r="14" spans="1:41">
      <c r="B14" s="53" t="s">
        <v>175</v>
      </c>
      <c r="C14" s="144">
        <v>1700</v>
      </c>
      <c r="D14" s="141">
        <f t="shared" ref="D14:D16" si="2">C14*1.1</f>
        <v>1870.0000000000002</v>
      </c>
    </row>
    <row r="15" spans="1:41">
      <c r="B15" s="53" t="s">
        <v>176</v>
      </c>
      <c r="C15" s="144">
        <v>2300</v>
      </c>
      <c r="D15" s="141">
        <f t="shared" si="2"/>
        <v>2530</v>
      </c>
    </row>
    <row r="16" spans="1:41">
      <c r="B16" s="53" t="s">
        <v>177</v>
      </c>
      <c r="C16" s="144">
        <v>1400</v>
      </c>
      <c r="D16" s="141">
        <f t="shared" si="2"/>
        <v>1540.0000000000002</v>
      </c>
    </row>
    <row r="17" spans="1:41">
      <c r="B17" s="53"/>
      <c r="C17" s="144">
        <f>AVERAGE(C14:C16)</f>
        <v>1800</v>
      </c>
      <c r="D17" s="141">
        <f>AVERAGE(D14:D16)</f>
        <v>1980</v>
      </c>
      <c r="E17" s="126">
        <f>(D17-C17)*12</f>
        <v>2160</v>
      </c>
      <c r="F17" s="126">
        <f>20*12</f>
        <v>240</v>
      </c>
      <c r="G17" s="126">
        <f>(E17*0.67)-F17</f>
        <v>1207.2</v>
      </c>
    </row>
    <row r="19" spans="1:41" s="140" customFormat="1" ht="24" customHeight="1">
      <c r="A19" s="143"/>
      <c r="B19" s="919" t="s">
        <v>3</v>
      </c>
      <c r="C19" s="919"/>
      <c r="D19" s="919"/>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row>
    <row r="20" spans="1:41">
      <c r="B20" s="53" t="s">
        <v>175</v>
      </c>
      <c r="C20" s="144">
        <v>2000</v>
      </c>
      <c r="D20" s="141">
        <f t="shared" ref="D20:D22" si="3">C20*1.1</f>
        <v>2200</v>
      </c>
    </row>
    <row r="21" spans="1:41">
      <c r="B21" s="53" t="s">
        <v>176</v>
      </c>
      <c r="C21" s="144">
        <v>3300</v>
      </c>
      <c r="D21" s="141">
        <f t="shared" si="3"/>
        <v>3630.0000000000005</v>
      </c>
    </row>
    <row r="22" spans="1:41">
      <c r="B22" s="53" t="s">
        <v>177</v>
      </c>
      <c r="C22" s="144">
        <v>1700</v>
      </c>
      <c r="D22" s="141">
        <f t="shared" si="3"/>
        <v>1870.0000000000002</v>
      </c>
    </row>
    <row r="23" spans="1:41">
      <c r="B23" s="53"/>
      <c r="C23" s="144">
        <f>AVERAGE(C20:C22)</f>
        <v>2333.3333333333335</v>
      </c>
      <c r="D23" s="141">
        <f>AVERAGE(D20:D22)</f>
        <v>2566.6666666666665</v>
      </c>
      <c r="E23" s="126">
        <f>(D23-C23)*12</f>
        <v>2799.9999999999964</v>
      </c>
      <c r="F23" s="126">
        <f>20*12</f>
        <v>240</v>
      </c>
      <c r="G23" s="126">
        <f>(E23*0.67)-F23</f>
        <v>1635.9999999999977</v>
      </c>
    </row>
    <row r="25" spans="1:41" s="140" customFormat="1" ht="24" customHeight="1">
      <c r="A25" s="143"/>
      <c r="B25" s="919" t="s">
        <v>4</v>
      </c>
      <c r="C25" s="919"/>
      <c r="D25" s="919"/>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row>
    <row r="26" spans="1:41">
      <c r="B26" s="53" t="s">
        <v>175</v>
      </c>
      <c r="C26" s="144">
        <v>2100</v>
      </c>
      <c r="D26" s="141">
        <f>C26*1.1</f>
        <v>2310</v>
      </c>
    </row>
    <row r="27" spans="1:41">
      <c r="B27" s="53" t="s">
        <v>176</v>
      </c>
      <c r="C27" s="144">
        <v>3200</v>
      </c>
      <c r="D27" s="141">
        <f>C27*1.1</f>
        <v>3520.0000000000005</v>
      </c>
    </row>
    <row r="28" spans="1:41">
      <c r="B28" s="53" t="s">
        <v>177</v>
      </c>
      <c r="C28" s="144">
        <v>2300</v>
      </c>
      <c r="D28" s="141">
        <f>C28*1.1</f>
        <v>2530</v>
      </c>
    </row>
    <row r="29" spans="1:41">
      <c r="B29" s="53"/>
      <c r="C29" s="144">
        <f>AVERAGE(C26:C28)</f>
        <v>2533.3333333333335</v>
      </c>
      <c r="D29" s="141">
        <f>AVERAGE(D26:D28)</f>
        <v>2786.6666666666665</v>
      </c>
      <c r="E29" s="126">
        <f>(D29-C29)*12</f>
        <v>3039.9999999999964</v>
      </c>
      <c r="F29" s="126">
        <f>20*12</f>
        <v>240</v>
      </c>
      <c r="G29" s="126">
        <f>(E29*0.67)-F29</f>
        <v>1796.7999999999977</v>
      </c>
    </row>
    <row r="31" spans="1:41" s="140" customFormat="1" ht="24" customHeight="1">
      <c r="A31" s="143"/>
      <c r="B31" s="919" t="s">
        <v>5</v>
      </c>
      <c r="C31" s="919"/>
      <c r="D31" s="919"/>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row>
    <row r="32" spans="1:41">
      <c r="B32" s="53" t="s">
        <v>175</v>
      </c>
      <c r="C32" s="144">
        <v>2400</v>
      </c>
      <c r="D32" s="141">
        <f t="shared" ref="D32:D34" si="4">C32*1.1</f>
        <v>2640</v>
      </c>
    </row>
    <row r="33" spans="1:41">
      <c r="B33" s="53" t="s">
        <v>176</v>
      </c>
      <c r="C33" s="144">
        <v>4100</v>
      </c>
      <c r="D33" s="141">
        <f t="shared" si="4"/>
        <v>4510</v>
      </c>
    </row>
    <row r="34" spans="1:41">
      <c r="B34" s="53" t="s">
        <v>177</v>
      </c>
      <c r="C34" s="144">
        <v>2700</v>
      </c>
      <c r="D34" s="141">
        <f t="shared" si="4"/>
        <v>2970.0000000000005</v>
      </c>
    </row>
    <row r="35" spans="1:41">
      <c r="B35" s="53"/>
      <c r="C35" s="144">
        <f>AVERAGE(C32:C34)</f>
        <v>3066.6666666666665</v>
      </c>
      <c r="D35" s="141">
        <f>AVERAGE(D32:D34)</f>
        <v>3373.3333333333335</v>
      </c>
      <c r="E35" s="126">
        <f>(D35-C35)*12</f>
        <v>3680.0000000000036</v>
      </c>
      <c r="F35" s="126">
        <f>20*12</f>
        <v>240</v>
      </c>
      <c r="G35" s="126">
        <f>(E35*0.67)-F35</f>
        <v>2225.6000000000026</v>
      </c>
    </row>
    <row r="37" spans="1:41" s="140" customFormat="1" ht="24" customHeight="1">
      <c r="A37" s="143"/>
      <c r="B37" s="919" t="s">
        <v>174</v>
      </c>
      <c r="C37" s="919"/>
      <c r="D37" s="919"/>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row>
    <row r="38" spans="1:41">
      <c r="B38" s="53" t="s">
        <v>175</v>
      </c>
      <c r="C38" s="144">
        <v>3000</v>
      </c>
      <c r="D38" s="141">
        <f t="shared" ref="D38:D40" si="5">C38*1.1</f>
        <v>3300.0000000000005</v>
      </c>
    </row>
    <row r="39" spans="1:41">
      <c r="B39" s="53" t="s">
        <v>176</v>
      </c>
      <c r="C39" s="144">
        <v>3700</v>
      </c>
      <c r="D39" s="141">
        <f t="shared" si="5"/>
        <v>4070.0000000000005</v>
      </c>
    </row>
    <row r="40" spans="1:41">
      <c r="B40" s="53" t="s">
        <v>177</v>
      </c>
      <c r="C40" s="144">
        <v>2800</v>
      </c>
      <c r="D40" s="141">
        <f t="shared" si="5"/>
        <v>3080.0000000000005</v>
      </c>
    </row>
    <row r="41" spans="1:41">
      <c r="B41" s="53"/>
      <c r="C41" s="144">
        <f>AVERAGE(C38:C40)</f>
        <v>3166.6666666666665</v>
      </c>
      <c r="D41" s="141">
        <f>AVERAGE(D38:D40)</f>
        <v>3483.3333333333339</v>
      </c>
      <c r="E41" s="126">
        <f>(D41-C41)*12</f>
        <v>3800.0000000000091</v>
      </c>
      <c r="F41" s="126">
        <f>20*12</f>
        <v>240</v>
      </c>
      <c r="G41" s="126">
        <f>(E41*0.67)-F41</f>
        <v>2306.0000000000064</v>
      </c>
    </row>
  </sheetData>
  <mergeCells count="7">
    <mergeCell ref="B37:D37"/>
    <mergeCell ref="B1:D1"/>
    <mergeCell ref="B7:D7"/>
    <mergeCell ref="B13:D13"/>
    <mergeCell ref="B19:D19"/>
    <mergeCell ref="B25:D25"/>
    <mergeCell ref="B31:D31"/>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D730-5B37-F640-B179-58A6A03675A0}">
  <dimension ref="A1:I10"/>
  <sheetViews>
    <sheetView workbookViewId="0">
      <selection activeCell="I10" sqref="I10"/>
    </sheetView>
  </sheetViews>
  <sheetFormatPr baseColWidth="10" defaultColWidth="10.83203125" defaultRowHeight="16"/>
  <cols>
    <col min="1" max="1" width="29.33203125" customWidth="1"/>
    <col min="2" max="2" width="10.83203125" style="63"/>
    <col min="3" max="3" width="16.5" style="98" customWidth="1"/>
    <col min="4" max="4" width="10.83203125" style="63"/>
    <col min="5" max="5" width="16.5" style="98" customWidth="1"/>
    <col min="6" max="6" width="10.83203125" style="63"/>
    <col min="7" max="7" width="16.5" style="98" customWidth="1"/>
    <col min="8" max="8" width="10.83203125" style="63"/>
    <col min="9" max="9" width="15.1640625" style="98" bestFit="1" customWidth="1"/>
  </cols>
  <sheetData>
    <row r="1" spans="1:9">
      <c r="B1" s="115">
        <v>2019</v>
      </c>
      <c r="C1" s="128" t="s">
        <v>6</v>
      </c>
      <c r="D1" s="115">
        <v>2020</v>
      </c>
      <c r="E1" s="128" t="s">
        <v>6</v>
      </c>
      <c r="F1" s="115">
        <v>2021</v>
      </c>
      <c r="G1" s="128" t="s">
        <v>6</v>
      </c>
      <c r="H1" s="115" t="s">
        <v>116</v>
      </c>
      <c r="I1" s="128" t="s">
        <v>178</v>
      </c>
    </row>
    <row r="2" spans="1:9">
      <c r="A2" s="129" t="s">
        <v>179</v>
      </c>
      <c r="B2" s="130">
        <v>159</v>
      </c>
      <c r="C2" s="131">
        <v>15500.45</v>
      </c>
      <c r="D2" s="130">
        <v>87</v>
      </c>
      <c r="E2" s="131">
        <v>8643.4500000000007</v>
      </c>
      <c r="F2" s="130">
        <f>33+18+3</f>
        <v>54</v>
      </c>
      <c r="G2" s="131">
        <f>1788.3+3278.55+298.05</f>
        <v>5364.9000000000005</v>
      </c>
      <c r="H2" s="130">
        <f>F2+D2+B2</f>
        <v>300</v>
      </c>
      <c r="I2" s="131">
        <f>14.91*H2</f>
        <v>4473</v>
      </c>
    </row>
    <row r="3" spans="1:9">
      <c r="A3" s="132" t="s">
        <v>180</v>
      </c>
      <c r="B3" s="91">
        <v>21</v>
      </c>
      <c r="C3" s="133">
        <v>2256.0300000000002</v>
      </c>
      <c r="D3" s="91">
        <v>8</v>
      </c>
      <c r="E3" s="133">
        <v>859.44</v>
      </c>
      <c r="F3" s="91">
        <v>0</v>
      </c>
      <c r="G3" s="133">
        <v>0</v>
      </c>
      <c r="H3" s="91">
        <f t="shared" ref="H3:H7" si="0">F3+D3+B3</f>
        <v>29</v>
      </c>
      <c r="I3" s="133">
        <f>18.96*H3</f>
        <v>549.84</v>
      </c>
    </row>
    <row r="4" spans="1:9">
      <c r="A4" s="134" t="s">
        <v>181</v>
      </c>
      <c r="B4" s="135">
        <v>0</v>
      </c>
      <c r="C4" s="136">
        <v>0</v>
      </c>
      <c r="D4" s="135">
        <v>1</v>
      </c>
      <c r="E4" s="136">
        <v>99.344999999999999</v>
      </c>
      <c r="F4" s="135">
        <v>0</v>
      </c>
      <c r="G4" s="136">
        <v>0</v>
      </c>
      <c r="H4" s="135">
        <f t="shared" si="0"/>
        <v>1</v>
      </c>
      <c r="I4" s="136">
        <v>0</v>
      </c>
    </row>
    <row r="5" spans="1:9">
      <c r="A5" s="134" t="s">
        <v>182</v>
      </c>
      <c r="B5" s="135">
        <v>0</v>
      </c>
      <c r="C5" s="136">
        <v>0</v>
      </c>
      <c r="D5" s="135">
        <v>1</v>
      </c>
      <c r="E5" s="136">
        <v>94.7</v>
      </c>
      <c r="F5" s="135">
        <v>-1</v>
      </c>
      <c r="G5" s="136">
        <v>-94.7</v>
      </c>
      <c r="H5" s="135">
        <f t="shared" si="0"/>
        <v>0</v>
      </c>
      <c r="I5" s="136">
        <f t="shared" ref="I5" si="1">14.91*H5</f>
        <v>0</v>
      </c>
    </row>
    <row r="6" spans="1:9">
      <c r="A6" s="134" t="s">
        <v>183</v>
      </c>
      <c r="B6" s="135">
        <v>4</v>
      </c>
      <c r="C6" s="136">
        <v>300</v>
      </c>
      <c r="D6" s="135">
        <v>0</v>
      </c>
      <c r="E6" s="136">
        <v>0</v>
      </c>
      <c r="F6" s="135">
        <v>0</v>
      </c>
      <c r="G6" s="136">
        <v>0</v>
      </c>
      <c r="H6" s="135">
        <f t="shared" si="0"/>
        <v>4</v>
      </c>
      <c r="I6" s="136">
        <v>0</v>
      </c>
    </row>
    <row r="7" spans="1:9">
      <c r="A7" s="137" t="s">
        <v>184</v>
      </c>
      <c r="B7" s="138">
        <v>3</v>
      </c>
      <c r="C7" s="139">
        <v>302.61</v>
      </c>
      <c r="D7" s="138">
        <v>0</v>
      </c>
      <c r="E7" s="139">
        <v>0</v>
      </c>
      <c r="F7" s="138">
        <v>0</v>
      </c>
      <c r="G7" s="139">
        <v>0</v>
      </c>
      <c r="H7" s="138">
        <f t="shared" si="0"/>
        <v>3</v>
      </c>
      <c r="I7" s="139">
        <v>0</v>
      </c>
    </row>
    <row r="8" spans="1:9">
      <c r="I8" s="98">
        <f>SUM(I2:I7)</f>
        <v>5022.84</v>
      </c>
    </row>
    <row r="10" spans="1:9">
      <c r="A10" s="921" t="s">
        <v>185</v>
      </c>
      <c r="B10" s="921"/>
      <c r="C10" s="98">
        <v>10000</v>
      </c>
      <c r="G10" s="920" t="s">
        <v>186</v>
      </c>
      <c r="H10" s="920"/>
      <c r="I10" s="98">
        <f>C10-I8</f>
        <v>4977.16</v>
      </c>
    </row>
  </sheetData>
  <mergeCells count="2">
    <mergeCell ref="G10:H10"/>
    <mergeCell ref="A10:B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8F3C1-79E8-4341-B14F-1921B2094938}">
  <sheetPr>
    <tabColor theme="7"/>
    <pageSetUpPr fitToPage="1"/>
  </sheetPr>
  <dimension ref="A1:AK414"/>
  <sheetViews>
    <sheetView topLeftCell="A64" zoomScale="120" zoomScaleNormal="120" workbookViewId="0">
      <selection activeCell="C64" sqref="C64"/>
    </sheetView>
  </sheetViews>
  <sheetFormatPr baseColWidth="10" defaultColWidth="10.83203125" defaultRowHeight="17"/>
  <cols>
    <col min="1" max="1" width="1.1640625" style="165" customWidth="1"/>
    <col min="2" max="2" width="41" style="165" customWidth="1"/>
    <col min="3" max="3" width="16.6640625" style="165" customWidth="1"/>
    <col min="4" max="4" width="2.1640625" style="599" customWidth="1"/>
    <col min="5" max="5" width="2.1640625" style="804" customWidth="1"/>
    <col min="6" max="6" width="41" style="165" customWidth="1"/>
    <col min="7" max="7" width="16.6640625" style="165" customWidth="1"/>
    <col min="8" max="8" width="1.1640625" style="165" customWidth="1"/>
    <col min="9" max="9" width="7.5" style="165" customWidth="1"/>
    <col min="10" max="10" width="3" style="165" customWidth="1"/>
    <col min="11" max="12" width="45.6640625" style="171" customWidth="1"/>
    <col min="13" max="37" width="10.83203125" style="165"/>
    <col min="38" max="16384" width="10.83203125" style="163"/>
  </cols>
  <sheetData>
    <row r="1" spans="1:12" ht="18" thickBot="1">
      <c r="E1" s="800"/>
      <c r="F1" s="176"/>
      <c r="I1" s="923"/>
      <c r="J1" s="923"/>
      <c r="K1" s="170" t="s">
        <v>187</v>
      </c>
      <c r="L1" s="170"/>
    </row>
    <row r="2" spans="1:12" ht="24" thickBot="1">
      <c r="A2" s="166"/>
      <c r="B2" s="922" t="s">
        <v>133</v>
      </c>
      <c r="C2" s="922"/>
      <c r="D2" s="177"/>
      <c r="E2" s="178"/>
      <c r="F2" s="922" t="s">
        <v>132</v>
      </c>
      <c r="G2" s="922"/>
      <c r="H2" s="179"/>
      <c r="I2" s="180"/>
      <c r="J2" s="181"/>
      <c r="K2" s="182" t="s">
        <v>132</v>
      </c>
      <c r="L2" s="182"/>
    </row>
    <row r="3" spans="1:12" ht="18" thickBot="1">
      <c r="A3" s="175"/>
      <c r="B3" s="183" t="s">
        <v>188</v>
      </c>
      <c r="C3" s="229">
        <f>C4+C23+C56+C63+C76+C85+C91+C47</f>
        <v>806270.01857142861</v>
      </c>
      <c r="D3" s="801"/>
      <c r="E3" s="802"/>
      <c r="F3" s="183" t="s">
        <v>189</v>
      </c>
      <c r="G3" s="185">
        <f>SUM(G4,G8)</f>
        <v>750703.96000000043</v>
      </c>
      <c r="H3" s="186"/>
      <c r="I3" s="180"/>
      <c r="J3" s="181"/>
      <c r="K3" s="187" t="s">
        <v>190</v>
      </c>
      <c r="L3" s="187"/>
    </row>
    <row r="4" spans="1:12">
      <c r="A4" s="188"/>
      <c r="B4" s="189" t="s">
        <v>191</v>
      </c>
      <c r="C4" s="190">
        <f>SUM(C5:C19)</f>
        <v>308740.91857142845</v>
      </c>
      <c r="D4" s="167"/>
      <c r="E4" s="803"/>
      <c r="F4" s="189" t="s">
        <v>192</v>
      </c>
      <c r="G4" s="231">
        <f>SUM(G5:G6)</f>
        <v>745853.96000000043</v>
      </c>
      <c r="H4" s="190"/>
      <c r="I4" s="180"/>
      <c r="J4" s="181"/>
      <c r="K4" s="187" t="s">
        <v>193</v>
      </c>
      <c r="L4" s="187"/>
    </row>
    <row r="5" spans="1:12">
      <c r="A5" s="188"/>
      <c r="B5" s="180" t="s">
        <v>194</v>
      </c>
      <c r="C5" s="191">
        <f>SUMIF(CASSA!$G:$G,B5,CASSA!$F:$F)+SUMIF(BANCA!$G:$G,B5,BANCA!$F:$F)-SUMIF(CASSA!$G:$G,B5,CASSA!$E:$E)-SUMIF(BANCA!$G:$G,B5,BANCA!$E:$E)</f>
        <v>222299.01857142855</v>
      </c>
      <c r="F5" s="180" t="s">
        <v>190</v>
      </c>
      <c r="G5" s="230">
        <f>SUMIF(CASSA!$G:$G,F5,CASSA!$E:$E)+SUMIF(BANCA!$G:$G,F5,BANCA!$E:$E)</f>
        <v>745853.96000000043</v>
      </c>
      <c r="H5" s="191"/>
      <c r="K5" s="187" t="s">
        <v>195</v>
      </c>
      <c r="L5" s="187"/>
    </row>
    <row r="6" spans="1:12">
      <c r="A6" s="188"/>
      <c r="B6" s="180" t="s">
        <v>196</v>
      </c>
      <c r="C6" s="191">
        <f>SUMIF(CASSA!$G:$G,B6,CASSA!$F:$F)+SUMIF(BANCA!$G:$G,B6,BANCA!$F:$F)-SUMIF(CASSA!$G:$G,B6,CASSA!$E:$E)-SUMIF(BANCA!$G:$G,B6,BANCA!$E:$E)</f>
        <v>13706.930000000002</v>
      </c>
      <c r="F6" s="180" t="s">
        <v>193</v>
      </c>
      <c r="G6" s="230">
        <f>SUMIF(CASSA!$G:$G,F6,CASSA!$E:$E)+SUMIF(BANCA!$G:$G,F6,BANCA!$E:$E)</f>
        <v>0</v>
      </c>
      <c r="H6" s="192"/>
      <c r="K6" s="182" t="s">
        <v>197</v>
      </c>
      <c r="L6" s="182"/>
    </row>
    <row r="7" spans="1:12">
      <c r="A7" s="188"/>
      <c r="B7" s="180" t="s">
        <v>198</v>
      </c>
      <c r="C7" s="191">
        <f>SUMIF(CASSA!$G:$G,B7,CASSA!$F:$F)+SUMIF(BANCA!$G:$G,B7,BANCA!$F:$F)-SUMIF(CASSA!$G:$G,B7,CASSA!$E:$E)-SUMIF(BANCA!$G:$G,B7,BANCA!$E:$E)</f>
        <v>6223.7400000000007</v>
      </c>
      <c r="F7" s="189"/>
      <c r="G7" s="193"/>
      <c r="H7" s="193"/>
      <c r="K7" s="182" t="s">
        <v>133</v>
      </c>
      <c r="L7" s="182"/>
    </row>
    <row r="8" spans="1:12">
      <c r="A8" s="188"/>
      <c r="B8" s="180" t="s">
        <v>199</v>
      </c>
      <c r="C8" s="191">
        <f>SUMIF(CASSA!$G:$G,B8,CASSA!$F:$F)+SUMIF(BANCA!$G:$G,B8,BANCA!$F:$F)-SUMIF(CASSA!$G:$G,B8,CASSA!$E:$E)-SUMIF(BANCA!$G:$G,B8,BANCA!$E:$E)</f>
        <v>32333.93</v>
      </c>
      <c r="F8" s="189" t="s">
        <v>200</v>
      </c>
      <c r="G8" s="193">
        <f>SUM(G9)</f>
        <v>4850</v>
      </c>
      <c r="H8" s="192"/>
      <c r="K8" s="187" t="s">
        <v>194</v>
      </c>
      <c r="L8" s="187"/>
    </row>
    <row r="9" spans="1:12">
      <c r="A9" s="188"/>
      <c r="B9" s="180" t="s">
        <v>201</v>
      </c>
      <c r="C9" s="191">
        <f>SUMIF(CASSA!$G:$G,B9,CASSA!$F:$F)+SUMIF(BANCA!$G:$G,B9,BANCA!$F:$F)-SUMIF(CASSA!$G:$G,B9,CASSA!$E:$E)-SUMIF(BANCA!$G:$G,B9,BANCA!$E:$E)</f>
        <v>7100.04</v>
      </c>
      <c r="F9" s="180" t="s">
        <v>195</v>
      </c>
      <c r="G9" s="191">
        <f>SUMIF(CASSA!$G:$G,F9,CASSA!$E:$E)+SUMIF(BANCA!$G:$G,F9,BANCA!$E:$E)</f>
        <v>4850</v>
      </c>
      <c r="H9" s="192"/>
      <c r="K9" s="180" t="s">
        <v>196</v>
      </c>
      <c r="L9" s="187"/>
    </row>
    <row r="10" spans="1:12">
      <c r="A10" s="188"/>
      <c r="B10" s="180" t="s">
        <v>202</v>
      </c>
      <c r="C10" s="191">
        <f>SUMIF(CASSA!$G:$G,B10,CASSA!$F:$F)+SUMIF(BANCA!$G:$G,B10,BANCA!$F:$F)-SUMIF(CASSA!$G:$G,B10,CASSA!$E:$E)-SUMIF(BANCA!$G:$G,B10,BANCA!$E:$E)</f>
        <v>8598.1</v>
      </c>
      <c r="H10" s="192"/>
      <c r="K10" s="180" t="s">
        <v>198</v>
      </c>
      <c r="L10" s="180"/>
    </row>
    <row r="11" spans="1:12">
      <c r="A11" s="188"/>
      <c r="B11" s="180" t="s">
        <v>203</v>
      </c>
      <c r="C11" s="191">
        <f>SUMIF(CASSA!$G:$G,B11,CASSA!$F:$F)+SUMIF(BANCA!$G:$G,B11,BANCA!$F:$F)-SUMIF(CASSA!$G:$G,B11,CASSA!$E:$E)-SUMIF(BANCA!$G:$G,B11,BANCA!$E:$E)</f>
        <v>-70</v>
      </c>
      <c r="F11" s="180"/>
      <c r="G11" s="194"/>
      <c r="H11" s="192"/>
      <c r="K11" s="180" t="s">
        <v>199</v>
      </c>
      <c r="L11" s="180"/>
    </row>
    <row r="12" spans="1:12">
      <c r="A12" s="188"/>
      <c r="B12" s="180" t="s">
        <v>204</v>
      </c>
      <c r="C12" s="191">
        <f>SUMIF(CASSA!$G:$G,B12,CASSA!$F:$F)+SUMIF(BANCA!$G:$G,B12,BANCA!$F:$F)-SUMIF(CASSA!$G:$G,B12,CASSA!$E:$E)-SUMIF(BANCA!$G:$G,B12,BANCA!$E:$E)</f>
        <v>3967.72</v>
      </c>
      <c r="F12" s="180"/>
      <c r="G12" s="194"/>
      <c r="K12" s="187" t="s">
        <v>201</v>
      </c>
      <c r="L12" s="203"/>
    </row>
    <row r="13" spans="1:12">
      <c r="A13" s="188"/>
      <c r="B13" s="180" t="s">
        <v>205</v>
      </c>
      <c r="C13" s="191">
        <f>SUMIF(CASSA!$G:$G,B13,CASSA!$F:$F)+SUMIF(BANCA!$G:$G,B13,BANCA!$F:$F)-SUMIF(CASSA!$G:$G,B13,CASSA!$E:$E)-SUMIF(BANCA!$G:$G,B13,BANCA!$E:$E)</f>
        <v>1499.8300000000004</v>
      </c>
      <c r="G13" s="191"/>
      <c r="K13" s="187" t="s">
        <v>202</v>
      </c>
      <c r="L13" s="187"/>
    </row>
    <row r="14" spans="1:12">
      <c r="A14" s="188"/>
      <c r="B14" s="180" t="s">
        <v>206</v>
      </c>
      <c r="C14" s="191">
        <f>SUMIF(CASSA!$G:$G,B14,CASSA!$F:$F)+SUMIF(BANCA!$G:$G,B14,BANCA!$F:$F)-SUMIF(CASSA!$G:$G,B14,CASSA!$E:$E)-SUMIF(BANCA!$G:$G,B14,BANCA!$E:$E)</f>
        <v>1263.4899999999998</v>
      </c>
      <c r="K14" s="187" t="s">
        <v>203</v>
      </c>
      <c r="L14" s="187"/>
    </row>
    <row r="15" spans="1:12">
      <c r="A15" s="188"/>
      <c r="B15" s="180" t="s">
        <v>207</v>
      </c>
      <c r="C15" s="191">
        <f>SUMIF(CASSA!$G:$G,B15,CASSA!$F:$F)+SUMIF(BANCA!$G:$G,B15,BANCA!$F:$F)-SUMIF(CASSA!$G:$G,B15,CASSA!$E:$E)-SUMIF(BANCA!$G:$G,B15,BANCA!$E:$E)</f>
        <v>5628.8099999999995</v>
      </c>
      <c r="K15" s="180" t="s">
        <v>204</v>
      </c>
      <c r="L15" s="187"/>
    </row>
    <row r="16" spans="1:12">
      <c r="A16" s="188"/>
      <c r="B16" s="180" t="s">
        <v>208</v>
      </c>
      <c r="C16" s="191">
        <f>SUMIF(CASSA!$G:$G,B16,CASSA!$F:$F)+SUMIF(BANCA!$G:$G,B16,BANCA!$F:$F)-SUMIF(CASSA!$G:$G,B16,CASSA!$E:$E)-SUMIF(BANCA!$G:$G,B16,BANCA!$E:$E)</f>
        <v>6156.6299999999992</v>
      </c>
      <c r="K16" s="187" t="s">
        <v>205</v>
      </c>
      <c r="L16" s="180"/>
    </row>
    <row r="17" spans="1:37">
      <c r="A17" s="188"/>
      <c r="B17" s="180" t="s">
        <v>209</v>
      </c>
      <c r="C17" s="191">
        <f>SUMIF(CASSA!$G:$G,B17,CASSA!$F:$F)+SUMIF(BANCA!$G:$G,B17,BANCA!$F:$F)-SUMIF(CASSA!$G:$G,B17,CASSA!$E:$E)-SUMIF(BANCA!$G:$G,B17,BANCA!$E:$E)</f>
        <v>32.680000000000007</v>
      </c>
      <c r="K17" s="187" t="s">
        <v>206</v>
      </c>
      <c r="L17" s="187"/>
    </row>
    <row r="18" spans="1:37">
      <c r="A18" s="188"/>
      <c r="B18" s="180" t="s">
        <v>210</v>
      </c>
      <c r="C18" s="191">
        <f>SUMIF(CASSA!$G:$G,B18,CASSA!$F:$F)+SUMIF(BANCA!$G:$G,B18,BANCA!$F:$F)-SUMIF(CASSA!$G:$G,B18,CASSA!$E:$E)-SUMIF(BANCA!$G:$G,B18,BANCA!$E:$E)</f>
        <v>0</v>
      </c>
      <c r="K18" s="187" t="s">
        <v>207</v>
      </c>
      <c r="L18" s="187"/>
    </row>
    <row r="19" spans="1:37">
      <c r="A19" s="188"/>
      <c r="B19" s="180" t="s">
        <v>211</v>
      </c>
      <c r="C19" s="191">
        <f>SUMIF(CASSA!$G:$G,B19,CASSA!$F:$F)+SUMIF(BANCA!$G:$G,B19,BANCA!$F:$F)-SUMIF(CASSA!$G:$G,B19,CASSA!$E:$E)-SUMIF(BANCA!$G:$G,B19,BANCA!$E:$E)</f>
        <v>0</v>
      </c>
      <c r="K19" s="195" t="s">
        <v>208</v>
      </c>
      <c r="L19" s="187"/>
    </row>
    <row r="20" spans="1:37">
      <c r="A20" s="188"/>
      <c r="B20" s="196" t="s">
        <v>212</v>
      </c>
      <c r="C20" s="228">
        <f>$C$4/$G$4</f>
        <v>0.41394285628171534</v>
      </c>
      <c r="K20" s="187" t="s">
        <v>209</v>
      </c>
      <c r="L20" s="195"/>
    </row>
    <row r="21" spans="1:37" s="169" customFormat="1">
      <c r="A21" s="188"/>
      <c r="B21" s="196" t="s">
        <v>213</v>
      </c>
      <c r="C21" s="228">
        <f>SUM(C5:C10)/G4</f>
        <v>0.3891670141047831</v>
      </c>
      <c r="D21" s="167"/>
      <c r="E21" s="803"/>
      <c r="F21" s="168"/>
      <c r="G21" s="168"/>
      <c r="H21" s="168"/>
      <c r="I21" s="168"/>
      <c r="J21" s="168"/>
      <c r="K21" s="180" t="s">
        <v>210</v>
      </c>
      <c r="L21" s="187"/>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row>
    <row r="22" spans="1:37" s="169" customFormat="1">
      <c r="A22" s="188"/>
      <c r="B22" s="180"/>
      <c r="C22" s="191"/>
      <c r="D22" s="167"/>
      <c r="E22" s="803"/>
      <c r="F22" s="168"/>
      <c r="G22" s="168"/>
      <c r="H22" s="168"/>
      <c r="I22" s="168"/>
      <c r="J22" s="168"/>
      <c r="K22" s="180" t="s">
        <v>211</v>
      </c>
      <c r="L22" s="180"/>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row>
    <row r="23" spans="1:37">
      <c r="A23" s="188"/>
      <c r="B23" s="189" t="s">
        <v>214</v>
      </c>
      <c r="C23" s="190">
        <f>SUM(C24:C44)</f>
        <v>110812.48999999999</v>
      </c>
      <c r="K23" s="187" t="s">
        <v>215</v>
      </c>
      <c r="L23" s="180"/>
    </row>
    <row r="24" spans="1:37">
      <c r="A24" s="188"/>
      <c r="B24" s="180" t="s">
        <v>216</v>
      </c>
      <c r="C24" s="191">
        <f>SUMIF(CASSA!$G:$G,B24,CASSA!$F:$F)+SUMIF(BANCA!$G:$G,B24,BANCA!$F:$F)-SUMIF(CASSA!$G:$G,B24,CASSA!$E:$E)-SUMIF(BANCA!$G:$G,B24,BANCA!$E:$E)</f>
        <v>18144.41</v>
      </c>
      <c r="K24" s="187" t="s">
        <v>216</v>
      </c>
      <c r="L24" s="187"/>
    </row>
    <row r="25" spans="1:37">
      <c r="A25" s="188"/>
      <c r="B25" s="180" t="s">
        <v>217</v>
      </c>
      <c r="C25" s="191">
        <f>SUMIF(CASSA!$G:$G,B25,CASSA!$F:$F)+SUMIF(BANCA!$G:$G,B25,BANCA!$F:$F)-SUMIF(CASSA!$G:$G,B25,CASSA!$E:$E)-SUMIF(BANCA!$G:$G,B25,BANCA!$E:$E)</f>
        <v>8.9</v>
      </c>
      <c r="D25" s="167"/>
      <c r="E25" s="803"/>
      <c r="F25" s="168"/>
      <c r="G25" s="168"/>
      <c r="H25" s="168"/>
      <c r="I25" s="168"/>
      <c r="J25" s="168"/>
      <c r="K25" s="187" t="s">
        <v>217</v>
      </c>
      <c r="L25" s="187"/>
    </row>
    <row r="26" spans="1:37">
      <c r="A26" s="197"/>
      <c r="B26" s="180" t="s">
        <v>218</v>
      </c>
      <c r="C26" s="191">
        <f>SUMIF(CASSA!$G:$G,B26,CASSA!$F:$F)+SUMIF(BANCA!$G:$G,B26,BANCA!$F:$F)-SUMIF(CASSA!$G:$G,B26,CASSA!$E:$E)-SUMIF(BANCA!$G:$G,B26,BANCA!$E:$E)</f>
        <v>3633.7000000000003</v>
      </c>
      <c r="K26" s="187" t="s">
        <v>218</v>
      </c>
      <c r="L26" s="187"/>
    </row>
    <row r="27" spans="1:37">
      <c r="B27" s="180" t="s">
        <v>219</v>
      </c>
      <c r="C27" s="191">
        <f>SUMIF(CASSA!$G:$G,B27,CASSA!$F:$F)+SUMIF(BANCA!$G:$G,B27,BANCA!$F:$F)-SUMIF(CASSA!$G:$G,B27,CASSA!$E:$E)-SUMIF(BANCA!$G:$G,B27,BANCA!$E:$E)</f>
        <v>8139.9400000000023</v>
      </c>
      <c r="K27" s="187" t="s">
        <v>219</v>
      </c>
      <c r="L27" s="187"/>
    </row>
    <row r="28" spans="1:37">
      <c r="B28" s="180" t="s">
        <v>220</v>
      </c>
      <c r="C28" s="191">
        <f>SUMIF(CASSA!$G:$G,B28,CASSA!$F:$F)+SUMIF(BANCA!$G:$G,B28,BANCA!$F:$F)-SUMIF(CASSA!$G:$G,B28,CASSA!$E:$E)-SUMIF(BANCA!$G:$G,B28,BANCA!$E:$E)</f>
        <v>241.5</v>
      </c>
      <c r="K28" s="187" t="s">
        <v>220</v>
      </c>
      <c r="L28" s="187"/>
    </row>
    <row r="29" spans="1:37">
      <c r="B29" s="180" t="s">
        <v>221</v>
      </c>
      <c r="C29" s="191">
        <f>SUMIF(CASSA!$G:$G,B29,CASSA!$F:$F)+SUMIF(BANCA!$G:$G,B29,BANCA!$F:$F)-SUMIF(CASSA!$G:$G,B29,CASSA!$E:$E)-SUMIF(BANCA!$G:$G,B29,BANCA!$E:$E)</f>
        <v>5066.74</v>
      </c>
      <c r="K29" s="187" t="s">
        <v>221</v>
      </c>
      <c r="L29" s="187"/>
    </row>
    <row r="30" spans="1:37">
      <c r="B30" s="180" t="s">
        <v>222</v>
      </c>
      <c r="C30" s="191">
        <f>SUMIF(CASSA!$G:$G,B30,CASSA!$F:$F)+SUMIF(BANCA!$G:$G,B30,BANCA!$F:$F)-SUMIF(CASSA!$G:$G,B30,CASSA!$E:$E)-SUMIF(BANCA!$G:$G,B30,BANCA!$E:$E)</f>
        <v>5230.22</v>
      </c>
      <c r="K30" s="187" t="s">
        <v>222</v>
      </c>
      <c r="L30" s="187"/>
    </row>
    <row r="31" spans="1:37">
      <c r="B31" s="180" t="s">
        <v>223</v>
      </c>
      <c r="C31" s="191">
        <f>SUMIF(CASSA!$G:$G,B31,CASSA!$F:$F)+SUMIF(BANCA!$G:$G,B31,BANCA!$F:$F)-SUMIF(CASSA!$G:$G,B31,CASSA!$E:$E)-SUMIF(BANCA!$G:$G,B31,BANCA!$E:$E)</f>
        <v>1190</v>
      </c>
      <c r="K31" s="187" t="s">
        <v>223</v>
      </c>
      <c r="L31" s="187"/>
    </row>
    <row r="32" spans="1:37">
      <c r="B32" s="180" t="s">
        <v>224</v>
      </c>
      <c r="C32" s="191">
        <f>SUMIF(CASSA!$G:$G,B32,CASSA!$F:$F)+SUMIF(BANCA!$G:$G,B32,BANCA!$F:$F)-SUMIF(CASSA!$G:$G,B32,CASSA!$E:$E)-SUMIF(BANCA!$G:$G,B32,BANCA!$E:$E)</f>
        <v>13161.19</v>
      </c>
      <c r="K32" s="187" t="s">
        <v>224</v>
      </c>
      <c r="L32" s="187"/>
    </row>
    <row r="33" spans="2:12">
      <c r="B33" s="180" t="s">
        <v>225</v>
      </c>
      <c r="C33" s="191">
        <f>SUMIF(CASSA!$G:$G,B33,CASSA!$F:$F)+SUMIF(BANCA!$G:$G,B33,BANCA!$F:$F)-SUMIF(CASSA!$G:$G,B33,CASSA!$E:$E)-SUMIF(BANCA!$G:$G,B33,BANCA!$E:$E)</f>
        <v>1383.5599999999997</v>
      </c>
      <c r="K33" s="187" t="s">
        <v>225</v>
      </c>
      <c r="L33" s="187"/>
    </row>
    <row r="34" spans="2:12">
      <c r="B34" s="187" t="s">
        <v>226</v>
      </c>
      <c r="C34" s="191">
        <f>SUMIF(CASSA!$G:$G,B34,CASSA!$F:$F)+SUMIF(BANCA!$G:$G,B34,BANCA!$F:$F)-SUMIF(CASSA!$G:$G,B34,CASSA!$E:$E)-SUMIF(BANCA!$G:$G,B34,BANCA!$E:$E)</f>
        <v>52.699999999999989</v>
      </c>
      <c r="K34" s="187" t="s">
        <v>226</v>
      </c>
      <c r="L34" s="187"/>
    </row>
    <row r="35" spans="2:12">
      <c r="B35" s="180" t="s">
        <v>159</v>
      </c>
      <c r="C35" s="191">
        <f>SUMIF(CASSA!$G:$G,B35,CASSA!$F:$F)+SUMIF(BANCA!$G:$G,B35,BANCA!$F:$F)-SUMIF(CASSA!$G:$G,B35,CASSA!$E:$E)-SUMIF(BANCA!$G:$G,B35,BANCA!$E:$E)</f>
        <v>806.63000000000011</v>
      </c>
      <c r="K35" s="180" t="s">
        <v>159</v>
      </c>
      <c r="L35" s="187"/>
    </row>
    <row r="36" spans="2:12">
      <c r="B36" s="635" t="s">
        <v>227</v>
      </c>
      <c r="C36" s="636">
        <f>SUMIF(CASSA!$G:$G,B36,CASSA!$F:$F)+SUMIF(BANCA!$G:$G,B36,BANCA!$F:$F)-SUMIF(CASSA!$G:$G,B36,CASSA!$E:$E)-SUMIF(BANCA!$G:$G,B36,BANCA!$E:$E)</f>
        <v>5736</v>
      </c>
      <c r="K36" s="180" t="s">
        <v>227</v>
      </c>
      <c r="L36" s="187"/>
    </row>
    <row r="37" spans="2:12">
      <c r="B37" s="635" t="s">
        <v>228</v>
      </c>
      <c r="C37" s="636">
        <f>SUMIF(CASSA!$G:$G,B37,CASSA!$F:$F)+SUMIF(BANCA!$G:$G,B37,BANCA!$F:$F)-SUMIF(CASSA!$G:$G,B37,CASSA!$E:$E)-SUMIF(BANCA!$G:$G,B37,BANCA!$E:$E)</f>
        <v>500</v>
      </c>
      <c r="K37" s="180" t="s">
        <v>228</v>
      </c>
      <c r="L37" s="187"/>
    </row>
    <row r="38" spans="2:12">
      <c r="B38" s="635" t="s">
        <v>229</v>
      </c>
      <c r="C38" s="636">
        <f>SUMIF(CASSA!$G:$G,B38,CASSA!$F:$F)+SUMIF(BANCA!$G:$G,B38,BANCA!$F:$F)-SUMIF(CASSA!$G:$G,B38,CASSA!$E:$E)-SUMIF(BANCA!$G:$G,B38,BANCA!$E:$E)</f>
        <v>12385</v>
      </c>
      <c r="K38" s="180" t="s">
        <v>229</v>
      </c>
      <c r="L38" s="180"/>
    </row>
    <row r="39" spans="2:12">
      <c r="B39" s="635" t="s">
        <v>230</v>
      </c>
      <c r="C39" s="636">
        <f>SUMIF(CASSA!$G:$G,B39,CASSA!$F:$F)+SUMIF(BANCA!$G:$G,B39,BANCA!$F:$F)-SUMIF(CASSA!$G:$G,B39,CASSA!$E:$E)-SUMIF(BANCA!$G:$G,B39,BANCA!$E:$E)</f>
        <v>11383.06</v>
      </c>
      <c r="K39" s="187" t="s">
        <v>230</v>
      </c>
      <c r="L39" s="187"/>
    </row>
    <row r="40" spans="2:12">
      <c r="B40" s="635" t="s">
        <v>231</v>
      </c>
      <c r="C40" s="636">
        <f>SUMIF(CASSA!$G:$G,B40,CASSA!$F:$F)+SUMIF(BANCA!$G:$G,B40,BANCA!$F:$F)-SUMIF(CASSA!$G:$G,B40,CASSA!$E:$E)-SUMIF(BANCA!$G:$G,B40,BANCA!$E:$E)</f>
        <v>7100</v>
      </c>
      <c r="K40" s="180" t="s">
        <v>231</v>
      </c>
      <c r="L40" s="180"/>
    </row>
    <row r="41" spans="2:12">
      <c r="B41" s="635" t="s">
        <v>232</v>
      </c>
      <c r="C41" s="636">
        <f>SUMIF(CASSA!$G:$G,B41,CASSA!$F:$F)+SUMIF(BANCA!$G:$G,B41,BANCA!$F:$F)-SUMIF(CASSA!$G:$G,B41,CASSA!$E:$E)-SUMIF(BANCA!$G:$G,B41,BANCA!$E:$E)</f>
        <v>4112.4800000000005</v>
      </c>
      <c r="K41" s="180" t="s">
        <v>232</v>
      </c>
      <c r="L41" s="180"/>
    </row>
    <row r="42" spans="2:12">
      <c r="B42" s="635" t="s">
        <v>233</v>
      </c>
      <c r="C42" s="636">
        <f>SUMIF(CASSA!$G:$G,B42,CASSA!$F:$F)+SUMIF(BANCA!$G:$G,B42,BANCA!$F:$F)-SUMIF(CASSA!$G:$G,B42,CASSA!$E:$E)-SUMIF(BANCA!$G:$G,B42,BANCA!$E:$E)</f>
        <v>5063.28</v>
      </c>
      <c r="K42" s="180" t="s">
        <v>233</v>
      </c>
      <c r="L42" s="187"/>
    </row>
    <row r="43" spans="2:12">
      <c r="B43" s="180" t="s">
        <v>234</v>
      </c>
      <c r="C43" s="191">
        <f>SUMIF(CASSA!$G:$G,B43,CASSA!$F:$F)+SUMIF(BANCA!$G:$G,B43,BANCA!$F:$F)-SUMIF(CASSA!$G:$G,B43,CASSA!$E:$E)-SUMIF(BANCA!$G:$G,B43,BANCA!$E:$E)</f>
        <v>3418.58</v>
      </c>
      <c r="K43" s="180" t="s">
        <v>234</v>
      </c>
      <c r="L43" s="180"/>
    </row>
    <row r="44" spans="2:12">
      <c r="B44" s="180" t="s">
        <v>151</v>
      </c>
      <c r="C44" s="191">
        <f>SUMIF(CASSA!$G:$G,B44,CASSA!$F:$F)+SUMIF(BANCA!$G:$G,B44,BANCA!$F:$F)-SUMIF(CASSA!$G:$G,B44,CASSA!$E:$E)-SUMIF(BANCA!$G:$G,B44,BANCA!$E:$E)</f>
        <v>4054.6</v>
      </c>
      <c r="K44" s="187" t="s">
        <v>151</v>
      </c>
      <c r="L44" s="180"/>
    </row>
    <row r="45" spans="2:12">
      <c r="B45" s="196" t="s">
        <v>235</v>
      </c>
      <c r="C45" s="228">
        <f>$C$23/$G$3</f>
        <v>0.14761143660411746</v>
      </c>
      <c r="K45" s="187" t="s">
        <v>236</v>
      </c>
      <c r="L45" s="180"/>
    </row>
    <row r="46" spans="2:12">
      <c r="B46" s="180"/>
      <c r="C46" s="191"/>
      <c r="K46" s="187" t="s">
        <v>1858</v>
      </c>
      <c r="L46" s="187"/>
    </row>
    <row r="47" spans="2:12">
      <c r="B47" s="189" t="s">
        <v>1857</v>
      </c>
      <c r="C47" s="190">
        <f>SUM(C48:C53)</f>
        <v>12396.68</v>
      </c>
      <c r="K47" s="180" t="s">
        <v>1859</v>
      </c>
      <c r="L47" s="187"/>
    </row>
    <row r="48" spans="2:12">
      <c r="B48" s="187" t="s">
        <v>1858</v>
      </c>
      <c r="C48" s="191">
        <f>SUMIF(CASSA!$G:$G,B48,CASSA!$F:$F)+SUMIF(BANCA!$G:$G,B48,BANCA!$F:$F)-SUMIF(CASSA!$G:$G,B48,CASSA!$E:$E)-SUMIF(BANCA!$G:$G,B48,BANCA!$E:$E)</f>
        <v>1442.5</v>
      </c>
      <c r="K48" s="187" t="s">
        <v>1860</v>
      </c>
      <c r="L48" s="187"/>
    </row>
    <row r="49" spans="2:12">
      <c r="B49" s="180" t="s">
        <v>1859</v>
      </c>
      <c r="C49" s="191">
        <f>SUMIF(CASSA!$G:$G,B49,CASSA!$F:$F)+SUMIF(BANCA!$G:$G,B49,BANCA!$F:$F)-SUMIF(CASSA!$G:$G,B49,CASSA!$E:$E)-SUMIF(BANCA!$G:$G,B49,BANCA!$E:$E)</f>
        <v>9425</v>
      </c>
      <c r="K49" s="180" t="s">
        <v>1861</v>
      </c>
      <c r="L49" s="187"/>
    </row>
    <row r="50" spans="2:12">
      <c r="B50" s="187" t="s">
        <v>1860</v>
      </c>
      <c r="C50" s="191">
        <f>SUMIF(CASSA!$G:$G,B50,CASSA!$F:$F)+SUMIF(BANCA!$G:$G,B50,BANCA!$F:$F)-SUMIF(CASSA!$G:$G,B50,CASSA!$E:$E)-SUMIF(BANCA!$G:$G,B50,BANCA!$E:$E)</f>
        <v>206.67000000000002</v>
      </c>
      <c r="K50" s="180" t="s">
        <v>1865</v>
      </c>
      <c r="L50" s="187"/>
    </row>
    <row r="51" spans="2:12">
      <c r="B51" s="180" t="s">
        <v>1861</v>
      </c>
      <c r="C51" s="191">
        <f>SUMIF(CASSA!$G:$G,B51,CASSA!$F:$F)+SUMIF(BANCA!$G:$G,B51,BANCA!$F:$F)-SUMIF(CASSA!$G:$G,B51,CASSA!$E:$E)-SUMIF(BANCA!$G:$G,B51,BANCA!$E:$E)</f>
        <v>1264.6600000000001</v>
      </c>
      <c r="K51" s="180" t="s">
        <v>1866</v>
      </c>
      <c r="L51" s="187"/>
    </row>
    <row r="52" spans="2:12">
      <c r="B52" s="180" t="s">
        <v>1865</v>
      </c>
      <c r="C52" s="191">
        <f>SUMIF(CASSA!$G:$G,B52,CASSA!$F:$F)+SUMIF(BANCA!$G:$G,B52,BANCA!$F:$F)-SUMIF(CASSA!$G:$G,B52,CASSA!$E:$E)-SUMIF(BANCA!$G:$G,B52,BANCA!$E:$E)</f>
        <v>57.85</v>
      </c>
      <c r="K52" s="187" t="s">
        <v>242</v>
      </c>
      <c r="L52" s="187"/>
    </row>
    <row r="53" spans="2:12">
      <c r="B53" s="180" t="s">
        <v>1862</v>
      </c>
      <c r="C53" s="191">
        <f>SUMIF(CASSA!$G:$G,B53,CASSA!$F:$F)+SUMIF(BANCA!$G:$G,B53,BANCA!$F:$F)-SUMIF(CASSA!$G:$G,B53,CASSA!$E:$E)-SUMIF(BANCA!$G:$G,B53,BANCA!$E:$E)</f>
        <v>0</v>
      </c>
      <c r="K53" s="187" t="s">
        <v>237</v>
      </c>
      <c r="L53" s="187"/>
    </row>
    <row r="54" spans="2:12">
      <c r="B54" s="196" t="s">
        <v>1928</v>
      </c>
      <c r="C54" s="228">
        <f>$C$47/$G$3</f>
        <v>1.6513406962712696E-2</v>
      </c>
      <c r="K54" s="187" t="s">
        <v>238</v>
      </c>
      <c r="L54" s="187"/>
    </row>
    <row r="55" spans="2:12">
      <c r="B55" s="180"/>
      <c r="C55" s="191"/>
      <c r="K55" s="187" t="s">
        <v>240</v>
      </c>
      <c r="L55" s="187"/>
    </row>
    <row r="56" spans="2:12">
      <c r="B56" s="189" t="s">
        <v>239</v>
      </c>
      <c r="C56" s="190">
        <f>SUM(C57:C60)</f>
        <v>67413.03</v>
      </c>
      <c r="K56" s="187" t="s">
        <v>241</v>
      </c>
      <c r="L56" s="187"/>
    </row>
    <row r="57" spans="2:12">
      <c r="B57" s="180" t="s">
        <v>237</v>
      </c>
      <c r="C57" s="191">
        <f>SUMIF(CASSA!$G:$G,B57,CASSA!$F:$F)+SUMIF(BANCA!$G:$G,B57,BANCA!$F:$F)-SUMIF(CASSA!$G:$G,B57,CASSA!$E:$E)-SUMIF(BANCA!$G:$G,B57,BANCA!$E:$E)</f>
        <v>49361.16</v>
      </c>
      <c r="K57" s="187" t="s">
        <v>242</v>
      </c>
      <c r="L57" s="187"/>
    </row>
    <row r="58" spans="2:12">
      <c r="B58" s="180" t="s">
        <v>238</v>
      </c>
      <c r="C58" s="191">
        <f>SUMIF(CASSA!$G:$G,B58,CASSA!$F:$F)+SUMIF(BANCA!$G:$G,B58,BANCA!$F:$F)-SUMIF(CASSA!$G:$G,B58,CASSA!$E:$E)-SUMIF(BANCA!$G:$G,B58,BANCA!$E:$E)</f>
        <v>3750</v>
      </c>
      <c r="K58" s="180" t="s">
        <v>139</v>
      </c>
      <c r="L58" s="187"/>
    </row>
    <row r="59" spans="2:12">
      <c r="B59" s="180" t="s">
        <v>240</v>
      </c>
      <c r="C59" s="191">
        <f>SUMIF(CASSA!$G:$G,B59,CASSA!$F:$F)+SUMIF(BANCA!$G:$G,B59,BANCA!$F:$F)-SUMIF(CASSA!$G:$G,B59,CASSA!$E:$E)-SUMIF(BANCA!$G:$G,B59,BANCA!$E:$E)</f>
        <v>1147.6199999999999</v>
      </c>
      <c r="K59" s="180" t="s">
        <v>243</v>
      </c>
      <c r="L59" s="187"/>
    </row>
    <row r="60" spans="2:12">
      <c r="B60" s="187" t="s">
        <v>241</v>
      </c>
      <c r="C60" s="191">
        <f>SUMIF(CASSA!$G:$G,B60,CASSA!$F:$F)+SUMIF(BANCA!$G:$G,B60,BANCA!$F:$F)-SUMIF(CASSA!$G:$G,B60,CASSA!$E:$E)-SUMIF(BANCA!$G:$G,B60,BANCA!$E:$E)</f>
        <v>13154.25</v>
      </c>
      <c r="K60" s="180" t="s">
        <v>245</v>
      </c>
      <c r="L60" s="187"/>
    </row>
    <row r="61" spans="2:12">
      <c r="B61" s="196" t="s">
        <v>244</v>
      </c>
      <c r="C61" s="228">
        <f>C56/$G$4</f>
        <v>9.0383685835763297E-2</v>
      </c>
      <c r="K61" s="180" t="s">
        <v>246</v>
      </c>
      <c r="L61" s="187"/>
    </row>
    <row r="62" spans="2:12">
      <c r="B62" s="189"/>
      <c r="C62" s="190"/>
      <c r="K62" s="180" t="s">
        <v>248</v>
      </c>
      <c r="L62" s="187"/>
    </row>
    <row r="63" spans="2:12">
      <c r="B63" s="189" t="s">
        <v>247</v>
      </c>
      <c r="C63" s="190">
        <f>SUM(C64:C72)</f>
        <v>283316.21000000008</v>
      </c>
      <c r="D63" s="167"/>
      <c r="E63" s="803"/>
      <c r="F63" s="168"/>
      <c r="G63" s="168"/>
      <c r="H63" s="168"/>
      <c r="I63" s="168"/>
      <c r="J63" s="168"/>
      <c r="K63" s="180" t="s">
        <v>249</v>
      </c>
      <c r="L63" s="180"/>
    </row>
    <row r="64" spans="2:12">
      <c r="B64" s="731" t="s">
        <v>139</v>
      </c>
      <c r="C64" s="732">
        <f>SUMIF(CASSA!$G:$G,B64,CASSA!$F:$F)+SUMIF(BANCA!$G:$G,B64,BANCA!$F:$F)-SUMIF(CASSA!$G:$G,B64,CASSA!$E:$E)-SUMIF(BANCA!$G:$G,B64,BANCA!$E:$E)</f>
        <v>61275.75</v>
      </c>
      <c r="K64" s="180" t="s">
        <v>250</v>
      </c>
      <c r="L64" s="180"/>
    </row>
    <row r="65" spans="2:12">
      <c r="B65" s="180" t="s">
        <v>243</v>
      </c>
      <c r="C65" s="191">
        <f>SUMIF(CASSA!$G:$G,B65,CASSA!$F:$F)+SUMIF(BANCA!$G:$G,B65,BANCA!$F:$F)-SUMIF(CASSA!$G:$G,B65,CASSA!$E:$E)-SUMIF(BANCA!$G:$G,B65,BANCA!$E:$E)</f>
        <v>62407</v>
      </c>
      <c r="K65" s="180" t="s">
        <v>251</v>
      </c>
      <c r="L65" s="180"/>
    </row>
    <row r="66" spans="2:12">
      <c r="B66" s="180" t="s">
        <v>245</v>
      </c>
      <c r="C66" s="191">
        <f>SUMIF(CASSA!$G:$G,B66,CASSA!$F:$F)+SUMIF(BANCA!$G:$G,B66,BANCA!$F:$F)-SUMIF(CASSA!$G:$G,B66,CASSA!$E:$E)-SUMIF(BANCA!$G:$G,B66,BANCA!$E:$E)</f>
        <v>34135.129999999997</v>
      </c>
      <c r="K66" s="180" t="s">
        <v>252</v>
      </c>
      <c r="L66" s="180"/>
    </row>
    <row r="67" spans="2:12">
      <c r="B67" s="180" t="s">
        <v>246</v>
      </c>
      <c r="C67" s="191">
        <f>SUMIF(CASSA!$G:$G,B67,CASSA!$F:$F)+SUMIF(BANCA!$G:$G,B67,BANCA!$F:$F)-SUMIF(CASSA!$G:$G,B67,CASSA!$E:$E)-SUMIF(BANCA!$G:$G,B67,BANCA!$E:$E)</f>
        <v>46995.45</v>
      </c>
      <c r="K67" s="187" t="s">
        <v>253</v>
      </c>
      <c r="L67" s="180"/>
    </row>
    <row r="68" spans="2:12">
      <c r="B68" s="180" t="s">
        <v>248</v>
      </c>
      <c r="C68" s="191">
        <f>SUMIF(CASSA!$G:$G,B68,CASSA!$F:$F)+SUMIF(BANCA!$G:$G,B68,BANCA!$F:$F)-SUMIF(CASSA!$G:$G,B68,CASSA!$E:$E)-SUMIF(BANCA!$G:$G,B68,BANCA!$E:$E)</f>
        <v>14047.73</v>
      </c>
      <c r="K68" s="187" t="s">
        <v>254</v>
      </c>
      <c r="L68" s="180"/>
    </row>
    <row r="69" spans="2:12">
      <c r="B69" s="180" t="s">
        <v>249</v>
      </c>
      <c r="C69" s="191">
        <f>SUMIF(CASSA!$G:$G,B69,CASSA!$F:$F)+SUMIF(BANCA!$G:$G,B69,BANCA!$F:$F)-SUMIF(CASSA!$G:$G,B69,CASSA!$E:$E)-SUMIF(BANCA!$G:$G,B69,BANCA!$E:$E)</f>
        <v>5589</v>
      </c>
      <c r="K69" s="187" t="s">
        <v>255</v>
      </c>
      <c r="L69" s="180"/>
    </row>
    <row r="70" spans="2:12">
      <c r="B70" s="180" t="s">
        <v>250</v>
      </c>
      <c r="C70" s="191">
        <f>SUMIF(CASSA!$G:$G,B70,CASSA!$F:$F)+SUMIF(BANCA!$G:$G,B70,BANCA!$F:$F)-SUMIF(CASSA!$G:$G,B70,CASSA!$E:$E)-SUMIF(BANCA!$G:$G,B70,BANCA!$E:$E)</f>
        <v>57252.12</v>
      </c>
      <c r="K70" s="187" t="s">
        <v>1957</v>
      </c>
      <c r="L70" s="180"/>
    </row>
    <row r="71" spans="2:12">
      <c r="B71" s="180" t="s">
        <v>251</v>
      </c>
      <c r="C71" s="191">
        <f>SUMIF(CASSA!$G:$G,B71,CASSA!$F:$F)+SUMIF(BANCA!$G:$G,B71,BANCA!$F:$F)-SUMIF(CASSA!$G:$G,B71,CASSA!$E:$E)-SUMIF(BANCA!$G:$G,B71,BANCA!$E:$E)</f>
        <v>0</v>
      </c>
      <c r="K71" s="187" t="s">
        <v>256</v>
      </c>
      <c r="L71" s="180"/>
    </row>
    <row r="72" spans="2:12">
      <c r="B72" s="180" t="s">
        <v>252</v>
      </c>
      <c r="C72" s="191">
        <f>SUMIF(CASSA!$G:$G,B72,CASSA!$F:$F)+SUMIF(BANCA!$G:$G,B72,BANCA!$F:$F)-SUMIF(CASSA!$G:$G,B72,CASSA!$E:$E)-SUMIF(BANCA!$G:$G,B72,BANCA!$E:$E)</f>
        <v>1614.03</v>
      </c>
      <c r="K72" s="187" t="s">
        <v>257</v>
      </c>
      <c r="L72" s="180"/>
    </row>
    <row r="73" spans="2:12">
      <c r="B73" s="196" t="s">
        <v>258</v>
      </c>
      <c r="C73" s="228">
        <f>(C63-C64)/$G$4</f>
        <v>0.29769964618810896</v>
      </c>
      <c r="K73" s="187" t="s">
        <v>259</v>
      </c>
      <c r="L73" s="187"/>
    </row>
    <row r="74" spans="2:12">
      <c r="B74" s="180"/>
      <c r="C74" s="191"/>
      <c r="K74" s="187" t="s">
        <v>260</v>
      </c>
      <c r="L74" s="187"/>
    </row>
    <row r="75" spans="2:12">
      <c r="B75" s="180"/>
      <c r="C75" s="191"/>
      <c r="K75" s="187" t="s">
        <v>261</v>
      </c>
      <c r="L75" s="187"/>
    </row>
    <row r="76" spans="2:12">
      <c r="B76" s="189" t="s">
        <v>165</v>
      </c>
      <c r="C76" s="190">
        <f>SUM(C77:C83)</f>
        <v>16269.18</v>
      </c>
      <c r="K76" s="187" t="s">
        <v>262</v>
      </c>
      <c r="L76" s="187"/>
    </row>
    <row r="77" spans="2:12">
      <c r="B77" s="180" t="s">
        <v>254</v>
      </c>
      <c r="C77" s="191">
        <f>SUMIF(CASSA!$G:$G,B77,CASSA!$F:$F)+SUMIF(BANCA!$G:$G,B77,BANCA!$F:$F)-SUMIF(CASSA!$G:$G,B77,CASSA!$E:$E)-SUMIF(BANCA!$G:$G,B77,BANCA!$E:$E)</f>
        <v>156</v>
      </c>
      <c r="K77" s="187" t="s">
        <v>263</v>
      </c>
      <c r="L77" s="187"/>
    </row>
    <row r="78" spans="2:12">
      <c r="B78" s="180" t="s">
        <v>255</v>
      </c>
      <c r="C78" s="191">
        <f>SUMIF(CASSA!$G:$G,B78,CASSA!$F:$F)+SUMIF(BANCA!$G:$G,B78,BANCA!$F:$F)-SUMIF(CASSA!$G:$G,B78,CASSA!$E:$E)-SUMIF(BANCA!$G:$G,B78,BANCA!$E:$E)</f>
        <v>309.87</v>
      </c>
      <c r="K78" s="187" t="s">
        <v>264</v>
      </c>
      <c r="L78" s="187"/>
    </row>
    <row r="79" spans="2:12">
      <c r="B79" s="180" t="s">
        <v>256</v>
      </c>
      <c r="C79" s="191">
        <f>SUMIF(CASSA!$G:$G,B79,CASSA!$F:$F)+SUMIF(BANCA!$G:$G,B79,BANCA!$F:$F)-SUMIF(CASSA!$G:$G,B79,CASSA!$E:$E)-SUMIF(BANCA!$G:$G,B79,BANCA!$E:$E)</f>
        <v>3200.3499999999995</v>
      </c>
      <c r="K79" s="187" t="s">
        <v>265</v>
      </c>
      <c r="L79" s="187"/>
    </row>
    <row r="80" spans="2:12">
      <c r="B80" s="180" t="s">
        <v>1957</v>
      </c>
      <c r="C80" s="191">
        <f>SUMIF(CASSA!$G:$G,B80,CASSA!$F:$F)+SUMIF(BANCA!$G:$G,B80,BANCA!$F:$F)-SUMIF(CASSA!$G:$G,B80,CASSA!$E:$E)-SUMIF(BANCA!$G:$G,B80,BANCA!$E:$E)</f>
        <v>7384.0700000000006</v>
      </c>
      <c r="K80" s="187" t="s">
        <v>261</v>
      </c>
      <c r="L80" s="187"/>
    </row>
    <row r="81" spans="2:12">
      <c r="B81" s="187" t="s">
        <v>257</v>
      </c>
      <c r="C81" s="191">
        <f>SUMIF(CASSA!$G:$G,B81,CASSA!$F:$F)+SUMIF(BANCA!$G:$G,B81,BANCA!$F:$F)-SUMIF(CASSA!$G:$G,B81,CASSA!$E:$E)-SUMIF(BANCA!$G:$G,B81,BANCA!$E:$E)</f>
        <v>1189.32</v>
      </c>
      <c r="K81" s="187" t="s">
        <v>266</v>
      </c>
      <c r="L81" s="187"/>
    </row>
    <row r="82" spans="2:12">
      <c r="B82" s="180" t="s">
        <v>259</v>
      </c>
      <c r="C82" s="191">
        <f>SUMIF(CASSA!$G:$G,B82,CASSA!$F:$F)+SUMIF(BANCA!$G:$G,B82,BANCA!$F:$F)-SUMIF(CASSA!$G:$G,B82,CASSA!$E:$E)-SUMIF(BANCA!$G:$G,B82,BANCA!$E:$E)</f>
        <v>4029.57</v>
      </c>
      <c r="K82" s="187" t="s">
        <v>267</v>
      </c>
      <c r="L82" s="187"/>
    </row>
    <row r="83" spans="2:12">
      <c r="B83" s="180" t="s">
        <v>260</v>
      </c>
      <c r="C83" s="191">
        <f>SUMIF(CASSA!$G:$G,B83,CASSA!$F:$F)+SUMIF(BANCA!$G:$G,B83,BANCA!$F:$F)-SUMIF(CASSA!$G:$G,B83,CASSA!$E:$E)-SUMIF(BANCA!$G:$G,B83,BANCA!$E:$E)</f>
        <v>0</v>
      </c>
      <c r="K83" s="187" t="s">
        <v>269</v>
      </c>
      <c r="L83" s="187"/>
    </row>
    <row r="84" spans="2:12">
      <c r="B84" s="174"/>
      <c r="C84" s="192"/>
      <c r="K84" s="187" t="s">
        <v>270</v>
      </c>
      <c r="L84" s="187"/>
    </row>
    <row r="85" spans="2:12" ht="18" thickBot="1">
      <c r="B85" s="198" t="s">
        <v>268</v>
      </c>
      <c r="C85" s="199">
        <f>SUM(C86:C89)</f>
        <v>1197.9899999999998</v>
      </c>
      <c r="K85" s="187" t="s">
        <v>271</v>
      </c>
      <c r="L85" s="187"/>
    </row>
    <row r="86" spans="2:12">
      <c r="B86" s="187" t="s">
        <v>262</v>
      </c>
      <c r="C86" s="191">
        <f>SUMIF(CASSA!$G:$G,B86,CASSA!$F:$F)+SUMIF(BANCA!$G:$G,B86,BANCA!$F:$F)-SUMIF(CASSA!$G:$G,B86,CASSA!$E:$E)-SUMIF(BANCA!$G:$G,B86,BANCA!$E:$E)</f>
        <v>1124.54</v>
      </c>
      <c r="K86" s="187" t="s">
        <v>272</v>
      </c>
      <c r="L86" s="187"/>
    </row>
    <row r="87" spans="2:12">
      <c r="B87" s="180" t="s">
        <v>263</v>
      </c>
      <c r="C87" s="191">
        <f>SUMIF(CASSA!$G:$G,B87,CASSA!$F:$F)+SUMIF(BANCA!$G:$G,B87,BANCA!$F:$F)-SUMIF(CASSA!$G:$G,B87,CASSA!$E:$E)-SUMIF(BANCA!$G:$G,B87,BANCA!$E:$E)</f>
        <v>0</v>
      </c>
      <c r="K87" s="187" t="s">
        <v>273</v>
      </c>
      <c r="L87" s="187"/>
    </row>
    <row r="88" spans="2:12">
      <c r="B88" s="180" t="s">
        <v>264</v>
      </c>
      <c r="C88" s="191">
        <f>SUMIF(CASSA!$G:$G,B88,CASSA!$F:$F)+SUMIF(BANCA!$G:$G,B88,BANCA!$F:$F)-SUMIF(CASSA!$G:$G,B88,CASSA!$E:$E)-SUMIF(BANCA!$G:$G,B88,BANCA!$E:$E)</f>
        <v>0</v>
      </c>
      <c r="K88" s="187" t="s">
        <v>274</v>
      </c>
      <c r="L88" s="187"/>
    </row>
    <row r="89" spans="2:12">
      <c r="B89" s="187" t="s">
        <v>265</v>
      </c>
      <c r="C89" s="191">
        <f>SUMIF(CASSA!$G:$G,B89,CASSA!$F:$F)+SUMIF(BANCA!$G:$G,B89,BANCA!$F:$F)-SUMIF(CASSA!$G:$G,B89,CASSA!$E:$E)-SUMIF(BANCA!$G:$G,B89,BANCA!$E:$E)</f>
        <v>73.449999999999889</v>
      </c>
      <c r="D89" s="166"/>
      <c r="E89" s="802"/>
      <c r="F89" s="184"/>
      <c r="G89" s="184"/>
      <c r="H89" s="184"/>
      <c r="I89" s="168"/>
      <c r="J89" s="168"/>
      <c r="K89" s="187" t="s">
        <v>276</v>
      </c>
      <c r="L89" s="187"/>
    </row>
    <row r="90" spans="2:12">
      <c r="B90" s="187"/>
      <c r="C90" s="191"/>
      <c r="D90" s="166"/>
      <c r="E90" s="802"/>
      <c r="F90" s="184"/>
      <c r="G90" s="184"/>
      <c r="H90" s="184"/>
      <c r="I90" s="168"/>
      <c r="J90" s="168"/>
      <c r="K90" s="187" t="s">
        <v>169</v>
      </c>
      <c r="L90" s="187"/>
    </row>
    <row r="91" spans="2:12">
      <c r="B91" s="203" t="s">
        <v>275</v>
      </c>
      <c r="C91" s="204">
        <f>SUM(C92:C97)</f>
        <v>6123.5199999999995</v>
      </c>
      <c r="K91" s="187"/>
      <c r="L91" s="187"/>
    </row>
    <row r="92" spans="2:12">
      <c r="B92" s="187" t="s">
        <v>266</v>
      </c>
      <c r="C92" s="191">
        <f>SUMIF(CASSA!$G:$G,B92,CASSA!$F:$F)+SUMIF(BANCA!$G:$G,B92,BANCA!$F:$F)-SUMIF(CASSA!$G:$G,B92,CASSA!$E:$E)-SUMIF(BANCA!$G:$G,B92,BANCA!$E:$E)</f>
        <v>3461.74</v>
      </c>
      <c r="K92" s="187" t="s">
        <v>277</v>
      </c>
      <c r="L92" s="187"/>
    </row>
    <row r="93" spans="2:12">
      <c r="B93" s="187" t="s">
        <v>267</v>
      </c>
      <c r="C93" s="191">
        <f>SUMIF(CASSA!$G:$G,B93,CASSA!$F:$F)+SUMIF(BANCA!$G:$G,B93,BANCA!$F:$F)-SUMIF(CASSA!$G:$G,B93,CASSA!$E:$E)-SUMIF(BANCA!$G:$G,B93,BANCA!$E:$E)</f>
        <v>1459.98</v>
      </c>
      <c r="K93" s="187" t="s">
        <v>137</v>
      </c>
      <c r="L93" s="187"/>
    </row>
    <row r="94" spans="2:12">
      <c r="B94" s="187" t="s">
        <v>269</v>
      </c>
      <c r="C94" s="191">
        <f>SUMIF(CASSA!$G:$G,B94,CASSA!$F:$F)+SUMIF(BANCA!$G:$G,B94,BANCA!$F:$F)-SUMIF(CASSA!$G:$G,B94,CASSA!$E:$E)-SUMIF(BANCA!$G:$G,B94,BANCA!$E:$E)</f>
        <v>272.00000000000006</v>
      </c>
      <c r="K94" s="187" t="s">
        <v>278</v>
      </c>
      <c r="L94" s="187"/>
    </row>
    <row r="95" spans="2:12">
      <c r="B95" s="187" t="s">
        <v>270</v>
      </c>
      <c r="C95" s="191">
        <f>SUMIF(CASSA!$G:$G,B95,CASSA!$F:$F)+SUMIF(BANCA!$G:$G,B95,BANCA!$F:$F)-SUMIF(CASSA!$G:$G,B95,CASSA!$E:$E)-SUMIF(BANCA!$G:$G,B95,BANCA!$E:$E)</f>
        <v>494.44999999999965</v>
      </c>
      <c r="K95" s="187" t="s">
        <v>279</v>
      </c>
      <c r="L95" s="187"/>
    </row>
    <row r="96" spans="2:12">
      <c r="B96" s="187" t="s">
        <v>271</v>
      </c>
      <c r="C96" s="191">
        <f>SUMIF(CASSA!$G:$G,B96,CASSA!$F:$F)+SUMIF(BANCA!$G:$G,B96,BANCA!$F:$F)-SUMIF(CASSA!$G:$G,B96,CASSA!$E:$E)-SUMIF(BANCA!$G:$G,B96,BANCA!$E:$E)</f>
        <v>110</v>
      </c>
      <c r="K96" s="187"/>
      <c r="L96" s="187"/>
    </row>
    <row r="97" spans="2:12">
      <c r="B97" s="187" t="s">
        <v>272</v>
      </c>
      <c r="C97" s="191">
        <f>SUMIF(CASSA!$G:$G,B97,CASSA!$F:$F)+SUMIF(BANCA!$G:$G,B97,BANCA!$F:$F)-SUMIF(CASSA!$G:$G,B97,CASSA!$E:$E)-SUMIF(BANCA!$G:$G,B97,BANCA!$E:$E)</f>
        <v>325.35000000000002</v>
      </c>
      <c r="K97" s="187"/>
      <c r="L97" s="187"/>
    </row>
    <row r="98" spans="2:12">
      <c r="B98" s="187"/>
      <c r="C98" s="191"/>
      <c r="K98" s="187"/>
      <c r="L98" s="187"/>
    </row>
    <row r="99" spans="2:12">
      <c r="B99" s="200" t="s">
        <v>137</v>
      </c>
      <c r="C99" s="201">
        <f>SUMIF(CASSA!$G:$G,B99,CASSA!$F:$F)+SUMIF(BANCA!$G:$G,B99,BANCA!$F:$F)-SUMIF(CASSA!$G:$G,B99,CASSA!$E:$E)-SUMIF(BANCA!$G:$G,B99,BANCA!$E:$E)</f>
        <v>24896.380000000005</v>
      </c>
      <c r="K99" s="187"/>
      <c r="L99" s="187"/>
    </row>
    <row r="100" spans="2:12">
      <c r="B100" s="200" t="s">
        <v>280</v>
      </c>
      <c r="C100" s="201">
        <f>$G$3-$C$3</f>
        <v>-55566.058571428177</v>
      </c>
      <c r="K100" s="187"/>
      <c r="L100" s="187"/>
    </row>
    <row r="101" spans="2:12">
      <c r="B101" s="202" t="s">
        <v>281</v>
      </c>
      <c r="C101" s="201"/>
      <c r="K101" s="187"/>
      <c r="L101" s="187"/>
    </row>
    <row r="102" spans="2:12">
      <c r="B102" s="187"/>
      <c r="C102" s="191"/>
      <c r="K102" s="187"/>
      <c r="L102" s="187"/>
    </row>
    <row r="103" spans="2:12">
      <c r="B103" s="187" t="s">
        <v>274</v>
      </c>
      <c r="C103" s="191">
        <f>SUMIF(CASSA!$G:$G,"IVA a credito",CASSA!$F:$F)+SUMIF(BANCA!$G:$G,"IVA a credito",BANCA!$F:$F)</f>
        <v>80427.940000000046</v>
      </c>
      <c r="K103" s="187"/>
      <c r="L103" s="187"/>
    </row>
    <row r="104" spans="2:12">
      <c r="B104" s="187" t="s">
        <v>276</v>
      </c>
      <c r="C104" s="191">
        <f>SUMIF(CASSA!$G:$G,"IVA a debito",CASSA!$E:$E)</f>
        <v>36965.27999999997</v>
      </c>
      <c r="K104" s="187"/>
      <c r="L104" s="187"/>
    </row>
    <row r="105" spans="2:12">
      <c r="B105" s="203" t="s">
        <v>282</v>
      </c>
      <c r="C105" s="204">
        <f>C103-C104</f>
        <v>43462.660000000076</v>
      </c>
      <c r="K105" s="187"/>
      <c r="L105" s="187"/>
    </row>
    <row r="106" spans="2:12">
      <c r="B106" s="187"/>
      <c r="C106" s="191"/>
      <c r="K106" s="187"/>
      <c r="L106" s="187"/>
    </row>
    <row r="107" spans="2:12">
      <c r="B107" s="174"/>
      <c r="K107" s="187"/>
      <c r="L107" s="187"/>
    </row>
    <row r="108" spans="2:12">
      <c r="B108" s="174"/>
      <c r="K108" s="187"/>
      <c r="L108" s="187"/>
    </row>
    <row r="109" spans="2:12">
      <c r="B109" s="174"/>
      <c r="K109" s="187"/>
      <c r="L109" s="187"/>
    </row>
    <row r="110" spans="2:12">
      <c r="B110" s="924" t="s">
        <v>119</v>
      </c>
      <c r="C110" s="924"/>
      <c r="D110" s="924"/>
      <c r="E110" s="924"/>
      <c r="F110" s="924"/>
      <c r="G110" s="924"/>
      <c r="K110" s="187"/>
      <c r="L110" s="187"/>
    </row>
    <row r="111" spans="2:12" ht="18" thickBot="1">
      <c r="B111" s="925"/>
      <c r="C111" s="925"/>
      <c r="D111" s="925"/>
      <c r="E111" s="925"/>
      <c r="F111" s="925"/>
      <c r="G111" s="925"/>
      <c r="K111" s="187"/>
      <c r="L111" s="187"/>
    </row>
    <row r="112" spans="2:12" ht="24" thickBot="1">
      <c r="B112" s="922" t="s">
        <v>133</v>
      </c>
      <c r="C112" s="922"/>
      <c r="D112" s="177"/>
      <c r="E112" s="178"/>
      <c r="F112" s="922" t="s">
        <v>132</v>
      </c>
      <c r="G112" s="922"/>
      <c r="K112" s="187"/>
      <c r="L112" s="187"/>
    </row>
    <row r="113" spans="2:12" ht="18" thickBot="1">
      <c r="B113" s="183" t="s">
        <v>188</v>
      </c>
      <c r="C113" s="229">
        <f>SUM(C115:C122)</f>
        <v>146354.52560777601</v>
      </c>
      <c r="D113" s="801"/>
      <c r="E113" s="802"/>
      <c r="F113" s="183" t="s">
        <v>189</v>
      </c>
      <c r="G113" s="185">
        <f>G115</f>
        <v>123919.74000000002</v>
      </c>
      <c r="H113" s="191"/>
      <c r="I113" s="797">
        <f>STORICO!C35/STORICO!C18</f>
        <v>0.12231387864104418</v>
      </c>
      <c r="J113" s="165" t="s">
        <v>2010</v>
      </c>
      <c r="K113" s="187"/>
      <c r="L113" s="187"/>
    </row>
    <row r="114" spans="2:12">
      <c r="B114" s="189"/>
      <c r="C114" s="190"/>
      <c r="D114" s="167"/>
      <c r="E114" s="803"/>
      <c r="F114" s="189"/>
      <c r="G114" s="231"/>
      <c r="H114" s="191"/>
      <c r="K114" s="187"/>
      <c r="L114" s="187"/>
    </row>
    <row r="115" spans="2:12">
      <c r="B115" s="180" t="s">
        <v>2009</v>
      </c>
      <c r="C115" s="191">
        <f>G113*$C$20</f>
        <v>51295.691125287543</v>
      </c>
      <c r="D115" s="805"/>
      <c r="F115" s="180" t="s">
        <v>190</v>
      </c>
      <c r="G115" s="230">
        <f>SUM(STORICO!C23:C34)</f>
        <v>123919.74000000002</v>
      </c>
      <c r="H115" s="191"/>
      <c r="K115" s="187"/>
      <c r="L115" s="187"/>
    </row>
    <row r="116" spans="2:12">
      <c r="B116" s="180" t="s">
        <v>222</v>
      </c>
      <c r="C116" s="191">
        <f>C30*I113</f>
        <v>639.72849434596208</v>
      </c>
      <c r="F116" s="180"/>
      <c r="G116" s="230"/>
      <c r="H116" s="191"/>
      <c r="K116" s="187"/>
      <c r="L116" s="187"/>
    </row>
    <row r="117" spans="2:12">
      <c r="B117" s="180" t="s">
        <v>221</v>
      </c>
      <c r="C117" s="191">
        <f>C29*I113</f>
        <v>619.73262146572415</v>
      </c>
      <c r="F117" s="189"/>
      <c r="G117" s="193"/>
      <c r="K117" s="187"/>
      <c r="L117" s="187"/>
    </row>
    <row r="118" spans="2:12">
      <c r="B118" s="180" t="s">
        <v>224</v>
      </c>
      <c r="C118" s="191">
        <f>C32*I113</f>
        <v>1609.7961964317242</v>
      </c>
      <c r="F118" s="189"/>
      <c r="G118" s="193"/>
      <c r="K118" s="187"/>
      <c r="L118" s="187"/>
    </row>
    <row r="119" spans="2:12">
      <c r="B119" s="174" t="s">
        <v>239</v>
      </c>
      <c r="C119" s="191">
        <f>C56*I113</f>
        <v>8245.5491702450709</v>
      </c>
      <c r="D119" s="805"/>
      <c r="K119" s="187"/>
      <c r="L119" s="187"/>
    </row>
    <row r="120" spans="2:12">
      <c r="B120" s="180" t="s">
        <v>246</v>
      </c>
      <c r="C120" s="191">
        <f>SUMIF(CASSA!$G:$G,B120,CASSA!$F:$F)+SUMIF(BANCA!$G:$G,B120,BANCA!$F:$F)-SUMIF(CASSA!$G:$G,B120,CASSA!$E:$E)-SUMIF(BANCA!$G:$G,B120,BANCA!$E:$E)</f>
        <v>46995.45</v>
      </c>
      <c r="D120" s="805"/>
      <c r="K120" s="187"/>
      <c r="L120" s="187"/>
    </row>
    <row r="121" spans="2:12">
      <c r="B121" s="180" t="s">
        <v>248</v>
      </c>
      <c r="C121" s="191">
        <f>SUMIF(CASSA!$G:$G,B121,CASSA!$F:$F)+SUMIF(BANCA!$G:$G,B121,BANCA!$F:$F)-SUMIF(CASSA!$G:$G,B121,CASSA!$E:$E)-SUMIF(BANCA!$G:$G,B121,BANCA!$E:$E)</f>
        <v>14047.73</v>
      </c>
      <c r="D121" s="805"/>
      <c r="K121" s="187"/>
      <c r="L121" s="187"/>
    </row>
    <row r="122" spans="2:12">
      <c r="B122" s="180" t="s">
        <v>250</v>
      </c>
      <c r="C122" s="191">
        <f>C70*0.4</f>
        <v>22900.848000000002</v>
      </c>
      <c r="K122" s="187"/>
      <c r="L122" s="187"/>
    </row>
    <row r="123" spans="2:12" ht="9" customHeight="1">
      <c r="B123" s="174"/>
      <c r="K123" s="187"/>
      <c r="L123" s="187"/>
    </row>
    <row r="124" spans="2:12">
      <c r="B124" s="798" t="s">
        <v>2011</v>
      </c>
      <c r="C124" s="799">
        <f>G113-C113</f>
        <v>-22434.785607775993</v>
      </c>
      <c r="K124" s="187"/>
      <c r="L124" s="187"/>
    </row>
    <row r="125" spans="2:12">
      <c r="B125" s="174"/>
      <c r="C125" s="180"/>
      <c r="K125" s="187"/>
      <c r="L125" s="187"/>
    </row>
    <row r="126" spans="2:12">
      <c r="B126" s="807" t="s">
        <v>2012</v>
      </c>
      <c r="C126" s="806">
        <f>SUM(C120:C122)/G113</f>
        <v>0.67740642451315647</v>
      </c>
      <c r="K126" s="187"/>
      <c r="L126" s="187"/>
    </row>
    <row r="127" spans="2:12">
      <c r="B127" s="174"/>
      <c r="K127" s="187"/>
      <c r="L127" s="187"/>
    </row>
    <row r="128" spans="2:12">
      <c r="B128" s="174"/>
      <c r="K128" s="187"/>
      <c r="L128" s="187"/>
    </row>
    <row r="129" spans="2:12">
      <c r="B129" s="174"/>
      <c r="K129" s="187"/>
      <c r="L129" s="187"/>
    </row>
    <row r="130" spans="2:12">
      <c r="B130" s="174"/>
      <c r="K130" s="187"/>
      <c r="L130" s="187"/>
    </row>
    <row r="131" spans="2:12">
      <c r="B131" s="174"/>
      <c r="K131" s="187"/>
      <c r="L131" s="187"/>
    </row>
    <row r="132" spans="2:12">
      <c r="B132" s="174"/>
      <c r="K132" s="187"/>
      <c r="L132" s="187"/>
    </row>
    <row r="133" spans="2:12">
      <c r="B133" s="174"/>
      <c r="K133" s="187"/>
      <c r="L133" s="187"/>
    </row>
    <row r="134" spans="2:12">
      <c r="B134" s="174"/>
      <c r="K134" s="187"/>
      <c r="L134" s="187"/>
    </row>
    <row r="135" spans="2:12">
      <c r="B135" s="174"/>
      <c r="K135" s="187"/>
      <c r="L135" s="187"/>
    </row>
    <row r="136" spans="2:12">
      <c r="B136" s="174"/>
      <c r="K136" s="187"/>
      <c r="L136" s="187"/>
    </row>
    <row r="137" spans="2:12">
      <c r="B137" s="174"/>
      <c r="K137" s="187"/>
      <c r="L137" s="187"/>
    </row>
    <row r="138" spans="2:12">
      <c r="B138" s="174"/>
      <c r="K138" s="187"/>
      <c r="L138" s="187"/>
    </row>
    <row r="139" spans="2:12">
      <c r="B139" s="174"/>
      <c r="K139" s="187"/>
      <c r="L139" s="187"/>
    </row>
    <row r="140" spans="2:12">
      <c r="B140" s="174"/>
      <c r="K140" s="187"/>
      <c r="L140" s="187"/>
    </row>
    <row r="141" spans="2:12">
      <c r="B141" s="174"/>
      <c r="K141" s="187"/>
      <c r="L141" s="187"/>
    </row>
    <row r="142" spans="2:12">
      <c r="B142" s="174"/>
      <c r="K142" s="187"/>
      <c r="L142" s="187"/>
    </row>
    <row r="143" spans="2:12">
      <c r="B143" s="174"/>
      <c r="K143" s="187"/>
      <c r="L143" s="187"/>
    </row>
    <row r="144" spans="2:12">
      <c r="B144" s="174"/>
      <c r="K144" s="187"/>
      <c r="L144" s="187"/>
    </row>
    <row r="145" spans="2:12">
      <c r="B145" s="174"/>
      <c r="K145" s="187"/>
      <c r="L145" s="187"/>
    </row>
    <row r="146" spans="2:12">
      <c r="B146" s="174"/>
      <c r="K146" s="187"/>
      <c r="L146" s="187"/>
    </row>
    <row r="147" spans="2:12">
      <c r="B147" s="174"/>
      <c r="K147" s="187"/>
      <c r="L147" s="187"/>
    </row>
    <row r="148" spans="2:12">
      <c r="B148" s="174"/>
      <c r="K148" s="187"/>
      <c r="L148" s="187"/>
    </row>
    <row r="149" spans="2:12">
      <c r="B149" s="174"/>
      <c r="K149" s="187"/>
      <c r="L149" s="187"/>
    </row>
    <row r="150" spans="2:12">
      <c r="B150" s="174"/>
      <c r="K150" s="187"/>
      <c r="L150" s="187"/>
    </row>
    <row r="151" spans="2:12">
      <c r="B151" s="174"/>
      <c r="K151" s="187"/>
      <c r="L151" s="187"/>
    </row>
    <row r="152" spans="2:12">
      <c r="B152" s="174"/>
      <c r="K152" s="187"/>
      <c r="L152" s="187"/>
    </row>
    <row r="153" spans="2:12">
      <c r="B153" s="174"/>
      <c r="K153" s="187"/>
      <c r="L153" s="187"/>
    </row>
    <row r="154" spans="2:12">
      <c r="B154" s="174"/>
      <c r="K154" s="187"/>
      <c r="L154" s="187"/>
    </row>
    <row r="155" spans="2:12">
      <c r="B155" s="174"/>
      <c r="K155" s="187"/>
      <c r="L155" s="187"/>
    </row>
    <row r="156" spans="2:12">
      <c r="B156" s="174"/>
      <c r="K156" s="187"/>
      <c r="L156" s="187"/>
    </row>
    <row r="157" spans="2:12">
      <c r="B157" s="174"/>
      <c r="K157" s="187"/>
      <c r="L157" s="187"/>
    </row>
    <row r="158" spans="2:12">
      <c r="B158" s="174"/>
      <c r="K158" s="187"/>
      <c r="L158" s="187"/>
    </row>
    <row r="159" spans="2:12">
      <c r="B159" s="174"/>
      <c r="K159" s="187"/>
      <c r="L159" s="187"/>
    </row>
    <row r="160" spans="2:12">
      <c r="B160" s="174"/>
      <c r="K160" s="187"/>
      <c r="L160" s="187"/>
    </row>
    <row r="161" spans="2:12">
      <c r="B161" s="174"/>
      <c r="K161" s="187"/>
      <c r="L161" s="187"/>
    </row>
    <row r="162" spans="2:12">
      <c r="B162" s="174"/>
      <c r="K162" s="187"/>
      <c r="L162" s="187"/>
    </row>
    <row r="163" spans="2:12">
      <c r="B163" s="174"/>
      <c r="K163" s="187"/>
      <c r="L163" s="187"/>
    </row>
    <row r="164" spans="2:12">
      <c r="B164" s="174"/>
      <c r="K164" s="187"/>
      <c r="L164" s="187"/>
    </row>
    <row r="165" spans="2:12">
      <c r="B165" s="174"/>
      <c r="K165" s="187"/>
      <c r="L165" s="187"/>
    </row>
    <row r="166" spans="2:12">
      <c r="B166" s="174"/>
      <c r="K166" s="187"/>
      <c r="L166" s="187"/>
    </row>
    <row r="167" spans="2:12">
      <c r="B167" s="174"/>
      <c r="K167" s="187"/>
      <c r="L167" s="187"/>
    </row>
    <row r="168" spans="2:12">
      <c r="B168" s="174"/>
      <c r="K168" s="187"/>
      <c r="L168" s="187"/>
    </row>
    <row r="169" spans="2:12">
      <c r="B169" s="174"/>
      <c r="K169" s="187"/>
      <c r="L169" s="187"/>
    </row>
    <row r="170" spans="2:12">
      <c r="B170" s="174"/>
      <c r="K170" s="187"/>
      <c r="L170" s="187"/>
    </row>
    <row r="171" spans="2:12">
      <c r="B171" s="174"/>
      <c r="K171" s="187"/>
      <c r="L171" s="187"/>
    </row>
    <row r="172" spans="2:12">
      <c r="B172" s="174"/>
      <c r="K172" s="187"/>
      <c r="L172" s="187"/>
    </row>
    <row r="173" spans="2:12">
      <c r="B173" s="174"/>
      <c r="K173" s="187"/>
      <c r="L173" s="187"/>
    </row>
    <row r="174" spans="2:12">
      <c r="B174" s="174"/>
      <c r="K174" s="187"/>
      <c r="L174" s="187"/>
    </row>
    <row r="175" spans="2:12">
      <c r="B175" s="174"/>
      <c r="K175" s="187"/>
      <c r="L175" s="187"/>
    </row>
    <row r="176" spans="2:12">
      <c r="B176" s="174"/>
      <c r="K176" s="187"/>
      <c r="L176" s="187"/>
    </row>
    <row r="177" spans="2:12">
      <c r="B177" s="174"/>
      <c r="K177" s="187"/>
      <c r="L177" s="187"/>
    </row>
    <row r="178" spans="2:12">
      <c r="B178" s="174"/>
      <c r="K178" s="187"/>
      <c r="L178" s="187"/>
    </row>
    <row r="179" spans="2:12">
      <c r="B179" s="174"/>
      <c r="K179" s="187"/>
      <c r="L179" s="187"/>
    </row>
    <row r="180" spans="2:12">
      <c r="B180" s="174"/>
      <c r="K180" s="187"/>
      <c r="L180" s="187"/>
    </row>
    <row r="181" spans="2:12">
      <c r="B181" s="174"/>
      <c r="K181" s="187"/>
      <c r="L181" s="187"/>
    </row>
    <row r="182" spans="2:12">
      <c r="B182" s="174"/>
      <c r="K182" s="187"/>
      <c r="L182" s="187"/>
    </row>
    <row r="183" spans="2:12">
      <c r="B183" s="174"/>
      <c r="K183" s="187"/>
      <c r="L183" s="187"/>
    </row>
    <row r="184" spans="2:12">
      <c r="B184" s="174"/>
      <c r="K184" s="187"/>
      <c r="L184" s="187"/>
    </row>
    <row r="185" spans="2:12">
      <c r="B185" s="174"/>
      <c r="K185" s="187"/>
      <c r="L185" s="187"/>
    </row>
    <row r="186" spans="2:12">
      <c r="B186" s="174"/>
      <c r="K186" s="187"/>
      <c r="L186" s="187"/>
    </row>
    <row r="187" spans="2:12">
      <c r="B187" s="174"/>
      <c r="K187" s="187"/>
      <c r="L187" s="187"/>
    </row>
    <row r="188" spans="2:12">
      <c r="B188" s="174"/>
      <c r="K188" s="187"/>
      <c r="L188" s="187"/>
    </row>
    <row r="189" spans="2:12">
      <c r="B189" s="174"/>
      <c r="K189" s="187"/>
      <c r="L189" s="187"/>
    </row>
    <row r="190" spans="2:12">
      <c r="B190" s="174"/>
      <c r="K190" s="187"/>
      <c r="L190" s="187"/>
    </row>
    <row r="191" spans="2:12">
      <c r="B191" s="174"/>
      <c r="K191" s="187"/>
      <c r="L191" s="187"/>
    </row>
    <row r="192" spans="2:12">
      <c r="B192" s="174"/>
      <c r="K192" s="187"/>
      <c r="L192" s="187"/>
    </row>
    <row r="193" spans="2:12">
      <c r="B193" s="174"/>
      <c r="K193" s="187"/>
      <c r="L193" s="187"/>
    </row>
    <row r="194" spans="2:12">
      <c r="B194" s="174"/>
      <c r="K194" s="187"/>
      <c r="L194" s="187"/>
    </row>
    <row r="195" spans="2:12">
      <c r="B195" s="174"/>
      <c r="K195" s="187"/>
      <c r="L195" s="187"/>
    </row>
    <row r="196" spans="2:12">
      <c r="B196" s="174"/>
      <c r="K196" s="187"/>
      <c r="L196" s="187"/>
    </row>
    <row r="197" spans="2:12">
      <c r="B197" s="174"/>
      <c r="K197" s="187"/>
      <c r="L197" s="187"/>
    </row>
    <row r="198" spans="2:12">
      <c r="B198" s="174"/>
      <c r="K198" s="187"/>
      <c r="L198" s="187"/>
    </row>
    <row r="199" spans="2:12">
      <c r="B199" s="174"/>
      <c r="K199" s="187"/>
      <c r="L199" s="187"/>
    </row>
    <row r="200" spans="2:12">
      <c r="B200" s="174"/>
      <c r="K200" s="187"/>
      <c r="L200" s="187"/>
    </row>
    <row r="201" spans="2:12">
      <c r="B201" s="174"/>
      <c r="K201" s="187"/>
      <c r="L201" s="187"/>
    </row>
    <row r="202" spans="2:12">
      <c r="B202" s="174"/>
      <c r="K202" s="187"/>
      <c r="L202" s="187"/>
    </row>
    <row r="203" spans="2:12">
      <c r="B203" s="174"/>
      <c r="K203" s="187"/>
      <c r="L203" s="187"/>
    </row>
    <row r="204" spans="2:12">
      <c r="B204" s="174"/>
      <c r="K204" s="187"/>
      <c r="L204" s="187"/>
    </row>
    <row r="205" spans="2:12">
      <c r="B205" s="174"/>
      <c r="K205" s="187"/>
      <c r="L205" s="187"/>
    </row>
    <row r="206" spans="2:12">
      <c r="B206" s="174"/>
      <c r="K206" s="187"/>
      <c r="L206" s="187"/>
    </row>
    <row r="207" spans="2:12">
      <c r="B207" s="174"/>
      <c r="K207" s="187"/>
      <c r="L207" s="187"/>
    </row>
    <row r="208" spans="2:12">
      <c r="B208" s="174"/>
      <c r="K208" s="187"/>
      <c r="L208" s="187"/>
    </row>
    <row r="209" spans="2:12">
      <c r="B209" s="174"/>
      <c r="K209" s="187"/>
      <c r="L209" s="187"/>
    </row>
    <row r="210" spans="2:12">
      <c r="B210" s="174"/>
      <c r="K210" s="187"/>
      <c r="L210" s="187"/>
    </row>
    <row r="211" spans="2:12">
      <c r="B211" s="174"/>
      <c r="K211" s="187"/>
      <c r="L211" s="187"/>
    </row>
    <row r="212" spans="2:12">
      <c r="B212" s="174"/>
      <c r="K212" s="187"/>
      <c r="L212" s="187"/>
    </row>
    <row r="213" spans="2:12">
      <c r="B213" s="174"/>
      <c r="K213" s="187"/>
      <c r="L213" s="187"/>
    </row>
    <row r="214" spans="2:12">
      <c r="B214" s="174"/>
      <c r="K214" s="187"/>
      <c r="L214" s="187"/>
    </row>
    <row r="215" spans="2:12">
      <c r="B215" s="174"/>
      <c r="K215" s="187"/>
      <c r="L215" s="187"/>
    </row>
    <row r="216" spans="2:12">
      <c r="B216" s="174"/>
      <c r="K216" s="187"/>
      <c r="L216" s="187"/>
    </row>
    <row r="217" spans="2:12">
      <c r="B217" s="174"/>
      <c r="K217" s="187"/>
      <c r="L217" s="187"/>
    </row>
    <row r="218" spans="2:12">
      <c r="B218" s="174"/>
      <c r="K218" s="187"/>
      <c r="L218" s="187"/>
    </row>
    <row r="219" spans="2:12">
      <c r="B219" s="174"/>
      <c r="K219" s="187"/>
      <c r="L219" s="187"/>
    </row>
    <row r="220" spans="2:12">
      <c r="B220" s="174"/>
      <c r="K220" s="187"/>
      <c r="L220" s="187"/>
    </row>
    <row r="221" spans="2:12">
      <c r="B221" s="174"/>
      <c r="K221" s="187"/>
      <c r="L221" s="187"/>
    </row>
    <row r="222" spans="2:12">
      <c r="B222" s="174"/>
      <c r="K222" s="187"/>
    </row>
    <row r="223" spans="2:12">
      <c r="B223" s="174"/>
    </row>
    <row r="224" spans="2:12">
      <c r="B224" s="174"/>
    </row>
    <row r="225" spans="2:2">
      <c r="B225" s="174"/>
    </row>
    <row r="226" spans="2:2">
      <c r="B226" s="174"/>
    </row>
    <row r="227" spans="2:2">
      <c r="B227" s="174"/>
    </row>
    <row r="228" spans="2:2">
      <c r="B228" s="174"/>
    </row>
    <row r="229" spans="2:2">
      <c r="B229" s="174"/>
    </row>
    <row r="230" spans="2:2">
      <c r="B230" s="174"/>
    </row>
    <row r="231" spans="2:2">
      <c r="B231" s="174"/>
    </row>
    <row r="232" spans="2:2">
      <c r="B232" s="174"/>
    </row>
    <row r="233" spans="2:2">
      <c r="B233" s="174"/>
    </row>
    <row r="234" spans="2:2">
      <c r="B234" s="174"/>
    </row>
    <row r="235" spans="2:2">
      <c r="B235" s="174"/>
    </row>
    <row r="236" spans="2:2">
      <c r="B236" s="174"/>
    </row>
    <row r="237" spans="2:2">
      <c r="B237" s="174"/>
    </row>
    <row r="238" spans="2:2">
      <c r="B238" s="174"/>
    </row>
    <row r="239" spans="2:2">
      <c r="B239" s="174"/>
    </row>
    <row r="240" spans="2:2">
      <c r="B240" s="174"/>
    </row>
    <row r="241" spans="2:2">
      <c r="B241" s="174"/>
    </row>
    <row r="242" spans="2:2">
      <c r="B242" s="174"/>
    </row>
    <row r="243" spans="2:2">
      <c r="B243" s="174"/>
    </row>
    <row r="244" spans="2:2">
      <c r="B244" s="174"/>
    </row>
    <row r="245" spans="2:2">
      <c r="B245" s="174"/>
    </row>
    <row r="246" spans="2:2">
      <c r="B246" s="174"/>
    </row>
    <row r="247" spans="2:2">
      <c r="B247" s="174"/>
    </row>
    <row r="248" spans="2:2">
      <c r="B248" s="174"/>
    </row>
    <row r="249" spans="2:2">
      <c r="B249" s="174"/>
    </row>
    <row r="250" spans="2:2">
      <c r="B250" s="174"/>
    </row>
    <row r="251" spans="2:2">
      <c r="B251" s="174"/>
    </row>
    <row r="252" spans="2:2">
      <c r="B252" s="174"/>
    </row>
    <row r="253" spans="2:2">
      <c r="B253" s="174"/>
    </row>
    <row r="254" spans="2:2">
      <c r="B254" s="174"/>
    </row>
    <row r="255" spans="2:2">
      <c r="B255" s="174"/>
    </row>
    <row r="256" spans="2:2">
      <c r="B256" s="174"/>
    </row>
    <row r="257" spans="2:2">
      <c r="B257" s="174"/>
    </row>
    <row r="258" spans="2:2">
      <c r="B258" s="174"/>
    </row>
    <row r="259" spans="2:2">
      <c r="B259" s="174"/>
    </row>
    <row r="260" spans="2:2">
      <c r="B260" s="174"/>
    </row>
    <row r="261" spans="2:2">
      <c r="B261" s="174"/>
    </row>
    <row r="262" spans="2:2">
      <c r="B262" s="174"/>
    </row>
    <row r="263" spans="2:2">
      <c r="B263" s="174"/>
    </row>
    <row r="264" spans="2:2">
      <c r="B264" s="174"/>
    </row>
    <row r="265" spans="2:2">
      <c r="B265" s="174"/>
    </row>
    <row r="266" spans="2:2">
      <c r="B266" s="174"/>
    </row>
    <row r="267" spans="2:2">
      <c r="B267" s="174"/>
    </row>
    <row r="268" spans="2:2">
      <c r="B268" s="174"/>
    </row>
    <row r="269" spans="2:2">
      <c r="B269" s="174"/>
    </row>
    <row r="270" spans="2:2">
      <c r="B270" s="174"/>
    </row>
    <row r="271" spans="2:2">
      <c r="B271" s="174"/>
    </row>
    <row r="272" spans="2:2">
      <c r="B272" s="174"/>
    </row>
    <row r="273" spans="2:2">
      <c r="B273" s="174"/>
    </row>
    <row r="274" spans="2:2">
      <c r="B274" s="174"/>
    </row>
    <row r="275" spans="2:2">
      <c r="B275" s="174"/>
    </row>
    <row r="276" spans="2:2">
      <c r="B276" s="174"/>
    </row>
    <row r="277" spans="2:2">
      <c r="B277" s="174"/>
    </row>
    <row r="278" spans="2:2">
      <c r="B278" s="174"/>
    </row>
    <row r="279" spans="2:2">
      <c r="B279" s="174"/>
    </row>
    <row r="280" spans="2:2">
      <c r="B280" s="174"/>
    </row>
    <row r="281" spans="2:2">
      <c r="B281" s="174"/>
    </row>
    <row r="282" spans="2:2">
      <c r="B282" s="174"/>
    </row>
    <row r="283" spans="2:2">
      <c r="B283" s="174"/>
    </row>
    <row r="284" spans="2:2">
      <c r="B284" s="174"/>
    </row>
    <row r="285" spans="2:2">
      <c r="B285" s="174"/>
    </row>
    <row r="286" spans="2:2">
      <c r="B286" s="174"/>
    </row>
    <row r="287" spans="2:2">
      <c r="B287" s="174"/>
    </row>
    <row r="288" spans="2:2">
      <c r="B288" s="174"/>
    </row>
    <row r="289" spans="2:2">
      <c r="B289" s="174"/>
    </row>
    <row r="290" spans="2:2">
      <c r="B290" s="174"/>
    </row>
    <row r="291" spans="2:2">
      <c r="B291" s="174"/>
    </row>
    <row r="292" spans="2:2">
      <c r="B292" s="174"/>
    </row>
    <row r="293" spans="2:2">
      <c r="B293" s="174"/>
    </row>
    <row r="294" spans="2:2">
      <c r="B294" s="174"/>
    </row>
    <row r="295" spans="2:2">
      <c r="B295" s="174"/>
    </row>
    <row r="296" spans="2:2">
      <c r="B296" s="174"/>
    </row>
    <row r="297" spans="2:2">
      <c r="B297" s="174"/>
    </row>
    <row r="298" spans="2:2">
      <c r="B298" s="174"/>
    </row>
    <row r="299" spans="2:2">
      <c r="B299" s="174"/>
    </row>
    <row r="300" spans="2:2">
      <c r="B300" s="174"/>
    </row>
    <row r="301" spans="2:2">
      <c r="B301" s="174"/>
    </row>
    <row r="302" spans="2:2">
      <c r="B302" s="174"/>
    </row>
    <row r="303" spans="2:2">
      <c r="B303" s="174"/>
    </row>
    <row r="304" spans="2:2">
      <c r="B304" s="174"/>
    </row>
    <row r="305" spans="2:2">
      <c r="B305" s="174"/>
    </row>
    <row r="306" spans="2:2">
      <c r="B306" s="174"/>
    </row>
    <row r="307" spans="2:2">
      <c r="B307" s="174"/>
    </row>
    <row r="308" spans="2:2">
      <c r="B308" s="174"/>
    </row>
    <row r="309" spans="2:2">
      <c r="B309" s="174"/>
    </row>
    <row r="310" spans="2:2">
      <c r="B310" s="174"/>
    </row>
    <row r="311" spans="2:2">
      <c r="B311" s="174"/>
    </row>
    <row r="312" spans="2:2">
      <c r="B312" s="174"/>
    </row>
    <row r="313" spans="2:2">
      <c r="B313" s="174"/>
    </row>
    <row r="314" spans="2:2">
      <c r="B314" s="174"/>
    </row>
    <row r="315" spans="2:2">
      <c r="B315" s="174"/>
    </row>
    <row r="316" spans="2:2">
      <c r="B316" s="174"/>
    </row>
    <row r="317" spans="2:2">
      <c r="B317" s="174"/>
    </row>
    <row r="318" spans="2:2">
      <c r="B318" s="174"/>
    </row>
    <row r="319" spans="2:2">
      <c r="B319" s="174"/>
    </row>
    <row r="320" spans="2:2">
      <c r="B320" s="174"/>
    </row>
    <row r="321" spans="2:2">
      <c r="B321" s="174"/>
    </row>
    <row r="322" spans="2:2">
      <c r="B322" s="174"/>
    </row>
    <row r="323" spans="2:2">
      <c r="B323" s="174"/>
    </row>
    <row r="324" spans="2:2">
      <c r="B324" s="174"/>
    </row>
    <row r="325" spans="2:2">
      <c r="B325" s="174"/>
    </row>
    <row r="326" spans="2:2">
      <c r="B326" s="174"/>
    </row>
    <row r="327" spans="2:2">
      <c r="B327" s="174"/>
    </row>
    <row r="328" spans="2:2">
      <c r="B328" s="174"/>
    </row>
    <row r="329" spans="2:2">
      <c r="B329" s="174"/>
    </row>
    <row r="330" spans="2:2">
      <c r="B330" s="174"/>
    </row>
    <row r="331" spans="2:2">
      <c r="B331" s="174"/>
    </row>
    <row r="332" spans="2:2">
      <c r="B332" s="174"/>
    </row>
    <row r="333" spans="2:2">
      <c r="B333" s="174"/>
    </row>
    <row r="334" spans="2:2">
      <c r="B334" s="174"/>
    </row>
    <row r="335" spans="2:2">
      <c r="B335" s="174"/>
    </row>
    <row r="336" spans="2:2">
      <c r="B336" s="174"/>
    </row>
    <row r="337" spans="2:2">
      <c r="B337" s="174"/>
    </row>
    <row r="338" spans="2:2">
      <c r="B338" s="174"/>
    </row>
    <row r="339" spans="2:2">
      <c r="B339" s="174"/>
    </row>
    <row r="340" spans="2:2">
      <c r="B340" s="174"/>
    </row>
    <row r="341" spans="2:2">
      <c r="B341" s="174"/>
    </row>
    <row r="342" spans="2:2">
      <c r="B342" s="174"/>
    </row>
    <row r="343" spans="2:2">
      <c r="B343" s="174"/>
    </row>
    <row r="344" spans="2:2">
      <c r="B344" s="174"/>
    </row>
    <row r="345" spans="2:2">
      <c r="B345" s="174"/>
    </row>
    <row r="346" spans="2:2">
      <c r="B346" s="174"/>
    </row>
    <row r="347" spans="2:2">
      <c r="B347" s="174"/>
    </row>
    <row r="348" spans="2:2">
      <c r="B348" s="174"/>
    </row>
    <row r="349" spans="2:2">
      <c r="B349" s="174"/>
    </row>
    <row r="350" spans="2:2">
      <c r="B350" s="174"/>
    </row>
    <row r="351" spans="2:2">
      <c r="B351" s="174"/>
    </row>
    <row r="352" spans="2:2">
      <c r="B352" s="174"/>
    </row>
    <row r="353" spans="2:2">
      <c r="B353" s="174"/>
    </row>
    <row r="354" spans="2:2">
      <c r="B354" s="174"/>
    </row>
    <row r="355" spans="2:2">
      <c r="B355" s="174"/>
    </row>
    <row r="356" spans="2:2">
      <c r="B356" s="174"/>
    </row>
    <row r="357" spans="2:2">
      <c r="B357" s="174"/>
    </row>
    <row r="358" spans="2:2">
      <c r="B358" s="174"/>
    </row>
    <row r="359" spans="2:2">
      <c r="B359" s="174"/>
    </row>
    <row r="360" spans="2:2">
      <c r="B360" s="174"/>
    </row>
    <row r="361" spans="2:2">
      <c r="B361" s="174"/>
    </row>
    <row r="362" spans="2:2">
      <c r="B362" s="174"/>
    </row>
    <row r="363" spans="2:2">
      <c r="B363" s="174"/>
    </row>
    <row r="364" spans="2:2">
      <c r="B364" s="174"/>
    </row>
    <row r="365" spans="2:2">
      <c r="B365" s="174"/>
    </row>
    <row r="366" spans="2:2">
      <c r="B366" s="174"/>
    </row>
    <row r="367" spans="2:2">
      <c r="B367" s="174"/>
    </row>
    <row r="368" spans="2:2">
      <c r="B368" s="174"/>
    </row>
    <row r="369" spans="2:2">
      <c r="B369" s="174"/>
    </row>
    <row r="370" spans="2:2">
      <c r="B370" s="174"/>
    </row>
    <row r="371" spans="2:2">
      <c r="B371" s="174"/>
    </row>
    <row r="372" spans="2:2">
      <c r="B372" s="174"/>
    </row>
    <row r="373" spans="2:2">
      <c r="B373" s="174"/>
    </row>
    <row r="374" spans="2:2">
      <c r="B374" s="174"/>
    </row>
    <row r="375" spans="2:2">
      <c r="B375" s="174"/>
    </row>
    <row r="376" spans="2:2">
      <c r="B376" s="174"/>
    </row>
    <row r="377" spans="2:2">
      <c r="B377" s="174"/>
    </row>
    <row r="378" spans="2:2">
      <c r="B378" s="174"/>
    </row>
    <row r="379" spans="2:2">
      <c r="B379" s="174"/>
    </row>
    <row r="380" spans="2:2">
      <c r="B380" s="174"/>
    </row>
    <row r="381" spans="2:2">
      <c r="B381" s="174"/>
    </row>
    <row r="382" spans="2:2">
      <c r="B382" s="174"/>
    </row>
    <row r="383" spans="2:2">
      <c r="B383" s="174"/>
    </row>
    <row r="384" spans="2:2">
      <c r="B384" s="174"/>
    </row>
    <row r="385" spans="2:2">
      <c r="B385" s="174"/>
    </row>
    <row r="386" spans="2:2">
      <c r="B386" s="174"/>
    </row>
    <row r="387" spans="2:2">
      <c r="B387" s="174"/>
    </row>
    <row r="388" spans="2:2">
      <c r="B388" s="174"/>
    </row>
    <row r="389" spans="2:2">
      <c r="B389" s="174"/>
    </row>
    <row r="390" spans="2:2">
      <c r="B390" s="174"/>
    </row>
    <row r="391" spans="2:2">
      <c r="B391" s="174"/>
    </row>
    <row r="392" spans="2:2">
      <c r="B392" s="174"/>
    </row>
    <row r="393" spans="2:2">
      <c r="B393" s="174"/>
    </row>
    <row r="394" spans="2:2">
      <c r="B394" s="174"/>
    </row>
    <row r="395" spans="2:2">
      <c r="B395" s="174"/>
    </row>
    <row r="396" spans="2:2">
      <c r="B396" s="174"/>
    </row>
    <row r="397" spans="2:2">
      <c r="B397" s="174"/>
    </row>
    <row r="398" spans="2:2">
      <c r="B398" s="174"/>
    </row>
    <row r="399" spans="2:2">
      <c r="B399" s="174"/>
    </row>
    <row r="400" spans="2:2">
      <c r="B400" s="174"/>
    </row>
    <row r="401" spans="2:2">
      <c r="B401" s="174"/>
    </row>
    <row r="402" spans="2:2">
      <c r="B402" s="174"/>
    </row>
    <row r="403" spans="2:2">
      <c r="B403" s="174"/>
    </row>
    <row r="404" spans="2:2">
      <c r="B404" s="174"/>
    </row>
    <row r="405" spans="2:2">
      <c r="B405" s="174"/>
    </row>
    <row r="406" spans="2:2">
      <c r="B406" s="174"/>
    </row>
    <row r="407" spans="2:2">
      <c r="B407" s="174"/>
    </row>
    <row r="408" spans="2:2">
      <c r="B408" s="174"/>
    </row>
    <row r="409" spans="2:2">
      <c r="B409" s="174"/>
    </row>
    <row r="410" spans="2:2">
      <c r="B410" s="174"/>
    </row>
    <row r="411" spans="2:2">
      <c r="B411" s="174"/>
    </row>
    <row r="412" spans="2:2">
      <c r="B412" s="174"/>
    </row>
    <row r="413" spans="2:2">
      <c r="B413" s="174"/>
    </row>
    <row r="414" spans="2:2">
      <c r="B414" s="174"/>
    </row>
  </sheetData>
  <mergeCells count="6">
    <mergeCell ref="B2:C2"/>
    <mergeCell ref="F2:G2"/>
    <mergeCell ref="I1:J1"/>
    <mergeCell ref="B112:C112"/>
    <mergeCell ref="F112:G112"/>
    <mergeCell ref="B110:G111"/>
  </mergeCells>
  <pageMargins left="0.7" right="0.7" top="0.75" bottom="0.75" header="0.3" footer="0.3"/>
  <pageSetup paperSize="9" scale="51"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C358-6D3C-3B42-BFE9-09F6C7140B74}">
  <sheetPr>
    <tabColor rgb="FFFF7E79"/>
  </sheetPr>
  <dimension ref="A1:AO2652"/>
  <sheetViews>
    <sheetView zoomScale="130" zoomScaleNormal="130" zoomScaleSheetLayoutView="120" workbookViewId="0">
      <pane ySplit="5" topLeftCell="A37" activePane="bottomLeft" state="frozen"/>
      <selection pane="bottomLeft" activeCell="D9" sqref="D9"/>
    </sheetView>
  </sheetViews>
  <sheetFormatPr baseColWidth="10" defaultColWidth="11" defaultRowHeight="17"/>
  <cols>
    <col min="1" max="1" width="10.1640625" style="173" customWidth="1"/>
    <col min="2" max="2" width="23.33203125" style="585" customWidth="1"/>
    <col min="3" max="3" width="29.1640625" style="586" customWidth="1"/>
    <col min="4" max="5" width="12.1640625" style="587" customWidth="1"/>
    <col min="6" max="6" width="19.83203125" style="164" customWidth="1"/>
    <col min="7" max="7" width="13" style="539" bestFit="1" customWidth="1"/>
    <col min="8" max="8" width="45.33203125" style="539" customWidth="1"/>
    <col min="9" max="9" width="8.6640625" style="165" customWidth="1"/>
    <col min="10" max="10" width="8.6640625" style="555" customWidth="1"/>
    <col min="11" max="41" width="11" style="165"/>
    <col min="42" max="16384" width="11" style="163"/>
  </cols>
  <sheetData>
    <row r="1" spans="1:41" s="165" customFormat="1">
      <c r="A1" s="172"/>
      <c r="B1" s="552"/>
      <c r="C1" s="553"/>
      <c r="D1" s="554"/>
      <c r="E1" s="554"/>
      <c r="F1" s="167"/>
      <c r="G1" s="474"/>
      <c r="H1" s="474"/>
      <c r="J1" s="555"/>
    </row>
    <row r="2" spans="1:41" s="165" customFormat="1" ht="24" customHeight="1">
      <c r="A2" s="172"/>
      <c r="B2" s="556" t="s">
        <v>309</v>
      </c>
      <c r="C2" s="557">
        <f>SUMIF(F:F,"DA PAGARE",D:D)</f>
        <v>3990.5499999999997</v>
      </c>
      <c r="D2" s="554"/>
      <c r="E2" s="554"/>
      <c r="F2" s="167"/>
      <c r="G2" s="474"/>
      <c r="H2" s="474"/>
      <c r="J2" s="555"/>
    </row>
    <row r="3" spans="1:41" s="165" customFormat="1" ht="24" customHeight="1">
      <c r="A3" s="172"/>
      <c r="B3" s="558" t="s">
        <v>310</v>
      </c>
      <c r="C3" s="559">
        <f>SUMIF(F:F,"SCADUTA",D:D)-SUMIF(C6:C1009,"NICOLA SCARPA",D6:D1009)</f>
        <v>10589.25</v>
      </c>
      <c r="D3" s="560" t="s">
        <v>311</v>
      </c>
      <c r="E3" s="554"/>
      <c r="F3" s="167"/>
      <c r="G3" s="474"/>
      <c r="H3" s="474"/>
      <c r="J3" s="555"/>
    </row>
    <row r="4" spans="1:41" s="165" customFormat="1" ht="18" thickBot="1">
      <c r="A4" s="172"/>
      <c r="B4" s="552"/>
      <c r="C4" s="553"/>
      <c r="D4" s="554"/>
      <c r="E4" s="554"/>
      <c r="F4" s="167"/>
      <c r="G4" s="474"/>
      <c r="H4" s="474"/>
      <c r="J4" s="555"/>
    </row>
    <row r="5" spans="1:41" s="495" customFormat="1" ht="27" customHeight="1" thickBot="1">
      <c r="A5" s="561" t="s">
        <v>291</v>
      </c>
      <c r="B5" s="562" t="s">
        <v>312</v>
      </c>
      <c r="C5" s="563" t="s">
        <v>313</v>
      </c>
      <c r="D5" s="563" t="s">
        <v>116</v>
      </c>
      <c r="E5" s="563" t="s">
        <v>168</v>
      </c>
      <c r="F5" s="564" t="s">
        <v>314</v>
      </c>
      <c r="G5" s="564" t="s">
        <v>315</v>
      </c>
      <c r="H5" s="565" t="s">
        <v>292</v>
      </c>
      <c r="I5" s="170"/>
      <c r="J5" s="566" t="s">
        <v>316</v>
      </c>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O5" s="166"/>
    </row>
    <row r="6" spans="1:41">
      <c r="A6" s="567">
        <v>45930</v>
      </c>
      <c r="B6" s="518" t="s">
        <v>317</v>
      </c>
      <c r="C6" s="568" t="s">
        <v>318</v>
      </c>
      <c r="D6" s="569">
        <v>1911.83</v>
      </c>
      <c r="E6" s="569"/>
      <c r="F6" s="568" t="s">
        <v>316</v>
      </c>
      <c r="G6" s="567"/>
      <c r="H6" s="570" t="s">
        <v>319</v>
      </c>
      <c r="I6" s="171"/>
    </row>
    <row r="7" spans="1:41">
      <c r="A7" s="567">
        <v>45606</v>
      </c>
      <c r="B7" s="571" t="s">
        <v>117</v>
      </c>
      <c r="C7" s="572" t="s">
        <v>320</v>
      </c>
      <c r="D7" s="573">
        <v>7120</v>
      </c>
      <c r="E7" s="573">
        <v>0</v>
      </c>
      <c r="F7" s="568" t="s">
        <v>316</v>
      </c>
      <c r="G7" s="567"/>
      <c r="H7" s="570"/>
      <c r="I7" s="171"/>
    </row>
    <row r="8" spans="1:41">
      <c r="A8" s="567">
        <v>45630</v>
      </c>
      <c r="B8" s="518" t="s">
        <v>321</v>
      </c>
      <c r="C8" s="568" t="s">
        <v>322</v>
      </c>
      <c r="D8" s="569">
        <f>158.88/2</f>
        <v>79.44</v>
      </c>
      <c r="E8" s="569">
        <v>22.88</v>
      </c>
      <c r="F8" s="568" t="s">
        <v>323</v>
      </c>
      <c r="G8" s="574">
        <v>45653</v>
      </c>
      <c r="H8" s="570" t="s">
        <v>324</v>
      </c>
      <c r="I8" s="171"/>
    </row>
    <row r="9" spans="1:41">
      <c r="A9" s="567">
        <v>45688</v>
      </c>
      <c r="B9" s="571" t="s">
        <v>117</v>
      </c>
      <c r="C9" s="572" t="s">
        <v>320</v>
      </c>
      <c r="D9" s="573">
        <v>1886</v>
      </c>
      <c r="E9" s="573">
        <v>0</v>
      </c>
      <c r="F9" s="568" t="s">
        <v>316</v>
      </c>
      <c r="G9" s="567"/>
      <c r="H9" s="570"/>
      <c r="I9" s="171"/>
    </row>
    <row r="10" spans="1:41">
      <c r="A10" s="574">
        <v>45656</v>
      </c>
      <c r="B10" s="518" t="s">
        <v>325</v>
      </c>
      <c r="C10" s="568" t="s">
        <v>318</v>
      </c>
      <c r="D10" s="569">
        <v>1241.5899999999999</v>
      </c>
      <c r="E10" s="569">
        <v>223.89</v>
      </c>
      <c r="F10" s="568" t="s">
        <v>316</v>
      </c>
      <c r="G10" s="574">
        <v>45687</v>
      </c>
      <c r="H10" s="570" t="s">
        <v>326</v>
      </c>
      <c r="I10" s="171"/>
    </row>
    <row r="11" spans="1:41">
      <c r="A11" s="574">
        <v>45728</v>
      </c>
      <c r="B11" s="518" t="s">
        <v>327</v>
      </c>
      <c r="C11" s="568" t="s">
        <v>318</v>
      </c>
      <c r="D11" s="569">
        <v>-965.43</v>
      </c>
      <c r="E11" s="569">
        <v>-174.09</v>
      </c>
      <c r="F11" s="568" t="s">
        <v>316</v>
      </c>
      <c r="G11" s="574">
        <v>45687</v>
      </c>
      <c r="H11" s="570"/>
      <c r="I11" s="171"/>
    </row>
    <row r="12" spans="1:41">
      <c r="A12" s="567">
        <v>45693</v>
      </c>
      <c r="B12" s="518" t="s">
        <v>328</v>
      </c>
      <c r="C12" s="568" t="s">
        <v>329</v>
      </c>
      <c r="D12" s="569">
        <v>1888.15</v>
      </c>
      <c r="E12" s="569">
        <v>279.02999999999997</v>
      </c>
      <c r="F12" s="568" t="s">
        <v>323</v>
      </c>
      <c r="G12" s="574">
        <v>45716</v>
      </c>
      <c r="H12" s="575" t="s">
        <v>330</v>
      </c>
      <c r="I12" s="171"/>
    </row>
    <row r="13" spans="1:41">
      <c r="A13" s="567">
        <v>45726</v>
      </c>
      <c r="B13" s="518" t="s">
        <v>331</v>
      </c>
      <c r="C13" s="568" t="s">
        <v>332</v>
      </c>
      <c r="D13" s="569">
        <v>-1952</v>
      </c>
      <c r="E13" s="569">
        <v>-352</v>
      </c>
      <c r="F13" s="568" t="s">
        <v>316</v>
      </c>
      <c r="G13" s="574"/>
      <c r="H13" s="570"/>
      <c r="I13" s="171"/>
    </row>
    <row r="14" spans="1:41">
      <c r="A14" s="567">
        <v>45716</v>
      </c>
      <c r="B14" s="518" t="s">
        <v>333</v>
      </c>
      <c r="C14" s="568" t="s">
        <v>334</v>
      </c>
      <c r="D14" s="569">
        <v>6222</v>
      </c>
      <c r="E14" s="569">
        <v>1122</v>
      </c>
      <c r="F14" s="568" t="s">
        <v>323</v>
      </c>
      <c r="G14" s="574">
        <v>45747</v>
      </c>
      <c r="H14" s="570"/>
      <c r="I14" s="171"/>
    </row>
    <row r="15" spans="1:41">
      <c r="A15" s="567">
        <v>45747</v>
      </c>
      <c r="B15" s="518" t="s">
        <v>335</v>
      </c>
      <c r="C15" s="568" t="s">
        <v>336</v>
      </c>
      <c r="D15" s="569">
        <v>1213.68</v>
      </c>
      <c r="E15" s="569"/>
      <c r="F15" s="568" t="s">
        <v>323</v>
      </c>
      <c r="G15" s="574">
        <v>45747</v>
      </c>
      <c r="H15" s="570"/>
      <c r="I15" s="171"/>
    </row>
    <row r="16" spans="1:41">
      <c r="A16" s="567">
        <v>45693</v>
      </c>
      <c r="B16" s="518" t="s">
        <v>337</v>
      </c>
      <c r="C16" s="568" t="s">
        <v>338</v>
      </c>
      <c r="D16" s="569">
        <v>628.79</v>
      </c>
      <c r="E16" s="569">
        <v>113.39</v>
      </c>
      <c r="F16" s="568" t="s">
        <v>323</v>
      </c>
      <c r="G16" s="574">
        <v>45747</v>
      </c>
      <c r="H16" s="570"/>
      <c r="I16" s="171"/>
    </row>
    <row r="17" spans="1:10">
      <c r="A17" s="567"/>
      <c r="B17" s="518" t="s">
        <v>117</v>
      </c>
      <c r="C17" s="568" t="s">
        <v>339</v>
      </c>
      <c r="D17" s="569">
        <v>4737.3100000000004</v>
      </c>
      <c r="E17" s="569"/>
      <c r="F17" s="568" t="s">
        <v>316</v>
      </c>
      <c r="G17" s="574"/>
      <c r="H17" s="570"/>
      <c r="I17" s="171"/>
    </row>
    <row r="18" spans="1:10">
      <c r="A18" s="567">
        <v>45723</v>
      </c>
      <c r="B18" s="518" t="s">
        <v>340</v>
      </c>
      <c r="C18" s="568" t="s">
        <v>341</v>
      </c>
      <c r="D18" s="569">
        <v>65.47</v>
      </c>
      <c r="E18" s="569">
        <v>11.81</v>
      </c>
      <c r="F18" s="568" t="s">
        <v>323</v>
      </c>
      <c r="G18" s="574">
        <v>45777</v>
      </c>
      <c r="H18" s="570"/>
      <c r="I18" s="171"/>
    </row>
    <row r="19" spans="1:10">
      <c r="A19" s="567">
        <v>45721</v>
      </c>
      <c r="B19" s="518" t="s">
        <v>342</v>
      </c>
      <c r="C19" s="568" t="s">
        <v>341</v>
      </c>
      <c r="D19" s="569">
        <v>402.4</v>
      </c>
      <c r="E19" s="569">
        <v>322.98</v>
      </c>
      <c r="F19" s="568" t="s">
        <v>323</v>
      </c>
      <c r="G19" s="574">
        <v>45777</v>
      </c>
      <c r="H19" s="570"/>
      <c r="I19" s="171"/>
    </row>
    <row r="20" spans="1:10">
      <c r="A20" s="567">
        <v>45723</v>
      </c>
      <c r="B20" s="518" t="s">
        <v>343</v>
      </c>
      <c r="C20" s="568" t="s">
        <v>341</v>
      </c>
      <c r="D20" s="569">
        <v>168.78</v>
      </c>
      <c r="E20" s="569">
        <v>25.03</v>
      </c>
      <c r="F20" s="568" t="s">
        <v>323</v>
      </c>
      <c r="G20" s="574">
        <v>45777</v>
      </c>
      <c r="H20" s="570"/>
      <c r="I20" s="171"/>
    </row>
    <row r="21" spans="1:10">
      <c r="A21" s="567">
        <v>45728</v>
      </c>
      <c r="B21" s="518" t="s">
        <v>344</v>
      </c>
      <c r="C21" s="568" t="s">
        <v>341</v>
      </c>
      <c r="D21" s="569">
        <v>1107.31</v>
      </c>
      <c r="E21" s="569">
        <v>199.32</v>
      </c>
      <c r="F21" s="568" t="s">
        <v>323</v>
      </c>
      <c r="G21" s="574">
        <v>45777</v>
      </c>
      <c r="H21" s="570"/>
      <c r="I21" s="171"/>
    </row>
    <row r="22" spans="1:10">
      <c r="A22" s="567">
        <v>45735</v>
      </c>
      <c r="B22" s="518" t="s">
        <v>345</v>
      </c>
      <c r="C22" s="568" t="s">
        <v>341</v>
      </c>
      <c r="D22" s="569">
        <v>1746.26</v>
      </c>
      <c r="E22" s="569">
        <v>314.54000000000002</v>
      </c>
      <c r="F22" s="568" t="s">
        <v>323</v>
      </c>
      <c r="G22" s="574">
        <v>45777</v>
      </c>
      <c r="H22" s="570"/>
      <c r="I22" s="171"/>
    </row>
    <row r="23" spans="1:10" s="165" customFormat="1">
      <c r="A23" s="567">
        <v>45748</v>
      </c>
      <c r="B23" s="518" t="s">
        <v>346</v>
      </c>
      <c r="C23" s="568" t="s">
        <v>347</v>
      </c>
      <c r="D23" s="569">
        <v>336.72</v>
      </c>
      <c r="E23" s="569">
        <v>60.71</v>
      </c>
      <c r="F23" s="568" t="s">
        <v>323</v>
      </c>
      <c r="G23" s="574">
        <v>45777</v>
      </c>
      <c r="H23" s="570"/>
      <c r="I23" s="171"/>
      <c r="J23" s="555"/>
    </row>
    <row r="24" spans="1:10" s="165" customFormat="1">
      <c r="A24" s="567">
        <v>45747</v>
      </c>
      <c r="B24" s="518" t="s">
        <v>348</v>
      </c>
      <c r="C24" s="568" t="s">
        <v>349</v>
      </c>
      <c r="D24" s="569">
        <v>330.08</v>
      </c>
      <c r="E24" s="569">
        <v>30.01</v>
      </c>
      <c r="F24" s="568" t="s">
        <v>323</v>
      </c>
      <c r="G24" s="574">
        <v>45777</v>
      </c>
      <c r="H24" s="570"/>
      <c r="I24" s="171"/>
      <c r="J24" s="555"/>
    </row>
    <row r="25" spans="1:10" s="165" customFormat="1">
      <c r="A25" s="567">
        <v>45747</v>
      </c>
      <c r="B25" s="518" t="s">
        <v>350</v>
      </c>
      <c r="C25" s="568" t="s">
        <v>336</v>
      </c>
      <c r="D25" s="569">
        <v>1213.68</v>
      </c>
      <c r="E25" s="569">
        <v>217.68</v>
      </c>
      <c r="F25" s="568" t="s">
        <v>323</v>
      </c>
      <c r="G25" s="574">
        <v>45777</v>
      </c>
      <c r="H25" s="570"/>
      <c r="I25" s="171"/>
      <c r="J25" s="555"/>
    </row>
    <row r="26" spans="1:10" s="165" customFormat="1">
      <c r="A26" s="567">
        <v>45748</v>
      </c>
      <c r="B26" s="518" t="s">
        <v>351</v>
      </c>
      <c r="C26" s="568" t="s">
        <v>352</v>
      </c>
      <c r="D26" s="569">
        <v>3796.27</v>
      </c>
      <c r="E26" s="569">
        <v>684.57</v>
      </c>
      <c r="F26" s="568" t="s">
        <v>323</v>
      </c>
      <c r="G26" s="574">
        <v>45778</v>
      </c>
      <c r="H26" s="570"/>
      <c r="I26" s="171"/>
      <c r="J26" s="555"/>
    </row>
    <row r="27" spans="1:10" s="165" customFormat="1">
      <c r="A27" s="567">
        <v>45721</v>
      </c>
      <c r="B27" s="518" t="s">
        <v>353</v>
      </c>
      <c r="C27" s="568" t="s">
        <v>100</v>
      </c>
      <c r="D27" s="569">
        <v>2596.2199999999998</v>
      </c>
      <c r="E27" s="569">
        <v>468.17</v>
      </c>
      <c r="F27" s="568" t="s">
        <v>323</v>
      </c>
      <c r="G27" s="574">
        <v>45782</v>
      </c>
      <c r="H27" s="570"/>
      <c r="I27" s="171"/>
      <c r="J27" s="555"/>
    </row>
    <row r="28" spans="1:10" s="165" customFormat="1">
      <c r="A28" s="567">
        <v>45721</v>
      </c>
      <c r="B28" s="518" t="s">
        <v>354</v>
      </c>
      <c r="C28" s="568" t="s">
        <v>100</v>
      </c>
      <c r="D28" s="569">
        <v>2596.2199999999998</v>
      </c>
      <c r="E28" s="569">
        <v>468.17</v>
      </c>
      <c r="F28" s="568" t="s">
        <v>355</v>
      </c>
      <c r="G28" s="574">
        <v>45782</v>
      </c>
      <c r="H28" s="570"/>
      <c r="I28" s="171"/>
      <c r="J28" s="555"/>
    </row>
    <row r="29" spans="1:10" s="165" customFormat="1">
      <c r="A29" s="567">
        <v>45749</v>
      </c>
      <c r="B29" s="518" t="s">
        <v>356</v>
      </c>
      <c r="C29" s="568" t="s">
        <v>341</v>
      </c>
      <c r="D29" s="569">
        <v>1394.33</v>
      </c>
      <c r="E29" s="569">
        <v>251.08</v>
      </c>
      <c r="F29" s="568" t="s">
        <v>355</v>
      </c>
      <c r="G29" s="574">
        <v>45808</v>
      </c>
      <c r="H29" s="570"/>
      <c r="I29" s="171"/>
      <c r="J29" s="555"/>
    </row>
    <row r="30" spans="1:10" s="165" customFormat="1">
      <c r="A30" s="567">
        <v>45716</v>
      </c>
      <c r="B30" s="518" t="s">
        <v>357</v>
      </c>
      <c r="C30" s="568" t="s">
        <v>349</v>
      </c>
      <c r="D30" s="569">
        <v>607.70000000000005</v>
      </c>
      <c r="E30" s="569">
        <v>56.7</v>
      </c>
      <c r="F30" s="568" t="s">
        <v>316</v>
      </c>
      <c r="G30" s="574"/>
      <c r="H30" s="570"/>
      <c r="I30" s="171"/>
      <c r="J30" s="555"/>
    </row>
    <row r="31" spans="1:10" s="165" customFormat="1">
      <c r="A31" s="574">
        <v>45667</v>
      </c>
      <c r="B31" s="518" t="s">
        <v>358</v>
      </c>
      <c r="C31" s="568" t="s">
        <v>359</v>
      </c>
      <c r="D31" s="569">
        <v>204.33</v>
      </c>
      <c r="E31" s="569">
        <v>36.85</v>
      </c>
      <c r="F31" s="568" t="s">
        <v>316</v>
      </c>
      <c r="G31" s="574"/>
      <c r="H31" s="570"/>
      <c r="I31" s="171"/>
      <c r="J31" s="555"/>
    </row>
    <row r="32" spans="1:10" s="165" customFormat="1">
      <c r="A32" s="567">
        <v>45716</v>
      </c>
      <c r="B32" s="518" t="s">
        <v>360</v>
      </c>
      <c r="C32" s="568" t="s">
        <v>361</v>
      </c>
      <c r="D32" s="569">
        <v>589.4</v>
      </c>
      <c r="E32" s="569">
        <v>41.59</v>
      </c>
      <c r="F32" s="568" t="s">
        <v>316</v>
      </c>
      <c r="G32" s="574"/>
      <c r="H32" s="570"/>
      <c r="I32" s="171"/>
      <c r="J32" s="555"/>
    </row>
    <row r="33" spans="1:10" s="165" customFormat="1">
      <c r="A33" s="567">
        <v>45693</v>
      </c>
      <c r="B33" s="518" t="s">
        <v>362</v>
      </c>
      <c r="C33" s="568" t="s">
        <v>363</v>
      </c>
      <c r="D33" s="569">
        <v>1423.01</v>
      </c>
      <c r="E33" s="569">
        <v>256.61</v>
      </c>
      <c r="F33" s="568" t="s">
        <v>316</v>
      </c>
      <c r="G33" s="567"/>
      <c r="H33" s="570"/>
      <c r="I33" s="171"/>
      <c r="J33" s="555"/>
    </row>
    <row r="34" spans="1:10" s="165" customFormat="1">
      <c r="A34" s="567">
        <v>45747</v>
      </c>
      <c r="B34" s="518" t="s">
        <v>364</v>
      </c>
      <c r="C34" s="568" t="s">
        <v>361</v>
      </c>
      <c r="D34" s="569">
        <v>562.72</v>
      </c>
      <c r="E34" s="569">
        <v>39.82</v>
      </c>
      <c r="F34" s="568" t="s">
        <v>316</v>
      </c>
      <c r="G34" s="574"/>
      <c r="H34" s="570"/>
      <c r="I34" s="171"/>
      <c r="J34" s="555"/>
    </row>
    <row r="35" spans="1:10" s="165" customFormat="1">
      <c r="A35" s="567"/>
      <c r="B35" s="518"/>
      <c r="C35" s="568"/>
      <c r="D35" s="569"/>
      <c r="E35" s="569"/>
      <c r="F35" s="568"/>
      <c r="G35" s="574"/>
      <c r="H35" s="570"/>
      <c r="I35" s="171"/>
      <c r="J35" s="555"/>
    </row>
    <row r="36" spans="1:10" s="165" customFormat="1">
      <c r="A36" s="567"/>
      <c r="B36" s="518"/>
      <c r="C36" s="568"/>
      <c r="D36" s="569"/>
      <c r="E36" s="569"/>
      <c r="F36" s="568"/>
      <c r="G36" s="574"/>
      <c r="H36" s="570"/>
      <c r="I36" s="171"/>
      <c r="J36" s="555"/>
    </row>
    <row r="37" spans="1:10" s="165" customFormat="1">
      <c r="A37" s="567">
        <v>45716</v>
      </c>
      <c r="B37" s="518" t="s">
        <v>365</v>
      </c>
      <c r="C37" s="568" t="s">
        <v>318</v>
      </c>
      <c r="D37" s="569">
        <v>464.82</v>
      </c>
      <c r="E37" s="569">
        <v>83.82</v>
      </c>
      <c r="F37" s="568" t="s">
        <v>316</v>
      </c>
      <c r="G37" s="574"/>
      <c r="H37" s="570"/>
      <c r="I37" s="171"/>
      <c r="J37" s="555"/>
    </row>
    <row r="38" spans="1:10" s="165" customFormat="1">
      <c r="A38" s="567">
        <v>45716</v>
      </c>
      <c r="B38" s="518" t="s">
        <v>366</v>
      </c>
      <c r="C38" s="568" t="s">
        <v>336</v>
      </c>
      <c r="D38" s="569">
        <v>577.05999999999995</v>
      </c>
      <c r="E38" s="569">
        <v>104.06</v>
      </c>
      <c r="F38" s="568" t="s">
        <v>316</v>
      </c>
      <c r="G38" s="574"/>
      <c r="H38" s="570"/>
      <c r="I38" s="171"/>
      <c r="J38" s="555"/>
    </row>
    <row r="39" spans="1:10" s="165" customFormat="1">
      <c r="A39" s="567">
        <v>45705</v>
      </c>
      <c r="B39" s="518" t="s">
        <v>367</v>
      </c>
      <c r="C39" s="568" t="s">
        <v>347</v>
      </c>
      <c r="D39" s="569">
        <v>158.6</v>
      </c>
      <c r="E39" s="569">
        <v>28.6</v>
      </c>
      <c r="F39" s="568" t="s">
        <v>316</v>
      </c>
      <c r="G39" s="574"/>
      <c r="H39" s="570"/>
      <c r="I39" s="171"/>
      <c r="J39" s="555"/>
    </row>
    <row r="40" spans="1:10" s="165" customFormat="1">
      <c r="A40" s="567">
        <v>45679</v>
      </c>
      <c r="B40" s="518" t="s">
        <v>368</v>
      </c>
      <c r="C40" s="568" t="s">
        <v>100</v>
      </c>
      <c r="D40" s="569">
        <v>999</v>
      </c>
      <c r="E40" s="569">
        <v>180.15</v>
      </c>
      <c r="F40" s="568" t="s">
        <v>316</v>
      </c>
      <c r="G40" s="574"/>
      <c r="H40" s="570"/>
      <c r="I40" s="171"/>
      <c r="J40" s="555"/>
    </row>
    <row r="41" spans="1:10" s="165" customFormat="1">
      <c r="A41" s="567">
        <v>45743</v>
      </c>
      <c r="B41" s="518" t="s">
        <v>117</v>
      </c>
      <c r="C41" s="568" t="s">
        <v>339</v>
      </c>
      <c r="D41" s="569">
        <v>1324.93</v>
      </c>
      <c r="E41" s="569"/>
      <c r="F41" s="568" t="s">
        <v>316</v>
      </c>
      <c r="G41" s="574"/>
      <c r="H41" s="570"/>
      <c r="I41" s="171"/>
      <c r="J41" s="555"/>
    </row>
    <row r="42" spans="1:10" s="165" customFormat="1">
      <c r="A42" s="567">
        <v>45693</v>
      </c>
      <c r="B42" s="518" t="s">
        <v>369</v>
      </c>
      <c r="C42" s="568" t="s">
        <v>341</v>
      </c>
      <c r="D42" s="569">
        <v>624.82000000000005</v>
      </c>
      <c r="E42" s="569">
        <v>112.31</v>
      </c>
      <c r="F42" s="568" t="s">
        <v>316</v>
      </c>
      <c r="G42" s="574"/>
      <c r="H42" s="570"/>
      <c r="I42" s="171"/>
      <c r="J42" s="555"/>
    </row>
    <row r="43" spans="1:10" s="165" customFormat="1">
      <c r="A43" s="567">
        <v>45700</v>
      </c>
      <c r="B43" s="518" t="s">
        <v>370</v>
      </c>
      <c r="C43" s="568" t="s">
        <v>341</v>
      </c>
      <c r="D43" s="569">
        <v>2798.57</v>
      </c>
      <c r="E43" s="569">
        <v>510.07</v>
      </c>
      <c r="F43" s="568" t="s">
        <v>316</v>
      </c>
      <c r="G43" s="574"/>
      <c r="H43" s="570"/>
      <c r="I43" s="171"/>
      <c r="J43" s="555"/>
    </row>
    <row r="44" spans="1:10" s="165" customFormat="1">
      <c r="A44" s="567">
        <v>45707</v>
      </c>
      <c r="B44" s="518" t="s">
        <v>371</v>
      </c>
      <c r="C44" s="568" t="s">
        <v>341</v>
      </c>
      <c r="D44" s="569">
        <v>636.9</v>
      </c>
      <c r="E44" s="569">
        <v>125.67</v>
      </c>
      <c r="F44" s="568" t="s">
        <v>316</v>
      </c>
      <c r="G44" s="574"/>
      <c r="H44" s="570"/>
      <c r="I44" s="171"/>
      <c r="J44" s="555"/>
    </row>
    <row r="45" spans="1:10" s="165" customFormat="1">
      <c r="A45" s="567">
        <v>45708</v>
      </c>
      <c r="B45" s="518" t="s">
        <v>372</v>
      </c>
      <c r="C45" s="568" t="s">
        <v>341</v>
      </c>
      <c r="D45" s="569">
        <v>49.91</v>
      </c>
      <c r="E45" s="569">
        <v>40.909999999999997</v>
      </c>
      <c r="F45" s="568" t="s">
        <v>316</v>
      </c>
      <c r="G45" s="574"/>
      <c r="H45" s="570"/>
      <c r="I45" s="171"/>
      <c r="J45" s="555"/>
    </row>
    <row r="46" spans="1:10" s="165" customFormat="1">
      <c r="A46" s="567">
        <v>45713</v>
      </c>
      <c r="B46" s="518" t="s">
        <v>373</v>
      </c>
      <c r="C46" s="568" t="s">
        <v>341</v>
      </c>
      <c r="D46" s="569">
        <v>161.19999999999999</v>
      </c>
      <c r="E46" s="569">
        <v>23.66</v>
      </c>
      <c r="F46" s="568" t="s">
        <v>316</v>
      </c>
      <c r="G46" s="574"/>
      <c r="H46" s="570"/>
      <c r="I46" s="171"/>
      <c r="J46" s="555"/>
    </row>
    <row r="47" spans="1:10" s="165" customFormat="1">
      <c r="A47" s="567">
        <v>45714</v>
      </c>
      <c r="B47" s="518" t="s">
        <v>374</v>
      </c>
      <c r="C47" s="568" t="s">
        <v>341</v>
      </c>
      <c r="D47" s="569">
        <v>2310.19</v>
      </c>
      <c r="E47" s="569">
        <v>425.25</v>
      </c>
      <c r="F47" s="568" t="s">
        <v>316</v>
      </c>
      <c r="G47" s="574"/>
      <c r="H47" s="570"/>
      <c r="I47" s="171"/>
      <c r="J47" s="555"/>
    </row>
    <row r="48" spans="1:10" s="165" customFormat="1">
      <c r="A48" s="567">
        <v>45714</v>
      </c>
      <c r="B48" s="518" t="s">
        <v>375</v>
      </c>
      <c r="C48" s="568" t="s">
        <v>341</v>
      </c>
      <c r="D48" s="569">
        <v>190.3</v>
      </c>
      <c r="E48" s="569">
        <v>23.5</v>
      </c>
      <c r="F48" s="568" t="s">
        <v>316</v>
      </c>
      <c r="G48" s="574"/>
      <c r="H48" s="570"/>
      <c r="I48" s="171"/>
      <c r="J48" s="555"/>
    </row>
    <row r="49" spans="1:10" s="165" customFormat="1">
      <c r="A49" s="567">
        <v>45714</v>
      </c>
      <c r="B49" s="518" t="s">
        <v>376</v>
      </c>
      <c r="C49" s="568" t="s">
        <v>341</v>
      </c>
      <c r="D49" s="569">
        <v>643.86</v>
      </c>
      <c r="E49" s="569">
        <v>110.7</v>
      </c>
      <c r="F49" s="568" t="s">
        <v>316</v>
      </c>
      <c r="G49" s="574"/>
      <c r="H49" s="574"/>
      <c r="I49" s="171"/>
      <c r="J49" s="555"/>
    </row>
    <row r="50" spans="1:10" s="165" customFormat="1">
      <c r="A50" s="567">
        <v>45716</v>
      </c>
      <c r="B50" s="518" t="s">
        <v>377</v>
      </c>
      <c r="C50" s="568" t="s">
        <v>332</v>
      </c>
      <c r="D50" s="569">
        <v>1145.8399999999999</v>
      </c>
      <c r="E50" s="569">
        <v>206.63</v>
      </c>
      <c r="F50" s="568" t="s">
        <v>316</v>
      </c>
      <c r="G50" s="574"/>
      <c r="H50" s="570"/>
      <c r="I50" s="171"/>
      <c r="J50" s="555"/>
    </row>
    <row r="51" spans="1:10" s="165" customFormat="1">
      <c r="A51" s="567">
        <v>45719</v>
      </c>
      <c r="B51" s="518" t="s">
        <v>378</v>
      </c>
      <c r="C51" s="568" t="s">
        <v>379</v>
      </c>
      <c r="D51" s="569">
        <v>3796.27</v>
      </c>
      <c r="E51" s="569">
        <v>684.57</v>
      </c>
      <c r="F51" s="568" t="s">
        <v>316</v>
      </c>
      <c r="G51" s="574"/>
      <c r="H51" s="570"/>
      <c r="I51" s="171"/>
      <c r="J51" s="555"/>
    </row>
    <row r="52" spans="1:10" s="165" customFormat="1">
      <c r="A52" s="567">
        <v>45717</v>
      </c>
      <c r="B52" s="518" t="s">
        <v>380</v>
      </c>
      <c r="C52" s="568" t="s">
        <v>381</v>
      </c>
      <c r="D52" s="569">
        <v>717.36</v>
      </c>
      <c r="E52" s="569">
        <v>129.36000000000001</v>
      </c>
      <c r="F52" s="568" t="s">
        <v>316</v>
      </c>
      <c r="G52" s="567"/>
      <c r="H52" s="570"/>
      <c r="I52" s="171"/>
      <c r="J52" s="555"/>
    </row>
    <row r="53" spans="1:10" s="165" customFormat="1">
      <c r="A53" s="567">
        <v>45716</v>
      </c>
      <c r="B53" s="518" t="s">
        <v>382</v>
      </c>
      <c r="C53" s="568" t="s">
        <v>383</v>
      </c>
      <c r="D53" s="569">
        <v>305.48</v>
      </c>
      <c r="E53" s="569">
        <v>23.81</v>
      </c>
      <c r="F53" s="568" t="s">
        <v>316</v>
      </c>
      <c r="G53" s="574"/>
      <c r="H53" s="570"/>
      <c r="I53" s="171"/>
      <c r="J53" s="555"/>
    </row>
    <row r="54" spans="1:10" s="165" customFormat="1">
      <c r="A54" s="567">
        <v>45708</v>
      </c>
      <c r="B54" s="518" t="s">
        <v>384</v>
      </c>
      <c r="C54" s="568" t="s">
        <v>385</v>
      </c>
      <c r="D54" s="569">
        <v>2109.33</v>
      </c>
      <c r="E54" s="569">
        <v>380.37</v>
      </c>
      <c r="F54" s="568" t="s">
        <v>316</v>
      </c>
      <c r="G54" s="574"/>
      <c r="H54" s="570"/>
      <c r="I54" s="171"/>
      <c r="J54" s="555"/>
    </row>
    <row r="55" spans="1:10" s="165" customFormat="1">
      <c r="A55" s="567">
        <v>45658</v>
      </c>
      <c r="B55" s="518" t="s">
        <v>117</v>
      </c>
      <c r="C55" s="568" t="s">
        <v>386</v>
      </c>
      <c r="D55" s="569">
        <v>3452</v>
      </c>
      <c r="E55" s="569" t="s">
        <v>117</v>
      </c>
      <c r="F55" s="568" t="s">
        <v>316</v>
      </c>
      <c r="G55" s="574"/>
      <c r="H55" s="570"/>
      <c r="I55" s="171"/>
      <c r="J55" s="555"/>
    </row>
    <row r="56" spans="1:10" s="165" customFormat="1">
      <c r="A56" s="567">
        <v>45733</v>
      </c>
      <c r="B56" s="518" t="s">
        <v>117</v>
      </c>
      <c r="C56" s="568" t="s">
        <v>250</v>
      </c>
      <c r="D56" s="569">
        <v>3695.98</v>
      </c>
      <c r="E56" s="569"/>
      <c r="F56" s="568" t="s">
        <v>316</v>
      </c>
      <c r="G56" s="574"/>
      <c r="H56" s="570"/>
      <c r="I56" s="171"/>
      <c r="J56" s="555"/>
    </row>
    <row r="57" spans="1:10" s="165" customFormat="1">
      <c r="A57" s="567">
        <v>45709</v>
      </c>
      <c r="B57" s="518" t="s">
        <v>387</v>
      </c>
      <c r="C57" s="568" t="s">
        <v>388</v>
      </c>
      <c r="D57" s="569">
        <v>1937.38</v>
      </c>
      <c r="E57" s="569">
        <v>349.36</v>
      </c>
      <c r="F57" s="568" t="s">
        <v>316</v>
      </c>
      <c r="G57" s="574"/>
      <c r="H57" s="570"/>
      <c r="I57" s="171"/>
      <c r="J57" s="555"/>
    </row>
    <row r="58" spans="1:10" s="165" customFormat="1">
      <c r="A58" s="574">
        <v>45653</v>
      </c>
      <c r="B58" s="518" t="s">
        <v>389</v>
      </c>
      <c r="C58" s="568" t="s">
        <v>390</v>
      </c>
      <c r="D58" s="569">
        <v>122.98</v>
      </c>
      <c r="E58" s="569">
        <v>22.18</v>
      </c>
      <c r="F58" s="568" t="s">
        <v>316</v>
      </c>
      <c r="G58" s="574"/>
      <c r="H58" s="570"/>
      <c r="I58" s="171"/>
      <c r="J58" s="555"/>
    </row>
    <row r="59" spans="1:10" s="165" customFormat="1">
      <c r="A59" s="567">
        <v>45691</v>
      </c>
      <c r="B59" s="518" t="s">
        <v>391</v>
      </c>
      <c r="C59" s="568" t="s">
        <v>379</v>
      </c>
      <c r="D59" s="569">
        <v>3796.27</v>
      </c>
      <c r="E59" s="569">
        <v>684.57</v>
      </c>
      <c r="F59" s="568" t="s">
        <v>316</v>
      </c>
      <c r="G59" s="574"/>
      <c r="H59" s="570" t="s">
        <v>392</v>
      </c>
      <c r="I59" s="171"/>
      <c r="J59" s="555"/>
    </row>
    <row r="60" spans="1:10" s="165" customFormat="1">
      <c r="A60" s="567">
        <v>45658</v>
      </c>
      <c r="B60" s="518" t="s">
        <v>117</v>
      </c>
      <c r="C60" s="568" t="s">
        <v>386</v>
      </c>
      <c r="D60" s="569">
        <v>3452</v>
      </c>
      <c r="E60" s="569">
        <v>0</v>
      </c>
      <c r="F60" s="568" t="s">
        <v>316</v>
      </c>
      <c r="G60" s="574"/>
      <c r="H60" s="570"/>
      <c r="I60" s="171"/>
      <c r="J60" s="555"/>
    </row>
    <row r="61" spans="1:10" s="165" customFormat="1">
      <c r="A61" s="574">
        <v>45688</v>
      </c>
      <c r="B61" s="518" t="s">
        <v>393</v>
      </c>
      <c r="C61" s="568" t="s">
        <v>394</v>
      </c>
      <c r="D61" s="569">
        <v>277.72000000000003</v>
      </c>
      <c r="E61" s="569">
        <v>22.79</v>
      </c>
      <c r="F61" s="568" t="s">
        <v>316</v>
      </c>
      <c r="G61" s="574"/>
      <c r="H61" s="570"/>
      <c r="I61" s="171"/>
      <c r="J61" s="555"/>
    </row>
    <row r="62" spans="1:10" s="165" customFormat="1">
      <c r="A62" s="567">
        <v>45688</v>
      </c>
      <c r="B62" s="518" t="s">
        <v>395</v>
      </c>
      <c r="C62" s="568" t="s">
        <v>396</v>
      </c>
      <c r="D62" s="569">
        <v>314.82</v>
      </c>
      <c r="E62" s="569">
        <v>28.62</v>
      </c>
      <c r="F62" s="568" t="s">
        <v>316</v>
      </c>
      <c r="G62" s="567"/>
      <c r="H62" s="570"/>
      <c r="I62" s="171"/>
      <c r="J62" s="555"/>
    </row>
    <row r="63" spans="1:10" s="165" customFormat="1">
      <c r="A63" s="574">
        <v>45670</v>
      </c>
      <c r="B63" s="518" t="s">
        <v>397</v>
      </c>
      <c r="C63" s="568" t="s">
        <v>398</v>
      </c>
      <c r="D63" s="569">
        <v>2002</v>
      </c>
      <c r="E63" s="569">
        <v>0</v>
      </c>
      <c r="F63" s="568" t="s">
        <v>316</v>
      </c>
      <c r="G63" s="574"/>
      <c r="H63" s="575" t="s">
        <v>399</v>
      </c>
      <c r="I63" s="171"/>
      <c r="J63" s="555"/>
    </row>
    <row r="64" spans="1:10" s="165" customFormat="1">
      <c r="A64" s="574">
        <v>45659</v>
      </c>
      <c r="B64" s="518" t="s">
        <v>400</v>
      </c>
      <c r="C64" s="568" t="s">
        <v>341</v>
      </c>
      <c r="D64" s="569">
        <v>696.23</v>
      </c>
      <c r="E64" s="569">
        <v>147.19</v>
      </c>
      <c r="F64" s="568" t="s">
        <v>316</v>
      </c>
      <c r="G64" s="574"/>
      <c r="H64" s="570"/>
      <c r="I64" s="171"/>
      <c r="J64" s="555"/>
    </row>
    <row r="65" spans="1:10" s="165" customFormat="1">
      <c r="A65" s="574">
        <v>45666</v>
      </c>
      <c r="B65" s="518" t="s">
        <v>401</v>
      </c>
      <c r="C65" s="568" t="s">
        <v>341</v>
      </c>
      <c r="D65" s="569">
        <v>130.93</v>
      </c>
      <c r="E65" s="569">
        <v>23.61</v>
      </c>
      <c r="F65" s="568" t="s">
        <v>316</v>
      </c>
      <c r="G65" s="574"/>
      <c r="H65" s="570"/>
      <c r="I65" s="171"/>
      <c r="J65" s="555"/>
    </row>
    <row r="66" spans="1:10" s="165" customFormat="1">
      <c r="A66" s="574">
        <v>45673</v>
      </c>
      <c r="B66" s="518" t="s">
        <v>402</v>
      </c>
      <c r="C66" s="568" t="s">
        <v>341</v>
      </c>
      <c r="D66" s="569">
        <v>-85.98</v>
      </c>
      <c r="E66" s="569">
        <v>-67.45</v>
      </c>
      <c r="F66" s="568" t="s">
        <v>316</v>
      </c>
      <c r="G66" s="574"/>
      <c r="H66" s="570"/>
      <c r="I66" s="171"/>
      <c r="J66" s="555"/>
    </row>
    <row r="67" spans="1:10" s="165" customFormat="1">
      <c r="A67" s="567">
        <v>45679</v>
      </c>
      <c r="B67" s="518" t="s">
        <v>403</v>
      </c>
      <c r="C67" s="568" t="s">
        <v>341</v>
      </c>
      <c r="D67" s="569">
        <v>948.98</v>
      </c>
      <c r="E67" s="569">
        <v>192.77</v>
      </c>
      <c r="F67" s="568" t="s">
        <v>316</v>
      </c>
      <c r="G67" s="574"/>
      <c r="H67" s="570"/>
      <c r="I67" s="171"/>
      <c r="J67" s="555"/>
    </row>
    <row r="68" spans="1:10" s="165" customFormat="1">
      <c r="A68" s="567">
        <v>45686</v>
      </c>
      <c r="B68" s="518" t="s">
        <v>404</v>
      </c>
      <c r="C68" s="568" t="s">
        <v>341</v>
      </c>
      <c r="D68" s="569">
        <v>2752.29</v>
      </c>
      <c r="E68" s="569">
        <v>506.77</v>
      </c>
      <c r="F68" s="568" t="s">
        <v>316</v>
      </c>
      <c r="G68" s="574"/>
      <c r="H68" s="570"/>
      <c r="I68" s="171"/>
      <c r="J68" s="555"/>
    </row>
    <row r="69" spans="1:10" s="165" customFormat="1">
      <c r="A69" s="567">
        <v>45688</v>
      </c>
      <c r="B69" s="518" t="s">
        <v>405</v>
      </c>
      <c r="C69" s="568" t="s">
        <v>341</v>
      </c>
      <c r="D69" s="569">
        <v>-378.2</v>
      </c>
      <c r="E69" s="569">
        <v>-62.89</v>
      </c>
      <c r="F69" s="568" t="s">
        <v>316</v>
      </c>
      <c r="G69" s="574"/>
      <c r="H69" s="570" t="s">
        <v>406</v>
      </c>
      <c r="I69" s="171"/>
      <c r="J69" s="555"/>
    </row>
    <row r="70" spans="1:10" s="165" customFormat="1">
      <c r="A70" s="567">
        <v>45688</v>
      </c>
      <c r="B70" s="518" t="s">
        <v>407</v>
      </c>
      <c r="C70" s="568" t="s">
        <v>341</v>
      </c>
      <c r="D70" s="569">
        <v>-2948</v>
      </c>
      <c r="E70" s="569">
        <v>0</v>
      </c>
      <c r="F70" s="568" t="s">
        <v>316</v>
      </c>
      <c r="G70" s="574"/>
      <c r="H70" s="570" t="s">
        <v>408</v>
      </c>
      <c r="I70" s="171"/>
      <c r="J70" s="555"/>
    </row>
    <row r="71" spans="1:10" s="165" customFormat="1">
      <c r="A71" s="567">
        <v>45688</v>
      </c>
      <c r="B71" s="518" t="s">
        <v>409</v>
      </c>
      <c r="C71" s="568" t="s">
        <v>336</v>
      </c>
      <c r="D71" s="569">
        <v>544.63</v>
      </c>
      <c r="E71" s="569">
        <v>82.33</v>
      </c>
      <c r="F71" s="568" t="s">
        <v>316</v>
      </c>
      <c r="G71" s="574"/>
      <c r="H71" s="570"/>
      <c r="I71" s="171"/>
      <c r="J71" s="555"/>
    </row>
    <row r="72" spans="1:10">
      <c r="A72" s="574">
        <v>45688</v>
      </c>
      <c r="B72" s="518" t="s">
        <v>410</v>
      </c>
      <c r="C72" s="568" t="s">
        <v>361</v>
      </c>
      <c r="D72" s="569">
        <v>843.24</v>
      </c>
      <c r="E72" s="569">
        <v>63.45</v>
      </c>
      <c r="F72" s="568" t="s">
        <v>316</v>
      </c>
      <c r="G72" s="574"/>
      <c r="H72" s="570"/>
      <c r="I72" s="171"/>
    </row>
    <row r="73" spans="1:10">
      <c r="A73" s="574">
        <v>45670</v>
      </c>
      <c r="B73" s="518" t="s">
        <v>411</v>
      </c>
      <c r="C73" s="568" t="s">
        <v>412</v>
      </c>
      <c r="D73" s="569">
        <v>70.27</v>
      </c>
      <c r="E73" s="569">
        <v>15.38</v>
      </c>
      <c r="F73" s="568" t="s">
        <v>316</v>
      </c>
      <c r="G73" s="574"/>
      <c r="H73" s="570"/>
      <c r="I73" s="171"/>
    </row>
    <row r="74" spans="1:10">
      <c r="A74" s="567">
        <v>45624</v>
      </c>
      <c r="B74" s="518" t="s">
        <v>413</v>
      </c>
      <c r="C74" s="568" t="s">
        <v>414</v>
      </c>
      <c r="D74" s="569">
        <v>458.39</v>
      </c>
      <c r="E74" s="569">
        <v>82.66</v>
      </c>
      <c r="F74" s="568" t="s">
        <v>316</v>
      </c>
      <c r="G74" s="567"/>
      <c r="H74" s="570" t="s">
        <v>415</v>
      </c>
      <c r="I74" s="171"/>
    </row>
    <row r="75" spans="1:10" s="165" customFormat="1">
      <c r="A75" s="567">
        <v>45646</v>
      </c>
      <c r="B75" s="518" t="s">
        <v>416</v>
      </c>
      <c r="C75" s="568" t="s">
        <v>414</v>
      </c>
      <c r="D75" s="569">
        <v>85.4</v>
      </c>
      <c r="E75" s="569">
        <v>15.4</v>
      </c>
      <c r="F75" s="568" t="s">
        <v>316</v>
      </c>
      <c r="G75" s="567"/>
      <c r="H75" s="570"/>
      <c r="I75" s="171"/>
      <c r="J75" s="555"/>
    </row>
    <row r="76" spans="1:10" s="165" customFormat="1">
      <c r="A76" s="574">
        <v>45649</v>
      </c>
      <c r="B76" s="518" t="s">
        <v>417</v>
      </c>
      <c r="C76" s="568" t="s">
        <v>361</v>
      </c>
      <c r="D76" s="569">
        <v>603.33000000000004</v>
      </c>
      <c r="E76" s="569">
        <v>46.98</v>
      </c>
      <c r="F76" s="568" t="s">
        <v>316</v>
      </c>
      <c r="G76" s="574"/>
      <c r="H76" s="570"/>
      <c r="I76" s="171"/>
      <c r="J76" s="555"/>
    </row>
    <row r="77" spans="1:10" s="165" customFormat="1">
      <c r="A77" s="574">
        <v>45646</v>
      </c>
      <c r="B77" s="518" t="s">
        <v>418</v>
      </c>
      <c r="C77" s="568" t="s">
        <v>336</v>
      </c>
      <c r="D77" s="569">
        <v>921.06</v>
      </c>
      <c r="E77" s="569">
        <v>162.06</v>
      </c>
      <c r="F77" s="568" t="s">
        <v>316</v>
      </c>
      <c r="G77" s="574"/>
      <c r="H77" s="570"/>
      <c r="I77" s="171"/>
      <c r="J77" s="555"/>
    </row>
    <row r="78" spans="1:10" s="165" customFormat="1">
      <c r="A78" s="574">
        <v>45657</v>
      </c>
      <c r="B78" s="518" t="s">
        <v>419</v>
      </c>
      <c r="C78" s="568" t="s">
        <v>361</v>
      </c>
      <c r="D78" s="569">
        <v>251.96</v>
      </c>
      <c r="E78" s="569">
        <v>17.5</v>
      </c>
      <c r="F78" s="568" t="s">
        <v>316</v>
      </c>
      <c r="G78" s="574"/>
      <c r="H78" s="570"/>
      <c r="I78" s="171"/>
      <c r="J78" s="555"/>
    </row>
    <row r="79" spans="1:10" s="165" customFormat="1">
      <c r="A79" s="567">
        <v>45630</v>
      </c>
      <c r="B79" s="518" t="s">
        <v>420</v>
      </c>
      <c r="C79" s="568" t="s">
        <v>421</v>
      </c>
      <c r="D79" s="569">
        <v>1220</v>
      </c>
      <c r="E79" s="569">
        <v>220</v>
      </c>
      <c r="F79" s="568" t="s">
        <v>316</v>
      </c>
      <c r="G79" s="567"/>
      <c r="H79" s="570"/>
      <c r="I79" s="171"/>
      <c r="J79" s="555"/>
    </row>
    <row r="80" spans="1:10" s="165" customFormat="1">
      <c r="A80" s="567">
        <v>45658</v>
      </c>
      <c r="B80" s="518" t="s">
        <v>117</v>
      </c>
      <c r="C80" s="568" t="s">
        <v>386</v>
      </c>
      <c r="D80" s="569">
        <f>3452-1748.75</f>
        <v>1703.25</v>
      </c>
      <c r="E80" s="569" t="s">
        <v>117</v>
      </c>
      <c r="F80" s="568" t="s">
        <v>316</v>
      </c>
      <c r="G80" s="574"/>
      <c r="H80" s="570"/>
      <c r="I80" s="171"/>
      <c r="J80" s="555"/>
    </row>
    <row r="81" spans="1:10" s="165" customFormat="1">
      <c r="A81" s="574">
        <v>45673</v>
      </c>
      <c r="B81" s="518" t="s">
        <v>422</v>
      </c>
      <c r="C81" s="568" t="s">
        <v>423</v>
      </c>
      <c r="D81" s="569">
        <v>1253.92</v>
      </c>
      <c r="E81" s="569">
        <v>226.12</v>
      </c>
      <c r="F81" s="568" t="s">
        <v>316</v>
      </c>
      <c r="G81" s="574"/>
      <c r="H81" s="570"/>
      <c r="I81" s="171"/>
      <c r="J81" s="555"/>
    </row>
    <row r="82" spans="1:10" s="165" customFormat="1">
      <c r="A82" s="574">
        <v>45705</v>
      </c>
      <c r="B82" s="518" t="s">
        <v>250</v>
      </c>
      <c r="C82" s="568" t="s">
        <v>250</v>
      </c>
      <c r="D82" s="569">
        <v>3248.8</v>
      </c>
      <c r="E82" s="569">
        <v>0</v>
      </c>
      <c r="F82" s="568" t="s">
        <v>316</v>
      </c>
      <c r="G82" s="574"/>
      <c r="H82" s="570"/>
      <c r="I82" s="171"/>
      <c r="J82" s="555"/>
    </row>
    <row r="83" spans="1:10" s="165" customFormat="1">
      <c r="A83" s="567">
        <v>45688</v>
      </c>
      <c r="B83" s="576" t="s">
        <v>424</v>
      </c>
      <c r="C83" s="568" t="s">
        <v>341</v>
      </c>
      <c r="D83" s="569">
        <v>-3566.23</v>
      </c>
      <c r="E83" s="569">
        <v>-551.48</v>
      </c>
      <c r="F83" s="568" t="s">
        <v>316</v>
      </c>
      <c r="G83" s="574"/>
      <c r="H83" s="570" t="s">
        <v>406</v>
      </c>
      <c r="I83" s="171"/>
      <c r="J83" s="555"/>
    </row>
    <row r="84" spans="1:10">
      <c r="A84" s="567">
        <v>45688</v>
      </c>
      <c r="B84" s="576" t="s">
        <v>425</v>
      </c>
      <c r="C84" s="568" t="s">
        <v>341</v>
      </c>
      <c r="D84" s="569">
        <v>-288.64999999999998</v>
      </c>
      <c r="E84" s="569">
        <v>-52.05</v>
      </c>
      <c r="F84" s="568" t="s">
        <v>316</v>
      </c>
      <c r="G84" s="574"/>
      <c r="H84" s="570" t="s">
        <v>406</v>
      </c>
      <c r="I84" s="171"/>
    </row>
    <row r="85" spans="1:10">
      <c r="A85" s="567">
        <v>45622</v>
      </c>
      <c r="B85" s="518" t="s">
        <v>426</v>
      </c>
      <c r="C85" s="568" t="s">
        <v>385</v>
      </c>
      <c r="D85" s="569">
        <v>547.92999999999995</v>
      </c>
      <c r="E85" s="569">
        <v>98.81</v>
      </c>
      <c r="F85" s="568" t="s">
        <v>316</v>
      </c>
      <c r="G85" s="567"/>
      <c r="H85" s="570"/>
      <c r="I85" s="171"/>
    </row>
    <row r="86" spans="1:10">
      <c r="A86" s="567">
        <v>45636</v>
      </c>
      <c r="B86" s="571" t="s">
        <v>117</v>
      </c>
      <c r="C86" s="572" t="s">
        <v>320</v>
      </c>
      <c r="D86" s="573">
        <v>2200</v>
      </c>
      <c r="E86" s="573">
        <v>0</v>
      </c>
      <c r="F86" s="568" t="s">
        <v>316</v>
      </c>
      <c r="G86" s="567"/>
      <c r="H86" s="570"/>
      <c r="I86" s="171"/>
    </row>
    <row r="87" spans="1:10">
      <c r="A87" s="574">
        <v>45961</v>
      </c>
      <c r="B87" s="518" t="s">
        <v>427</v>
      </c>
      <c r="C87" s="568" t="s">
        <v>394</v>
      </c>
      <c r="D87" s="569">
        <v>947.79</v>
      </c>
      <c r="E87" s="569">
        <v>77.510000000000005</v>
      </c>
      <c r="F87" s="568" t="s">
        <v>316</v>
      </c>
      <c r="G87" s="574"/>
      <c r="H87" s="570" t="s">
        <v>428</v>
      </c>
      <c r="I87" s="171"/>
    </row>
    <row r="88" spans="1:10">
      <c r="A88" s="574">
        <v>45990</v>
      </c>
      <c r="B88" s="518" t="s">
        <v>429</v>
      </c>
      <c r="C88" s="568" t="s">
        <v>394</v>
      </c>
      <c r="D88" s="569">
        <v>439.04</v>
      </c>
      <c r="E88" s="569">
        <v>32.85</v>
      </c>
      <c r="F88" s="568" t="s">
        <v>316</v>
      </c>
      <c r="G88" s="574"/>
      <c r="H88" s="570" t="s">
        <v>428</v>
      </c>
      <c r="I88" s="171"/>
    </row>
    <row r="89" spans="1:10">
      <c r="A89" s="577"/>
      <c r="B89" s="578" t="s">
        <v>117</v>
      </c>
      <c r="C89" s="579" t="s">
        <v>341</v>
      </c>
      <c r="D89" s="580">
        <v>-2000</v>
      </c>
      <c r="E89" s="580">
        <v>0</v>
      </c>
      <c r="F89" s="579" t="s">
        <v>430</v>
      </c>
      <c r="G89" s="577"/>
      <c r="H89" s="581"/>
      <c r="I89" s="171"/>
    </row>
    <row r="90" spans="1:10">
      <c r="A90" s="577"/>
      <c r="B90" s="578" t="s">
        <v>431</v>
      </c>
      <c r="C90" s="579" t="s">
        <v>432</v>
      </c>
      <c r="D90" s="580">
        <v>-2196</v>
      </c>
      <c r="E90" s="580">
        <f>1800-2196</f>
        <v>-396</v>
      </c>
      <c r="F90" s="579" t="s">
        <v>430</v>
      </c>
      <c r="G90" s="577"/>
      <c r="H90" s="581"/>
      <c r="I90" s="171"/>
    </row>
    <row r="91" spans="1:10">
      <c r="A91" s="577"/>
      <c r="B91" s="578" t="s">
        <v>117</v>
      </c>
      <c r="C91" s="579" t="s">
        <v>433</v>
      </c>
      <c r="D91" s="580">
        <v>-28146.63</v>
      </c>
      <c r="E91" s="580">
        <v>0</v>
      </c>
      <c r="F91" s="579" t="s">
        <v>430</v>
      </c>
      <c r="G91" s="577"/>
      <c r="H91" s="581"/>
      <c r="I91" s="171"/>
    </row>
    <row r="92" spans="1:10">
      <c r="A92" s="577"/>
      <c r="B92" s="578" t="s">
        <v>434</v>
      </c>
      <c r="C92" s="579" t="s">
        <v>435</v>
      </c>
      <c r="D92" s="580">
        <v>-13177</v>
      </c>
      <c r="E92" s="580">
        <v>0</v>
      </c>
      <c r="F92" s="579" t="s">
        <v>436</v>
      </c>
      <c r="G92" s="577"/>
      <c r="H92" s="582" t="s">
        <v>437</v>
      </c>
      <c r="I92" s="171"/>
    </row>
    <row r="93" spans="1:10">
      <c r="A93" s="577"/>
      <c r="B93" s="578" t="s">
        <v>438</v>
      </c>
      <c r="C93" s="579" t="s">
        <v>435</v>
      </c>
      <c r="D93" s="580">
        <f>-15300*1.22</f>
        <v>-18666</v>
      </c>
      <c r="E93" s="580">
        <f>-0.22*15300</f>
        <v>-3366</v>
      </c>
      <c r="F93" s="579" t="s">
        <v>436</v>
      </c>
      <c r="G93" s="577"/>
      <c r="H93" s="582"/>
      <c r="I93" s="171"/>
    </row>
    <row r="94" spans="1:10">
      <c r="A94" s="567"/>
      <c r="B94" s="518"/>
      <c r="C94" s="568"/>
      <c r="D94" s="569"/>
      <c r="E94" s="569"/>
      <c r="F94" s="568"/>
      <c r="G94" s="574"/>
      <c r="H94" s="570"/>
      <c r="I94" s="171"/>
    </row>
    <row r="95" spans="1:10">
      <c r="A95" s="567"/>
      <c r="B95" s="518"/>
      <c r="C95" s="568"/>
      <c r="D95" s="569"/>
      <c r="E95" s="569"/>
      <c r="F95" s="568"/>
      <c r="G95" s="574"/>
      <c r="H95" s="570"/>
      <c r="I95" s="171"/>
    </row>
    <row r="96" spans="1:10">
      <c r="A96" s="567"/>
      <c r="B96" s="518"/>
      <c r="C96" s="568"/>
      <c r="D96" s="569"/>
      <c r="E96" s="569"/>
      <c r="F96" s="568"/>
      <c r="G96" s="567"/>
      <c r="H96" s="570"/>
      <c r="I96" s="171"/>
    </row>
    <row r="97" spans="1:9">
      <c r="A97" s="567"/>
      <c r="B97" s="518"/>
      <c r="C97" s="568"/>
      <c r="D97" s="569"/>
      <c r="E97" s="569"/>
      <c r="F97" s="568"/>
      <c r="G97" s="574"/>
      <c r="H97" s="570"/>
      <c r="I97" s="171"/>
    </row>
    <row r="98" spans="1:9">
      <c r="A98" s="567"/>
      <c r="B98" s="518"/>
      <c r="C98" s="568"/>
      <c r="D98" s="569"/>
      <c r="E98" s="569"/>
      <c r="F98" s="568"/>
      <c r="G98" s="574"/>
      <c r="H98" s="570"/>
      <c r="I98" s="171"/>
    </row>
    <row r="99" spans="1:9">
      <c r="A99" s="567"/>
      <c r="B99" s="518"/>
      <c r="C99" s="568"/>
      <c r="D99" s="569"/>
      <c r="E99" s="569"/>
      <c r="F99" s="568"/>
      <c r="G99" s="574"/>
      <c r="H99" s="570"/>
      <c r="I99" s="171"/>
    </row>
    <row r="100" spans="1:9">
      <c r="A100" s="567"/>
      <c r="B100" s="518"/>
      <c r="C100" s="568"/>
      <c r="D100" s="569"/>
      <c r="E100" s="569"/>
      <c r="F100" s="568"/>
      <c r="G100" s="574"/>
      <c r="H100" s="570"/>
      <c r="I100" s="171"/>
    </row>
    <row r="101" spans="1:9">
      <c r="A101" s="567"/>
      <c r="B101" s="518"/>
      <c r="C101" s="568"/>
      <c r="D101" s="569"/>
      <c r="E101" s="569"/>
      <c r="F101" s="568"/>
      <c r="G101" s="574"/>
      <c r="H101" s="570"/>
      <c r="I101" s="171"/>
    </row>
    <row r="102" spans="1:9">
      <c r="A102" s="567"/>
      <c r="B102" s="518"/>
      <c r="C102" s="568"/>
      <c r="D102" s="569"/>
      <c r="E102" s="569"/>
      <c r="F102" s="568"/>
      <c r="G102" s="574"/>
      <c r="H102" s="570"/>
      <c r="I102" s="171"/>
    </row>
    <row r="103" spans="1:9">
      <c r="A103" s="567"/>
      <c r="B103" s="518"/>
      <c r="C103" s="568"/>
      <c r="D103" s="569"/>
      <c r="E103" s="569"/>
      <c r="F103" s="568"/>
      <c r="G103" s="574"/>
      <c r="H103" s="570"/>
      <c r="I103" s="171"/>
    </row>
    <row r="104" spans="1:9">
      <c r="A104" s="567"/>
      <c r="B104" s="518"/>
      <c r="C104" s="568"/>
      <c r="D104" s="569"/>
      <c r="E104" s="569"/>
      <c r="F104" s="568"/>
      <c r="G104" s="574"/>
      <c r="H104" s="570"/>
      <c r="I104" s="171"/>
    </row>
    <row r="105" spans="1:9">
      <c r="A105" s="567"/>
      <c r="B105" s="518"/>
      <c r="C105" s="568"/>
      <c r="D105" s="569"/>
      <c r="E105" s="569"/>
      <c r="F105" s="568"/>
      <c r="G105" s="574"/>
      <c r="H105" s="570"/>
      <c r="I105" s="171"/>
    </row>
    <row r="106" spans="1:9">
      <c r="A106" s="567"/>
      <c r="B106" s="518"/>
      <c r="C106" s="568"/>
      <c r="D106" s="569"/>
      <c r="E106" s="569"/>
      <c r="F106" s="568"/>
      <c r="G106" s="574"/>
      <c r="H106" s="570"/>
      <c r="I106" s="171"/>
    </row>
    <row r="107" spans="1:9">
      <c r="A107" s="567"/>
      <c r="B107" s="518"/>
      <c r="C107" s="568"/>
      <c r="D107" s="569"/>
      <c r="E107" s="569"/>
      <c r="F107" s="568"/>
      <c r="G107" s="574"/>
      <c r="H107" s="570"/>
      <c r="I107" s="171"/>
    </row>
    <row r="108" spans="1:9">
      <c r="A108" s="567"/>
      <c r="B108" s="518"/>
      <c r="C108" s="568"/>
      <c r="D108" s="569"/>
      <c r="E108" s="569"/>
      <c r="F108" s="568"/>
      <c r="G108" s="574"/>
      <c r="H108" s="570"/>
      <c r="I108" s="171"/>
    </row>
    <row r="109" spans="1:9">
      <c r="A109" s="567"/>
      <c r="B109" s="518"/>
      <c r="C109" s="568"/>
      <c r="D109" s="569"/>
      <c r="E109" s="569"/>
      <c r="F109" s="568"/>
      <c r="G109" s="567"/>
      <c r="H109" s="570"/>
      <c r="I109" s="171"/>
    </row>
    <row r="110" spans="1:9">
      <c r="A110" s="567"/>
      <c r="B110" s="518"/>
      <c r="C110" s="568"/>
      <c r="D110" s="569"/>
      <c r="E110" s="569"/>
      <c r="F110" s="568"/>
      <c r="G110" s="574"/>
      <c r="H110" s="570"/>
      <c r="I110" s="171"/>
    </row>
    <row r="111" spans="1:9">
      <c r="A111" s="567"/>
      <c r="B111" s="518"/>
      <c r="C111" s="568"/>
      <c r="D111" s="569"/>
      <c r="E111" s="569"/>
      <c r="F111" s="568"/>
      <c r="G111" s="574"/>
      <c r="H111" s="570"/>
      <c r="I111" s="171"/>
    </row>
    <row r="112" spans="1:9">
      <c r="A112" s="567"/>
      <c r="B112" s="518"/>
      <c r="C112" s="568"/>
      <c r="D112" s="569"/>
      <c r="E112" s="569"/>
      <c r="F112" s="568"/>
      <c r="G112" s="574"/>
      <c r="H112" s="570"/>
      <c r="I112" s="171"/>
    </row>
    <row r="113" spans="1:9">
      <c r="A113" s="567"/>
      <c r="B113" s="518"/>
      <c r="C113" s="568"/>
      <c r="D113" s="569"/>
      <c r="E113" s="569"/>
      <c r="F113" s="568"/>
      <c r="G113" s="574"/>
      <c r="H113" s="570"/>
      <c r="I113" s="171"/>
    </row>
    <row r="114" spans="1:9">
      <c r="A114" s="567"/>
      <c r="B114" s="518"/>
      <c r="C114" s="568"/>
      <c r="D114" s="569"/>
      <c r="E114" s="569"/>
      <c r="F114" s="568"/>
      <c r="G114" s="574"/>
      <c r="H114" s="570"/>
      <c r="I114" s="171"/>
    </row>
    <row r="115" spans="1:9">
      <c r="A115" s="567"/>
      <c r="B115" s="518"/>
      <c r="C115" s="568"/>
      <c r="D115" s="569"/>
      <c r="E115" s="569"/>
      <c r="F115" s="568"/>
      <c r="G115" s="567"/>
      <c r="H115" s="570"/>
      <c r="I115" s="171"/>
    </row>
    <row r="116" spans="1:9">
      <c r="A116" s="567"/>
      <c r="B116" s="518"/>
      <c r="C116" s="568"/>
      <c r="D116" s="569"/>
      <c r="E116" s="569"/>
      <c r="F116" s="568"/>
      <c r="G116" s="574"/>
      <c r="H116" s="570"/>
      <c r="I116" s="171"/>
    </row>
    <row r="117" spans="1:9">
      <c r="A117" s="567"/>
      <c r="B117" s="518"/>
      <c r="C117" s="568"/>
      <c r="D117" s="569"/>
      <c r="E117" s="569"/>
      <c r="F117" s="568"/>
      <c r="G117" s="574"/>
      <c r="H117" s="570"/>
      <c r="I117" s="171"/>
    </row>
    <row r="118" spans="1:9">
      <c r="A118" s="567"/>
      <c r="B118" s="518"/>
      <c r="C118" s="568"/>
      <c r="D118" s="569"/>
      <c r="E118" s="569"/>
      <c r="F118" s="568"/>
      <c r="G118" s="574"/>
      <c r="H118" s="570"/>
      <c r="I118" s="171"/>
    </row>
    <row r="119" spans="1:9">
      <c r="A119" s="567"/>
      <c r="B119" s="518"/>
      <c r="C119" s="568"/>
      <c r="D119" s="569"/>
      <c r="E119" s="569"/>
      <c r="F119" s="568"/>
      <c r="G119" s="574"/>
      <c r="H119" s="570"/>
      <c r="I119" s="171"/>
    </row>
    <row r="120" spans="1:9">
      <c r="A120" s="567"/>
      <c r="B120" s="518"/>
      <c r="C120" s="568"/>
      <c r="D120" s="569"/>
      <c r="E120" s="569"/>
      <c r="F120" s="568"/>
      <c r="G120" s="574"/>
      <c r="H120" s="570"/>
      <c r="I120" s="171"/>
    </row>
    <row r="121" spans="1:9">
      <c r="A121" s="567"/>
      <c r="B121" s="518"/>
      <c r="C121" s="568"/>
      <c r="D121" s="569"/>
      <c r="E121" s="569"/>
      <c r="F121" s="568"/>
      <c r="G121" s="574"/>
      <c r="H121" s="570"/>
      <c r="I121" s="171"/>
    </row>
    <row r="122" spans="1:9">
      <c r="A122" s="567"/>
      <c r="B122" s="518"/>
      <c r="C122" s="568"/>
      <c r="D122" s="569"/>
      <c r="E122" s="569"/>
      <c r="F122" s="568"/>
      <c r="G122" s="574"/>
      <c r="H122" s="570"/>
      <c r="I122" s="171"/>
    </row>
    <row r="123" spans="1:9">
      <c r="A123" s="574"/>
      <c r="B123" s="518"/>
      <c r="C123" s="568"/>
      <c r="D123" s="569"/>
      <c r="E123" s="569"/>
      <c r="F123" s="568"/>
      <c r="G123" s="583"/>
      <c r="H123" s="584"/>
      <c r="I123" s="171"/>
    </row>
    <row r="124" spans="1:9">
      <c r="A124" s="567"/>
      <c r="B124" s="518"/>
      <c r="C124" s="568"/>
      <c r="D124" s="569"/>
      <c r="E124" s="569"/>
      <c r="F124" s="568"/>
      <c r="G124" s="567"/>
      <c r="H124" s="570"/>
      <c r="I124" s="171"/>
    </row>
    <row r="125" spans="1:9">
      <c r="A125" s="567"/>
      <c r="B125" s="518"/>
      <c r="C125" s="568"/>
      <c r="D125" s="569"/>
      <c r="E125" s="569"/>
      <c r="F125" s="568"/>
      <c r="G125" s="574"/>
      <c r="H125" s="570"/>
      <c r="I125" s="171"/>
    </row>
    <row r="126" spans="1:9">
      <c r="A126" s="567"/>
      <c r="B126" s="518"/>
      <c r="C126" s="568"/>
      <c r="D126" s="569"/>
      <c r="E126" s="569"/>
      <c r="F126" s="568"/>
      <c r="G126" s="574"/>
      <c r="H126" s="570"/>
      <c r="I126" s="171"/>
    </row>
    <row r="127" spans="1:9">
      <c r="A127" s="567"/>
      <c r="B127" s="518"/>
      <c r="C127" s="568"/>
      <c r="D127" s="569"/>
      <c r="E127" s="569"/>
      <c r="F127" s="568"/>
      <c r="G127" s="574"/>
      <c r="H127" s="570"/>
      <c r="I127" s="171"/>
    </row>
    <row r="128" spans="1:9">
      <c r="A128" s="567"/>
      <c r="B128" s="518"/>
      <c r="C128" s="568"/>
      <c r="D128" s="569"/>
      <c r="E128" s="569"/>
      <c r="F128" s="568"/>
      <c r="G128" s="574"/>
      <c r="H128" s="570"/>
      <c r="I128" s="171"/>
    </row>
    <row r="129" spans="1:9">
      <c r="A129" s="567"/>
      <c r="B129" s="518"/>
      <c r="C129" s="568"/>
      <c r="D129" s="569"/>
      <c r="E129" s="569"/>
      <c r="F129" s="568"/>
      <c r="G129" s="574"/>
      <c r="H129" s="570"/>
      <c r="I129" s="171"/>
    </row>
    <row r="130" spans="1:9">
      <c r="A130" s="567"/>
      <c r="B130" s="518"/>
      <c r="C130" s="568"/>
      <c r="D130" s="569"/>
      <c r="E130" s="569"/>
      <c r="F130" s="568"/>
      <c r="G130" s="567"/>
      <c r="H130" s="570"/>
      <c r="I130" s="171"/>
    </row>
    <row r="131" spans="1:9">
      <c r="A131" s="567"/>
      <c r="B131" s="518"/>
      <c r="C131" s="568"/>
      <c r="D131" s="569"/>
      <c r="E131" s="569"/>
      <c r="F131" s="568"/>
      <c r="G131" s="574"/>
      <c r="H131" s="570"/>
      <c r="I131" s="171"/>
    </row>
    <row r="132" spans="1:9">
      <c r="A132" s="574"/>
      <c r="B132" s="518"/>
      <c r="C132" s="568"/>
      <c r="D132" s="569"/>
      <c r="E132" s="569"/>
      <c r="F132" s="568"/>
      <c r="G132" s="583"/>
      <c r="H132" s="584"/>
      <c r="I132" s="171"/>
    </row>
    <row r="133" spans="1:9">
      <c r="A133" s="567"/>
      <c r="B133" s="518"/>
      <c r="C133" s="568"/>
      <c r="D133" s="569"/>
      <c r="E133" s="569"/>
      <c r="F133" s="568"/>
      <c r="G133" s="583"/>
      <c r="H133" s="570"/>
      <c r="I133" s="171"/>
    </row>
    <row r="134" spans="1:9">
      <c r="A134" s="567"/>
      <c r="B134" s="518"/>
      <c r="C134" s="568"/>
      <c r="D134" s="569"/>
      <c r="E134" s="569"/>
      <c r="F134" s="568"/>
      <c r="G134" s="574"/>
      <c r="H134" s="570"/>
      <c r="I134" s="171"/>
    </row>
    <row r="135" spans="1:9">
      <c r="A135" s="567"/>
      <c r="B135" s="518"/>
      <c r="C135" s="568"/>
      <c r="D135" s="569"/>
      <c r="E135" s="569"/>
      <c r="F135" s="568"/>
      <c r="G135" s="574"/>
      <c r="H135" s="570"/>
      <c r="I135" s="171"/>
    </row>
    <row r="136" spans="1:9">
      <c r="A136" s="567"/>
      <c r="B136" s="518"/>
      <c r="C136" s="568"/>
      <c r="D136" s="569"/>
      <c r="E136" s="569"/>
      <c r="F136" s="568"/>
      <c r="G136" s="574"/>
      <c r="H136" s="570"/>
      <c r="I136" s="171"/>
    </row>
    <row r="137" spans="1:9">
      <c r="A137" s="567"/>
      <c r="B137" s="518"/>
      <c r="C137" s="568"/>
      <c r="D137" s="569"/>
      <c r="E137" s="569"/>
      <c r="F137" s="568"/>
      <c r="G137" s="574"/>
      <c r="H137" s="570"/>
      <c r="I137" s="171"/>
    </row>
    <row r="138" spans="1:9">
      <c r="A138" s="567"/>
      <c r="B138" s="518"/>
      <c r="C138" s="568"/>
      <c r="D138" s="569"/>
      <c r="E138" s="569"/>
      <c r="F138" s="568"/>
      <c r="G138" s="574"/>
      <c r="H138" s="570"/>
      <c r="I138" s="171"/>
    </row>
    <row r="139" spans="1:9">
      <c r="A139" s="574"/>
      <c r="B139" s="518"/>
      <c r="C139" s="568"/>
      <c r="D139" s="569"/>
      <c r="E139" s="569"/>
      <c r="F139" s="568"/>
      <c r="G139" s="583"/>
      <c r="H139" s="584"/>
      <c r="I139" s="171"/>
    </row>
    <row r="140" spans="1:9">
      <c r="A140" s="567"/>
      <c r="B140" s="518"/>
      <c r="C140" s="568"/>
      <c r="D140" s="569"/>
      <c r="E140" s="569"/>
      <c r="F140" s="568"/>
      <c r="G140" s="567"/>
      <c r="H140" s="570"/>
      <c r="I140" s="171"/>
    </row>
    <row r="141" spans="1:9">
      <c r="A141" s="567"/>
      <c r="B141" s="518"/>
      <c r="C141" s="568"/>
      <c r="D141" s="569"/>
      <c r="E141" s="569"/>
      <c r="F141" s="568"/>
      <c r="G141" s="567"/>
      <c r="H141" s="570"/>
      <c r="I141" s="171"/>
    </row>
    <row r="142" spans="1:9">
      <c r="A142" s="567"/>
      <c r="B142" s="518"/>
      <c r="C142" s="568"/>
      <c r="D142" s="569"/>
      <c r="E142" s="569"/>
      <c r="F142" s="568"/>
      <c r="G142" s="567"/>
      <c r="H142" s="570"/>
      <c r="I142" s="171"/>
    </row>
    <row r="143" spans="1:9">
      <c r="A143" s="567"/>
      <c r="B143" s="518"/>
      <c r="C143" s="568"/>
      <c r="D143" s="569"/>
      <c r="E143" s="569"/>
      <c r="F143" s="568"/>
      <c r="G143" s="567"/>
      <c r="H143" s="570"/>
      <c r="I143" s="171"/>
    </row>
    <row r="144" spans="1:9">
      <c r="A144" s="567"/>
      <c r="B144" s="518"/>
      <c r="C144" s="568"/>
      <c r="D144" s="569"/>
      <c r="E144" s="569"/>
      <c r="F144" s="568"/>
      <c r="G144" s="583"/>
      <c r="H144" s="583"/>
      <c r="I144" s="171"/>
    </row>
    <row r="145" spans="1:9">
      <c r="A145" s="567"/>
      <c r="B145" s="518"/>
      <c r="C145" s="568"/>
      <c r="D145" s="569"/>
      <c r="E145" s="569"/>
      <c r="F145" s="568"/>
      <c r="G145" s="583"/>
      <c r="H145" s="583"/>
      <c r="I145" s="171"/>
    </row>
    <row r="146" spans="1:9">
      <c r="A146" s="567"/>
      <c r="B146" s="518"/>
      <c r="C146" s="568"/>
      <c r="D146" s="569"/>
      <c r="E146" s="569"/>
      <c r="F146" s="568"/>
      <c r="G146" s="574"/>
      <c r="H146" s="570"/>
      <c r="I146" s="171"/>
    </row>
    <row r="147" spans="1:9">
      <c r="A147" s="574"/>
      <c r="B147" s="518"/>
      <c r="C147" s="568"/>
      <c r="D147" s="569"/>
      <c r="E147" s="569"/>
      <c r="F147" s="568"/>
      <c r="G147" s="583"/>
      <c r="H147" s="584"/>
      <c r="I147" s="171"/>
    </row>
    <row r="148" spans="1:9">
      <c r="A148" s="567"/>
      <c r="B148" s="518"/>
      <c r="C148" s="568"/>
      <c r="D148" s="569"/>
      <c r="E148" s="569"/>
      <c r="F148" s="568"/>
      <c r="G148" s="567"/>
      <c r="H148" s="570"/>
      <c r="I148" s="171"/>
    </row>
    <row r="149" spans="1:9">
      <c r="A149" s="567"/>
      <c r="B149" s="518"/>
      <c r="C149" s="568"/>
      <c r="D149" s="569"/>
      <c r="E149" s="569"/>
      <c r="F149" s="568"/>
      <c r="G149" s="574"/>
      <c r="H149" s="570"/>
      <c r="I149" s="171"/>
    </row>
    <row r="150" spans="1:9">
      <c r="A150" s="567"/>
      <c r="B150" s="518"/>
      <c r="C150" s="568"/>
      <c r="D150" s="569"/>
      <c r="E150" s="569"/>
      <c r="F150" s="568"/>
      <c r="G150" s="574"/>
      <c r="H150" s="570"/>
      <c r="I150" s="171"/>
    </row>
    <row r="151" spans="1:9">
      <c r="A151" s="567"/>
      <c r="B151" s="518"/>
      <c r="C151" s="568"/>
      <c r="D151" s="569"/>
      <c r="E151" s="569"/>
      <c r="F151" s="568"/>
      <c r="G151" s="574"/>
      <c r="H151" s="570"/>
      <c r="I151" s="171"/>
    </row>
    <row r="152" spans="1:9">
      <c r="A152" s="567"/>
      <c r="B152" s="518"/>
      <c r="C152" s="568"/>
      <c r="D152" s="569"/>
      <c r="E152" s="569"/>
      <c r="F152" s="568"/>
      <c r="G152" s="574"/>
      <c r="H152" s="570"/>
      <c r="I152" s="171"/>
    </row>
    <row r="153" spans="1:9">
      <c r="A153" s="567"/>
      <c r="B153" s="518"/>
      <c r="C153" s="568"/>
      <c r="D153" s="569"/>
      <c r="E153" s="569"/>
      <c r="F153" s="568"/>
      <c r="G153" s="583"/>
      <c r="H153" s="583"/>
      <c r="I153" s="171"/>
    </row>
    <row r="154" spans="1:9">
      <c r="A154" s="567"/>
      <c r="B154" s="518"/>
      <c r="C154" s="568"/>
      <c r="D154" s="569"/>
      <c r="E154" s="569"/>
      <c r="F154" s="568"/>
      <c r="G154" s="574"/>
      <c r="H154" s="570"/>
      <c r="I154" s="171"/>
    </row>
    <row r="155" spans="1:9">
      <c r="A155" s="567"/>
      <c r="B155" s="518"/>
      <c r="C155" s="568"/>
      <c r="D155" s="569"/>
      <c r="E155" s="569"/>
      <c r="F155" s="568"/>
      <c r="G155" s="574"/>
      <c r="H155" s="570"/>
      <c r="I155" s="171"/>
    </row>
    <row r="156" spans="1:9">
      <c r="A156" s="567"/>
      <c r="B156" s="518"/>
      <c r="C156" s="568"/>
      <c r="D156" s="569"/>
      <c r="E156" s="569"/>
      <c r="F156" s="568"/>
      <c r="G156" s="574"/>
      <c r="H156" s="570"/>
      <c r="I156" s="171"/>
    </row>
    <row r="157" spans="1:9">
      <c r="A157" s="567"/>
      <c r="B157" s="518"/>
      <c r="C157" s="568"/>
      <c r="D157" s="569"/>
      <c r="E157" s="569"/>
      <c r="F157" s="568"/>
      <c r="G157" s="583"/>
      <c r="H157" s="583"/>
      <c r="I157" s="171"/>
    </row>
    <row r="158" spans="1:9">
      <c r="A158" s="567"/>
      <c r="B158" s="518"/>
      <c r="C158" s="568"/>
      <c r="D158" s="569"/>
      <c r="E158" s="569"/>
      <c r="F158" s="568"/>
      <c r="G158" s="574"/>
      <c r="H158" s="570"/>
      <c r="I158" s="171"/>
    </row>
    <row r="159" spans="1:9">
      <c r="A159" s="567"/>
      <c r="B159" s="518"/>
      <c r="C159" s="568"/>
      <c r="D159" s="569"/>
      <c r="E159" s="569"/>
      <c r="F159" s="568"/>
      <c r="G159" s="574"/>
      <c r="H159" s="570"/>
      <c r="I159" s="171"/>
    </row>
    <row r="160" spans="1:9">
      <c r="A160" s="567"/>
      <c r="B160" s="518"/>
      <c r="C160" s="568"/>
      <c r="D160" s="569"/>
      <c r="E160" s="569"/>
      <c r="F160" s="568"/>
      <c r="G160" s="583"/>
      <c r="H160" s="583"/>
      <c r="I160" s="171"/>
    </row>
    <row r="161" spans="1:9">
      <c r="A161" s="567"/>
      <c r="B161" s="518"/>
      <c r="C161" s="568"/>
      <c r="D161" s="569"/>
      <c r="E161" s="569"/>
      <c r="F161" s="568"/>
      <c r="G161" s="574"/>
      <c r="H161" s="570"/>
      <c r="I161" s="171"/>
    </row>
    <row r="162" spans="1:9">
      <c r="A162" s="567"/>
      <c r="B162" s="518"/>
      <c r="C162" s="568"/>
      <c r="D162" s="569"/>
      <c r="E162" s="569"/>
      <c r="F162" s="568"/>
      <c r="G162" s="574"/>
      <c r="H162" s="570"/>
      <c r="I162" s="171"/>
    </row>
    <row r="163" spans="1:9">
      <c r="A163" s="567"/>
      <c r="B163" s="518"/>
      <c r="C163" s="568"/>
      <c r="D163" s="569"/>
      <c r="E163" s="569"/>
      <c r="F163" s="568"/>
      <c r="G163" s="574"/>
      <c r="H163" s="570"/>
      <c r="I163" s="171"/>
    </row>
    <row r="164" spans="1:9">
      <c r="A164" s="567"/>
      <c r="B164" s="518"/>
      <c r="C164" s="568"/>
      <c r="D164" s="569"/>
      <c r="E164" s="569"/>
      <c r="F164" s="568"/>
      <c r="G164" s="574"/>
      <c r="H164" s="570"/>
      <c r="I164" s="171"/>
    </row>
    <row r="165" spans="1:9">
      <c r="A165" s="567"/>
      <c r="B165" s="518"/>
      <c r="C165" s="568"/>
      <c r="D165" s="569"/>
      <c r="E165" s="569"/>
      <c r="F165" s="568"/>
      <c r="G165" s="574"/>
      <c r="H165" s="570"/>
      <c r="I165" s="171"/>
    </row>
    <row r="166" spans="1:9">
      <c r="A166" s="567"/>
      <c r="B166" s="518"/>
      <c r="C166" s="568"/>
      <c r="D166" s="569"/>
      <c r="E166" s="569"/>
      <c r="F166" s="568"/>
      <c r="G166" s="574"/>
      <c r="H166" s="570"/>
      <c r="I166" s="171"/>
    </row>
    <row r="167" spans="1:9">
      <c r="A167" s="567"/>
      <c r="B167" s="518"/>
      <c r="C167" s="568"/>
      <c r="D167" s="569"/>
      <c r="E167" s="569"/>
      <c r="F167" s="568"/>
      <c r="G167" s="574"/>
      <c r="H167" s="570"/>
      <c r="I167" s="171"/>
    </row>
    <row r="168" spans="1:9">
      <c r="A168" s="567"/>
      <c r="B168" s="518"/>
      <c r="C168" s="568"/>
      <c r="D168" s="569"/>
      <c r="E168" s="569"/>
      <c r="F168" s="568"/>
      <c r="G168" s="574"/>
      <c r="H168" s="570"/>
      <c r="I168" s="171"/>
    </row>
    <row r="169" spans="1:9">
      <c r="A169" s="567"/>
      <c r="B169" s="518"/>
      <c r="C169" s="568"/>
      <c r="D169" s="569"/>
      <c r="E169" s="569"/>
      <c r="F169" s="568"/>
      <c r="G169" s="574"/>
      <c r="H169" s="570"/>
      <c r="I169" s="171"/>
    </row>
    <row r="170" spans="1:9">
      <c r="A170" s="567"/>
      <c r="B170" s="518"/>
      <c r="C170" s="568"/>
      <c r="D170" s="569"/>
      <c r="E170" s="569"/>
      <c r="F170" s="568"/>
      <c r="G170" s="583"/>
      <c r="H170" s="583"/>
      <c r="I170" s="171"/>
    </row>
    <row r="171" spans="1:9">
      <c r="A171" s="567"/>
      <c r="B171" s="518"/>
      <c r="C171" s="568"/>
      <c r="D171" s="569"/>
      <c r="E171" s="569"/>
      <c r="F171" s="568"/>
      <c r="G171" s="574"/>
      <c r="H171" s="570"/>
      <c r="I171" s="171"/>
    </row>
    <row r="172" spans="1:9">
      <c r="A172" s="574"/>
      <c r="B172" s="518"/>
      <c r="C172" s="568"/>
      <c r="D172" s="569"/>
      <c r="E172" s="569"/>
      <c r="F172" s="568"/>
      <c r="G172" s="583"/>
      <c r="H172" s="584"/>
      <c r="I172" s="171"/>
    </row>
    <row r="173" spans="1:9">
      <c r="A173" s="567"/>
      <c r="B173" s="518"/>
      <c r="C173" s="568"/>
      <c r="D173" s="569"/>
      <c r="E173" s="569"/>
      <c r="F173" s="568"/>
      <c r="G173" s="583"/>
      <c r="H173" s="583"/>
      <c r="I173" s="171"/>
    </row>
    <row r="174" spans="1:9">
      <c r="A174" s="567"/>
      <c r="B174" s="518"/>
      <c r="C174" s="568"/>
      <c r="D174" s="569"/>
      <c r="E174" s="569"/>
      <c r="F174" s="568"/>
      <c r="G174" s="574"/>
      <c r="H174" s="570"/>
      <c r="I174" s="171"/>
    </row>
    <row r="175" spans="1:9">
      <c r="A175" s="567"/>
      <c r="B175" s="518"/>
      <c r="C175" s="568"/>
      <c r="D175" s="569"/>
      <c r="E175" s="569"/>
      <c r="F175" s="568"/>
      <c r="G175" s="583"/>
      <c r="H175" s="583"/>
      <c r="I175" s="171"/>
    </row>
    <row r="176" spans="1:9">
      <c r="A176" s="567"/>
      <c r="B176" s="518"/>
      <c r="C176" s="568"/>
      <c r="D176" s="569"/>
      <c r="E176" s="569"/>
      <c r="F176" s="568"/>
      <c r="G176" s="574"/>
      <c r="H176" s="570"/>
      <c r="I176" s="171"/>
    </row>
    <row r="177" spans="1:9">
      <c r="A177" s="567"/>
      <c r="B177" s="518"/>
      <c r="C177" s="568"/>
      <c r="D177" s="569"/>
      <c r="E177" s="569"/>
      <c r="F177" s="568"/>
      <c r="G177" s="583"/>
      <c r="H177" s="570"/>
      <c r="I177" s="171"/>
    </row>
    <row r="178" spans="1:9">
      <c r="A178" s="567"/>
      <c r="B178" s="518"/>
      <c r="C178" s="568"/>
      <c r="D178" s="569"/>
      <c r="E178" s="569"/>
      <c r="F178" s="568"/>
      <c r="G178" s="574"/>
      <c r="H178" s="583"/>
      <c r="I178" s="171"/>
    </row>
    <row r="179" spans="1:9">
      <c r="A179" s="567"/>
      <c r="B179" s="518"/>
      <c r="C179" s="568"/>
      <c r="D179" s="569"/>
      <c r="E179" s="569"/>
      <c r="F179" s="568"/>
      <c r="G179" s="583"/>
      <c r="H179" s="583"/>
      <c r="I179" s="171"/>
    </row>
    <row r="180" spans="1:9">
      <c r="A180" s="567"/>
      <c r="B180" s="518"/>
      <c r="C180" s="568"/>
      <c r="D180" s="569"/>
      <c r="E180" s="569"/>
      <c r="F180" s="568"/>
      <c r="G180" s="574"/>
      <c r="H180" s="583"/>
      <c r="I180" s="171"/>
    </row>
    <row r="181" spans="1:9">
      <c r="A181" s="567"/>
      <c r="B181" s="518"/>
      <c r="C181" s="568"/>
      <c r="D181" s="569"/>
      <c r="E181" s="569"/>
      <c r="F181" s="568"/>
      <c r="G181" s="583"/>
      <c r="H181" s="570"/>
      <c r="I181" s="171"/>
    </row>
    <row r="182" spans="1:9">
      <c r="A182" s="567"/>
      <c r="B182" s="518"/>
      <c r="C182" s="568"/>
      <c r="D182" s="569"/>
      <c r="E182" s="569"/>
      <c r="F182" s="568"/>
      <c r="G182" s="574"/>
      <c r="H182" s="583"/>
      <c r="I182" s="171"/>
    </row>
    <row r="183" spans="1:9">
      <c r="A183" s="567"/>
      <c r="B183" s="518"/>
      <c r="C183" s="568"/>
      <c r="D183" s="569"/>
      <c r="E183" s="569"/>
      <c r="F183" s="568"/>
      <c r="G183" s="583"/>
      <c r="H183" s="583"/>
      <c r="I183" s="171"/>
    </row>
    <row r="184" spans="1:9">
      <c r="A184" s="567"/>
      <c r="B184" s="518"/>
      <c r="C184" s="568"/>
      <c r="D184" s="569"/>
      <c r="E184" s="569"/>
      <c r="F184" s="568"/>
      <c r="G184" s="574"/>
      <c r="H184" s="583"/>
      <c r="I184" s="171"/>
    </row>
    <row r="185" spans="1:9">
      <c r="A185" s="567"/>
      <c r="B185" s="518"/>
      <c r="C185" s="568"/>
      <c r="D185" s="569"/>
      <c r="E185" s="569"/>
      <c r="F185" s="568"/>
      <c r="G185" s="583"/>
      <c r="H185" s="583"/>
      <c r="I185" s="171"/>
    </row>
    <row r="186" spans="1:9">
      <c r="A186" s="567"/>
      <c r="B186" s="518"/>
      <c r="C186" s="568"/>
      <c r="D186" s="569"/>
      <c r="E186" s="569"/>
      <c r="F186" s="568"/>
      <c r="G186" s="574"/>
      <c r="H186" s="570"/>
      <c r="I186" s="171"/>
    </row>
    <row r="187" spans="1:9">
      <c r="A187" s="574"/>
      <c r="B187" s="518"/>
      <c r="C187" s="568"/>
      <c r="D187" s="569"/>
      <c r="E187" s="569"/>
      <c r="F187" s="568"/>
      <c r="G187" s="574"/>
      <c r="H187" s="570"/>
      <c r="I187" s="171"/>
    </row>
    <row r="188" spans="1:9">
      <c r="A188" s="574"/>
      <c r="B188" s="518"/>
      <c r="C188" s="568"/>
      <c r="D188" s="569"/>
      <c r="E188" s="569"/>
      <c r="F188" s="568"/>
      <c r="G188" s="574"/>
      <c r="H188" s="570"/>
      <c r="I188" s="171"/>
    </row>
    <row r="189" spans="1:9">
      <c r="A189" s="574"/>
      <c r="B189" s="518"/>
      <c r="C189" s="568"/>
      <c r="D189" s="569"/>
      <c r="E189" s="569"/>
      <c r="F189" s="568"/>
      <c r="G189" s="583"/>
      <c r="H189" s="570"/>
      <c r="I189" s="171"/>
    </row>
    <row r="190" spans="1:9">
      <c r="A190" s="574"/>
      <c r="B190" s="518"/>
      <c r="C190" s="568"/>
      <c r="D190" s="569"/>
      <c r="E190" s="569"/>
      <c r="F190" s="568"/>
      <c r="G190" s="583"/>
      <c r="H190" s="570"/>
      <c r="I190" s="171"/>
    </row>
    <row r="191" spans="1:9">
      <c r="A191" s="574"/>
      <c r="B191" s="518"/>
      <c r="C191" s="568"/>
      <c r="D191" s="569"/>
      <c r="E191" s="569"/>
      <c r="F191" s="568"/>
      <c r="G191" s="583"/>
      <c r="H191" s="570"/>
      <c r="I191" s="171"/>
    </row>
    <row r="192" spans="1:9">
      <c r="A192" s="567"/>
      <c r="B192" s="518"/>
      <c r="C192" s="568"/>
      <c r="D192" s="569"/>
      <c r="E192" s="569"/>
      <c r="F192" s="568"/>
      <c r="G192" s="574"/>
      <c r="H192" s="570"/>
      <c r="I192" s="171"/>
    </row>
    <row r="193" spans="1:9">
      <c r="A193" s="567"/>
      <c r="B193" s="518"/>
      <c r="C193" s="568"/>
      <c r="D193" s="569"/>
      <c r="E193" s="569"/>
      <c r="F193" s="568"/>
      <c r="G193" s="574"/>
      <c r="H193" s="570"/>
      <c r="I193" s="171"/>
    </row>
    <row r="194" spans="1:9">
      <c r="A194" s="567"/>
      <c r="B194" s="518"/>
      <c r="C194" s="568"/>
      <c r="D194" s="569"/>
      <c r="E194" s="569"/>
      <c r="F194" s="568"/>
      <c r="G194" s="574"/>
      <c r="H194" s="570"/>
      <c r="I194" s="171"/>
    </row>
    <row r="195" spans="1:9">
      <c r="A195" s="567"/>
      <c r="B195" s="518"/>
      <c r="C195" s="568"/>
      <c r="D195" s="569"/>
      <c r="E195" s="569"/>
      <c r="F195" s="568"/>
      <c r="G195" s="574"/>
      <c r="H195" s="570"/>
      <c r="I195" s="171"/>
    </row>
    <row r="196" spans="1:9">
      <c r="A196" s="567"/>
      <c r="B196" s="518"/>
      <c r="C196" s="568"/>
      <c r="D196" s="569"/>
      <c r="E196" s="569"/>
      <c r="F196" s="568"/>
      <c r="G196" s="574"/>
      <c r="H196" s="570"/>
      <c r="I196" s="171"/>
    </row>
    <row r="197" spans="1:9">
      <c r="A197" s="567"/>
      <c r="B197" s="518"/>
      <c r="C197" s="568"/>
      <c r="D197" s="569"/>
      <c r="E197" s="569"/>
      <c r="F197" s="568"/>
      <c r="G197" s="574"/>
      <c r="H197" s="570"/>
      <c r="I197" s="171"/>
    </row>
    <row r="198" spans="1:9">
      <c r="A198" s="567"/>
      <c r="B198" s="518"/>
      <c r="C198" s="568"/>
      <c r="D198" s="569"/>
      <c r="E198" s="569"/>
      <c r="F198" s="568"/>
      <c r="G198" s="574"/>
      <c r="H198" s="570"/>
      <c r="I198" s="171"/>
    </row>
    <row r="199" spans="1:9">
      <c r="A199" s="567"/>
      <c r="B199" s="518"/>
      <c r="C199" s="568"/>
      <c r="D199" s="569"/>
      <c r="E199" s="569"/>
      <c r="F199" s="568"/>
      <c r="G199" s="574"/>
      <c r="H199" s="570"/>
      <c r="I199" s="171"/>
    </row>
    <row r="200" spans="1:9">
      <c r="A200" s="567"/>
      <c r="B200" s="518"/>
      <c r="C200" s="568"/>
      <c r="D200" s="569"/>
      <c r="E200" s="569"/>
      <c r="F200" s="568"/>
      <c r="G200" s="574"/>
      <c r="H200" s="570"/>
      <c r="I200" s="171"/>
    </row>
    <row r="201" spans="1:9">
      <c r="A201" s="567"/>
      <c r="B201" s="518"/>
      <c r="C201" s="568"/>
      <c r="D201" s="569"/>
      <c r="E201" s="569"/>
      <c r="F201" s="568"/>
      <c r="G201" s="583"/>
      <c r="H201" s="583"/>
      <c r="I201" s="171"/>
    </row>
    <row r="202" spans="1:9">
      <c r="A202" s="567"/>
      <c r="B202" s="518"/>
      <c r="C202" s="568"/>
      <c r="D202" s="569"/>
      <c r="E202" s="569"/>
      <c r="F202" s="568"/>
      <c r="G202" s="574"/>
      <c r="H202" s="570"/>
      <c r="I202" s="171"/>
    </row>
    <row r="203" spans="1:9">
      <c r="A203" s="567"/>
      <c r="B203" s="518"/>
      <c r="C203" s="568"/>
      <c r="D203" s="569"/>
      <c r="E203" s="569"/>
      <c r="F203" s="568"/>
      <c r="G203" s="574"/>
      <c r="H203" s="570"/>
      <c r="I203" s="171"/>
    </row>
    <row r="204" spans="1:9">
      <c r="A204" s="567"/>
      <c r="B204" s="518"/>
      <c r="C204" s="568"/>
      <c r="D204" s="569"/>
      <c r="E204" s="569"/>
      <c r="F204" s="568"/>
      <c r="G204" s="574"/>
      <c r="H204" s="570"/>
      <c r="I204" s="171"/>
    </row>
    <row r="205" spans="1:9">
      <c r="A205" s="567"/>
      <c r="B205" s="518"/>
      <c r="C205" s="568"/>
      <c r="D205" s="569"/>
      <c r="E205" s="569"/>
      <c r="F205" s="568"/>
      <c r="G205" s="574"/>
      <c r="H205" s="570"/>
      <c r="I205" s="171"/>
    </row>
    <row r="206" spans="1:9">
      <c r="A206" s="567"/>
      <c r="B206" s="518"/>
      <c r="C206" s="568"/>
      <c r="D206" s="569"/>
      <c r="E206" s="569"/>
      <c r="F206" s="568"/>
      <c r="G206" s="574"/>
      <c r="H206" s="570"/>
      <c r="I206" s="171"/>
    </row>
    <row r="207" spans="1:9">
      <c r="A207" s="567"/>
      <c r="B207" s="518"/>
      <c r="C207" s="568"/>
      <c r="D207" s="569"/>
      <c r="E207" s="569"/>
      <c r="F207" s="568"/>
      <c r="G207" s="574"/>
      <c r="H207" s="570"/>
      <c r="I207" s="171"/>
    </row>
    <row r="208" spans="1:9">
      <c r="A208" s="567"/>
      <c r="B208" s="518"/>
      <c r="C208" s="568"/>
      <c r="D208" s="569"/>
      <c r="E208" s="569"/>
      <c r="F208" s="568"/>
      <c r="G208" s="574"/>
      <c r="H208" s="570"/>
      <c r="I208" s="171"/>
    </row>
    <row r="209" spans="1:9">
      <c r="A209" s="567"/>
      <c r="B209" s="518"/>
      <c r="C209" s="568"/>
      <c r="D209" s="569"/>
      <c r="E209" s="569"/>
      <c r="F209" s="568"/>
      <c r="G209" s="574"/>
      <c r="H209" s="570"/>
      <c r="I209" s="171"/>
    </row>
    <row r="210" spans="1:9">
      <c r="A210" s="567"/>
      <c r="B210" s="518"/>
      <c r="C210" s="568"/>
      <c r="D210" s="569"/>
      <c r="E210" s="569"/>
      <c r="F210" s="568"/>
      <c r="G210" s="574"/>
      <c r="H210" s="570"/>
      <c r="I210" s="171"/>
    </row>
    <row r="211" spans="1:9">
      <c r="A211" s="567"/>
      <c r="B211" s="518"/>
      <c r="C211" s="568"/>
      <c r="D211" s="569"/>
      <c r="E211" s="569"/>
      <c r="F211" s="568"/>
      <c r="G211" s="574"/>
      <c r="H211" s="570"/>
      <c r="I211" s="171"/>
    </row>
    <row r="212" spans="1:9">
      <c r="A212" s="567"/>
      <c r="B212" s="518"/>
      <c r="C212" s="568"/>
      <c r="D212" s="569"/>
      <c r="E212" s="569"/>
      <c r="F212" s="568"/>
      <c r="G212" s="574"/>
      <c r="H212" s="570"/>
      <c r="I212" s="171"/>
    </row>
    <row r="213" spans="1:9">
      <c r="A213" s="567"/>
      <c r="B213" s="518"/>
      <c r="C213" s="568"/>
      <c r="D213" s="569"/>
      <c r="E213" s="569"/>
      <c r="F213" s="568"/>
      <c r="G213" s="574"/>
      <c r="H213" s="570"/>
      <c r="I213" s="171"/>
    </row>
    <row r="214" spans="1:9">
      <c r="A214" s="567"/>
      <c r="B214" s="518"/>
      <c r="C214" s="568"/>
      <c r="D214" s="569"/>
      <c r="E214" s="569"/>
      <c r="F214" s="568"/>
      <c r="G214" s="574"/>
      <c r="H214" s="570"/>
      <c r="I214" s="171"/>
    </row>
    <row r="215" spans="1:9">
      <c r="A215" s="567"/>
      <c r="B215" s="518"/>
      <c r="C215" s="568"/>
      <c r="D215" s="569"/>
      <c r="E215" s="569"/>
      <c r="F215" s="568"/>
      <c r="G215" s="574"/>
      <c r="H215" s="570"/>
      <c r="I215" s="171"/>
    </row>
    <row r="216" spans="1:9">
      <c r="A216" s="567"/>
      <c r="B216" s="518"/>
      <c r="C216" s="568"/>
      <c r="D216" s="569"/>
      <c r="E216" s="569"/>
      <c r="F216" s="568"/>
      <c r="G216" s="574"/>
      <c r="H216" s="570"/>
      <c r="I216" s="171"/>
    </row>
    <row r="217" spans="1:9">
      <c r="A217" s="567"/>
      <c r="B217" s="518"/>
      <c r="C217" s="568"/>
      <c r="D217" s="569"/>
      <c r="E217" s="569"/>
      <c r="F217" s="568"/>
      <c r="G217" s="574"/>
      <c r="H217" s="570"/>
      <c r="I217" s="171"/>
    </row>
    <row r="218" spans="1:9">
      <c r="A218" s="567"/>
      <c r="B218" s="518"/>
      <c r="C218" s="568"/>
      <c r="D218" s="569"/>
      <c r="E218" s="569"/>
      <c r="F218" s="568"/>
      <c r="G218" s="574"/>
      <c r="H218" s="570"/>
      <c r="I218" s="171"/>
    </row>
    <row r="219" spans="1:9">
      <c r="A219" s="567"/>
      <c r="B219" s="518"/>
      <c r="C219" s="568"/>
      <c r="D219" s="569"/>
      <c r="E219" s="569"/>
      <c r="F219" s="568"/>
      <c r="G219" s="574"/>
      <c r="H219" s="570"/>
      <c r="I219" s="171"/>
    </row>
    <row r="220" spans="1:9">
      <c r="A220" s="567"/>
      <c r="B220" s="518"/>
      <c r="C220" s="568"/>
      <c r="D220" s="569"/>
      <c r="E220" s="569"/>
      <c r="F220" s="568"/>
      <c r="G220" s="574"/>
      <c r="H220" s="570"/>
      <c r="I220" s="171"/>
    </row>
    <row r="221" spans="1:9">
      <c r="A221" s="567"/>
      <c r="B221" s="518"/>
      <c r="C221" s="568"/>
      <c r="D221" s="569"/>
      <c r="E221" s="569"/>
      <c r="F221" s="568"/>
      <c r="G221" s="574"/>
      <c r="H221" s="570"/>
      <c r="I221" s="171"/>
    </row>
    <row r="222" spans="1:9">
      <c r="A222" s="567"/>
      <c r="B222" s="518"/>
      <c r="C222" s="568"/>
      <c r="D222" s="569"/>
      <c r="E222" s="569"/>
      <c r="F222" s="568"/>
      <c r="G222" s="574"/>
      <c r="H222" s="570"/>
      <c r="I222" s="171"/>
    </row>
    <row r="223" spans="1:9">
      <c r="A223" s="567"/>
      <c r="B223" s="518"/>
      <c r="C223" s="568"/>
      <c r="D223" s="569"/>
      <c r="E223" s="569"/>
      <c r="F223" s="568"/>
      <c r="G223" s="574"/>
      <c r="H223" s="570"/>
      <c r="I223" s="171"/>
    </row>
    <row r="224" spans="1:9">
      <c r="A224" s="567"/>
      <c r="B224" s="518"/>
      <c r="C224" s="568"/>
      <c r="D224" s="569"/>
      <c r="E224" s="569"/>
      <c r="F224" s="568"/>
      <c r="G224" s="574"/>
      <c r="H224" s="570"/>
      <c r="I224" s="171"/>
    </row>
    <row r="225" spans="1:9">
      <c r="A225" s="567"/>
      <c r="B225" s="518"/>
      <c r="C225" s="568"/>
      <c r="D225" s="569"/>
      <c r="E225" s="569"/>
      <c r="F225" s="568"/>
      <c r="G225" s="574"/>
      <c r="H225" s="570"/>
      <c r="I225" s="171"/>
    </row>
    <row r="226" spans="1:9">
      <c r="A226" s="567"/>
      <c r="B226" s="518"/>
      <c r="C226" s="568"/>
      <c r="D226" s="569"/>
      <c r="E226" s="569"/>
      <c r="F226" s="568"/>
      <c r="G226" s="574"/>
      <c r="H226" s="570"/>
      <c r="I226" s="171"/>
    </row>
    <row r="227" spans="1:9">
      <c r="A227" s="567"/>
      <c r="B227" s="518"/>
      <c r="C227" s="568"/>
      <c r="D227" s="569"/>
      <c r="E227" s="569"/>
      <c r="F227" s="568"/>
      <c r="G227" s="574"/>
      <c r="H227" s="570"/>
      <c r="I227" s="171"/>
    </row>
    <row r="228" spans="1:9">
      <c r="A228" s="567"/>
      <c r="B228" s="518"/>
      <c r="C228" s="568"/>
      <c r="D228" s="569"/>
      <c r="E228" s="569"/>
      <c r="F228" s="568"/>
      <c r="G228" s="574"/>
      <c r="H228" s="570"/>
      <c r="I228" s="171"/>
    </row>
    <row r="229" spans="1:9">
      <c r="A229" s="567"/>
      <c r="B229" s="518"/>
      <c r="C229" s="568"/>
      <c r="D229" s="569"/>
      <c r="E229" s="569"/>
      <c r="F229" s="568"/>
      <c r="G229" s="574"/>
      <c r="H229" s="570"/>
      <c r="I229" s="171"/>
    </row>
    <row r="230" spans="1:9">
      <c r="A230" s="567"/>
      <c r="B230" s="518"/>
      <c r="C230" s="568"/>
      <c r="D230" s="569"/>
      <c r="E230" s="569"/>
      <c r="F230" s="568"/>
      <c r="G230" s="574"/>
      <c r="H230" s="570"/>
      <c r="I230" s="171"/>
    </row>
    <row r="231" spans="1:9">
      <c r="A231" s="567"/>
      <c r="B231" s="518"/>
      <c r="C231" s="568"/>
      <c r="D231" s="569"/>
      <c r="E231" s="569"/>
      <c r="F231" s="568"/>
      <c r="G231" s="574"/>
      <c r="H231" s="570"/>
      <c r="I231" s="171"/>
    </row>
    <row r="232" spans="1:9">
      <c r="A232" s="567"/>
      <c r="B232" s="518"/>
      <c r="C232" s="568"/>
      <c r="D232" s="569"/>
      <c r="E232" s="569"/>
      <c r="F232" s="568"/>
      <c r="G232" s="574"/>
      <c r="H232" s="570"/>
      <c r="I232" s="171"/>
    </row>
    <row r="233" spans="1:9">
      <c r="A233" s="567"/>
      <c r="B233" s="518"/>
      <c r="C233" s="568"/>
      <c r="D233" s="569"/>
      <c r="E233" s="569"/>
      <c r="F233" s="568"/>
      <c r="G233" s="574"/>
      <c r="H233" s="570"/>
      <c r="I233" s="171"/>
    </row>
    <row r="234" spans="1:9">
      <c r="A234" s="567"/>
      <c r="B234" s="518"/>
      <c r="C234" s="568"/>
      <c r="D234" s="569"/>
      <c r="E234" s="569"/>
      <c r="F234" s="568"/>
      <c r="G234" s="574"/>
      <c r="H234" s="570"/>
      <c r="I234" s="171"/>
    </row>
    <row r="235" spans="1:9">
      <c r="A235" s="567"/>
      <c r="B235" s="518"/>
      <c r="C235" s="568"/>
      <c r="D235" s="569"/>
      <c r="E235" s="569"/>
      <c r="F235" s="568"/>
      <c r="G235" s="574"/>
      <c r="H235" s="570"/>
      <c r="I235" s="171"/>
    </row>
    <row r="236" spans="1:9">
      <c r="A236" s="567"/>
      <c r="B236" s="518"/>
      <c r="C236" s="568"/>
      <c r="D236" s="569"/>
      <c r="E236" s="569"/>
      <c r="F236" s="568"/>
      <c r="G236" s="574"/>
      <c r="H236" s="570"/>
      <c r="I236" s="171"/>
    </row>
    <row r="237" spans="1:9">
      <c r="A237" s="567"/>
      <c r="B237" s="518"/>
      <c r="C237" s="568"/>
      <c r="D237" s="569"/>
      <c r="E237" s="569"/>
      <c r="F237" s="568"/>
      <c r="G237" s="574"/>
      <c r="H237" s="570"/>
      <c r="I237" s="171"/>
    </row>
    <row r="238" spans="1:9">
      <c r="A238" s="567"/>
      <c r="B238" s="518"/>
      <c r="C238" s="568"/>
      <c r="D238" s="569"/>
      <c r="E238" s="569"/>
      <c r="F238" s="568"/>
      <c r="G238" s="574"/>
      <c r="H238" s="570"/>
      <c r="I238" s="171"/>
    </row>
    <row r="239" spans="1:9">
      <c r="A239" s="567"/>
      <c r="B239" s="518"/>
      <c r="C239" s="568"/>
      <c r="D239" s="569"/>
      <c r="E239" s="569"/>
      <c r="F239" s="568"/>
      <c r="G239" s="574"/>
      <c r="H239" s="570"/>
      <c r="I239" s="171"/>
    </row>
    <row r="240" spans="1:9">
      <c r="A240" s="567"/>
      <c r="B240" s="518"/>
      <c r="C240" s="568"/>
      <c r="D240" s="569"/>
      <c r="E240" s="569"/>
      <c r="F240" s="568"/>
      <c r="G240" s="574"/>
      <c r="H240" s="570"/>
      <c r="I240" s="171"/>
    </row>
    <row r="241" spans="1:9">
      <c r="A241" s="567"/>
      <c r="B241" s="518"/>
      <c r="C241" s="568"/>
      <c r="D241" s="569"/>
      <c r="E241" s="569"/>
      <c r="F241" s="568"/>
      <c r="G241" s="574"/>
      <c r="H241" s="570"/>
      <c r="I241" s="171"/>
    </row>
    <row r="242" spans="1:9">
      <c r="A242" s="567"/>
      <c r="B242" s="518"/>
      <c r="C242" s="568"/>
      <c r="D242" s="569"/>
      <c r="E242" s="569"/>
      <c r="F242" s="568"/>
      <c r="G242" s="574"/>
      <c r="H242" s="570"/>
      <c r="I242" s="171"/>
    </row>
    <row r="243" spans="1:9">
      <c r="A243" s="567"/>
      <c r="B243" s="518"/>
      <c r="C243" s="568"/>
      <c r="D243" s="569"/>
      <c r="E243" s="569"/>
      <c r="F243" s="568"/>
      <c r="G243" s="574"/>
      <c r="H243" s="570"/>
      <c r="I243" s="171"/>
    </row>
    <row r="244" spans="1:9">
      <c r="A244" s="567"/>
      <c r="B244" s="518"/>
      <c r="C244" s="568"/>
      <c r="D244" s="569"/>
      <c r="E244" s="569"/>
      <c r="F244" s="568"/>
      <c r="G244" s="574"/>
      <c r="H244" s="570"/>
      <c r="I244" s="171"/>
    </row>
    <row r="245" spans="1:9">
      <c r="A245" s="567"/>
      <c r="B245" s="518"/>
      <c r="C245" s="568"/>
      <c r="D245" s="569"/>
      <c r="E245" s="569"/>
      <c r="F245" s="568"/>
      <c r="G245" s="574"/>
      <c r="H245" s="570"/>
      <c r="I245" s="171"/>
    </row>
    <row r="246" spans="1:9">
      <c r="A246" s="567"/>
      <c r="B246" s="518"/>
      <c r="C246" s="568"/>
      <c r="D246" s="569"/>
      <c r="E246" s="569"/>
      <c r="F246" s="568"/>
      <c r="G246" s="574"/>
      <c r="H246" s="570"/>
      <c r="I246" s="171"/>
    </row>
    <row r="247" spans="1:9">
      <c r="A247" s="567"/>
      <c r="B247" s="518"/>
      <c r="C247" s="568"/>
      <c r="D247" s="569"/>
      <c r="E247" s="569"/>
      <c r="F247" s="568"/>
      <c r="G247" s="574"/>
      <c r="H247" s="570"/>
      <c r="I247" s="171"/>
    </row>
    <row r="248" spans="1:9">
      <c r="A248" s="567"/>
      <c r="B248" s="518"/>
      <c r="C248" s="568"/>
      <c r="D248" s="569"/>
      <c r="E248" s="569"/>
      <c r="F248" s="568"/>
      <c r="G248" s="574"/>
      <c r="H248" s="570"/>
      <c r="I248" s="171"/>
    </row>
    <row r="249" spans="1:9">
      <c r="A249" s="567"/>
      <c r="B249" s="518"/>
      <c r="C249" s="568"/>
      <c r="D249" s="569"/>
      <c r="E249" s="569"/>
      <c r="F249" s="568"/>
      <c r="G249" s="574"/>
      <c r="H249" s="570"/>
      <c r="I249" s="171"/>
    </row>
    <row r="250" spans="1:9">
      <c r="A250" s="567"/>
      <c r="B250" s="518"/>
      <c r="C250" s="568"/>
      <c r="D250" s="569"/>
      <c r="E250" s="569"/>
      <c r="F250" s="568"/>
      <c r="G250" s="574"/>
      <c r="H250" s="570"/>
      <c r="I250" s="171"/>
    </row>
    <row r="251" spans="1:9">
      <c r="A251" s="567"/>
      <c r="B251" s="518"/>
      <c r="C251" s="568"/>
      <c r="D251" s="569"/>
      <c r="E251" s="569"/>
      <c r="F251" s="568"/>
      <c r="G251" s="574"/>
      <c r="H251" s="570"/>
      <c r="I251" s="171"/>
    </row>
    <row r="252" spans="1:9">
      <c r="A252" s="567"/>
      <c r="B252" s="518"/>
      <c r="C252" s="568"/>
      <c r="D252" s="569"/>
      <c r="E252" s="569"/>
      <c r="F252" s="568"/>
      <c r="G252" s="574"/>
      <c r="H252" s="570"/>
      <c r="I252" s="171"/>
    </row>
    <row r="253" spans="1:9">
      <c r="A253" s="567"/>
      <c r="B253" s="518"/>
      <c r="C253" s="568"/>
      <c r="D253" s="569"/>
      <c r="E253" s="569"/>
      <c r="F253" s="568"/>
      <c r="G253" s="574"/>
      <c r="H253" s="570"/>
      <c r="I253" s="171"/>
    </row>
    <row r="254" spans="1:9">
      <c r="A254" s="567"/>
      <c r="B254" s="518"/>
      <c r="C254" s="568"/>
      <c r="D254" s="569"/>
      <c r="E254" s="569"/>
      <c r="F254" s="568"/>
      <c r="G254" s="574"/>
      <c r="H254" s="570"/>
      <c r="I254" s="171"/>
    </row>
    <row r="255" spans="1:9">
      <c r="A255" s="567"/>
      <c r="B255" s="518"/>
      <c r="C255" s="568"/>
      <c r="D255" s="569"/>
      <c r="E255" s="569"/>
      <c r="F255" s="568"/>
      <c r="G255" s="574"/>
      <c r="H255" s="570"/>
      <c r="I255" s="171"/>
    </row>
    <row r="256" spans="1:9">
      <c r="A256" s="567"/>
      <c r="B256" s="518"/>
      <c r="C256" s="568"/>
      <c r="D256" s="569"/>
      <c r="E256" s="569"/>
      <c r="F256" s="568"/>
      <c r="G256" s="574"/>
      <c r="H256" s="570"/>
      <c r="I256" s="171"/>
    </row>
    <row r="257" spans="1:9">
      <c r="A257" s="567"/>
      <c r="B257" s="518"/>
      <c r="C257" s="568"/>
      <c r="D257" s="569"/>
      <c r="E257" s="569"/>
      <c r="F257" s="568"/>
      <c r="G257" s="574"/>
      <c r="H257" s="570"/>
      <c r="I257" s="171"/>
    </row>
    <row r="258" spans="1:9">
      <c r="A258" s="567"/>
      <c r="B258" s="518"/>
      <c r="C258" s="568"/>
      <c r="D258" s="569"/>
      <c r="E258" s="569"/>
      <c r="F258" s="568"/>
      <c r="G258" s="574"/>
      <c r="H258" s="570"/>
      <c r="I258" s="171"/>
    </row>
    <row r="259" spans="1:9">
      <c r="A259" s="567"/>
      <c r="B259" s="518"/>
      <c r="C259" s="568"/>
      <c r="D259" s="569"/>
      <c r="E259" s="569"/>
      <c r="F259" s="568"/>
      <c r="G259" s="574"/>
      <c r="H259" s="570"/>
      <c r="I259" s="171"/>
    </row>
    <row r="260" spans="1:9">
      <c r="A260" s="567"/>
      <c r="B260" s="518"/>
      <c r="C260" s="568"/>
      <c r="D260" s="569"/>
      <c r="E260" s="569"/>
      <c r="F260" s="568"/>
      <c r="G260" s="574"/>
      <c r="H260" s="570"/>
      <c r="I260" s="171"/>
    </row>
    <row r="261" spans="1:9">
      <c r="A261" s="567"/>
      <c r="B261" s="518"/>
      <c r="C261" s="568"/>
      <c r="D261" s="569"/>
      <c r="E261" s="569"/>
      <c r="F261" s="568"/>
      <c r="G261" s="574"/>
      <c r="H261" s="570"/>
      <c r="I261" s="171"/>
    </row>
    <row r="262" spans="1:9">
      <c r="A262" s="567"/>
      <c r="B262" s="518"/>
      <c r="C262" s="568"/>
      <c r="D262" s="569"/>
      <c r="E262" s="569"/>
      <c r="F262" s="568"/>
      <c r="G262" s="574"/>
      <c r="H262" s="570"/>
      <c r="I262" s="171"/>
    </row>
    <row r="263" spans="1:9">
      <c r="A263" s="567"/>
      <c r="B263" s="518"/>
      <c r="C263" s="568"/>
      <c r="D263" s="569"/>
      <c r="E263" s="569"/>
      <c r="F263" s="568"/>
      <c r="G263" s="574"/>
      <c r="H263" s="570"/>
      <c r="I263" s="171"/>
    </row>
    <row r="264" spans="1:9">
      <c r="A264" s="567"/>
      <c r="B264" s="518"/>
      <c r="C264" s="568"/>
      <c r="D264" s="569"/>
      <c r="E264" s="569"/>
      <c r="F264" s="568"/>
      <c r="G264" s="574"/>
      <c r="H264" s="570"/>
      <c r="I264" s="171"/>
    </row>
    <row r="265" spans="1:9">
      <c r="A265" s="567"/>
      <c r="B265" s="518"/>
      <c r="C265" s="568"/>
      <c r="D265" s="569"/>
      <c r="E265" s="569"/>
      <c r="F265" s="568"/>
      <c r="G265" s="574"/>
      <c r="H265" s="570"/>
      <c r="I265" s="171"/>
    </row>
    <row r="266" spans="1:9">
      <c r="A266" s="567"/>
      <c r="B266" s="518"/>
      <c r="C266" s="568"/>
      <c r="D266" s="569"/>
      <c r="E266" s="569"/>
      <c r="F266" s="568"/>
      <c r="G266" s="574"/>
      <c r="H266" s="570"/>
      <c r="I266" s="171"/>
    </row>
    <row r="267" spans="1:9">
      <c r="A267" s="567"/>
      <c r="B267" s="518"/>
      <c r="C267" s="568"/>
      <c r="D267" s="569"/>
      <c r="E267" s="569"/>
      <c r="F267" s="568"/>
      <c r="G267" s="574"/>
      <c r="H267" s="570"/>
      <c r="I267" s="171"/>
    </row>
    <row r="268" spans="1:9">
      <c r="A268" s="567"/>
      <c r="B268" s="518"/>
      <c r="C268" s="568"/>
      <c r="D268" s="569"/>
      <c r="E268" s="569"/>
      <c r="F268" s="568"/>
      <c r="G268" s="574"/>
      <c r="H268" s="570"/>
      <c r="I268" s="171"/>
    </row>
    <row r="269" spans="1:9">
      <c r="A269" s="567"/>
      <c r="B269" s="518"/>
      <c r="C269" s="568"/>
      <c r="D269" s="569"/>
      <c r="E269" s="569"/>
      <c r="F269" s="568"/>
      <c r="G269" s="574"/>
      <c r="H269" s="570"/>
      <c r="I269" s="171"/>
    </row>
    <row r="270" spans="1:9">
      <c r="A270" s="567"/>
      <c r="B270" s="518"/>
      <c r="C270" s="568"/>
      <c r="D270" s="569"/>
      <c r="E270" s="569"/>
      <c r="F270" s="568"/>
      <c r="G270" s="574"/>
      <c r="H270" s="570"/>
      <c r="I270" s="171"/>
    </row>
    <row r="271" spans="1:9">
      <c r="A271" s="567"/>
      <c r="B271" s="518"/>
      <c r="C271" s="568"/>
      <c r="D271" s="569"/>
      <c r="E271" s="569"/>
      <c r="F271" s="568"/>
      <c r="G271" s="574"/>
      <c r="H271" s="570"/>
      <c r="I271" s="171"/>
    </row>
    <row r="272" spans="1:9">
      <c r="A272" s="567"/>
      <c r="B272" s="518"/>
      <c r="C272" s="568"/>
      <c r="D272" s="569"/>
      <c r="E272" s="569"/>
      <c r="F272" s="568"/>
      <c r="G272" s="574"/>
      <c r="H272" s="570"/>
      <c r="I272" s="171"/>
    </row>
    <row r="273" spans="1:9">
      <c r="A273" s="567"/>
      <c r="B273" s="518"/>
      <c r="C273" s="568"/>
      <c r="D273" s="569"/>
      <c r="E273" s="569"/>
      <c r="F273" s="568"/>
      <c r="G273" s="574"/>
      <c r="H273" s="570"/>
      <c r="I273" s="171"/>
    </row>
    <row r="274" spans="1:9">
      <c r="A274" s="567"/>
      <c r="B274" s="518"/>
      <c r="C274" s="568"/>
      <c r="D274" s="569"/>
      <c r="E274" s="569"/>
      <c r="F274" s="568"/>
      <c r="G274" s="574"/>
      <c r="H274" s="570"/>
      <c r="I274" s="171"/>
    </row>
    <row r="275" spans="1:9">
      <c r="A275" s="567"/>
      <c r="B275" s="518"/>
      <c r="C275" s="568"/>
      <c r="D275" s="569"/>
      <c r="E275" s="569"/>
      <c r="F275" s="568"/>
      <c r="G275" s="574"/>
      <c r="H275" s="570"/>
      <c r="I275" s="171"/>
    </row>
    <row r="276" spans="1:9">
      <c r="A276" s="567"/>
      <c r="B276" s="518"/>
      <c r="C276" s="568"/>
      <c r="D276" s="569"/>
      <c r="E276" s="569"/>
      <c r="F276" s="568"/>
      <c r="G276" s="574"/>
      <c r="H276" s="570"/>
      <c r="I276" s="171"/>
    </row>
    <row r="277" spans="1:9">
      <c r="A277" s="567"/>
      <c r="B277" s="518"/>
      <c r="C277" s="568"/>
      <c r="D277" s="569"/>
      <c r="E277" s="569"/>
      <c r="F277" s="568"/>
      <c r="G277" s="574"/>
      <c r="H277" s="570"/>
      <c r="I277" s="171"/>
    </row>
    <row r="278" spans="1:9">
      <c r="A278" s="567"/>
      <c r="B278" s="518"/>
      <c r="C278" s="568"/>
      <c r="D278" s="569"/>
      <c r="E278" s="569"/>
      <c r="F278" s="568"/>
      <c r="G278" s="574"/>
      <c r="H278" s="570"/>
      <c r="I278" s="171"/>
    </row>
    <row r="279" spans="1:9">
      <c r="A279" s="567"/>
      <c r="B279" s="518"/>
      <c r="C279" s="568"/>
      <c r="D279" s="569"/>
      <c r="E279" s="569"/>
      <c r="F279" s="568"/>
      <c r="G279" s="574"/>
      <c r="H279" s="570"/>
      <c r="I279" s="171"/>
    </row>
    <row r="280" spans="1:9">
      <c r="A280" s="567"/>
      <c r="B280" s="518"/>
      <c r="C280" s="568"/>
      <c r="D280" s="569"/>
      <c r="E280" s="569"/>
      <c r="F280" s="568"/>
      <c r="G280" s="574"/>
      <c r="H280" s="570"/>
      <c r="I280" s="171"/>
    </row>
    <row r="281" spans="1:9">
      <c r="A281" s="567"/>
      <c r="B281" s="518"/>
      <c r="C281" s="568"/>
      <c r="D281" s="569"/>
      <c r="E281" s="569"/>
      <c r="F281" s="568"/>
      <c r="G281" s="574"/>
      <c r="H281" s="570"/>
      <c r="I281" s="171"/>
    </row>
    <row r="282" spans="1:9">
      <c r="A282" s="567"/>
      <c r="B282" s="518"/>
      <c r="C282" s="568"/>
      <c r="D282" s="569"/>
      <c r="E282" s="569"/>
      <c r="F282" s="568"/>
      <c r="G282" s="574"/>
      <c r="H282" s="570"/>
      <c r="I282" s="171"/>
    </row>
    <row r="283" spans="1:9">
      <c r="A283" s="567"/>
      <c r="B283" s="518"/>
      <c r="C283" s="568"/>
      <c r="D283" s="569"/>
      <c r="E283" s="569"/>
      <c r="F283" s="568"/>
      <c r="G283" s="574"/>
      <c r="H283" s="570"/>
      <c r="I283" s="171"/>
    </row>
    <row r="284" spans="1:9">
      <c r="A284" s="567"/>
      <c r="B284" s="518"/>
      <c r="C284" s="568"/>
      <c r="D284" s="569"/>
      <c r="E284" s="569"/>
      <c r="F284" s="568"/>
      <c r="G284" s="574"/>
      <c r="H284" s="570"/>
      <c r="I284" s="171"/>
    </row>
    <row r="285" spans="1:9">
      <c r="A285" s="567"/>
      <c r="B285" s="518"/>
      <c r="C285" s="568"/>
      <c r="D285" s="569"/>
      <c r="E285" s="569"/>
      <c r="F285" s="568"/>
      <c r="G285" s="574"/>
      <c r="H285" s="570"/>
      <c r="I285" s="171"/>
    </row>
    <row r="286" spans="1:9">
      <c r="A286" s="567"/>
      <c r="B286" s="518"/>
      <c r="C286" s="568"/>
      <c r="D286" s="569"/>
      <c r="E286" s="569"/>
      <c r="F286" s="568"/>
      <c r="G286" s="574"/>
      <c r="H286" s="570"/>
      <c r="I286" s="171"/>
    </row>
    <row r="287" spans="1:9">
      <c r="A287" s="567"/>
      <c r="B287" s="518"/>
      <c r="C287" s="568"/>
      <c r="D287" s="569"/>
      <c r="E287" s="569"/>
      <c r="F287" s="568"/>
      <c r="G287" s="574"/>
      <c r="H287" s="570"/>
      <c r="I287" s="171"/>
    </row>
    <row r="288" spans="1:9">
      <c r="A288" s="567"/>
      <c r="B288" s="518"/>
      <c r="C288" s="568"/>
      <c r="D288" s="569"/>
      <c r="E288" s="569"/>
      <c r="F288" s="568"/>
      <c r="G288" s="574"/>
      <c r="H288" s="570"/>
      <c r="I288" s="171"/>
    </row>
    <row r="289" spans="1:9">
      <c r="A289" s="567"/>
      <c r="B289" s="518"/>
      <c r="C289" s="568"/>
      <c r="D289" s="569"/>
      <c r="E289" s="569"/>
      <c r="F289" s="568"/>
      <c r="G289" s="574"/>
      <c r="H289" s="570"/>
      <c r="I289" s="171"/>
    </row>
    <row r="290" spans="1:9">
      <c r="A290" s="567"/>
      <c r="B290" s="518"/>
      <c r="C290" s="568"/>
      <c r="D290" s="569"/>
      <c r="E290" s="569"/>
      <c r="F290" s="568"/>
      <c r="G290" s="574"/>
      <c r="H290" s="570"/>
      <c r="I290" s="171"/>
    </row>
    <row r="291" spans="1:9">
      <c r="A291" s="567"/>
      <c r="B291" s="518"/>
      <c r="C291" s="568"/>
      <c r="D291" s="569"/>
      <c r="E291" s="569"/>
      <c r="F291" s="568"/>
      <c r="G291" s="574"/>
      <c r="H291" s="570"/>
      <c r="I291" s="171"/>
    </row>
    <row r="292" spans="1:9">
      <c r="A292" s="567"/>
      <c r="B292" s="518"/>
      <c r="C292" s="568"/>
      <c r="D292" s="569"/>
      <c r="E292" s="569"/>
      <c r="F292" s="568"/>
      <c r="G292" s="574"/>
      <c r="H292" s="570"/>
      <c r="I292" s="171"/>
    </row>
    <row r="293" spans="1:9">
      <c r="A293" s="567"/>
      <c r="B293" s="518"/>
      <c r="C293" s="568"/>
      <c r="D293" s="569"/>
      <c r="E293" s="569"/>
      <c r="F293" s="568"/>
      <c r="G293" s="574"/>
      <c r="H293" s="570"/>
      <c r="I293" s="171"/>
    </row>
    <row r="294" spans="1:9">
      <c r="A294" s="567"/>
      <c r="B294" s="518"/>
      <c r="C294" s="568"/>
      <c r="D294" s="569"/>
      <c r="E294" s="569"/>
      <c r="F294" s="568"/>
      <c r="G294" s="574"/>
      <c r="H294" s="570"/>
      <c r="I294" s="171"/>
    </row>
    <row r="295" spans="1:9">
      <c r="A295" s="567"/>
      <c r="B295" s="518"/>
      <c r="C295" s="568"/>
      <c r="D295" s="569"/>
      <c r="E295" s="569"/>
      <c r="F295" s="568"/>
      <c r="G295" s="574"/>
      <c r="H295" s="570"/>
      <c r="I295" s="171"/>
    </row>
    <row r="296" spans="1:9">
      <c r="A296" s="567"/>
      <c r="B296" s="518"/>
      <c r="C296" s="568"/>
      <c r="D296" s="569"/>
      <c r="E296" s="569"/>
      <c r="F296" s="568"/>
      <c r="G296" s="574"/>
      <c r="H296" s="570"/>
      <c r="I296" s="171"/>
    </row>
    <row r="297" spans="1:9">
      <c r="A297" s="567"/>
      <c r="B297" s="518"/>
      <c r="C297" s="568"/>
      <c r="D297" s="569"/>
      <c r="E297" s="569"/>
      <c r="F297" s="568"/>
      <c r="G297" s="574"/>
      <c r="H297" s="570"/>
      <c r="I297" s="171"/>
    </row>
    <row r="298" spans="1:9">
      <c r="A298" s="567"/>
      <c r="B298" s="518"/>
      <c r="C298" s="568"/>
      <c r="D298" s="569"/>
      <c r="E298" s="569"/>
      <c r="F298" s="568"/>
      <c r="G298" s="574"/>
      <c r="H298" s="570"/>
      <c r="I298" s="171"/>
    </row>
    <row r="299" spans="1:9">
      <c r="A299" s="567"/>
      <c r="B299" s="518"/>
      <c r="C299" s="568"/>
      <c r="D299" s="569"/>
      <c r="E299" s="569"/>
      <c r="F299" s="568"/>
      <c r="G299" s="574"/>
      <c r="H299" s="570"/>
      <c r="I299" s="171"/>
    </row>
    <row r="300" spans="1:9">
      <c r="A300" s="567"/>
      <c r="B300" s="518"/>
      <c r="C300" s="568"/>
      <c r="D300" s="569"/>
      <c r="E300" s="569"/>
      <c r="F300" s="568"/>
      <c r="G300" s="574"/>
      <c r="H300" s="570"/>
      <c r="I300" s="171"/>
    </row>
    <row r="301" spans="1:9">
      <c r="A301" s="567"/>
      <c r="B301" s="518"/>
      <c r="C301" s="568"/>
      <c r="D301" s="569"/>
      <c r="E301" s="569"/>
      <c r="F301" s="568"/>
      <c r="G301" s="574"/>
      <c r="H301" s="570"/>
      <c r="I301" s="171"/>
    </row>
    <row r="302" spans="1:9">
      <c r="A302" s="567"/>
      <c r="B302" s="518"/>
      <c r="C302" s="568"/>
      <c r="D302" s="569"/>
      <c r="E302" s="569"/>
      <c r="F302" s="568"/>
      <c r="G302" s="574"/>
      <c r="H302" s="570"/>
      <c r="I302" s="171"/>
    </row>
    <row r="303" spans="1:9">
      <c r="A303" s="567"/>
      <c r="B303" s="518"/>
      <c r="C303" s="568"/>
      <c r="D303" s="569"/>
      <c r="E303" s="569"/>
      <c r="F303" s="568"/>
      <c r="G303" s="574"/>
      <c r="H303" s="570"/>
      <c r="I303" s="171"/>
    </row>
    <row r="304" spans="1:9">
      <c r="A304" s="567"/>
      <c r="B304" s="518"/>
      <c r="C304" s="568"/>
      <c r="D304" s="569"/>
      <c r="E304" s="569"/>
      <c r="F304" s="568"/>
      <c r="G304" s="574"/>
      <c r="H304" s="570"/>
      <c r="I304" s="171"/>
    </row>
    <row r="305" spans="1:9">
      <c r="A305" s="567"/>
      <c r="B305" s="518"/>
      <c r="C305" s="568"/>
      <c r="D305" s="569"/>
      <c r="E305" s="569"/>
      <c r="F305" s="568"/>
      <c r="G305" s="574"/>
      <c r="H305" s="570"/>
      <c r="I305" s="171"/>
    </row>
    <row r="306" spans="1:9">
      <c r="A306" s="567"/>
      <c r="B306" s="518"/>
      <c r="C306" s="568"/>
      <c r="D306" s="569"/>
      <c r="E306" s="569"/>
      <c r="F306" s="568"/>
      <c r="G306" s="574"/>
      <c r="H306" s="570"/>
      <c r="I306" s="171"/>
    </row>
    <row r="307" spans="1:9">
      <c r="A307" s="567"/>
      <c r="B307" s="518"/>
      <c r="C307" s="568"/>
      <c r="D307" s="569"/>
      <c r="E307" s="569"/>
      <c r="F307" s="568"/>
      <c r="G307" s="574"/>
      <c r="H307" s="570"/>
      <c r="I307" s="171"/>
    </row>
    <row r="308" spans="1:9">
      <c r="A308" s="567"/>
      <c r="B308" s="518"/>
      <c r="C308" s="568"/>
      <c r="D308" s="569"/>
      <c r="E308" s="569"/>
      <c r="F308" s="568"/>
      <c r="G308" s="574"/>
      <c r="H308" s="570"/>
      <c r="I308" s="171"/>
    </row>
    <row r="309" spans="1:9">
      <c r="A309" s="567"/>
      <c r="B309" s="518"/>
      <c r="C309" s="568"/>
      <c r="D309" s="569"/>
      <c r="E309" s="569"/>
      <c r="F309" s="568"/>
      <c r="G309" s="574"/>
      <c r="H309" s="570"/>
      <c r="I309" s="171"/>
    </row>
    <row r="310" spans="1:9">
      <c r="A310" s="567"/>
      <c r="B310" s="518"/>
      <c r="C310" s="568"/>
      <c r="D310" s="569"/>
      <c r="E310" s="569"/>
      <c r="F310" s="568"/>
      <c r="G310" s="574"/>
      <c r="H310" s="570"/>
      <c r="I310" s="171"/>
    </row>
    <row r="311" spans="1:9">
      <c r="A311" s="567"/>
      <c r="B311" s="518"/>
      <c r="C311" s="568"/>
      <c r="D311" s="569"/>
      <c r="E311" s="569"/>
      <c r="F311" s="568"/>
      <c r="G311" s="574"/>
      <c r="H311" s="570"/>
      <c r="I311" s="171"/>
    </row>
    <row r="312" spans="1:9">
      <c r="A312" s="567"/>
      <c r="B312" s="518"/>
      <c r="C312" s="568"/>
      <c r="D312" s="569"/>
      <c r="E312" s="569"/>
      <c r="F312" s="568"/>
      <c r="G312" s="574"/>
      <c r="H312" s="570"/>
      <c r="I312" s="171"/>
    </row>
    <row r="313" spans="1:9">
      <c r="A313" s="567"/>
      <c r="B313" s="518"/>
      <c r="C313" s="568"/>
      <c r="D313" s="569"/>
      <c r="E313" s="569"/>
      <c r="F313" s="568"/>
      <c r="G313" s="574"/>
      <c r="H313" s="570"/>
      <c r="I313" s="171"/>
    </row>
    <row r="314" spans="1:9">
      <c r="A314" s="567"/>
      <c r="B314" s="518"/>
      <c r="C314" s="568"/>
      <c r="D314" s="569"/>
      <c r="E314" s="569"/>
      <c r="F314" s="568"/>
      <c r="G314" s="574"/>
      <c r="H314" s="570"/>
      <c r="I314" s="171"/>
    </row>
    <row r="315" spans="1:9">
      <c r="A315" s="567"/>
      <c r="B315" s="518"/>
      <c r="C315" s="568"/>
      <c r="D315" s="569"/>
      <c r="E315" s="569"/>
      <c r="F315" s="568"/>
      <c r="G315" s="574"/>
      <c r="H315" s="570"/>
      <c r="I315" s="171"/>
    </row>
    <row r="316" spans="1:9">
      <c r="A316" s="567"/>
      <c r="B316" s="518"/>
      <c r="C316" s="568"/>
      <c r="D316" s="569"/>
      <c r="E316" s="569"/>
      <c r="F316" s="568"/>
      <c r="G316" s="574"/>
      <c r="H316" s="570"/>
      <c r="I316" s="171"/>
    </row>
    <row r="317" spans="1:9">
      <c r="A317" s="567"/>
      <c r="B317" s="518"/>
      <c r="C317" s="568"/>
      <c r="D317" s="569"/>
      <c r="E317" s="569"/>
      <c r="F317" s="568"/>
      <c r="G317" s="574"/>
      <c r="H317" s="570"/>
      <c r="I317" s="171"/>
    </row>
    <row r="318" spans="1:9">
      <c r="A318" s="567"/>
      <c r="B318" s="518"/>
      <c r="C318" s="568"/>
      <c r="D318" s="569"/>
      <c r="E318" s="569"/>
      <c r="F318" s="568"/>
      <c r="G318" s="574"/>
      <c r="H318" s="570"/>
      <c r="I318" s="171"/>
    </row>
    <row r="319" spans="1:9">
      <c r="A319" s="567"/>
      <c r="B319" s="518"/>
      <c r="C319" s="568"/>
      <c r="D319" s="569"/>
      <c r="E319" s="569"/>
      <c r="F319" s="568"/>
      <c r="G319" s="574"/>
      <c r="H319" s="570"/>
      <c r="I319" s="171"/>
    </row>
    <row r="320" spans="1:9">
      <c r="A320" s="567"/>
      <c r="B320" s="518"/>
      <c r="C320" s="568"/>
      <c r="D320" s="569"/>
      <c r="E320" s="569"/>
      <c r="F320" s="568"/>
      <c r="G320" s="574"/>
      <c r="H320" s="570"/>
      <c r="I320" s="171"/>
    </row>
    <row r="321" spans="1:9">
      <c r="A321" s="567"/>
      <c r="B321" s="518"/>
      <c r="C321" s="568"/>
      <c r="D321" s="569"/>
      <c r="E321" s="569"/>
      <c r="F321" s="568"/>
      <c r="G321" s="574"/>
      <c r="H321" s="570"/>
      <c r="I321" s="171"/>
    </row>
    <row r="322" spans="1:9">
      <c r="A322" s="567"/>
      <c r="B322" s="518"/>
      <c r="C322" s="568"/>
      <c r="D322" s="569"/>
      <c r="E322" s="569"/>
      <c r="F322" s="568"/>
      <c r="G322" s="574"/>
      <c r="H322" s="570"/>
      <c r="I322" s="171"/>
    </row>
    <row r="323" spans="1:9">
      <c r="A323" s="567"/>
      <c r="B323" s="518"/>
      <c r="C323" s="568"/>
      <c r="D323" s="569"/>
      <c r="E323" s="569"/>
      <c r="F323" s="568"/>
      <c r="G323" s="574"/>
      <c r="H323" s="570"/>
      <c r="I323" s="171"/>
    </row>
    <row r="324" spans="1:9">
      <c r="A324" s="567"/>
      <c r="B324" s="518"/>
      <c r="C324" s="568"/>
      <c r="D324" s="569"/>
      <c r="E324" s="569"/>
      <c r="F324" s="568"/>
      <c r="G324" s="574"/>
      <c r="H324" s="570"/>
      <c r="I324" s="171"/>
    </row>
    <row r="325" spans="1:9">
      <c r="A325" s="567"/>
      <c r="B325" s="518"/>
      <c r="C325" s="568"/>
      <c r="D325" s="569"/>
      <c r="E325" s="569"/>
      <c r="F325" s="568"/>
      <c r="G325" s="574"/>
      <c r="H325" s="570"/>
      <c r="I325" s="171"/>
    </row>
    <row r="326" spans="1:9">
      <c r="A326" s="567"/>
      <c r="B326" s="518"/>
      <c r="C326" s="568"/>
      <c r="D326" s="569"/>
      <c r="E326" s="569"/>
      <c r="F326" s="568"/>
      <c r="G326" s="574"/>
      <c r="H326" s="570"/>
      <c r="I326" s="171"/>
    </row>
    <row r="327" spans="1:9">
      <c r="A327" s="567"/>
      <c r="B327" s="518"/>
      <c r="C327" s="568"/>
      <c r="D327" s="569"/>
      <c r="E327" s="569"/>
      <c r="F327" s="568"/>
      <c r="G327" s="574"/>
      <c r="H327" s="570"/>
      <c r="I327" s="171"/>
    </row>
    <row r="328" spans="1:9">
      <c r="A328" s="567"/>
      <c r="B328" s="518"/>
      <c r="C328" s="568"/>
      <c r="D328" s="569"/>
      <c r="E328" s="569"/>
      <c r="F328" s="568"/>
      <c r="G328" s="574"/>
      <c r="H328" s="570"/>
      <c r="I328" s="171"/>
    </row>
    <row r="329" spans="1:9">
      <c r="A329" s="567"/>
      <c r="B329" s="518"/>
      <c r="C329" s="568"/>
      <c r="D329" s="569"/>
      <c r="E329" s="569"/>
      <c r="F329" s="568"/>
      <c r="G329" s="574"/>
      <c r="H329" s="570"/>
      <c r="I329" s="171"/>
    </row>
    <row r="330" spans="1:9">
      <c r="A330" s="567"/>
      <c r="B330" s="518"/>
      <c r="C330" s="568"/>
      <c r="D330" s="569"/>
      <c r="E330" s="569"/>
      <c r="F330" s="568"/>
      <c r="G330" s="574"/>
      <c r="H330" s="570"/>
      <c r="I330" s="171"/>
    </row>
    <row r="331" spans="1:9">
      <c r="A331" s="567"/>
      <c r="B331" s="518"/>
      <c r="C331" s="568"/>
      <c r="D331" s="569"/>
      <c r="E331" s="569"/>
      <c r="F331" s="568"/>
      <c r="G331" s="574"/>
      <c r="H331" s="570"/>
      <c r="I331" s="171"/>
    </row>
    <row r="332" spans="1:9">
      <c r="A332" s="567"/>
      <c r="B332" s="518"/>
      <c r="C332" s="568"/>
      <c r="D332" s="569"/>
      <c r="E332" s="569"/>
      <c r="F332" s="568"/>
      <c r="G332" s="574"/>
      <c r="H332" s="570"/>
      <c r="I332" s="171"/>
    </row>
    <row r="333" spans="1:9">
      <c r="A333" s="567"/>
      <c r="B333" s="518"/>
      <c r="C333" s="568"/>
      <c r="D333" s="569"/>
      <c r="E333" s="569"/>
      <c r="F333" s="568"/>
      <c r="G333" s="574"/>
      <c r="H333" s="570"/>
      <c r="I333" s="171"/>
    </row>
    <row r="334" spans="1:9">
      <c r="A334" s="567"/>
      <c r="B334" s="518"/>
      <c r="C334" s="568"/>
      <c r="D334" s="569"/>
      <c r="E334" s="569"/>
      <c r="F334" s="568"/>
      <c r="G334" s="574"/>
      <c r="H334" s="570"/>
      <c r="I334" s="171"/>
    </row>
    <row r="335" spans="1:9">
      <c r="A335" s="567"/>
      <c r="B335" s="518"/>
      <c r="C335" s="568"/>
      <c r="D335" s="569"/>
      <c r="E335" s="569"/>
      <c r="F335" s="568"/>
      <c r="G335" s="574"/>
      <c r="H335" s="570"/>
      <c r="I335" s="171"/>
    </row>
    <row r="336" spans="1:9">
      <c r="A336" s="567"/>
      <c r="B336" s="518"/>
      <c r="C336" s="568"/>
      <c r="D336" s="569"/>
      <c r="E336" s="569"/>
      <c r="F336" s="568"/>
      <c r="G336" s="574"/>
      <c r="H336" s="570"/>
      <c r="I336" s="171"/>
    </row>
    <row r="337" spans="1:9">
      <c r="A337" s="567"/>
      <c r="B337" s="518"/>
      <c r="C337" s="568"/>
      <c r="D337" s="569"/>
      <c r="E337" s="569"/>
      <c r="F337" s="568"/>
      <c r="G337" s="574"/>
      <c r="H337" s="570"/>
      <c r="I337" s="171"/>
    </row>
    <row r="338" spans="1:9">
      <c r="A338" s="567"/>
      <c r="B338" s="518"/>
      <c r="C338" s="568"/>
      <c r="D338" s="569"/>
      <c r="E338" s="569"/>
      <c r="F338" s="568"/>
      <c r="G338" s="574"/>
      <c r="H338" s="570"/>
      <c r="I338" s="171"/>
    </row>
    <row r="339" spans="1:9">
      <c r="A339" s="567"/>
      <c r="B339" s="518"/>
      <c r="C339" s="568"/>
      <c r="D339" s="569"/>
      <c r="E339" s="569"/>
      <c r="F339" s="568"/>
      <c r="G339" s="574"/>
      <c r="H339" s="570"/>
      <c r="I339" s="171"/>
    </row>
    <row r="340" spans="1:9">
      <c r="A340" s="567"/>
      <c r="B340" s="518"/>
      <c r="C340" s="568"/>
      <c r="D340" s="569"/>
      <c r="E340" s="569"/>
      <c r="F340" s="568"/>
      <c r="G340" s="574"/>
      <c r="H340" s="570"/>
      <c r="I340" s="171"/>
    </row>
    <row r="341" spans="1:9">
      <c r="A341" s="567"/>
      <c r="B341" s="518"/>
      <c r="C341" s="568"/>
      <c r="D341" s="569"/>
      <c r="E341" s="569"/>
      <c r="F341" s="568"/>
      <c r="G341" s="574"/>
      <c r="H341" s="570"/>
      <c r="I341" s="171"/>
    </row>
    <row r="342" spans="1:9">
      <c r="A342" s="567"/>
      <c r="B342" s="518"/>
      <c r="C342" s="568"/>
      <c r="D342" s="569"/>
      <c r="E342" s="569"/>
      <c r="F342" s="568"/>
      <c r="G342" s="574"/>
      <c r="H342" s="570"/>
      <c r="I342" s="171"/>
    </row>
    <row r="343" spans="1:9">
      <c r="A343" s="567"/>
      <c r="B343" s="518"/>
      <c r="C343" s="568"/>
      <c r="D343" s="569"/>
      <c r="E343" s="569"/>
      <c r="F343" s="568"/>
      <c r="G343" s="574"/>
      <c r="H343" s="570"/>
      <c r="I343" s="171"/>
    </row>
    <row r="344" spans="1:9">
      <c r="A344" s="567"/>
      <c r="B344" s="518"/>
      <c r="C344" s="568"/>
      <c r="D344" s="569"/>
      <c r="E344" s="569"/>
      <c r="F344" s="568"/>
      <c r="G344" s="574"/>
      <c r="H344" s="570"/>
      <c r="I344" s="171"/>
    </row>
    <row r="345" spans="1:9">
      <c r="A345" s="567"/>
      <c r="B345" s="518"/>
      <c r="C345" s="568"/>
      <c r="D345" s="569"/>
      <c r="E345" s="569"/>
      <c r="F345" s="568"/>
      <c r="G345" s="574"/>
      <c r="H345" s="570"/>
      <c r="I345" s="171"/>
    </row>
    <row r="346" spans="1:9">
      <c r="A346" s="567"/>
      <c r="B346" s="518"/>
      <c r="C346" s="568"/>
      <c r="D346" s="569"/>
      <c r="E346" s="569"/>
      <c r="F346" s="568"/>
      <c r="G346" s="574"/>
      <c r="H346" s="570"/>
      <c r="I346" s="171"/>
    </row>
    <row r="347" spans="1:9">
      <c r="A347" s="567"/>
      <c r="B347" s="518"/>
      <c r="C347" s="568"/>
      <c r="D347" s="569"/>
      <c r="E347" s="569"/>
      <c r="F347" s="568"/>
      <c r="G347" s="574"/>
      <c r="H347" s="570"/>
      <c r="I347" s="171"/>
    </row>
    <row r="348" spans="1:9">
      <c r="A348" s="567"/>
      <c r="B348" s="518"/>
      <c r="C348" s="568"/>
      <c r="D348" s="569"/>
      <c r="E348" s="569"/>
      <c r="F348" s="568"/>
      <c r="G348" s="574"/>
      <c r="H348" s="570"/>
      <c r="I348" s="171"/>
    </row>
    <row r="349" spans="1:9">
      <c r="A349" s="567"/>
      <c r="B349" s="518"/>
      <c r="C349" s="568"/>
      <c r="D349" s="569"/>
      <c r="E349" s="569"/>
      <c r="F349" s="568"/>
      <c r="G349" s="574"/>
      <c r="H349" s="570"/>
      <c r="I349" s="171"/>
    </row>
    <row r="350" spans="1:9">
      <c r="A350" s="567"/>
      <c r="B350" s="518"/>
      <c r="C350" s="568"/>
      <c r="D350" s="569"/>
      <c r="E350" s="569"/>
      <c r="F350" s="568"/>
      <c r="G350" s="574"/>
      <c r="H350" s="570"/>
      <c r="I350" s="171"/>
    </row>
    <row r="351" spans="1:9">
      <c r="A351" s="567"/>
      <c r="B351" s="518"/>
      <c r="C351" s="568"/>
      <c r="D351" s="569"/>
      <c r="E351" s="569"/>
      <c r="F351" s="568"/>
      <c r="G351" s="574"/>
      <c r="H351" s="570"/>
      <c r="I351" s="171"/>
    </row>
    <row r="352" spans="1:9">
      <c r="A352" s="567"/>
      <c r="B352" s="518"/>
      <c r="C352" s="568"/>
      <c r="D352" s="569"/>
      <c r="E352" s="569"/>
      <c r="F352" s="568"/>
      <c r="G352" s="574"/>
      <c r="H352" s="570"/>
      <c r="I352" s="171"/>
    </row>
    <row r="353" spans="1:9">
      <c r="A353" s="567"/>
      <c r="B353" s="518"/>
      <c r="C353" s="568"/>
      <c r="D353" s="569"/>
      <c r="E353" s="569"/>
      <c r="F353" s="568"/>
      <c r="G353" s="574"/>
      <c r="H353" s="570"/>
      <c r="I353" s="171"/>
    </row>
    <row r="354" spans="1:9">
      <c r="A354" s="567"/>
      <c r="B354" s="518"/>
      <c r="C354" s="568"/>
      <c r="D354" s="569"/>
      <c r="E354" s="569"/>
      <c r="F354" s="568"/>
      <c r="G354" s="574"/>
      <c r="H354" s="570"/>
      <c r="I354" s="171"/>
    </row>
    <row r="355" spans="1:9">
      <c r="A355" s="567"/>
      <c r="B355" s="518"/>
      <c r="C355" s="568"/>
      <c r="D355" s="569"/>
      <c r="E355" s="569"/>
      <c r="F355" s="568"/>
      <c r="G355" s="574"/>
      <c r="H355" s="570"/>
      <c r="I355" s="171"/>
    </row>
    <row r="356" spans="1:9">
      <c r="A356" s="567"/>
      <c r="B356" s="518"/>
      <c r="C356" s="568"/>
      <c r="D356" s="569"/>
      <c r="E356" s="569"/>
      <c r="F356" s="568"/>
      <c r="G356" s="574"/>
      <c r="H356" s="570"/>
      <c r="I356" s="171"/>
    </row>
    <row r="357" spans="1:9">
      <c r="A357" s="567"/>
      <c r="B357" s="518"/>
      <c r="C357" s="568"/>
      <c r="D357" s="569"/>
      <c r="E357" s="569"/>
      <c r="F357" s="568"/>
      <c r="G357" s="574"/>
      <c r="H357" s="570"/>
      <c r="I357" s="171"/>
    </row>
    <row r="358" spans="1:9">
      <c r="A358" s="567"/>
      <c r="B358" s="518"/>
      <c r="C358" s="568"/>
      <c r="D358" s="569"/>
      <c r="E358" s="569"/>
      <c r="F358" s="568"/>
      <c r="G358" s="574"/>
      <c r="H358" s="570"/>
      <c r="I358" s="171"/>
    </row>
    <row r="359" spans="1:9">
      <c r="A359" s="567"/>
      <c r="B359" s="518"/>
      <c r="C359" s="568"/>
      <c r="D359" s="569"/>
      <c r="E359" s="569"/>
      <c r="F359" s="568"/>
      <c r="G359" s="574"/>
      <c r="H359" s="570"/>
      <c r="I359" s="171"/>
    </row>
    <row r="360" spans="1:9">
      <c r="A360" s="567"/>
      <c r="B360" s="518"/>
      <c r="C360" s="568"/>
      <c r="D360" s="569"/>
      <c r="E360" s="569"/>
      <c r="F360" s="568"/>
      <c r="G360" s="574"/>
      <c r="H360" s="570"/>
      <c r="I360" s="171"/>
    </row>
    <row r="361" spans="1:9">
      <c r="A361" s="567"/>
      <c r="B361" s="518"/>
      <c r="C361" s="568"/>
      <c r="D361" s="569"/>
      <c r="E361" s="569"/>
      <c r="F361" s="568"/>
      <c r="G361" s="574"/>
      <c r="H361" s="570"/>
      <c r="I361" s="171"/>
    </row>
    <row r="362" spans="1:9">
      <c r="A362" s="567"/>
      <c r="B362" s="518"/>
      <c r="C362" s="568"/>
      <c r="D362" s="569"/>
      <c r="E362" s="569"/>
      <c r="F362" s="568"/>
      <c r="G362" s="574"/>
      <c r="H362" s="570"/>
      <c r="I362" s="171"/>
    </row>
    <row r="363" spans="1:9">
      <c r="A363" s="567"/>
      <c r="B363" s="518"/>
      <c r="C363" s="568"/>
      <c r="D363" s="569"/>
      <c r="E363" s="569"/>
      <c r="F363" s="568"/>
      <c r="G363" s="574"/>
      <c r="H363" s="570"/>
      <c r="I363" s="171"/>
    </row>
    <row r="364" spans="1:9">
      <c r="A364" s="567"/>
      <c r="B364" s="518"/>
      <c r="C364" s="568"/>
      <c r="D364" s="569"/>
      <c r="E364" s="569"/>
      <c r="F364" s="568"/>
      <c r="G364" s="574"/>
      <c r="H364" s="570"/>
      <c r="I364" s="171"/>
    </row>
    <row r="365" spans="1:9">
      <c r="A365" s="567"/>
      <c r="B365" s="518"/>
      <c r="C365" s="568"/>
      <c r="D365" s="569"/>
      <c r="E365" s="569"/>
      <c r="F365" s="568"/>
      <c r="G365" s="574"/>
      <c r="H365" s="570"/>
      <c r="I365" s="171"/>
    </row>
    <row r="366" spans="1:9">
      <c r="A366" s="567"/>
      <c r="B366" s="518"/>
      <c r="C366" s="568"/>
      <c r="D366" s="569"/>
      <c r="E366" s="569"/>
      <c r="F366" s="568"/>
      <c r="G366" s="574"/>
      <c r="H366" s="570"/>
      <c r="I366" s="171"/>
    </row>
    <row r="367" spans="1:9">
      <c r="A367" s="567"/>
      <c r="B367" s="518"/>
      <c r="C367" s="568"/>
      <c r="D367" s="569"/>
      <c r="E367" s="569"/>
      <c r="F367" s="568"/>
      <c r="G367" s="574"/>
      <c r="H367" s="570"/>
      <c r="I367" s="171"/>
    </row>
    <row r="368" spans="1:9">
      <c r="A368" s="567"/>
      <c r="B368" s="518"/>
      <c r="C368" s="568"/>
      <c r="D368" s="569"/>
      <c r="E368" s="569"/>
      <c r="F368" s="568"/>
      <c r="G368" s="574"/>
      <c r="H368" s="570"/>
      <c r="I368" s="171"/>
    </row>
    <row r="369" spans="1:9">
      <c r="A369" s="567"/>
      <c r="B369" s="518"/>
      <c r="C369" s="568"/>
      <c r="D369" s="569"/>
      <c r="E369" s="569"/>
      <c r="F369" s="568"/>
      <c r="G369" s="574"/>
      <c r="H369" s="570"/>
      <c r="I369" s="171"/>
    </row>
    <row r="370" spans="1:9">
      <c r="A370" s="567"/>
      <c r="B370" s="518"/>
      <c r="C370" s="568"/>
      <c r="D370" s="569"/>
      <c r="E370" s="569"/>
      <c r="F370" s="568"/>
      <c r="G370" s="574"/>
      <c r="H370" s="570"/>
      <c r="I370" s="171"/>
    </row>
    <row r="371" spans="1:9">
      <c r="A371" s="567"/>
      <c r="B371" s="518"/>
      <c r="C371" s="568"/>
      <c r="D371" s="569"/>
      <c r="E371" s="569"/>
      <c r="F371" s="568"/>
      <c r="G371" s="574"/>
      <c r="H371" s="570"/>
      <c r="I371" s="171"/>
    </row>
    <row r="372" spans="1:9">
      <c r="A372" s="567"/>
      <c r="B372" s="518"/>
      <c r="C372" s="568"/>
      <c r="D372" s="569"/>
      <c r="E372" s="569"/>
      <c r="F372" s="568"/>
      <c r="G372" s="574"/>
      <c r="H372" s="570"/>
      <c r="I372" s="171"/>
    </row>
    <row r="373" spans="1:9">
      <c r="A373" s="567"/>
      <c r="B373" s="518"/>
      <c r="C373" s="568"/>
      <c r="D373" s="569"/>
      <c r="E373" s="569"/>
      <c r="F373" s="568"/>
      <c r="G373" s="574"/>
      <c r="H373" s="570"/>
      <c r="I373" s="171"/>
    </row>
    <row r="374" spans="1:9">
      <c r="A374" s="567"/>
      <c r="B374" s="518"/>
      <c r="C374" s="568"/>
      <c r="D374" s="569"/>
      <c r="E374" s="569"/>
      <c r="F374" s="568"/>
      <c r="G374" s="574"/>
      <c r="H374" s="570"/>
      <c r="I374" s="171"/>
    </row>
    <row r="375" spans="1:9">
      <c r="A375" s="567"/>
      <c r="B375" s="518"/>
      <c r="C375" s="568"/>
      <c r="D375" s="569"/>
      <c r="E375" s="569"/>
      <c r="F375" s="568"/>
      <c r="G375" s="574"/>
      <c r="H375" s="570"/>
      <c r="I375" s="171"/>
    </row>
    <row r="376" spans="1:9">
      <c r="A376" s="567"/>
      <c r="B376" s="518"/>
      <c r="C376" s="568"/>
      <c r="D376" s="569"/>
      <c r="E376" s="569"/>
      <c r="F376" s="568"/>
      <c r="G376" s="574"/>
      <c r="H376" s="570"/>
      <c r="I376" s="171"/>
    </row>
    <row r="377" spans="1:9">
      <c r="A377" s="567"/>
      <c r="B377" s="518"/>
      <c r="C377" s="568"/>
      <c r="D377" s="569"/>
      <c r="E377" s="569"/>
      <c r="F377" s="568"/>
      <c r="G377" s="574"/>
      <c r="H377" s="570"/>
      <c r="I377" s="171"/>
    </row>
    <row r="378" spans="1:9">
      <c r="A378" s="567"/>
      <c r="B378" s="518"/>
      <c r="C378" s="568"/>
      <c r="D378" s="569"/>
      <c r="E378" s="569"/>
      <c r="F378" s="568"/>
      <c r="G378" s="574"/>
      <c r="H378" s="570"/>
      <c r="I378" s="171"/>
    </row>
    <row r="379" spans="1:9">
      <c r="A379" s="567"/>
      <c r="B379" s="518"/>
      <c r="C379" s="568"/>
      <c r="D379" s="569"/>
      <c r="E379" s="569"/>
      <c r="F379" s="568"/>
      <c r="G379" s="574"/>
      <c r="H379" s="570"/>
      <c r="I379" s="171"/>
    </row>
    <row r="380" spans="1:9">
      <c r="A380" s="567"/>
      <c r="B380" s="518"/>
      <c r="C380" s="568"/>
      <c r="D380" s="569"/>
      <c r="E380" s="569"/>
      <c r="F380" s="568"/>
      <c r="G380" s="574"/>
      <c r="H380" s="570"/>
      <c r="I380" s="171"/>
    </row>
    <row r="381" spans="1:9">
      <c r="A381" s="567"/>
      <c r="B381" s="518"/>
      <c r="C381" s="568"/>
      <c r="D381" s="569"/>
      <c r="E381" s="569"/>
      <c r="F381" s="568"/>
      <c r="G381" s="574"/>
      <c r="H381" s="570"/>
      <c r="I381" s="171"/>
    </row>
    <row r="382" spans="1:9">
      <c r="A382" s="567"/>
      <c r="B382" s="518"/>
      <c r="C382" s="568"/>
      <c r="D382" s="569"/>
      <c r="E382" s="569"/>
      <c r="F382" s="568"/>
      <c r="G382" s="574"/>
      <c r="H382" s="570"/>
      <c r="I382" s="171"/>
    </row>
    <row r="383" spans="1:9">
      <c r="A383" s="567"/>
      <c r="B383" s="518"/>
      <c r="C383" s="568"/>
      <c r="D383" s="569"/>
      <c r="E383" s="569"/>
      <c r="F383" s="568"/>
      <c r="G383" s="574"/>
      <c r="H383" s="570"/>
      <c r="I383" s="171"/>
    </row>
    <row r="384" spans="1:9">
      <c r="A384" s="567"/>
      <c r="B384" s="518"/>
      <c r="C384" s="568"/>
      <c r="D384" s="569"/>
      <c r="E384" s="569"/>
      <c r="F384" s="568"/>
      <c r="G384" s="574"/>
      <c r="H384" s="570"/>
      <c r="I384" s="171"/>
    </row>
    <row r="385" spans="1:9">
      <c r="A385" s="567"/>
      <c r="B385" s="518"/>
      <c r="C385" s="568"/>
      <c r="D385" s="569"/>
      <c r="E385" s="569"/>
      <c r="F385" s="568"/>
      <c r="G385" s="574"/>
      <c r="H385" s="570"/>
      <c r="I385" s="171"/>
    </row>
    <row r="386" spans="1:9">
      <c r="A386" s="567"/>
      <c r="B386" s="518"/>
      <c r="C386" s="568"/>
      <c r="D386" s="569"/>
      <c r="E386" s="569"/>
      <c r="F386" s="568"/>
      <c r="G386" s="574"/>
      <c r="H386" s="570"/>
      <c r="I386" s="171"/>
    </row>
    <row r="387" spans="1:9">
      <c r="A387" s="567"/>
      <c r="B387" s="518"/>
      <c r="C387" s="568"/>
      <c r="D387" s="569"/>
      <c r="E387" s="569"/>
      <c r="F387" s="568"/>
      <c r="G387" s="574"/>
      <c r="H387" s="570"/>
      <c r="I387" s="171"/>
    </row>
    <row r="388" spans="1:9">
      <c r="A388" s="567"/>
      <c r="B388" s="518"/>
      <c r="C388" s="568"/>
      <c r="D388" s="569"/>
      <c r="E388" s="569"/>
      <c r="F388" s="568"/>
      <c r="G388" s="574"/>
      <c r="H388" s="570"/>
      <c r="I388" s="171"/>
    </row>
    <row r="389" spans="1:9">
      <c r="A389" s="567"/>
      <c r="B389" s="518"/>
      <c r="C389" s="568"/>
      <c r="D389" s="569"/>
      <c r="E389" s="569"/>
      <c r="F389" s="568"/>
      <c r="G389" s="574"/>
      <c r="H389" s="570"/>
      <c r="I389" s="171"/>
    </row>
    <row r="390" spans="1:9">
      <c r="A390" s="567"/>
      <c r="B390" s="518"/>
      <c r="C390" s="568"/>
      <c r="D390" s="569"/>
      <c r="E390" s="569"/>
      <c r="F390" s="568"/>
      <c r="G390" s="574"/>
      <c r="H390" s="570"/>
      <c r="I390" s="171"/>
    </row>
    <row r="391" spans="1:9">
      <c r="A391" s="567"/>
      <c r="B391" s="518"/>
      <c r="C391" s="568"/>
      <c r="D391" s="569"/>
      <c r="E391" s="569"/>
      <c r="F391" s="568"/>
      <c r="G391" s="574"/>
      <c r="H391" s="570"/>
      <c r="I391" s="171"/>
    </row>
    <row r="392" spans="1:9">
      <c r="A392" s="567"/>
      <c r="B392" s="518"/>
      <c r="C392" s="568"/>
      <c r="D392" s="569"/>
      <c r="E392" s="569"/>
      <c r="F392" s="568"/>
      <c r="G392" s="574"/>
      <c r="H392" s="570"/>
      <c r="I392" s="171"/>
    </row>
    <row r="393" spans="1:9">
      <c r="A393" s="567"/>
      <c r="B393" s="518"/>
      <c r="C393" s="568"/>
      <c r="D393" s="569"/>
      <c r="E393" s="569"/>
      <c r="F393" s="568"/>
      <c r="G393" s="574"/>
      <c r="H393" s="570"/>
      <c r="I393" s="171"/>
    </row>
    <row r="394" spans="1:9">
      <c r="A394" s="567"/>
      <c r="B394" s="518"/>
      <c r="C394" s="568"/>
      <c r="D394" s="569"/>
      <c r="E394" s="569"/>
      <c r="F394" s="568"/>
      <c r="G394" s="574"/>
      <c r="H394" s="570"/>
      <c r="I394" s="171"/>
    </row>
    <row r="395" spans="1:9">
      <c r="A395" s="567"/>
      <c r="B395" s="518"/>
      <c r="C395" s="568"/>
      <c r="D395" s="569"/>
      <c r="E395" s="569"/>
      <c r="F395" s="568"/>
      <c r="G395" s="574"/>
      <c r="H395" s="570"/>
      <c r="I395" s="171"/>
    </row>
    <row r="396" spans="1:9">
      <c r="A396" s="567"/>
      <c r="B396" s="518"/>
      <c r="C396" s="568"/>
      <c r="D396" s="569"/>
      <c r="E396" s="569"/>
      <c r="F396" s="568"/>
      <c r="G396" s="574"/>
      <c r="H396" s="570"/>
      <c r="I396" s="171"/>
    </row>
    <row r="397" spans="1:9">
      <c r="A397" s="567"/>
      <c r="B397" s="518"/>
      <c r="C397" s="568"/>
      <c r="D397" s="569"/>
      <c r="E397" s="569"/>
      <c r="F397" s="568"/>
      <c r="G397" s="574"/>
      <c r="H397" s="570"/>
      <c r="I397" s="171"/>
    </row>
    <row r="398" spans="1:9">
      <c r="A398" s="567"/>
      <c r="B398" s="518"/>
      <c r="C398" s="568"/>
      <c r="D398" s="569"/>
      <c r="E398" s="569"/>
      <c r="F398" s="568"/>
      <c r="G398" s="574"/>
      <c r="H398" s="570"/>
      <c r="I398" s="171"/>
    </row>
    <row r="399" spans="1:9">
      <c r="A399" s="567"/>
      <c r="B399" s="518"/>
      <c r="C399" s="568"/>
      <c r="D399" s="569"/>
      <c r="E399" s="569"/>
      <c r="F399" s="568"/>
      <c r="G399" s="574"/>
      <c r="H399" s="570"/>
      <c r="I399" s="171"/>
    </row>
    <row r="400" spans="1:9">
      <c r="A400" s="567"/>
      <c r="B400" s="518"/>
      <c r="C400" s="568"/>
      <c r="D400" s="569"/>
      <c r="E400" s="569"/>
      <c r="F400" s="568"/>
      <c r="G400" s="574"/>
      <c r="H400" s="570"/>
      <c r="I400" s="171"/>
    </row>
    <row r="401" spans="1:9">
      <c r="A401" s="567"/>
      <c r="B401" s="518"/>
      <c r="C401" s="568"/>
      <c r="D401" s="569"/>
      <c r="E401" s="569"/>
      <c r="F401" s="568"/>
      <c r="G401" s="574"/>
      <c r="H401" s="570"/>
      <c r="I401" s="171"/>
    </row>
    <row r="402" spans="1:9">
      <c r="A402" s="567"/>
      <c r="B402" s="518"/>
      <c r="C402" s="568"/>
      <c r="D402" s="569"/>
      <c r="E402" s="569"/>
      <c r="F402" s="568"/>
      <c r="G402" s="574"/>
      <c r="H402" s="570"/>
      <c r="I402" s="171"/>
    </row>
    <row r="403" spans="1:9">
      <c r="A403" s="567"/>
      <c r="B403" s="518"/>
      <c r="C403" s="568"/>
      <c r="D403" s="569"/>
      <c r="E403" s="569"/>
      <c r="F403" s="568"/>
      <c r="G403" s="574"/>
      <c r="H403" s="570"/>
      <c r="I403" s="171"/>
    </row>
    <row r="404" spans="1:9">
      <c r="A404" s="567"/>
      <c r="B404" s="518"/>
      <c r="C404" s="568"/>
      <c r="D404" s="569"/>
      <c r="E404" s="569"/>
      <c r="F404" s="568"/>
      <c r="G404" s="574"/>
      <c r="H404" s="570"/>
      <c r="I404" s="171"/>
    </row>
    <row r="405" spans="1:9">
      <c r="A405" s="567"/>
      <c r="B405" s="518"/>
      <c r="C405" s="568"/>
      <c r="D405" s="569"/>
      <c r="E405" s="569"/>
      <c r="F405" s="568"/>
      <c r="G405" s="574"/>
      <c r="H405" s="570"/>
      <c r="I405" s="171"/>
    </row>
    <row r="406" spans="1:9">
      <c r="A406" s="567"/>
      <c r="B406" s="518"/>
      <c r="C406" s="568"/>
      <c r="D406" s="569"/>
      <c r="E406" s="569"/>
      <c r="F406" s="568"/>
      <c r="G406" s="574"/>
      <c r="H406" s="570"/>
      <c r="I406" s="171"/>
    </row>
    <row r="407" spans="1:9">
      <c r="A407" s="567"/>
      <c r="B407" s="518"/>
      <c r="C407" s="568"/>
      <c r="D407" s="569"/>
      <c r="E407" s="569"/>
      <c r="F407" s="568"/>
      <c r="G407" s="574"/>
      <c r="H407" s="570"/>
      <c r="I407" s="171"/>
    </row>
    <row r="408" spans="1:9">
      <c r="A408" s="567"/>
      <c r="B408" s="518"/>
      <c r="C408" s="568"/>
      <c r="D408" s="569"/>
      <c r="E408" s="569"/>
      <c r="F408" s="568"/>
      <c r="G408" s="574"/>
      <c r="H408" s="570"/>
      <c r="I408" s="171"/>
    </row>
    <row r="409" spans="1:9">
      <c r="A409" s="567"/>
      <c r="B409" s="518"/>
      <c r="C409" s="568"/>
      <c r="D409" s="569"/>
      <c r="E409" s="569"/>
      <c r="F409" s="568"/>
      <c r="G409" s="574"/>
      <c r="H409" s="570"/>
      <c r="I409" s="171"/>
    </row>
    <row r="410" spans="1:9">
      <c r="A410" s="567"/>
      <c r="B410" s="518"/>
      <c r="C410" s="568"/>
      <c r="D410" s="569"/>
      <c r="E410" s="569"/>
      <c r="F410" s="568"/>
      <c r="G410" s="574"/>
      <c r="H410" s="570"/>
      <c r="I410" s="171"/>
    </row>
    <row r="411" spans="1:9">
      <c r="A411" s="567"/>
      <c r="B411" s="518"/>
      <c r="C411" s="568"/>
      <c r="D411" s="569"/>
      <c r="E411" s="569"/>
      <c r="F411" s="568"/>
      <c r="G411" s="574"/>
      <c r="H411" s="570"/>
      <c r="I411" s="171"/>
    </row>
    <row r="412" spans="1:9">
      <c r="A412" s="567"/>
      <c r="B412" s="518"/>
      <c r="C412" s="568"/>
      <c r="D412" s="569"/>
      <c r="E412" s="569"/>
      <c r="F412" s="568"/>
      <c r="G412" s="574"/>
      <c r="H412" s="570"/>
      <c r="I412" s="171"/>
    </row>
    <row r="413" spans="1:9">
      <c r="A413" s="567"/>
      <c r="B413" s="518"/>
      <c r="C413" s="568"/>
      <c r="D413" s="569"/>
      <c r="E413" s="569"/>
      <c r="F413" s="568"/>
      <c r="G413" s="574"/>
      <c r="H413" s="570"/>
      <c r="I413" s="171"/>
    </row>
    <row r="414" spans="1:9">
      <c r="A414" s="567"/>
      <c r="B414" s="518"/>
      <c r="C414" s="568"/>
      <c r="D414" s="569"/>
      <c r="E414" s="569"/>
      <c r="F414" s="568"/>
      <c r="G414" s="574"/>
      <c r="H414" s="570"/>
      <c r="I414" s="171"/>
    </row>
    <row r="415" spans="1:9">
      <c r="A415" s="567"/>
      <c r="B415" s="518"/>
      <c r="C415" s="568"/>
      <c r="D415" s="569"/>
      <c r="E415" s="569"/>
      <c r="F415" s="568"/>
      <c r="G415" s="574"/>
      <c r="H415" s="570"/>
      <c r="I415" s="171"/>
    </row>
    <row r="416" spans="1:9">
      <c r="A416" s="567"/>
      <c r="B416" s="518"/>
      <c r="C416" s="568"/>
      <c r="D416" s="569"/>
      <c r="E416" s="569"/>
      <c r="F416" s="568"/>
      <c r="G416" s="574"/>
      <c r="H416" s="570"/>
      <c r="I416" s="171"/>
    </row>
    <row r="417" spans="1:9">
      <c r="A417" s="567"/>
      <c r="B417" s="518"/>
      <c r="C417" s="568"/>
      <c r="D417" s="569"/>
      <c r="E417" s="569"/>
      <c r="F417" s="568"/>
      <c r="G417" s="574"/>
      <c r="H417" s="570"/>
      <c r="I417" s="171"/>
    </row>
    <row r="418" spans="1:9">
      <c r="A418" s="567"/>
      <c r="B418" s="518"/>
      <c r="C418" s="568"/>
      <c r="D418" s="569"/>
      <c r="E418" s="569"/>
      <c r="F418" s="568"/>
      <c r="G418" s="574"/>
      <c r="H418" s="570"/>
      <c r="I418" s="171"/>
    </row>
    <row r="419" spans="1:9">
      <c r="A419" s="567"/>
      <c r="B419" s="518"/>
      <c r="C419" s="568"/>
      <c r="D419" s="569"/>
      <c r="E419" s="569"/>
      <c r="F419" s="568"/>
      <c r="G419" s="574"/>
      <c r="H419" s="570"/>
      <c r="I419" s="171"/>
    </row>
    <row r="420" spans="1:9">
      <c r="A420" s="567"/>
      <c r="B420" s="518"/>
      <c r="C420" s="568"/>
      <c r="D420" s="569"/>
      <c r="E420" s="569"/>
      <c r="F420" s="568"/>
      <c r="G420" s="574"/>
      <c r="H420" s="570"/>
      <c r="I420" s="171"/>
    </row>
    <row r="421" spans="1:9">
      <c r="A421" s="567"/>
      <c r="B421" s="518"/>
      <c r="C421" s="568"/>
      <c r="D421" s="569"/>
      <c r="E421" s="569"/>
      <c r="F421" s="568"/>
      <c r="G421" s="574"/>
      <c r="H421" s="570"/>
      <c r="I421" s="171"/>
    </row>
    <row r="422" spans="1:9">
      <c r="A422" s="567"/>
      <c r="B422" s="518"/>
      <c r="C422" s="568"/>
      <c r="D422" s="569"/>
      <c r="E422" s="569"/>
      <c r="F422" s="568"/>
      <c r="G422" s="574"/>
      <c r="H422" s="570"/>
      <c r="I422" s="171"/>
    </row>
    <row r="423" spans="1:9">
      <c r="A423" s="567"/>
      <c r="B423" s="518"/>
      <c r="C423" s="568"/>
      <c r="D423" s="569"/>
      <c r="E423" s="569"/>
      <c r="F423" s="568"/>
      <c r="G423" s="574"/>
      <c r="H423" s="570"/>
      <c r="I423" s="171"/>
    </row>
    <row r="424" spans="1:9">
      <c r="A424" s="567"/>
      <c r="B424" s="518"/>
      <c r="C424" s="568"/>
      <c r="D424" s="569"/>
      <c r="E424" s="569"/>
      <c r="F424" s="568"/>
      <c r="G424" s="574"/>
      <c r="H424" s="570"/>
      <c r="I424" s="171"/>
    </row>
    <row r="425" spans="1:9">
      <c r="A425" s="567"/>
      <c r="B425" s="518"/>
      <c r="C425" s="568"/>
      <c r="D425" s="569"/>
      <c r="E425" s="569"/>
      <c r="F425" s="568"/>
      <c r="G425" s="574"/>
      <c r="H425" s="570"/>
      <c r="I425" s="171"/>
    </row>
    <row r="426" spans="1:9">
      <c r="A426" s="567"/>
      <c r="B426" s="518"/>
      <c r="C426" s="568"/>
      <c r="D426" s="569"/>
      <c r="E426" s="569"/>
      <c r="F426" s="568"/>
      <c r="G426" s="574"/>
      <c r="H426" s="570"/>
      <c r="I426" s="171"/>
    </row>
    <row r="427" spans="1:9">
      <c r="A427" s="567"/>
      <c r="B427" s="518"/>
      <c r="C427" s="568"/>
      <c r="D427" s="569"/>
      <c r="E427" s="569"/>
      <c r="F427" s="568"/>
      <c r="G427" s="574"/>
      <c r="H427" s="570"/>
      <c r="I427" s="171"/>
    </row>
    <row r="428" spans="1:9">
      <c r="A428" s="567"/>
      <c r="B428" s="518"/>
      <c r="C428" s="568"/>
      <c r="D428" s="569"/>
      <c r="E428" s="569"/>
      <c r="F428" s="568"/>
      <c r="G428" s="574"/>
      <c r="H428" s="570"/>
      <c r="I428" s="171"/>
    </row>
    <row r="429" spans="1:9">
      <c r="A429" s="567"/>
      <c r="B429" s="518"/>
      <c r="C429" s="568"/>
      <c r="D429" s="569"/>
      <c r="E429" s="569"/>
      <c r="F429" s="568"/>
      <c r="G429" s="574"/>
      <c r="H429" s="570"/>
      <c r="I429" s="171"/>
    </row>
    <row r="430" spans="1:9">
      <c r="A430" s="567"/>
      <c r="B430" s="518"/>
      <c r="C430" s="568"/>
      <c r="D430" s="569"/>
      <c r="E430" s="569"/>
      <c r="F430" s="568"/>
      <c r="G430" s="574"/>
      <c r="H430" s="570"/>
      <c r="I430" s="171"/>
    </row>
    <row r="431" spans="1:9">
      <c r="A431" s="567"/>
      <c r="B431" s="518"/>
      <c r="C431" s="568"/>
      <c r="D431" s="569"/>
      <c r="E431" s="569"/>
      <c r="F431" s="568"/>
      <c r="G431" s="574"/>
      <c r="H431" s="570"/>
      <c r="I431" s="171"/>
    </row>
    <row r="432" spans="1:9">
      <c r="A432" s="567"/>
      <c r="B432" s="518"/>
      <c r="C432" s="568"/>
      <c r="D432" s="569"/>
      <c r="E432" s="569"/>
      <c r="F432" s="568"/>
      <c r="G432" s="574"/>
      <c r="H432" s="570"/>
      <c r="I432" s="171"/>
    </row>
    <row r="433" spans="1:9">
      <c r="A433" s="567"/>
      <c r="B433" s="518"/>
      <c r="C433" s="568"/>
      <c r="D433" s="569"/>
      <c r="E433" s="569"/>
      <c r="F433" s="568"/>
      <c r="G433" s="574"/>
      <c r="H433" s="570"/>
      <c r="I433" s="171"/>
    </row>
    <row r="434" spans="1:9">
      <c r="A434" s="567"/>
      <c r="B434" s="518"/>
      <c r="C434" s="568"/>
      <c r="D434" s="569"/>
      <c r="E434" s="569"/>
      <c r="F434" s="568"/>
      <c r="G434" s="574"/>
      <c r="H434" s="570"/>
      <c r="I434" s="171"/>
    </row>
    <row r="435" spans="1:9">
      <c r="A435" s="567"/>
      <c r="B435" s="518"/>
      <c r="C435" s="568"/>
      <c r="D435" s="569"/>
      <c r="E435" s="569"/>
      <c r="F435" s="568"/>
      <c r="G435" s="574"/>
      <c r="H435" s="570"/>
      <c r="I435" s="171"/>
    </row>
    <row r="436" spans="1:9">
      <c r="A436" s="567"/>
      <c r="B436" s="518"/>
      <c r="C436" s="568"/>
      <c r="D436" s="569"/>
      <c r="E436" s="569"/>
      <c r="F436" s="568"/>
      <c r="G436" s="574"/>
      <c r="H436" s="570"/>
      <c r="I436" s="171"/>
    </row>
    <row r="437" spans="1:9">
      <c r="A437" s="567"/>
      <c r="B437" s="518"/>
      <c r="C437" s="568"/>
      <c r="D437" s="569"/>
      <c r="E437" s="569"/>
      <c r="F437" s="568"/>
      <c r="G437" s="574"/>
      <c r="H437" s="570"/>
      <c r="I437" s="171"/>
    </row>
    <row r="438" spans="1:9">
      <c r="A438" s="567"/>
      <c r="B438" s="518"/>
      <c r="C438" s="568"/>
      <c r="D438" s="569"/>
      <c r="E438" s="569"/>
      <c r="F438" s="568"/>
      <c r="G438" s="574"/>
      <c r="H438" s="570"/>
      <c r="I438" s="171"/>
    </row>
    <row r="439" spans="1:9">
      <c r="A439" s="567"/>
      <c r="B439" s="518"/>
      <c r="C439" s="568"/>
      <c r="D439" s="569"/>
      <c r="E439" s="569"/>
      <c r="F439" s="568"/>
      <c r="G439" s="574"/>
      <c r="H439" s="570"/>
      <c r="I439" s="171"/>
    </row>
    <row r="440" spans="1:9">
      <c r="A440" s="567"/>
      <c r="B440" s="518"/>
      <c r="C440" s="568"/>
      <c r="D440" s="569"/>
      <c r="E440" s="569"/>
      <c r="F440" s="568"/>
      <c r="G440" s="574"/>
      <c r="H440" s="570"/>
      <c r="I440" s="171"/>
    </row>
    <row r="441" spans="1:9">
      <c r="A441" s="567"/>
      <c r="B441" s="518"/>
      <c r="C441" s="568"/>
      <c r="D441" s="569"/>
      <c r="E441" s="569"/>
      <c r="F441" s="568"/>
      <c r="G441" s="574"/>
      <c r="H441" s="570"/>
      <c r="I441" s="171"/>
    </row>
    <row r="442" spans="1:9">
      <c r="A442" s="567"/>
      <c r="B442" s="518"/>
      <c r="C442" s="568"/>
      <c r="D442" s="569"/>
      <c r="E442" s="569"/>
      <c r="F442" s="568"/>
      <c r="G442" s="574"/>
      <c r="H442" s="570"/>
      <c r="I442" s="171"/>
    </row>
    <row r="443" spans="1:9">
      <c r="A443" s="567"/>
      <c r="B443" s="518"/>
      <c r="C443" s="568"/>
      <c r="D443" s="569"/>
      <c r="E443" s="569"/>
      <c r="F443" s="568"/>
      <c r="G443" s="574"/>
      <c r="H443" s="570"/>
      <c r="I443" s="171"/>
    </row>
    <row r="444" spans="1:9">
      <c r="A444" s="567"/>
      <c r="B444" s="518"/>
      <c r="C444" s="568"/>
      <c r="D444" s="569"/>
      <c r="E444" s="569"/>
      <c r="F444" s="568"/>
      <c r="G444" s="574"/>
      <c r="H444" s="570"/>
      <c r="I444" s="171"/>
    </row>
    <row r="445" spans="1:9">
      <c r="A445" s="567"/>
      <c r="B445" s="518"/>
      <c r="C445" s="568"/>
      <c r="D445" s="569"/>
      <c r="E445" s="569"/>
      <c r="F445" s="568"/>
      <c r="G445" s="574"/>
      <c r="H445" s="570"/>
      <c r="I445" s="171"/>
    </row>
    <row r="446" spans="1:9">
      <c r="A446" s="567"/>
      <c r="B446" s="518"/>
      <c r="C446" s="568"/>
      <c r="D446" s="569"/>
      <c r="E446" s="569"/>
      <c r="F446" s="568"/>
      <c r="G446" s="574"/>
      <c r="H446" s="570"/>
      <c r="I446" s="171"/>
    </row>
    <row r="447" spans="1:9">
      <c r="A447" s="567"/>
      <c r="B447" s="518"/>
      <c r="C447" s="568"/>
      <c r="D447" s="569"/>
      <c r="E447" s="569"/>
      <c r="F447" s="568"/>
      <c r="G447" s="574"/>
      <c r="H447" s="570"/>
      <c r="I447" s="171"/>
    </row>
    <row r="448" spans="1:9">
      <c r="A448" s="567"/>
      <c r="B448" s="518"/>
      <c r="C448" s="568"/>
      <c r="D448" s="569"/>
      <c r="E448" s="569"/>
      <c r="F448" s="568"/>
      <c r="G448" s="574"/>
      <c r="H448" s="570"/>
      <c r="I448" s="171"/>
    </row>
    <row r="449" spans="1:9">
      <c r="A449" s="567"/>
      <c r="B449" s="518"/>
      <c r="C449" s="568"/>
      <c r="D449" s="569"/>
      <c r="E449" s="569"/>
      <c r="F449" s="568"/>
      <c r="G449" s="574"/>
      <c r="H449" s="570"/>
      <c r="I449" s="171"/>
    </row>
    <row r="450" spans="1:9">
      <c r="A450" s="567"/>
      <c r="B450" s="518"/>
      <c r="C450" s="568"/>
      <c r="D450" s="569"/>
      <c r="E450" s="569"/>
      <c r="F450" s="568"/>
      <c r="G450" s="574"/>
      <c r="H450" s="570"/>
      <c r="I450" s="171"/>
    </row>
    <row r="451" spans="1:9">
      <c r="A451" s="567"/>
      <c r="B451" s="518"/>
      <c r="C451" s="568"/>
      <c r="D451" s="569"/>
      <c r="E451" s="569"/>
      <c r="F451" s="568"/>
      <c r="G451" s="574"/>
      <c r="H451" s="570"/>
      <c r="I451" s="171"/>
    </row>
    <row r="452" spans="1:9">
      <c r="A452" s="567"/>
      <c r="B452" s="518"/>
      <c r="C452" s="568"/>
      <c r="D452" s="569"/>
      <c r="E452" s="569"/>
      <c r="F452" s="568"/>
      <c r="G452" s="574"/>
      <c r="H452" s="570"/>
      <c r="I452" s="171"/>
    </row>
    <row r="453" spans="1:9">
      <c r="A453" s="567"/>
      <c r="B453" s="518"/>
      <c r="C453" s="568"/>
      <c r="D453" s="569"/>
      <c r="E453" s="569"/>
      <c r="F453" s="568"/>
      <c r="G453" s="574"/>
      <c r="H453" s="570"/>
      <c r="I453" s="171"/>
    </row>
    <row r="454" spans="1:9">
      <c r="A454" s="567"/>
      <c r="B454" s="518"/>
      <c r="C454" s="568"/>
      <c r="D454" s="569"/>
      <c r="E454" s="569"/>
      <c r="F454" s="568"/>
      <c r="G454" s="574"/>
      <c r="H454" s="570"/>
      <c r="I454" s="171"/>
    </row>
    <row r="455" spans="1:9">
      <c r="A455" s="567"/>
      <c r="B455" s="518"/>
      <c r="C455" s="568"/>
      <c r="D455" s="569"/>
      <c r="E455" s="569"/>
      <c r="F455" s="568"/>
      <c r="G455" s="574"/>
      <c r="H455" s="570"/>
      <c r="I455" s="171"/>
    </row>
    <row r="456" spans="1:9">
      <c r="A456" s="567"/>
      <c r="B456" s="518"/>
      <c r="C456" s="568"/>
      <c r="D456" s="569"/>
      <c r="E456" s="569"/>
      <c r="F456" s="568"/>
      <c r="G456" s="574"/>
      <c r="H456" s="570"/>
      <c r="I456" s="171"/>
    </row>
    <row r="457" spans="1:9">
      <c r="A457" s="567"/>
      <c r="B457" s="518"/>
      <c r="C457" s="568"/>
      <c r="D457" s="569"/>
      <c r="E457" s="569"/>
      <c r="F457" s="568"/>
      <c r="G457" s="574"/>
      <c r="H457" s="570"/>
      <c r="I457" s="171"/>
    </row>
    <row r="458" spans="1:9">
      <c r="A458" s="567"/>
      <c r="B458" s="518"/>
      <c r="C458" s="568"/>
      <c r="D458" s="569"/>
      <c r="E458" s="569"/>
      <c r="F458" s="568"/>
      <c r="G458" s="574"/>
      <c r="H458" s="570"/>
      <c r="I458" s="171"/>
    </row>
    <row r="459" spans="1:9">
      <c r="A459" s="567"/>
      <c r="B459" s="518"/>
      <c r="C459" s="568"/>
      <c r="D459" s="569"/>
      <c r="E459" s="569"/>
      <c r="F459" s="568"/>
      <c r="G459" s="574"/>
      <c r="H459" s="570"/>
      <c r="I459" s="171"/>
    </row>
    <row r="460" spans="1:9">
      <c r="A460" s="567"/>
      <c r="B460" s="518"/>
      <c r="C460" s="568"/>
      <c r="D460" s="569"/>
      <c r="E460" s="569"/>
      <c r="F460" s="568"/>
      <c r="G460" s="574"/>
      <c r="H460" s="570"/>
      <c r="I460" s="171"/>
    </row>
    <row r="461" spans="1:9">
      <c r="A461" s="567"/>
      <c r="B461" s="518"/>
      <c r="C461" s="568"/>
      <c r="D461" s="569"/>
      <c r="E461" s="569"/>
      <c r="F461" s="568"/>
      <c r="G461" s="574"/>
      <c r="H461" s="570"/>
      <c r="I461" s="171"/>
    </row>
    <row r="462" spans="1:9">
      <c r="A462" s="567"/>
      <c r="B462" s="518"/>
      <c r="C462" s="568"/>
      <c r="D462" s="569"/>
      <c r="E462" s="569"/>
      <c r="F462" s="568"/>
      <c r="G462" s="574"/>
      <c r="H462" s="570"/>
      <c r="I462" s="171"/>
    </row>
    <row r="463" spans="1:9">
      <c r="A463" s="567"/>
      <c r="B463" s="518"/>
      <c r="C463" s="568"/>
      <c r="D463" s="569"/>
      <c r="E463" s="569"/>
      <c r="F463" s="568"/>
      <c r="G463" s="574"/>
      <c r="H463" s="570"/>
      <c r="I463" s="171"/>
    </row>
    <row r="464" spans="1:9">
      <c r="A464" s="567"/>
      <c r="B464" s="518"/>
      <c r="C464" s="568"/>
      <c r="D464" s="569"/>
      <c r="E464" s="569"/>
      <c r="F464" s="568"/>
      <c r="G464" s="574"/>
      <c r="H464" s="570"/>
      <c r="I464" s="171"/>
    </row>
    <row r="465" spans="1:9">
      <c r="A465" s="567"/>
      <c r="B465" s="518"/>
      <c r="C465" s="568"/>
      <c r="D465" s="569"/>
      <c r="E465" s="569"/>
      <c r="F465" s="568"/>
      <c r="G465" s="574"/>
      <c r="H465" s="570"/>
      <c r="I465" s="171"/>
    </row>
    <row r="466" spans="1:9">
      <c r="A466" s="567"/>
      <c r="B466" s="518"/>
      <c r="C466" s="568"/>
      <c r="D466" s="569"/>
      <c r="E466" s="569"/>
      <c r="F466" s="568"/>
      <c r="G466" s="574"/>
      <c r="H466" s="570"/>
      <c r="I466" s="171"/>
    </row>
    <row r="467" spans="1:9">
      <c r="A467" s="567"/>
      <c r="B467" s="518"/>
      <c r="C467" s="568"/>
      <c r="D467" s="569"/>
      <c r="E467" s="569"/>
      <c r="F467" s="568"/>
      <c r="G467" s="574"/>
      <c r="H467" s="570"/>
      <c r="I467" s="171"/>
    </row>
    <row r="468" spans="1:9">
      <c r="A468" s="567"/>
      <c r="B468" s="518"/>
      <c r="C468" s="568"/>
      <c r="D468" s="569"/>
      <c r="E468" s="569"/>
      <c r="F468" s="568"/>
      <c r="G468" s="574"/>
      <c r="H468" s="570"/>
      <c r="I468" s="171"/>
    </row>
    <row r="469" spans="1:9">
      <c r="A469" s="567"/>
      <c r="B469" s="518"/>
      <c r="C469" s="568"/>
      <c r="D469" s="569"/>
      <c r="E469" s="569"/>
      <c r="F469" s="568"/>
      <c r="G469" s="574"/>
      <c r="H469" s="570"/>
      <c r="I469" s="171"/>
    </row>
    <row r="470" spans="1:9">
      <c r="A470" s="567"/>
      <c r="B470" s="518"/>
      <c r="C470" s="568"/>
      <c r="D470" s="569"/>
      <c r="E470" s="569"/>
      <c r="F470" s="568"/>
      <c r="G470" s="574"/>
      <c r="H470" s="570"/>
      <c r="I470" s="171"/>
    </row>
    <row r="471" spans="1:9">
      <c r="A471" s="567"/>
      <c r="B471" s="518"/>
      <c r="C471" s="568"/>
      <c r="D471" s="569"/>
      <c r="E471" s="569"/>
      <c r="F471" s="568"/>
      <c r="G471" s="574"/>
      <c r="H471" s="570"/>
      <c r="I471" s="171"/>
    </row>
    <row r="472" spans="1:9">
      <c r="A472" s="567"/>
      <c r="B472" s="518"/>
      <c r="C472" s="568"/>
      <c r="D472" s="569"/>
      <c r="E472" s="569"/>
      <c r="F472" s="568"/>
      <c r="G472" s="574"/>
      <c r="H472" s="570"/>
      <c r="I472" s="171"/>
    </row>
    <row r="473" spans="1:9">
      <c r="A473" s="567"/>
      <c r="B473" s="518"/>
      <c r="C473" s="568"/>
      <c r="D473" s="569"/>
      <c r="E473" s="569"/>
      <c r="F473" s="568"/>
      <c r="G473" s="574"/>
      <c r="H473" s="570"/>
      <c r="I473" s="171"/>
    </row>
    <row r="474" spans="1:9">
      <c r="A474" s="567"/>
      <c r="B474" s="518"/>
      <c r="C474" s="568"/>
      <c r="D474" s="569"/>
      <c r="E474" s="569"/>
      <c r="F474" s="568"/>
      <c r="G474" s="574"/>
      <c r="H474" s="570"/>
      <c r="I474" s="171"/>
    </row>
    <row r="475" spans="1:9">
      <c r="A475" s="567"/>
      <c r="B475" s="518"/>
      <c r="C475" s="568"/>
      <c r="D475" s="569"/>
      <c r="E475" s="569"/>
      <c r="F475" s="568"/>
      <c r="G475" s="574"/>
      <c r="H475" s="570"/>
      <c r="I475" s="171"/>
    </row>
    <row r="476" spans="1:9">
      <c r="A476" s="567"/>
      <c r="B476" s="518"/>
      <c r="C476" s="568"/>
      <c r="D476" s="569"/>
      <c r="E476" s="569"/>
      <c r="F476" s="568"/>
      <c r="G476" s="574"/>
      <c r="H476" s="570"/>
      <c r="I476" s="171"/>
    </row>
    <row r="477" spans="1:9">
      <c r="A477" s="567"/>
      <c r="B477" s="518"/>
      <c r="C477" s="568"/>
      <c r="D477" s="569"/>
      <c r="E477" s="569"/>
      <c r="F477" s="568"/>
      <c r="G477" s="574"/>
      <c r="H477" s="570"/>
      <c r="I477" s="171"/>
    </row>
    <row r="478" spans="1:9">
      <c r="A478" s="567"/>
      <c r="B478" s="518"/>
      <c r="C478" s="568"/>
      <c r="D478" s="569"/>
      <c r="E478" s="569"/>
      <c r="F478" s="568"/>
      <c r="G478" s="574"/>
      <c r="H478" s="570"/>
      <c r="I478" s="171"/>
    </row>
    <row r="479" spans="1:9">
      <c r="A479" s="567"/>
      <c r="B479" s="518"/>
      <c r="C479" s="568"/>
      <c r="D479" s="569"/>
      <c r="E479" s="569"/>
      <c r="F479" s="568"/>
      <c r="G479" s="574"/>
      <c r="H479" s="570"/>
      <c r="I479" s="171"/>
    </row>
    <row r="480" spans="1:9">
      <c r="A480" s="567"/>
      <c r="B480" s="518"/>
      <c r="C480" s="568"/>
      <c r="D480" s="569"/>
      <c r="E480" s="569"/>
      <c r="F480" s="568"/>
      <c r="G480" s="574"/>
      <c r="H480" s="570"/>
      <c r="I480" s="171"/>
    </row>
    <row r="481" spans="1:9">
      <c r="A481" s="567"/>
      <c r="B481" s="518"/>
      <c r="C481" s="568"/>
      <c r="D481" s="569"/>
      <c r="E481" s="569"/>
      <c r="F481" s="568"/>
      <c r="G481" s="574"/>
      <c r="H481" s="570"/>
      <c r="I481" s="171"/>
    </row>
    <row r="482" spans="1:9">
      <c r="A482" s="567"/>
      <c r="B482" s="518"/>
      <c r="C482" s="568"/>
      <c r="D482" s="569"/>
      <c r="E482" s="569"/>
      <c r="F482" s="568"/>
      <c r="G482" s="574"/>
      <c r="H482" s="570"/>
      <c r="I482" s="171"/>
    </row>
    <row r="483" spans="1:9">
      <c r="A483" s="567"/>
      <c r="B483" s="518"/>
      <c r="C483" s="568"/>
      <c r="D483" s="569"/>
      <c r="E483" s="569"/>
      <c r="F483" s="568"/>
      <c r="G483" s="574"/>
      <c r="H483" s="570"/>
      <c r="I483" s="171"/>
    </row>
    <row r="484" spans="1:9">
      <c r="A484" s="567"/>
      <c r="B484" s="518"/>
      <c r="C484" s="568"/>
      <c r="D484" s="569"/>
      <c r="E484" s="569"/>
      <c r="F484" s="568"/>
      <c r="G484" s="574"/>
      <c r="H484" s="570"/>
      <c r="I484" s="171"/>
    </row>
    <row r="485" spans="1:9">
      <c r="A485" s="567"/>
      <c r="B485" s="518"/>
      <c r="C485" s="568"/>
      <c r="D485" s="569"/>
      <c r="E485" s="569"/>
      <c r="F485" s="568"/>
      <c r="G485" s="574"/>
      <c r="H485" s="570"/>
      <c r="I485" s="171"/>
    </row>
    <row r="486" spans="1:9">
      <c r="A486" s="567"/>
      <c r="B486" s="518"/>
      <c r="C486" s="568"/>
      <c r="D486" s="569"/>
      <c r="E486" s="569"/>
      <c r="F486" s="568"/>
      <c r="G486" s="574"/>
      <c r="H486" s="570"/>
      <c r="I486" s="171"/>
    </row>
    <row r="487" spans="1:9">
      <c r="A487" s="567"/>
      <c r="B487" s="518"/>
      <c r="C487" s="568"/>
      <c r="D487" s="569"/>
      <c r="E487" s="569"/>
      <c r="F487" s="568"/>
      <c r="G487" s="574"/>
      <c r="H487" s="570"/>
      <c r="I487" s="171"/>
    </row>
    <row r="488" spans="1:9">
      <c r="A488" s="567"/>
      <c r="B488" s="518"/>
      <c r="C488" s="568"/>
      <c r="D488" s="569"/>
      <c r="E488" s="569"/>
      <c r="F488" s="568"/>
      <c r="G488" s="574"/>
      <c r="H488" s="570"/>
      <c r="I488" s="171"/>
    </row>
    <row r="489" spans="1:9">
      <c r="A489" s="567"/>
      <c r="B489" s="518"/>
      <c r="C489" s="568"/>
      <c r="D489" s="569"/>
      <c r="E489" s="569"/>
      <c r="F489" s="568"/>
      <c r="G489" s="574"/>
      <c r="H489" s="570"/>
      <c r="I489" s="171"/>
    </row>
    <row r="490" spans="1:9">
      <c r="A490" s="567"/>
      <c r="B490" s="518"/>
      <c r="C490" s="568"/>
      <c r="D490" s="569"/>
      <c r="E490" s="569"/>
      <c r="F490" s="568"/>
      <c r="G490" s="574"/>
      <c r="H490" s="570"/>
      <c r="I490" s="171"/>
    </row>
    <row r="491" spans="1:9">
      <c r="A491" s="567"/>
      <c r="B491" s="518"/>
      <c r="C491" s="568"/>
      <c r="D491" s="569"/>
      <c r="E491" s="569"/>
      <c r="F491" s="568"/>
      <c r="G491" s="574"/>
      <c r="H491" s="570"/>
      <c r="I491" s="171"/>
    </row>
    <row r="492" spans="1:9">
      <c r="A492" s="567"/>
      <c r="B492" s="518"/>
      <c r="C492" s="568"/>
      <c r="D492" s="569"/>
      <c r="E492" s="569"/>
      <c r="F492" s="568"/>
      <c r="G492" s="574"/>
      <c r="H492" s="570"/>
      <c r="I492" s="171"/>
    </row>
    <row r="493" spans="1:9">
      <c r="A493" s="567"/>
      <c r="B493" s="518"/>
      <c r="C493" s="568"/>
      <c r="D493" s="569"/>
      <c r="E493" s="569"/>
      <c r="F493" s="568"/>
      <c r="G493" s="574"/>
      <c r="H493" s="570"/>
      <c r="I493" s="171"/>
    </row>
    <row r="494" spans="1:9">
      <c r="A494" s="567"/>
      <c r="B494" s="518"/>
      <c r="C494" s="568"/>
      <c r="D494" s="569"/>
      <c r="E494" s="569"/>
      <c r="F494" s="568"/>
      <c r="G494" s="574"/>
      <c r="H494" s="570"/>
      <c r="I494" s="171"/>
    </row>
    <row r="495" spans="1:9">
      <c r="A495" s="567"/>
      <c r="B495" s="518"/>
      <c r="C495" s="568"/>
      <c r="D495" s="569"/>
      <c r="E495" s="569"/>
      <c r="F495" s="568"/>
      <c r="G495" s="574"/>
      <c r="H495" s="570"/>
      <c r="I495" s="171"/>
    </row>
    <row r="496" spans="1:9">
      <c r="A496" s="567"/>
      <c r="B496" s="518"/>
      <c r="C496" s="568"/>
      <c r="D496" s="569"/>
      <c r="E496" s="569"/>
      <c r="F496" s="568"/>
      <c r="G496" s="574"/>
      <c r="H496" s="570"/>
      <c r="I496" s="171"/>
    </row>
    <row r="497" spans="1:9">
      <c r="A497" s="567"/>
      <c r="B497" s="518"/>
      <c r="C497" s="568"/>
      <c r="D497" s="569"/>
      <c r="E497" s="569"/>
      <c r="F497" s="568"/>
      <c r="G497" s="574"/>
      <c r="H497" s="570"/>
      <c r="I497" s="171"/>
    </row>
    <row r="498" spans="1:9">
      <c r="A498" s="567"/>
      <c r="B498" s="518"/>
      <c r="C498" s="568"/>
      <c r="D498" s="569"/>
      <c r="E498" s="569"/>
      <c r="F498" s="568"/>
      <c r="G498" s="574"/>
      <c r="H498" s="570"/>
      <c r="I498" s="171"/>
    </row>
    <row r="499" spans="1:9">
      <c r="A499" s="567"/>
      <c r="B499" s="518"/>
      <c r="C499" s="568"/>
      <c r="D499" s="569"/>
      <c r="E499" s="569"/>
      <c r="F499" s="568"/>
      <c r="G499" s="574"/>
      <c r="H499" s="570"/>
      <c r="I499" s="171"/>
    </row>
    <row r="500" spans="1:9">
      <c r="A500" s="567"/>
      <c r="B500" s="518"/>
      <c r="C500" s="568"/>
      <c r="D500" s="569"/>
      <c r="E500" s="569"/>
      <c r="F500" s="568"/>
      <c r="G500" s="574"/>
      <c r="H500" s="570"/>
      <c r="I500" s="171"/>
    </row>
    <row r="501" spans="1:9">
      <c r="A501" s="567"/>
      <c r="B501" s="518"/>
      <c r="C501" s="568"/>
      <c r="D501" s="569"/>
      <c r="E501" s="569"/>
      <c r="F501" s="568"/>
      <c r="G501" s="574"/>
      <c r="H501" s="570"/>
      <c r="I501" s="171"/>
    </row>
    <row r="502" spans="1:9">
      <c r="A502" s="567"/>
      <c r="B502" s="518"/>
      <c r="C502" s="568"/>
      <c r="D502" s="569"/>
      <c r="E502" s="569"/>
      <c r="F502" s="568"/>
      <c r="G502" s="574"/>
      <c r="H502" s="570"/>
      <c r="I502" s="171"/>
    </row>
    <row r="503" spans="1:9">
      <c r="A503" s="567"/>
      <c r="B503" s="518"/>
      <c r="C503" s="568"/>
      <c r="D503" s="569"/>
      <c r="E503" s="569"/>
      <c r="F503" s="568"/>
      <c r="G503" s="574"/>
      <c r="H503" s="570"/>
      <c r="I503" s="171"/>
    </row>
    <row r="504" spans="1:9">
      <c r="A504" s="567"/>
      <c r="B504" s="518"/>
      <c r="C504" s="568"/>
      <c r="D504" s="569"/>
      <c r="E504" s="569"/>
      <c r="F504" s="568"/>
      <c r="G504" s="574"/>
      <c r="H504" s="570"/>
      <c r="I504" s="171"/>
    </row>
    <row r="505" spans="1:9">
      <c r="A505" s="567"/>
      <c r="B505" s="518"/>
      <c r="C505" s="568"/>
      <c r="D505" s="569"/>
      <c r="E505" s="569"/>
      <c r="F505" s="568"/>
      <c r="G505" s="574"/>
      <c r="H505" s="570"/>
      <c r="I505" s="171"/>
    </row>
    <row r="506" spans="1:9">
      <c r="A506" s="567"/>
      <c r="B506" s="518"/>
      <c r="C506" s="568"/>
      <c r="D506" s="569"/>
      <c r="E506" s="569"/>
      <c r="F506" s="568"/>
      <c r="G506" s="574"/>
      <c r="H506" s="570"/>
      <c r="I506" s="171"/>
    </row>
    <row r="507" spans="1:9">
      <c r="A507" s="567"/>
      <c r="B507" s="518"/>
      <c r="C507" s="568"/>
      <c r="D507" s="569"/>
      <c r="E507" s="569"/>
      <c r="F507" s="568"/>
      <c r="G507" s="574"/>
      <c r="H507" s="570"/>
      <c r="I507" s="171"/>
    </row>
    <row r="508" spans="1:9">
      <c r="A508" s="567"/>
      <c r="B508" s="518"/>
      <c r="C508" s="568"/>
      <c r="D508" s="569"/>
      <c r="E508" s="569"/>
      <c r="F508" s="568"/>
      <c r="G508" s="574"/>
      <c r="H508" s="570"/>
      <c r="I508" s="171"/>
    </row>
    <row r="509" spans="1:9">
      <c r="A509" s="567"/>
      <c r="B509" s="518"/>
      <c r="C509" s="568"/>
      <c r="D509" s="569"/>
      <c r="E509" s="569"/>
      <c r="F509" s="568"/>
      <c r="G509" s="574"/>
      <c r="H509" s="570"/>
      <c r="I509" s="171"/>
    </row>
    <row r="510" spans="1:9">
      <c r="A510" s="567"/>
      <c r="B510" s="518"/>
      <c r="C510" s="568"/>
      <c r="D510" s="569"/>
      <c r="E510" s="569"/>
      <c r="F510" s="568"/>
      <c r="G510" s="574"/>
      <c r="H510" s="570"/>
      <c r="I510" s="171"/>
    </row>
    <row r="511" spans="1:9">
      <c r="A511" s="567"/>
      <c r="B511" s="518"/>
      <c r="C511" s="568"/>
      <c r="D511" s="569"/>
      <c r="E511" s="569"/>
      <c r="F511" s="568"/>
      <c r="G511" s="574"/>
      <c r="H511" s="570"/>
      <c r="I511" s="171"/>
    </row>
    <row r="512" spans="1:9">
      <c r="A512" s="567"/>
      <c r="B512" s="518"/>
      <c r="C512" s="568"/>
      <c r="D512" s="569"/>
      <c r="E512" s="569"/>
      <c r="F512" s="568"/>
      <c r="G512" s="574"/>
      <c r="H512" s="570"/>
      <c r="I512" s="171"/>
    </row>
    <row r="513" spans="1:9">
      <c r="A513" s="567"/>
      <c r="B513" s="518"/>
      <c r="C513" s="568"/>
      <c r="D513" s="569"/>
      <c r="E513" s="569"/>
      <c r="F513" s="568"/>
      <c r="G513" s="574"/>
      <c r="H513" s="570"/>
      <c r="I513" s="171"/>
    </row>
    <row r="514" spans="1:9">
      <c r="A514" s="567"/>
      <c r="B514" s="518"/>
      <c r="C514" s="568"/>
      <c r="D514" s="569"/>
      <c r="E514" s="569"/>
      <c r="F514" s="568"/>
      <c r="G514" s="574"/>
      <c r="H514" s="570"/>
      <c r="I514" s="171"/>
    </row>
    <row r="515" spans="1:9">
      <c r="A515" s="567"/>
      <c r="B515" s="518"/>
      <c r="C515" s="568"/>
      <c r="D515" s="569"/>
      <c r="E515" s="569"/>
      <c r="F515" s="568"/>
      <c r="G515" s="574"/>
      <c r="H515" s="570"/>
      <c r="I515" s="171"/>
    </row>
    <row r="516" spans="1:9">
      <c r="A516" s="567"/>
      <c r="B516" s="518"/>
      <c r="C516" s="568"/>
      <c r="D516" s="569"/>
      <c r="E516" s="569"/>
      <c r="F516" s="568"/>
      <c r="G516" s="574"/>
      <c r="H516" s="570"/>
      <c r="I516" s="171"/>
    </row>
    <row r="517" spans="1:9">
      <c r="A517" s="567"/>
      <c r="B517" s="518"/>
      <c r="C517" s="568"/>
      <c r="D517" s="569"/>
      <c r="E517" s="569"/>
      <c r="F517" s="568"/>
      <c r="G517" s="574"/>
      <c r="H517" s="570"/>
      <c r="I517" s="171"/>
    </row>
    <row r="518" spans="1:9">
      <c r="A518" s="567"/>
      <c r="B518" s="518"/>
      <c r="C518" s="568"/>
      <c r="D518" s="569"/>
      <c r="E518" s="569"/>
      <c r="F518" s="568"/>
      <c r="G518" s="574"/>
      <c r="H518" s="570"/>
      <c r="I518" s="171"/>
    </row>
    <row r="519" spans="1:9">
      <c r="A519" s="567"/>
      <c r="B519" s="518"/>
      <c r="C519" s="568"/>
      <c r="D519" s="569"/>
      <c r="E519" s="569"/>
      <c r="F519" s="568"/>
      <c r="G519" s="574"/>
      <c r="H519" s="570"/>
      <c r="I519" s="171"/>
    </row>
    <row r="520" spans="1:9">
      <c r="A520" s="567"/>
      <c r="B520" s="518"/>
      <c r="C520" s="568"/>
      <c r="D520" s="569"/>
      <c r="E520" s="569"/>
      <c r="F520" s="568"/>
      <c r="G520" s="574"/>
      <c r="H520" s="570"/>
      <c r="I520" s="171"/>
    </row>
    <row r="521" spans="1:9">
      <c r="A521" s="567"/>
      <c r="B521" s="518"/>
      <c r="C521" s="568"/>
      <c r="D521" s="569"/>
      <c r="E521" s="569"/>
      <c r="F521" s="568"/>
      <c r="G521" s="574"/>
      <c r="H521" s="570"/>
      <c r="I521" s="171"/>
    </row>
    <row r="522" spans="1:9">
      <c r="A522" s="567"/>
      <c r="B522" s="518"/>
      <c r="C522" s="568"/>
      <c r="D522" s="569"/>
      <c r="E522" s="569"/>
      <c r="F522" s="568"/>
      <c r="G522" s="574"/>
      <c r="H522" s="570"/>
      <c r="I522" s="171"/>
    </row>
    <row r="523" spans="1:9">
      <c r="A523" s="567"/>
      <c r="B523" s="518"/>
      <c r="C523" s="568"/>
      <c r="D523" s="569"/>
      <c r="E523" s="569"/>
      <c r="F523" s="568"/>
      <c r="G523" s="574"/>
      <c r="H523" s="570"/>
      <c r="I523" s="171"/>
    </row>
    <row r="524" spans="1:9">
      <c r="A524" s="567"/>
      <c r="B524" s="518"/>
      <c r="C524" s="568"/>
      <c r="D524" s="569"/>
      <c r="E524" s="569"/>
      <c r="F524" s="568"/>
      <c r="G524" s="574"/>
      <c r="H524" s="570"/>
      <c r="I524" s="171"/>
    </row>
    <row r="525" spans="1:9">
      <c r="A525" s="567"/>
      <c r="B525" s="518"/>
      <c r="C525" s="568"/>
      <c r="D525" s="569"/>
      <c r="E525" s="569"/>
      <c r="F525" s="568"/>
      <c r="G525" s="574"/>
      <c r="H525" s="570"/>
      <c r="I525" s="171"/>
    </row>
    <row r="526" spans="1:9">
      <c r="A526" s="567"/>
      <c r="B526" s="518"/>
      <c r="C526" s="568"/>
      <c r="D526" s="569"/>
      <c r="E526" s="569"/>
      <c r="F526" s="568"/>
      <c r="G526" s="574"/>
      <c r="H526" s="570"/>
      <c r="I526" s="171"/>
    </row>
    <row r="527" spans="1:9">
      <c r="A527" s="567"/>
      <c r="B527" s="518"/>
      <c r="C527" s="568"/>
      <c r="D527" s="569"/>
      <c r="E527" s="569"/>
      <c r="F527" s="568"/>
      <c r="G527" s="574"/>
      <c r="H527" s="570"/>
      <c r="I527" s="171"/>
    </row>
    <row r="528" spans="1:9">
      <c r="A528" s="567"/>
      <c r="B528" s="518"/>
      <c r="C528" s="568"/>
      <c r="D528" s="569"/>
      <c r="E528" s="569"/>
      <c r="F528" s="568"/>
      <c r="G528" s="574"/>
      <c r="H528" s="570"/>
      <c r="I528" s="171"/>
    </row>
    <row r="529" spans="1:9">
      <c r="A529" s="567"/>
      <c r="B529" s="518"/>
      <c r="C529" s="568"/>
      <c r="D529" s="569"/>
      <c r="E529" s="569"/>
      <c r="F529" s="568"/>
      <c r="G529" s="574"/>
      <c r="H529" s="570"/>
      <c r="I529" s="171"/>
    </row>
    <row r="530" spans="1:9">
      <c r="A530" s="567"/>
      <c r="B530" s="518"/>
      <c r="C530" s="568"/>
      <c r="D530" s="569"/>
      <c r="E530" s="569"/>
      <c r="F530" s="568"/>
      <c r="G530" s="574"/>
      <c r="H530" s="570"/>
      <c r="I530" s="171"/>
    </row>
    <row r="531" spans="1:9">
      <c r="A531" s="567"/>
      <c r="B531" s="518"/>
      <c r="C531" s="568"/>
      <c r="D531" s="569"/>
      <c r="E531" s="569"/>
      <c r="F531" s="568"/>
      <c r="G531" s="574"/>
      <c r="H531" s="570"/>
      <c r="I531" s="171"/>
    </row>
    <row r="532" spans="1:9">
      <c r="A532" s="567"/>
      <c r="B532" s="518"/>
      <c r="C532" s="568"/>
      <c r="D532" s="569"/>
      <c r="E532" s="569"/>
      <c r="F532" s="568"/>
      <c r="G532" s="574"/>
      <c r="H532" s="570"/>
      <c r="I532" s="171"/>
    </row>
    <row r="533" spans="1:9">
      <c r="A533" s="567"/>
      <c r="B533" s="518"/>
      <c r="C533" s="568"/>
      <c r="D533" s="569"/>
      <c r="E533" s="569"/>
      <c r="F533" s="568"/>
      <c r="G533" s="574"/>
      <c r="H533" s="570"/>
      <c r="I533" s="171"/>
    </row>
    <row r="534" spans="1:9">
      <c r="A534" s="567"/>
      <c r="B534" s="518"/>
      <c r="C534" s="568"/>
      <c r="D534" s="569"/>
      <c r="E534" s="569"/>
      <c r="F534" s="568"/>
      <c r="G534" s="574"/>
      <c r="H534" s="570"/>
      <c r="I534" s="171"/>
    </row>
    <row r="535" spans="1:9">
      <c r="A535" s="567"/>
      <c r="B535" s="518"/>
      <c r="C535" s="568"/>
      <c r="D535" s="569"/>
      <c r="E535" s="569"/>
      <c r="F535" s="568"/>
      <c r="G535" s="574"/>
      <c r="H535" s="570"/>
      <c r="I535" s="171"/>
    </row>
    <row r="536" spans="1:9">
      <c r="A536" s="567"/>
      <c r="B536" s="518"/>
      <c r="C536" s="568"/>
      <c r="D536" s="569"/>
      <c r="E536" s="569"/>
      <c r="F536" s="568"/>
      <c r="G536" s="574"/>
      <c r="H536" s="570"/>
      <c r="I536" s="171"/>
    </row>
    <row r="537" spans="1:9">
      <c r="A537" s="567"/>
      <c r="B537" s="518"/>
      <c r="C537" s="568"/>
      <c r="D537" s="569"/>
      <c r="E537" s="569"/>
      <c r="F537" s="568"/>
      <c r="G537" s="574"/>
      <c r="H537" s="570"/>
      <c r="I537" s="171"/>
    </row>
    <row r="538" spans="1:9">
      <c r="A538" s="567"/>
      <c r="B538" s="518"/>
      <c r="C538" s="568"/>
      <c r="D538" s="569"/>
      <c r="E538" s="569"/>
      <c r="F538" s="568"/>
      <c r="G538" s="574"/>
      <c r="H538" s="570"/>
      <c r="I538" s="171"/>
    </row>
    <row r="539" spans="1:9">
      <c r="A539" s="567"/>
      <c r="B539" s="518"/>
      <c r="C539" s="568"/>
      <c r="D539" s="569"/>
      <c r="E539" s="569"/>
      <c r="F539" s="568"/>
      <c r="G539" s="574"/>
      <c r="H539" s="570"/>
      <c r="I539" s="171"/>
    </row>
    <row r="540" spans="1:9">
      <c r="A540" s="567"/>
      <c r="B540" s="518"/>
      <c r="C540" s="568"/>
      <c r="D540" s="569"/>
      <c r="E540" s="569"/>
      <c r="F540" s="568"/>
      <c r="G540" s="574"/>
      <c r="H540" s="570"/>
      <c r="I540" s="171"/>
    </row>
    <row r="541" spans="1:9">
      <c r="A541" s="567"/>
      <c r="B541" s="518"/>
      <c r="C541" s="568"/>
      <c r="D541" s="569"/>
      <c r="E541" s="569"/>
      <c r="F541" s="568"/>
      <c r="G541" s="574"/>
      <c r="H541" s="570"/>
      <c r="I541" s="171"/>
    </row>
    <row r="542" spans="1:9">
      <c r="A542" s="567"/>
      <c r="B542" s="518"/>
      <c r="C542" s="568"/>
      <c r="D542" s="569"/>
      <c r="E542" s="569"/>
      <c r="F542" s="568"/>
      <c r="G542" s="574"/>
      <c r="H542" s="570"/>
      <c r="I542" s="171"/>
    </row>
    <row r="543" spans="1:9">
      <c r="A543" s="567"/>
      <c r="B543" s="518"/>
      <c r="C543" s="568"/>
      <c r="D543" s="569"/>
      <c r="E543" s="569"/>
      <c r="F543" s="568"/>
      <c r="G543" s="574"/>
      <c r="H543" s="570"/>
      <c r="I543" s="171"/>
    </row>
    <row r="544" spans="1:9">
      <c r="A544" s="567"/>
      <c r="B544" s="518"/>
      <c r="C544" s="568"/>
      <c r="D544" s="569"/>
      <c r="E544" s="569"/>
      <c r="F544" s="568"/>
      <c r="G544" s="574"/>
      <c r="H544" s="570"/>
      <c r="I544" s="171"/>
    </row>
    <row r="545" spans="1:9">
      <c r="A545" s="567"/>
      <c r="B545" s="518"/>
      <c r="C545" s="568"/>
      <c r="D545" s="569"/>
      <c r="E545" s="569"/>
      <c r="F545" s="568"/>
      <c r="G545" s="574"/>
      <c r="H545" s="570"/>
      <c r="I545" s="171"/>
    </row>
    <row r="546" spans="1:9">
      <c r="A546" s="567"/>
      <c r="B546" s="518"/>
      <c r="C546" s="568"/>
      <c r="D546" s="569"/>
      <c r="E546" s="569"/>
      <c r="F546" s="568"/>
      <c r="G546" s="574"/>
      <c r="H546" s="570"/>
      <c r="I546" s="171"/>
    </row>
    <row r="547" spans="1:9">
      <c r="A547" s="567"/>
      <c r="B547" s="518"/>
      <c r="C547" s="568"/>
      <c r="D547" s="569"/>
      <c r="E547" s="569"/>
      <c r="F547" s="568"/>
      <c r="G547" s="574"/>
      <c r="H547" s="570"/>
      <c r="I547" s="171"/>
    </row>
    <row r="548" spans="1:9">
      <c r="A548" s="567"/>
      <c r="B548" s="518"/>
      <c r="C548" s="568"/>
      <c r="D548" s="569"/>
      <c r="E548" s="569"/>
      <c r="F548" s="568"/>
      <c r="G548" s="574"/>
      <c r="H548" s="570"/>
      <c r="I548" s="171"/>
    </row>
    <row r="549" spans="1:9">
      <c r="A549" s="567"/>
      <c r="B549" s="518"/>
      <c r="C549" s="568"/>
      <c r="D549" s="569"/>
      <c r="E549" s="569"/>
      <c r="F549" s="568"/>
      <c r="G549" s="574"/>
      <c r="H549" s="570"/>
      <c r="I549" s="171"/>
    </row>
    <row r="550" spans="1:9">
      <c r="A550" s="567"/>
      <c r="B550" s="518"/>
      <c r="C550" s="568"/>
      <c r="D550" s="569"/>
      <c r="E550" s="569"/>
      <c r="F550" s="568"/>
      <c r="G550" s="574"/>
      <c r="H550" s="570"/>
      <c r="I550" s="171"/>
    </row>
    <row r="551" spans="1:9">
      <c r="A551" s="567"/>
      <c r="B551" s="518"/>
      <c r="C551" s="568"/>
      <c r="D551" s="569"/>
      <c r="E551" s="569"/>
      <c r="F551" s="568"/>
      <c r="G551" s="574"/>
      <c r="H551" s="570"/>
      <c r="I551" s="171"/>
    </row>
    <row r="552" spans="1:9">
      <c r="A552" s="567"/>
      <c r="B552" s="518"/>
      <c r="C552" s="568"/>
      <c r="D552" s="569"/>
      <c r="E552" s="569"/>
      <c r="F552" s="568"/>
      <c r="G552" s="574"/>
      <c r="H552" s="570"/>
      <c r="I552" s="171"/>
    </row>
    <row r="553" spans="1:9">
      <c r="A553" s="567"/>
      <c r="B553" s="518"/>
      <c r="C553" s="568"/>
      <c r="D553" s="569"/>
      <c r="E553" s="569"/>
      <c r="F553" s="568"/>
      <c r="G553" s="574"/>
      <c r="H553" s="570"/>
      <c r="I553" s="171"/>
    </row>
    <row r="554" spans="1:9">
      <c r="A554" s="567"/>
      <c r="B554" s="518"/>
      <c r="C554" s="568"/>
      <c r="D554" s="569"/>
      <c r="E554" s="569"/>
      <c r="F554" s="568"/>
      <c r="G554" s="574"/>
      <c r="H554" s="570"/>
      <c r="I554" s="171"/>
    </row>
    <row r="555" spans="1:9">
      <c r="A555" s="567"/>
      <c r="B555" s="518"/>
      <c r="C555" s="568"/>
      <c r="D555" s="569"/>
      <c r="E555" s="569"/>
      <c r="F555" s="568"/>
      <c r="G555" s="574"/>
      <c r="H555" s="570"/>
      <c r="I555" s="171"/>
    </row>
    <row r="556" spans="1:9">
      <c r="A556" s="567"/>
      <c r="B556" s="518"/>
      <c r="C556" s="568"/>
      <c r="D556" s="569"/>
      <c r="E556" s="569"/>
      <c r="F556" s="568"/>
      <c r="G556" s="574"/>
      <c r="H556" s="570"/>
      <c r="I556" s="171"/>
    </row>
    <row r="557" spans="1:9">
      <c r="A557" s="567"/>
      <c r="B557" s="518"/>
      <c r="C557" s="568"/>
      <c r="D557" s="569"/>
      <c r="E557" s="569"/>
      <c r="F557" s="568"/>
      <c r="G557" s="574"/>
      <c r="H557" s="570"/>
      <c r="I557" s="171"/>
    </row>
    <row r="558" spans="1:9">
      <c r="A558" s="567"/>
      <c r="B558" s="518"/>
      <c r="C558" s="568"/>
      <c r="D558" s="569"/>
      <c r="E558" s="569"/>
      <c r="F558" s="568"/>
      <c r="G558" s="574"/>
      <c r="H558" s="570"/>
      <c r="I558" s="171"/>
    </row>
    <row r="559" spans="1:9">
      <c r="A559" s="567"/>
      <c r="B559" s="518"/>
      <c r="C559" s="568"/>
      <c r="D559" s="569"/>
      <c r="E559" s="569"/>
      <c r="F559" s="568"/>
      <c r="G559" s="574"/>
      <c r="H559" s="570"/>
      <c r="I559" s="171"/>
    </row>
    <row r="560" spans="1:9">
      <c r="A560" s="567"/>
      <c r="B560" s="518"/>
      <c r="C560" s="568"/>
      <c r="D560" s="569"/>
      <c r="E560" s="569"/>
      <c r="F560" s="568"/>
      <c r="G560" s="574"/>
      <c r="H560" s="570"/>
      <c r="I560" s="171"/>
    </row>
    <row r="561" spans="1:9">
      <c r="A561" s="567"/>
      <c r="B561" s="518"/>
      <c r="C561" s="568"/>
      <c r="D561" s="569"/>
      <c r="E561" s="569"/>
      <c r="F561" s="568"/>
      <c r="G561" s="574"/>
      <c r="H561" s="570"/>
      <c r="I561" s="171"/>
    </row>
    <row r="562" spans="1:9">
      <c r="A562" s="567"/>
      <c r="B562" s="518"/>
      <c r="C562" s="568"/>
      <c r="D562" s="569"/>
      <c r="E562" s="569"/>
      <c r="F562" s="568"/>
      <c r="G562" s="574"/>
      <c r="H562" s="570"/>
      <c r="I562" s="171"/>
    </row>
    <row r="563" spans="1:9">
      <c r="A563" s="567"/>
      <c r="B563" s="518"/>
      <c r="C563" s="568"/>
      <c r="D563" s="569"/>
      <c r="E563" s="569"/>
      <c r="F563" s="568"/>
      <c r="G563" s="574"/>
      <c r="H563" s="570"/>
      <c r="I563" s="171"/>
    </row>
    <row r="564" spans="1:9">
      <c r="A564" s="567"/>
      <c r="B564" s="518"/>
      <c r="C564" s="568"/>
      <c r="D564" s="569"/>
      <c r="E564" s="569"/>
      <c r="F564" s="568"/>
      <c r="G564" s="574"/>
      <c r="H564" s="570"/>
      <c r="I564" s="171"/>
    </row>
    <row r="565" spans="1:9">
      <c r="A565" s="567"/>
      <c r="B565" s="518"/>
      <c r="C565" s="568"/>
      <c r="D565" s="569"/>
      <c r="E565" s="569"/>
      <c r="F565" s="568"/>
      <c r="G565" s="574"/>
      <c r="H565" s="570"/>
      <c r="I565" s="171"/>
    </row>
    <row r="566" spans="1:9">
      <c r="A566" s="567"/>
      <c r="B566" s="518"/>
      <c r="C566" s="568"/>
      <c r="D566" s="569"/>
      <c r="E566" s="569"/>
      <c r="F566" s="568"/>
      <c r="G566" s="574"/>
      <c r="H566" s="570"/>
      <c r="I566" s="171"/>
    </row>
    <row r="567" spans="1:9">
      <c r="A567" s="567"/>
      <c r="B567" s="518"/>
      <c r="C567" s="568"/>
      <c r="D567" s="569"/>
      <c r="E567" s="569"/>
      <c r="F567" s="568"/>
      <c r="G567" s="574"/>
      <c r="H567" s="570"/>
      <c r="I567" s="171"/>
    </row>
    <row r="568" spans="1:9">
      <c r="A568" s="567"/>
      <c r="B568" s="518"/>
      <c r="C568" s="568"/>
      <c r="D568" s="569"/>
      <c r="E568" s="569"/>
      <c r="F568" s="568"/>
      <c r="G568" s="574"/>
      <c r="H568" s="570"/>
      <c r="I568" s="171"/>
    </row>
    <row r="569" spans="1:9">
      <c r="A569" s="567"/>
      <c r="B569" s="518"/>
      <c r="C569" s="568"/>
      <c r="D569" s="569"/>
      <c r="E569" s="569"/>
      <c r="F569" s="568"/>
      <c r="G569" s="574"/>
      <c r="H569" s="570"/>
      <c r="I569" s="171"/>
    </row>
    <row r="570" spans="1:9">
      <c r="A570" s="567"/>
      <c r="B570" s="518"/>
      <c r="C570" s="568"/>
      <c r="D570" s="569"/>
      <c r="E570" s="569"/>
      <c r="F570" s="568"/>
      <c r="G570" s="574"/>
      <c r="H570" s="570"/>
      <c r="I570" s="171"/>
    </row>
    <row r="571" spans="1:9">
      <c r="A571" s="567"/>
      <c r="B571" s="518"/>
      <c r="C571" s="568"/>
      <c r="D571" s="569"/>
      <c r="E571" s="569"/>
      <c r="F571" s="568"/>
      <c r="G571" s="574"/>
      <c r="H571" s="570"/>
      <c r="I571" s="171"/>
    </row>
    <row r="572" spans="1:9">
      <c r="A572" s="567"/>
      <c r="B572" s="518"/>
      <c r="C572" s="568"/>
      <c r="D572" s="569"/>
      <c r="E572" s="569"/>
      <c r="F572" s="568"/>
      <c r="G572" s="574"/>
      <c r="H572" s="570"/>
      <c r="I572" s="171"/>
    </row>
    <row r="573" spans="1:9">
      <c r="A573" s="567"/>
      <c r="B573" s="518"/>
      <c r="C573" s="568"/>
      <c r="D573" s="569"/>
      <c r="E573" s="569"/>
      <c r="F573" s="568"/>
      <c r="G573" s="574"/>
      <c r="H573" s="570"/>
      <c r="I573" s="171"/>
    </row>
    <row r="574" spans="1:9">
      <c r="A574" s="567"/>
      <c r="B574" s="518"/>
      <c r="C574" s="568"/>
      <c r="D574" s="569"/>
      <c r="E574" s="569"/>
      <c r="F574" s="568"/>
      <c r="G574" s="574"/>
      <c r="H574" s="570"/>
      <c r="I574" s="171"/>
    </row>
    <row r="575" spans="1:9">
      <c r="A575" s="567"/>
      <c r="B575" s="518"/>
      <c r="C575" s="568"/>
      <c r="D575" s="569"/>
      <c r="E575" s="569"/>
      <c r="F575" s="568"/>
      <c r="G575" s="574"/>
      <c r="H575" s="570"/>
      <c r="I575" s="171"/>
    </row>
    <row r="576" spans="1:9">
      <c r="A576" s="567"/>
      <c r="B576" s="518"/>
      <c r="C576" s="568"/>
      <c r="D576" s="569"/>
      <c r="E576" s="569"/>
      <c r="F576" s="568"/>
      <c r="G576" s="574"/>
      <c r="H576" s="570"/>
      <c r="I576" s="171"/>
    </row>
    <row r="577" spans="1:9">
      <c r="A577" s="567"/>
      <c r="B577" s="518"/>
      <c r="C577" s="568"/>
      <c r="D577" s="569"/>
      <c r="E577" s="569"/>
      <c r="F577" s="568"/>
      <c r="G577" s="574"/>
      <c r="H577" s="570"/>
      <c r="I577" s="171"/>
    </row>
    <row r="578" spans="1:9">
      <c r="A578" s="567"/>
      <c r="B578" s="518"/>
      <c r="C578" s="568"/>
      <c r="D578" s="569"/>
      <c r="E578" s="569"/>
      <c r="F578" s="568"/>
      <c r="G578" s="574"/>
      <c r="H578" s="570"/>
      <c r="I578" s="171"/>
    </row>
    <row r="579" spans="1:9">
      <c r="A579" s="567"/>
      <c r="B579" s="518"/>
      <c r="C579" s="568"/>
      <c r="D579" s="569"/>
      <c r="E579" s="569"/>
      <c r="F579" s="568"/>
      <c r="G579" s="574"/>
      <c r="H579" s="570"/>
      <c r="I579" s="171"/>
    </row>
    <row r="580" spans="1:9">
      <c r="A580" s="567"/>
      <c r="B580" s="518"/>
      <c r="C580" s="568"/>
      <c r="D580" s="569"/>
      <c r="E580" s="569"/>
      <c r="F580" s="568"/>
      <c r="G580" s="574"/>
      <c r="H580" s="570"/>
      <c r="I580" s="171"/>
    </row>
    <row r="581" spans="1:9">
      <c r="A581" s="567"/>
      <c r="B581" s="518"/>
      <c r="C581" s="568"/>
      <c r="D581" s="569"/>
      <c r="E581" s="569"/>
      <c r="F581" s="568"/>
      <c r="G581" s="574"/>
      <c r="H581" s="570"/>
      <c r="I581" s="171"/>
    </row>
    <row r="582" spans="1:9">
      <c r="A582" s="567"/>
      <c r="B582" s="518"/>
      <c r="C582" s="568"/>
      <c r="D582" s="569"/>
      <c r="E582" s="569"/>
      <c r="F582" s="568"/>
      <c r="G582" s="574"/>
      <c r="H582" s="570"/>
      <c r="I582" s="171"/>
    </row>
    <row r="583" spans="1:9">
      <c r="A583" s="567"/>
      <c r="B583" s="518"/>
      <c r="C583" s="568"/>
      <c r="D583" s="569"/>
      <c r="E583" s="569"/>
      <c r="F583" s="568"/>
      <c r="G583" s="574"/>
      <c r="H583" s="570"/>
      <c r="I583" s="171"/>
    </row>
    <row r="584" spans="1:9">
      <c r="A584" s="567"/>
      <c r="B584" s="518"/>
      <c r="C584" s="568"/>
      <c r="D584" s="569"/>
      <c r="E584" s="569"/>
      <c r="F584" s="568"/>
      <c r="G584" s="574"/>
      <c r="H584" s="570"/>
      <c r="I584" s="171"/>
    </row>
    <row r="585" spans="1:9">
      <c r="A585" s="567"/>
      <c r="B585" s="518"/>
      <c r="C585" s="568"/>
      <c r="D585" s="569"/>
      <c r="E585" s="569"/>
      <c r="F585" s="568"/>
      <c r="G585" s="574"/>
      <c r="H585" s="570"/>
      <c r="I585" s="171"/>
    </row>
    <row r="586" spans="1:9">
      <c r="A586" s="567"/>
      <c r="B586" s="518"/>
      <c r="C586" s="568"/>
      <c r="D586" s="569"/>
      <c r="E586" s="569"/>
      <c r="F586" s="568"/>
      <c r="G586" s="574"/>
      <c r="H586" s="570"/>
      <c r="I586" s="171"/>
    </row>
    <row r="587" spans="1:9">
      <c r="A587" s="567"/>
      <c r="B587" s="518"/>
      <c r="C587" s="568"/>
      <c r="D587" s="569"/>
      <c r="E587" s="569"/>
      <c r="F587" s="568"/>
      <c r="G587" s="574"/>
      <c r="H587" s="570"/>
      <c r="I587" s="171"/>
    </row>
    <row r="588" spans="1:9">
      <c r="A588" s="567"/>
      <c r="B588" s="518"/>
      <c r="C588" s="568"/>
      <c r="D588" s="569"/>
      <c r="E588" s="569"/>
      <c r="F588" s="568"/>
      <c r="G588" s="574"/>
      <c r="H588" s="570"/>
      <c r="I588" s="171"/>
    </row>
    <row r="589" spans="1:9">
      <c r="A589" s="567"/>
      <c r="B589" s="518"/>
      <c r="C589" s="568"/>
      <c r="D589" s="569"/>
      <c r="E589" s="569"/>
      <c r="F589" s="568"/>
      <c r="G589" s="574"/>
      <c r="H589" s="570"/>
      <c r="I589" s="171"/>
    </row>
    <row r="590" spans="1:9">
      <c r="A590" s="567"/>
      <c r="B590" s="518"/>
      <c r="C590" s="568"/>
      <c r="D590" s="569"/>
      <c r="E590" s="569"/>
      <c r="F590" s="568"/>
      <c r="G590" s="574"/>
      <c r="H590" s="570"/>
      <c r="I590" s="171"/>
    </row>
    <row r="591" spans="1:9">
      <c r="A591" s="567"/>
      <c r="B591" s="518"/>
      <c r="C591" s="568"/>
      <c r="D591" s="569"/>
      <c r="E591" s="569"/>
      <c r="F591" s="568"/>
      <c r="G591" s="574"/>
      <c r="H591" s="570"/>
      <c r="I591" s="171"/>
    </row>
    <row r="592" spans="1:9">
      <c r="A592" s="567"/>
      <c r="B592" s="518"/>
      <c r="C592" s="568"/>
      <c r="D592" s="569"/>
      <c r="E592" s="569"/>
      <c r="F592" s="568"/>
      <c r="G592" s="574"/>
      <c r="H592" s="570"/>
      <c r="I592" s="171"/>
    </row>
    <row r="593" spans="1:9">
      <c r="A593" s="567"/>
      <c r="B593" s="518"/>
      <c r="C593" s="568"/>
      <c r="D593" s="569"/>
      <c r="E593" s="569"/>
      <c r="F593" s="568"/>
      <c r="G593" s="574"/>
      <c r="H593" s="570"/>
      <c r="I593" s="171"/>
    </row>
    <row r="594" spans="1:9">
      <c r="A594" s="567"/>
      <c r="B594" s="518"/>
      <c r="C594" s="568"/>
      <c r="D594" s="569"/>
      <c r="E594" s="569"/>
      <c r="F594" s="568"/>
      <c r="G594" s="574"/>
      <c r="H594" s="570"/>
      <c r="I594" s="171"/>
    </row>
    <row r="595" spans="1:9">
      <c r="A595" s="567"/>
      <c r="B595" s="518"/>
      <c r="C595" s="568"/>
      <c r="D595" s="569"/>
      <c r="E595" s="569"/>
      <c r="F595" s="568"/>
      <c r="G595" s="574"/>
      <c r="H595" s="570"/>
      <c r="I595" s="171"/>
    </row>
    <row r="596" spans="1:9">
      <c r="A596" s="567"/>
      <c r="B596" s="518"/>
      <c r="C596" s="568"/>
      <c r="D596" s="569"/>
      <c r="E596" s="569"/>
      <c r="F596" s="568"/>
      <c r="G596" s="574"/>
      <c r="H596" s="570"/>
      <c r="I596" s="171"/>
    </row>
    <row r="597" spans="1:9">
      <c r="A597" s="567"/>
      <c r="B597" s="518"/>
      <c r="C597" s="568"/>
      <c r="D597" s="569"/>
      <c r="E597" s="569"/>
      <c r="F597" s="568"/>
      <c r="G597" s="574"/>
      <c r="H597" s="570"/>
      <c r="I597" s="171"/>
    </row>
    <row r="598" spans="1:9">
      <c r="A598" s="567"/>
      <c r="B598" s="518"/>
      <c r="C598" s="568"/>
      <c r="D598" s="569"/>
      <c r="E598" s="569"/>
      <c r="F598" s="568"/>
      <c r="G598" s="574"/>
      <c r="H598" s="570"/>
      <c r="I598" s="171"/>
    </row>
    <row r="599" spans="1:9">
      <c r="A599" s="567"/>
      <c r="B599" s="518"/>
      <c r="C599" s="568"/>
      <c r="D599" s="569"/>
      <c r="E599" s="569"/>
      <c r="F599" s="568"/>
      <c r="G599" s="574"/>
      <c r="H599" s="570"/>
      <c r="I599" s="171"/>
    </row>
    <row r="600" spans="1:9">
      <c r="A600" s="567"/>
      <c r="B600" s="518"/>
      <c r="C600" s="568"/>
      <c r="D600" s="569"/>
      <c r="E600" s="569"/>
      <c r="F600" s="568"/>
      <c r="G600" s="574"/>
      <c r="H600" s="570"/>
      <c r="I600" s="171"/>
    </row>
    <row r="601" spans="1:9">
      <c r="A601" s="567"/>
      <c r="B601" s="518"/>
      <c r="C601" s="568"/>
      <c r="D601" s="569"/>
      <c r="E601" s="569"/>
      <c r="F601" s="568"/>
      <c r="G601" s="574"/>
      <c r="H601" s="570"/>
      <c r="I601" s="171"/>
    </row>
    <row r="602" spans="1:9">
      <c r="A602" s="567"/>
      <c r="B602" s="518"/>
      <c r="C602" s="568"/>
      <c r="D602" s="569"/>
      <c r="E602" s="569"/>
      <c r="F602" s="568"/>
      <c r="G602" s="574"/>
      <c r="H602" s="570"/>
      <c r="I602" s="171"/>
    </row>
    <row r="603" spans="1:9">
      <c r="A603" s="567"/>
      <c r="B603" s="518"/>
      <c r="C603" s="568"/>
      <c r="D603" s="569"/>
      <c r="E603" s="569"/>
      <c r="F603" s="568"/>
      <c r="G603" s="574"/>
      <c r="H603" s="570"/>
      <c r="I603" s="171"/>
    </row>
    <row r="604" spans="1:9">
      <c r="A604" s="567"/>
      <c r="B604" s="518"/>
      <c r="C604" s="568"/>
      <c r="D604" s="569"/>
      <c r="E604" s="569"/>
      <c r="F604" s="568"/>
      <c r="G604" s="574"/>
      <c r="H604" s="570"/>
      <c r="I604" s="171"/>
    </row>
    <row r="605" spans="1:9">
      <c r="A605" s="567"/>
      <c r="B605" s="518"/>
      <c r="C605" s="568"/>
      <c r="D605" s="569"/>
      <c r="E605" s="569"/>
      <c r="F605" s="568"/>
      <c r="G605" s="574"/>
      <c r="H605" s="570"/>
      <c r="I605" s="171"/>
    </row>
    <row r="606" spans="1:9">
      <c r="A606" s="567"/>
      <c r="B606" s="518"/>
      <c r="C606" s="568"/>
      <c r="D606" s="569"/>
      <c r="E606" s="569"/>
      <c r="F606" s="568"/>
      <c r="G606" s="574"/>
      <c r="H606" s="570"/>
      <c r="I606" s="171"/>
    </row>
    <row r="607" spans="1:9">
      <c r="A607" s="567"/>
      <c r="B607" s="518"/>
      <c r="C607" s="568"/>
      <c r="D607" s="569"/>
      <c r="E607" s="569"/>
      <c r="F607" s="568"/>
      <c r="G607" s="574"/>
      <c r="H607" s="570"/>
      <c r="I607" s="171"/>
    </row>
    <row r="608" spans="1:9">
      <c r="A608" s="567"/>
      <c r="B608" s="518"/>
      <c r="C608" s="568"/>
      <c r="D608" s="569"/>
      <c r="E608" s="569"/>
      <c r="F608" s="568"/>
      <c r="G608" s="574"/>
      <c r="H608" s="570"/>
      <c r="I608" s="171"/>
    </row>
    <row r="609" spans="1:9">
      <c r="A609" s="567"/>
      <c r="B609" s="518"/>
      <c r="C609" s="568"/>
      <c r="D609" s="569"/>
      <c r="E609" s="569"/>
      <c r="F609" s="568"/>
      <c r="G609" s="574"/>
      <c r="H609" s="570"/>
      <c r="I609" s="171"/>
    </row>
    <row r="610" spans="1:9">
      <c r="A610" s="567"/>
      <c r="B610" s="518"/>
      <c r="C610" s="568"/>
      <c r="D610" s="569"/>
      <c r="E610" s="569"/>
      <c r="F610" s="568"/>
      <c r="G610" s="574"/>
      <c r="H610" s="570"/>
      <c r="I610" s="171"/>
    </row>
    <row r="611" spans="1:9">
      <c r="A611" s="567"/>
      <c r="B611" s="518"/>
      <c r="C611" s="568"/>
      <c r="D611" s="569"/>
      <c r="E611" s="569"/>
      <c r="F611" s="568"/>
      <c r="G611" s="574"/>
      <c r="H611" s="570"/>
      <c r="I611" s="171"/>
    </row>
    <row r="612" spans="1:9">
      <c r="A612" s="567"/>
      <c r="B612" s="518"/>
      <c r="C612" s="568"/>
      <c r="D612" s="569"/>
      <c r="E612" s="569"/>
      <c r="F612" s="568"/>
      <c r="G612" s="574"/>
      <c r="H612" s="570"/>
      <c r="I612" s="171"/>
    </row>
    <row r="613" spans="1:9">
      <c r="A613" s="567"/>
      <c r="B613" s="518"/>
      <c r="C613" s="568"/>
      <c r="D613" s="569"/>
      <c r="E613" s="569"/>
      <c r="F613" s="568"/>
      <c r="G613" s="574"/>
      <c r="H613" s="570"/>
      <c r="I613" s="171"/>
    </row>
    <row r="614" spans="1:9">
      <c r="A614" s="567"/>
      <c r="B614" s="518"/>
      <c r="C614" s="568"/>
      <c r="D614" s="569"/>
      <c r="E614" s="569"/>
      <c r="F614" s="568"/>
      <c r="G614" s="574"/>
      <c r="H614" s="570"/>
      <c r="I614" s="171"/>
    </row>
    <row r="615" spans="1:9">
      <c r="A615" s="567"/>
      <c r="B615" s="518"/>
      <c r="C615" s="568"/>
      <c r="D615" s="569"/>
      <c r="E615" s="569"/>
      <c r="F615" s="568"/>
      <c r="G615" s="574"/>
      <c r="H615" s="570"/>
      <c r="I615" s="171"/>
    </row>
    <row r="616" spans="1:9">
      <c r="A616" s="567"/>
      <c r="B616" s="518"/>
      <c r="C616" s="568"/>
      <c r="D616" s="569"/>
      <c r="E616" s="569"/>
      <c r="F616" s="568"/>
      <c r="G616" s="574"/>
      <c r="H616" s="570"/>
      <c r="I616" s="171"/>
    </row>
    <row r="617" spans="1:9">
      <c r="A617" s="567"/>
      <c r="B617" s="518"/>
      <c r="C617" s="568"/>
      <c r="D617" s="569"/>
      <c r="E617" s="569"/>
      <c r="F617" s="568"/>
      <c r="G617" s="574"/>
      <c r="H617" s="570"/>
      <c r="I617" s="171"/>
    </row>
    <row r="618" spans="1:9">
      <c r="A618" s="567"/>
      <c r="B618" s="518"/>
      <c r="C618" s="568"/>
      <c r="D618" s="569"/>
      <c r="E618" s="569"/>
      <c r="F618" s="568"/>
      <c r="G618" s="574"/>
      <c r="H618" s="570"/>
      <c r="I618" s="171"/>
    </row>
    <row r="619" spans="1:9">
      <c r="A619" s="567"/>
      <c r="B619" s="518"/>
      <c r="C619" s="568"/>
      <c r="D619" s="569"/>
      <c r="E619" s="569"/>
      <c r="F619" s="568"/>
      <c r="G619" s="574"/>
      <c r="H619" s="570"/>
      <c r="I619" s="171"/>
    </row>
    <row r="620" spans="1:9">
      <c r="A620" s="567"/>
      <c r="B620" s="518"/>
      <c r="C620" s="568"/>
      <c r="D620" s="569"/>
      <c r="E620" s="569"/>
      <c r="F620" s="568"/>
      <c r="G620" s="574"/>
      <c r="H620" s="570"/>
      <c r="I620" s="171"/>
    </row>
    <row r="621" spans="1:9">
      <c r="A621" s="567"/>
      <c r="B621" s="518"/>
      <c r="C621" s="568"/>
      <c r="D621" s="569"/>
      <c r="E621" s="569"/>
      <c r="F621" s="568"/>
      <c r="G621" s="574"/>
      <c r="H621" s="570"/>
      <c r="I621" s="171"/>
    </row>
    <row r="622" spans="1:9">
      <c r="A622" s="567"/>
      <c r="B622" s="518"/>
      <c r="C622" s="568"/>
      <c r="D622" s="569"/>
      <c r="E622" s="569"/>
      <c r="F622" s="568"/>
      <c r="G622" s="574"/>
      <c r="H622" s="570"/>
      <c r="I622" s="171"/>
    </row>
    <row r="623" spans="1:9">
      <c r="A623" s="567"/>
      <c r="B623" s="518"/>
      <c r="C623" s="568"/>
      <c r="D623" s="569"/>
      <c r="E623" s="569"/>
      <c r="F623" s="568"/>
      <c r="G623" s="574"/>
      <c r="H623" s="570"/>
      <c r="I623" s="171"/>
    </row>
    <row r="624" spans="1:9">
      <c r="A624" s="567"/>
      <c r="B624" s="518"/>
      <c r="C624" s="568"/>
      <c r="D624" s="569"/>
      <c r="E624" s="569"/>
      <c r="F624" s="568"/>
      <c r="G624" s="574"/>
      <c r="H624" s="570"/>
      <c r="I624" s="171"/>
    </row>
    <row r="625" spans="1:9">
      <c r="A625" s="567"/>
      <c r="B625" s="518"/>
      <c r="C625" s="568"/>
      <c r="D625" s="569"/>
      <c r="E625" s="569"/>
      <c r="F625" s="568"/>
      <c r="G625" s="574"/>
      <c r="H625" s="570"/>
      <c r="I625" s="171"/>
    </row>
    <row r="626" spans="1:9">
      <c r="A626" s="567"/>
      <c r="B626" s="518"/>
      <c r="C626" s="568"/>
      <c r="D626" s="569"/>
      <c r="E626" s="569"/>
      <c r="F626" s="568"/>
      <c r="G626" s="574"/>
      <c r="H626" s="570"/>
      <c r="I626" s="171"/>
    </row>
    <row r="627" spans="1:9">
      <c r="A627" s="567"/>
      <c r="B627" s="518"/>
      <c r="C627" s="568"/>
      <c r="D627" s="569"/>
      <c r="E627" s="569"/>
      <c r="F627" s="568"/>
      <c r="G627" s="574"/>
      <c r="H627" s="570"/>
      <c r="I627" s="171"/>
    </row>
    <row r="628" spans="1:9">
      <c r="A628" s="567"/>
      <c r="B628" s="518"/>
      <c r="C628" s="568"/>
      <c r="D628" s="569"/>
      <c r="E628" s="569"/>
      <c r="F628" s="568"/>
      <c r="G628" s="574"/>
      <c r="H628" s="570"/>
      <c r="I628" s="171"/>
    </row>
    <row r="629" spans="1:9">
      <c r="A629" s="567"/>
      <c r="B629" s="518"/>
      <c r="C629" s="568"/>
      <c r="D629" s="569"/>
      <c r="E629" s="569"/>
      <c r="F629" s="568"/>
      <c r="G629" s="574"/>
      <c r="H629" s="570"/>
      <c r="I629" s="171"/>
    </row>
    <row r="630" spans="1:9">
      <c r="A630" s="567"/>
      <c r="B630" s="518"/>
      <c r="C630" s="568"/>
      <c r="D630" s="569"/>
      <c r="E630" s="569"/>
      <c r="F630" s="568"/>
      <c r="G630" s="574"/>
      <c r="H630" s="570"/>
      <c r="I630" s="171"/>
    </row>
    <row r="631" spans="1:9">
      <c r="A631" s="567"/>
      <c r="B631" s="518"/>
      <c r="C631" s="568"/>
      <c r="D631" s="569"/>
      <c r="E631" s="569"/>
      <c r="F631" s="568"/>
      <c r="G631" s="574"/>
      <c r="H631" s="570"/>
      <c r="I631" s="171"/>
    </row>
    <row r="632" spans="1:9">
      <c r="A632" s="567"/>
      <c r="B632" s="518"/>
      <c r="C632" s="568"/>
      <c r="D632" s="569"/>
      <c r="E632" s="569"/>
      <c r="F632" s="568"/>
      <c r="G632" s="574"/>
      <c r="H632" s="570"/>
      <c r="I632" s="171"/>
    </row>
    <row r="633" spans="1:9">
      <c r="A633" s="567"/>
      <c r="B633" s="518"/>
      <c r="C633" s="568"/>
      <c r="D633" s="569"/>
      <c r="E633" s="569"/>
      <c r="F633" s="568"/>
      <c r="G633" s="574"/>
      <c r="H633" s="570"/>
      <c r="I633" s="171"/>
    </row>
    <row r="634" spans="1:9">
      <c r="A634" s="567"/>
      <c r="B634" s="518"/>
      <c r="C634" s="568"/>
      <c r="D634" s="569"/>
      <c r="E634" s="569"/>
      <c r="F634" s="568"/>
      <c r="G634" s="574"/>
      <c r="H634" s="570"/>
      <c r="I634" s="171"/>
    </row>
    <row r="635" spans="1:9">
      <c r="A635" s="567"/>
      <c r="B635" s="518"/>
      <c r="C635" s="568"/>
      <c r="D635" s="569"/>
      <c r="E635" s="569"/>
      <c r="F635" s="568"/>
      <c r="G635" s="574"/>
      <c r="H635" s="570"/>
      <c r="I635" s="171"/>
    </row>
    <row r="636" spans="1:9">
      <c r="A636" s="567"/>
      <c r="B636" s="518"/>
      <c r="C636" s="568"/>
      <c r="D636" s="569"/>
      <c r="E636" s="569"/>
      <c r="F636" s="568"/>
      <c r="G636" s="574"/>
      <c r="H636" s="570"/>
      <c r="I636" s="171"/>
    </row>
    <row r="637" spans="1:9">
      <c r="A637" s="567"/>
      <c r="B637" s="518"/>
      <c r="C637" s="568"/>
      <c r="D637" s="569"/>
      <c r="E637" s="569"/>
      <c r="F637" s="568"/>
      <c r="G637" s="574"/>
      <c r="H637" s="570"/>
      <c r="I637" s="171"/>
    </row>
    <row r="638" spans="1:9">
      <c r="A638" s="567"/>
      <c r="B638" s="518"/>
      <c r="C638" s="568"/>
      <c r="D638" s="569"/>
      <c r="E638" s="569"/>
      <c r="F638" s="568"/>
      <c r="G638" s="574"/>
      <c r="H638" s="570"/>
      <c r="I638" s="171"/>
    </row>
    <row r="639" spans="1:9">
      <c r="A639" s="567"/>
      <c r="B639" s="518"/>
      <c r="C639" s="568"/>
      <c r="D639" s="569"/>
      <c r="E639" s="569"/>
      <c r="F639" s="568"/>
      <c r="G639" s="574"/>
      <c r="H639" s="570"/>
      <c r="I639" s="171"/>
    </row>
    <row r="640" spans="1:9">
      <c r="A640" s="567"/>
      <c r="B640" s="518"/>
      <c r="C640" s="568"/>
      <c r="D640" s="569"/>
      <c r="E640" s="569"/>
      <c r="F640" s="568"/>
      <c r="G640" s="574"/>
      <c r="H640" s="570"/>
      <c r="I640" s="171"/>
    </row>
    <row r="641" spans="1:9">
      <c r="A641" s="567"/>
      <c r="B641" s="518"/>
      <c r="C641" s="568"/>
      <c r="D641" s="569"/>
      <c r="E641" s="569"/>
      <c r="F641" s="568"/>
      <c r="G641" s="574"/>
      <c r="H641" s="570"/>
      <c r="I641" s="171"/>
    </row>
    <row r="642" spans="1:9">
      <c r="A642" s="567"/>
      <c r="B642" s="518"/>
      <c r="C642" s="568"/>
      <c r="D642" s="569"/>
      <c r="E642" s="569"/>
      <c r="F642" s="568"/>
      <c r="G642" s="574"/>
      <c r="H642" s="570"/>
      <c r="I642" s="171"/>
    </row>
    <row r="643" spans="1:9">
      <c r="A643" s="567"/>
      <c r="B643" s="518"/>
      <c r="C643" s="568"/>
      <c r="D643" s="569"/>
      <c r="E643" s="569"/>
      <c r="F643" s="568"/>
      <c r="G643" s="574"/>
      <c r="H643" s="570"/>
      <c r="I643" s="171"/>
    </row>
    <row r="644" spans="1:9">
      <c r="A644" s="567"/>
      <c r="B644" s="518"/>
      <c r="C644" s="568"/>
      <c r="D644" s="569"/>
      <c r="E644" s="569"/>
      <c r="F644" s="568"/>
      <c r="G644" s="574"/>
      <c r="H644" s="570"/>
      <c r="I644" s="171"/>
    </row>
    <row r="645" spans="1:9">
      <c r="A645" s="567"/>
      <c r="B645" s="518"/>
      <c r="C645" s="568"/>
      <c r="D645" s="569"/>
      <c r="E645" s="569"/>
      <c r="F645" s="568"/>
      <c r="G645" s="574"/>
      <c r="H645" s="570"/>
      <c r="I645" s="171"/>
    </row>
    <row r="646" spans="1:9">
      <c r="A646" s="567"/>
      <c r="B646" s="518"/>
      <c r="C646" s="568"/>
      <c r="D646" s="569"/>
      <c r="E646" s="569"/>
      <c r="F646" s="568"/>
      <c r="G646" s="574"/>
      <c r="H646" s="570"/>
      <c r="I646" s="171"/>
    </row>
    <row r="647" spans="1:9">
      <c r="A647" s="567"/>
      <c r="B647" s="518"/>
      <c r="C647" s="568"/>
      <c r="D647" s="569"/>
      <c r="E647" s="569"/>
      <c r="F647" s="568"/>
      <c r="G647" s="574"/>
      <c r="H647" s="570"/>
      <c r="I647" s="171"/>
    </row>
    <row r="648" spans="1:9">
      <c r="A648" s="567"/>
      <c r="B648" s="518"/>
      <c r="C648" s="568"/>
      <c r="D648" s="569"/>
      <c r="E648" s="569"/>
      <c r="F648" s="568"/>
      <c r="G648" s="574"/>
      <c r="H648" s="570"/>
      <c r="I648" s="171"/>
    </row>
    <row r="649" spans="1:9">
      <c r="A649" s="567"/>
      <c r="B649" s="518"/>
      <c r="C649" s="568"/>
      <c r="D649" s="569"/>
      <c r="E649" s="569"/>
      <c r="F649" s="568"/>
      <c r="G649" s="574"/>
      <c r="H649" s="570"/>
      <c r="I649" s="171"/>
    </row>
    <row r="650" spans="1:9">
      <c r="A650" s="567"/>
      <c r="B650" s="518"/>
      <c r="C650" s="568"/>
      <c r="D650" s="569"/>
      <c r="E650" s="569"/>
      <c r="F650" s="568"/>
      <c r="G650" s="574"/>
      <c r="H650" s="570"/>
      <c r="I650" s="171"/>
    </row>
    <row r="651" spans="1:9">
      <c r="A651" s="567"/>
      <c r="B651" s="518"/>
      <c r="C651" s="568"/>
      <c r="D651" s="569"/>
      <c r="E651" s="569"/>
      <c r="F651" s="568"/>
      <c r="G651" s="574"/>
      <c r="H651" s="570"/>
      <c r="I651" s="171"/>
    </row>
    <row r="652" spans="1:9">
      <c r="A652" s="567"/>
      <c r="B652" s="518"/>
      <c r="C652" s="568"/>
      <c r="D652" s="569"/>
      <c r="E652" s="569"/>
      <c r="F652" s="568"/>
      <c r="G652" s="574"/>
      <c r="H652" s="570"/>
      <c r="I652" s="171"/>
    </row>
    <row r="653" spans="1:9">
      <c r="A653" s="567"/>
      <c r="B653" s="518"/>
      <c r="C653" s="568"/>
      <c r="D653" s="569"/>
      <c r="E653" s="569"/>
      <c r="F653" s="568"/>
      <c r="G653" s="574"/>
      <c r="H653" s="570"/>
      <c r="I653" s="171"/>
    </row>
    <row r="654" spans="1:9">
      <c r="A654" s="567"/>
      <c r="B654" s="518"/>
      <c r="C654" s="568"/>
      <c r="D654" s="569"/>
      <c r="E654" s="569"/>
      <c r="F654" s="568"/>
      <c r="G654" s="574"/>
      <c r="H654" s="570"/>
      <c r="I654" s="171"/>
    </row>
    <row r="655" spans="1:9">
      <c r="A655" s="567"/>
      <c r="B655" s="518"/>
      <c r="C655" s="568"/>
      <c r="D655" s="569"/>
      <c r="E655" s="569"/>
      <c r="F655" s="568"/>
      <c r="G655" s="574"/>
      <c r="H655" s="570"/>
      <c r="I655" s="171"/>
    </row>
    <row r="656" spans="1:9">
      <c r="A656" s="567"/>
      <c r="B656" s="518"/>
      <c r="C656" s="568"/>
      <c r="D656" s="569"/>
      <c r="E656" s="569"/>
      <c r="F656" s="568"/>
      <c r="G656" s="574"/>
      <c r="H656" s="570"/>
      <c r="I656" s="171"/>
    </row>
    <row r="657" spans="1:9">
      <c r="A657" s="567"/>
      <c r="B657" s="518"/>
      <c r="C657" s="568"/>
      <c r="D657" s="569"/>
      <c r="E657" s="569"/>
      <c r="F657" s="568"/>
      <c r="G657" s="574"/>
      <c r="H657" s="570"/>
      <c r="I657" s="171"/>
    </row>
    <row r="658" spans="1:9">
      <c r="A658" s="567"/>
      <c r="B658" s="518"/>
      <c r="C658" s="568"/>
      <c r="D658" s="569"/>
      <c r="E658" s="569"/>
      <c r="F658" s="568"/>
      <c r="G658" s="574"/>
      <c r="H658" s="570"/>
      <c r="I658" s="171"/>
    </row>
    <row r="659" spans="1:9">
      <c r="A659" s="567"/>
      <c r="B659" s="518"/>
      <c r="C659" s="568"/>
      <c r="D659" s="569"/>
      <c r="E659" s="569"/>
      <c r="F659" s="568"/>
      <c r="G659" s="574"/>
      <c r="H659" s="570"/>
      <c r="I659" s="171"/>
    </row>
    <row r="660" spans="1:9">
      <c r="A660" s="567"/>
      <c r="B660" s="518"/>
      <c r="C660" s="568"/>
      <c r="D660" s="569"/>
      <c r="E660" s="569"/>
      <c r="F660" s="568"/>
      <c r="G660" s="574"/>
      <c r="H660" s="570"/>
      <c r="I660" s="171"/>
    </row>
    <row r="661" spans="1:9">
      <c r="A661" s="567"/>
      <c r="B661" s="518"/>
      <c r="C661" s="568"/>
      <c r="D661" s="569"/>
      <c r="E661" s="569"/>
      <c r="F661" s="568"/>
      <c r="G661" s="574"/>
      <c r="H661" s="570"/>
      <c r="I661" s="171"/>
    </row>
    <row r="662" spans="1:9">
      <c r="A662" s="567"/>
      <c r="B662" s="518"/>
      <c r="C662" s="568"/>
      <c r="D662" s="569"/>
      <c r="E662" s="569"/>
      <c r="F662" s="568"/>
      <c r="G662" s="574"/>
      <c r="H662" s="570"/>
      <c r="I662" s="171"/>
    </row>
    <row r="663" spans="1:9">
      <c r="A663" s="567"/>
      <c r="B663" s="518"/>
      <c r="C663" s="568"/>
      <c r="D663" s="569"/>
      <c r="E663" s="569"/>
      <c r="F663" s="568"/>
      <c r="G663" s="574"/>
      <c r="H663" s="570"/>
      <c r="I663" s="171"/>
    </row>
    <row r="664" spans="1:9">
      <c r="A664" s="567"/>
      <c r="B664" s="518"/>
      <c r="C664" s="568"/>
      <c r="D664" s="569"/>
      <c r="E664" s="569"/>
      <c r="F664" s="568"/>
      <c r="G664" s="574"/>
      <c r="H664" s="570"/>
      <c r="I664" s="171"/>
    </row>
    <row r="665" spans="1:9">
      <c r="A665" s="567"/>
      <c r="B665" s="518"/>
      <c r="C665" s="568"/>
      <c r="D665" s="569"/>
      <c r="E665" s="569"/>
      <c r="F665" s="568"/>
      <c r="G665" s="574"/>
      <c r="H665" s="570"/>
      <c r="I665" s="171"/>
    </row>
    <row r="666" spans="1:9">
      <c r="A666" s="567"/>
      <c r="B666" s="518"/>
      <c r="C666" s="568"/>
      <c r="D666" s="569"/>
      <c r="E666" s="569"/>
      <c r="F666" s="568"/>
      <c r="G666" s="574"/>
      <c r="H666" s="570"/>
      <c r="I666" s="171"/>
    </row>
    <row r="667" spans="1:9">
      <c r="A667" s="567"/>
      <c r="B667" s="518"/>
      <c r="C667" s="568"/>
      <c r="D667" s="569"/>
      <c r="E667" s="569"/>
      <c r="F667" s="568"/>
      <c r="G667" s="574"/>
      <c r="H667" s="570"/>
      <c r="I667" s="171"/>
    </row>
    <row r="668" spans="1:9">
      <c r="A668" s="567"/>
      <c r="B668" s="518"/>
      <c r="C668" s="568"/>
      <c r="D668" s="569"/>
      <c r="E668" s="569"/>
      <c r="F668" s="568"/>
      <c r="G668" s="574"/>
      <c r="H668" s="570"/>
      <c r="I668" s="171"/>
    </row>
    <row r="669" spans="1:9">
      <c r="A669" s="567"/>
      <c r="B669" s="518"/>
      <c r="C669" s="568"/>
      <c r="D669" s="569"/>
      <c r="E669" s="569"/>
      <c r="F669" s="568"/>
      <c r="G669" s="574"/>
      <c r="H669" s="570"/>
      <c r="I669" s="171"/>
    </row>
    <row r="670" spans="1:9">
      <c r="A670" s="567"/>
      <c r="B670" s="518"/>
      <c r="C670" s="568"/>
      <c r="D670" s="569"/>
      <c r="E670" s="569"/>
      <c r="F670" s="568"/>
      <c r="G670" s="574"/>
      <c r="H670" s="570"/>
      <c r="I670" s="171"/>
    </row>
    <row r="671" spans="1:9">
      <c r="A671" s="567"/>
      <c r="B671" s="518"/>
      <c r="C671" s="568"/>
      <c r="D671" s="569"/>
      <c r="E671" s="569"/>
      <c r="F671" s="568"/>
      <c r="G671" s="574"/>
      <c r="H671" s="570"/>
      <c r="I671" s="171"/>
    </row>
    <row r="672" spans="1:9">
      <c r="A672" s="567"/>
      <c r="B672" s="518"/>
      <c r="C672" s="568"/>
      <c r="D672" s="569"/>
      <c r="E672" s="569"/>
      <c r="F672" s="568"/>
      <c r="G672" s="574"/>
      <c r="H672" s="570"/>
      <c r="I672" s="171"/>
    </row>
    <row r="673" spans="1:9">
      <c r="A673" s="567"/>
      <c r="B673" s="518"/>
      <c r="C673" s="568"/>
      <c r="D673" s="569"/>
      <c r="E673" s="569"/>
      <c r="F673" s="568"/>
      <c r="G673" s="574"/>
      <c r="H673" s="570"/>
      <c r="I673" s="171"/>
    </row>
    <row r="674" spans="1:9">
      <c r="A674" s="567"/>
      <c r="B674" s="518"/>
      <c r="C674" s="568"/>
      <c r="D674" s="569"/>
      <c r="E674" s="569"/>
      <c r="F674" s="568"/>
      <c r="G674" s="574"/>
      <c r="H674" s="570"/>
      <c r="I674" s="171"/>
    </row>
    <row r="675" spans="1:9">
      <c r="A675" s="567"/>
      <c r="B675" s="518"/>
      <c r="C675" s="568"/>
      <c r="D675" s="569"/>
      <c r="E675" s="569"/>
      <c r="F675" s="568"/>
      <c r="G675" s="574"/>
      <c r="H675" s="570"/>
      <c r="I675" s="171"/>
    </row>
    <row r="676" spans="1:9">
      <c r="A676" s="567"/>
      <c r="B676" s="518"/>
      <c r="C676" s="568"/>
      <c r="D676" s="569"/>
      <c r="E676" s="569"/>
      <c r="F676" s="568"/>
      <c r="G676" s="574"/>
      <c r="H676" s="570"/>
      <c r="I676" s="171"/>
    </row>
    <row r="677" spans="1:9">
      <c r="A677" s="567"/>
      <c r="B677" s="518"/>
      <c r="C677" s="568"/>
      <c r="D677" s="569"/>
      <c r="E677" s="569"/>
      <c r="F677" s="568"/>
      <c r="G677" s="574"/>
      <c r="H677" s="570"/>
      <c r="I677" s="171"/>
    </row>
    <row r="678" spans="1:9">
      <c r="A678" s="567"/>
      <c r="B678" s="518"/>
      <c r="C678" s="568"/>
      <c r="D678" s="569"/>
      <c r="E678" s="569"/>
      <c r="F678" s="568"/>
      <c r="G678" s="574"/>
      <c r="H678" s="570"/>
      <c r="I678" s="171"/>
    </row>
    <row r="679" spans="1:9">
      <c r="A679" s="567"/>
      <c r="B679" s="518"/>
      <c r="C679" s="568"/>
      <c r="D679" s="569"/>
      <c r="E679" s="569"/>
      <c r="F679" s="568"/>
      <c r="G679" s="574"/>
      <c r="H679" s="570"/>
      <c r="I679" s="171"/>
    </row>
    <row r="680" spans="1:9">
      <c r="A680" s="567"/>
      <c r="B680" s="518"/>
      <c r="C680" s="568"/>
      <c r="D680" s="569"/>
      <c r="E680" s="569"/>
      <c r="F680" s="568"/>
      <c r="G680" s="574"/>
      <c r="H680" s="570"/>
      <c r="I680" s="171"/>
    </row>
    <row r="681" spans="1:9">
      <c r="A681" s="567"/>
      <c r="B681" s="518"/>
      <c r="C681" s="568"/>
      <c r="D681" s="569"/>
      <c r="E681" s="569"/>
      <c r="F681" s="568"/>
      <c r="G681" s="574"/>
      <c r="H681" s="570"/>
      <c r="I681" s="171"/>
    </row>
    <row r="682" spans="1:9">
      <c r="A682" s="567"/>
      <c r="B682" s="518"/>
      <c r="C682" s="568"/>
      <c r="D682" s="569"/>
      <c r="E682" s="569"/>
      <c r="F682" s="568"/>
      <c r="G682" s="574"/>
      <c r="H682" s="570"/>
      <c r="I682" s="171"/>
    </row>
    <row r="683" spans="1:9">
      <c r="A683" s="567"/>
      <c r="B683" s="518"/>
      <c r="C683" s="568"/>
      <c r="D683" s="569"/>
      <c r="E683" s="569"/>
      <c r="F683" s="568"/>
      <c r="G683" s="574"/>
      <c r="H683" s="570"/>
      <c r="I683" s="171"/>
    </row>
    <row r="684" spans="1:9">
      <c r="A684" s="567"/>
      <c r="B684" s="518"/>
      <c r="C684" s="568"/>
      <c r="D684" s="569"/>
      <c r="E684" s="569"/>
      <c r="F684" s="568"/>
      <c r="G684" s="574"/>
      <c r="H684" s="570"/>
      <c r="I684" s="171"/>
    </row>
    <row r="685" spans="1:9">
      <c r="A685" s="567"/>
      <c r="B685" s="518"/>
      <c r="C685" s="568"/>
      <c r="D685" s="569"/>
      <c r="E685" s="569"/>
      <c r="F685" s="568"/>
      <c r="G685" s="574"/>
      <c r="H685" s="570"/>
      <c r="I685" s="171"/>
    </row>
    <row r="686" spans="1:9">
      <c r="A686" s="567"/>
      <c r="B686" s="518"/>
      <c r="C686" s="568"/>
      <c r="D686" s="569"/>
      <c r="E686" s="569"/>
      <c r="F686" s="568"/>
      <c r="G686" s="574"/>
      <c r="H686" s="570"/>
      <c r="I686" s="171"/>
    </row>
    <row r="687" spans="1:9">
      <c r="A687" s="567"/>
      <c r="B687" s="518"/>
      <c r="C687" s="568"/>
      <c r="D687" s="569"/>
      <c r="E687" s="569"/>
      <c r="F687" s="568"/>
      <c r="G687" s="574"/>
      <c r="H687" s="570"/>
      <c r="I687" s="171"/>
    </row>
    <row r="688" spans="1:9">
      <c r="A688" s="567"/>
      <c r="B688" s="518"/>
      <c r="C688" s="568"/>
      <c r="D688" s="569"/>
      <c r="E688" s="569"/>
      <c r="F688" s="568"/>
      <c r="G688" s="574"/>
      <c r="H688" s="570"/>
      <c r="I688" s="171"/>
    </row>
    <row r="689" spans="1:9">
      <c r="A689" s="567"/>
      <c r="B689" s="518"/>
      <c r="C689" s="568"/>
      <c r="D689" s="569"/>
      <c r="E689" s="569"/>
      <c r="F689" s="568"/>
      <c r="G689" s="574"/>
      <c r="H689" s="570"/>
      <c r="I689" s="171"/>
    </row>
    <row r="690" spans="1:9">
      <c r="A690" s="567"/>
      <c r="B690" s="518"/>
      <c r="C690" s="568"/>
      <c r="D690" s="569"/>
      <c r="E690" s="569"/>
      <c r="F690" s="568"/>
      <c r="G690" s="574"/>
      <c r="H690" s="570"/>
      <c r="I690" s="171"/>
    </row>
    <row r="691" spans="1:9">
      <c r="A691" s="567"/>
      <c r="B691" s="518"/>
      <c r="C691" s="568"/>
      <c r="D691" s="569"/>
      <c r="E691" s="569"/>
      <c r="F691" s="568"/>
      <c r="G691" s="574"/>
      <c r="H691" s="570"/>
      <c r="I691" s="171"/>
    </row>
    <row r="692" spans="1:9">
      <c r="A692" s="567"/>
      <c r="B692" s="518"/>
      <c r="C692" s="568"/>
      <c r="D692" s="569"/>
      <c r="E692" s="569"/>
      <c r="F692" s="568"/>
      <c r="G692" s="574"/>
      <c r="H692" s="570"/>
      <c r="I692" s="171"/>
    </row>
    <row r="693" spans="1:9">
      <c r="A693" s="567"/>
      <c r="B693" s="518"/>
      <c r="C693" s="568"/>
      <c r="D693" s="569"/>
      <c r="E693" s="569"/>
      <c r="F693" s="568"/>
      <c r="G693" s="574"/>
      <c r="H693" s="570"/>
      <c r="I693" s="171"/>
    </row>
    <row r="694" spans="1:9">
      <c r="A694" s="567"/>
      <c r="B694" s="518"/>
      <c r="C694" s="568"/>
      <c r="D694" s="569"/>
      <c r="E694" s="569"/>
      <c r="F694" s="568"/>
      <c r="G694" s="574"/>
      <c r="H694" s="570"/>
      <c r="I694" s="171"/>
    </row>
    <row r="695" spans="1:9">
      <c r="A695" s="567"/>
      <c r="B695" s="518"/>
      <c r="C695" s="568"/>
      <c r="D695" s="569"/>
      <c r="E695" s="569"/>
      <c r="F695" s="568"/>
      <c r="G695" s="574"/>
      <c r="H695" s="570"/>
      <c r="I695" s="171"/>
    </row>
    <row r="696" spans="1:9">
      <c r="A696" s="567"/>
      <c r="B696" s="518"/>
      <c r="C696" s="568"/>
      <c r="D696" s="569"/>
      <c r="E696" s="569"/>
      <c r="F696" s="568"/>
      <c r="G696" s="574"/>
      <c r="H696" s="570"/>
      <c r="I696" s="171"/>
    </row>
    <row r="697" spans="1:9">
      <c r="A697" s="567"/>
      <c r="B697" s="518"/>
      <c r="C697" s="568"/>
      <c r="D697" s="569"/>
      <c r="E697" s="569"/>
      <c r="F697" s="568"/>
      <c r="G697" s="574"/>
      <c r="H697" s="570"/>
      <c r="I697" s="171"/>
    </row>
    <row r="698" spans="1:9">
      <c r="A698" s="567"/>
      <c r="B698" s="518"/>
      <c r="C698" s="568"/>
      <c r="D698" s="569"/>
      <c r="E698" s="569"/>
      <c r="F698" s="568"/>
      <c r="G698" s="574"/>
      <c r="H698" s="570"/>
      <c r="I698" s="171"/>
    </row>
    <row r="699" spans="1:9">
      <c r="A699" s="567"/>
      <c r="B699" s="518"/>
      <c r="C699" s="568"/>
      <c r="D699" s="569"/>
      <c r="E699" s="569"/>
      <c r="F699" s="568"/>
      <c r="G699" s="574"/>
      <c r="H699" s="570"/>
      <c r="I699" s="171"/>
    </row>
    <row r="700" spans="1:9">
      <c r="A700" s="567"/>
      <c r="B700" s="518"/>
      <c r="C700" s="568"/>
      <c r="D700" s="569"/>
      <c r="E700" s="569"/>
      <c r="F700" s="568"/>
      <c r="G700" s="574"/>
      <c r="H700" s="570"/>
      <c r="I700" s="171"/>
    </row>
    <row r="701" spans="1:9">
      <c r="A701" s="567"/>
      <c r="B701" s="518"/>
      <c r="C701" s="568"/>
      <c r="D701" s="569"/>
      <c r="E701" s="569"/>
      <c r="F701" s="568"/>
      <c r="G701" s="574"/>
      <c r="H701" s="570"/>
      <c r="I701" s="171"/>
    </row>
    <row r="702" spans="1:9">
      <c r="A702" s="567"/>
      <c r="B702" s="518"/>
      <c r="C702" s="568"/>
      <c r="D702" s="569"/>
      <c r="E702" s="569"/>
      <c r="F702" s="568"/>
      <c r="G702" s="574"/>
      <c r="H702" s="570"/>
      <c r="I702" s="171"/>
    </row>
    <row r="703" spans="1:9">
      <c r="A703" s="567"/>
      <c r="B703" s="518"/>
      <c r="C703" s="568"/>
      <c r="D703" s="569"/>
      <c r="E703" s="569"/>
      <c r="F703" s="568"/>
      <c r="G703" s="574"/>
      <c r="H703" s="570"/>
      <c r="I703" s="171"/>
    </row>
    <row r="704" spans="1:9">
      <c r="A704" s="567"/>
      <c r="B704" s="518"/>
      <c r="C704" s="568"/>
      <c r="D704" s="569"/>
      <c r="E704" s="569"/>
      <c r="F704" s="568"/>
      <c r="G704" s="574"/>
      <c r="H704" s="570"/>
      <c r="I704" s="171"/>
    </row>
    <row r="705" spans="1:9">
      <c r="A705" s="567"/>
      <c r="B705" s="518"/>
      <c r="C705" s="568"/>
      <c r="D705" s="569"/>
      <c r="E705" s="569"/>
      <c r="F705" s="568"/>
      <c r="G705" s="574"/>
      <c r="H705" s="570"/>
      <c r="I705" s="171"/>
    </row>
    <row r="706" spans="1:9">
      <c r="A706" s="567"/>
      <c r="B706" s="518"/>
      <c r="C706" s="568"/>
      <c r="D706" s="569"/>
      <c r="E706" s="569"/>
      <c r="F706" s="568"/>
      <c r="G706" s="574"/>
      <c r="H706" s="570"/>
      <c r="I706" s="171"/>
    </row>
    <row r="707" spans="1:9">
      <c r="A707" s="567"/>
      <c r="B707" s="518"/>
      <c r="C707" s="568"/>
      <c r="D707" s="569"/>
      <c r="E707" s="569"/>
      <c r="F707" s="568"/>
      <c r="G707" s="574"/>
      <c r="H707" s="570"/>
      <c r="I707" s="171"/>
    </row>
    <row r="708" spans="1:9">
      <c r="A708" s="567"/>
      <c r="B708" s="518"/>
      <c r="C708" s="568"/>
      <c r="D708" s="569"/>
      <c r="E708" s="569"/>
      <c r="F708" s="568"/>
      <c r="G708" s="574"/>
      <c r="H708" s="570"/>
      <c r="I708" s="171"/>
    </row>
    <row r="709" spans="1:9">
      <c r="A709" s="567"/>
      <c r="B709" s="518"/>
      <c r="C709" s="568"/>
      <c r="D709" s="569"/>
      <c r="E709" s="569"/>
      <c r="F709" s="568"/>
      <c r="G709" s="574"/>
      <c r="H709" s="570"/>
      <c r="I709" s="171"/>
    </row>
    <row r="710" spans="1:9">
      <c r="A710" s="567"/>
      <c r="B710" s="518"/>
      <c r="C710" s="568"/>
      <c r="D710" s="569"/>
      <c r="E710" s="569"/>
      <c r="F710" s="568"/>
      <c r="G710" s="574"/>
      <c r="H710" s="570"/>
      <c r="I710" s="171"/>
    </row>
    <row r="711" spans="1:9">
      <c r="A711" s="567"/>
      <c r="B711" s="518"/>
      <c r="C711" s="568"/>
      <c r="D711" s="569"/>
      <c r="E711" s="569"/>
      <c r="F711" s="568"/>
      <c r="G711" s="574"/>
      <c r="H711" s="570"/>
      <c r="I711" s="171"/>
    </row>
    <row r="712" spans="1:9">
      <c r="A712" s="567"/>
      <c r="B712" s="518"/>
      <c r="C712" s="568"/>
      <c r="D712" s="569"/>
      <c r="E712" s="569"/>
      <c r="F712" s="568"/>
      <c r="G712" s="574"/>
      <c r="H712" s="570"/>
      <c r="I712" s="171"/>
    </row>
    <row r="713" spans="1:9">
      <c r="A713" s="567"/>
      <c r="B713" s="518"/>
      <c r="C713" s="568"/>
      <c r="D713" s="569"/>
      <c r="E713" s="569"/>
      <c r="F713" s="568"/>
      <c r="G713" s="574"/>
      <c r="H713" s="570"/>
      <c r="I713" s="171"/>
    </row>
    <row r="714" spans="1:9">
      <c r="A714" s="567"/>
      <c r="B714" s="518"/>
      <c r="C714" s="568"/>
      <c r="D714" s="569"/>
      <c r="E714" s="569"/>
      <c r="F714" s="568"/>
      <c r="G714" s="574"/>
      <c r="H714" s="570"/>
      <c r="I714" s="171"/>
    </row>
    <row r="715" spans="1:9">
      <c r="A715" s="567"/>
      <c r="B715" s="518"/>
      <c r="C715" s="568"/>
      <c r="D715" s="569"/>
      <c r="E715" s="569"/>
      <c r="F715" s="568"/>
      <c r="G715" s="574"/>
      <c r="H715" s="570"/>
      <c r="I715" s="171"/>
    </row>
    <row r="716" spans="1:9">
      <c r="A716" s="567"/>
      <c r="B716" s="518"/>
      <c r="C716" s="568"/>
      <c r="D716" s="569"/>
      <c r="E716" s="569"/>
      <c r="F716" s="568"/>
      <c r="G716" s="574"/>
      <c r="H716" s="570"/>
      <c r="I716" s="171"/>
    </row>
    <row r="717" spans="1:9">
      <c r="A717" s="567"/>
      <c r="B717" s="518"/>
      <c r="C717" s="568"/>
      <c r="D717" s="569"/>
      <c r="E717" s="569"/>
      <c r="F717" s="568"/>
      <c r="G717" s="574"/>
      <c r="H717" s="570"/>
      <c r="I717" s="171"/>
    </row>
    <row r="718" spans="1:9">
      <c r="A718" s="567"/>
      <c r="B718" s="518"/>
      <c r="C718" s="568"/>
      <c r="D718" s="569"/>
      <c r="E718" s="569"/>
      <c r="F718" s="568"/>
      <c r="G718" s="574"/>
      <c r="H718" s="570"/>
      <c r="I718" s="171"/>
    </row>
    <row r="719" spans="1:9">
      <c r="A719" s="567"/>
      <c r="B719" s="518"/>
      <c r="C719" s="568"/>
      <c r="D719" s="569"/>
      <c r="E719" s="569"/>
      <c r="F719" s="568"/>
      <c r="G719" s="574"/>
      <c r="H719" s="570"/>
      <c r="I719" s="171"/>
    </row>
    <row r="720" spans="1:9">
      <c r="A720" s="567"/>
      <c r="B720" s="518"/>
      <c r="C720" s="568"/>
      <c r="D720" s="569"/>
      <c r="E720" s="569"/>
      <c r="F720" s="568"/>
      <c r="G720" s="574"/>
      <c r="H720" s="570"/>
      <c r="I720" s="171"/>
    </row>
    <row r="721" spans="1:9">
      <c r="A721" s="567"/>
      <c r="B721" s="518"/>
      <c r="C721" s="568"/>
      <c r="D721" s="569"/>
      <c r="E721" s="569"/>
      <c r="F721" s="568"/>
      <c r="G721" s="574"/>
      <c r="H721" s="570"/>
      <c r="I721" s="171"/>
    </row>
    <row r="722" spans="1:9">
      <c r="A722" s="567"/>
      <c r="B722" s="518"/>
      <c r="C722" s="568"/>
      <c r="D722" s="569"/>
      <c r="E722" s="569"/>
      <c r="F722" s="568"/>
      <c r="G722" s="574"/>
      <c r="H722" s="570"/>
      <c r="I722" s="171"/>
    </row>
    <row r="723" spans="1:9">
      <c r="A723" s="567"/>
      <c r="B723" s="518"/>
      <c r="C723" s="568"/>
      <c r="D723" s="569"/>
      <c r="E723" s="569"/>
      <c r="F723" s="568"/>
      <c r="G723" s="574"/>
      <c r="H723" s="570"/>
      <c r="I723" s="171"/>
    </row>
    <row r="724" spans="1:9">
      <c r="A724" s="567"/>
      <c r="B724" s="518"/>
      <c r="C724" s="568"/>
      <c r="D724" s="569"/>
      <c r="E724" s="569"/>
      <c r="F724" s="568"/>
      <c r="G724" s="574"/>
      <c r="H724" s="570"/>
      <c r="I724" s="171"/>
    </row>
    <row r="725" spans="1:9">
      <c r="A725" s="567"/>
      <c r="B725" s="518"/>
      <c r="C725" s="568"/>
      <c r="D725" s="569"/>
      <c r="E725" s="569"/>
      <c r="F725" s="568"/>
      <c r="G725" s="574"/>
      <c r="H725" s="570"/>
      <c r="I725" s="171"/>
    </row>
    <row r="726" spans="1:9">
      <c r="A726" s="567"/>
      <c r="B726" s="518"/>
      <c r="C726" s="568"/>
      <c r="D726" s="569"/>
      <c r="E726" s="569"/>
      <c r="F726" s="568"/>
      <c r="G726" s="574"/>
      <c r="H726" s="570"/>
      <c r="I726" s="171"/>
    </row>
    <row r="727" spans="1:9">
      <c r="A727" s="567"/>
      <c r="B727" s="518"/>
      <c r="C727" s="568"/>
      <c r="D727" s="569"/>
      <c r="E727" s="569"/>
      <c r="F727" s="568"/>
      <c r="G727" s="574"/>
      <c r="H727" s="570"/>
      <c r="I727" s="171"/>
    </row>
    <row r="728" spans="1:9">
      <c r="A728" s="567"/>
      <c r="B728" s="518"/>
      <c r="C728" s="568"/>
      <c r="D728" s="569"/>
      <c r="E728" s="569"/>
      <c r="F728" s="568"/>
      <c r="G728" s="574"/>
      <c r="H728" s="570"/>
      <c r="I728" s="171"/>
    </row>
    <row r="729" spans="1:9">
      <c r="A729" s="567"/>
      <c r="B729" s="518"/>
      <c r="C729" s="568"/>
      <c r="D729" s="569"/>
      <c r="E729" s="569"/>
      <c r="F729" s="568"/>
      <c r="G729" s="574"/>
      <c r="H729" s="570"/>
      <c r="I729" s="171"/>
    </row>
    <row r="730" spans="1:9">
      <c r="A730" s="567"/>
      <c r="B730" s="518"/>
      <c r="C730" s="568"/>
      <c r="D730" s="569"/>
      <c r="E730" s="569"/>
      <c r="F730" s="568"/>
      <c r="G730" s="574"/>
      <c r="H730" s="570"/>
      <c r="I730" s="171"/>
    </row>
    <row r="731" spans="1:9">
      <c r="A731" s="567"/>
      <c r="B731" s="518"/>
      <c r="C731" s="568"/>
      <c r="D731" s="569"/>
      <c r="E731" s="569"/>
      <c r="F731" s="568"/>
      <c r="G731" s="574"/>
      <c r="H731" s="570"/>
      <c r="I731" s="171"/>
    </row>
    <row r="732" spans="1:9">
      <c r="A732" s="567"/>
      <c r="B732" s="518"/>
      <c r="C732" s="568"/>
      <c r="D732" s="569"/>
      <c r="E732" s="569"/>
      <c r="F732" s="568"/>
      <c r="G732" s="574"/>
      <c r="H732" s="570"/>
      <c r="I732" s="171"/>
    </row>
    <row r="733" spans="1:9">
      <c r="A733" s="567"/>
      <c r="B733" s="518"/>
      <c r="C733" s="568"/>
      <c r="D733" s="569"/>
      <c r="E733" s="569"/>
      <c r="F733" s="568"/>
      <c r="G733" s="574"/>
      <c r="H733" s="570"/>
      <c r="I733" s="171"/>
    </row>
    <row r="734" spans="1:9">
      <c r="A734" s="567"/>
      <c r="B734" s="518"/>
      <c r="C734" s="568"/>
      <c r="D734" s="569"/>
      <c r="E734" s="569"/>
      <c r="F734" s="568"/>
      <c r="G734" s="574"/>
      <c r="H734" s="570"/>
      <c r="I734" s="171"/>
    </row>
    <row r="735" spans="1:9">
      <c r="A735" s="567"/>
      <c r="B735" s="518"/>
      <c r="C735" s="568"/>
      <c r="D735" s="569"/>
      <c r="E735" s="569"/>
      <c r="F735" s="568"/>
      <c r="G735" s="574"/>
      <c r="H735" s="570"/>
      <c r="I735" s="171"/>
    </row>
    <row r="736" spans="1:9">
      <c r="A736" s="567"/>
      <c r="B736" s="518"/>
      <c r="C736" s="568"/>
      <c r="D736" s="569"/>
      <c r="E736" s="569"/>
      <c r="F736" s="568"/>
      <c r="G736" s="574"/>
      <c r="H736" s="570"/>
      <c r="I736" s="171"/>
    </row>
    <row r="737" spans="1:9">
      <c r="A737" s="567"/>
      <c r="B737" s="518"/>
      <c r="C737" s="568"/>
      <c r="D737" s="569"/>
      <c r="E737" s="569"/>
      <c r="F737" s="568"/>
      <c r="G737" s="574"/>
      <c r="H737" s="570"/>
      <c r="I737" s="171"/>
    </row>
    <row r="738" spans="1:9">
      <c r="A738" s="567"/>
      <c r="B738" s="518"/>
      <c r="C738" s="568"/>
      <c r="D738" s="569"/>
      <c r="E738" s="569"/>
      <c r="F738" s="568"/>
      <c r="G738" s="574"/>
      <c r="H738" s="570"/>
      <c r="I738" s="171"/>
    </row>
    <row r="739" spans="1:9">
      <c r="A739" s="567"/>
      <c r="B739" s="518"/>
      <c r="C739" s="568"/>
      <c r="D739" s="569"/>
      <c r="E739" s="569"/>
      <c r="F739" s="568"/>
      <c r="G739" s="574"/>
      <c r="H739" s="570"/>
      <c r="I739" s="171"/>
    </row>
    <row r="740" spans="1:9">
      <c r="A740" s="567"/>
      <c r="B740" s="518"/>
      <c r="C740" s="568"/>
      <c r="D740" s="569"/>
      <c r="E740" s="569"/>
      <c r="F740" s="568"/>
      <c r="G740" s="574"/>
      <c r="H740" s="570"/>
      <c r="I740" s="171"/>
    </row>
    <row r="741" spans="1:9">
      <c r="A741" s="567"/>
      <c r="B741" s="518"/>
      <c r="C741" s="568"/>
      <c r="D741" s="569"/>
      <c r="E741" s="569"/>
      <c r="F741" s="568"/>
      <c r="G741" s="574"/>
      <c r="H741" s="570"/>
      <c r="I741" s="171"/>
    </row>
    <row r="742" spans="1:9">
      <c r="A742" s="567"/>
      <c r="B742" s="518"/>
      <c r="C742" s="568"/>
      <c r="D742" s="569"/>
      <c r="E742" s="569"/>
      <c r="F742" s="568"/>
      <c r="G742" s="574"/>
      <c r="H742" s="570"/>
      <c r="I742" s="171"/>
    </row>
    <row r="743" spans="1:9">
      <c r="A743" s="567"/>
      <c r="B743" s="518"/>
      <c r="C743" s="568"/>
      <c r="D743" s="569"/>
      <c r="E743" s="569"/>
      <c r="F743" s="568"/>
      <c r="G743" s="574"/>
      <c r="H743" s="570"/>
      <c r="I743" s="171"/>
    </row>
    <row r="744" spans="1:9">
      <c r="A744" s="567"/>
      <c r="B744" s="518"/>
      <c r="C744" s="568"/>
      <c r="D744" s="569"/>
      <c r="E744" s="569"/>
      <c r="F744" s="568"/>
      <c r="G744" s="574"/>
      <c r="H744" s="570"/>
      <c r="I744" s="171"/>
    </row>
    <row r="745" spans="1:9">
      <c r="A745" s="567"/>
      <c r="B745" s="518"/>
      <c r="C745" s="568"/>
      <c r="D745" s="569"/>
      <c r="E745" s="569"/>
      <c r="F745" s="568"/>
      <c r="G745" s="574"/>
      <c r="H745" s="570"/>
      <c r="I745" s="171"/>
    </row>
    <row r="746" spans="1:9">
      <c r="A746" s="567"/>
      <c r="B746" s="518"/>
      <c r="C746" s="568"/>
      <c r="D746" s="569"/>
      <c r="E746" s="569"/>
      <c r="F746" s="568"/>
      <c r="G746" s="574"/>
      <c r="H746" s="570"/>
      <c r="I746" s="171"/>
    </row>
    <row r="747" spans="1:9">
      <c r="A747" s="567"/>
      <c r="B747" s="518"/>
      <c r="C747" s="568"/>
      <c r="D747" s="569"/>
      <c r="E747" s="569"/>
      <c r="F747" s="568"/>
      <c r="G747" s="574"/>
      <c r="H747" s="570"/>
      <c r="I747" s="171"/>
    </row>
    <row r="748" spans="1:9">
      <c r="A748" s="567"/>
      <c r="B748" s="518"/>
      <c r="C748" s="568"/>
      <c r="D748" s="569"/>
      <c r="E748" s="569"/>
      <c r="F748" s="568"/>
      <c r="G748" s="574"/>
      <c r="H748" s="570"/>
      <c r="I748" s="171"/>
    </row>
    <row r="749" spans="1:9">
      <c r="A749" s="567"/>
      <c r="B749" s="518"/>
      <c r="C749" s="568"/>
      <c r="D749" s="569"/>
      <c r="E749" s="569"/>
      <c r="F749" s="568"/>
      <c r="G749" s="574"/>
      <c r="H749" s="570"/>
      <c r="I749" s="171"/>
    </row>
    <row r="750" spans="1:9">
      <c r="A750" s="567"/>
      <c r="B750" s="518"/>
      <c r="C750" s="568"/>
      <c r="D750" s="569"/>
      <c r="E750" s="569"/>
      <c r="F750" s="568"/>
      <c r="G750" s="574"/>
      <c r="H750" s="570"/>
      <c r="I750" s="171"/>
    </row>
    <row r="751" spans="1:9">
      <c r="A751" s="567"/>
      <c r="B751" s="518"/>
      <c r="C751" s="568"/>
      <c r="D751" s="569"/>
      <c r="E751" s="569"/>
      <c r="F751" s="568"/>
      <c r="G751" s="574"/>
      <c r="H751" s="570"/>
      <c r="I751" s="171"/>
    </row>
    <row r="752" spans="1:9">
      <c r="A752" s="567"/>
      <c r="B752" s="518"/>
      <c r="C752" s="568"/>
      <c r="D752" s="569"/>
      <c r="E752" s="569"/>
      <c r="F752" s="568"/>
      <c r="G752" s="574"/>
      <c r="H752" s="570"/>
      <c r="I752" s="171"/>
    </row>
    <row r="753" spans="1:9">
      <c r="A753" s="567"/>
      <c r="B753" s="518"/>
      <c r="C753" s="568"/>
      <c r="D753" s="569"/>
      <c r="E753" s="569"/>
      <c r="F753" s="568"/>
      <c r="G753" s="574"/>
      <c r="H753" s="570"/>
      <c r="I753" s="171"/>
    </row>
    <row r="754" spans="1:9">
      <c r="A754" s="567"/>
      <c r="B754" s="518"/>
      <c r="C754" s="568"/>
      <c r="D754" s="569"/>
      <c r="E754" s="569"/>
      <c r="F754" s="568"/>
      <c r="G754" s="574"/>
      <c r="H754" s="570"/>
      <c r="I754" s="171"/>
    </row>
    <row r="755" spans="1:9">
      <c r="A755" s="567"/>
      <c r="B755" s="518"/>
      <c r="C755" s="568"/>
      <c r="D755" s="569"/>
      <c r="E755" s="569"/>
      <c r="F755" s="568"/>
      <c r="G755" s="574"/>
      <c r="H755" s="570"/>
      <c r="I755" s="171"/>
    </row>
    <row r="756" spans="1:9">
      <c r="A756" s="567"/>
      <c r="B756" s="518"/>
      <c r="C756" s="568"/>
      <c r="D756" s="569"/>
      <c r="E756" s="569"/>
      <c r="F756" s="568"/>
      <c r="G756" s="574"/>
      <c r="H756" s="570"/>
      <c r="I756" s="171"/>
    </row>
    <row r="757" spans="1:9">
      <c r="A757" s="567"/>
      <c r="B757" s="518"/>
      <c r="C757" s="568"/>
      <c r="D757" s="569"/>
      <c r="E757" s="569"/>
      <c r="F757" s="568"/>
      <c r="G757" s="574"/>
      <c r="H757" s="570"/>
      <c r="I757" s="171"/>
    </row>
    <row r="758" spans="1:9">
      <c r="A758" s="567"/>
      <c r="B758" s="518"/>
      <c r="C758" s="568"/>
      <c r="D758" s="569"/>
      <c r="E758" s="569"/>
      <c r="F758" s="568"/>
      <c r="G758" s="574"/>
      <c r="H758" s="570"/>
      <c r="I758" s="171"/>
    </row>
    <row r="759" spans="1:9">
      <c r="A759" s="567"/>
      <c r="B759" s="518"/>
      <c r="C759" s="568"/>
      <c r="D759" s="569"/>
      <c r="E759" s="569"/>
      <c r="F759" s="568"/>
      <c r="G759" s="574"/>
      <c r="H759" s="570"/>
      <c r="I759" s="171"/>
    </row>
    <row r="760" spans="1:9">
      <c r="A760" s="567"/>
      <c r="B760" s="518"/>
      <c r="C760" s="568"/>
      <c r="D760" s="569"/>
      <c r="E760" s="569"/>
      <c r="F760" s="568"/>
      <c r="G760" s="574"/>
      <c r="H760" s="570"/>
      <c r="I760" s="171"/>
    </row>
    <row r="761" spans="1:9">
      <c r="A761" s="567"/>
      <c r="B761" s="518"/>
      <c r="C761" s="568"/>
      <c r="D761" s="569"/>
      <c r="E761" s="569"/>
      <c r="F761" s="568"/>
      <c r="G761" s="574"/>
      <c r="H761" s="570"/>
      <c r="I761" s="171"/>
    </row>
    <row r="762" spans="1:9">
      <c r="A762" s="567"/>
      <c r="B762" s="518"/>
      <c r="C762" s="568"/>
      <c r="D762" s="569"/>
      <c r="E762" s="569"/>
      <c r="F762" s="568"/>
      <c r="G762" s="574"/>
      <c r="H762" s="570"/>
      <c r="I762" s="171"/>
    </row>
    <row r="763" spans="1:9">
      <c r="A763" s="567"/>
      <c r="B763" s="518"/>
      <c r="C763" s="568"/>
      <c r="D763" s="569"/>
      <c r="E763" s="569"/>
      <c r="F763" s="568"/>
      <c r="G763" s="574"/>
      <c r="H763" s="570"/>
      <c r="I763" s="171"/>
    </row>
    <row r="764" spans="1:9">
      <c r="A764" s="567"/>
      <c r="B764" s="518"/>
      <c r="C764" s="568"/>
      <c r="D764" s="569"/>
      <c r="E764" s="569"/>
      <c r="F764" s="568"/>
      <c r="G764" s="574"/>
      <c r="H764" s="570"/>
      <c r="I764" s="171"/>
    </row>
    <row r="765" spans="1:9">
      <c r="A765" s="567"/>
      <c r="B765" s="518"/>
      <c r="C765" s="568"/>
      <c r="D765" s="569"/>
      <c r="E765" s="569"/>
      <c r="F765" s="568"/>
      <c r="G765" s="574"/>
      <c r="H765" s="570"/>
      <c r="I765" s="171"/>
    </row>
    <row r="766" spans="1:9">
      <c r="A766" s="567"/>
      <c r="B766" s="518"/>
      <c r="C766" s="568"/>
      <c r="D766" s="569"/>
      <c r="E766" s="569"/>
      <c r="F766" s="568"/>
      <c r="G766" s="574"/>
      <c r="H766" s="570"/>
      <c r="I766" s="171"/>
    </row>
    <row r="767" spans="1:9">
      <c r="A767" s="567"/>
      <c r="B767" s="518"/>
      <c r="C767" s="568"/>
      <c r="D767" s="569"/>
      <c r="E767" s="569"/>
      <c r="F767" s="568"/>
      <c r="G767" s="574"/>
      <c r="H767" s="570"/>
      <c r="I767" s="171"/>
    </row>
    <row r="768" spans="1:9">
      <c r="A768" s="567"/>
      <c r="B768" s="518"/>
      <c r="C768" s="568"/>
      <c r="D768" s="569"/>
      <c r="E768" s="569"/>
      <c r="F768" s="568"/>
      <c r="G768" s="574"/>
      <c r="H768" s="570"/>
      <c r="I768" s="171"/>
    </row>
    <row r="769" spans="1:9">
      <c r="A769" s="567"/>
      <c r="B769" s="518"/>
      <c r="C769" s="568"/>
      <c r="D769" s="569"/>
      <c r="E769" s="569"/>
      <c r="F769" s="568"/>
      <c r="G769" s="574"/>
      <c r="H769" s="570"/>
      <c r="I769" s="171"/>
    </row>
    <row r="770" spans="1:9">
      <c r="A770" s="567"/>
      <c r="B770" s="518"/>
      <c r="C770" s="568"/>
      <c r="D770" s="569"/>
      <c r="E770" s="569"/>
      <c r="F770" s="568"/>
      <c r="G770" s="574"/>
      <c r="H770" s="570"/>
      <c r="I770" s="171"/>
    </row>
    <row r="771" spans="1:9">
      <c r="A771" s="567"/>
      <c r="B771" s="518"/>
      <c r="C771" s="568"/>
      <c r="D771" s="569"/>
      <c r="E771" s="569"/>
      <c r="F771" s="568"/>
      <c r="G771" s="574"/>
      <c r="H771" s="570"/>
      <c r="I771" s="171"/>
    </row>
    <row r="772" spans="1:9">
      <c r="A772" s="567"/>
      <c r="B772" s="518"/>
      <c r="C772" s="568"/>
      <c r="D772" s="569"/>
      <c r="E772" s="569"/>
      <c r="F772" s="568"/>
      <c r="G772" s="574"/>
      <c r="H772" s="570"/>
      <c r="I772" s="171"/>
    </row>
    <row r="773" spans="1:9">
      <c r="A773" s="567"/>
      <c r="B773" s="518"/>
      <c r="C773" s="568"/>
      <c r="D773" s="569"/>
      <c r="E773" s="569"/>
      <c r="F773" s="568"/>
      <c r="G773" s="574"/>
      <c r="H773" s="570"/>
      <c r="I773" s="171"/>
    </row>
    <row r="774" spans="1:9">
      <c r="A774" s="567"/>
      <c r="B774" s="518"/>
      <c r="C774" s="568"/>
      <c r="D774" s="569"/>
      <c r="E774" s="569"/>
      <c r="F774" s="568"/>
      <c r="G774" s="574"/>
      <c r="H774" s="570"/>
      <c r="I774" s="171"/>
    </row>
    <row r="775" spans="1:9">
      <c r="A775" s="567"/>
      <c r="B775" s="518"/>
      <c r="C775" s="568"/>
      <c r="D775" s="569"/>
      <c r="E775" s="569"/>
      <c r="F775" s="568"/>
      <c r="G775" s="574"/>
      <c r="H775" s="570"/>
      <c r="I775" s="171"/>
    </row>
    <row r="776" spans="1:9">
      <c r="A776" s="567"/>
      <c r="B776" s="518"/>
      <c r="C776" s="568"/>
      <c r="D776" s="569"/>
      <c r="E776" s="569"/>
      <c r="F776" s="568"/>
      <c r="G776" s="574"/>
      <c r="H776" s="570"/>
      <c r="I776" s="171"/>
    </row>
    <row r="777" spans="1:9">
      <c r="A777" s="567"/>
      <c r="B777" s="518"/>
      <c r="C777" s="568"/>
      <c r="D777" s="569"/>
      <c r="E777" s="569"/>
      <c r="F777" s="568"/>
      <c r="G777" s="574"/>
      <c r="H777" s="570"/>
      <c r="I777" s="171"/>
    </row>
    <row r="778" spans="1:9">
      <c r="A778" s="567"/>
      <c r="B778" s="518"/>
      <c r="C778" s="568"/>
      <c r="D778" s="569"/>
      <c r="E778" s="569"/>
      <c r="F778" s="568"/>
      <c r="G778" s="574"/>
      <c r="H778" s="570"/>
      <c r="I778" s="171"/>
    </row>
    <row r="779" spans="1:9">
      <c r="A779" s="567"/>
      <c r="B779" s="518"/>
      <c r="C779" s="568"/>
      <c r="D779" s="569"/>
      <c r="E779" s="569"/>
      <c r="F779" s="568"/>
      <c r="G779" s="574"/>
      <c r="H779" s="570"/>
      <c r="I779" s="171"/>
    </row>
    <row r="780" spans="1:9">
      <c r="A780" s="567"/>
      <c r="B780" s="518"/>
      <c r="C780" s="568"/>
      <c r="D780" s="569"/>
      <c r="E780" s="569"/>
      <c r="F780" s="568"/>
      <c r="G780" s="574"/>
      <c r="H780" s="570"/>
      <c r="I780" s="171"/>
    </row>
    <row r="781" spans="1:9">
      <c r="A781" s="567"/>
      <c r="B781" s="518"/>
      <c r="C781" s="568"/>
      <c r="D781" s="569"/>
      <c r="E781" s="569"/>
      <c r="F781" s="568"/>
      <c r="G781" s="574"/>
      <c r="H781" s="570"/>
      <c r="I781" s="171"/>
    </row>
    <row r="782" spans="1:9">
      <c r="A782" s="567"/>
      <c r="B782" s="518"/>
      <c r="C782" s="568"/>
      <c r="D782" s="569"/>
      <c r="E782" s="569"/>
      <c r="F782" s="568"/>
      <c r="G782" s="574"/>
      <c r="H782" s="570"/>
      <c r="I782" s="171"/>
    </row>
    <row r="783" spans="1:9">
      <c r="A783" s="567"/>
      <c r="B783" s="518"/>
      <c r="C783" s="568"/>
      <c r="D783" s="569"/>
      <c r="E783" s="569"/>
      <c r="F783" s="568"/>
      <c r="G783" s="574"/>
      <c r="H783" s="570"/>
      <c r="I783" s="171"/>
    </row>
    <row r="784" spans="1:9">
      <c r="A784" s="567"/>
      <c r="B784" s="518"/>
      <c r="C784" s="568"/>
      <c r="D784" s="569"/>
      <c r="E784" s="569"/>
      <c r="F784" s="568"/>
      <c r="G784" s="574"/>
      <c r="H784" s="570"/>
      <c r="I784" s="171"/>
    </row>
    <row r="785" spans="1:9">
      <c r="A785" s="567"/>
      <c r="B785" s="518"/>
      <c r="C785" s="568"/>
      <c r="D785" s="569"/>
      <c r="E785" s="569"/>
      <c r="F785" s="568"/>
      <c r="G785" s="574"/>
      <c r="H785" s="570"/>
      <c r="I785" s="171"/>
    </row>
    <row r="786" spans="1:9">
      <c r="A786" s="567"/>
      <c r="B786" s="518"/>
      <c r="C786" s="568"/>
      <c r="D786" s="569"/>
      <c r="E786" s="569"/>
      <c r="F786" s="568"/>
      <c r="G786" s="574"/>
      <c r="H786" s="570"/>
      <c r="I786" s="171"/>
    </row>
    <row r="787" spans="1:9">
      <c r="A787" s="567"/>
      <c r="B787" s="518"/>
      <c r="C787" s="568"/>
      <c r="D787" s="569"/>
      <c r="E787" s="569"/>
      <c r="F787" s="568"/>
      <c r="G787" s="574"/>
      <c r="H787" s="570"/>
      <c r="I787" s="171"/>
    </row>
    <row r="788" spans="1:9">
      <c r="A788" s="567"/>
      <c r="B788" s="518"/>
      <c r="C788" s="568"/>
      <c r="D788" s="569"/>
      <c r="E788" s="569"/>
      <c r="F788" s="568"/>
      <c r="G788" s="574"/>
      <c r="H788" s="570"/>
      <c r="I788" s="171"/>
    </row>
    <row r="789" spans="1:9">
      <c r="A789" s="567"/>
      <c r="B789" s="518"/>
      <c r="C789" s="568"/>
      <c r="D789" s="569"/>
      <c r="E789" s="569"/>
      <c r="F789" s="568"/>
      <c r="G789" s="574"/>
      <c r="H789" s="570"/>
      <c r="I789" s="171"/>
    </row>
    <row r="790" spans="1:9">
      <c r="A790" s="567"/>
      <c r="B790" s="518"/>
      <c r="C790" s="568"/>
      <c r="D790" s="569"/>
      <c r="E790" s="569"/>
      <c r="F790" s="568"/>
      <c r="G790" s="574"/>
      <c r="H790" s="570"/>
      <c r="I790" s="171"/>
    </row>
    <row r="791" spans="1:9">
      <c r="A791" s="567"/>
      <c r="B791" s="518"/>
      <c r="C791" s="568"/>
      <c r="D791" s="569"/>
      <c r="E791" s="569"/>
      <c r="F791" s="568"/>
      <c r="G791" s="574"/>
      <c r="H791" s="570"/>
      <c r="I791" s="171"/>
    </row>
    <row r="792" spans="1:9">
      <c r="A792" s="567"/>
      <c r="B792" s="518"/>
      <c r="C792" s="568"/>
      <c r="D792" s="569"/>
      <c r="E792" s="569"/>
      <c r="F792" s="568"/>
      <c r="G792" s="574"/>
      <c r="H792" s="570"/>
      <c r="I792" s="171"/>
    </row>
    <row r="793" spans="1:9">
      <c r="A793" s="567"/>
      <c r="B793" s="518"/>
      <c r="C793" s="568"/>
      <c r="D793" s="569"/>
      <c r="E793" s="569"/>
      <c r="F793" s="568"/>
      <c r="G793" s="574"/>
      <c r="H793" s="570"/>
      <c r="I793" s="171"/>
    </row>
    <row r="794" spans="1:9">
      <c r="A794" s="567"/>
      <c r="B794" s="518"/>
      <c r="C794" s="568"/>
      <c r="D794" s="569"/>
      <c r="E794" s="569"/>
      <c r="F794" s="568"/>
      <c r="G794" s="574"/>
      <c r="H794" s="570"/>
      <c r="I794" s="171"/>
    </row>
    <row r="795" spans="1:9">
      <c r="A795" s="567"/>
      <c r="B795" s="518"/>
      <c r="C795" s="568"/>
      <c r="D795" s="569"/>
      <c r="E795" s="569"/>
      <c r="F795" s="568"/>
      <c r="G795" s="574"/>
      <c r="H795" s="570"/>
      <c r="I795" s="171"/>
    </row>
    <row r="796" spans="1:9">
      <c r="A796" s="567"/>
      <c r="B796" s="518"/>
      <c r="C796" s="568"/>
      <c r="D796" s="569"/>
      <c r="E796" s="569"/>
      <c r="F796" s="568"/>
      <c r="G796" s="574"/>
      <c r="H796" s="570"/>
      <c r="I796" s="171"/>
    </row>
    <row r="797" spans="1:9">
      <c r="A797" s="567"/>
      <c r="B797" s="518"/>
      <c r="C797" s="568"/>
      <c r="D797" s="569"/>
      <c r="E797" s="569"/>
      <c r="F797" s="568"/>
      <c r="G797" s="574"/>
      <c r="H797" s="570"/>
      <c r="I797" s="171"/>
    </row>
    <row r="798" spans="1:9">
      <c r="A798" s="567"/>
      <c r="B798" s="518"/>
      <c r="C798" s="568"/>
      <c r="D798" s="569"/>
      <c r="E798" s="569"/>
      <c r="F798" s="568"/>
      <c r="G798" s="574"/>
      <c r="H798" s="570"/>
      <c r="I798" s="171"/>
    </row>
    <row r="799" spans="1:9">
      <c r="A799" s="567"/>
      <c r="B799" s="518"/>
      <c r="C799" s="568"/>
      <c r="D799" s="569"/>
      <c r="E799" s="569"/>
      <c r="F799" s="568"/>
      <c r="G799" s="574"/>
      <c r="H799" s="570"/>
      <c r="I799" s="171"/>
    </row>
    <row r="800" spans="1:9">
      <c r="A800" s="567"/>
      <c r="B800" s="518"/>
      <c r="C800" s="568"/>
      <c r="D800" s="569"/>
      <c r="E800" s="569"/>
      <c r="F800" s="568"/>
      <c r="G800" s="574"/>
      <c r="H800" s="570"/>
      <c r="I800" s="171"/>
    </row>
    <row r="801" spans="1:9">
      <c r="A801" s="567"/>
      <c r="B801" s="518"/>
      <c r="C801" s="568"/>
      <c r="D801" s="569"/>
      <c r="E801" s="569"/>
      <c r="F801" s="568"/>
      <c r="G801" s="574"/>
      <c r="H801" s="570"/>
      <c r="I801" s="171"/>
    </row>
    <row r="802" spans="1:9">
      <c r="A802" s="567"/>
      <c r="B802" s="518"/>
      <c r="C802" s="568"/>
      <c r="D802" s="569"/>
      <c r="E802" s="569"/>
      <c r="F802" s="568"/>
      <c r="G802" s="574"/>
      <c r="H802" s="570"/>
      <c r="I802" s="171"/>
    </row>
    <row r="803" spans="1:9">
      <c r="A803" s="567"/>
      <c r="B803" s="518"/>
      <c r="C803" s="568"/>
      <c r="D803" s="569"/>
      <c r="E803" s="569"/>
      <c r="F803" s="568"/>
      <c r="G803" s="574"/>
      <c r="H803" s="570"/>
      <c r="I803" s="171"/>
    </row>
    <row r="804" spans="1:9">
      <c r="A804" s="567"/>
      <c r="B804" s="518"/>
      <c r="C804" s="568"/>
      <c r="D804" s="569"/>
      <c r="E804" s="569"/>
      <c r="F804" s="568"/>
      <c r="G804" s="574"/>
      <c r="H804" s="570"/>
      <c r="I804" s="171"/>
    </row>
    <row r="805" spans="1:9">
      <c r="A805" s="567"/>
      <c r="B805" s="518"/>
      <c r="C805" s="568"/>
      <c r="D805" s="569"/>
      <c r="E805" s="569"/>
      <c r="F805" s="568"/>
      <c r="G805" s="574"/>
      <c r="H805" s="570"/>
      <c r="I805" s="171"/>
    </row>
    <row r="806" spans="1:9">
      <c r="A806" s="567"/>
      <c r="B806" s="518"/>
      <c r="C806" s="568"/>
      <c r="D806" s="569"/>
      <c r="E806" s="569"/>
      <c r="F806" s="568"/>
      <c r="G806" s="574"/>
      <c r="H806" s="570"/>
      <c r="I806" s="171"/>
    </row>
    <row r="807" spans="1:9">
      <c r="A807" s="567"/>
      <c r="B807" s="518"/>
      <c r="C807" s="568"/>
      <c r="D807" s="569"/>
      <c r="E807" s="569"/>
      <c r="F807" s="568"/>
      <c r="G807" s="574"/>
      <c r="H807" s="570"/>
      <c r="I807" s="171"/>
    </row>
    <row r="808" spans="1:9">
      <c r="A808" s="567"/>
      <c r="B808" s="518"/>
      <c r="C808" s="568"/>
      <c r="D808" s="569"/>
      <c r="E808" s="569"/>
      <c r="F808" s="568"/>
      <c r="G808" s="574"/>
      <c r="H808" s="570"/>
      <c r="I808" s="171"/>
    </row>
    <row r="809" spans="1:9">
      <c r="A809" s="567"/>
      <c r="B809" s="518"/>
      <c r="C809" s="568"/>
      <c r="D809" s="569"/>
      <c r="E809" s="569"/>
      <c r="F809" s="568"/>
      <c r="G809" s="574"/>
      <c r="H809" s="570"/>
      <c r="I809" s="171"/>
    </row>
    <row r="810" spans="1:9">
      <c r="A810" s="567"/>
      <c r="B810" s="518"/>
      <c r="C810" s="568"/>
      <c r="D810" s="569"/>
      <c r="E810" s="569"/>
      <c r="F810" s="568"/>
      <c r="G810" s="574"/>
      <c r="H810" s="570"/>
      <c r="I810" s="171"/>
    </row>
    <row r="811" spans="1:9">
      <c r="A811" s="567"/>
      <c r="B811" s="518"/>
      <c r="C811" s="568"/>
      <c r="D811" s="569"/>
      <c r="E811" s="569"/>
      <c r="F811" s="568"/>
      <c r="G811" s="574"/>
      <c r="H811" s="570"/>
      <c r="I811" s="171"/>
    </row>
    <row r="812" spans="1:9">
      <c r="A812" s="567"/>
      <c r="B812" s="518"/>
      <c r="C812" s="568"/>
      <c r="D812" s="569"/>
      <c r="E812" s="569"/>
      <c r="F812" s="568"/>
      <c r="G812" s="574"/>
      <c r="H812" s="570"/>
      <c r="I812" s="171"/>
    </row>
    <row r="813" spans="1:9">
      <c r="A813" s="567"/>
      <c r="B813" s="518"/>
      <c r="C813" s="568"/>
      <c r="D813" s="569"/>
      <c r="E813" s="569"/>
      <c r="F813" s="568"/>
      <c r="G813" s="574"/>
      <c r="H813" s="570"/>
      <c r="I813" s="171"/>
    </row>
    <row r="814" spans="1:9">
      <c r="A814" s="567"/>
      <c r="B814" s="518"/>
      <c r="C814" s="568"/>
      <c r="D814" s="569"/>
      <c r="E814" s="569"/>
      <c r="F814" s="568"/>
      <c r="G814" s="574"/>
      <c r="H814" s="570"/>
      <c r="I814" s="171"/>
    </row>
    <row r="815" spans="1:9">
      <c r="A815" s="567"/>
      <c r="B815" s="518"/>
      <c r="C815" s="568"/>
      <c r="D815" s="569"/>
      <c r="E815" s="569"/>
      <c r="F815" s="568"/>
      <c r="G815" s="574"/>
      <c r="H815" s="570"/>
      <c r="I815" s="171"/>
    </row>
    <row r="816" spans="1:9">
      <c r="A816" s="567"/>
      <c r="B816" s="518"/>
      <c r="C816" s="568"/>
      <c r="D816" s="569"/>
      <c r="E816" s="569"/>
      <c r="F816" s="568"/>
      <c r="G816" s="574"/>
      <c r="H816" s="570"/>
      <c r="I816" s="171"/>
    </row>
    <row r="817" spans="1:10">
      <c r="A817" s="567"/>
      <c r="B817" s="518"/>
      <c r="C817" s="568"/>
      <c r="D817" s="569"/>
      <c r="E817" s="569"/>
      <c r="F817" s="568"/>
      <c r="G817" s="574"/>
      <c r="H817" s="570"/>
      <c r="I817" s="171"/>
    </row>
    <row r="818" spans="1:10">
      <c r="A818" s="567"/>
      <c r="B818" s="518"/>
      <c r="C818" s="568"/>
      <c r="D818" s="569"/>
      <c r="E818" s="569"/>
      <c r="F818" s="568"/>
      <c r="G818" s="574"/>
      <c r="H818" s="570"/>
      <c r="I818" s="171"/>
    </row>
    <row r="819" spans="1:10">
      <c r="A819" s="567"/>
      <c r="B819" s="518"/>
      <c r="C819" s="568"/>
      <c r="D819" s="569"/>
      <c r="E819" s="569"/>
      <c r="F819" s="568"/>
      <c r="G819" s="574"/>
      <c r="H819" s="570"/>
      <c r="I819" s="171"/>
    </row>
    <row r="820" spans="1:10">
      <c r="A820" s="567"/>
      <c r="B820" s="518"/>
      <c r="C820" s="568"/>
      <c r="D820" s="569"/>
      <c r="E820" s="569"/>
      <c r="F820" s="568"/>
      <c r="G820" s="574"/>
      <c r="H820" s="570"/>
      <c r="I820" s="171"/>
    </row>
    <row r="821" spans="1:10">
      <c r="A821" s="567"/>
      <c r="B821" s="518"/>
      <c r="C821" s="568"/>
      <c r="D821" s="569"/>
      <c r="E821" s="569"/>
      <c r="F821" s="568"/>
      <c r="G821" s="574"/>
      <c r="H821" s="570"/>
      <c r="I821" s="171"/>
    </row>
    <row r="822" spans="1:10">
      <c r="A822" s="567"/>
      <c r="B822" s="518"/>
      <c r="C822" s="568"/>
      <c r="D822" s="569"/>
      <c r="E822" s="569"/>
      <c r="F822" s="568"/>
      <c r="G822" s="574"/>
      <c r="H822" s="570"/>
      <c r="I822" s="171"/>
    </row>
    <row r="823" spans="1:10">
      <c r="A823" s="567"/>
      <c r="B823" s="518"/>
      <c r="C823" s="568"/>
      <c r="D823" s="569"/>
      <c r="E823" s="569"/>
      <c r="F823" s="568"/>
      <c r="G823" s="574"/>
      <c r="H823" s="570"/>
      <c r="I823" s="171"/>
    </row>
    <row r="824" spans="1:10">
      <c r="A824" s="567"/>
      <c r="B824" s="518"/>
      <c r="C824" s="568"/>
      <c r="D824" s="569"/>
      <c r="E824" s="569"/>
      <c r="F824" s="568"/>
      <c r="G824" s="574"/>
      <c r="H824" s="570"/>
      <c r="I824" s="171"/>
    </row>
    <row r="825" spans="1:10">
      <c r="A825" s="567"/>
      <c r="B825" s="518"/>
      <c r="C825" s="568"/>
      <c r="D825" s="569"/>
      <c r="E825" s="569"/>
      <c r="F825" s="568"/>
      <c r="G825" s="574"/>
      <c r="H825" s="570"/>
      <c r="I825" s="171"/>
    </row>
    <row r="826" spans="1:10">
      <c r="A826" s="567"/>
      <c r="B826" s="518"/>
      <c r="C826" s="568"/>
      <c r="D826" s="569"/>
      <c r="E826" s="569"/>
      <c r="F826" s="568"/>
      <c r="G826" s="574"/>
      <c r="H826" s="570"/>
      <c r="I826" s="171"/>
    </row>
    <row r="827" spans="1:10">
      <c r="A827" s="567"/>
      <c r="B827" s="518"/>
      <c r="C827" s="568"/>
      <c r="D827" s="569"/>
      <c r="E827" s="569"/>
      <c r="F827" s="568"/>
      <c r="G827" s="574"/>
      <c r="H827" s="570"/>
      <c r="I827" s="171"/>
    </row>
    <row r="828" spans="1:10">
      <c r="A828" s="567"/>
      <c r="B828" s="518"/>
      <c r="C828" s="568"/>
      <c r="D828" s="569"/>
      <c r="E828" s="569"/>
      <c r="F828" s="568"/>
      <c r="G828" s="574"/>
      <c r="H828" s="570"/>
      <c r="I828" s="171"/>
    </row>
    <row r="829" spans="1:10" s="165" customFormat="1">
      <c r="A829" s="172"/>
      <c r="B829" s="552"/>
      <c r="C829" s="553"/>
      <c r="D829" s="554"/>
      <c r="E829" s="554"/>
      <c r="F829" s="167"/>
      <c r="G829" s="474"/>
      <c r="H829" s="474"/>
      <c r="J829" s="555"/>
    </row>
    <row r="830" spans="1:10" s="165" customFormat="1">
      <c r="A830" s="172"/>
      <c r="B830" s="552"/>
      <c r="C830" s="553"/>
      <c r="D830" s="554"/>
      <c r="E830" s="554"/>
      <c r="F830" s="167"/>
      <c r="G830" s="474"/>
      <c r="H830" s="474"/>
      <c r="J830" s="555"/>
    </row>
    <row r="831" spans="1:10" s="165" customFormat="1">
      <c r="A831" s="172"/>
      <c r="B831" s="552"/>
      <c r="C831" s="553"/>
      <c r="D831" s="554"/>
      <c r="E831" s="554"/>
      <c r="F831" s="167"/>
      <c r="G831" s="474"/>
      <c r="H831" s="474"/>
      <c r="J831" s="555"/>
    </row>
    <row r="832" spans="1:10" s="165" customFormat="1">
      <c r="A832" s="172"/>
      <c r="B832" s="552"/>
      <c r="C832" s="553"/>
      <c r="D832" s="554"/>
      <c r="E832" s="554"/>
      <c r="F832" s="167"/>
      <c r="G832" s="474"/>
      <c r="H832" s="474"/>
      <c r="J832" s="555"/>
    </row>
    <row r="833" spans="1:10" s="165" customFormat="1">
      <c r="A833" s="172"/>
      <c r="B833" s="552"/>
      <c r="C833" s="553"/>
      <c r="D833" s="554"/>
      <c r="E833" s="554"/>
      <c r="F833" s="167"/>
      <c r="G833" s="474"/>
      <c r="H833" s="474"/>
      <c r="J833" s="555"/>
    </row>
    <row r="834" spans="1:10" s="165" customFormat="1">
      <c r="A834" s="172"/>
      <c r="B834" s="552"/>
      <c r="C834" s="553"/>
      <c r="D834" s="554"/>
      <c r="E834" s="554"/>
      <c r="F834" s="167"/>
      <c r="G834" s="474"/>
      <c r="H834" s="474"/>
      <c r="J834" s="555"/>
    </row>
    <row r="835" spans="1:10" s="165" customFormat="1">
      <c r="A835" s="172"/>
      <c r="B835" s="552"/>
      <c r="C835" s="553"/>
      <c r="D835" s="554"/>
      <c r="E835" s="554"/>
      <c r="F835" s="167"/>
      <c r="G835" s="474"/>
      <c r="H835" s="474"/>
      <c r="J835" s="555"/>
    </row>
    <row r="836" spans="1:10" s="165" customFormat="1">
      <c r="A836" s="172"/>
      <c r="B836" s="552"/>
      <c r="C836" s="553"/>
      <c r="D836" s="554"/>
      <c r="E836" s="554"/>
      <c r="F836" s="167"/>
      <c r="G836" s="474"/>
      <c r="H836" s="474"/>
      <c r="J836" s="555"/>
    </row>
    <row r="837" spans="1:10" s="165" customFormat="1">
      <c r="A837" s="172"/>
      <c r="B837" s="552"/>
      <c r="C837" s="553"/>
      <c r="D837" s="554"/>
      <c r="E837" s="554"/>
      <c r="F837" s="167"/>
      <c r="G837" s="474"/>
      <c r="H837" s="474"/>
      <c r="J837" s="555"/>
    </row>
    <row r="838" spans="1:10" s="165" customFormat="1">
      <c r="A838" s="172"/>
      <c r="B838" s="552"/>
      <c r="C838" s="553"/>
      <c r="D838" s="554"/>
      <c r="E838" s="554"/>
      <c r="F838" s="167"/>
      <c r="G838" s="474"/>
      <c r="H838" s="474"/>
      <c r="J838" s="555"/>
    </row>
    <row r="839" spans="1:10" s="165" customFormat="1">
      <c r="A839" s="172"/>
      <c r="B839" s="552"/>
      <c r="C839" s="553"/>
      <c r="D839" s="554"/>
      <c r="E839" s="554"/>
      <c r="F839" s="167"/>
      <c r="G839" s="474"/>
      <c r="H839" s="474"/>
      <c r="J839" s="555"/>
    </row>
    <row r="840" spans="1:10" s="165" customFormat="1">
      <c r="A840" s="172"/>
      <c r="B840" s="552"/>
      <c r="C840" s="553"/>
      <c r="D840" s="554"/>
      <c r="E840" s="554"/>
      <c r="F840" s="167"/>
      <c r="G840" s="474"/>
      <c r="H840" s="474"/>
      <c r="J840" s="555"/>
    </row>
    <row r="841" spans="1:10" s="165" customFormat="1">
      <c r="A841" s="172"/>
      <c r="B841" s="552"/>
      <c r="C841" s="553"/>
      <c r="D841" s="554"/>
      <c r="E841" s="554"/>
      <c r="F841" s="167"/>
      <c r="G841" s="474"/>
      <c r="H841" s="474"/>
      <c r="J841" s="555"/>
    </row>
    <row r="842" spans="1:10" s="165" customFormat="1">
      <c r="A842" s="172"/>
      <c r="B842" s="552"/>
      <c r="C842" s="553"/>
      <c r="D842" s="554"/>
      <c r="E842" s="554"/>
      <c r="F842" s="167"/>
      <c r="G842" s="474"/>
      <c r="H842" s="474"/>
      <c r="J842" s="555"/>
    </row>
    <row r="843" spans="1:10" s="165" customFormat="1">
      <c r="A843" s="172"/>
      <c r="B843" s="552"/>
      <c r="C843" s="553"/>
      <c r="D843" s="554"/>
      <c r="E843" s="554"/>
      <c r="F843" s="167"/>
      <c r="G843" s="474"/>
      <c r="H843" s="474"/>
      <c r="J843" s="555"/>
    </row>
    <row r="844" spans="1:10" s="165" customFormat="1">
      <c r="A844" s="172"/>
      <c r="B844" s="552"/>
      <c r="C844" s="553"/>
      <c r="D844" s="554"/>
      <c r="E844" s="554"/>
      <c r="F844" s="167"/>
      <c r="G844" s="474"/>
      <c r="H844" s="474"/>
      <c r="J844" s="555"/>
    </row>
    <row r="845" spans="1:10" s="165" customFormat="1">
      <c r="A845" s="172"/>
      <c r="B845" s="552"/>
      <c r="C845" s="553"/>
      <c r="D845" s="554"/>
      <c r="E845" s="554"/>
      <c r="F845" s="167"/>
      <c r="G845" s="474"/>
      <c r="H845" s="474"/>
      <c r="J845" s="555"/>
    </row>
    <row r="846" spans="1:10" s="165" customFormat="1">
      <c r="A846" s="172"/>
      <c r="B846" s="552"/>
      <c r="C846" s="553"/>
      <c r="D846" s="554"/>
      <c r="E846" s="554"/>
      <c r="F846" s="167"/>
      <c r="G846" s="474"/>
      <c r="H846" s="474"/>
      <c r="J846" s="555"/>
    </row>
    <row r="847" spans="1:10" s="165" customFormat="1">
      <c r="A847" s="172"/>
      <c r="B847" s="552"/>
      <c r="C847" s="553"/>
      <c r="D847" s="554"/>
      <c r="E847" s="554"/>
      <c r="F847" s="167"/>
      <c r="G847" s="474"/>
      <c r="H847" s="474"/>
      <c r="J847" s="555"/>
    </row>
    <row r="848" spans="1:10" s="165" customFormat="1">
      <c r="A848" s="172"/>
      <c r="B848" s="552"/>
      <c r="C848" s="553"/>
      <c r="D848" s="554"/>
      <c r="E848" s="554"/>
      <c r="F848" s="167"/>
      <c r="G848" s="474"/>
      <c r="H848" s="474"/>
      <c r="J848" s="555"/>
    </row>
    <row r="849" spans="1:10" s="165" customFormat="1">
      <c r="A849" s="172"/>
      <c r="B849" s="552"/>
      <c r="C849" s="553"/>
      <c r="D849" s="554"/>
      <c r="E849" s="554"/>
      <c r="F849" s="167"/>
      <c r="G849" s="474"/>
      <c r="H849" s="474"/>
      <c r="J849" s="555"/>
    </row>
    <row r="850" spans="1:10" s="165" customFormat="1">
      <c r="A850" s="172"/>
      <c r="B850" s="552"/>
      <c r="C850" s="553"/>
      <c r="D850" s="554"/>
      <c r="E850" s="554"/>
      <c r="F850" s="167"/>
      <c r="G850" s="474"/>
      <c r="H850" s="474"/>
      <c r="J850" s="555"/>
    </row>
    <row r="851" spans="1:10" s="165" customFormat="1">
      <c r="A851" s="172"/>
      <c r="B851" s="552"/>
      <c r="C851" s="553"/>
      <c r="D851" s="554"/>
      <c r="E851" s="554"/>
      <c r="F851" s="167"/>
      <c r="G851" s="474"/>
      <c r="H851" s="474"/>
      <c r="J851" s="555"/>
    </row>
    <row r="852" spans="1:10" s="165" customFormat="1">
      <c r="A852" s="172"/>
      <c r="B852" s="552"/>
      <c r="C852" s="553"/>
      <c r="D852" s="554"/>
      <c r="E852" s="554"/>
      <c r="F852" s="167"/>
      <c r="G852" s="474"/>
      <c r="H852" s="474"/>
      <c r="J852" s="555"/>
    </row>
    <row r="853" spans="1:10" s="165" customFormat="1">
      <c r="A853" s="172"/>
      <c r="B853" s="552"/>
      <c r="C853" s="553"/>
      <c r="D853" s="554"/>
      <c r="E853" s="554"/>
      <c r="F853" s="167"/>
      <c r="G853" s="474"/>
      <c r="H853" s="474"/>
      <c r="J853" s="555"/>
    </row>
    <row r="854" spans="1:10" s="165" customFormat="1">
      <c r="A854" s="172"/>
      <c r="B854" s="552"/>
      <c r="C854" s="553"/>
      <c r="D854" s="554"/>
      <c r="E854" s="554"/>
      <c r="F854" s="167"/>
      <c r="G854" s="474"/>
      <c r="H854" s="474"/>
      <c r="J854" s="555"/>
    </row>
    <row r="855" spans="1:10" s="165" customFormat="1">
      <c r="A855" s="172"/>
      <c r="B855" s="552"/>
      <c r="C855" s="553"/>
      <c r="D855" s="554"/>
      <c r="E855" s="554"/>
      <c r="F855" s="167"/>
      <c r="G855" s="474"/>
      <c r="H855" s="474"/>
      <c r="J855" s="555"/>
    </row>
    <row r="856" spans="1:10" s="165" customFormat="1">
      <c r="A856" s="172"/>
      <c r="B856" s="552"/>
      <c r="C856" s="553"/>
      <c r="D856" s="554"/>
      <c r="E856" s="554"/>
      <c r="F856" s="167"/>
      <c r="G856" s="474"/>
      <c r="H856" s="474"/>
      <c r="J856" s="555"/>
    </row>
    <row r="857" spans="1:10" s="165" customFormat="1">
      <c r="A857" s="172"/>
      <c r="B857" s="552"/>
      <c r="C857" s="553"/>
      <c r="D857" s="554"/>
      <c r="E857" s="554"/>
      <c r="F857" s="167"/>
      <c r="G857" s="474"/>
      <c r="H857" s="474"/>
      <c r="J857" s="555"/>
    </row>
    <row r="858" spans="1:10" s="165" customFormat="1">
      <c r="A858" s="172"/>
      <c r="B858" s="552"/>
      <c r="C858" s="553"/>
      <c r="D858" s="554"/>
      <c r="E858" s="554"/>
      <c r="F858" s="167"/>
      <c r="G858" s="474"/>
      <c r="H858" s="474"/>
      <c r="J858" s="555"/>
    </row>
    <row r="859" spans="1:10" s="165" customFormat="1">
      <c r="A859" s="172"/>
      <c r="B859" s="552"/>
      <c r="C859" s="553"/>
      <c r="D859" s="554"/>
      <c r="E859" s="554"/>
      <c r="F859" s="167"/>
      <c r="G859" s="474"/>
      <c r="H859" s="474"/>
      <c r="J859" s="555"/>
    </row>
    <row r="860" spans="1:10" s="165" customFormat="1">
      <c r="A860" s="172"/>
      <c r="B860" s="552"/>
      <c r="C860" s="553"/>
      <c r="D860" s="554"/>
      <c r="E860" s="554"/>
      <c r="F860" s="167"/>
      <c r="G860" s="474"/>
      <c r="H860" s="474"/>
      <c r="J860" s="555"/>
    </row>
    <row r="861" spans="1:10" s="165" customFormat="1">
      <c r="A861" s="172"/>
      <c r="B861" s="552"/>
      <c r="C861" s="553"/>
      <c r="D861" s="554"/>
      <c r="E861" s="554"/>
      <c r="F861" s="167"/>
      <c r="G861" s="474"/>
      <c r="H861" s="474"/>
      <c r="J861" s="555"/>
    </row>
    <row r="862" spans="1:10" s="165" customFormat="1">
      <c r="A862" s="172"/>
      <c r="B862" s="552"/>
      <c r="C862" s="553"/>
      <c r="D862" s="554"/>
      <c r="E862" s="554"/>
      <c r="F862" s="167"/>
      <c r="G862" s="474"/>
      <c r="H862" s="474"/>
      <c r="J862" s="555"/>
    </row>
    <row r="863" spans="1:10" s="165" customFormat="1">
      <c r="A863" s="172"/>
      <c r="B863" s="552"/>
      <c r="C863" s="553"/>
      <c r="D863" s="554"/>
      <c r="E863" s="554"/>
      <c r="F863" s="167"/>
      <c r="G863" s="474"/>
      <c r="H863" s="474"/>
      <c r="J863" s="555"/>
    </row>
    <row r="864" spans="1:10" s="165" customFormat="1">
      <c r="A864" s="172"/>
      <c r="B864" s="552"/>
      <c r="C864" s="553"/>
      <c r="D864" s="554"/>
      <c r="E864" s="554"/>
      <c r="F864" s="167"/>
      <c r="G864" s="474"/>
      <c r="H864" s="474"/>
      <c r="J864" s="555"/>
    </row>
    <row r="865" spans="1:10" s="165" customFormat="1">
      <c r="A865" s="172"/>
      <c r="B865" s="552"/>
      <c r="C865" s="553"/>
      <c r="D865" s="554"/>
      <c r="E865" s="554"/>
      <c r="F865" s="167"/>
      <c r="G865" s="474"/>
      <c r="H865" s="474"/>
      <c r="J865" s="555"/>
    </row>
    <row r="866" spans="1:10" s="165" customFormat="1">
      <c r="A866" s="172"/>
      <c r="B866" s="552"/>
      <c r="C866" s="553"/>
      <c r="D866" s="554"/>
      <c r="E866" s="554"/>
      <c r="F866" s="167"/>
      <c r="G866" s="474"/>
      <c r="H866" s="474"/>
      <c r="J866" s="555"/>
    </row>
    <row r="867" spans="1:10" s="165" customFormat="1">
      <c r="A867" s="172"/>
      <c r="B867" s="552"/>
      <c r="C867" s="553"/>
      <c r="D867" s="554"/>
      <c r="E867" s="554"/>
      <c r="F867" s="167"/>
      <c r="G867" s="474"/>
      <c r="H867" s="474"/>
      <c r="J867" s="555"/>
    </row>
    <row r="868" spans="1:10" s="165" customFormat="1">
      <c r="A868" s="172"/>
      <c r="B868" s="552"/>
      <c r="C868" s="553"/>
      <c r="D868" s="554"/>
      <c r="E868" s="554"/>
      <c r="F868" s="167"/>
      <c r="G868" s="474"/>
      <c r="H868" s="474"/>
      <c r="J868" s="555"/>
    </row>
    <row r="869" spans="1:10" s="165" customFormat="1">
      <c r="A869" s="172"/>
      <c r="B869" s="552"/>
      <c r="C869" s="553"/>
      <c r="D869" s="554"/>
      <c r="E869" s="554"/>
      <c r="F869" s="167"/>
      <c r="G869" s="474"/>
      <c r="H869" s="474"/>
      <c r="J869" s="555"/>
    </row>
    <row r="870" spans="1:10" s="165" customFormat="1">
      <c r="A870" s="172"/>
      <c r="B870" s="552"/>
      <c r="C870" s="553"/>
      <c r="D870" s="554"/>
      <c r="E870" s="554"/>
      <c r="F870" s="167"/>
      <c r="G870" s="474"/>
      <c r="H870" s="474"/>
      <c r="J870" s="555"/>
    </row>
    <row r="871" spans="1:10" s="165" customFormat="1">
      <c r="A871" s="172"/>
      <c r="B871" s="552"/>
      <c r="C871" s="553"/>
      <c r="D871" s="554"/>
      <c r="E871" s="554"/>
      <c r="F871" s="167"/>
      <c r="G871" s="474"/>
      <c r="H871" s="474"/>
      <c r="J871" s="555"/>
    </row>
    <row r="872" spans="1:10" s="165" customFormat="1">
      <c r="A872" s="172"/>
      <c r="B872" s="552"/>
      <c r="C872" s="553"/>
      <c r="D872" s="554"/>
      <c r="E872" s="554"/>
      <c r="F872" s="167"/>
      <c r="G872" s="474"/>
      <c r="H872" s="474"/>
      <c r="J872" s="555"/>
    </row>
    <row r="873" spans="1:10" s="165" customFormat="1">
      <c r="A873" s="172"/>
      <c r="B873" s="552"/>
      <c r="C873" s="553"/>
      <c r="D873" s="554"/>
      <c r="E873" s="554"/>
      <c r="F873" s="167"/>
      <c r="G873" s="474"/>
      <c r="H873" s="474"/>
      <c r="J873" s="555"/>
    </row>
    <row r="874" spans="1:10" s="165" customFormat="1">
      <c r="A874" s="172"/>
      <c r="B874" s="552"/>
      <c r="C874" s="553"/>
      <c r="D874" s="554"/>
      <c r="E874" s="554"/>
      <c r="F874" s="167"/>
      <c r="G874" s="474"/>
      <c r="H874" s="474"/>
      <c r="J874" s="555"/>
    </row>
    <row r="875" spans="1:10" s="165" customFormat="1">
      <c r="A875" s="172"/>
      <c r="B875" s="552"/>
      <c r="C875" s="553"/>
      <c r="D875" s="554"/>
      <c r="E875" s="554"/>
      <c r="F875" s="167"/>
      <c r="G875" s="474"/>
      <c r="H875" s="474"/>
      <c r="J875" s="555"/>
    </row>
    <row r="876" spans="1:10" s="165" customFormat="1">
      <c r="A876" s="172"/>
      <c r="B876" s="552"/>
      <c r="C876" s="553"/>
      <c r="D876" s="554"/>
      <c r="E876" s="554"/>
      <c r="F876" s="167"/>
      <c r="G876" s="474"/>
      <c r="H876" s="474"/>
      <c r="J876" s="555"/>
    </row>
    <row r="877" spans="1:10" s="165" customFormat="1">
      <c r="A877" s="172"/>
      <c r="B877" s="552"/>
      <c r="C877" s="553"/>
      <c r="D877" s="554"/>
      <c r="E877" s="554"/>
      <c r="F877" s="167"/>
      <c r="G877" s="474"/>
      <c r="H877" s="474"/>
      <c r="J877" s="555"/>
    </row>
    <row r="878" spans="1:10" s="165" customFormat="1">
      <c r="A878" s="172"/>
      <c r="B878" s="552"/>
      <c r="C878" s="553"/>
      <c r="D878" s="554"/>
      <c r="E878" s="554"/>
      <c r="F878" s="167"/>
      <c r="G878" s="474"/>
      <c r="H878" s="474"/>
      <c r="J878" s="555"/>
    </row>
    <row r="879" spans="1:10" s="165" customFormat="1">
      <c r="A879" s="172"/>
      <c r="B879" s="552"/>
      <c r="C879" s="553"/>
      <c r="D879" s="554"/>
      <c r="E879" s="554"/>
      <c r="F879" s="167"/>
      <c r="G879" s="474"/>
      <c r="H879" s="474"/>
      <c r="J879" s="555"/>
    </row>
    <row r="880" spans="1:10" s="165" customFormat="1">
      <c r="A880" s="172"/>
      <c r="B880" s="552"/>
      <c r="C880" s="553"/>
      <c r="D880" s="554"/>
      <c r="E880" s="554"/>
      <c r="F880" s="167"/>
      <c r="G880" s="474"/>
      <c r="H880" s="474"/>
      <c r="J880" s="555"/>
    </row>
    <row r="881" spans="1:10" s="165" customFormat="1">
      <c r="A881" s="172"/>
      <c r="B881" s="552"/>
      <c r="C881" s="553"/>
      <c r="D881" s="554"/>
      <c r="E881" s="554"/>
      <c r="F881" s="167"/>
      <c r="G881" s="474"/>
      <c r="H881" s="474"/>
      <c r="J881" s="555"/>
    </row>
    <row r="882" spans="1:10" s="165" customFormat="1">
      <c r="A882" s="172"/>
      <c r="B882" s="552"/>
      <c r="C882" s="553"/>
      <c r="D882" s="554"/>
      <c r="E882" s="554"/>
      <c r="F882" s="167"/>
      <c r="G882" s="474"/>
      <c r="H882" s="474"/>
      <c r="J882" s="555"/>
    </row>
    <row r="883" spans="1:10" s="165" customFormat="1">
      <c r="A883" s="172"/>
      <c r="B883" s="552"/>
      <c r="C883" s="553"/>
      <c r="D883" s="554"/>
      <c r="E883" s="554"/>
      <c r="F883" s="167"/>
      <c r="G883" s="474"/>
      <c r="H883" s="474"/>
      <c r="J883" s="555"/>
    </row>
    <row r="884" spans="1:10" s="165" customFormat="1">
      <c r="A884" s="172"/>
      <c r="B884" s="552"/>
      <c r="C884" s="553"/>
      <c r="D884" s="554"/>
      <c r="E884" s="554"/>
      <c r="F884" s="167"/>
      <c r="G884" s="474"/>
      <c r="H884" s="474"/>
      <c r="J884" s="555"/>
    </row>
    <row r="885" spans="1:10" s="165" customFormat="1">
      <c r="A885" s="172"/>
      <c r="B885" s="552"/>
      <c r="C885" s="553"/>
      <c r="D885" s="554"/>
      <c r="E885" s="554"/>
      <c r="F885" s="167"/>
      <c r="G885" s="474"/>
      <c r="H885" s="474"/>
      <c r="J885" s="555"/>
    </row>
    <row r="886" spans="1:10" s="165" customFormat="1">
      <c r="A886" s="172"/>
      <c r="B886" s="552"/>
      <c r="C886" s="553"/>
      <c r="D886" s="554"/>
      <c r="E886" s="554"/>
      <c r="F886" s="167"/>
      <c r="G886" s="474"/>
      <c r="H886" s="474"/>
      <c r="J886" s="555"/>
    </row>
    <row r="887" spans="1:10" s="165" customFormat="1">
      <c r="A887" s="172"/>
      <c r="B887" s="552"/>
      <c r="C887" s="553"/>
      <c r="D887" s="554"/>
      <c r="E887" s="554"/>
      <c r="F887" s="167"/>
      <c r="G887" s="474"/>
      <c r="H887" s="474"/>
      <c r="J887" s="555"/>
    </row>
    <row r="888" spans="1:10" s="165" customFormat="1">
      <c r="A888" s="172"/>
      <c r="B888" s="552"/>
      <c r="C888" s="553"/>
      <c r="D888" s="554"/>
      <c r="E888" s="554"/>
      <c r="F888" s="167"/>
      <c r="G888" s="474"/>
      <c r="H888" s="474"/>
      <c r="J888" s="555"/>
    </row>
    <row r="889" spans="1:10" s="165" customFormat="1">
      <c r="A889" s="172"/>
      <c r="B889" s="552"/>
      <c r="C889" s="553"/>
      <c r="D889" s="554"/>
      <c r="E889" s="554"/>
      <c r="F889" s="167"/>
      <c r="G889" s="474"/>
      <c r="H889" s="474"/>
      <c r="J889" s="555"/>
    </row>
    <row r="890" spans="1:10" s="165" customFormat="1">
      <c r="A890" s="172"/>
      <c r="B890" s="552"/>
      <c r="C890" s="553"/>
      <c r="D890" s="554"/>
      <c r="E890" s="554"/>
      <c r="F890" s="167"/>
      <c r="G890" s="474"/>
      <c r="H890" s="474"/>
      <c r="J890" s="555"/>
    </row>
    <row r="891" spans="1:10" s="165" customFormat="1">
      <c r="A891" s="172"/>
      <c r="B891" s="552"/>
      <c r="C891" s="553"/>
      <c r="D891" s="554"/>
      <c r="E891" s="554"/>
      <c r="F891" s="167"/>
      <c r="G891" s="474"/>
      <c r="H891" s="474"/>
      <c r="J891" s="555"/>
    </row>
    <row r="892" spans="1:10" s="165" customFormat="1">
      <c r="A892" s="172"/>
      <c r="B892" s="552"/>
      <c r="C892" s="553"/>
      <c r="D892" s="554"/>
      <c r="E892" s="554"/>
      <c r="F892" s="167"/>
      <c r="G892" s="474"/>
      <c r="H892" s="474"/>
      <c r="J892" s="555"/>
    </row>
    <row r="893" spans="1:10" s="165" customFormat="1">
      <c r="A893" s="172"/>
      <c r="B893" s="552"/>
      <c r="C893" s="553"/>
      <c r="D893" s="554"/>
      <c r="E893" s="554"/>
      <c r="F893" s="167"/>
      <c r="G893" s="474"/>
      <c r="H893" s="474"/>
      <c r="J893" s="555"/>
    </row>
    <row r="894" spans="1:10" s="165" customFormat="1">
      <c r="A894" s="172"/>
      <c r="B894" s="552"/>
      <c r="C894" s="553"/>
      <c r="D894" s="554"/>
      <c r="E894" s="554"/>
      <c r="F894" s="167"/>
      <c r="G894" s="474"/>
      <c r="H894" s="474"/>
      <c r="J894" s="555"/>
    </row>
    <row r="895" spans="1:10" s="165" customFormat="1">
      <c r="A895" s="172"/>
      <c r="B895" s="552"/>
      <c r="C895" s="553"/>
      <c r="D895" s="554"/>
      <c r="E895" s="554"/>
      <c r="F895" s="167"/>
      <c r="G895" s="474"/>
      <c r="H895" s="474"/>
      <c r="J895" s="555"/>
    </row>
    <row r="896" spans="1:10" s="165" customFormat="1">
      <c r="A896" s="172"/>
      <c r="B896" s="552"/>
      <c r="C896" s="553"/>
      <c r="D896" s="554"/>
      <c r="E896" s="554"/>
      <c r="F896" s="167"/>
      <c r="G896" s="474"/>
      <c r="H896" s="474"/>
      <c r="J896" s="555"/>
    </row>
    <row r="897" spans="1:10" s="165" customFormat="1">
      <c r="A897" s="172"/>
      <c r="B897" s="552"/>
      <c r="C897" s="553"/>
      <c r="D897" s="554"/>
      <c r="E897" s="554"/>
      <c r="F897" s="167"/>
      <c r="G897" s="474"/>
      <c r="H897" s="474"/>
      <c r="J897" s="555"/>
    </row>
    <row r="898" spans="1:10" s="165" customFormat="1">
      <c r="A898" s="172"/>
      <c r="B898" s="552"/>
      <c r="C898" s="553"/>
      <c r="D898" s="554"/>
      <c r="E898" s="554"/>
      <c r="F898" s="167"/>
      <c r="G898" s="474"/>
      <c r="H898" s="474"/>
      <c r="J898" s="555"/>
    </row>
    <row r="899" spans="1:10" s="165" customFormat="1">
      <c r="A899" s="172"/>
      <c r="B899" s="552"/>
      <c r="C899" s="553"/>
      <c r="D899" s="554"/>
      <c r="E899" s="554"/>
      <c r="F899" s="167"/>
      <c r="G899" s="474"/>
      <c r="H899" s="474"/>
      <c r="J899" s="555"/>
    </row>
    <row r="900" spans="1:10" s="165" customFormat="1">
      <c r="A900" s="172"/>
      <c r="B900" s="552"/>
      <c r="C900" s="553"/>
      <c r="D900" s="554"/>
      <c r="E900" s="554"/>
      <c r="F900" s="167"/>
      <c r="G900" s="474"/>
      <c r="H900" s="474"/>
      <c r="J900" s="555"/>
    </row>
    <row r="901" spans="1:10" s="165" customFormat="1">
      <c r="A901" s="172"/>
      <c r="B901" s="552"/>
      <c r="C901" s="553"/>
      <c r="D901" s="554"/>
      <c r="E901" s="554"/>
      <c r="F901" s="167"/>
      <c r="G901" s="474"/>
      <c r="H901" s="474"/>
      <c r="J901" s="555"/>
    </row>
    <row r="902" spans="1:10" s="165" customFormat="1">
      <c r="A902" s="172"/>
      <c r="B902" s="552"/>
      <c r="C902" s="553"/>
      <c r="D902" s="554"/>
      <c r="E902" s="554"/>
      <c r="F902" s="167"/>
      <c r="G902" s="474"/>
      <c r="H902" s="474"/>
      <c r="J902" s="555"/>
    </row>
    <row r="903" spans="1:10" s="165" customFormat="1">
      <c r="A903" s="172"/>
      <c r="B903" s="552"/>
      <c r="C903" s="553"/>
      <c r="D903" s="554"/>
      <c r="E903" s="554"/>
      <c r="F903" s="167"/>
      <c r="G903" s="474"/>
      <c r="H903" s="474"/>
      <c r="J903" s="555"/>
    </row>
    <row r="904" spans="1:10" s="165" customFormat="1">
      <c r="A904" s="172"/>
      <c r="B904" s="552"/>
      <c r="C904" s="553"/>
      <c r="D904" s="554"/>
      <c r="E904" s="554"/>
      <c r="F904" s="167"/>
      <c r="G904" s="474"/>
      <c r="H904" s="474"/>
      <c r="J904" s="555"/>
    </row>
    <row r="905" spans="1:10" s="165" customFormat="1">
      <c r="A905" s="172"/>
      <c r="B905" s="552"/>
      <c r="C905" s="553"/>
      <c r="D905" s="554"/>
      <c r="E905" s="554"/>
      <c r="F905" s="167"/>
      <c r="G905" s="474"/>
      <c r="H905" s="474"/>
      <c r="J905" s="555"/>
    </row>
    <row r="906" spans="1:10" s="165" customFormat="1">
      <c r="A906" s="172"/>
      <c r="B906" s="552"/>
      <c r="C906" s="553"/>
      <c r="D906" s="554"/>
      <c r="E906" s="554"/>
      <c r="F906" s="167"/>
      <c r="G906" s="474"/>
      <c r="H906" s="474"/>
      <c r="J906" s="555"/>
    </row>
    <row r="907" spans="1:10" s="165" customFormat="1">
      <c r="A907" s="172"/>
      <c r="B907" s="552"/>
      <c r="C907" s="553"/>
      <c r="D907" s="554"/>
      <c r="E907" s="554"/>
      <c r="F907" s="167"/>
      <c r="G907" s="474"/>
      <c r="H907" s="474"/>
      <c r="J907" s="555"/>
    </row>
    <row r="908" spans="1:10" s="165" customFormat="1">
      <c r="A908" s="172"/>
      <c r="B908" s="552"/>
      <c r="C908" s="553"/>
      <c r="D908" s="554"/>
      <c r="E908" s="554"/>
      <c r="F908" s="167"/>
      <c r="G908" s="474"/>
      <c r="H908" s="474"/>
      <c r="J908" s="555"/>
    </row>
    <row r="909" spans="1:10" s="165" customFormat="1">
      <c r="A909" s="172"/>
      <c r="B909" s="552"/>
      <c r="C909" s="553"/>
      <c r="D909" s="554"/>
      <c r="E909" s="554"/>
      <c r="F909" s="167"/>
      <c r="G909" s="474"/>
      <c r="H909" s="474"/>
      <c r="J909" s="555"/>
    </row>
    <row r="910" spans="1:10" s="165" customFormat="1">
      <c r="A910" s="172"/>
      <c r="B910" s="552"/>
      <c r="C910" s="553"/>
      <c r="D910" s="554"/>
      <c r="E910" s="554"/>
      <c r="F910" s="167"/>
      <c r="G910" s="474"/>
      <c r="H910" s="474"/>
      <c r="J910" s="555"/>
    </row>
    <row r="911" spans="1:10" s="165" customFormat="1">
      <c r="A911" s="172"/>
      <c r="B911" s="552"/>
      <c r="C911" s="553"/>
      <c r="D911" s="554"/>
      <c r="E911" s="554"/>
      <c r="F911" s="167"/>
      <c r="G911" s="474"/>
      <c r="H911" s="474"/>
      <c r="J911" s="555"/>
    </row>
    <row r="912" spans="1:10" s="165" customFormat="1">
      <c r="A912" s="172"/>
      <c r="B912" s="552"/>
      <c r="C912" s="553"/>
      <c r="D912" s="554"/>
      <c r="E912" s="554"/>
      <c r="F912" s="167"/>
      <c r="G912" s="474"/>
      <c r="H912" s="474"/>
      <c r="J912" s="555"/>
    </row>
    <row r="913" spans="1:10" s="165" customFormat="1">
      <c r="A913" s="172"/>
      <c r="B913" s="552"/>
      <c r="C913" s="553"/>
      <c r="D913" s="554"/>
      <c r="E913" s="554"/>
      <c r="F913" s="167"/>
      <c r="G913" s="474"/>
      <c r="H913" s="474"/>
      <c r="J913" s="555"/>
    </row>
    <row r="914" spans="1:10" s="165" customFormat="1">
      <c r="A914" s="172"/>
      <c r="B914" s="552"/>
      <c r="C914" s="553"/>
      <c r="D914" s="554"/>
      <c r="E914" s="554"/>
      <c r="F914" s="167"/>
      <c r="G914" s="474"/>
      <c r="H914" s="474"/>
      <c r="J914" s="555"/>
    </row>
    <row r="915" spans="1:10" s="165" customFormat="1">
      <c r="A915" s="172"/>
      <c r="B915" s="552"/>
      <c r="C915" s="553"/>
      <c r="D915" s="554"/>
      <c r="E915" s="554"/>
      <c r="F915" s="167"/>
      <c r="G915" s="474"/>
      <c r="H915" s="474"/>
      <c r="J915" s="555"/>
    </row>
    <row r="916" spans="1:10" s="165" customFormat="1">
      <c r="A916" s="172"/>
      <c r="B916" s="552"/>
      <c r="C916" s="553"/>
      <c r="D916" s="554"/>
      <c r="E916" s="554"/>
      <c r="F916" s="167"/>
      <c r="G916" s="474"/>
      <c r="H916" s="474"/>
      <c r="J916" s="555"/>
    </row>
    <row r="917" spans="1:10" s="165" customFormat="1">
      <c r="A917" s="172"/>
      <c r="B917" s="552"/>
      <c r="C917" s="553"/>
      <c r="D917" s="554"/>
      <c r="E917" s="554"/>
      <c r="F917" s="167"/>
      <c r="G917" s="474"/>
      <c r="H917" s="474"/>
      <c r="J917" s="555"/>
    </row>
    <row r="918" spans="1:10" s="165" customFormat="1">
      <c r="A918" s="172"/>
      <c r="B918" s="552"/>
      <c r="C918" s="553"/>
      <c r="D918" s="554"/>
      <c r="E918" s="554"/>
      <c r="F918" s="167"/>
      <c r="G918" s="474"/>
      <c r="H918" s="474"/>
      <c r="J918" s="555"/>
    </row>
    <row r="919" spans="1:10" s="165" customFormat="1">
      <c r="A919" s="172"/>
      <c r="B919" s="552"/>
      <c r="C919" s="553"/>
      <c r="D919" s="554"/>
      <c r="E919" s="554"/>
      <c r="F919" s="167"/>
      <c r="G919" s="474"/>
      <c r="H919" s="474"/>
      <c r="J919" s="555"/>
    </row>
    <row r="920" spans="1:10" s="165" customFormat="1">
      <c r="A920" s="172"/>
      <c r="B920" s="552"/>
      <c r="C920" s="553"/>
      <c r="D920" s="554"/>
      <c r="E920" s="554"/>
      <c r="F920" s="167"/>
      <c r="G920" s="474"/>
      <c r="H920" s="474"/>
      <c r="J920" s="555"/>
    </row>
    <row r="921" spans="1:10" s="165" customFormat="1">
      <c r="A921" s="172"/>
      <c r="B921" s="552"/>
      <c r="C921" s="553"/>
      <c r="D921" s="554"/>
      <c r="E921" s="554"/>
      <c r="F921" s="167"/>
      <c r="G921" s="474"/>
      <c r="H921" s="474"/>
      <c r="J921" s="555"/>
    </row>
    <row r="922" spans="1:10" s="165" customFormat="1">
      <c r="A922" s="172"/>
      <c r="B922" s="552"/>
      <c r="C922" s="553"/>
      <c r="D922" s="554"/>
      <c r="E922" s="554"/>
      <c r="F922" s="167"/>
      <c r="G922" s="474"/>
      <c r="H922" s="474"/>
      <c r="J922" s="555"/>
    </row>
    <row r="923" spans="1:10" s="165" customFormat="1">
      <c r="A923" s="172"/>
      <c r="B923" s="552"/>
      <c r="C923" s="553"/>
      <c r="D923" s="554"/>
      <c r="E923" s="554"/>
      <c r="F923" s="167"/>
      <c r="G923" s="474"/>
      <c r="H923" s="474"/>
      <c r="J923" s="555"/>
    </row>
    <row r="924" spans="1:10" s="165" customFormat="1">
      <c r="A924" s="172"/>
      <c r="B924" s="552"/>
      <c r="C924" s="553"/>
      <c r="D924" s="554"/>
      <c r="E924" s="554"/>
      <c r="F924" s="167"/>
      <c r="G924" s="474"/>
      <c r="H924" s="474"/>
      <c r="J924" s="555"/>
    </row>
    <row r="925" spans="1:10" s="165" customFormat="1">
      <c r="A925" s="172"/>
      <c r="B925" s="552"/>
      <c r="C925" s="553"/>
      <c r="D925" s="554"/>
      <c r="E925" s="554"/>
      <c r="F925" s="167"/>
      <c r="G925" s="474"/>
      <c r="H925" s="474"/>
      <c r="J925" s="555"/>
    </row>
    <row r="926" spans="1:10" s="165" customFormat="1">
      <c r="A926" s="172"/>
      <c r="B926" s="552"/>
      <c r="C926" s="553"/>
      <c r="D926" s="554"/>
      <c r="E926" s="554"/>
      <c r="F926" s="167"/>
      <c r="G926" s="474"/>
      <c r="H926" s="474"/>
      <c r="J926" s="555"/>
    </row>
    <row r="927" spans="1:10" s="165" customFormat="1">
      <c r="A927" s="172"/>
      <c r="B927" s="552"/>
      <c r="C927" s="553"/>
      <c r="D927" s="554"/>
      <c r="E927" s="554"/>
      <c r="F927" s="167"/>
      <c r="G927" s="474"/>
      <c r="H927" s="474"/>
      <c r="J927" s="555"/>
    </row>
    <row r="928" spans="1:10" s="165" customFormat="1">
      <c r="A928" s="172"/>
      <c r="B928" s="552"/>
      <c r="C928" s="553"/>
      <c r="D928" s="554"/>
      <c r="E928" s="554"/>
      <c r="F928" s="167"/>
      <c r="G928" s="474"/>
      <c r="H928" s="474"/>
      <c r="J928" s="555"/>
    </row>
    <row r="929" spans="1:10" s="165" customFormat="1">
      <c r="A929" s="172"/>
      <c r="B929" s="552"/>
      <c r="C929" s="553"/>
      <c r="D929" s="554"/>
      <c r="E929" s="554"/>
      <c r="F929" s="167"/>
      <c r="G929" s="474"/>
      <c r="H929" s="474"/>
      <c r="J929" s="555"/>
    </row>
    <row r="930" spans="1:10" s="165" customFormat="1">
      <c r="A930" s="172"/>
      <c r="B930" s="552"/>
      <c r="C930" s="553"/>
      <c r="D930" s="554"/>
      <c r="E930" s="554"/>
      <c r="F930" s="167"/>
      <c r="G930" s="474"/>
      <c r="H930" s="474"/>
      <c r="J930" s="555"/>
    </row>
    <row r="931" spans="1:10" s="165" customFormat="1">
      <c r="A931" s="172"/>
      <c r="B931" s="552"/>
      <c r="C931" s="553"/>
      <c r="D931" s="554"/>
      <c r="E931" s="554"/>
      <c r="F931" s="167"/>
      <c r="G931" s="474"/>
      <c r="H931" s="474"/>
      <c r="J931" s="555"/>
    </row>
    <row r="932" spans="1:10" s="165" customFormat="1">
      <c r="A932" s="172"/>
      <c r="B932" s="552"/>
      <c r="C932" s="553"/>
      <c r="D932" s="554"/>
      <c r="E932" s="554"/>
      <c r="F932" s="167"/>
      <c r="G932" s="474"/>
      <c r="H932" s="474"/>
      <c r="J932" s="555"/>
    </row>
    <row r="933" spans="1:10" s="165" customFormat="1">
      <c r="A933" s="172"/>
      <c r="B933" s="552"/>
      <c r="C933" s="553"/>
      <c r="D933" s="554"/>
      <c r="E933" s="554"/>
      <c r="F933" s="167"/>
      <c r="G933" s="474"/>
      <c r="H933" s="474"/>
      <c r="J933" s="555"/>
    </row>
    <row r="934" spans="1:10" s="165" customFormat="1">
      <c r="A934" s="172"/>
      <c r="B934" s="552"/>
      <c r="C934" s="553"/>
      <c r="D934" s="554"/>
      <c r="E934" s="554"/>
      <c r="F934" s="167"/>
      <c r="G934" s="474"/>
      <c r="H934" s="474"/>
      <c r="J934" s="555"/>
    </row>
    <row r="935" spans="1:10" s="165" customFormat="1">
      <c r="A935" s="172"/>
      <c r="B935" s="552"/>
      <c r="C935" s="553"/>
      <c r="D935" s="554"/>
      <c r="E935" s="554"/>
      <c r="F935" s="167"/>
      <c r="G935" s="474"/>
      <c r="H935" s="474"/>
      <c r="J935" s="555"/>
    </row>
    <row r="936" spans="1:10" s="165" customFormat="1">
      <c r="A936" s="172"/>
      <c r="B936" s="552"/>
      <c r="C936" s="553"/>
      <c r="D936" s="554"/>
      <c r="E936" s="554"/>
      <c r="F936" s="167"/>
      <c r="G936" s="474"/>
      <c r="H936" s="474"/>
      <c r="J936" s="555"/>
    </row>
    <row r="937" spans="1:10" s="165" customFormat="1">
      <c r="A937" s="172"/>
      <c r="B937" s="552"/>
      <c r="C937" s="553"/>
      <c r="D937" s="554"/>
      <c r="E937" s="554"/>
      <c r="F937" s="167"/>
      <c r="G937" s="474"/>
      <c r="H937" s="474"/>
      <c r="J937" s="555"/>
    </row>
    <row r="938" spans="1:10" s="165" customFormat="1">
      <c r="A938" s="172"/>
      <c r="B938" s="552"/>
      <c r="C938" s="553"/>
      <c r="D938" s="554"/>
      <c r="E938" s="554"/>
      <c r="F938" s="167"/>
      <c r="G938" s="474"/>
      <c r="H938" s="474"/>
      <c r="J938" s="555"/>
    </row>
    <row r="939" spans="1:10" s="165" customFormat="1">
      <c r="A939" s="172"/>
      <c r="B939" s="552"/>
      <c r="C939" s="553"/>
      <c r="D939" s="554"/>
      <c r="E939" s="554"/>
      <c r="F939" s="167"/>
      <c r="G939" s="474"/>
      <c r="H939" s="474"/>
      <c r="J939" s="555"/>
    </row>
    <row r="940" spans="1:10" s="165" customFormat="1">
      <c r="A940" s="172"/>
      <c r="B940" s="552"/>
      <c r="C940" s="553"/>
      <c r="D940" s="554"/>
      <c r="E940" s="554"/>
      <c r="F940" s="167"/>
      <c r="G940" s="474"/>
      <c r="H940" s="474"/>
      <c r="J940" s="555"/>
    </row>
    <row r="941" spans="1:10" s="165" customFormat="1">
      <c r="A941" s="172"/>
      <c r="B941" s="552"/>
      <c r="C941" s="553"/>
      <c r="D941" s="554"/>
      <c r="E941" s="554"/>
      <c r="F941" s="167"/>
      <c r="G941" s="474"/>
      <c r="H941" s="474"/>
      <c r="J941" s="555"/>
    </row>
    <row r="942" spans="1:10" s="165" customFormat="1">
      <c r="A942" s="172"/>
      <c r="B942" s="552"/>
      <c r="C942" s="553"/>
      <c r="D942" s="554"/>
      <c r="E942" s="554"/>
      <c r="F942" s="167"/>
      <c r="G942" s="474"/>
      <c r="H942" s="474"/>
      <c r="J942" s="555"/>
    </row>
    <row r="943" spans="1:10" s="165" customFormat="1">
      <c r="A943" s="172"/>
      <c r="B943" s="552"/>
      <c r="C943" s="553"/>
      <c r="D943" s="554"/>
      <c r="E943" s="554"/>
      <c r="F943" s="167"/>
      <c r="G943" s="474"/>
      <c r="H943" s="474"/>
      <c r="J943" s="555"/>
    </row>
    <row r="944" spans="1:10" s="165" customFormat="1">
      <c r="A944" s="172"/>
      <c r="B944" s="552"/>
      <c r="C944" s="553"/>
      <c r="D944" s="554"/>
      <c r="E944" s="554"/>
      <c r="F944" s="167"/>
      <c r="G944" s="474"/>
      <c r="H944" s="474"/>
      <c r="J944" s="555"/>
    </row>
    <row r="945" spans="1:10" s="165" customFormat="1">
      <c r="A945" s="172"/>
      <c r="B945" s="552"/>
      <c r="C945" s="553"/>
      <c r="D945" s="554"/>
      <c r="E945" s="554"/>
      <c r="F945" s="167"/>
      <c r="G945" s="474"/>
      <c r="H945" s="474"/>
      <c r="J945" s="555"/>
    </row>
    <row r="946" spans="1:10" s="165" customFormat="1">
      <c r="A946" s="172"/>
      <c r="B946" s="552"/>
      <c r="C946" s="553"/>
      <c r="D946" s="554"/>
      <c r="E946" s="554"/>
      <c r="F946" s="167"/>
      <c r="G946" s="474"/>
      <c r="H946" s="474"/>
      <c r="J946" s="555"/>
    </row>
    <row r="947" spans="1:10" s="165" customFormat="1">
      <c r="A947" s="172"/>
      <c r="B947" s="552"/>
      <c r="C947" s="553"/>
      <c r="D947" s="554"/>
      <c r="E947" s="554"/>
      <c r="F947" s="167"/>
      <c r="G947" s="474"/>
      <c r="H947" s="474"/>
      <c r="J947" s="555"/>
    </row>
    <row r="948" spans="1:10" s="165" customFormat="1">
      <c r="A948" s="172"/>
      <c r="B948" s="552"/>
      <c r="C948" s="553"/>
      <c r="D948" s="554"/>
      <c r="E948" s="554"/>
      <c r="F948" s="167"/>
      <c r="G948" s="474"/>
      <c r="H948" s="474"/>
      <c r="J948" s="555"/>
    </row>
    <row r="949" spans="1:10" s="165" customFormat="1">
      <c r="A949" s="172"/>
      <c r="B949" s="552"/>
      <c r="C949" s="553"/>
      <c r="D949" s="554"/>
      <c r="E949" s="554"/>
      <c r="F949" s="167"/>
      <c r="G949" s="474"/>
      <c r="H949" s="474"/>
      <c r="J949" s="555"/>
    </row>
    <row r="950" spans="1:10" s="165" customFormat="1">
      <c r="A950" s="172"/>
      <c r="B950" s="552"/>
      <c r="C950" s="553"/>
      <c r="D950" s="554"/>
      <c r="E950" s="554"/>
      <c r="F950" s="167"/>
      <c r="G950" s="474"/>
      <c r="H950" s="474"/>
      <c r="J950" s="555"/>
    </row>
    <row r="951" spans="1:10" s="165" customFormat="1">
      <c r="A951" s="172"/>
      <c r="B951" s="552"/>
      <c r="C951" s="553"/>
      <c r="D951" s="554"/>
      <c r="E951" s="554"/>
      <c r="F951" s="167"/>
      <c r="G951" s="474"/>
      <c r="H951" s="474"/>
      <c r="J951" s="555"/>
    </row>
    <row r="952" spans="1:10" s="165" customFormat="1">
      <c r="A952" s="172"/>
      <c r="B952" s="552"/>
      <c r="C952" s="553"/>
      <c r="D952" s="554"/>
      <c r="E952" s="554"/>
      <c r="F952" s="167"/>
      <c r="G952" s="474"/>
      <c r="H952" s="474"/>
      <c r="J952" s="555"/>
    </row>
    <row r="953" spans="1:10" s="165" customFormat="1">
      <c r="A953" s="172"/>
      <c r="B953" s="552"/>
      <c r="C953" s="553"/>
      <c r="D953" s="554"/>
      <c r="E953" s="554"/>
      <c r="F953" s="167"/>
      <c r="G953" s="474"/>
      <c r="H953" s="474"/>
      <c r="J953" s="555"/>
    </row>
    <row r="954" spans="1:10" s="165" customFormat="1">
      <c r="A954" s="172"/>
      <c r="B954" s="552"/>
      <c r="C954" s="553"/>
      <c r="D954" s="554"/>
      <c r="E954" s="554"/>
      <c r="F954" s="167"/>
      <c r="G954" s="474"/>
      <c r="H954" s="474"/>
      <c r="J954" s="555"/>
    </row>
    <row r="955" spans="1:10" s="165" customFormat="1">
      <c r="A955" s="172"/>
      <c r="B955" s="552"/>
      <c r="C955" s="553"/>
      <c r="D955" s="554"/>
      <c r="E955" s="554"/>
      <c r="F955" s="167"/>
      <c r="G955" s="474"/>
      <c r="H955" s="474"/>
      <c r="J955" s="555"/>
    </row>
    <row r="956" spans="1:10" s="165" customFormat="1">
      <c r="A956" s="172"/>
      <c r="B956" s="552"/>
      <c r="C956" s="553"/>
      <c r="D956" s="554"/>
      <c r="E956" s="554"/>
      <c r="F956" s="167"/>
      <c r="G956" s="474"/>
      <c r="H956" s="474"/>
      <c r="J956" s="555"/>
    </row>
    <row r="957" spans="1:10" s="165" customFormat="1">
      <c r="A957" s="172"/>
      <c r="B957" s="552"/>
      <c r="C957" s="553"/>
      <c r="D957" s="554"/>
      <c r="E957" s="554"/>
      <c r="F957" s="167"/>
      <c r="G957" s="474"/>
      <c r="H957" s="474"/>
      <c r="J957" s="555"/>
    </row>
    <row r="958" spans="1:10" s="165" customFormat="1">
      <c r="A958" s="172"/>
      <c r="B958" s="552"/>
      <c r="C958" s="553"/>
      <c r="D958" s="554"/>
      <c r="E958" s="554"/>
      <c r="F958" s="167"/>
      <c r="G958" s="474"/>
      <c r="H958" s="474"/>
      <c r="J958" s="555"/>
    </row>
    <row r="959" spans="1:10" s="165" customFormat="1">
      <c r="A959" s="172"/>
      <c r="B959" s="552"/>
      <c r="C959" s="553"/>
      <c r="D959" s="554"/>
      <c r="E959" s="554"/>
      <c r="F959" s="167"/>
      <c r="G959" s="474"/>
      <c r="H959" s="474"/>
      <c r="J959" s="555"/>
    </row>
    <row r="960" spans="1:10" s="165" customFormat="1">
      <c r="A960" s="172"/>
      <c r="B960" s="552"/>
      <c r="C960" s="553"/>
      <c r="D960" s="554"/>
      <c r="E960" s="554"/>
      <c r="F960" s="167"/>
      <c r="G960" s="474"/>
      <c r="H960" s="474"/>
      <c r="J960" s="555"/>
    </row>
    <row r="961" spans="1:10" s="165" customFormat="1">
      <c r="A961" s="172"/>
      <c r="B961" s="552"/>
      <c r="C961" s="553"/>
      <c r="D961" s="554"/>
      <c r="E961" s="554"/>
      <c r="F961" s="167"/>
      <c r="G961" s="474"/>
      <c r="H961" s="474"/>
      <c r="J961" s="555"/>
    </row>
    <row r="962" spans="1:10" s="165" customFormat="1">
      <c r="A962" s="172"/>
      <c r="B962" s="552"/>
      <c r="C962" s="553"/>
      <c r="D962" s="554"/>
      <c r="E962" s="554"/>
      <c r="F962" s="167"/>
      <c r="G962" s="474"/>
      <c r="H962" s="474"/>
      <c r="J962" s="555"/>
    </row>
    <row r="963" spans="1:10" s="165" customFormat="1">
      <c r="A963" s="172"/>
      <c r="B963" s="552"/>
      <c r="C963" s="553"/>
      <c r="D963" s="554"/>
      <c r="E963" s="554"/>
      <c r="F963" s="167"/>
      <c r="G963" s="474"/>
      <c r="H963" s="474"/>
      <c r="J963" s="555"/>
    </row>
    <row r="964" spans="1:10" s="165" customFormat="1">
      <c r="A964" s="172"/>
      <c r="B964" s="552"/>
      <c r="C964" s="553"/>
      <c r="D964" s="554"/>
      <c r="E964" s="554"/>
      <c r="F964" s="167"/>
      <c r="G964" s="474"/>
      <c r="H964" s="474"/>
      <c r="J964" s="555"/>
    </row>
    <row r="965" spans="1:10" s="165" customFormat="1">
      <c r="A965" s="172"/>
      <c r="B965" s="552"/>
      <c r="C965" s="553"/>
      <c r="D965" s="554"/>
      <c r="E965" s="554"/>
      <c r="F965" s="167"/>
      <c r="G965" s="474"/>
      <c r="H965" s="474"/>
      <c r="J965" s="555"/>
    </row>
    <row r="966" spans="1:10" s="165" customFormat="1">
      <c r="A966" s="172"/>
      <c r="B966" s="552"/>
      <c r="C966" s="553"/>
      <c r="D966" s="554"/>
      <c r="E966" s="554"/>
      <c r="F966" s="167"/>
      <c r="G966" s="474"/>
      <c r="H966" s="474"/>
      <c r="J966" s="555"/>
    </row>
    <row r="967" spans="1:10" s="165" customFormat="1">
      <c r="A967" s="172"/>
      <c r="B967" s="552"/>
      <c r="C967" s="553"/>
      <c r="D967" s="554"/>
      <c r="E967" s="554"/>
      <c r="F967" s="167"/>
      <c r="G967" s="474"/>
      <c r="H967" s="474"/>
      <c r="J967" s="555"/>
    </row>
    <row r="968" spans="1:10" s="165" customFormat="1">
      <c r="A968" s="172"/>
      <c r="B968" s="552"/>
      <c r="C968" s="553"/>
      <c r="D968" s="554"/>
      <c r="E968" s="554"/>
      <c r="F968" s="167"/>
      <c r="G968" s="474"/>
      <c r="H968" s="474"/>
      <c r="J968" s="555"/>
    </row>
    <row r="969" spans="1:10" s="165" customFormat="1">
      <c r="A969" s="172"/>
      <c r="B969" s="552"/>
      <c r="C969" s="553"/>
      <c r="D969" s="554"/>
      <c r="E969" s="554"/>
      <c r="F969" s="167"/>
      <c r="G969" s="474"/>
      <c r="H969" s="474"/>
      <c r="J969" s="555"/>
    </row>
    <row r="970" spans="1:10" s="165" customFormat="1">
      <c r="A970" s="172"/>
      <c r="B970" s="552"/>
      <c r="C970" s="553"/>
      <c r="D970" s="554"/>
      <c r="E970" s="554"/>
      <c r="F970" s="167"/>
      <c r="G970" s="474"/>
      <c r="H970" s="474"/>
      <c r="J970" s="555"/>
    </row>
    <row r="971" spans="1:10" s="165" customFormat="1">
      <c r="A971" s="172"/>
      <c r="B971" s="552"/>
      <c r="C971" s="553"/>
      <c r="D971" s="554"/>
      <c r="E971" s="554"/>
      <c r="F971" s="167"/>
      <c r="G971" s="474"/>
      <c r="H971" s="474"/>
      <c r="J971" s="555"/>
    </row>
    <row r="972" spans="1:10" s="165" customFormat="1">
      <c r="A972" s="172"/>
      <c r="B972" s="552"/>
      <c r="C972" s="553"/>
      <c r="D972" s="554"/>
      <c r="E972" s="554"/>
      <c r="F972" s="167"/>
      <c r="G972" s="474"/>
      <c r="H972" s="474"/>
      <c r="J972" s="555"/>
    </row>
    <row r="973" spans="1:10" s="165" customFormat="1">
      <c r="A973" s="172"/>
      <c r="B973" s="552"/>
      <c r="C973" s="553"/>
      <c r="D973" s="554"/>
      <c r="E973" s="554"/>
      <c r="F973" s="167"/>
      <c r="G973" s="474"/>
      <c r="H973" s="474"/>
      <c r="J973" s="555"/>
    </row>
    <row r="974" spans="1:10" s="165" customFormat="1">
      <c r="A974" s="172"/>
      <c r="B974" s="552"/>
      <c r="C974" s="553"/>
      <c r="D974" s="554"/>
      <c r="E974" s="554"/>
      <c r="F974" s="167"/>
      <c r="G974" s="474"/>
      <c r="H974" s="474"/>
      <c r="J974" s="555"/>
    </row>
    <row r="975" spans="1:10" s="165" customFormat="1">
      <c r="A975" s="172"/>
      <c r="B975" s="552"/>
      <c r="C975" s="553"/>
      <c r="D975" s="554"/>
      <c r="E975" s="554"/>
      <c r="F975" s="167"/>
      <c r="G975" s="474"/>
      <c r="H975" s="474"/>
      <c r="J975" s="555"/>
    </row>
    <row r="976" spans="1:10" s="165" customFormat="1">
      <c r="A976" s="172"/>
      <c r="B976" s="552"/>
      <c r="C976" s="553"/>
      <c r="D976" s="554"/>
      <c r="E976" s="554"/>
      <c r="F976" s="167"/>
      <c r="G976" s="474"/>
      <c r="H976" s="474"/>
      <c r="J976" s="555"/>
    </row>
    <row r="977" spans="1:10" s="165" customFormat="1">
      <c r="A977" s="172"/>
      <c r="B977" s="552"/>
      <c r="C977" s="553"/>
      <c r="D977" s="554"/>
      <c r="E977" s="554"/>
      <c r="F977" s="167"/>
      <c r="G977" s="474"/>
      <c r="H977" s="474"/>
      <c r="J977" s="555"/>
    </row>
    <row r="978" spans="1:10" s="165" customFormat="1">
      <c r="A978" s="172"/>
      <c r="B978" s="552"/>
      <c r="C978" s="553"/>
      <c r="D978" s="554"/>
      <c r="E978" s="554"/>
      <c r="F978" s="167"/>
      <c r="G978" s="474"/>
      <c r="H978" s="474"/>
      <c r="J978" s="555"/>
    </row>
    <row r="979" spans="1:10" s="165" customFormat="1">
      <c r="A979" s="172"/>
      <c r="B979" s="552"/>
      <c r="C979" s="553"/>
      <c r="D979" s="554"/>
      <c r="E979" s="554"/>
      <c r="F979" s="167"/>
      <c r="G979" s="474"/>
      <c r="H979" s="474"/>
      <c r="J979" s="555"/>
    </row>
    <row r="980" spans="1:10" s="165" customFormat="1">
      <c r="A980" s="172"/>
      <c r="B980" s="552"/>
      <c r="C980" s="553"/>
      <c r="D980" s="554"/>
      <c r="E980" s="554"/>
      <c r="F980" s="167"/>
      <c r="G980" s="474"/>
      <c r="H980" s="474"/>
      <c r="J980" s="555"/>
    </row>
    <row r="981" spans="1:10" s="165" customFormat="1">
      <c r="A981" s="172"/>
      <c r="B981" s="552"/>
      <c r="C981" s="553"/>
      <c r="D981" s="554"/>
      <c r="E981" s="554"/>
      <c r="F981" s="167"/>
      <c r="G981" s="474"/>
      <c r="H981" s="474"/>
      <c r="J981" s="555"/>
    </row>
    <row r="982" spans="1:10" s="165" customFormat="1">
      <c r="A982" s="172"/>
      <c r="B982" s="552"/>
      <c r="C982" s="553"/>
      <c r="D982" s="554"/>
      <c r="E982" s="554"/>
      <c r="F982" s="167"/>
      <c r="G982" s="474"/>
      <c r="H982" s="474"/>
      <c r="J982" s="555"/>
    </row>
    <row r="983" spans="1:10" s="165" customFormat="1">
      <c r="A983" s="172"/>
      <c r="B983" s="552"/>
      <c r="C983" s="553"/>
      <c r="D983" s="554"/>
      <c r="E983" s="554"/>
      <c r="F983" s="167"/>
      <c r="G983" s="474"/>
      <c r="H983" s="474"/>
      <c r="J983" s="555"/>
    </row>
    <row r="984" spans="1:10" s="165" customFormat="1">
      <c r="A984" s="172"/>
      <c r="B984" s="552"/>
      <c r="C984" s="553"/>
      <c r="D984" s="554"/>
      <c r="E984" s="554"/>
      <c r="F984" s="167"/>
      <c r="G984" s="474"/>
      <c r="H984" s="474"/>
      <c r="J984" s="555"/>
    </row>
    <row r="985" spans="1:10" s="165" customFormat="1">
      <c r="A985" s="172"/>
      <c r="B985" s="552"/>
      <c r="C985" s="553"/>
      <c r="D985" s="554"/>
      <c r="E985" s="554"/>
      <c r="F985" s="167"/>
      <c r="G985" s="474"/>
      <c r="H985" s="474"/>
      <c r="J985" s="555"/>
    </row>
    <row r="986" spans="1:10" s="165" customFormat="1">
      <c r="A986" s="172"/>
      <c r="B986" s="552"/>
      <c r="C986" s="553"/>
      <c r="D986" s="554"/>
      <c r="E986" s="554"/>
      <c r="F986" s="167"/>
      <c r="G986" s="474"/>
      <c r="H986" s="474"/>
      <c r="J986" s="555"/>
    </row>
    <row r="987" spans="1:10" s="165" customFormat="1">
      <c r="A987" s="172"/>
      <c r="B987" s="552"/>
      <c r="C987" s="553"/>
      <c r="D987" s="554"/>
      <c r="E987" s="554"/>
      <c r="F987" s="167"/>
      <c r="G987" s="474"/>
      <c r="H987" s="474"/>
      <c r="J987" s="555"/>
    </row>
    <row r="988" spans="1:10" s="165" customFormat="1">
      <c r="A988" s="172"/>
      <c r="B988" s="552"/>
      <c r="C988" s="553"/>
      <c r="D988" s="554"/>
      <c r="E988" s="554"/>
      <c r="F988" s="167"/>
      <c r="G988" s="474"/>
      <c r="H988" s="474"/>
      <c r="J988" s="555"/>
    </row>
    <row r="989" spans="1:10" s="165" customFormat="1">
      <c r="A989" s="172"/>
      <c r="B989" s="552"/>
      <c r="C989" s="553"/>
      <c r="D989" s="554"/>
      <c r="E989" s="554"/>
      <c r="F989" s="167"/>
      <c r="G989" s="474"/>
      <c r="H989" s="474"/>
      <c r="J989" s="555"/>
    </row>
    <row r="990" spans="1:10" s="165" customFormat="1">
      <c r="A990" s="172"/>
      <c r="B990" s="552"/>
      <c r="C990" s="553"/>
      <c r="D990" s="554"/>
      <c r="E990" s="554"/>
      <c r="F990" s="167"/>
      <c r="G990" s="474"/>
      <c r="H990" s="474"/>
      <c r="J990" s="555"/>
    </row>
    <row r="991" spans="1:10" s="165" customFormat="1">
      <c r="A991" s="172"/>
      <c r="B991" s="552"/>
      <c r="C991" s="553"/>
      <c r="D991" s="554"/>
      <c r="E991" s="554"/>
      <c r="F991" s="167"/>
      <c r="G991" s="474"/>
      <c r="H991" s="474"/>
      <c r="J991" s="555"/>
    </row>
    <row r="992" spans="1:10" s="165" customFormat="1">
      <c r="A992" s="172"/>
      <c r="B992" s="552"/>
      <c r="C992" s="553"/>
      <c r="D992" s="554"/>
      <c r="E992" s="554"/>
      <c r="F992" s="167"/>
      <c r="G992" s="474"/>
      <c r="H992" s="474"/>
      <c r="J992" s="555"/>
    </row>
    <row r="993" spans="1:10" s="165" customFormat="1">
      <c r="A993" s="172"/>
      <c r="B993" s="552"/>
      <c r="C993" s="553"/>
      <c r="D993" s="554"/>
      <c r="E993" s="554"/>
      <c r="F993" s="167"/>
      <c r="G993" s="474"/>
      <c r="H993" s="474"/>
      <c r="J993" s="555"/>
    </row>
    <row r="994" spans="1:10" s="165" customFormat="1">
      <c r="A994" s="172"/>
      <c r="B994" s="552"/>
      <c r="C994" s="553"/>
      <c r="D994" s="554"/>
      <c r="E994" s="554"/>
      <c r="F994" s="167"/>
      <c r="G994" s="474"/>
      <c r="H994" s="474"/>
      <c r="J994" s="555"/>
    </row>
    <row r="995" spans="1:10" s="165" customFormat="1">
      <c r="A995" s="172"/>
      <c r="B995" s="552"/>
      <c r="C995" s="553"/>
      <c r="D995" s="554"/>
      <c r="E995" s="554"/>
      <c r="F995" s="167"/>
      <c r="G995" s="474"/>
      <c r="H995" s="474"/>
      <c r="J995" s="555"/>
    </row>
    <row r="996" spans="1:10" s="165" customFormat="1">
      <c r="A996" s="172"/>
      <c r="B996" s="552"/>
      <c r="C996" s="553"/>
      <c r="D996" s="554"/>
      <c r="E996" s="554"/>
      <c r="F996" s="167"/>
      <c r="G996" s="474"/>
      <c r="H996" s="474"/>
      <c r="J996" s="555"/>
    </row>
    <row r="997" spans="1:10" s="165" customFormat="1">
      <c r="A997" s="172"/>
      <c r="B997" s="552"/>
      <c r="C997" s="553"/>
      <c r="D997" s="554"/>
      <c r="E997" s="554"/>
      <c r="F997" s="167"/>
      <c r="G997" s="474"/>
      <c r="H997" s="474"/>
      <c r="J997" s="555"/>
    </row>
    <row r="998" spans="1:10" s="165" customFormat="1">
      <c r="A998" s="172"/>
      <c r="B998" s="552"/>
      <c r="C998" s="553"/>
      <c r="D998" s="554"/>
      <c r="E998" s="554"/>
      <c r="F998" s="167"/>
      <c r="G998" s="474"/>
      <c r="H998" s="474"/>
      <c r="J998" s="555"/>
    </row>
    <row r="999" spans="1:10" s="165" customFormat="1">
      <c r="A999" s="172"/>
      <c r="B999" s="552"/>
      <c r="C999" s="553"/>
      <c r="D999" s="554"/>
      <c r="E999" s="554"/>
      <c r="F999" s="167"/>
      <c r="G999" s="474"/>
      <c r="H999" s="474"/>
      <c r="J999" s="555"/>
    </row>
    <row r="1000" spans="1:10" s="165" customFormat="1">
      <c r="A1000" s="172"/>
      <c r="B1000" s="552"/>
      <c r="C1000" s="553"/>
      <c r="D1000" s="554"/>
      <c r="E1000" s="554"/>
      <c r="F1000" s="167"/>
      <c r="G1000" s="474"/>
      <c r="H1000" s="474"/>
      <c r="J1000" s="555"/>
    </row>
    <row r="1001" spans="1:10" s="165" customFormat="1">
      <c r="A1001" s="172"/>
      <c r="B1001" s="552"/>
      <c r="C1001" s="553"/>
      <c r="D1001" s="554"/>
      <c r="E1001" s="554"/>
      <c r="F1001" s="167"/>
      <c r="G1001" s="474"/>
      <c r="H1001" s="474"/>
      <c r="J1001" s="555"/>
    </row>
    <row r="1002" spans="1:10" s="165" customFormat="1">
      <c r="A1002" s="172"/>
      <c r="B1002" s="552"/>
      <c r="C1002" s="553"/>
      <c r="D1002" s="554"/>
      <c r="E1002" s="554"/>
      <c r="F1002" s="167"/>
      <c r="G1002" s="474"/>
      <c r="H1002" s="474"/>
      <c r="J1002" s="555"/>
    </row>
    <row r="1003" spans="1:10" s="165" customFormat="1">
      <c r="A1003" s="172"/>
      <c r="B1003" s="552"/>
      <c r="C1003" s="553"/>
      <c r="D1003" s="554"/>
      <c r="E1003" s="554"/>
      <c r="F1003" s="167"/>
      <c r="G1003" s="474"/>
      <c r="H1003" s="474"/>
      <c r="J1003" s="555"/>
    </row>
    <row r="1004" spans="1:10" s="165" customFormat="1">
      <c r="A1004" s="172"/>
      <c r="B1004" s="552"/>
      <c r="C1004" s="553"/>
      <c r="D1004" s="554"/>
      <c r="E1004" s="554"/>
      <c r="F1004" s="167"/>
      <c r="G1004" s="474"/>
      <c r="H1004" s="474"/>
      <c r="J1004" s="555"/>
    </row>
    <row r="1005" spans="1:10" s="165" customFormat="1">
      <c r="A1005" s="172"/>
      <c r="B1005" s="552"/>
      <c r="C1005" s="553"/>
      <c r="D1005" s="554"/>
      <c r="E1005" s="554"/>
      <c r="F1005" s="167"/>
      <c r="G1005" s="474"/>
      <c r="H1005" s="474"/>
      <c r="J1005" s="555"/>
    </row>
    <row r="1006" spans="1:10" s="165" customFormat="1">
      <c r="A1006" s="172"/>
      <c r="B1006" s="552"/>
      <c r="C1006" s="553"/>
      <c r="D1006" s="554"/>
      <c r="E1006" s="554"/>
      <c r="F1006" s="167"/>
      <c r="G1006" s="474"/>
      <c r="H1006" s="474"/>
      <c r="J1006" s="555"/>
    </row>
    <row r="1007" spans="1:10" s="165" customFormat="1">
      <c r="A1007" s="172"/>
      <c r="B1007" s="552"/>
      <c r="C1007" s="553"/>
      <c r="D1007" s="554"/>
      <c r="E1007" s="554"/>
      <c r="F1007" s="167"/>
      <c r="G1007" s="474"/>
      <c r="H1007" s="474"/>
      <c r="J1007" s="555"/>
    </row>
    <row r="1008" spans="1:10" s="165" customFormat="1">
      <c r="A1008" s="172"/>
      <c r="B1008" s="552"/>
      <c r="C1008" s="553"/>
      <c r="D1008" s="554"/>
      <c r="E1008" s="554"/>
      <c r="F1008" s="167"/>
      <c r="G1008" s="474"/>
      <c r="H1008" s="474"/>
      <c r="J1008" s="555"/>
    </row>
    <row r="1009" spans="1:10" s="165" customFormat="1">
      <c r="A1009" s="172"/>
      <c r="B1009" s="552"/>
      <c r="C1009" s="553"/>
      <c r="D1009" s="554"/>
      <c r="E1009" s="554"/>
      <c r="F1009" s="167"/>
      <c r="G1009" s="474"/>
      <c r="H1009" s="474"/>
      <c r="J1009" s="555"/>
    </row>
    <row r="1010" spans="1:10" s="165" customFormat="1">
      <c r="A1010" s="172"/>
      <c r="B1010" s="552"/>
      <c r="C1010" s="553"/>
      <c r="D1010" s="554"/>
      <c r="E1010" s="554"/>
      <c r="F1010" s="167"/>
      <c r="G1010" s="474"/>
      <c r="H1010" s="474"/>
      <c r="J1010" s="555"/>
    </row>
    <row r="1011" spans="1:10" s="165" customFormat="1">
      <c r="A1011" s="172"/>
      <c r="B1011" s="552"/>
      <c r="C1011" s="553"/>
      <c r="D1011" s="554"/>
      <c r="E1011" s="554"/>
      <c r="F1011" s="167"/>
      <c r="G1011" s="474"/>
      <c r="H1011" s="474"/>
      <c r="J1011" s="555"/>
    </row>
    <row r="1012" spans="1:10" s="165" customFormat="1">
      <c r="A1012" s="172"/>
      <c r="B1012" s="552"/>
      <c r="C1012" s="553"/>
      <c r="D1012" s="554"/>
      <c r="E1012" s="554"/>
      <c r="F1012" s="167"/>
      <c r="G1012" s="474"/>
      <c r="H1012" s="474"/>
      <c r="J1012" s="555"/>
    </row>
    <row r="1013" spans="1:10" s="165" customFormat="1">
      <c r="A1013" s="172"/>
      <c r="B1013" s="552"/>
      <c r="C1013" s="553"/>
      <c r="D1013" s="554"/>
      <c r="E1013" s="554"/>
      <c r="F1013" s="167"/>
      <c r="G1013" s="474"/>
      <c r="H1013" s="474"/>
      <c r="J1013" s="555"/>
    </row>
    <row r="1014" spans="1:10" s="165" customFormat="1">
      <c r="A1014" s="172"/>
      <c r="B1014" s="552"/>
      <c r="C1014" s="553"/>
      <c r="D1014" s="554"/>
      <c r="E1014" s="554"/>
      <c r="F1014" s="167"/>
      <c r="G1014" s="474"/>
      <c r="H1014" s="474"/>
      <c r="J1014" s="555"/>
    </row>
    <row r="1015" spans="1:10" s="165" customFormat="1">
      <c r="A1015" s="172"/>
      <c r="B1015" s="552"/>
      <c r="C1015" s="553"/>
      <c r="D1015" s="554"/>
      <c r="E1015" s="554"/>
      <c r="F1015" s="167"/>
      <c r="G1015" s="474"/>
      <c r="H1015" s="474"/>
      <c r="J1015" s="555"/>
    </row>
    <row r="1016" spans="1:10" s="165" customFormat="1">
      <c r="A1016" s="172"/>
      <c r="B1016" s="552"/>
      <c r="C1016" s="553"/>
      <c r="D1016" s="554"/>
      <c r="E1016" s="554"/>
      <c r="F1016" s="167"/>
      <c r="G1016" s="474"/>
      <c r="H1016" s="474"/>
      <c r="J1016" s="555"/>
    </row>
    <row r="1017" spans="1:10" s="165" customFormat="1">
      <c r="A1017" s="172"/>
      <c r="B1017" s="552"/>
      <c r="C1017" s="553"/>
      <c r="D1017" s="554"/>
      <c r="E1017" s="554"/>
      <c r="F1017" s="167"/>
      <c r="G1017" s="474"/>
      <c r="H1017" s="474"/>
      <c r="J1017" s="555"/>
    </row>
    <row r="1018" spans="1:10" s="165" customFormat="1">
      <c r="A1018" s="172"/>
      <c r="B1018" s="552"/>
      <c r="C1018" s="553"/>
      <c r="D1018" s="554"/>
      <c r="E1018" s="554"/>
      <c r="F1018" s="167"/>
      <c r="G1018" s="474"/>
      <c r="H1018" s="474"/>
      <c r="J1018" s="555"/>
    </row>
    <row r="1019" spans="1:10" s="165" customFormat="1">
      <c r="A1019" s="172"/>
      <c r="B1019" s="552"/>
      <c r="C1019" s="553"/>
      <c r="D1019" s="554"/>
      <c r="E1019" s="554"/>
      <c r="F1019" s="167"/>
      <c r="G1019" s="474"/>
      <c r="H1019" s="474"/>
      <c r="J1019" s="555"/>
    </row>
    <row r="1020" spans="1:10" s="165" customFormat="1">
      <c r="A1020" s="172"/>
      <c r="B1020" s="552"/>
      <c r="C1020" s="553"/>
      <c r="D1020" s="554"/>
      <c r="E1020" s="554"/>
      <c r="F1020" s="167"/>
      <c r="G1020" s="474"/>
      <c r="H1020" s="474"/>
      <c r="J1020" s="555"/>
    </row>
    <row r="1021" spans="1:10" s="165" customFormat="1">
      <c r="A1021" s="172"/>
      <c r="B1021" s="552"/>
      <c r="C1021" s="553"/>
      <c r="D1021" s="554"/>
      <c r="E1021" s="554"/>
      <c r="F1021" s="167"/>
      <c r="G1021" s="474"/>
      <c r="H1021" s="474"/>
      <c r="J1021" s="555"/>
    </row>
    <row r="1022" spans="1:10" s="165" customFormat="1">
      <c r="A1022" s="172"/>
      <c r="B1022" s="552"/>
      <c r="C1022" s="553"/>
      <c r="D1022" s="554"/>
      <c r="E1022" s="554"/>
      <c r="F1022" s="167"/>
      <c r="G1022" s="474"/>
      <c r="H1022" s="474"/>
      <c r="J1022" s="555"/>
    </row>
    <row r="1023" spans="1:10" s="165" customFormat="1">
      <c r="A1023" s="172"/>
      <c r="B1023" s="552"/>
      <c r="C1023" s="553"/>
      <c r="D1023" s="554"/>
      <c r="E1023" s="554"/>
      <c r="F1023" s="167"/>
      <c r="G1023" s="474"/>
      <c r="H1023" s="474"/>
      <c r="J1023" s="555"/>
    </row>
    <row r="1024" spans="1:10" s="165" customFormat="1">
      <c r="A1024" s="172"/>
      <c r="B1024" s="552"/>
      <c r="C1024" s="553"/>
      <c r="D1024" s="554"/>
      <c r="E1024" s="554"/>
      <c r="F1024" s="167"/>
      <c r="G1024" s="474"/>
      <c r="H1024" s="474"/>
      <c r="J1024" s="555"/>
    </row>
    <row r="1025" spans="1:10" s="165" customFormat="1">
      <c r="A1025" s="172"/>
      <c r="B1025" s="552"/>
      <c r="C1025" s="553"/>
      <c r="D1025" s="554"/>
      <c r="E1025" s="554"/>
      <c r="F1025" s="167"/>
      <c r="G1025" s="474"/>
      <c r="H1025" s="474"/>
      <c r="J1025" s="555"/>
    </row>
    <row r="1026" spans="1:10" s="165" customFormat="1">
      <c r="A1026" s="172"/>
      <c r="B1026" s="552"/>
      <c r="C1026" s="553"/>
      <c r="D1026" s="554"/>
      <c r="E1026" s="554"/>
      <c r="F1026" s="167"/>
      <c r="G1026" s="474"/>
      <c r="H1026" s="474"/>
      <c r="J1026" s="555"/>
    </row>
    <row r="1027" spans="1:10" s="165" customFormat="1">
      <c r="A1027" s="172"/>
      <c r="B1027" s="552"/>
      <c r="C1027" s="553"/>
      <c r="D1027" s="554"/>
      <c r="E1027" s="554"/>
      <c r="F1027" s="167"/>
      <c r="G1027" s="474"/>
      <c r="H1027" s="474"/>
      <c r="J1027" s="555"/>
    </row>
    <row r="1028" spans="1:10" s="165" customFormat="1">
      <c r="A1028" s="172"/>
      <c r="B1028" s="552"/>
      <c r="C1028" s="553"/>
      <c r="D1028" s="554"/>
      <c r="E1028" s="554"/>
      <c r="F1028" s="167"/>
      <c r="G1028" s="474"/>
      <c r="H1028" s="474"/>
      <c r="J1028" s="555"/>
    </row>
    <row r="1029" spans="1:10" s="165" customFormat="1">
      <c r="A1029" s="172"/>
      <c r="B1029" s="552"/>
      <c r="C1029" s="553"/>
      <c r="D1029" s="554"/>
      <c r="E1029" s="554"/>
      <c r="F1029" s="167"/>
      <c r="G1029" s="474"/>
      <c r="H1029" s="474"/>
      <c r="J1029" s="555"/>
    </row>
    <row r="1030" spans="1:10" s="165" customFormat="1">
      <c r="A1030" s="172"/>
      <c r="B1030" s="552"/>
      <c r="C1030" s="553"/>
      <c r="D1030" s="554"/>
      <c r="E1030" s="554"/>
      <c r="F1030" s="167"/>
      <c r="G1030" s="474"/>
      <c r="H1030" s="474"/>
      <c r="J1030" s="555"/>
    </row>
    <row r="1031" spans="1:10" s="165" customFormat="1">
      <c r="A1031" s="172"/>
      <c r="B1031" s="552"/>
      <c r="C1031" s="553"/>
      <c r="D1031" s="554"/>
      <c r="E1031" s="554"/>
      <c r="F1031" s="167"/>
      <c r="G1031" s="474"/>
      <c r="H1031" s="474"/>
      <c r="J1031" s="555"/>
    </row>
    <row r="1032" spans="1:10" s="165" customFormat="1">
      <c r="A1032" s="172"/>
      <c r="B1032" s="552"/>
      <c r="C1032" s="553"/>
      <c r="D1032" s="554"/>
      <c r="E1032" s="554"/>
      <c r="F1032" s="167"/>
      <c r="G1032" s="474"/>
      <c r="H1032" s="474"/>
      <c r="J1032" s="555"/>
    </row>
    <row r="1033" spans="1:10" s="165" customFormat="1">
      <c r="A1033" s="172"/>
      <c r="B1033" s="552"/>
      <c r="C1033" s="553"/>
      <c r="D1033" s="554"/>
      <c r="E1033" s="554"/>
      <c r="F1033" s="167"/>
      <c r="G1033" s="474"/>
      <c r="H1033" s="474"/>
      <c r="J1033" s="555"/>
    </row>
    <row r="1034" spans="1:10" s="165" customFormat="1">
      <c r="A1034" s="172"/>
      <c r="B1034" s="552"/>
      <c r="C1034" s="553"/>
      <c r="D1034" s="554"/>
      <c r="E1034" s="554"/>
      <c r="F1034" s="167"/>
      <c r="G1034" s="474"/>
      <c r="H1034" s="474"/>
      <c r="J1034" s="555"/>
    </row>
    <row r="1035" spans="1:10" s="165" customFormat="1">
      <c r="A1035" s="172"/>
      <c r="B1035" s="552"/>
      <c r="C1035" s="553"/>
      <c r="D1035" s="554"/>
      <c r="E1035" s="554"/>
      <c r="F1035" s="167"/>
      <c r="G1035" s="474"/>
      <c r="H1035" s="474"/>
      <c r="J1035" s="555"/>
    </row>
    <row r="1036" spans="1:10" s="165" customFormat="1">
      <c r="A1036" s="172"/>
      <c r="B1036" s="552"/>
      <c r="C1036" s="553"/>
      <c r="D1036" s="554"/>
      <c r="E1036" s="554"/>
      <c r="F1036" s="167"/>
      <c r="G1036" s="474"/>
      <c r="H1036" s="474"/>
      <c r="J1036" s="555"/>
    </row>
    <row r="1037" spans="1:10" s="165" customFormat="1">
      <c r="A1037" s="172"/>
      <c r="B1037" s="552"/>
      <c r="C1037" s="553"/>
      <c r="D1037" s="554"/>
      <c r="E1037" s="554"/>
      <c r="F1037" s="167"/>
      <c r="G1037" s="474"/>
      <c r="H1037" s="474"/>
      <c r="J1037" s="555"/>
    </row>
    <row r="1038" spans="1:10" s="165" customFormat="1">
      <c r="A1038" s="172"/>
      <c r="B1038" s="552"/>
      <c r="C1038" s="553"/>
      <c r="D1038" s="554"/>
      <c r="E1038" s="554"/>
      <c r="F1038" s="167"/>
      <c r="G1038" s="474"/>
      <c r="H1038" s="474"/>
      <c r="J1038" s="555"/>
    </row>
    <row r="1039" spans="1:10" s="165" customFormat="1">
      <c r="A1039" s="172"/>
      <c r="B1039" s="552"/>
      <c r="C1039" s="553"/>
      <c r="D1039" s="554"/>
      <c r="E1039" s="554"/>
      <c r="F1039" s="167"/>
      <c r="G1039" s="474"/>
      <c r="H1039" s="474"/>
      <c r="J1039" s="555"/>
    </row>
    <row r="1040" spans="1:10" s="165" customFormat="1">
      <c r="A1040" s="172"/>
      <c r="B1040" s="552"/>
      <c r="C1040" s="553"/>
      <c r="D1040" s="554"/>
      <c r="E1040" s="554"/>
      <c r="F1040" s="167"/>
      <c r="G1040" s="474"/>
      <c r="H1040" s="474"/>
      <c r="J1040" s="555"/>
    </row>
    <row r="1041" spans="1:10" s="165" customFormat="1">
      <c r="A1041" s="172"/>
      <c r="B1041" s="552"/>
      <c r="C1041" s="553"/>
      <c r="D1041" s="554"/>
      <c r="E1041" s="554"/>
      <c r="F1041" s="167"/>
      <c r="G1041" s="474"/>
      <c r="H1041" s="474"/>
      <c r="J1041" s="555"/>
    </row>
    <row r="1042" spans="1:10" s="165" customFormat="1">
      <c r="A1042" s="172"/>
      <c r="B1042" s="552"/>
      <c r="C1042" s="553"/>
      <c r="D1042" s="554"/>
      <c r="E1042" s="554"/>
      <c r="F1042" s="167"/>
      <c r="G1042" s="474"/>
      <c r="H1042" s="474"/>
      <c r="J1042" s="555"/>
    </row>
    <row r="1043" spans="1:10" s="165" customFormat="1">
      <c r="A1043" s="172"/>
      <c r="B1043" s="552"/>
      <c r="C1043" s="553"/>
      <c r="D1043" s="554"/>
      <c r="E1043" s="554"/>
      <c r="F1043" s="167"/>
      <c r="G1043" s="474"/>
      <c r="H1043" s="474"/>
      <c r="J1043" s="555"/>
    </row>
    <row r="1044" spans="1:10" s="165" customFormat="1">
      <c r="A1044" s="172"/>
      <c r="B1044" s="552"/>
      <c r="C1044" s="553"/>
      <c r="D1044" s="554"/>
      <c r="E1044" s="554"/>
      <c r="F1044" s="167"/>
      <c r="G1044" s="474"/>
      <c r="H1044" s="474"/>
      <c r="J1044" s="555"/>
    </row>
    <row r="1045" spans="1:10" s="165" customFormat="1">
      <c r="A1045" s="172"/>
      <c r="B1045" s="552"/>
      <c r="C1045" s="553"/>
      <c r="D1045" s="554"/>
      <c r="E1045" s="554"/>
      <c r="F1045" s="167"/>
      <c r="G1045" s="474"/>
      <c r="H1045" s="474"/>
      <c r="J1045" s="555"/>
    </row>
    <row r="1046" spans="1:10" s="165" customFormat="1">
      <c r="A1046" s="172"/>
      <c r="B1046" s="552"/>
      <c r="C1046" s="553"/>
      <c r="D1046" s="554"/>
      <c r="E1046" s="554"/>
      <c r="F1046" s="167"/>
      <c r="G1046" s="474"/>
      <c r="H1046" s="474"/>
      <c r="J1046" s="555"/>
    </row>
    <row r="1047" spans="1:10" s="165" customFormat="1">
      <c r="A1047" s="172"/>
      <c r="B1047" s="552"/>
      <c r="C1047" s="553"/>
      <c r="D1047" s="554"/>
      <c r="E1047" s="554"/>
      <c r="F1047" s="167"/>
      <c r="G1047" s="474"/>
      <c r="H1047" s="474"/>
      <c r="J1047" s="555"/>
    </row>
    <row r="1048" spans="1:10" s="165" customFormat="1">
      <c r="A1048" s="172"/>
      <c r="B1048" s="552"/>
      <c r="C1048" s="553"/>
      <c r="D1048" s="554"/>
      <c r="E1048" s="554"/>
      <c r="F1048" s="167"/>
      <c r="G1048" s="474"/>
      <c r="H1048" s="474"/>
      <c r="J1048" s="555"/>
    </row>
    <row r="1049" spans="1:10" s="165" customFormat="1">
      <c r="A1049" s="172"/>
      <c r="B1049" s="552"/>
      <c r="C1049" s="553"/>
      <c r="D1049" s="554"/>
      <c r="E1049" s="554"/>
      <c r="F1049" s="167"/>
      <c r="G1049" s="474"/>
      <c r="H1049" s="474"/>
      <c r="J1049" s="555"/>
    </row>
    <row r="1050" spans="1:10" s="165" customFormat="1">
      <c r="A1050" s="172"/>
      <c r="B1050" s="552"/>
      <c r="C1050" s="553"/>
      <c r="D1050" s="554"/>
      <c r="E1050" s="554"/>
      <c r="F1050" s="167"/>
      <c r="G1050" s="474"/>
      <c r="H1050" s="474"/>
      <c r="J1050" s="555"/>
    </row>
    <row r="1051" spans="1:10" s="165" customFormat="1">
      <c r="A1051" s="172"/>
      <c r="B1051" s="552"/>
      <c r="C1051" s="553"/>
      <c r="D1051" s="554"/>
      <c r="E1051" s="554"/>
      <c r="F1051" s="167"/>
      <c r="G1051" s="474"/>
      <c r="H1051" s="474"/>
      <c r="J1051" s="555"/>
    </row>
    <row r="1052" spans="1:10" s="165" customFormat="1">
      <c r="A1052" s="172"/>
      <c r="B1052" s="552"/>
      <c r="C1052" s="553"/>
      <c r="D1052" s="554"/>
      <c r="E1052" s="554"/>
      <c r="F1052" s="167"/>
      <c r="G1052" s="474"/>
      <c r="H1052" s="474"/>
      <c r="J1052" s="555"/>
    </row>
    <row r="1053" spans="1:10" s="165" customFormat="1">
      <c r="A1053" s="172"/>
      <c r="B1053" s="552"/>
      <c r="C1053" s="553"/>
      <c r="D1053" s="554"/>
      <c r="E1053" s="554"/>
      <c r="F1053" s="167"/>
      <c r="G1053" s="474"/>
      <c r="H1053" s="474"/>
      <c r="J1053" s="555"/>
    </row>
    <row r="1054" spans="1:10" s="165" customFormat="1">
      <c r="A1054" s="172"/>
      <c r="B1054" s="552"/>
      <c r="C1054" s="553"/>
      <c r="D1054" s="554"/>
      <c r="E1054" s="554"/>
      <c r="F1054" s="167"/>
      <c r="G1054" s="474"/>
      <c r="H1054" s="474"/>
      <c r="J1054" s="555"/>
    </row>
    <row r="1055" spans="1:10" s="165" customFormat="1">
      <c r="A1055" s="172"/>
      <c r="B1055" s="552"/>
      <c r="C1055" s="553"/>
      <c r="D1055" s="554"/>
      <c r="E1055" s="554"/>
      <c r="F1055" s="167"/>
      <c r="G1055" s="474"/>
      <c r="H1055" s="474"/>
      <c r="J1055" s="555"/>
    </row>
    <row r="1056" spans="1:10" s="165" customFormat="1">
      <c r="A1056" s="172"/>
      <c r="B1056" s="552"/>
      <c r="C1056" s="553"/>
      <c r="D1056" s="554"/>
      <c r="E1056" s="554"/>
      <c r="F1056" s="167"/>
      <c r="G1056" s="474"/>
      <c r="H1056" s="474"/>
      <c r="J1056" s="555"/>
    </row>
    <row r="1057" spans="1:10" s="165" customFormat="1">
      <c r="A1057" s="172"/>
      <c r="B1057" s="552"/>
      <c r="C1057" s="553"/>
      <c r="D1057" s="554"/>
      <c r="E1057" s="554"/>
      <c r="F1057" s="167"/>
      <c r="G1057" s="474"/>
      <c r="H1057" s="474"/>
      <c r="J1057" s="555"/>
    </row>
    <row r="1058" spans="1:10" s="165" customFormat="1">
      <c r="A1058" s="172"/>
      <c r="B1058" s="552"/>
      <c r="C1058" s="553"/>
      <c r="D1058" s="554"/>
      <c r="E1058" s="554"/>
      <c r="F1058" s="167"/>
      <c r="G1058" s="474"/>
      <c r="H1058" s="474"/>
      <c r="J1058" s="555"/>
    </row>
    <row r="1059" spans="1:10" s="165" customFormat="1">
      <c r="A1059" s="172"/>
      <c r="B1059" s="552"/>
      <c r="C1059" s="553"/>
      <c r="D1059" s="554"/>
      <c r="E1059" s="554"/>
      <c r="F1059" s="167"/>
      <c r="G1059" s="474"/>
      <c r="H1059" s="474"/>
      <c r="J1059" s="555"/>
    </row>
    <row r="1060" spans="1:10" s="165" customFormat="1">
      <c r="A1060" s="172"/>
      <c r="B1060" s="552"/>
      <c r="C1060" s="553"/>
      <c r="D1060" s="554"/>
      <c r="E1060" s="554"/>
      <c r="F1060" s="167"/>
      <c r="G1060" s="474"/>
      <c r="H1060" s="474"/>
      <c r="J1060" s="555"/>
    </row>
    <row r="1061" spans="1:10" s="165" customFormat="1">
      <c r="A1061" s="172"/>
      <c r="B1061" s="552"/>
      <c r="C1061" s="553"/>
      <c r="D1061" s="554"/>
      <c r="E1061" s="554"/>
      <c r="F1061" s="167"/>
      <c r="G1061" s="474"/>
      <c r="H1061" s="474"/>
      <c r="J1061" s="555"/>
    </row>
    <row r="1062" spans="1:10" s="165" customFormat="1">
      <c r="A1062" s="172"/>
      <c r="B1062" s="552"/>
      <c r="C1062" s="553"/>
      <c r="D1062" s="554"/>
      <c r="E1062" s="554"/>
      <c r="F1062" s="167"/>
      <c r="G1062" s="474"/>
      <c r="H1062" s="474"/>
      <c r="J1062" s="555"/>
    </row>
    <row r="1063" spans="1:10" s="165" customFormat="1">
      <c r="A1063" s="172"/>
      <c r="B1063" s="552"/>
      <c r="C1063" s="553"/>
      <c r="D1063" s="554"/>
      <c r="E1063" s="554"/>
      <c r="F1063" s="167"/>
      <c r="G1063" s="474"/>
      <c r="H1063" s="474"/>
      <c r="J1063" s="555"/>
    </row>
    <row r="1064" spans="1:10" s="165" customFormat="1">
      <c r="A1064" s="172"/>
      <c r="B1064" s="552"/>
      <c r="C1064" s="553"/>
      <c r="D1064" s="554"/>
      <c r="E1064" s="554"/>
      <c r="F1064" s="167"/>
      <c r="G1064" s="474"/>
      <c r="H1064" s="474"/>
      <c r="J1064" s="555"/>
    </row>
    <row r="1065" spans="1:10" s="165" customFormat="1">
      <c r="A1065" s="172"/>
      <c r="B1065" s="552"/>
      <c r="C1065" s="553"/>
      <c r="D1065" s="554"/>
      <c r="E1065" s="554"/>
      <c r="F1065" s="167"/>
      <c r="G1065" s="474"/>
      <c r="H1065" s="474"/>
      <c r="J1065" s="555"/>
    </row>
    <row r="1066" spans="1:10" s="165" customFormat="1">
      <c r="A1066" s="172"/>
      <c r="B1066" s="552"/>
      <c r="C1066" s="553"/>
      <c r="D1066" s="554"/>
      <c r="E1066" s="554"/>
      <c r="F1066" s="167"/>
      <c r="G1066" s="474"/>
      <c r="H1066" s="474"/>
      <c r="J1066" s="555"/>
    </row>
    <row r="1067" spans="1:10" s="165" customFormat="1">
      <c r="A1067" s="172"/>
      <c r="B1067" s="552"/>
      <c r="C1067" s="553"/>
      <c r="D1067" s="554"/>
      <c r="E1067" s="554"/>
      <c r="F1067" s="167"/>
      <c r="G1067" s="474"/>
      <c r="H1067" s="474"/>
      <c r="J1067" s="555"/>
    </row>
    <row r="1068" spans="1:10" s="165" customFormat="1">
      <c r="A1068" s="172"/>
      <c r="B1068" s="552"/>
      <c r="C1068" s="553"/>
      <c r="D1068" s="554"/>
      <c r="E1068" s="554"/>
      <c r="F1068" s="167"/>
      <c r="G1068" s="474"/>
      <c r="H1068" s="474"/>
      <c r="J1068" s="555"/>
    </row>
    <row r="1069" spans="1:10" s="165" customFormat="1">
      <c r="A1069" s="172"/>
      <c r="B1069" s="552"/>
      <c r="C1069" s="553"/>
      <c r="D1069" s="554"/>
      <c r="E1069" s="554"/>
      <c r="F1069" s="167"/>
      <c r="G1069" s="474"/>
      <c r="H1069" s="474"/>
      <c r="J1069" s="555"/>
    </row>
    <row r="1070" spans="1:10" s="165" customFormat="1">
      <c r="A1070" s="172"/>
      <c r="B1070" s="552"/>
      <c r="C1070" s="553"/>
      <c r="D1070" s="554"/>
      <c r="E1070" s="554"/>
      <c r="F1070" s="167"/>
      <c r="G1070" s="474"/>
      <c r="H1070" s="474"/>
      <c r="J1070" s="555"/>
    </row>
    <row r="1071" spans="1:10" s="165" customFormat="1">
      <c r="A1071" s="172"/>
      <c r="B1071" s="552"/>
      <c r="C1071" s="553"/>
      <c r="D1071" s="554"/>
      <c r="E1071" s="554"/>
      <c r="F1071" s="167"/>
      <c r="G1071" s="474"/>
      <c r="H1071" s="474"/>
      <c r="J1071" s="555"/>
    </row>
    <row r="1072" spans="1:10" s="165" customFormat="1">
      <c r="A1072" s="172"/>
      <c r="B1072" s="552"/>
      <c r="C1072" s="553"/>
      <c r="D1072" s="554"/>
      <c r="E1072" s="554"/>
      <c r="F1072" s="167"/>
      <c r="G1072" s="474"/>
      <c r="H1072" s="474"/>
      <c r="J1072" s="555"/>
    </row>
    <row r="1073" spans="1:10" s="165" customFormat="1">
      <c r="A1073" s="172"/>
      <c r="B1073" s="552"/>
      <c r="C1073" s="553"/>
      <c r="D1073" s="554"/>
      <c r="E1073" s="554"/>
      <c r="F1073" s="167"/>
      <c r="G1073" s="474"/>
      <c r="H1073" s="474"/>
      <c r="J1073" s="555"/>
    </row>
    <row r="1074" spans="1:10" s="165" customFormat="1">
      <c r="A1074" s="172"/>
      <c r="B1074" s="552"/>
      <c r="C1074" s="553"/>
      <c r="D1074" s="554"/>
      <c r="E1074" s="554"/>
      <c r="F1074" s="167"/>
      <c r="G1074" s="474"/>
      <c r="H1074" s="474"/>
      <c r="J1074" s="555"/>
    </row>
    <row r="1075" spans="1:10" s="165" customFormat="1">
      <c r="A1075" s="172"/>
      <c r="B1075" s="552"/>
      <c r="C1075" s="553"/>
      <c r="D1075" s="554"/>
      <c r="E1075" s="554"/>
      <c r="F1075" s="167"/>
      <c r="G1075" s="474"/>
      <c r="H1075" s="474"/>
      <c r="J1075" s="555"/>
    </row>
    <row r="1076" spans="1:10" s="165" customFormat="1">
      <c r="A1076" s="172"/>
      <c r="B1076" s="552"/>
      <c r="C1076" s="553"/>
      <c r="D1076" s="554"/>
      <c r="E1076" s="554"/>
      <c r="F1076" s="167"/>
      <c r="G1076" s="474"/>
      <c r="H1076" s="474"/>
      <c r="J1076" s="555"/>
    </row>
    <row r="1077" spans="1:10" s="165" customFormat="1">
      <c r="A1077" s="172"/>
      <c r="B1077" s="552"/>
      <c r="C1077" s="553"/>
      <c r="D1077" s="554"/>
      <c r="E1077" s="554"/>
      <c r="F1077" s="167"/>
      <c r="G1077" s="474"/>
      <c r="H1077" s="474"/>
      <c r="J1077" s="555"/>
    </row>
    <row r="1078" spans="1:10" s="165" customFormat="1">
      <c r="A1078" s="172"/>
      <c r="B1078" s="552"/>
      <c r="C1078" s="553"/>
      <c r="D1078" s="554"/>
      <c r="E1078" s="554"/>
      <c r="F1078" s="167"/>
      <c r="G1078" s="474"/>
      <c r="H1078" s="474"/>
      <c r="J1078" s="555"/>
    </row>
    <row r="1079" spans="1:10" s="165" customFormat="1">
      <c r="A1079" s="172"/>
      <c r="B1079" s="552"/>
      <c r="C1079" s="553"/>
      <c r="D1079" s="554"/>
      <c r="E1079" s="554"/>
      <c r="F1079" s="167"/>
      <c r="G1079" s="474"/>
      <c r="H1079" s="474"/>
      <c r="J1079" s="555"/>
    </row>
    <row r="1080" spans="1:10" s="165" customFormat="1">
      <c r="A1080" s="172"/>
      <c r="B1080" s="552"/>
      <c r="C1080" s="553"/>
      <c r="D1080" s="554"/>
      <c r="E1080" s="554"/>
      <c r="F1080" s="167"/>
      <c r="G1080" s="474"/>
      <c r="H1080" s="474"/>
      <c r="J1080" s="555"/>
    </row>
    <row r="1081" spans="1:10" s="165" customFormat="1">
      <c r="A1081" s="172"/>
      <c r="B1081" s="552"/>
      <c r="C1081" s="553"/>
      <c r="D1081" s="554"/>
      <c r="E1081" s="554"/>
      <c r="F1081" s="167"/>
      <c r="G1081" s="474"/>
      <c r="H1081" s="474"/>
      <c r="J1081" s="555"/>
    </row>
    <row r="1082" spans="1:10" s="165" customFormat="1">
      <c r="A1082" s="172"/>
      <c r="B1082" s="552"/>
      <c r="C1082" s="553"/>
      <c r="D1082" s="554"/>
      <c r="E1082" s="554"/>
      <c r="F1082" s="167"/>
      <c r="G1082" s="474"/>
      <c r="H1082" s="474"/>
      <c r="J1082" s="555"/>
    </row>
    <row r="1083" spans="1:10" s="165" customFormat="1">
      <c r="A1083" s="172"/>
      <c r="B1083" s="552"/>
      <c r="C1083" s="553"/>
      <c r="D1083" s="554"/>
      <c r="E1083" s="554"/>
      <c r="F1083" s="167"/>
      <c r="G1083" s="474"/>
      <c r="H1083" s="474"/>
      <c r="J1083" s="555"/>
    </row>
    <row r="1084" spans="1:10" s="165" customFormat="1">
      <c r="A1084" s="172"/>
      <c r="B1084" s="552"/>
      <c r="C1084" s="553"/>
      <c r="D1084" s="554"/>
      <c r="E1084" s="554"/>
      <c r="F1084" s="167"/>
      <c r="G1084" s="474"/>
      <c r="H1084" s="474"/>
      <c r="J1084" s="555"/>
    </row>
    <row r="1085" spans="1:10" s="165" customFormat="1">
      <c r="A1085" s="172"/>
      <c r="B1085" s="552"/>
      <c r="C1085" s="553"/>
      <c r="D1085" s="554"/>
      <c r="E1085" s="554"/>
      <c r="F1085" s="167"/>
      <c r="G1085" s="474"/>
      <c r="H1085" s="474"/>
      <c r="J1085" s="555"/>
    </row>
    <row r="1086" spans="1:10" s="165" customFormat="1">
      <c r="A1086" s="172"/>
      <c r="B1086" s="552"/>
      <c r="C1086" s="553"/>
      <c r="D1086" s="554"/>
      <c r="E1086" s="554"/>
      <c r="F1086" s="167"/>
      <c r="G1086" s="474"/>
      <c r="H1086" s="474"/>
      <c r="J1086" s="555"/>
    </row>
    <row r="1087" spans="1:10" s="165" customFormat="1">
      <c r="A1087" s="172"/>
      <c r="B1087" s="552"/>
      <c r="C1087" s="553"/>
      <c r="D1087" s="554"/>
      <c r="E1087" s="554"/>
      <c r="F1087" s="167"/>
      <c r="G1087" s="474"/>
      <c r="H1087" s="474"/>
      <c r="J1087" s="555"/>
    </row>
    <row r="1088" spans="1:10" s="165" customFormat="1">
      <c r="A1088" s="172"/>
      <c r="B1088" s="552"/>
      <c r="C1088" s="553"/>
      <c r="D1088" s="554"/>
      <c r="E1088" s="554"/>
      <c r="F1088" s="167"/>
      <c r="G1088" s="474"/>
      <c r="H1088" s="474"/>
      <c r="J1088" s="555"/>
    </row>
    <row r="1089" spans="1:10" s="165" customFormat="1">
      <c r="A1089" s="172"/>
      <c r="B1089" s="552"/>
      <c r="C1089" s="553"/>
      <c r="D1089" s="554"/>
      <c r="E1089" s="554"/>
      <c r="F1089" s="167"/>
      <c r="G1089" s="474"/>
      <c r="H1089" s="474"/>
      <c r="J1089" s="555"/>
    </row>
    <row r="1090" spans="1:10" s="165" customFormat="1">
      <c r="A1090" s="172"/>
      <c r="B1090" s="552"/>
      <c r="C1090" s="553"/>
      <c r="D1090" s="554"/>
      <c r="E1090" s="554"/>
      <c r="F1090" s="167"/>
      <c r="G1090" s="474"/>
      <c r="H1090" s="474"/>
      <c r="J1090" s="555"/>
    </row>
    <row r="1091" spans="1:10" s="165" customFormat="1">
      <c r="A1091" s="172"/>
      <c r="B1091" s="552"/>
      <c r="C1091" s="553"/>
      <c r="D1091" s="554"/>
      <c r="E1091" s="554"/>
      <c r="F1091" s="167"/>
      <c r="G1091" s="474"/>
      <c r="H1091" s="474"/>
      <c r="J1091" s="555"/>
    </row>
    <row r="1092" spans="1:10" s="165" customFormat="1">
      <c r="A1092" s="172"/>
      <c r="B1092" s="552"/>
      <c r="C1092" s="553"/>
      <c r="D1092" s="554"/>
      <c r="E1092" s="554"/>
      <c r="F1092" s="167"/>
      <c r="G1092" s="474"/>
      <c r="H1092" s="474"/>
      <c r="J1092" s="555"/>
    </row>
    <row r="1093" spans="1:10" s="165" customFormat="1">
      <c r="A1093" s="172"/>
      <c r="B1093" s="552"/>
      <c r="C1093" s="553"/>
      <c r="D1093" s="554"/>
      <c r="E1093" s="554"/>
      <c r="F1093" s="167"/>
      <c r="G1093" s="474"/>
      <c r="H1093" s="474"/>
      <c r="J1093" s="555"/>
    </row>
    <row r="1094" spans="1:10" s="165" customFormat="1">
      <c r="A1094" s="172"/>
      <c r="B1094" s="552"/>
      <c r="C1094" s="553"/>
      <c r="D1094" s="554"/>
      <c r="E1094" s="554"/>
      <c r="F1094" s="167"/>
      <c r="G1094" s="474"/>
      <c r="H1094" s="474"/>
      <c r="J1094" s="555"/>
    </row>
    <row r="1095" spans="1:10" s="165" customFormat="1">
      <c r="A1095" s="172"/>
      <c r="B1095" s="552"/>
      <c r="C1095" s="553"/>
      <c r="D1095" s="554"/>
      <c r="E1095" s="554"/>
      <c r="F1095" s="167"/>
      <c r="G1095" s="474"/>
      <c r="H1095" s="474"/>
      <c r="J1095" s="555"/>
    </row>
    <row r="1096" spans="1:10" s="165" customFormat="1">
      <c r="A1096" s="172"/>
      <c r="B1096" s="552"/>
      <c r="C1096" s="553"/>
      <c r="D1096" s="554"/>
      <c r="E1096" s="554"/>
      <c r="F1096" s="167"/>
      <c r="G1096" s="474"/>
      <c r="H1096" s="474"/>
      <c r="J1096" s="555"/>
    </row>
    <row r="1097" spans="1:10" s="165" customFormat="1">
      <c r="A1097" s="172"/>
      <c r="B1097" s="552"/>
      <c r="C1097" s="553"/>
      <c r="D1097" s="554"/>
      <c r="E1097" s="554"/>
      <c r="F1097" s="167"/>
      <c r="G1097" s="474"/>
      <c r="H1097" s="474"/>
      <c r="J1097" s="555"/>
    </row>
    <row r="1098" spans="1:10" s="165" customFormat="1">
      <c r="A1098" s="172"/>
      <c r="B1098" s="552"/>
      <c r="C1098" s="553"/>
      <c r="D1098" s="554"/>
      <c r="E1098" s="554"/>
      <c r="F1098" s="167"/>
      <c r="G1098" s="474"/>
      <c r="H1098" s="474"/>
      <c r="J1098" s="555"/>
    </row>
    <row r="1099" spans="1:10" s="165" customFormat="1">
      <c r="A1099" s="172"/>
      <c r="B1099" s="552"/>
      <c r="C1099" s="553"/>
      <c r="D1099" s="554"/>
      <c r="E1099" s="554"/>
      <c r="F1099" s="167"/>
      <c r="G1099" s="474"/>
      <c r="H1099" s="474"/>
      <c r="J1099" s="555"/>
    </row>
    <row r="1100" spans="1:10" s="165" customFormat="1">
      <c r="A1100" s="172"/>
      <c r="B1100" s="552"/>
      <c r="C1100" s="553"/>
      <c r="D1100" s="554"/>
      <c r="E1100" s="554"/>
      <c r="F1100" s="167"/>
      <c r="G1100" s="474"/>
      <c r="H1100" s="474"/>
      <c r="J1100" s="555"/>
    </row>
    <row r="1101" spans="1:10" s="165" customFormat="1">
      <c r="A1101" s="172"/>
      <c r="B1101" s="552"/>
      <c r="C1101" s="553"/>
      <c r="D1101" s="554"/>
      <c r="E1101" s="554"/>
      <c r="F1101" s="167"/>
      <c r="G1101" s="474"/>
      <c r="H1101" s="474"/>
      <c r="J1101" s="555"/>
    </row>
    <row r="1102" spans="1:10" s="165" customFormat="1">
      <c r="A1102" s="172"/>
      <c r="B1102" s="552"/>
      <c r="C1102" s="553"/>
      <c r="D1102" s="554"/>
      <c r="E1102" s="554"/>
      <c r="F1102" s="167"/>
      <c r="G1102" s="474"/>
      <c r="H1102" s="474"/>
      <c r="J1102" s="555"/>
    </row>
    <row r="1103" spans="1:10" s="165" customFormat="1">
      <c r="A1103" s="172"/>
      <c r="B1103" s="552"/>
      <c r="C1103" s="553"/>
      <c r="D1103" s="554"/>
      <c r="E1103" s="554"/>
      <c r="F1103" s="167"/>
      <c r="G1103" s="474"/>
      <c r="H1103" s="474"/>
      <c r="J1103" s="555"/>
    </row>
    <row r="1104" spans="1:10" s="165" customFormat="1">
      <c r="A1104" s="172"/>
      <c r="B1104" s="552"/>
      <c r="C1104" s="553"/>
      <c r="D1104" s="554"/>
      <c r="E1104" s="554"/>
      <c r="F1104" s="167"/>
      <c r="G1104" s="474"/>
      <c r="H1104" s="474"/>
      <c r="J1104" s="555"/>
    </row>
    <row r="1105" spans="1:10" s="165" customFormat="1">
      <c r="A1105" s="172"/>
      <c r="B1105" s="552"/>
      <c r="C1105" s="553"/>
      <c r="D1105" s="554"/>
      <c r="E1105" s="554"/>
      <c r="F1105" s="167"/>
      <c r="G1105" s="474"/>
      <c r="H1105" s="474"/>
      <c r="J1105" s="555"/>
    </row>
    <row r="1106" spans="1:10" s="165" customFormat="1">
      <c r="A1106" s="172"/>
      <c r="B1106" s="552"/>
      <c r="C1106" s="553"/>
      <c r="D1106" s="554"/>
      <c r="E1106" s="554"/>
      <c r="F1106" s="167"/>
      <c r="G1106" s="474"/>
      <c r="H1106" s="474"/>
      <c r="J1106" s="555"/>
    </row>
    <row r="1107" spans="1:10" s="165" customFormat="1">
      <c r="A1107" s="172"/>
      <c r="B1107" s="552"/>
      <c r="C1107" s="553"/>
      <c r="D1107" s="554"/>
      <c r="E1107" s="554"/>
      <c r="F1107" s="167"/>
      <c r="G1107" s="474"/>
      <c r="H1107" s="474"/>
      <c r="J1107" s="555"/>
    </row>
    <row r="1108" spans="1:10" s="165" customFormat="1">
      <c r="A1108" s="172"/>
      <c r="B1108" s="552"/>
      <c r="C1108" s="553"/>
      <c r="D1108" s="554"/>
      <c r="E1108" s="554"/>
      <c r="F1108" s="167"/>
      <c r="G1108" s="474"/>
      <c r="H1108" s="474"/>
      <c r="J1108" s="555"/>
    </row>
    <row r="1109" spans="1:10" s="165" customFormat="1">
      <c r="A1109" s="172"/>
      <c r="B1109" s="552"/>
      <c r="C1109" s="553"/>
      <c r="D1109" s="554"/>
      <c r="E1109" s="554"/>
      <c r="F1109" s="167"/>
      <c r="G1109" s="474"/>
      <c r="H1109" s="474"/>
      <c r="J1109" s="555"/>
    </row>
    <row r="1110" spans="1:10" s="165" customFormat="1">
      <c r="A1110" s="172"/>
      <c r="B1110" s="552"/>
      <c r="C1110" s="553"/>
      <c r="D1110" s="554"/>
      <c r="E1110" s="554"/>
      <c r="F1110" s="167"/>
      <c r="G1110" s="474"/>
      <c r="H1110" s="474"/>
      <c r="J1110" s="555"/>
    </row>
    <row r="1111" spans="1:10" s="165" customFormat="1">
      <c r="A1111" s="172"/>
      <c r="B1111" s="552"/>
      <c r="C1111" s="553"/>
      <c r="D1111" s="554"/>
      <c r="E1111" s="554"/>
      <c r="F1111" s="167"/>
      <c r="G1111" s="474"/>
      <c r="H1111" s="474"/>
      <c r="J1111" s="555"/>
    </row>
    <row r="1112" spans="1:10" s="165" customFormat="1">
      <c r="A1112" s="172"/>
      <c r="B1112" s="552"/>
      <c r="C1112" s="553"/>
      <c r="D1112" s="554"/>
      <c r="E1112" s="554"/>
      <c r="F1112" s="167"/>
      <c r="G1112" s="474"/>
      <c r="H1112" s="474"/>
      <c r="J1112" s="555"/>
    </row>
    <row r="1113" spans="1:10" s="165" customFormat="1">
      <c r="A1113" s="172"/>
      <c r="B1113" s="552"/>
      <c r="C1113" s="553"/>
      <c r="D1113" s="554"/>
      <c r="E1113" s="554"/>
      <c r="F1113" s="167"/>
      <c r="G1113" s="474"/>
      <c r="H1113" s="474"/>
      <c r="J1113" s="555"/>
    </row>
    <row r="1114" spans="1:10" s="165" customFormat="1">
      <c r="A1114" s="172"/>
      <c r="B1114" s="552"/>
      <c r="C1114" s="553"/>
      <c r="D1114" s="554"/>
      <c r="E1114" s="554"/>
      <c r="F1114" s="167"/>
      <c r="G1114" s="474"/>
      <c r="H1114" s="474"/>
      <c r="J1114" s="555"/>
    </row>
    <row r="1115" spans="1:10" s="165" customFormat="1">
      <c r="A1115" s="172"/>
      <c r="B1115" s="552"/>
      <c r="C1115" s="553"/>
      <c r="D1115" s="554"/>
      <c r="E1115" s="554"/>
      <c r="F1115" s="167"/>
      <c r="G1115" s="474"/>
      <c r="H1115" s="474"/>
      <c r="J1115" s="555"/>
    </row>
    <row r="1116" spans="1:10" s="165" customFormat="1">
      <c r="A1116" s="172"/>
      <c r="B1116" s="552"/>
      <c r="C1116" s="553"/>
      <c r="D1116" s="554"/>
      <c r="E1116" s="554"/>
      <c r="F1116" s="167"/>
      <c r="G1116" s="474"/>
      <c r="H1116" s="474"/>
      <c r="J1116" s="555"/>
    </row>
    <row r="1117" spans="1:10" s="165" customFormat="1">
      <c r="A1117" s="172"/>
      <c r="B1117" s="552"/>
      <c r="C1117" s="553"/>
      <c r="D1117" s="554"/>
      <c r="E1117" s="554"/>
      <c r="F1117" s="167"/>
      <c r="G1117" s="474"/>
      <c r="H1117" s="474"/>
      <c r="J1117" s="555"/>
    </row>
    <row r="1118" spans="1:10" s="165" customFormat="1">
      <c r="A1118" s="172"/>
      <c r="B1118" s="552"/>
      <c r="C1118" s="553"/>
      <c r="D1118" s="554"/>
      <c r="E1118" s="554"/>
      <c r="F1118" s="167"/>
      <c r="G1118" s="474"/>
      <c r="H1118" s="474"/>
      <c r="J1118" s="555"/>
    </row>
    <row r="1119" spans="1:10" s="165" customFormat="1">
      <c r="A1119" s="172"/>
      <c r="B1119" s="552"/>
      <c r="C1119" s="553"/>
      <c r="D1119" s="554"/>
      <c r="E1119" s="554"/>
      <c r="F1119" s="167"/>
      <c r="G1119" s="474"/>
      <c r="H1119" s="474"/>
      <c r="J1119" s="555"/>
    </row>
    <row r="1120" spans="1:10" s="165" customFormat="1">
      <c r="A1120" s="172"/>
      <c r="B1120" s="552"/>
      <c r="C1120" s="553"/>
      <c r="D1120" s="554"/>
      <c r="E1120" s="554"/>
      <c r="F1120" s="167"/>
      <c r="G1120" s="474"/>
      <c r="H1120" s="474"/>
      <c r="J1120" s="555"/>
    </row>
    <row r="1121" spans="1:10" s="165" customFormat="1">
      <c r="A1121" s="172"/>
      <c r="B1121" s="552"/>
      <c r="C1121" s="553"/>
      <c r="D1121" s="554"/>
      <c r="E1121" s="554"/>
      <c r="F1121" s="167"/>
      <c r="G1121" s="474"/>
      <c r="H1121" s="474"/>
      <c r="J1121" s="555"/>
    </row>
    <row r="1122" spans="1:10" s="165" customFormat="1">
      <c r="A1122" s="172"/>
      <c r="B1122" s="552"/>
      <c r="C1122" s="553"/>
      <c r="D1122" s="554"/>
      <c r="E1122" s="554"/>
      <c r="F1122" s="167"/>
      <c r="G1122" s="474"/>
      <c r="H1122" s="474"/>
      <c r="J1122" s="555"/>
    </row>
    <row r="1123" spans="1:10" s="165" customFormat="1">
      <c r="A1123" s="172"/>
      <c r="B1123" s="552"/>
      <c r="C1123" s="553"/>
      <c r="D1123" s="554"/>
      <c r="E1123" s="554"/>
      <c r="F1123" s="167"/>
      <c r="G1123" s="474"/>
      <c r="H1123" s="474"/>
      <c r="J1123" s="555"/>
    </row>
    <row r="1124" spans="1:10" s="165" customFormat="1">
      <c r="A1124" s="172"/>
      <c r="B1124" s="552"/>
      <c r="C1124" s="553"/>
      <c r="D1124" s="554"/>
      <c r="E1124" s="554"/>
      <c r="F1124" s="167"/>
      <c r="G1124" s="474"/>
      <c r="H1124" s="474"/>
      <c r="J1124" s="555"/>
    </row>
    <row r="1125" spans="1:10" s="165" customFormat="1">
      <c r="A1125" s="172"/>
      <c r="B1125" s="552"/>
      <c r="C1125" s="553"/>
      <c r="D1125" s="554"/>
      <c r="E1125" s="554"/>
      <c r="F1125" s="167"/>
      <c r="G1125" s="474"/>
      <c r="H1125" s="474"/>
      <c r="J1125" s="555"/>
    </row>
    <row r="1126" spans="1:10" s="165" customFormat="1">
      <c r="A1126" s="172"/>
      <c r="B1126" s="552"/>
      <c r="C1126" s="553"/>
      <c r="D1126" s="554"/>
      <c r="E1126" s="554"/>
      <c r="F1126" s="167"/>
      <c r="G1126" s="474"/>
      <c r="H1126" s="474"/>
      <c r="J1126" s="555"/>
    </row>
    <row r="1127" spans="1:10" s="165" customFormat="1">
      <c r="A1127" s="172"/>
      <c r="B1127" s="552"/>
      <c r="C1127" s="553"/>
      <c r="D1127" s="554"/>
      <c r="E1127" s="554"/>
      <c r="F1127" s="167"/>
      <c r="G1127" s="474"/>
      <c r="H1127" s="474"/>
      <c r="J1127" s="555"/>
    </row>
    <row r="1128" spans="1:10" s="165" customFormat="1">
      <c r="A1128" s="172"/>
      <c r="B1128" s="552"/>
      <c r="C1128" s="553"/>
      <c r="D1128" s="554"/>
      <c r="E1128" s="554"/>
      <c r="F1128" s="167"/>
      <c r="G1128" s="474"/>
      <c r="H1128" s="474"/>
      <c r="J1128" s="555"/>
    </row>
    <row r="1129" spans="1:10" s="165" customFormat="1">
      <c r="A1129" s="172"/>
      <c r="B1129" s="552"/>
      <c r="C1129" s="553"/>
      <c r="D1129" s="554"/>
      <c r="E1129" s="554"/>
      <c r="F1129" s="167"/>
      <c r="G1129" s="474"/>
      <c r="H1129" s="474"/>
      <c r="J1129" s="555"/>
    </row>
    <row r="1130" spans="1:10" s="165" customFormat="1">
      <c r="A1130" s="172"/>
      <c r="B1130" s="552"/>
      <c r="C1130" s="553"/>
      <c r="D1130" s="554"/>
      <c r="E1130" s="554"/>
      <c r="F1130" s="167"/>
      <c r="G1130" s="474"/>
      <c r="H1130" s="474"/>
      <c r="J1130" s="555"/>
    </row>
    <row r="1131" spans="1:10" s="165" customFormat="1">
      <c r="A1131" s="172"/>
      <c r="B1131" s="552"/>
      <c r="C1131" s="553"/>
      <c r="D1131" s="554"/>
      <c r="E1131" s="554"/>
      <c r="F1131" s="167"/>
      <c r="G1131" s="474"/>
      <c r="H1131" s="474"/>
      <c r="J1131" s="555"/>
    </row>
    <row r="1132" spans="1:10" s="165" customFormat="1">
      <c r="A1132" s="172"/>
      <c r="B1132" s="552"/>
      <c r="C1132" s="553"/>
      <c r="D1132" s="554"/>
      <c r="E1132" s="554"/>
      <c r="F1132" s="167"/>
      <c r="G1132" s="474"/>
      <c r="H1132" s="474"/>
      <c r="J1132" s="555"/>
    </row>
    <row r="1133" spans="1:10" s="165" customFormat="1">
      <c r="A1133" s="172"/>
      <c r="B1133" s="552"/>
      <c r="C1133" s="553"/>
      <c r="D1133" s="554"/>
      <c r="E1133" s="554"/>
      <c r="F1133" s="167"/>
      <c r="G1133" s="474"/>
      <c r="H1133" s="474"/>
      <c r="J1133" s="555"/>
    </row>
    <row r="1134" spans="1:10" s="165" customFormat="1">
      <c r="A1134" s="172"/>
      <c r="B1134" s="552"/>
      <c r="C1134" s="553"/>
      <c r="D1134" s="554"/>
      <c r="E1134" s="554"/>
      <c r="F1134" s="167"/>
      <c r="G1134" s="474"/>
      <c r="H1134" s="474"/>
      <c r="J1134" s="555"/>
    </row>
    <row r="1135" spans="1:10" s="165" customFormat="1">
      <c r="A1135" s="172"/>
      <c r="B1135" s="552"/>
      <c r="C1135" s="553"/>
      <c r="D1135" s="554"/>
      <c r="E1135" s="554"/>
      <c r="F1135" s="167"/>
      <c r="G1135" s="474"/>
      <c r="H1135" s="474"/>
      <c r="J1135" s="555"/>
    </row>
    <row r="1136" spans="1:10" s="165" customFormat="1">
      <c r="A1136" s="172"/>
      <c r="B1136" s="552"/>
      <c r="C1136" s="553"/>
      <c r="D1136" s="554"/>
      <c r="E1136" s="554"/>
      <c r="F1136" s="167"/>
      <c r="G1136" s="474"/>
      <c r="H1136" s="474"/>
      <c r="J1136" s="555"/>
    </row>
    <row r="1137" spans="1:10" s="165" customFormat="1">
      <c r="A1137" s="172"/>
      <c r="B1137" s="552"/>
      <c r="C1137" s="553"/>
      <c r="D1137" s="554"/>
      <c r="E1137" s="554"/>
      <c r="F1137" s="167"/>
      <c r="G1137" s="474"/>
      <c r="H1137" s="474"/>
      <c r="J1137" s="555"/>
    </row>
    <row r="1138" spans="1:10" s="165" customFormat="1">
      <c r="A1138" s="172"/>
      <c r="B1138" s="552"/>
      <c r="C1138" s="553"/>
      <c r="D1138" s="554"/>
      <c r="E1138" s="554"/>
      <c r="F1138" s="167"/>
      <c r="G1138" s="474"/>
      <c r="H1138" s="474"/>
      <c r="J1138" s="555"/>
    </row>
    <row r="1139" spans="1:10" s="165" customFormat="1">
      <c r="A1139" s="172"/>
      <c r="B1139" s="552"/>
      <c r="C1139" s="553"/>
      <c r="D1139" s="554"/>
      <c r="E1139" s="554"/>
      <c r="F1139" s="167"/>
      <c r="G1139" s="474"/>
      <c r="H1139" s="474"/>
      <c r="J1139" s="555"/>
    </row>
    <row r="1140" spans="1:10" s="165" customFormat="1">
      <c r="A1140" s="172"/>
      <c r="B1140" s="552"/>
      <c r="C1140" s="553"/>
      <c r="D1140" s="554"/>
      <c r="E1140" s="554"/>
      <c r="F1140" s="167"/>
      <c r="G1140" s="474"/>
      <c r="H1140" s="474"/>
      <c r="J1140" s="555"/>
    </row>
    <row r="1141" spans="1:10" s="165" customFormat="1">
      <c r="A1141" s="172"/>
      <c r="B1141" s="552"/>
      <c r="C1141" s="553"/>
      <c r="D1141" s="554"/>
      <c r="E1141" s="554"/>
      <c r="F1141" s="167"/>
      <c r="G1141" s="474"/>
      <c r="H1141" s="474"/>
      <c r="J1141" s="555"/>
    </row>
    <row r="1142" spans="1:10" s="165" customFormat="1">
      <c r="A1142" s="172"/>
      <c r="B1142" s="552"/>
      <c r="C1142" s="553"/>
      <c r="D1142" s="554"/>
      <c r="E1142" s="554"/>
      <c r="F1142" s="167"/>
      <c r="G1142" s="474"/>
      <c r="H1142" s="474"/>
      <c r="J1142" s="555"/>
    </row>
    <row r="1143" spans="1:10" s="165" customFormat="1">
      <c r="A1143" s="172"/>
      <c r="B1143" s="552"/>
      <c r="C1143" s="553"/>
      <c r="D1143" s="554"/>
      <c r="E1143" s="554"/>
      <c r="F1143" s="167"/>
      <c r="G1143" s="474"/>
      <c r="H1143" s="474"/>
      <c r="J1143" s="555"/>
    </row>
    <row r="1144" spans="1:10" s="165" customFormat="1">
      <c r="A1144" s="172"/>
      <c r="B1144" s="552"/>
      <c r="C1144" s="553"/>
      <c r="D1144" s="554"/>
      <c r="E1144" s="554"/>
      <c r="F1144" s="167"/>
      <c r="G1144" s="474"/>
      <c r="H1144" s="474"/>
      <c r="J1144" s="555"/>
    </row>
    <row r="1145" spans="1:10" s="165" customFormat="1">
      <c r="A1145" s="172"/>
      <c r="B1145" s="552"/>
      <c r="C1145" s="553"/>
      <c r="D1145" s="554"/>
      <c r="E1145" s="554"/>
      <c r="F1145" s="167"/>
      <c r="G1145" s="474"/>
      <c r="H1145" s="474"/>
      <c r="J1145" s="555"/>
    </row>
    <row r="1146" spans="1:10" s="165" customFormat="1">
      <c r="A1146" s="172"/>
      <c r="B1146" s="552"/>
      <c r="C1146" s="553"/>
      <c r="D1146" s="554"/>
      <c r="E1146" s="554"/>
      <c r="F1146" s="167"/>
      <c r="G1146" s="474"/>
      <c r="H1146" s="474"/>
      <c r="J1146" s="555"/>
    </row>
    <row r="1147" spans="1:10" s="165" customFormat="1">
      <c r="A1147" s="172"/>
      <c r="B1147" s="552"/>
      <c r="C1147" s="553"/>
      <c r="D1147" s="554"/>
      <c r="E1147" s="554"/>
      <c r="F1147" s="167"/>
      <c r="G1147" s="474"/>
      <c r="H1147" s="474"/>
      <c r="J1147" s="555"/>
    </row>
    <row r="1148" spans="1:10" s="165" customFormat="1">
      <c r="A1148" s="172"/>
      <c r="B1148" s="552"/>
      <c r="C1148" s="553"/>
      <c r="D1148" s="554"/>
      <c r="E1148" s="554"/>
      <c r="F1148" s="167"/>
      <c r="G1148" s="474"/>
      <c r="H1148" s="474"/>
      <c r="J1148" s="555"/>
    </row>
    <row r="1149" spans="1:10" s="165" customFormat="1">
      <c r="A1149" s="172"/>
      <c r="B1149" s="552"/>
      <c r="C1149" s="553"/>
      <c r="D1149" s="554"/>
      <c r="E1149" s="554"/>
      <c r="F1149" s="167"/>
      <c r="G1149" s="474"/>
      <c r="H1149" s="474"/>
      <c r="J1149" s="555"/>
    </row>
    <row r="1150" spans="1:10" s="165" customFormat="1">
      <c r="A1150" s="172"/>
      <c r="B1150" s="552"/>
      <c r="C1150" s="553"/>
      <c r="D1150" s="554"/>
      <c r="E1150" s="554"/>
      <c r="F1150" s="167"/>
      <c r="G1150" s="474"/>
      <c r="H1150" s="474"/>
      <c r="J1150" s="555"/>
    </row>
    <row r="1151" spans="1:10" s="165" customFormat="1">
      <c r="A1151" s="172"/>
      <c r="B1151" s="552"/>
      <c r="C1151" s="553"/>
      <c r="D1151" s="554"/>
      <c r="E1151" s="554"/>
      <c r="F1151" s="167"/>
      <c r="G1151" s="474"/>
      <c r="H1151" s="474"/>
      <c r="J1151" s="555"/>
    </row>
    <row r="1152" spans="1:10" s="165" customFormat="1">
      <c r="A1152" s="172"/>
      <c r="B1152" s="552"/>
      <c r="C1152" s="553"/>
      <c r="D1152" s="554"/>
      <c r="E1152" s="554"/>
      <c r="F1152" s="167"/>
      <c r="G1152" s="474"/>
      <c r="H1152" s="474"/>
      <c r="J1152" s="555"/>
    </row>
    <row r="1153" spans="1:10" s="165" customFormat="1">
      <c r="A1153" s="172"/>
      <c r="B1153" s="552"/>
      <c r="C1153" s="553"/>
      <c r="D1153" s="554"/>
      <c r="E1153" s="554"/>
      <c r="F1153" s="167"/>
      <c r="G1153" s="474"/>
      <c r="H1153" s="474"/>
      <c r="J1153" s="555"/>
    </row>
    <row r="1154" spans="1:10" s="165" customFormat="1">
      <c r="A1154" s="172"/>
      <c r="B1154" s="552"/>
      <c r="C1154" s="553"/>
      <c r="D1154" s="554"/>
      <c r="E1154" s="554"/>
      <c r="F1154" s="167"/>
      <c r="G1154" s="474"/>
      <c r="H1154" s="474"/>
      <c r="J1154" s="555"/>
    </row>
    <row r="1155" spans="1:10" s="165" customFormat="1">
      <c r="A1155" s="172"/>
      <c r="B1155" s="552"/>
      <c r="C1155" s="553"/>
      <c r="D1155" s="554"/>
      <c r="E1155" s="554"/>
      <c r="F1155" s="167"/>
      <c r="G1155" s="474"/>
      <c r="H1155" s="474"/>
      <c r="J1155" s="555"/>
    </row>
    <row r="1156" spans="1:10" s="165" customFormat="1">
      <c r="A1156" s="172"/>
      <c r="B1156" s="552"/>
      <c r="C1156" s="553"/>
      <c r="D1156" s="554"/>
      <c r="E1156" s="554"/>
      <c r="F1156" s="167"/>
      <c r="G1156" s="474"/>
      <c r="H1156" s="474"/>
      <c r="J1156" s="555"/>
    </row>
    <row r="1157" spans="1:10" s="165" customFormat="1">
      <c r="A1157" s="172"/>
      <c r="B1157" s="552"/>
      <c r="C1157" s="553"/>
      <c r="D1157" s="554"/>
      <c r="E1157" s="554"/>
      <c r="F1157" s="167"/>
      <c r="G1157" s="474"/>
      <c r="H1157" s="474"/>
      <c r="J1157" s="555"/>
    </row>
    <row r="1158" spans="1:10" s="165" customFormat="1">
      <c r="A1158" s="172"/>
      <c r="B1158" s="552"/>
      <c r="C1158" s="553"/>
      <c r="D1158" s="554"/>
      <c r="E1158" s="554"/>
      <c r="F1158" s="167"/>
      <c r="G1158" s="474"/>
      <c r="H1158" s="474"/>
      <c r="J1158" s="555"/>
    </row>
    <row r="1159" spans="1:10" s="165" customFormat="1">
      <c r="A1159" s="172"/>
      <c r="B1159" s="552"/>
      <c r="C1159" s="553"/>
      <c r="D1159" s="554"/>
      <c r="E1159" s="554"/>
      <c r="F1159" s="167"/>
      <c r="G1159" s="474"/>
      <c r="H1159" s="474"/>
      <c r="J1159" s="555"/>
    </row>
    <row r="1160" spans="1:10" s="165" customFormat="1">
      <c r="A1160" s="172"/>
      <c r="B1160" s="552"/>
      <c r="C1160" s="553"/>
      <c r="D1160" s="554"/>
      <c r="E1160" s="554"/>
      <c r="F1160" s="167"/>
      <c r="G1160" s="474"/>
      <c r="H1160" s="474"/>
      <c r="J1160" s="555"/>
    </row>
    <row r="1161" spans="1:10" s="165" customFormat="1">
      <c r="A1161" s="172"/>
      <c r="B1161" s="552"/>
      <c r="C1161" s="553"/>
      <c r="D1161" s="554"/>
      <c r="E1161" s="554"/>
      <c r="F1161" s="167"/>
      <c r="G1161" s="474"/>
      <c r="H1161" s="474"/>
      <c r="J1161" s="555"/>
    </row>
    <row r="1162" spans="1:10" s="165" customFormat="1">
      <c r="A1162" s="172"/>
      <c r="B1162" s="552"/>
      <c r="C1162" s="553"/>
      <c r="D1162" s="554"/>
      <c r="E1162" s="554"/>
      <c r="F1162" s="167"/>
      <c r="G1162" s="474"/>
      <c r="H1162" s="474"/>
      <c r="J1162" s="555"/>
    </row>
    <row r="1163" spans="1:10" s="165" customFormat="1">
      <c r="A1163" s="172"/>
      <c r="B1163" s="552"/>
      <c r="C1163" s="553"/>
      <c r="D1163" s="554"/>
      <c r="E1163" s="554"/>
      <c r="F1163" s="167"/>
      <c r="G1163" s="474"/>
      <c r="H1163" s="474"/>
      <c r="J1163" s="555"/>
    </row>
    <row r="1164" spans="1:10" s="165" customFormat="1">
      <c r="A1164" s="172"/>
      <c r="B1164" s="552"/>
      <c r="C1164" s="553"/>
      <c r="D1164" s="554"/>
      <c r="E1164" s="554"/>
      <c r="F1164" s="167"/>
      <c r="G1164" s="474"/>
      <c r="H1164" s="474"/>
      <c r="J1164" s="555"/>
    </row>
    <row r="1165" spans="1:10" s="165" customFormat="1">
      <c r="A1165" s="172"/>
      <c r="B1165" s="552"/>
      <c r="C1165" s="553"/>
      <c r="D1165" s="554"/>
      <c r="E1165" s="554"/>
      <c r="F1165" s="167"/>
      <c r="G1165" s="474"/>
      <c r="H1165" s="474"/>
      <c r="J1165" s="555"/>
    </row>
    <row r="1166" spans="1:10" s="165" customFormat="1">
      <c r="A1166" s="172"/>
      <c r="B1166" s="552"/>
      <c r="C1166" s="553"/>
      <c r="D1166" s="554"/>
      <c r="E1166" s="554"/>
      <c r="F1166" s="167"/>
      <c r="G1166" s="474"/>
      <c r="H1166" s="474"/>
      <c r="J1166" s="555"/>
    </row>
    <row r="1167" spans="1:10" s="165" customFormat="1">
      <c r="A1167" s="172"/>
      <c r="B1167" s="552"/>
      <c r="C1167" s="553"/>
      <c r="D1167" s="554"/>
      <c r="E1167" s="554"/>
      <c r="F1167" s="167"/>
      <c r="G1167" s="474"/>
      <c r="H1167" s="474"/>
      <c r="J1167" s="555"/>
    </row>
    <row r="1168" spans="1:10" s="165" customFormat="1">
      <c r="A1168" s="172"/>
      <c r="B1168" s="552"/>
      <c r="C1168" s="553"/>
      <c r="D1168" s="554"/>
      <c r="E1168" s="554"/>
      <c r="F1168" s="167"/>
      <c r="G1168" s="474"/>
      <c r="H1168" s="474"/>
      <c r="J1168" s="555"/>
    </row>
    <row r="1169" spans="1:10" s="165" customFormat="1">
      <c r="A1169" s="172"/>
      <c r="B1169" s="552"/>
      <c r="C1169" s="553"/>
      <c r="D1169" s="554"/>
      <c r="E1169" s="554"/>
      <c r="F1169" s="167"/>
      <c r="G1169" s="474"/>
      <c r="H1169" s="474"/>
      <c r="J1169" s="555"/>
    </row>
    <row r="1170" spans="1:10" s="165" customFormat="1">
      <c r="A1170" s="172"/>
      <c r="B1170" s="552"/>
      <c r="C1170" s="553"/>
      <c r="D1170" s="554"/>
      <c r="E1170" s="554"/>
      <c r="F1170" s="167"/>
      <c r="G1170" s="474"/>
      <c r="H1170" s="474"/>
      <c r="J1170" s="555"/>
    </row>
    <row r="1171" spans="1:10" s="165" customFormat="1">
      <c r="A1171" s="172"/>
      <c r="B1171" s="552"/>
      <c r="C1171" s="553"/>
      <c r="D1171" s="554"/>
      <c r="E1171" s="554"/>
      <c r="F1171" s="167"/>
      <c r="G1171" s="474"/>
      <c r="H1171" s="474"/>
      <c r="J1171" s="555"/>
    </row>
    <row r="1172" spans="1:10" s="165" customFormat="1">
      <c r="A1172" s="172"/>
      <c r="B1172" s="552"/>
      <c r="C1172" s="553"/>
      <c r="D1172" s="554"/>
      <c r="E1172" s="554"/>
      <c r="F1172" s="167"/>
      <c r="G1172" s="474"/>
      <c r="H1172" s="474"/>
      <c r="J1172" s="555"/>
    </row>
    <row r="1173" spans="1:10" s="165" customFormat="1">
      <c r="A1173" s="172"/>
      <c r="B1173" s="552"/>
      <c r="C1173" s="553"/>
      <c r="D1173" s="554"/>
      <c r="E1173" s="554"/>
      <c r="F1173" s="167"/>
      <c r="G1173" s="474"/>
      <c r="H1173" s="474"/>
      <c r="J1173" s="555"/>
    </row>
    <row r="1174" spans="1:10" s="165" customFormat="1">
      <c r="A1174" s="172"/>
      <c r="B1174" s="552"/>
      <c r="C1174" s="553"/>
      <c r="D1174" s="554"/>
      <c r="E1174" s="554"/>
      <c r="F1174" s="167"/>
      <c r="G1174" s="474"/>
      <c r="H1174" s="474"/>
      <c r="J1174" s="555"/>
    </row>
    <row r="1175" spans="1:10" s="165" customFormat="1">
      <c r="A1175" s="172"/>
      <c r="B1175" s="552"/>
      <c r="C1175" s="553"/>
      <c r="D1175" s="554"/>
      <c r="E1175" s="554"/>
      <c r="F1175" s="167"/>
      <c r="G1175" s="474"/>
      <c r="H1175" s="474"/>
      <c r="J1175" s="555"/>
    </row>
    <row r="1176" spans="1:10" s="165" customFormat="1">
      <c r="A1176" s="172"/>
      <c r="B1176" s="552"/>
      <c r="C1176" s="553"/>
      <c r="D1176" s="554"/>
      <c r="E1176" s="554"/>
      <c r="F1176" s="167"/>
      <c r="G1176" s="474"/>
      <c r="H1176" s="474"/>
      <c r="J1176" s="555"/>
    </row>
    <row r="1177" spans="1:10" s="165" customFormat="1">
      <c r="A1177" s="172"/>
      <c r="B1177" s="552"/>
      <c r="C1177" s="553"/>
      <c r="D1177" s="554"/>
      <c r="E1177" s="554"/>
      <c r="F1177" s="167"/>
      <c r="G1177" s="474"/>
      <c r="H1177" s="474"/>
      <c r="J1177" s="555"/>
    </row>
    <row r="1178" spans="1:10" s="165" customFormat="1">
      <c r="A1178" s="172"/>
      <c r="B1178" s="552"/>
      <c r="C1178" s="553"/>
      <c r="D1178" s="554"/>
      <c r="E1178" s="554"/>
      <c r="F1178" s="167"/>
      <c r="G1178" s="474"/>
      <c r="H1178" s="474"/>
      <c r="J1178" s="555"/>
    </row>
    <row r="1179" spans="1:10" s="165" customFormat="1">
      <c r="A1179" s="172"/>
      <c r="B1179" s="552"/>
      <c r="C1179" s="553"/>
      <c r="D1179" s="554"/>
      <c r="E1179" s="554"/>
      <c r="F1179" s="167"/>
      <c r="G1179" s="474"/>
      <c r="H1179" s="474"/>
      <c r="J1179" s="555"/>
    </row>
    <row r="1180" spans="1:10" s="165" customFormat="1">
      <c r="A1180" s="172"/>
      <c r="B1180" s="552"/>
      <c r="C1180" s="553"/>
      <c r="D1180" s="554"/>
      <c r="E1180" s="554"/>
      <c r="F1180" s="167"/>
      <c r="G1180" s="474"/>
      <c r="H1180" s="474"/>
      <c r="J1180" s="555"/>
    </row>
    <row r="1181" spans="1:10" s="165" customFormat="1">
      <c r="A1181" s="172"/>
      <c r="B1181" s="552"/>
      <c r="C1181" s="553"/>
      <c r="D1181" s="554"/>
      <c r="E1181" s="554"/>
      <c r="F1181" s="167"/>
      <c r="G1181" s="474"/>
      <c r="H1181" s="474"/>
      <c r="J1181" s="555"/>
    </row>
    <row r="1182" spans="1:10" s="165" customFormat="1">
      <c r="A1182" s="172"/>
      <c r="B1182" s="552"/>
      <c r="C1182" s="553"/>
      <c r="D1182" s="554"/>
      <c r="E1182" s="554"/>
      <c r="F1182" s="167"/>
      <c r="G1182" s="474"/>
      <c r="H1182" s="474"/>
      <c r="J1182" s="555"/>
    </row>
    <row r="1183" spans="1:10" s="165" customFormat="1">
      <c r="A1183" s="172"/>
      <c r="B1183" s="552"/>
      <c r="C1183" s="553"/>
      <c r="D1183" s="554"/>
      <c r="E1183" s="554"/>
      <c r="F1183" s="167"/>
      <c r="G1183" s="474"/>
      <c r="H1183" s="474"/>
      <c r="J1183" s="555"/>
    </row>
    <row r="1184" spans="1:10" s="165" customFormat="1">
      <c r="A1184" s="172"/>
      <c r="B1184" s="552"/>
      <c r="C1184" s="553"/>
      <c r="D1184" s="554"/>
      <c r="E1184" s="554"/>
      <c r="F1184" s="167"/>
      <c r="G1184" s="474"/>
      <c r="H1184" s="474"/>
      <c r="J1184" s="555"/>
    </row>
    <row r="1185" spans="1:10" s="165" customFormat="1">
      <c r="A1185" s="172"/>
      <c r="B1185" s="552"/>
      <c r="C1185" s="553"/>
      <c r="D1185" s="554"/>
      <c r="E1185" s="554"/>
      <c r="F1185" s="167"/>
      <c r="G1185" s="474"/>
      <c r="H1185" s="474"/>
      <c r="J1185" s="555"/>
    </row>
    <row r="1186" spans="1:10" s="165" customFormat="1">
      <c r="A1186" s="172"/>
      <c r="B1186" s="552"/>
      <c r="C1186" s="553"/>
      <c r="D1186" s="554"/>
      <c r="E1186" s="554"/>
      <c r="F1186" s="167"/>
      <c r="G1186" s="474"/>
      <c r="H1186" s="474"/>
      <c r="J1186" s="555"/>
    </row>
    <row r="1187" spans="1:10" s="165" customFormat="1">
      <c r="A1187" s="172"/>
      <c r="B1187" s="552"/>
      <c r="C1187" s="553"/>
      <c r="D1187" s="554"/>
      <c r="E1187" s="554"/>
      <c r="F1187" s="167"/>
      <c r="G1187" s="474"/>
      <c r="H1187" s="474"/>
      <c r="J1187" s="555"/>
    </row>
    <row r="1188" spans="1:10" s="165" customFormat="1">
      <c r="A1188" s="172"/>
      <c r="B1188" s="552"/>
      <c r="C1188" s="553"/>
      <c r="D1188" s="554"/>
      <c r="E1188" s="554"/>
      <c r="F1188" s="167"/>
      <c r="G1188" s="474"/>
      <c r="H1188" s="474"/>
      <c r="J1188" s="555"/>
    </row>
    <row r="1189" spans="1:10" s="165" customFormat="1">
      <c r="A1189" s="172"/>
      <c r="B1189" s="552"/>
      <c r="C1189" s="553"/>
      <c r="D1189" s="554"/>
      <c r="E1189" s="554"/>
      <c r="F1189" s="167"/>
      <c r="G1189" s="474"/>
      <c r="H1189" s="474"/>
      <c r="J1189" s="555"/>
    </row>
    <row r="1190" spans="1:10" s="165" customFormat="1">
      <c r="A1190" s="172"/>
      <c r="B1190" s="552"/>
      <c r="C1190" s="553"/>
      <c r="D1190" s="554"/>
      <c r="E1190" s="554"/>
      <c r="F1190" s="167"/>
      <c r="G1190" s="474"/>
      <c r="H1190" s="474"/>
      <c r="J1190" s="555"/>
    </row>
    <row r="1191" spans="1:10" s="165" customFormat="1">
      <c r="A1191" s="172"/>
      <c r="B1191" s="552"/>
      <c r="C1191" s="553"/>
      <c r="D1191" s="554"/>
      <c r="E1191" s="554"/>
      <c r="F1191" s="167"/>
      <c r="G1191" s="474"/>
      <c r="H1191" s="474"/>
      <c r="J1191" s="555"/>
    </row>
    <row r="1192" spans="1:10" s="165" customFormat="1">
      <c r="A1192" s="172"/>
      <c r="B1192" s="552"/>
      <c r="C1192" s="553"/>
      <c r="D1192" s="554"/>
      <c r="E1192" s="554"/>
      <c r="F1192" s="167"/>
      <c r="G1192" s="474"/>
      <c r="H1192" s="474"/>
      <c r="J1192" s="555"/>
    </row>
    <row r="1193" spans="1:10" s="165" customFormat="1">
      <c r="A1193" s="172"/>
      <c r="B1193" s="552"/>
      <c r="C1193" s="553"/>
      <c r="D1193" s="554"/>
      <c r="E1193" s="554"/>
      <c r="F1193" s="167"/>
      <c r="G1193" s="474"/>
      <c r="H1193" s="474"/>
      <c r="J1193" s="555"/>
    </row>
    <row r="1194" spans="1:10" s="165" customFormat="1">
      <c r="A1194" s="172"/>
      <c r="B1194" s="552"/>
      <c r="C1194" s="553"/>
      <c r="D1194" s="554"/>
      <c r="E1194" s="554"/>
      <c r="F1194" s="167"/>
      <c r="G1194" s="474"/>
      <c r="H1194" s="474"/>
      <c r="J1194" s="555"/>
    </row>
    <row r="1195" spans="1:10" s="165" customFormat="1">
      <c r="A1195" s="172"/>
      <c r="B1195" s="552"/>
      <c r="C1195" s="553"/>
      <c r="D1195" s="554"/>
      <c r="E1195" s="554"/>
      <c r="F1195" s="167"/>
      <c r="G1195" s="474"/>
      <c r="H1195" s="474"/>
      <c r="J1195" s="555"/>
    </row>
    <row r="1196" spans="1:10" s="165" customFormat="1">
      <c r="A1196" s="172"/>
      <c r="B1196" s="552"/>
      <c r="C1196" s="553"/>
      <c r="D1196" s="554"/>
      <c r="E1196" s="554"/>
      <c r="F1196" s="167"/>
      <c r="G1196" s="474"/>
      <c r="H1196" s="474"/>
      <c r="J1196" s="555"/>
    </row>
    <row r="1197" spans="1:10" s="165" customFormat="1">
      <c r="A1197" s="172"/>
      <c r="B1197" s="552"/>
      <c r="C1197" s="553"/>
      <c r="D1197" s="554"/>
      <c r="E1197" s="554"/>
      <c r="F1197" s="167"/>
      <c r="G1197" s="474"/>
      <c r="H1197" s="474"/>
      <c r="J1197" s="555"/>
    </row>
    <row r="1198" spans="1:10" s="165" customFormat="1">
      <c r="A1198" s="172"/>
      <c r="B1198" s="552"/>
      <c r="C1198" s="553"/>
      <c r="D1198" s="554"/>
      <c r="E1198" s="554"/>
      <c r="F1198" s="167"/>
      <c r="G1198" s="474"/>
      <c r="H1198" s="474"/>
      <c r="J1198" s="555"/>
    </row>
    <row r="1199" spans="1:10" s="165" customFormat="1">
      <c r="A1199" s="172"/>
      <c r="B1199" s="552"/>
      <c r="C1199" s="553"/>
      <c r="D1199" s="554"/>
      <c r="E1199" s="554"/>
      <c r="F1199" s="167"/>
      <c r="G1199" s="474"/>
      <c r="H1199" s="474"/>
      <c r="J1199" s="555"/>
    </row>
    <row r="1200" spans="1:10" s="165" customFormat="1">
      <c r="A1200" s="172"/>
      <c r="B1200" s="552"/>
      <c r="C1200" s="553"/>
      <c r="D1200" s="554"/>
      <c r="E1200" s="554"/>
      <c r="F1200" s="167"/>
      <c r="G1200" s="474"/>
      <c r="H1200" s="474"/>
      <c r="J1200" s="555"/>
    </row>
    <row r="1201" spans="1:10" s="165" customFormat="1">
      <c r="A1201" s="172"/>
      <c r="B1201" s="552"/>
      <c r="C1201" s="553"/>
      <c r="D1201" s="554"/>
      <c r="E1201" s="554"/>
      <c r="F1201" s="167"/>
      <c r="G1201" s="474"/>
      <c r="H1201" s="474"/>
      <c r="J1201" s="555"/>
    </row>
    <row r="1202" spans="1:10" s="165" customFormat="1">
      <c r="A1202" s="172"/>
      <c r="B1202" s="552"/>
      <c r="C1202" s="553"/>
      <c r="D1202" s="554"/>
      <c r="E1202" s="554"/>
      <c r="F1202" s="167"/>
      <c r="G1202" s="474"/>
      <c r="H1202" s="474"/>
      <c r="J1202" s="555"/>
    </row>
    <row r="1203" spans="1:10" s="165" customFormat="1">
      <c r="A1203" s="172"/>
      <c r="B1203" s="552"/>
      <c r="C1203" s="553"/>
      <c r="D1203" s="554"/>
      <c r="E1203" s="554"/>
      <c r="F1203" s="167"/>
      <c r="G1203" s="474"/>
      <c r="H1203" s="474"/>
      <c r="J1203" s="555"/>
    </row>
    <row r="1204" spans="1:10" s="165" customFormat="1">
      <c r="A1204" s="172"/>
      <c r="B1204" s="552"/>
      <c r="C1204" s="553"/>
      <c r="D1204" s="554"/>
      <c r="E1204" s="554"/>
      <c r="F1204" s="167"/>
      <c r="G1204" s="474"/>
      <c r="H1204" s="474"/>
      <c r="J1204" s="555"/>
    </row>
    <row r="1205" spans="1:10" s="165" customFormat="1">
      <c r="A1205" s="172"/>
      <c r="B1205" s="552"/>
      <c r="C1205" s="553"/>
      <c r="D1205" s="554"/>
      <c r="E1205" s="554"/>
      <c r="F1205" s="167"/>
      <c r="G1205" s="474"/>
      <c r="H1205" s="474"/>
      <c r="J1205" s="555"/>
    </row>
    <row r="1206" spans="1:10" s="165" customFormat="1">
      <c r="A1206" s="172"/>
      <c r="B1206" s="552"/>
      <c r="C1206" s="553"/>
      <c r="D1206" s="554"/>
      <c r="E1206" s="554"/>
      <c r="F1206" s="167"/>
      <c r="G1206" s="474"/>
      <c r="H1206" s="474"/>
      <c r="J1206" s="555"/>
    </row>
    <row r="1207" spans="1:10" s="165" customFormat="1">
      <c r="A1207" s="172"/>
      <c r="B1207" s="552"/>
      <c r="C1207" s="553"/>
      <c r="D1207" s="554"/>
      <c r="E1207" s="554"/>
      <c r="F1207" s="167"/>
      <c r="G1207" s="474"/>
      <c r="H1207" s="474"/>
      <c r="J1207" s="555"/>
    </row>
    <row r="1208" spans="1:10" s="165" customFormat="1">
      <c r="A1208" s="172"/>
      <c r="B1208" s="552"/>
      <c r="C1208" s="553"/>
      <c r="D1208" s="554"/>
      <c r="E1208" s="554"/>
      <c r="F1208" s="167"/>
      <c r="G1208" s="474"/>
      <c r="H1208" s="474"/>
      <c r="J1208" s="555"/>
    </row>
    <row r="1209" spans="1:10" s="165" customFormat="1">
      <c r="A1209" s="172"/>
      <c r="B1209" s="552"/>
      <c r="C1209" s="553"/>
      <c r="D1209" s="554"/>
      <c r="E1209" s="554"/>
      <c r="F1209" s="167"/>
      <c r="G1209" s="474"/>
      <c r="H1209" s="474"/>
      <c r="J1209" s="555"/>
    </row>
    <row r="1210" spans="1:10" s="165" customFormat="1">
      <c r="A1210" s="172"/>
      <c r="B1210" s="552"/>
      <c r="C1210" s="553"/>
      <c r="D1210" s="554"/>
      <c r="E1210" s="554"/>
      <c r="F1210" s="167"/>
      <c r="G1210" s="474"/>
      <c r="H1210" s="474"/>
      <c r="J1210" s="555"/>
    </row>
    <row r="1211" spans="1:10" s="165" customFormat="1">
      <c r="A1211" s="172"/>
      <c r="B1211" s="552"/>
      <c r="C1211" s="553"/>
      <c r="D1211" s="554"/>
      <c r="E1211" s="554"/>
      <c r="F1211" s="167"/>
      <c r="G1211" s="474"/>
      <c r="H1211" s="474"/>
      <c r="J1211" s="555"/>
    </row>
    <row r="1212" spans="1:10" s="165" customFormat="1">
      <c r="A1212" s="172"/>
      <c r="B1212" s="552"/>
      <c r="C1212" s="553"/>
      <c r="D1212" s="554"/>
      <c r="E1212" s="554"/>
      <c r="F1212" s="167"/>
      <c r="G1212" s="474"/>
      <c r="H1212" s="474"/>
      <c r="J1212" s="555"/>
    </row>
    <row r="1213" spans="1:10" s="165" customFormat="1">
      <c r="A1213" s="172"/>
      <c r="B1213" s="552"/>
      <c r="C1213" s="553"/>
      <c r="D1213" s="554"/>
      <c r="E1213" s="554"/>
      <c r="F1213" s="167"/>
      <c r="G1213" s="474"/>
      <c r="H1213" s="474"/>
      <c r="J1213" s="555"/>
    </row>
    <row r="1214" spans="1:10" s="165" customFormat="1">
      <c r="A1214" s="172"/>
      <c r="B1214" s="552"/>
      <c r="C1214" s="553"/>
      <c r="D1214" s="554"/>
      <c r="E1214" s="554"/>
      <c r="F1214" s="167"/>
      <c r="G1214" s="474"/>
      <c r="H1214" s="474"/>
      <c r="J1214" s="555"/>
    </row>
    <row r="1215" spans="1:10" s="165" customFormat="1">
      <c r="A1215" s="172"/>
      <c r="B1215" s="552"/>
      <c r="C1215" s="553"/>
      <c r="D1215" s="554"/>
      <c r="E1215" s="554"/>
      <c r="F1215" s="167"/>
      <c r="G1215" s="474"/>
      <c r="H1215" s="474"/>
      <c r="J1215" s="555"/>
    </row>
    <row r="1216" spans="1:10" s="165" customFormat="1">
      <c r="A1216" s="172"/>
      <c r="B1216" s="552"/>
      <c r="C1216" s="553"/>
      <c r="D1216" s="554"/>
      <c r="E1216" s="554"/>
      <c r="F1216" s="167"/>
      <c r="G1216" s="474"/>
      <c r="H1216" s="474"/>
      <c r="J1216" s="555"/>
    </row>
    <row r="1217" spans="1:10" s="165" customFormat="1">
      <c r="A1217" s="172"/>
      <c r="B1217" s="552"/>
      <c r="C1217" s="553"/>
      <c r="D1217" s="554"/>
      <c r="E1217" s="554"/>
      <c r="F1217" s="167"/>
      <c r="G1217" s="474"/>
      <c r="H1217" s="474"/>
      <c r="J1217" s="555"/>
    </row>
    <row r="1218" spans="1:10" s="165" customFormat="1">
      <c r="A1218" s="172"/>
      <c r="B1218" s="552"/>
      <c r="C1218" s="553"/>
      <c r="D1218" s="554"/>
      <c r="E1218" s="554"/>
      <c r="F1218" s="167"/>
      <c r="G1218" s="474"/>
      <c r="H1218" s="474"/>
      <c r="J1218" s="555"/>
    </row>
    <row r="1219" spans="1:10" s="165" customFormat="1">
      <c r="A1219" s="172"/>
      <c r="B1219" s="552"/>
      <c r="C1219" s="553"/>
      <c r="D1219" s="554"/>
      <c r="E1219" s="554"/>
      <c r="F1219" s="167"/>
      <c r="G1219" s="474"/>
      <c r="H1219" s="474"/>
      <c r="J1219" s="555"/>
    </row>
    <row r="1220" spans="1:10" s="165" customFormat="1">
      <c r="A1220" s="172"/>
      <c r="B1220" s="552"/>
      <c r="C1220" s="553"/>
      <c r="D1220" s="554"/>
      <c r="E1220" s="554"/>
      <c r="F1220" s="167"/>
      <c r="G1220" s="474"/>
      <c r="H1220" s="474"/>
      <c r="J1220" s="555"/>
    </row>
    <row r="1221" spans="1:10" s="165" customFormat="1">
      <c r="A1221" s="172"/>
      <c r="B1221" s="552"/>
      <c r="C1221" s="553"/>
      <c r="D1221" s="554"/>
      <c r="E1221" s="554"/>
      <c r="F1221" s="167"/>
      <c r="G1221" s="474"/>
      <c r="H1221" s="474"/>
      <c r="J1221" s="555"/>
    </row>
    <row r="1222" spans="1:10" s="165" customFormat="1">
      <c r="A1222" s="172"/>
      <c r="B1222" s="552"/>
      <c r="C1222" s="553"/>
      <c r="D1222" s="554"/>
      <c r="E1222" s="554"/>
      <c r="F1222" s="167"/>
      <c r="G1222" s="474"/>
      <c r="H1222" s="474"/>
      <c r="J1222" s="555"/>
    </row>
    <row r="1223" spans="1:10" s="165" customFormat="1">
      <c r="A1223" s="172"/>
      <c r="B1223" s="552"/>
      <c r="C1223" s="553"/>
      <c r="D1223" s="554"/>
      <c r="E1223" s="554"/>
      <c r="F1223" s="167"/>
      <c r="G1223" s="474"/>
      <c r="H1223" s="474"/>
      <c r="J1223" s="555"/>
    </row>
    <row r="1224" spans="1:10" s="165" customFormat="1">
      <c r="A1224" s="172"/>
      <c r="B1224" s="552"/>
      <c r="C1224" s="553"/>
      <c r="D1224" s="554"/>
      <c r="E1224" s="554"/>
      <c r="F1224" s="167"/>
      <c r="G1224" s="474"/>
      <c r="H1224" s="474"/>
      <c r="J1224" s="555"/>
    </row>
    <row r="1225" spans="1:10" s="165" customFormat="1">
      <c r="A1225" s="172"/>
      <c r="B1225" s="552"/>
      <c r="C1225" s="553"/>
      <c r="D1225" s="554"/>
      <c r="E1225" s="554"/>
      <c r="F1225" s="167"/>
      <c r="G1225" s="474"/>
      <c r="H1225" s="474"/>
      <c r="J1225" s="555"/>
    </row>
    <row r="1226" spans="1:10" s="165" customFormat="1">
      <c r="A1226" s="172"/>
      <c r="B1226" s="552"/>
      <c r="C1226" s="553"/>
      <c r="D1226" s="554"/>
      <c r="E1226" s="554"/>
      <c r="F1226" s="167"/>
      <c r="G1226" s="474"/>
      <c r="H1226" s="474"/>
      <c r="J1226" s="555"/>
    </row>
    <row r="1227" spans="1:10" s="165" customFormat="1">
      <c r="A1227" s="172"/>
      <c r="B1227" s="552"/>
      <c r="C1227" s="553"/>
      <c r="D1227" s="554"/>
      <c r="E1227" s="554"/>
      <c r="F1227" s="167"/>
      <c r="G1227" s="474"/>
      <c r="H1227" s="474"/>
      <c r="J1227" s="555"/>
    </row>
    <row r="1228" spans="1:10" s="165" customFormat="1">
      <c r="A1228" s="172"/>
      <c r="B1228" s="552"/>
      <c r="C1228" s="553"/>
      <c r="D1228" s="554"/>
      <c r="E1228" s="554"/>
      <c r="F1228" s="167"/>
      <c r="G1228" s="474"/>
      <c r="H1228" s="474"/>
      <c r="J1228" s="555"/>
    </row>
    <row r="1229" spans="1:10" s="165" customFormat="1">
      <c r="A1229" s="172"/>
      <c r="B1229" s="552"/>
      <c r="C1229" s="553"/>
      <c r="D1229" s="554"/>
      <c r="E1229" s="554"/>
      <c r="F1229" s="167"/>
      <c r="G1229" s="474"/>
      <c r="H1229" s="474"/>
      <c r="J1229" s="555"/>
    </row>
    <row r="1230" spans="1:10" s="165" customFormat="1">
      <c r="A1230" s="172"/>
      <c r="B1230" s="552"/>
      <c r="C1230" s="553"/>
      <c r="D1230" s="554"/>
      <c r="E1230" s="554"/>
      <c r="F1230" s="167"/>
      <c r="G1230" s="474"/>
      <c r="H1230" s="474"/>
      <c r="J1230" s="555"/>
    </row>
    <row r="1231" spans="1:10" s="165" customFormat="1">
      <c r="A1231" s="172"/>
      <c r="B1231" s="552"/>
      <c r="C1231" s="553"/>
      <c r="D1231" s="554"/>
      <c r="E1231" s="554"/>
      <c r="F1231" s="167"/>
      <c r="G1231" s="474"/>
      <c r="H1231" s="474"/>
      <c r="J1231" s="555"/>
    </row>
    <row r="1232" spans="1:10" s="165" customFormat="1">
      <c r="A1232" s="172"/>
      <c r="B1232" s="552"/>
      <c r="C1232" s="553"/>
      <c r="D1232" s="554"/>
      <c r="E1232" s="554"/>
      <c r="F1232" s="167"/>
      <c r="G1232" s="474"/>
      <c r="H1232" s="474"/>
      <c r="J1232" s="555"/>
    </row>
    <row r="1233" spans="1:10" s="165" customFormat="1">
      <c r="A1233" s="172"/>
      <c r="B1233" s="552"/>
      <c r="C1233" s="553"/>
      <c r="D1233" s="554"/>
      <c r="E1233" s="554"/>
      <c r="F1233" s="167"/>
      <c r="G1233" s="474"/>
      <c r="H1233" s="474"/>
      <c r="J1233" s="555"/>
    </row>
    <row r="1234" spans="1:10" s="165" customFormat="1">
      <c r="A1234" s="172"/>
      <c r="B1234" s="552"/>
      <c r="C1234" s="553"/>
      <c r="D1234" s="554"/>
      <c r="E1234" s="554"/>
      <c r="F1234" s="167"/>
      <c r="G1234" s="474"/>
      <c r="H1234" s="474"/>
      <c r="J1234" s="555"/>
    </row>
    <row r="1235" spans="1:10" s="165" customFormat="1">
      <c r="A1235" s="172"/>
      <c r="B1235" s="552"/>
      <c r="C1235" s="553"/>
      <c r="D1235" s="554"/>
      <c r="E1235" s="554"/>
      <c r="F1235" s="167"/>
      <c r="G1235" s="474"/>
      <c r="H1235" s="474"/>
      <c r="J1235" s="555"/>
    </row>
    <row r="1236" spans="1:10" s="165" customFormat="1">
      <c r="A1236" s="172"/>
      <c r="B1236" s="552"/>
      <c r="C1236" s="553"/>
      <c r="D1236" s="554"/>
      <c r="E1236" s="554"/>
      <c r="F1236" s="167"/>
      <c r="G1236" s="474"/>
      <c r="H1236" s="474"/>
      <c r="J1236" s="555"/>
    </row>
    <row r="1237" spans="1:10" s="165" customFormat="1">
      <c r="A1237" s="172"/>
      <c r="B1237" s="552"/>
      <c r="C1237" s="553"/>
      <c r="D1237" s="554"/>
      <c r="E1237" s="554"/>
      <c r="F1237" s="167"/>
      <c r="G1237" s="474"/>
      <c r="H1237" s="474"/>
      <c r="J1237" s="555"/>
    </row>
    <row r="1238" spans="1:10" s="165" customFormat="1">
      <c r="A1238" s="172"/>
      <c r="B1238" s="552"/>
      <c r="C1238" s="553"/>
      <c r="D1238" s="554"/>
      <c r="E1238" s="554"/>
      <c r="F1238" s="167"/>
      <c r="G1238" s="474"/>
      <c r="H1238" s="474"/>
      <c r="J1238" s="555"/>
    </row>
    <row r="1239" spans="1:10" s="165" customFormat="1">
      <c r="A1239" s="172"/>
      <c r="B1239" s="552"/>
      <c r="C1239" s="553"/>
      <c r="D1239" s="554"/>
      <c r="E1239" s="554"/>
      <c r="F1239" s="167"/>
      <c r="G1239" s="474"/>
      <c r="H1239" s="474"/>
      <c r="J1239" s="555"/>
    </row>
    <row r="1240" spans="1:10" s="165" customFormat="1">
      <c r="A1240" s="172"/>
      <c r="B1240" s="552"/>
      <c r="C1240" s="553"/>
      <c r="D1240" s="554"/>
      <c r="E1240" s="554"/>
      <c r="F1240" s="167"/>
      <c r="G1240" s="474"/>
      <c r="H1240" s="474"/>
      <c r="J1240" s="555"/>
    </row>
    <row r="1241" spans="1:10" s="165" customFormat="1">
      <c r="A1241" s="172"/>
      <c r="B1241" s="552"/>
      <c r="C1241" s="553"/>
      <c r="D1241" s="554"/>
      <c r="E1241" s="554"/>
      <c r="F1241" s="167"/>
      <c r="G1241" s="474"/>
      <c r="H1241" s="474"/>
      <c r="J1241" s="555"/>
    </row>
    <row r="1242" spans="1:10" s="165" customFormat="1">
      <c r="A1242" s="172"/>
      <c r="B1242" s="552"/>
      <c r="C1242" s="553"/>
      <c r="D1242" s="554"/>
      <c r="E1242" s="554"/>
      <c r="F1242" s="167"/>
      <c r="G1242" s="474"/>
      <c r="H1242" s="474"/>
      <c r="J1242" s="555"/>
    </row>
    <row r="1243" spans="1:10" s="165" customFormat="1">
      <c r="A1243" s="172"/>
      <c r="B1243" s="552"/>
      <c r="C1243" s="553"/>
      <c r="D1243" s="554"/>
      <c r="E1243" s="554"/>
      <c r="F1243" s="167"/>
      <c r="G1243" s="474"/>
      <c r="H1243" s="474"/>
      <c r="J1243" s="555"/>
    </row>
    <row r="1244" spans="1:10" s="165" customFormat="1">
      <c r="A1244" s="172"/>
      <c r="B1244" s="552"/>
      <c r="C1244" s="553"/>
      <c r="D1244" s="554"/>
      <c r="E1244" s="554"/>
      <c r="F1244" s="167"/>
      <c r="G1244" s="474"/>
      <c r="H1244" s="474"/>
      <c r="J1244" s="555"/>
    </row>
    <row r="1245" spans="1:10" s="165" customFormat="1">
      <c r="A1245" s="172"/>
      <c r="B1245" s="552"/>
      <c r="C1245" s="553"/>
      <c r="D1245" s="554"/>
      <c r="E1245" s="554"/>
      <c r="F1245" s="167"/>
      <c r="G1245" s="474"/>
      <c r="H1245" s="474"/>
      <c r="J1245" s="555"/>
    </row>
    <row r="1246" spans="1:10" s="165" customFormat="1">
      <c r="A1246" s="172"/>
      <c r="B1246" s="552"/>
      <c r="C1246" s="553"/>
      <c r="D1246" s="554"/>
      <c r="E1246" s="554"/>
      <c r="F1246" s="167"/>
      <c r="G1246" s="474"/>
      <c r="H1246" s="474"/>
      <c r="J1246" s="555"/>
    </row>
    <row r="1247" spans="1:10" s="165" customFormat="1">
      <c r="A1247" s="172"/>
      <c r="B1247" s="552"/>
      <c r="C1247" s="553"/>
      <c r="D1247" s="554"/>
      <c r="E1247" s="554"/>
      <c r="F1247" s="167"/>
      <c r="G1247" s="474"/>
      <c r="H1247" s="474"/>
      <c r="J1247" s="555"/>
    </row>
    <row r="1248" spans="1:10" s="165" customFormat="1">
      <c r="A1248" s="172"/>
      <c r="B1248" s="552"/>
      <c r="C1248" s="553"/>
      <c r="D1248" s="554"/>
      <c r="E1248" s="554"/>
      <c r="F1248" s="167"/>
      <c r="G1248" s="474"/>
      <c r="H1248" s="474"/>
      <c r="J1248" s="555"/>
    </row>
    <row r="1249" spans="1:10" s="165" customFormat="1">
      <c r="A1249" s="172"/>
      <c r="B1249" s="552"/>
      <c r="C1249" s="553"/>
      <c r="D1249" s="554"/>
      <c r="E1249" s="554"/>
      <c r="F1249" s="167"/>
      <c r="G1249" s="474"/>
      <c r="H1249" s="474"/>
      <c r="J1249" s="555"/>
    </row>
    <row r="1250" spans="1:10" s="165" customFormat="1">
      <c r="A1250" s="172"/>
      <c r="B1250" s="552"/>
      <c r="C1250" s="553"/>
      <c r="D1250" s="554"/>
      <c r="E1250" s="554"/>
      <c r="F1250" s="167"/>
      <c r="G1250" s="474"/>
      <c r="H1250" s="474"/>
      <c r="J1250" s="555"/>
    </row>
    <row r="1251" spans="1:10" s="165" customFormat="1">
      <c r="A1251" s="172"/>
      <c r="B1251" s="552"/>
      <c r="C1251" s="553"/>
      <c r="D1251" s="554"/>
      <c r="E1251" s="554"/>
      <c r="F1251" s="167"/>
      <c r="G1251" s="474"/>
      <c r="H1251" s="474"/>
      <c r="J1251" s="555"/>
    </row>
    <row r="1252" spans="1:10" s="165" customFormat="1">
      <c r="A1252" s="172"/>
      <c r="B1252" s="552"/>
      <c r="C1252" s="553"/>
      <c r="D1252" s="554"/>
      <c r="E1252" s="554"/>
      <c r="F1252" s="167"/>
      <c r="G1252" s="474"/>
      <c r="H1252" s="474"/>
      <c r="J1252" s="555"/>
    </row>
    <row r="1253" spans="1:10" s="165" customFormat="1">
      <c r="A1253" s="172"/>
      <c r="B1253" s="552"/>
      <c r="C1253" s="553"/>
      <c r="D1253" s="554"/>
      <c r="E1253" s="554"/>
      <c r="F1253" s="167"/>
      <c r="G1253" s="474"/>
      <c r="H1253" s="474"/>
      <c r="J1253" s="555"/>
    </row>
    <row r="1254" spans="1:10" s="165" customFormat="1">
      <c r="A1254" s="172"/>
      <c r="B1254" s="552"/>
      <c r="C1254" s="553"/>
      <c r="D1254" s="554"/>
      <c r="E1254" s="554"/>
      <c r="F1254" s="167"/>
      <c r="G1254" s="474"/>
      <c r="H1254" s="474"/>
      <c r="J1254" s="555"/>
    </row>
    <row r="1255" spans="1:10" s="165" customFormat="1">
      <c r="A1255" s="172"/>
      <c r="B1255" s="552"/>
      <c r="C1255" s="553"/>
      <c r="D1255" s="554"/>
      <c r="E1255" s="554"/>
      <c r="F1255" s="167"/>
      <c r="G1255" s="474"/>
      <c r="H1255" s="474"/>
      <c r="J1255" s="555"/>
    </row>
    <row r="1256" spans="1:10" s="165" customFormat="1">
      <c r="A1256" s="172"/>
      <c r="B1256" s="552"/>
      <c r="C1256" s="553"/>
      <c r="D1256" s="554"/>
      <c r="E1256" s="554"/>
      <c r="F1256" s="167"/>
      <c r="G1256" s="474"/>
      <c r="H1256" s="474"/>
      <c r="J1256" s="555"/>
    </row>
    <row r="1257" spans="1:10" s="165" customFormat="1">
      <c r="A1257" s="172"/>
      <c r="B1257" s="552"/>
      <c r="C1257" s="553"/>
      <c r="D1257" s="554"/>
      <c r="E1257" s="554"/>
      <c r="F1257" s="167"/>
      <c r="G1257" s="474"/>
      <c r="H1257" s="474"/>
      <c r="J1257" s="555"/>
    </row>
    <row r="1258" spans="1:10" s="165" customFormat="1">
      <c r="A1258" s="172"/>
      <c r="B1258" s="552"/>
      <c r="C1258" s="553"/>
      <c r="D1258" s="554"/>
      <c r="E1258" s="554"/>
      <c r="F1258" s="167"/>
      <c r="G1258" s="474"/>
      <c r="H1258" s="474"/>
      <c r="J1258" s="555"/>
    </row>
    <row r="1259" spans="1:10" s="165" customFormat="1">
      <c r="A1259" s="172"/>
      <c r="B1259" s="552"/>
      <c r="C1259" s="553"/>
      <c r="D1259" s="554"/>
      <c r="E1259" s="554"/>
      <c r="F1259" s="167"/>
      <c r="G1259" s="474"/>
      <c r="H1259" s="474"/>
      <c r="J1259" s="555"/>
    </row>
    <row r="1260" spans="1:10" s="165" customFormat="1">
      <c r="A1260" s="172"/>
      <c r="B1260" s="552"/>
      <c r="C1260" s="553"/>
      <c r="D1260" s="554"/>
      <c r="E1260" s="554"/>
      <c r="F1260" s="167"/>
      <c r="G1260" s="474"/>
      <c r="H1260" s="474"/>
      <c r="J1260" s="555"/>
    </row>
    <row r="1261" spans="1:10" s="165" customFormat="1">
      <c r="A1261" s="172"/>
      <c r="B1261" s="552"/>
      <c r="C1261" s="553"/>
      <c r="D1261" s="554"/>
      <c r="E1261" s="554"/>
      <c r="F1261" s="167"/>
      <c r="G1261" s="474"/>
      <c r="H1261" s="474"/>
      <c r="J1261" s="555"/>
    </row>
    <row r="1262" spans="1:10" s="165" customFormat="1">
      <c r="A1262" s="172"/>
      <c r="B1262" s="552"/>
      <c r="C1262" s="553"/>
      <c r="D1262" s="554"/>
      <c r="E1262" s="554"/>
      <c r="F1262" s="167"/>
      <c r="G1262" s="474"/>
      <c r="H1262" s="474"/>
      <c r="J1262" s="555"/>
    </row>
    <row r="1263" spans="1:10" s="165" customFormat="1">
      <c r="A1263" s="172"/>
      <c r="B1263" s="552"/>
      <c r="C1263" s="553"/>
      <c r="D1263" s="554"/>
      <c r="E1263" s="554"/>
      <c r="F1263" s="167"/>
      <c r="G1263" s="474"/>
      <c r="H1263" s="474"/>
      <c r="J1263" s="555"/>
    </row>
    <row r="1264" spans="1:10" s="165" customFormat="1">
      <c r="A1264" s="172"/>
      <c r="B1264" s="552"/>
      <c r="C1264" s="553"/>
      <c r="D1264" s="554"/>
      <c r="E1264" s="554"/>
      <c r="F1264" s="167"/>
      <c r="G1264" s="474"/>
      <c r="H1264" s="474"/>
      <c r="J1264" s="555"/>
    </row>
    <row r="1265" spans="1:10" s="165" customFormat="1">
      <c r="A1265" s="172"/>
      <c r="B1265" s="552"/>
      <c r="C1265" s="553"/>
      <c r="D1265" s="554"/>
      <c r="E1265" s="554"/>
      <c r="F1265" s="167"/>
      <c r="G1265" s="474"/>
      <c r="H1265" s="474"/>
      <c r="J1265" s="555"/>
    </row>
    <row r="1266" spans="1:10" s="165" customFormat="1">
      <c r="A1266" s="172"/>
      <c r="B1266" s="552"/>
      <c r="C1266" s="553"/>
      <c r="D1266" s="554"/>
      <c r="E1266" s="554"/>
      <c r="F1266" s="167"/>
      <c r="G1266" s="474"/>
      <c r="H1266" s="474"/>
      <c r="J1266" s="555"/>
    </row>
    <row r="1267" spans="1:10" s="165" customFormat="1">
      <c r="A1267" s="172"/>
      <c r="B1267" s="552"/>
      <c r="C1267" s="553"/>
      <c r="D1267" s="554"/>
      <c r="E1267" s="554"/>
      <c r="F1267" s="167"/>
      <c r="G1267" s="474"/>
      <c r="H1267" s="474"/>
      <c r="J1267" s="555"/>
    </row>
    <row r="1268" spans="1:10" s="165" customFormat="1">
      <c r="A1268" s="172"/>
      <c r="B1268" s="552"/>
      <c r="C1268" s="553"/>
      <c r="D1268" s="554"/>
      <c r="E1268" s="554"/>
      <c r="F1268" s="167"/>
      <c r="G1268" s="474"/>
      <c r="H1268" s="474"/>
      <c r="J1268" s="555"/>
    </row>
    <row r="1269" spans="1:10" s="165" customFormat="1">
      <c r="A1269" s="172"/>
      <c r="B1269" s="552"/>
      <c r="C1269" s="553"/>
      <c r="D1269" s="554"/>
      <c r="E1269" s="554"/>
      <c r="F1269" s="167"/>
      <c r="G1269" s="474"/>
      <c r="H1269" s="474"/>
      <c r="J1269" s="555"/>
    </row>
    <row r="1270" spans="1:10" s="165" customFormat="1">
      <c r="A1270" s="172"/>
      <c r="B1270" s="552"/>
      <c r="C1270" s="553"/>
      <c r="D1270" s="554"/>
      <c r="E1270" s="554"/>
      <c r="F1270" s="167"/>
      <c r="G1270" s="474"/>
      <c r="H1270" s="474"/>
      <c r="J1270" s="555"/>
    </row>
    <row r="1271" spans="1:10" s="165" customFormat="1">
      <c r="A1271" s="172"/>
      <c r="B1271" s="552"/>
      <c r="C1271" s="553"/>
      <c r="D1271" s="554"/>
      <c r="E1271" s="554"/>
      <c r="F1271" s="167"/>
      <c r="G1271" s="474"/>
      <c r="H1271" s="474"/>
      <c r="J1271" s="555"/>
    </row>
    <row r="1272" spans="1:10" s="165" customFormat="1">
      <c r="A1272" s="172"/>
      <c r="B1272" s="552"/>
      <c r="C1272" s="553"/>
      <c r="D1272" s="554"/>
      <c r="E1272" s="554"/>
      <c r="F1272" s="167"/>
      <c r="G1272" s="474"/>
      <c r="H1272" s="474"/>
      <c r="J1272" s="555"/>
    </row>
    <row r="1273" spans="1:10" s="165" customFormat="1">
      <c r="A1273" s="172"/>
      <c r="B1273" s="552"/>
      <c r="C1273" s="553"/>
      <c r="D1273" s="554"/>
      <c r="E1273" s="554"/>
      <c r="F1273" s="167"/>
      <c r="G1273" s="474"/>
      <c r="H1273" s="474"/>
      <c r="J1273" s="555"/>
    </row>
    <row r="1274" spans="1:10" s="165" customFormat="1">
      <c r="A1274" s="172"/>
      <c r="B1274" s="552"/>
      <c r="C1274" s="553"/>
      <c r="D1274" s="554"/>
      <c r="E1274" s="554"/>
      <c r="F1274" s="167"/>
      <c r="G1274" s="474"/>
      <c r="H1274" s="474"/>
      <c r="J1274" s="555"/>
    </row>
    <row r="1275" spans="1:10" s="165" customFormat="1">
      <c r="A1275" s="172"/>
      <c r="B1275" s="552"/>
      <c r="C1275" s="553"/>
      <c r="D1275" s="554"/>
      <c r="E1275" s="554"/>
      <c r="F1275" s="167"/>
      <c r="G1275" s="474"/>
      <c r="H1275" s="474"/>
      <c r="J1275" s="555"/>
    </row>
    <row r="1276" spans="1:10" s="165" customFormat="1">
      <c r="A1276" s="172"/>
      <c r="B1276" s="552"/>
      <c r="C1276" s="553"/>
      <c r="D1276" s="554"/>
      <c r="E1276" s="554"/>
      <c r="F1276" s="167"/>
      <c r="G1276" s="474"/>
      <c r="H1276" s="474"/>
      <c r="J1276" s="555"/>
    </row>
    <row r="1277" spans="1:10" s="165" customFormat="1">
      <c r="A1277" s="172"/>
      <c r="B1277" s="552"/>
      <c r="C1277" s="553"/>
      <c r="D1277" s="554"/>
      <c r="E1277" s="554"/>
      <c r="F1277" s="167"/>
      <c r="G1277" s="474"/>
      <c r="H1277" s="474"/>
      <c r="J1277" s="555"/>
    </row>
    <row r="1278" spans="1:10" s="165" customFormat="1">
      <c r="A1278" s="172"/>
      <c r="B1278" s="552"/>
      <c r="C1278" s="553"/>
      <c r="D1278" s="554"/>
      <c r="E1278" s="554"/>
      <c r="F1278" s="167"/>
      <c r="G1278" s="474"/>
      <c r="H1278" s="474"/>
      <c r="J1278" s="555"/>
    </row>
    <row r="1279" spans="1:10" s="165" customFormat="1">
      <c r="A1279" s="172"/>
      <c r="B1279" s="552"/>
      <c r="C1279" s="553"/>
      <c r="D1279" s="554"/>
      <c r="E1279" s="554"/>
      <c r="F1279" s="167"/>
      <c r="G1279" s="474"/>
      <c r="H1279" s="474"/>
      <c r="J1279" s="555"/>
    </row>
    <row r="1280" spans="1:10" s="165" customFormat="1">
      <c r="A1280" s="172"/>
      <c r="B1280" s="552"/>
      <c r="C1280" s="553"/>
      <c r="D1280" s="554"/>
      <c r="E1280" s="554"/>
      <c r="F1280" s="167"/>
      <c r="G1280" s="474"/>
      <c r="H1280" s="474"/>
      <c r="J1280" s="555"/>
    </row>
    <row r="1281" spans="1:10" s="165" customFormat="1">
      <c r="A1281" s="172"/>
      <c r="B1281" s="552"/>
      <c r="C1281" s="553"/>
      <c r="D1281" s="554"/>
      <c r="E1281" s="554"/>
      <c r="F1281" s="167"/>
      <c r="G1281" s="474"/>
      <c r="H1281" s="474"/>
      <c r="J1281" s="555"/>
    </row>
    <row r="1282" spans="1:10" s="165" customFormat="1">
      <c r="A1282" s="172"/>
      <c r="B1282" s="552"/>
      <c r="C1282" s="553"/>
      <c r="D1282" s="554"/>
      <c r="E1282" s="554"/>
      <c r="F1282" s="167"/>
      <c r="G1282" s="474"/>
      <c r="H1282" s="474"/>
      <c r="J1282" s="555"/>
    </row>
    <row r="1283" spans="1:10" s="165" customFormat="1">
      <c r="A1283" s="172"/>
      <c r="B1283" s="552"/>
      <c r="C1283" s="553"/>
      <c r="D1283" s="554"/>
      <c r="E1283" s="554"/>
      <c r="F1283" s="167"/>
      <c r="G1283" s="474"/>
      <c r="H1283" s="474"/>
      <c r="J1283" s="555"/>
    </row>
    <row r="1284" spans="1:10" s="165" customFormat="1">
      <c r="A1284" s="172"/>
      <c r="B1284" s="552"/>
      <c r="C1284" s="553"/>
      <c r="D1284" s="554"/>
      <c r="E1284" s="554"/>
      <c r="F1284" s="167"/>
      <c r="G1284" s="474"/>
      <c r="H1284" s="474"/>
      <c r="J1284" s="555"/>
    </row>
    <row r="1285" spans="1:10" s="165" customFormat="1">
      <c r="A1285" s="172"/>
      <c r="B1285" s="552"/>
      <c r="C1285" s="553"/>
      <c r="D1285" s="554"/>
      <c r="E1285" s="554"/>
      <c r="F1285" s="167"/>
      <c r="G1285" s="474"/>
      <c r="H1285" s="474"/>
      <c r="J1285" s="555"/>
    </row>
    <row r="1286" spans="1:10" s="165" customFormat="1">
      <c r="A1286" s="172"/>
      <c r="B1286" s="552"/>
      <c r="C1286" s="553"/>
      <c r="D1286" s="554"/>
      <c r="E1286" s="554"/>
      <c r="F1286" s="167"/>
      <c r="G1286" s="474"/>
      <c r="H1286" s="474"/>
      <c r="J1286" s="555"/>
    </row>
    <row r="1287" spans="1:10" s="165" customFormat="1">
      <c r="A1287" s="172"/>
      <c r="B1287" s="552"/>
      <c r="C1287" s="553"/>
      <c r="D1287" s="554"/>
      <c r="E1287" s="554"/>
      <c r="F1287" s="167"/>
      <c r="G1287" s="474"/>
      <c r="H1287" s="474"/>
      <c r="J1287" s="555"/>
    </row>
    <row r="1288" spans="1:10" s="165" customFormat="1">
      <c r="A1288" s="172"/>
      <c r="B1288" s="552"/>
      <c r="C1288" s="553"/>
      <c r="D1288" s="554"/>
      <c r="E1288" s="554"/>
      <c r="F1288" s="167"/>
      <c r="G1288" s="474"/>
      <c r="H1288" s="474"/>
      <c r="J1288" s="555"/>
    </row>
    <row r="1289" spans="1:10" s="165" customFormat="1">
      <c r="A1289" s="172"/>
      <c r="B1289" s="552"/>
      <c r="C1289" s="553"/>
      <c r="D1289" s="554"/>
      <c r="E1289" s="554"/>
      <c r="F1289" s="167"/>
      <c r="G1289" s="474"/>
      <c r="H1289" s="474"/>
      <c r="J1289" s="555"/>
    </row>
    <row r="1290" spans="1:10" s="165" customFormat="1">
      <c r="A1290" s="172"/>
      <c r="B1290" s="552"/>
      <c r="C1290" s="553"/>
      <c r="D1290" s="554"/>
      <c r="E1290" s="554"/>
      <c r="F1290" s="167"/>
      <c r="G1290" s="474"/>
      <c r="H1290" s="474"/>
      <c r="J1290" s="555"/>
    </row>
    <row r="1291" spans="1:10" s="165" customFormat="1">
      <c r="A1291" s="172"/>
      <c r="B1291" s="552"/>
      <c r="C1291" s="553"/>
      <c r="D1291" s="554"/>
      <c r="E1291" s="554"/>
      <c r="F1291" s="167"/>
      <c r="G1291" s="474"/>
      <c r="H1291" s="474"/>
      <c r="J1291" s="555"/>
    </row>
    <row r="1292" spans="1:10" s="165" customFormat="1">
      <c r="A1292" s="172"/>
      <c r="B1292" s="552"/>
      <c r="C1292" s="553"/>
      <c r="D1292" s="554"/>
      <c r="E1292" s="554"/>
      <c r="F1292" s="167"/>
      <c r="G1292" s="474"/>
      <c r="H1292" s="474"/>
      <c r="J1292" s="555"/>
    </row>
    <row r="1293" spans="1:10" s="165" customFormat="1">
      <c r="A1293" s="172"/>
      <c r="B1293" s="552"/>
      <c r="C1293" s="553"/>
      <c r="D1293" s="554"/>
      <c r="E1293" s="554"/>
      <c r="F1293" s="167"/>
      <c r="G1293" s="474"/>
      <c r="H1293" s="474"/>
      <c r="J1293" s="555"/>
    </row>
    <row r="1294" spans="1:10" s="165" customFormat="1">
      <c r="A1294" s="172"/>
      <c r="B1294" s="552"/>
      <c r="C1294" s="553"/>
      <c r="D1294" s="554"/>
      <c r="E1294" s="554"/>
      <c r="F1294" s="167"/>
      <c r="G1294" s="474"/>
      <c r="H1294" s="474"/>
      <c r="J1294" s="555"/>
    </row>
    <row r="1295" spans="1:10" s="165" customFormat="1">
      <c r="A1295" s="172"/>
      <c r="B1295" s="552"/>
      <c r="C1295" s="553"/>
      <c r="D1295" s="554"/>
      <c r="E1295" s="554"/>
      <c r="F1295" s="167"/>
      <c r="G1295" s="474"/>
      <c r="H1295" s="474"/>
      <c r="J1295" s="555"/>
    </row>
    <row r="1296" spans="1:10" s="165" customFormat="1">
      <c r="A1296" s="172"/>
      <c r="B1296" s="552"/>
      <c r="C1296" s="553"/>
      <c r="D1296" s="554"/>
      <c r="E1296" s="554"/>
      <c r="F1296" s="167"/>
      <c r="G1296" s="474"/>
      <c r="H1296" s="474"/>
      <c r="J1296" s="555"/>
    </row>
    <row r="1297" spans="1:10" s="165" customFormat="1">
      <c r="A1297" s="172"/>
      <c r="B1297" s="552"/>
      <c r="C1297" s="553"/>
      <c r="D1297" s="554"/>
      <c r="E1297" s="554"/>
      <c r="F1297" s="167"/>
      <c r="G1297" s="474"/>
      <c r="H1297" s="474"/>
      <c r="J1297" s="555"/>
    </row>
    <row r="1298" spans="1:10" s="165" customFormat="1">
      <c r="A1298" s="172"/>
      <c r="B1298" s="552"/>
      <c r="C1298" s="553"/>
      <c r="D1298" s="554"/>
      <c r="E1298" s="554"/>
      <c r="F1298" s="167"/>
      <c r="G1298" s="474"/>
      <c r="H1298" s="474"/>
      <c r="J1298" s="555"/>
    </row>
    <row r="1299" spans="1:10" s="165" customFormat="1">
      <c r="A1299" s="172"/>
      <c r="B1299" s="552"/>
      <c r="C1299" s="553"/>
      <c r="D1299" s="554"/>
      <c r="E1299" s="554"/>
      <c r="F1299" s="167"/>
      <c r="G1299" s="474"/>
      <c r="H1299" s="474"/>
      <c r="J1299" s="555"/>
    </row>
    <row r="1300" spans="1:10" s="165" customFormat="1">
      <c r="A1300" s="172"/>
      <c r="B1300" s="552"/>
      <c r="C1300" s="553"/>
      <c r="D1300" s="554"/>
      <c r="E1300" s="554"/>
      <c r="F1300" s="167"/>
      <c r="G1300" s="474"/>
      <c r="H1300" s="474"/>
      <c r="J1300" s="555"/>
    </row>
    <row r="1301" spans="1:10" s="165" customFormat="1">
      <c r="A1301" s="172"/>
      <c r="B1301" s="552"/>
      <c r="C1301" s="553"/>
      <c r="D1301" s="554"/>
      <c r="E1301" s="554"/>
      <c r="F1301" s="167"/>
      <c r="G1301" s="474"/>
      <c r="H1301" s="474"/>
      <c r="J1301" s="555"/>
    </row>
    <row r="1302" spans="1:10" s="165" customFormat="1">
      <c r="A1302" s="172"/>
      <c r="B1302" s="552"/>
      <c r="C1302" s="553"/>
      <c r="D1302" s="554"/>
      <c r="E1302" s="554"/>
      <c r="F1302" s="167"/>
      <c r="G1302" s="474"/>
      <c r="H1302" s="474"/>
      <c r="J1302" s="555"/>
    </row>
    <row r="1303" spans="1:10" s="165" customFormat="1">
      <c r="A1303" s="172"/>
      <c r="B1303" s="552"/>
      <c r="C1303" s="553"/>
      <c r="D1303" s="554"/>
      <c r="E1303" s="554"/>
      <c r="F1303" s="167"/>
      <c r="G1303" s="474"/>
      <c r="H1303" s="474"/>
      <c r="J1303" s="555"/>
    </row>
    <row r="1304" spans="1:10" s="165" customFormat="1">
      <c r="A1304" s="172"/>
      <c r="B1304" s="552"/>
      <c r="C1304" s="553"/>
      <c r="D1304" s="554"/>
      <c r="E1304" s="554"/>
      <c r="F1304" s="167"/>
      <c r="G1304" s="474"/>
      <c r="H1304" s="474"/>
      <c r="J1304" s="555"/>
    </row>
    <row r="1305" spans="1:10" s="165" customFormat="1">
      <c r="A1305" s="172"/>
      <c r="B1305" s="552"/>
      <c r="C1305" s="553"/>
      <c r="D1305" s="554"/>
      <c r="E1305" s="554"/>
      <c r="F1305" s="167"/>
      <c r="G1305" s="474"/>
      <c r="H1305" s="474"/>
      <c r="J1305" s="555"/>
    </row>
    <row r="1306" spans="1:10" s="165" customFormat="1">
      <c r="A1306" s="172"/>
      <c r="B1306" s="552"/>
      <c r="C1306" s="553"/>
      <c r="D1306" s="554"/>
      <c r="E1306" s="554"/>
      <c r="F1306" s="167"/>
      <c r="G1306" s="474"/>
      <c r="H1306" s="474"/>
      <c r="J1306" s="555"/>
    </row>
    <row r="1307" spans="1:10" s="165" customFormat="1">
      <c r="A1307" s="172"/>
      <c r="B1307" s="552"/>
      <c r="C1307" s="553"/>
      <c r="D1307" s="554"/>
      <c r="E1307" s="554"/>
      <c r="F1307" s="167"/>
      <c r="G1307" s="474"/>
      <c r="H1307" s="474"/>
      <c r="J1307" s="555"/>
    </row>
    <row r="1308" spans="1:10" s="165" customFormat="1">
      <c r="A1308" s="172"/>
      <c r="B1308" s="552"/>
      <c r="C1308" s="553"/>
      <c r="D1308" s="554"/>
      <c r="E1308" s="554"/>
      <c r="F1308" s="167"/>
      <c r="G1308" s="474"/>
      <c r="H1308" s="474"/>
      <c r="J1308" s="555"/>
    </row>
    <row r="1309" spans="1:10" s="165" customFormat="1">
      <c r="A1309" s="172"/>
      <c r="B1309" s="552"/>
      <c r="C1309" s="553"/>
      <c r="D1309" s="554"/>
      <c r="E1309" s="554"/>
      <c r="F1309" s="167"/>
      <c r="G1309" s="474"/>
      <c r="H1309" s="474"/>
      <c r="J1309" s="555"/>
    </row>
    <row r="1310" spans="1:10" s="165" customFormat="1">
      <c r="A1310" s="172"/>
      <c r="B1310" s="552"/>
      <c r="C1310" s="553"/>
      <c r="D1310" s="554"/>
      <c r="E1310" s="554"/>
      <c r="F1310" s="167"/>
      <c r="G1310" s="474"/>
      <c r="H1310" s="474"/>
      <c r="J1310" s="555"/>
    </row>
    <row r="1311" spans="1:10" s="165" customFormat="1">
      <c r="A1311" s="172"/>
      <c r="B1311" s="552"/>
      <c r="C1311" s="553"/>
      <c r="D1311" s="554"/>
      <c r="E1311" s="554"/>
      <c r="F1311" s="167"/>
      <c r="G1311" s="474"/>
      <c r="H1311" s="474"/>
      <c r="J1311" s="555"/>
    </row>
    <row r="1312" spans="1:10" s="165" customFormat="1">
      <c r="A1312" s="172"/>
      <c r="B1312" s="552"/>
      <c r="C1312" s="553"/>
      <c r="D1312" s="554"/>
      <c r="E1312" s="554"/>
      <c r="F1312" s="167"/>
      <c r="G1312" s="474"/>
      <c r="H1312" s="474"/>
      <c r="J1312" s="555"/>
    </row>
    <row r="1313" spans="1:10" s="165" customFormat="1">
      <c r="A1313" s="172"/>
      <c r="B1313" s="552"/>
      <c r="C1313" s="553"/>
      <c r="D1313" s="554"/>
      <c r="E1313" s="554"/>
      <c r="F1313" s="167"/>
      <c r="G1313" s="474"/>
      <c r="H1313" s="474"/>
      <c r="J1313" s="555"/>
    </row>
    <row r="1314" spans="1:10" s="165" customFormat="1">
      <c r="A1314" s="172"/>
      <c r="B1314" s="552"/>
      <c r="C1314" s="553"/>
      <c r="D1314" s="554"/>
      <c r="E1314" s="554"/>
      <c r="F1314" s="167"/>
      <c r="G1314" s="474"/>
      <c r="H1314" s="474"/>
      <c r="J1314" s="555"/>
    </row>
    <row r="1315" spans="1:10" s="165" customFormat="1">
      <c r="A1315" s="172"/>
      <c r="B1315" s="552"/>
      <c r="C1315" s="553"/>
      <c r="D1315" s="554"/>
      <c r="E1315" s="554"/>
      <c r="F1315" s="167"/>
      <c r="G1315" s="474"/>
      <c r="H1315" s="474"/>
      <c r="J1315" s="555"/>
    </row>
    <row r="1316" spans="1:10" s="165" customFormat="1">
      <c r="A1316" s="172"/>
      <c r="B1316" s="552"/>
      <c r="C1316" s="553"/>
      <c r="D1316" s="554"/>
      <c r="E1316" s="554"/>
      <c r="F1316" s="167"/>
      <c r="G1316" s="474"/>
      <c r="H1316" s="474"/>
      <c r="J1316" s="555"/>
    </row>
    <row r="1317" spans="1:10" s="165" customFormat="1">
      <c r="A1317" s="172"/>
      <c r="B1317" s="552"/>
      <c r="C1317" s="553"/>
      <c r="D1317" s="554"/>
      <c r="E1317" s="554"/>
      <c r="F1317" s="167"/>
      <c r="G1317" s="474"/>
      <c r="H1317" s="474"/>
      <c r="J1317" s="555"/>
    </row>
    <row r="1318" spans="1:10" s="165" customFormat="1">
      <c r="A1318" s="172"/>
      <c r="B1318" s="552"/>
      <c r="C1318" s="553"/>
      <c r="D1318" s="554"/>
      <c r="E1318" s="554"/>
      <c r="F1318" s="167"/>
      <c r="G1318" s="474"/>
      <c r="H1318" s="474"/>
      <c r="J1318" s="555"/>
    </row>
    <row r="1319" spans="1:10" s="165" customFormat="1">
      <c r="A1319" s="172"/>
      <c r="B1319" s="552"/>
      <c r="C1319" s="553"/>
      <c r="D1319" s="554"/>
      <c r="E1319" s="554"/>
      <c r="F1319" s="167"/>
      <c r="G1319" s="474"/>
      <c r="H1319" s="474"/>
      <c r="J1319" s="555"/>
    </row>
    <row r="1320" spans="1:10" s="165" customFormat="1">
      <c r="A1320" s="172"/>
      <c r="B1320" s="552"/>
      <c r="C1320" s="553"/>
      <c r="D1320" s="554"/>
      <c r="E1320" s="554"/>
      <c r="F1320" s="167"/>
      <c r="G1320" s="474"/>
      <c r="H1320" s="474"/>
      <c r="J1320" s="555"/>
    </row>
    <row r="1321" spans="1:10" s="165" customFormat="1">
      <c r="A1321" s="172"/>
      <c r="B1321" s="552"/>
      <c r="C1321" s="553"/>
      <c r="D1321" s="554"/>
      <c r="E1321" s="554"/>
      <c r="F1321" s="167"/>
      <c r="G1321" s="474"/>
      <c r="H1321" s="474"/>
      <c r="J1321" s="555"/>
    </row>
    <row r="1322" spans="1:10" s="165" customFormat="1">
      <c r="A1322" s="172"/>
      <c r="B1322" s="552"/>
      <c r="C1322" s="553"/>
      <c r="D1322" s="554"/>
      <c r="E1322" s="554"/>
      <c r="F1322" s="167"/>
      <c r="G1322" s="474"/>
      <c r="H1322" s="474"/>
      <c r="J1322" s="555"/>
    </row>
    <row r="1323" spans="1:10" s="165" customFormat="1">
      <c r="A1323" s="172"/>
      <c r="B1323" s="552"/>
      <c r="C1323" s="553"/>
      <c r="D1323" s="554"/>
      <c r="E1323" s="554"/>
      <c r="F1323" s="167"/>
      <c r="G1323" s="474"/>
      <c r="H1323" s="474"/>
      <c r="J1323" s="555"/>
    </row>
    <row r="1324" spans="1:10" s="165" customFormat="1">
      <c r="A1324" s="172"/>
      <c r="B1324" s="552"/>
      <c r="C1324" s="553"/>
      <c r="D1324" s="554"/>
      <c r="E1324" s="554"/>
      <c r="F1324" s="167"/>
      <c r="G1324" s="474"/>
      <c r="H1324" s="474"/>
      <c r="J1324" s="555"/>
    </row>
    <row r="1325" spans="1:10" s="165" customFormat="1">
      <c r="A1325" s="172"/>
      <c r="B1325" s="552"/>
      <c r="C1325" s="553"/>
      <c r="D1325" s="554"/>
      <c r="E1325" s="554"/>
      <c r="F1325" s="167"/>
      <c r="G1325" s="474"/>
      <c r="H1325" s="474"/>
      <c r="J1325" s="555"/>
    </row>
    <row r="1326" spans="1:10" s="165" customFormat="1">
      <c r="A1326" s="172"/>
      <c r="B1326" s="552"/>
      <c r="C1326" s="553"/>
      <c r="D1326" s="554"/>
      <c r="E1326" s="554"/>
      <c r="F1326" s="167"/>
      <c r="G1326" s="474"/>
      <c r="H1326" s="474"/>
      <c r="J1326" s="555"/>
    </row>
    <row r="1327" spans="1:10" s="165" customFormat="1">
      <c r="A1327" s="172"/>
      <c r="B1327" s="552"/>
      <c r="C1327" s="553"/>
      <c r="D1327" s="554"/>
      <c r="E1327" s="554"/>
      <c r="F1327" s="167"/>
      <c r="G1327" s="474"/>
      <c r="H1327" s="474"/>
      <c r="J1327" s="555"/>
    </row>
    <row r="1328" spans="1:10" s="165" customFormat="1">
      <c r="A1328" s="172"/>
      <c r="B1328" s="552"/>
      <c r="C1328" s="553"/>
      <c r="D1328" s="554"/>
      <c r="E1328" s="554"/>
      <c r="F1328" s="167"/>
      <c r="G1328" s="474"/>
      <c r="H1328" s="474"/>
      <c r="J1328" s="555"/>
    </row>
    <row r="1329" spans="1:10" s="165" customFormat="1">
      <c r="A1329" s="172"/>
      <c r="B1329" s="552"/>
      <c r="C1329" s="553"/>
      <c r="D1329" s="554"/>
      <c r="E1329" s="554"/>
      <c r="F1329" s="167"/>
      <c r="G1329" s="474"/>
      <c r="H1329" s="474"/>
      <c r="J1329" s="555"/>
    </row>
    <row r="1330" spans="1:10" s="165" customFormat="1">
      <c r="A1330" s="172"/>
      <c r="B1330" s="552"/>
      <c r="C1330" s="553"/>
      <c r="D1330" s="554"/>
      <c r="E1330" s="554"/>
      <c r="F1330" s="167"/>
      <c r="G1330" s="474"/>
      <c r="H1330" s="474"/>
      <c r="J1330" s="555"/>
    </row>
    <row r="1331" spans="1:10" s="165" customFormat="1">
      <c r="A1331" s="172"/>
      <c r="B1331" s="552"/>
      <c r="C1331" s="553"/>
      <c r="D1331" s="554"/>
      <c r="E1331" s="554"/>
      <c r="F1331" s="167"/>
      <c r="G1331" s="474"/>
      <c r="H1331" s="474"/>
      <c r="J1331" s="555"/>
    </row>
    <row r="1332" spans="1:10" s="165" customFormat="1">
      <c r="A1332" s="172"/>
      <c r="B1332" s="552"/>
      <c r="C1332" s="553"/>
      <c r="D1332" s="554"/>
      <c r="E1332" s="554"/>
      <c r="F1332" s="167"/>
      <c r="G1332" s="474"/>
      <c r="H1332" s="474"/>
      <c r="J1332" s="555"/>
    </row>
    <row r="1333" spans="1:10" s="165" customFormat="1">
      <c r="A1333" s="172"/>
      <c r="B1333" s="552"/>
      <c r="C1333" s="553"/>
      <c r="D1333" s="554"/>
      <c r="E1333" s="554"/>
      <c r="F1333" s="167"/>
      <c r="G1333" s="474"/>
      <c r="H1333" s="474"/>
      <c r="J1333" s="555"/>
    </row>
    <row r="1334" spans="1:10" s="165" customFormat="1">
      <c r="A1334" s="172"/>
      <c r="B1334" s="552"/>
      <c r="C1334" s="553"/>
      <c r="D1334" s="554"/>
      <c r="E1334" s="554"/>
      <c r="F1334" s="167"/>
      <c r="G1334" s="474"/>
      <c r="H1334" s="474"/>
      <c r="J1334" s="555"/>
    </row>
    <row r="1335" spans="1:10" s="165" customFormat="1">
      <c r="A1335" s="172"/>
      <c r="B1335" s="552"/>
      <c r="C1335" s="553"/>
      <c r="D1335" s="554"/>
      <c r="E1335" s="554"/>
      <c r="F1335" s="167"/>
      <c r="G1335" s="474"/>
      <c r="H1335" s="474"/>
      <c r="J1335" s="555"/>
    </row>
    <row r="1336" spans="1:10" s="165" customFormat="1">
      <c r="A1336" s="172"/>
      <c r="B1336" s="552"/>
      <c r="C1336" s="553"/>
      <c r="D1336" s="554"/>
      <c r="E1336" s="554"/>
      <c r="F1336" s="167"/>
      <c r="G1336" s="474"/>
      <c r="H1336" s="474"/>
      <c r="J1336" s="555"/>
    </row>
    <row r="1337" spans="1:10" s="165" customFormat="1">
      <c r="A1337" s="172"/>
      <c r="B1337" s="552"/>
      <c r="C1337" s="553"/>
      <c r="D1337" s="554"/>
      <c r="E1337" s="554"/>
      <c r="F1337" s="167"/>
      <c r="G1337" s="474"/>
      <c r="H1337" s="474"/>
      <c r="J1337" s="555"/>
    </row>
    <row r="1338" spans="1:10" s="165" customFormat="1">
      <c r="A1338" s="172"/>
      <c r="B1338" s="552"/>
      <c r="C1338" s="553"/>
      <c r="D1338" s="554"/>
      <c r="E1338" s="554"/>
      <c r="F1338" s="167"/>
      <c r="G1338" s="474"/>
      <c r="H1338" s="474"/>
      <c r="J1338" s="555"/>
    </row>
    <row r="1339" spans="1:10" s="165" customFormat="1">
      <c r="A1339" s="172"/>
      <c r="B1339" s="552"/>
      <c r="C1339" s="553"/>
      <c r="D1339" s="554"/>
      <c r="E1339" s="554"/>
      <c r="F1339" s="167"/>
      <c r="G1339" s="474"/>
      <c r="H1339" s="474"/>
      <c r="J1339" s="555"/>
    </row>
    <row r="1340" spans="1:10" s="165" customFormat="1">
      <c r="A1340" s="172"/>
      <c r="B1340" s="552"/>
      <c r="C1340" s="553"/>
      <c r="D1340" s="554"/>
      <c r="E1340" s="554"/>
      <c r="F1340" s="167"/>
      <c r="G1340" s="474"/>
      <c r="H1340" s="474"/>
      <c r="J1340" s="555"/>
    </row>
    <row r="1341" spans="1:10" s="165" customFormat="1">
      <c r="A1341" s="172"/>
      <c r="B1341" s="552"/>
      <c r="C1341" s="553"/>
      <c r="D1341" s="554"/>
      <c r="E1341" s="554"/>
      <c r="F1341" s="167"/>
      <c r="G1341" s="474"/>
      <c r="H1341" s="474"/>
      <c r="J1341" s="555"/>
    </row>
    <row r="1342" spans="1:10" s="165" customFormat="1">
      <c r="A1342" s="172"/>
      <c r="B1342" s="552"/>
      <c r="C1342" s="553"/>
      <c r="D1342" s="554"/>
      <c r="E1342" s="554"/>
      <c r="F1342" s="167"/>
      <c r="G1342" s="474"/>
      <c r="H1342" s="474"/>
      <c r="J1342" s="555"/>
    </row>
    <row r="1343" spans="1:10" s="165" customFormat="1">
      <c r="A1343" s="172"/>
      <c r="B1343" s="552"/>
      <c r="C1343" s="553"/>
      <c r="D1343" s="554"/>
      <c r="E1343" s="554"/>
      <c r="F1343" s="167"/>
      <c r="G1343" s="474"/>
      <c r="H1343" s="474"/>
      <c r="J1343" s="555"/>
    </row>
    <row r="1344" spans="1:10" s="165" customFormat="1">
      <c r="A1344" s="172"/>
      <c r="B1344" s="552"/>
      <c r="C1344" s="553"/>
      <c r="D1344" s="554"/>
      <c r="E1344" s="554"/>
      <c r="F1344" s="167"/>
      <c r="G1344" s="474"/>
      <c r="H1344" s="474"/>
      <c r="J1344" s="555"/>
    </row>
    <row r="1345" spans="1:10" s="165" customFormat="1">
      <c r="A1345" s="172"/>
      <c r="B1345" s="552"/>
      <c r="C1345" s="553"/>
      <c r="D1345" s="554"/>
      <c r="E1345" s="554"/>
      <c r="F1345" s="167"/>
      <c r="G1345" s="474"/>
      <c r="H1345" s="474"/>
      <c r="J1345" s="555"/>
    </row>
    <row r="1346" spans="1:10" s="165" customFormat="1">
      <c r="A1346" s="172"/>
      <c r="B1346" s="552"/>
      <c r="C1346" s="553"/>
      <c r="D1346" s="554"/>
      <c r="E1346" s="554"/>
      <c r="F1346" s="167"/>
      <c r="G1346" s="474"/>
      <c r="H1346" s="474"/>
      <c r="J1346" s="555"/>
    </row>
    <row r="1347" spans="1:10" s="165" customFormat="1">
      <c r="A1347" s="172"/>
      <c r="B1347" s="552"/>
      <c r="C1347" s="553"/>
      <c r="D1347" s="554"/>
      <c r="E1347" s="554"/>
      <c r="F1347" s="167"/>
      <c r="G1347" s="474"/>
      <c r="H1347" s="474"/>
      <c r="J1347" s="555"/>
    </row>
    <row r="1348" spans="1:10" s="165" customFormat="1">
      <c r="A1348" s="172"/>
      <c r="B1348" s="552"/>
      <c r="C1348" s="553"/>
      <c r="D1348" s="554"/>
      <c r="E1348" s="554"/>
      <c r="F1348" s="167"/>
      <c r="G1348" s="474"/>
      <c r="H1348" s="474"/>
      <c r="J1348" s="555"/>
    </row>
    <row r="1349" spans="1:10" s="165" customFormat="1">
      <c r="A1349" s="172"/>
      <c r="B1349" s="552"/>
      <c r="C1349" s="553"/>
      <c r="D1349" s="554"/>
      <c r="E1349" s="554"/>
      <c r="F1349" s="167"/>
      <c r="G1349" s="474"/>
      <c r="H1349" s="474"/>
      <c r="J1349" s="555"/>
    </row>
    <row r="1350" spans="1:10" s="165" customFormat="1">
      <c r="A1350" s="172"/>
      <c r="B1350" s="552"/>
      <c r="C1350" s="553"/>
      <c r="D1350" s="554"/>
      <c r="E1350" s="554"/>
      <c r="F1350" s="167"/>
      <c r="G1350" s="474"/>
      <c r="H1350" s="474"/>
      <c r="J1350" s="555"/>
    </row>
    <row r="1351" spans="1:10" s="165" customFormat="1">
      <c r="A1351" s="172"/>
      <c r="B1351" s="552"/>
      <c r="C1351" s="553"/>
      <c r="D1351" s="554"/>
      <c r="E1351" s="554"/>
      <c r="F1351" s="167"/>
      <c r="G1351" s="474"/>
      <c r="H1351" s="474"/>
      <c r="J1351" s="555"/>
    </row>
    <row r="1352" spans="1:10" s="165" customFormat="1">
      <c r="A1352" s="172"/>
      <c r="B1352" s="552"/>
      <c r="C1352" s="553"/>
      <c r="D1352" s="554"/>
      <c r="E1352" s="554"/>
      <c r="F1352" s="167"/>
      <c r="G1352" s="474"/>
      <c r="H1352" s="474"/>
      <c r="J1352" s="555"/>
    </row>
    <row r="1353" spans="1:10" s="165" customFormat="1">
      <c r="A1353" s="172"/>
      <c r="B1353" s="552"/>
      <c r="C1353" s="553"/>
      <c r="D1353" s="554"/>
      <c r="E1353" s="554"/>
      <c r="F1353" s="167"/>
      <c r="G1353" s="474"/>
      <c r="H1353" s="474"/>
      <c r="J1353" s="555"/>
    </row>
    <row r="1354" spans="1:10" s="165" customFormat="1">
      <c r="A1354" s="172"/>
      <c r="B1354" s="552"/>
      <c r="C1354" s="553"/>
      <c r="D1354" s="554"/>
      <c r="E1354" s="554"/>
      <c r="F1354" s="167"/>
      <c r="G1354" s="474"/>
      <c r="H1354" s="474"/>
      <c r="J1354" s="555"/>
    </row>
    <row r="1355" spans="1:10" s="165" customFormat="1">
      <c r="A1355" s="172"/>
      <c r="B1355" s="552"/>
      <c r="C1355" s="553"/>
      <c r="D1355" s="554"/>
      <c r="E1355" s="554"/>
      <c r="F1355" s="167"/>
      <c r="G1355" s="474"/>
      <c r="H1355" s="474"/>
      <c r="J1355" s="555"/>
    </row>
    <row r="1356" spans="1:10" s="165" customFormat="1">
      <c r="A1356" s="172"/>
      <c r="B1356" s="552"/>
      <c r="C1356" s="553"/>
      <c r="D1356" s="554"/>
      <c r="E1356" s="554"/>
      <c r="F1356" s="167"/>
      <c r="G1356" s="474"/>
      <c r="H1356" s="474"/>
      <c r="J1356" s="555"/>
    </row>
    <row r="1357" spans="1:10" s="165" customFormat="1">
      <c r="A1357" s="172"/>
      <c r="B1357" s="552"/>
      <c r="C1357" s="553"/>
      <c r="D1357" s="554"/>
      <c r="E1357" s="554"/>
      <c r="F1357" s="167"/>
      <c r="G1357" s="474"/>
      <c r="H1357" s="474"/>
      <c r="J1357" s="555"/>
    </row>
    <row r="1358" spans="1:10" s="165" customFormat="1">
      <c r="A1358" s="172"/>
      <c r="B1358" s="552"/>
      <c r="C1358" s="553"/>
      <c r="D1358" s="554"/>
      <c r="E1358" s="554"/>
      <c r="F1358" s="167"/>
      <c r="G1358" s="474"/>
      <c r="H1358" s="474"/>
      <c r="J1358" s="555"/>
    </row>
    <row r="1359" spans="1:10" s="165" customFormat="1">
      <c r="A1359" s="172"/>
      <c r="B1359" s="552"/>
      <c r="C1359" s="553"/>
      <c r="D1359" s="554"/>
      <c r="E1359" s="554"/>
      <c r="F1359" s="167"/>
      <c r="G1359" s="474"/>
      <c r="H1359" s="474"/>
      <c r="J1359" s="555"/>
    </row>
    <row r="1360" spans="1:10" s="165" customFormat="1">
      <c r="A1360" s="172"/>
      <c r="B1360" s="552"/>
      <c r="C1360" s="553"/>
      <c r="D1360" s="554"/>
      <c r="E1360" s="554"/>
      <c r="F1360" s="167"/>
      <c r="G1360" s="474"/>
      <c r="H1360" s="474"/>
      <c r="J1360" s="555"/>
    </row>
    <row r="1361" spans="1:10" s="165" customFormat="1">
      <c r="A1361" s="172"/>
      <c r="B1361" s="552"/>
      <c r="C1361" s="553"/>
      <c r="D1361" s="554"/>
      <c r="E1361" s="554"/>
      <c r="F1361" s="167"/>
      <c r="G1361" s="474"/>
      <c r="H1361" s="474"/>
      <c r="J1361" s="555"/>
    </row>
    <row r="1362" spans="1:10" s="165" customFormat="1">
      <c r="A1362" s="172"/>
      <c r="B1362" s="552"/>
      <c r="C1362" s="553"/>
      <c r="D1362" s="554"/>
      <c r="E1362" s="554"/>
      <c r="F1362" s="167"/>
      <c r="G1362" s="474"/>
      <c r="H1362" s="474"/>
      <c r="J1362" s="555"/>
    </row>
    <row r="1363" spans="1:10" s="165" customFormat="1">
      <c r="A1363" s="172"/>
      <c r="B1363" s="552"/>
      <c r="C1363" s="553"/>
      <c r="D1363" s="554"/>
      <c r="E1363" s="554"/>
      <c r="F1363" s="167"/>
      <c r="G1363" s="474"/>
      <c r="H1363" s="474"/>
      <c r="J1363" s="555"/>
    </row>
    <row r="1364" spans="1:10" s="165" customFormat="1">
      <c r="A1364" s="172"/>
      <c r="B1364" s="552"/>
      <c r="C1364" s="553"/>
      <c r="D1364" s="554"/>
      <c r="E1364" s="554"/>
      <c r="F1364" s="167"/>
      <c r="G1364" s="474"/>
      <c r="H1364" s="474"/>
      <c r="J1364" s="555"/>
    </row>
    <row r="1365" spans="1:10" s="165" customFormat="1">
      <c r="A1365" s="172"/>
      <c r="B1365" s="552"/>
      <c r="C1365" s="553"/>
      <c r="D1365" s="554"/>
      <c r="E1365" s="554"/>
      <c r="F1365" s="167"/>
      <c r="G1365" s="474"/>
      <c r="H1365" s="474"/>
      <c r="J1365" s="555"/>
    </row>
    <row r="1366" spans="1:10" s="165" customFormat="1">
      <c r="A1366" s="172"/>
      <c r="B1366" s="552"/>
      <c r="C1366" s="553"/>
      <c r="D1366" s="554"/>
      <c r="E1366" s="554"/>
      <c r="F1366" s="167"/>
      <c r="G1366" s="474"/>
      <c r="H1366" s="474"/>
      <c r="J1366" s="555"/>
    </row>
    <row r="1367" spans="1:10" s="165" customFormat="1">
      <c r="A1367" s="172"/>
      <c r="B1367" s="552"/>
      <c r="C1367" s="553"/>
      <c r="D1367" s="554"/>
      <c r="E1367" s="554"/>
      <c r="F1367" s="167"/>
      <c r="G1367" s="474"/>
      <c r="H1367" s="474"/>
      <c r="J1367" s="555"/>
    </row>
    <row r="1368" spans="1:10" s="165" customFormat="1">
      <c r="A1368" s="172"/>
      <c r="B1368" s="552"/>
      <c r="C1368" s="553"/>
      <c r="D1368" s="554"/>
      <c r="E1368" s="554"/>
      <c r="F1368" s="167"/>
      <c r="G1368" s="474"/>
      <c r="H1368" s="474"/>
      <c r="J1368" s="555"/>
    </row>
    <row r="1369" spans="1:10" s="165" customFormat="1">
      <c r="A1369" s="172"/>
      <c r="B1369" s="552"/>
      <c r="C1369" s="553"/>
      <c r="D1369" s="554"/>
      <c r="E1369" s="554"/>
      <c r="F1369" s="167"/>
      <c r="G1369" s="474"/>
      <c r="H1369" s="474"/>
      <c r="J1369" s="555"/>
    </row>
    <row r="1370" spans="1:10" s="165" customFormat="1">
      <c r="A1370" s="172"/>
      <c r="B1370" s="552"/>
      <c r="C1370" s="553"/>
      <c r="D1370" s="554"/>
      <c r="E1370" s="554"/>
      <c r="F1370" s="167"/>
      <c r="G1370" s="474"/>
      <c r="H1370" s="474"/>
      <c r="J1370" s="555"/>
    </row>
    <row r="1371" spans="1:10" s="165" customFormat="1">
      <c r="A1371" s="172"/>
      <c r="B1371" s="552"/>
      <c r="C1371" s="553"/>
      <c r="D1371" s="554"/>
      <c r="E1371" s="554"/>
      <c r="F1371" s="167"/>
      <c r="G1371" s="474"/>
      <c r="H1371" s="474"/>
      <c r="J1371" s="555"/>
    </row>
    <row r="1372" spans="1:10" s="165" customFormat="1">
      <c r="A1372" s="172"/>
      <c r="B1372" s="552"/>
      <c r="C1372" s="553"/>
      <c r="D1372" s="554"/>
      <c r="E1372" s="554"/>
      <c r="F1372" s="167"/>
      <c r="G1372" s="474"/>
      <c r="H1372" s="474"/>
      <c r="J1372" s="555"/>
    </row>
    <row r="1373" spans="1:10" s="165" customFormat="1">
      <c r="A1373" s="172"/>
      <c r="B1373" s="552"/>
      <c r="C1373" s="553"/>
      <c r="D1373" s="554"/>
      <c r="E1373" s="554"/>
      <c r="F1373" s="167"/>
      <c r="G1373" s="474"/>
      <c r="H1373" s="474"/>
      <c r="J1373" s="555"/>
    </row>
    <row r="1374" spans="1:10" s="165" customFormat="1">
      <c r="A1374" s="172"/>
      <c r="B1374" s="552"/>
      <c r="C1374" s="553"/>
      <c r="D1374" s="554"/>
      <c r="E1374" s="554"/>
      <c r="F1374" s="167"/>
      <c r="G1374" s="474"/>
      <c r="H1374" s="474"/>
      <c r="J1374" s="555"/>
    </row>
    <row r="1375" spans="1:10" s="165" customFormat="1">
      <c r="A1375" s="172"/>
      <c r="B1375" s="552"/>
      <c r="C1375" s="553"/>
      <c r="D1375" s="554"/>
      <c r="E1375" s="554"/>
      <c r="F1375" s="167"/>
      <c r="G1375" s="474"/>
      <c r="H1375" s="474"/>
      <c r="J1375" s="555"/>
    </row>
    <row r="1376" spans="1:10" s="165" customFormat="1">
      <c r="A1376" s="172"/>
      <c r="B1376" s="552"/>
      <c r="C1376" s="553"/>
      <c r="D1376" s="554"/>
      <c r="E1376" s="554"/>
      <c r="F1376" s="167"/>
      <c r="G1376" s="474"/>
      <c r="H1376" s="474"/>
      <c r="J1376" s="555"/>
    </row>
    <row r="1377" spans="1:10" s="165" customFormat="1">
      <c r="A1377" s="172"/>
      <c r="B1377" s="552"/>
      <c r="C1377" s="553"/>
      <c r="D1377" s="554"/>
      <c r="E1377" s="554"/>
      <c r="F1377" s="167"/>
      <c r="G1377" s="474"/>
      <c r="H1377" s="474"/>
      <c r="J1377" s="555"/>
    </row>
    <row r="1378" spans="1:10" s="165" customFormat="1">
      <c r="A1378" s="172"/>
      <c r="B1378" s="552"/>
      <c r="C1378" s="553"/>
      <c r="D1378" s="554"/>
      <c r="E1378" s="554"/>
      <c r="F1378" s="167"/>
      <c r="G1378" s="474"/>
      <c r="H1378" s="474"/>
      <c r="J1378" s="555"/>
    </row>
    <row r="1379" spans="1:10" s="165" customFormat="1">
      <c r="A1379" s="172"/>
      <c r="B1379" s="552"/>
      <c r="C1379" s="553"/>
      <c r="D1379" s="554"/>
      <c r="E1379" s="554"/>
      <c r="F1379" s="167"/>
      <c r="G1379" s="474"/>
      <c r="H1379" s="474"/>
      <c r="J1379" s="555"/>
    </row>
    <row r="1380" spans="1:10" s="165" customFormat="1">
      <c r="A1380" s="172"/>
      <c r="B1380" s="552"/>
      <c r="C1380" s="553"/>
      <c r="D1380" s="554"/>
      <c r="E1380" s="554"/>
      <c r="F1380" s="167"/>
      <c r="G1380" s="474"/>
      <c r="H1380" s="474"/>
      <c r="J1380" s="555"/>
    </row>
    <row r="1381" spans="1:10" s="165" customFormat="1">
      <c r="A1381" s="172"/>
      <c r="B1381" s="552"/>
      <c r="C1381" s="553"/>
      <c r="D1381" s="554"/>
      <c r="E1381" s="554"/>
      <c r="F1381" s="167"/>
      <c r="G1381" s="474"/>
      <c r="H1381" s="474"/>
      <c r="J1381" s="555"/>
    </row>
    <row r="1382" spans="1:10" s="165" customFormat="1">
      <c r="A1382" s="172"/>
      <c r="B1382" s="552"/>
      <c r="C1382" s="553"/>
      <c r="D1382" s="554"/>
      <c r="E1382" s="554"/>
      <c r="F1382" s="167"/>
      <c r="G1382" s="474"/>
      <c r="H1382" s="474"/>
      <c r="J1382" s="555"/>
    </row>
    <row r="1383" spans="1:10" s="165" customFormat="1">
      <c r="A1383" s="172"/>
      <c r="B1383" s="552"/>
      <c r="C1383" s="553"/>
      <c r="D1383" s="554"/>
      <c r="E1383" s="554"/>
      <c r="F1383" s="167"/>
      <c r="G1383" s="474"/>
      <c r="H1383" s="474"/>
      <c r="J1383" s="555"/>
    </row>
    <row r="1384" spans="1:10" s="165" customFormat="1">
      <c r="A1384" s="172"/>
      <c r="B1384" s="552"/>
      <c r="C1384" s="553"/>
      <c r="D1384" s="554"/>
      <c r="E1384" s="554"/>
      <c r="F1384" s="167"/>
      <c r="G1384" s="474"/>
      <c r="H1384" s="474"/>
      <c r="J1384" s="555"/>
    </row>
    <row r="1385" spans="1:10" s="165" customFormat="1">
      <c r="A1385" s="172"/>
      <c r="B1385" s="552"/>
      <c r="C1385" s="553"/>
      <c r="D1385" s="554"/>
      <c r="E1385" s="554"/>
      <c r="F1385" s="167"/>
      <c r="G1385" s="474"/>
      <c r="H1385" s="474"/>
      <c r="J1385" s="555"/>
    </row>
    <row r="1386" spans="1:10" s="165" customFormat="1">
      <c r="A1386" s="172"/>
      <c r="B1386" s="552"/>
      <c r="C1386" s="553"/>
      <c r="D1386" s="554"/>
      <c r="E1386" s="554"/>
      <c r="F1386" s="167"/>
      <c r="G1386" s="474"/>
      <c r="H1386" s="474"/>
      <c r="J1386" s="555"/>
    </row>
    <row r="1387" spans="1:10" s="165" customFormat="1">
      <c r="A1387" s="172"/>
      <c r="B1387" s="552"/>
      <c r="C1387" s="553"/>
      <c r="D1387" s="554"/>
      <c r="E1387" s="554"/>
      <c r="F1387" s="167"/>
      <c r="G1387" s="474"/>
      <c r="H1387" s="474"/>
      <c r="J1387" s="555"/>
    </row>
    <row r="1388" spans="1:10" s="165" customFormat="1">
      <c r="A1388" s="172"/>
      <c r="B1388" s="552"/>
      <c r="C1388" s="553"/>
      <c r="D1388" s="554"/>
      <c r="E1388" s="554"/>
      <c r="F1388" s="167"/>
      <c r="G1388" s="474"/>
      <c r="H1388" s="474"/>
      <c r="J1388" s="555"/>
    </row>
    <row r="1389" spans="1:10" s="165" customFormat="1">
      <c r="A1389" s="172"/>
      <c r="B1389" s="552"/>
      <c r="C1389" s="553"/>
      <c r="D1389" s="554"/>
      <c r="E1389" s="554"/>
      <c r="F1389" s="167"/>
      <c r="G1389" s="474"/>
      <c r="H1389" s="474"/>
      <c r="J1389" s="555"/>
    </row>
    <row r="1390" spans="1:10" s="165" customFormat="1">
      <c r="A1390" s="172"/>
      <c r="B1390" s="552"/>
      <c r="C1390" s="553"/>
      <c r="D1390" s="554"/>
      <c r="E1390" s="554"/>
      <c r="F1390" s="167"/>
      <c r="G1390" s="474"/>
      <c r="H1390" s="474"/>
      <c r="J1390" s="555"/>
    </row>
    <row r="1391" spans="1:10" s="165" customFormat="1">
      <c r="A1391" s="172"/>
      <c r="B1391" s="552"/>
      <c r="C1391" s="553"/>
      <c r="D1391" s="554"/>
      <c r="E1391" s="554"/>
      <c r="F1391" s="167"/>
      <c r="G1391" s="474"/>
      <c r="H1391" s="474"/>
      <c r="J1391" s="555"/>
    </row>
    <row r="1392" spans="1:10" s="165" customFormat="1">
      <c r="A1392" s="172"/>
      <c r="B1392" s="552"/>
      <c r="C1392" s="553"/>
      <c r="D1392" s="554"/>
      <c r="E1392" s="554"/>
      <c r="F1392" s="167"/>
      <c r="G1392" s="474"/>
      <c r="H1392" s="474"/>
      <c r="J1392" s="555"/>
    </row>
    <row r="1393" spans="1:10" s="165" customFormat="1">
      <c r="A1393" s="172"/>
      <c r="B1393" s="552"/>
      <c r="C1393" s="553"/>
      <c r="D1393" s="554"/>
      <c r="E1393" s="554"/>
      <c r="F1393" s="167"/>
      <c r="G1393" s="474"/>
      <c r="H1393" s="474"/>
      <c r="J1393" s="555"/>
    </row>
    <row r="1394" spans="1:10" s="165" customFormat="1">
      <c r="A1394" s="172"/>
      <c r="B1394" s="552"/>
      <c r="C1394" s="553"/>
      <c r="D1394" s="554"/>
      <c r="E1394" s="554"/>
      <c r="F1394" s="167"/>
      <c r="G1394" s="474"/>
      <c r="H1394" s="474"/>
      <c r="J1394" s="555"/>
    </row>
    <row r="1395" spans="1:10" s="165" customFormat="1">
      <c r="A1395" s="172"/>
      <c r="B1395" s="552"/>
      <c r="C1395" s="553"/>
      <c r="D1395" s="554"/>
      <c r="E1395" s="554"/>
      <c r="F1395" s="167"/>
      <c r="G1395" s="474"/>
      <c r="H1395" s="474"/>
      <c r="J1395" s="555"/>
    </row>
    <row r="1396" spans="1:10" s="165" customFormat="1">
      <c r="A1396" s="172"/>
      <c r="B1396" s="552"/>
      <c r="C1396" s="553"/>
      <c r="D1396" s="554"/>
      <c r="E1396" s="554"/>
      <c r="F1396" s="167"/>
      <c r="G1396" s="474"/>
      <c r="H1396" s="474"/>
      <c r="J1396" s="555"/>
    </row>
    <row r="1397" spans="1:10" s="165" customFormat="1">
      <c r="A1397" s="172"/>
      <c r="B1397" s="552"/>
      <c r="C1397" s="553"/>
      <c r="D1397" s="554"/>
      <c r="E1397" s="554"/>
      <c r="F1397" s="167"/>
      <c r="G1397" s="474"/>
      <c r="H1397" s="474"/>
      <c r="J1397" s="555"/>
    </row>
    <row r="1398" spans="1:10" s="165" customFormat="1">
      <c r="A1398" s="172"/>
      <c r="B1398" s="552"/>
      <c r="C1398" s="553"/>
      <c r="D1398" s="554"/>
      <c r="E1398" s="554"/>
      <c r="F1398" s="167"/>
      <c r="G1398" s="474"/>
      <c r="H1398" s="474"/>
      <c r="J1398" s="555"/>
    </row>
    <row r="1399" spans="1:10" s="165" customFormat="1">
      <c r="A1399" s="172"/>
      <c r="B1399" s="552"/>
      <c r="C1399" s="553"/>
      <c r="D1399" s="554"/>
      <c r="E1399" s="554"/>
      <c r="F1399" s="167"/>
      <c r="G1399" s="474"/>
      <c r="H1399" s="474"/>
      <c r="J1399" s="555"/>
    </row>
    <row r="1400" spans="1:10" s="165" customFormat="1">
      <c r="A1400" s="172"/>
      <c r="B1400" s="552"/>
      <c r="C1400" s="553"/>
      <c r="D1400" s="554"/>
      <c r="E1400" s="554"/>
      <c r="F1400" s="167"/>
      <c r="G1400" s="474"/>
      <c r="H1400" s="474"/>
      <c r="J1400" s="555"/>
    </row>
    <row r="1401" spans="1:10" s="165" customFormat="1">
      <c r="A1401" s="172"/>
      <c r="B1401" s="552"/>
      <c r="C1401" s="553"/>
      <c r="D1401" s="554"/>
      <c r="E1401" s="554"/>
      <c r="F1401" s="167"/>
      <c r="G1401" s="474"/>
      <c r="H1401" s="474"/>
      <c r="J1401" s="555"/>
    </row>
    <row r="1402" spans="1:10" s="165" customFormat="1">
      <c r="A1402" s="172"/>
      <c r="B1402" s="552"/>
      <c r="C1402" s="553"/>
      <c r="D1402" s="554"/>
      <c r="E1402" s="554"/>
      <c r="F1402" s="167"/>
      <c r="G1402" s="474"/>
      <c r="H1402" s="474"/>
      <c r="J1402" s="555"/>
    </row>
    <row r="1403" spans="1:10" s="165" customFormat="1">
      <c r="A1403" s="172"/>
      <c r="B1403" s="552"/>
      <c r="C1403" s="553"/>
      <c r="D1403" s="554"/>
      <c r="E1403" s="554"/>
      <c r="F1403" s="167"/>
      <c r="G1403" s="474"/>
      <c r="H1403" s="474"/>
      <c r="J1403" s="555"/>
    </row>
    <row r="1404" spans="1:10" s="165" customFormat="1">
      <c r="A1404" s="172"/>
      <c r="B1404" s="552"/>
      <c r="C1404" s="553"/>
      <c r="D1404" s="554"/>
      <c r="E1404" s="554"/>
      <c r="F1404" s="167"/>
      <c r="G1404" s="474"/>
      <c r="H1404" s="474"/>
      <c r="J1404" s="555"/>
    </row>
    <row r="1405" spans="1:10" s="165" customFormat="1">
      <c r="A1405" s="172"/>
      <c r="B1405" s="552"/>
      <c r="C1405" s="553"/>
      <c r="D1405" s="554"/>
      <c r="E1405" s="554"/>
      <c r="F1405" s="167"/>
      <c r="G1405" s="474"/>
      <c r="H1405" s="474"/>
      <c r="J1405" s="555"/>
    </row>
    <row r="1406" spans="1:10" s="165" customFormat="1">
      <c r="A1406" s="172"/>
      <c r="B1406" s="552"/>
      <c r="C1406" s="553"/>
      <c r="D1406" s="554"/>
      <c r="E1406" s="554"/>
      <c r="F1406" s="167"/>
      <c r="G1406" s="474"/>
      <c r="H1406" s="474"/>
      <c r="J1406" s="555"/>
    </row>
    <row r="1407" spans="1:10" s="165" customFormat="1">
      <c r="A1407" s="172"/>
      <c r="B1407" s="552"/>
      <c r="C1407" s="553"/>
      <c r="D1407" s="554"/>
      <c r="E1407" s="554"/>
      <c r="F1407" s="167"/>
      <c r="G1407" s="474"/>
      <c r="H1407" s="474"/>
      <c r="J1407" s="555"/>
    </row>
    <row r="1408" spans="1:10" s="165" customFormat="1">
      <c r="A1408" s="172"/>
      <c r="B1408" s="552"/>
      <c r="C1408" s="553"/>
      <c r="D1408" s="554"/>
      <c r="E1408" s="554"/>
      <c r="F1408" s="167"/>
      <c r="G1408" s="474"/>
      <c r="H1408" s="474"/>
      <c r="J1408" s="555"/>
    </row>
    <row r="1409" spans="1:10" s="165" customFormat="1">
      <c r="A1409" s="172"/>
      <c r="B1409" s="552"/>
      <c r="C1409" s="553"/>
      <c r="D1409" s="554"/>
      <c r="E1409" s="554"/>
      <c r="F1409" s="167"/>
      <c r="G1409" s="474"/>
      <c r="H1409" s="474"/>
      <c r="J1409" s="555"/>
    </row>
    <row r="1410" spans="1:10" s="165" customFormat="1">
      <c r="A1410" s="172"/>
      <c r="B1410" s="552"/>
      <c r="C1410" s="553"/>
      <c r="D1410" s="554"/>
      <c r="E1410" s="554"/>
      <c r="F1410" s="167"/>
      <c r="G1410" s="474"/>
      <c r="H1410" s="474"/>
      <c r="J1410" s="555"/>
    </row>
    <row r="1411" spans="1:10" s="165" customFormat="1">
      <c r="A1411" s="172"/>
      <c r="B1411" s="552"/>
      <c r="C1411" s="553"/>
      <c r="D1411" s="554"/>
      <c r="E1411" s="554"/>
      <c r="F1411" s="167"/>
      <c r="G1411" s="474"/>
      <c r="H1411" s="474"/>
      <c r="J1411" s="555"/>
    </row>
    <row r="1412" spans="1:10" s="165" customFormat="1">
      <c r="A1412" s="172"/>
      <c r="B1412" s="552"/>
      <c r="C1412" s="553"/>
      <c r="D1412" s="554"/>
      <c r="E1412" s="554"/>
      <c r="F1412" s="167"/>
      <c r="G1412" s="474"/>
      <c r="H1412" s="474"/>
      <c r="J1412" s="555"/>
    </row>
    <row r="1413" spans="1:10" s="165" customFormat="1">
      <c r="A1413" s="172"/>
      <c r="B1413" s="552"/>
      <c r="C1413" s="553"/>
      <c r="D1413" s="554"/>
      <c r="E1413" s="554"/>
      <c r="F1413" s="167"/>
      <c r="G1413" s="474"/>
      <c r="H1413" s="474"/>
      <c r="J1413" s="555"/>
    </row>
    <row r="1414" spans="1:10" s="165" customFormat="1">
      <c r="A1414" s="172"/>
      <c r="B1414" s="552"/>
      <c r="C1414" s="553"/>
      <c r="D1414" s="554"/>
      <c r="E1414" s="554"/>
      <c r="F1414" s="167"/>
      <c r="G1414" s="474"/>
      <c r="H1414" s="474"/>
      <c r="J1414" s="555"/>
    </row>
    <row r="1415" spans="1:10" s="165" customFormat="1">
      <c r="A1415" s="172"/>
      <c r="B1415" s="552"/>
      <c r="C1415" s="553"/>
      <c r="D1415" s="554"/>
      <c r="E1415" s="554"/>
      <c r="F1415" s="167"/>
      <c r="G1415" s="474"/>
      <c r="H1415" s="474"/>
      <c r="J1415" s="555"/>
    </row>
    <row r="1416" spans="1:10" s="165" customFormat="1">
      <c r="A1416" s="172"/>
      <c r="B1416" s="552"/>
      <c r="C1416" s="553"/>
      <c r="D1416" s="554"/>
      <c r="E1416" s="554"/>
      <c r="F1416" s="167"/>
      <c r="G1416" s="474"/>
      <c r="H1416" s="474"/>
      <c r="J1416" s="555"/>
    </row>
    <row r="1417" spans="1:10" s="165" customFormat="1">
      <c r="A1417" s="172"/>
      <c r="B1417" s="552"/>
      <c r="C1417" s="553"/>
      <c r="D1417" s="554"/>
      <c r="E1417" s="554"/>
      <c r="F1417" s="167"/>
      <c r="G1417" s="474"/>
      <c r="H1417" s="474"/>
      <c r="J1417" s="555"/>
    </row>
    <row r="1418" spans="1:10" s="165" customFormat="1">
      <c r="A1418" s="172"/>
      <c r="B1418" s="552"/>
      <c r="C1418" s="553"/>
      <c r="D1418" s="554"/>
      <c r="E1418" s="554"/>
      <c r="F1418" s="167"/>
      <c r="G1418" s="474"/>
      <c r="H1418" s="474"/>
      <c r="J1418" s="555"/>
    </row>
    <row r="1419" spans="1:10" s="165" customFormat="1">
      <c r="A1419" s="172"/>
      <c r="B1419" s="552"/>
      <c r="C1419" s="553"/>
      <c r="D1419" s="554"/>
      <c r="E1419" s="554"/>
      <c r="F1419" s="167"/>
      <c r="G1419" s="474"/>
      <c r="H1419" s="474"/>
      <c r="J1419" s="555"/>
    </row>
    <row r="1420" spans="1:10" s="165" customFormat="1">
      <c r="A1420" s="172"/>
      <c r="B1420" s="552"/>
      <c r="C1420" s="553"/>
      <c r="D1420" s="554"/>
      <c r="E1420" s="554"/>
      <c r="F1420" s="167"/>
      <c r="G1420" s="474"/>
      <c r="H1420" s="474"/>
      <c r="J1420" s="555"/>
    </row>
    <row r="1421" spans="1:10" s="165" customFormat="1">
      <c r="A1421" s="172"/>
      <c r="B1421" s="552"/>
      <c r="C1421" s="553"/>
      <c r="D1421" s="554"/>
      <c r="E1421" s="554"/>
      <c r="F1421" s="167"/>
      <c r="G1421" s="474"/>
      <c r="H1421" s="474"/>
      <c r="J1421" s="555"/>
    </row>
    <row r="1422" spans="1:10" s="165" customFormat="1">
      <c r="A1422" s="172"/>
      <c r="B1422" s="552"/>
      <c r="C1422" s="553"/>
      <c r="D1422" s="554"/>
      <c r="E1422" s="554"/>
      <c r="F1422" s="167"/>
      <c r="G1422" s="474"/>
      <c r="H1422" s="474"/>
      <c r="J1422" s="555"/>
    </row>
    <row r="1423" spans="1:10" s="165" customFormat="1">
      <c r="A1423" s="172"/>
      <c r="B1423" s="552"/>
      <c r="C1423" s="553"/>
      <c r="D1423" s="554"/>
      <c r="E1423" s="554"/>
      <c r="F1423" s="167"/>
      <c r="G1423" s="474"/>
      <c r="H1423" s="474"/>
      <c r="J1423" s="555"/>
    </row>
    <row r="1424" spans="1:10" s="165" customFormat="1">
      <c r="A1424" s="172"/>
      <c r="B1424" s="552"/>
      <c r="C1424" s="553"/>
      <c r="D1424" s="554"/>
      <c r="E1424" s="554"/>
      <c r="F1424" s="167"/>
      <c r="G1424" s="474"/>
      <c r="H1424" s="474"/>
      <c r="J1424" s="555"/>
    </row>
    <row r="1425" spans="1:10" s="165" customFormat="1">
      <c r="A1425" s="172"/>
      <c r="B1425" s="552"/>
      <c r="C1425" s="553"/>
      <c r="D1425" s="554"/>
      <c r="E1425" s="554"/>
      <c r="F1425" s="167"/>
      <c r="G1425" s="474"/>
      <c r="H1425" s="474"/>
      <c r="J1425" s="555"/>
    </row>
    <row r="1426" spans="1:10" s="165" customFormat="1">
      <c r="A1426" s="172"/>
      <c r="B1426" s="552"/>
      <c r="C1426" s="553"/>
      <c r="D1426" s="554"/>
      <c r="E1426" s="554"/>
      <c r="F1426" s="167"/>
      <c r="G1426" s="474"/>
      <c r="H1426" s="474"/>
      <c r="J1426" s="555"/>
    </row>
    <row r="1427" spans="1:10" s="165" customFormat="1">
      <c r="A1427" s="172"/>
      <c r="B1427" s="552"/>
      <c r="C1427" s="553"/>
      <c r="D1427" s="554"/>
      <c r="E1427" s="554"/>
      <c r="F1427" s="167"/>
      <c r="G1427" s="474"/>
      <c r="H1427" s="474"/>
      <c r="J1427" s="555"/>
    </row>
    <row r="1428" spans="1:10" s="165" customFormat="1">
      <c r="A1428" s="172"/>
      <c r="B1428" s="552"/>
      <c r="C1428" s="553"/>
      <c r="D1428" s="554"/>
      <c r="E1428" s="554"/>
      <c r="F1428" s="167"/>
      <c r="G1428" s="474"/>
      <c r="H1428" s="474"/>
      <c r="J1428" s="555"/>
    </row>
    <row r="1429" spans="1:10" s="165" customFormat="1">
      <c r="A1429" s="172"/>
      <c r="B1429" s="552"/>
      <c r="C1429" s="553"/>
      <c r="D1429" s="554"/>
      <c r="E1429" s="554"/>
      <c r="F1429" s="167"/>
      <c r="G1429" s="474"/>
      <c r="H1429" s="474"/>
      <c r="J1429" s="555"/>
    </row>
    <row r="1430" spans="1:10" s="165" customFormat="1">
      <c r="A1430" s="172"/>
      <c r="B1430" s="552"/>
      <c r="C1430" s="553"/>
      <c r="D1430" s="554"/>
      <c r="E1430" s="554"/>
      <c r="F1430" s="167"/>
      <c r="G1430" s="474"/>
      <c r="H1430" s="474"/>
      <c r="J1430" s="555"/>
    </row>
    <row r="1431" spans="1:10" s="165" customFormat="1">
      <c r="A1431" s="172"/>
      <c r="B1431" s="552"/>
      <c r="C1431" s="553"/>
      <c r="D1431" s="554"/>
      <c r="E1431" s="554"/>
      <c r="F1431" s="167"/>
      <c r="G1431" s="474"/>
      <c r="H1431" s="474"/>
      <c r="J1431" s="555"/>
    </row>
    <row r="1432" spans="1:10" s="165" customFormat="1">
      <c r="A1432" s="172"/>
      <c r="B1432" s="552"/>
      <c r="C1432" s="553"/>
      <c r="D1432" s="554"/>
      <c r="E1432" s="554"/>
      <c r="F1432" s="167"/>
      <c r="G1432" s="474"/>
      <c r="H1432" s="474"/>
      <c r="J1432" s="555"/>
    </row>
    <row r="1433" spans="1:10" s="165" customFormat="1">
      <c r="A1433" s="172"/>
      <c r="B1433" s="552"/>
      <c r="C1433" s="553"/>
      <c r="D1433" s="554"/>
      <c r="E1433" s="554"/>
      <c r="F1433" s="167"/>
      <c r="G1433" s="474"/>
      <c r="H1433" s="474"/>
      <c r="J1433" s="555"/>
    </row>
    <row r="1434" spans="1:10" s="165" customFormat="1">
      <c r="A1434" s="172"/>
      <c r="B1434" s="552"/>
      <c r="C1434" s="553"/>
      <c r="D1434" s="554"/>
      <c r="E1434" s="554"/>
      <c r="F1434" s="167"/>
      <c r="G1434" s="474"/>
      <c r="H1434" s="474"/>
      <c r="J1434" s="555"/>
    </row>
    <row r="1435" spans="1:10" s="165" customFormat="1">
      <c r="A1435" s="172"/>
      <c r="B1435" s="552"/>
      <c r="C1435" s="553"/>
      <c r="D1435" s="554"/>
      <c r="E1435" s="554"/>
      <c r="F1435" s="167"/>
      <c r="G1435" s="474"/>
      <c r="H1435" s="474"/>
      <c r="J1435" s="555"/>
    </row>
    <row r="1436" spans="1:10" s="165" customFormat="1">
      <c r="A1436" s="172"/>
      <c r="B1436" s="552"/>
      <c r="C1436" s="553"/>
      <c r="D1436" s="554"/>
      <c r="E1436" s="554"/>
      <c r="F1436" s="167"/>
      <c r="G1436" s="474"/>
      <c r="H1436" s="474"/>
      <c r="J1436" s="555"/>
    </row>
    <row r="1437" spans="1:10" s="165" customFormat="1">
      <c r="A1437" s="172"/>
      <c r="B1437" s="552"/>
      <c r="C1437" s="553"/>
      <c r="D1437" s="554"/>
      <c r="E1437" s="554"/>
      <c r="F1437" s="167"/>
      <c r="G1437" s="474"/>
      <c r="H1437" s="474"/>
      <c r="J1437" s="555"/>
    </row>
    <row r="1438" spans="1:10" s="165" customFormat="1">
      <c r="A1438" s="172"/>
      <c r="B1438" s="552"/>
      <c r="C1438" s="553"/>
      <c r="D1438" s="554"/>
      <c r="E1438" s="554"/>
      <c r="F1438" s="167"/>
      <c r="G1438" s="474"/>
      <c r="H1438" s="474"/>
      <c r="J1438" s="555"/>
    </row>
    <row r="1439" spans="1:10" s="165" customFormat="1">
      <c r="A1439" s="172"/>
      <c r="B1439" s="552"/>
      <c r="C1439" s="553"/>
      <c r="D1439" s="554"/>
      <c r="E1439" s="554"/>
      <c r="F1439" s="167"/>
      <c r="G1439" s="474"/>
      <c r="H1439" s="474"/>
      <c r="J1439" s="555"/>
    </row>
    <row r="1440" spans="1:10" s="165" customFormat="1">
      <c r="A1440" s="172"/>
      <c r="B1440" s="552"/>
      <c r="C1440" s="553"/>
      <c r="D1440" s="554"/>
      <c r="E1440" s="554"/>
      <c r="F1440" s="167"/>
      <c r="G1440" s="474"/>
      <c r="H1440" s="474"/>
      <c r="J1440" s="555"/>
    </row>
    <row r="1441" spans="1:10" s="165" customFormat="1">
      <c r="A1441" s="172"/>
      <c r="B1441" s="552"/>
      <c r="C1441" s="553"/>
      <c r="D1441" s="554"/>
      <c r="E1441" s="554"/>
      <c r="F1441" s="167"/>
      <c r="G1441" s="474"/>
      <c r="H1441" s="474"/>
      <c r="J1441" s="555"/>
    </row>
    <row r="1442" spans="1:10" s="165" customFormat="1">
      <c r="A1442" s="172"/>
      <c r="B1442" s="552"/>
      <c r="C1442" s="553"/>
      <c r="D1442" s="554"/>
      <c r="E1442" s="554"/>
      <c r="F1442" s="167"/>
      <c r="G1442" s="474"/>
      <c r="H1442" s="474"/>
      <c r="J1442" s="555"/>
    </row>
    <row r="1443" spans="1:10" s="165" customFormat="1">
      <c r="A1443" s="172"/>
      <c r="B1443" s="552"/>
      <c r="C1443" s="553"/>
      <c r="D1443" s="554"/>
      <c r="E1443" s="554"/>
      <c r="F1443" s="167"/>
      <c r="G1443" s="474"/>
      <c r="H1443" s="474"/>
      <c r="J1443" s="555"/>
    </row>
    <row r="1444" spans="1:10" s="165" customFormat="1">
      <c r="A1444" s="172"/>
      <c r="B1444" s="552"/>
      <c r="C1444" s="553"/>
      <c r="D1444" s="554"/>
      <c r="E1444" s="554"/>
      <c r="F1444" s="167"/>
      <c r="G1444" s="474"/>
      <c r="H1444" s="474"/>
      <c r="J1444" s="555"/>
    </row>
    <row r="1445" spans="1:10" s="165" customFormat="1">
      <c r="A1445" s="172"/>
      <c r="B1445" s="552"/>
      <c r="C1445" s="553"/>
      <c r="D1445" s="554"/>
      <c r="E1445" s="554"/>
      <c r="F1445" s="167"/>
      <c r="G1445" s="474"/>
      <c r="H1445" s="474"/>
      <c r="J1445" s="555"/>
    </row>
    <row r="1446" spans="1:10" s="165" customFormat="1">
      <c r="A1446" s="172"/>
      <c r="B1446" s="552"/>
      <c r="C1446" s="553"/>
      <c r="D1446" s="554"/>
      <c r="E1446" s="554"/>
      <c r="F1446" s="167"/>
      <c r="G1446" s="474"/>
      <c r="H1446" s="474"/>
      <c r="J1446" s="555"/>
    </row>
    <row r="1447" spans="1:10" s="165" customFormat="1">
      <c r="A1447" s="172"/>
      <c r="B1447" s="552"/>
      <c r="C1447" s="553"/>
      <c r="D1447" s="554"/>
      <c r="E1447" s="554"/>
      <c r="F1447" s="167"/>
      <c r="G1447" s="474"/>
      <c r="H1447" s="474"/>
      <c r="J1447" s="555"/>
    </row>
    <row r="1448" spans="1:10" s="165" customFormat="1">
      <c r="A1448" s="172"/>
      <c r="B1448" s="552"/>
      <c r="C1448" s="553"/>
      <c r="D1448" s="554"/>
      <c r="E1448" s="554"/>
      <c r="F1448" s="167"/>
      <c r="G1448" s="474"/>
      <c r="H1448" s="474"/>
      <c r="J1448" s="555"/>
    </row>
    <row r="1449" spans="1:10" s="165" customFormat="1">
      <c r="A1449" s="172"/>
      <c r="B1449" s="552"/>
      <c r="C1449" s="553"/>
      <c r="D1449" s="554"/>
      <c r="E1449" s="554"/>
      <c r="F1449" s="167"/>
      <c r="G1449" s="474"/>
      <c r="H1449" s="474"/>
      <c r="J1449" s="555"/>
    </row>
    <row r="1450" spans="1:10" s="165" customFormat="1">
      <c r="A1450" s="172"/>
      <c r="B1450" s="552"/>
      <c r="C1450" s="553"/>
      <c r="D1450" s="554"/>
      <c r="E1450" s="554"/>
      <c r="F1450" s="167"/>
      <c r="G1450" s="474"/>
      <c r="H1450" s="474"/>
      <c r="J1450" s="555"/>
    </row>
    <row r="1451" spans="1:10" s="165" customFormat="1">
      <c r="A1451" s="172"/>
      <c r="B1451" s="552"/>
      <c r="C1451" s="553"/>
      <c r="D1451" s="554"/>
      <c r="E1451" s="554"/>
      <c r="F1451" s="167"/>
      <c r="G1451" s="474"/>
      <c r="H1451" s="474"/>
      <c r="J1451" s="555"/>
    </row>
    <row r="1452" spans="1:10" s="165" customFormat="1">
      <c r="A1452" s="172"/>
      <c r="B1452" s="552"/>
      <c r="C1452" s="553"/>
      <c r="D1452" s="554"/>
      <c r="E1452" s="554"/>
      <c r="F1452" s="167"/>
      <c r="G1452" s="474"/>
      <c r="H1452" s="474"/>
      <c r="J1452" s="555"/>
    </row>
    <row r="1453" spans="1:10" s="165" customFormat="1">
      <c r="A1453" s="172"/>
      <c r="B1453" s="552"/>
      <c r="C1453" s="553"/>
      <c r="D1453" s="554"/>
      <c r="E1453" s="554"/>
      <c r="F1453" s="167"/>
      <c r="G1453" s="474"/>
      <c r="H1453" s="474"/>
      <c r="J1453" s="555"/>
    </row>
    <row r="1454" spans="1:10" s="165" customFormat="1">
      <c r="A1454" s="172"/>
      <c r="B1454" s="552"/>
      <c r="C1454" s="553"/>
      <c r="D1454" s="554"/>
      <c r="E1454" s="554"/>
      <c r="F1454" s="167"/>
      <c r="G1454" s="474"/>
      <c r="H1454" s="474"/>
      <c r="J1454" s="555"/>
    </row>
    <row r="1455" spans="1:10" s="165" customFormat="1">
      <c r="A1455" s="172"/>
      <c r="B1455" s="552"/>
      <c r="C1455" s="553"/>
      <c r="D1455" s="554"/>
      <c r="E1455" s="554"/>
      <c r="F1455" s="167"/>
      <c r="G1455" s="474"/>
      <c r="H1455" s="474"/>
      <c r="J1455" s="555"/>
    </row>
    <row r="1456" spans="1:10" s="165" customFormat="1">
      <c r="A1456" s="172"/>
      <c r="B1456" s="552"/>
      <c r="C1456" s="553"/>
      <c r="D1456" s="554"/>
      <c r="E1456" s="554"/>
      <c r="F1456" s="167"/>
      <c r="G1456" s="474"/>
      <c r="H1456" s="474"/>
      <c r="J1456" s="555"/>
    </row>
    <row r="1457" spans="1:10" s="165" customFormat="1">
      <c r="A1457" s="172"/>
      <c r="B1457" s="552"/>
      <c r="C1457" s="553"/>
      <c r="D1457" s="554"/>
      <c r="E1457" s="554"/>
      <c r="F1457" s="167"/>
      <c r="G1457" s="474"/>
      <c r="H1457" s="474"/>
      <c r="J1457" s="555"/>
    </row>
    <row r="1458" spans="1:10" s="165" customFormat="1">
      <c r="A1458" s="172"/>
      <c r="B1458" s="552"/>
      <c r="C1458" s="553"/>
      <c r="D1458" s="554"/>
      <c r="E1458" s="554"/>
      <c r="F1458" s="167"/>
      <c r="G1458" s="474"/>
      <c r="H1458" s="474"/>
      <c r="J1458" s="555"/>
    </row>
    <row r="1459" spans="1:10" s="165" customFormat="1">
      <c r="A1459" s="172"/>
      <c r="B1459" s="552"/>
      <c r="C1459" s="553"/>
      <c r="D1459" s="554"/>
      <c r="E1459" s="554"/>
      <c r="F1459" s="167"/>
      <c r="G1459" s="474"/>
      <c r="H1459" s="474"/>
      <c r="J1459" s="555"/>
    </row>
    <row r="1460" spans="1:10" s="165" customFormat="1">
      <c r="A1460" s="172"/>
      <c r="B1460" s="552"/>
      <c r="C1460" s="553"/>
      <c r="D1460" s="554"/>
      <c r="E1460" s="554"/>
      <c r="F1460" s="167"/>
      <c r="G1460" s="474"/>
      <c r="H1460" s="474"/>
      <c r="J1460" s="555"/>
    </row>
    <row r="1461" spans="1:10" s="165" customFormat="1">
      <c r="A1461" s="172"/>
      <c r="B1461" s="552"/>
      <c r="C1461" s="553"/>
      <c r="D1461" s="554"/>
      <c r="E1461" s="554"/>
      <c r="F1461" s="167"/>
      <c r="G1461" s="474"/>
      <c r="H1461" s="474"/>
      <c r="J1461" s="555"/>
    </row>
    <row r="1462" spans="1:10" s="165" customFormat="1">
      <c r="A1462" s="172"/>
      <c r="B1462" s="552"/>
      <c r="C1462" s="553"/>
      <c r="D1462" s="554"/>
      <c r="E1462" s="554"/>
      <c r="F1462" s="167"/>
      <c r="G1462" s="474"/>
      <c r="H1462" s="474"/>
      <c r="J1462" s="555"/>
    </row>
    <row r="1463" spans="1:10" s="165" customFormat="1">
      <c r="A1463" s="172"/>
      <c r="B1463" s="552"/>
      <c r="C1463" s="553"/>
      <c r="D1463" s="554"/>
      <c r="E1463" s="554"/>
      <c r="F1463" s="167"/>
      <c r="G1463" s="474"/>
      <c r="H1463" s="474"/>
      <c r="J1463" s="555"/>
    </row>
    <row r="1464" spans="1:10" s="165" customFormat="1">
      <c r="A1464" s="172"/>
      <c r="B1464" s="552"/>
      <c r="C1464" s="553"/>
      <c r="D1464" s="554"/>
      <c r="E1464" s="554"/>
      <c r="F1464" s="167"/>
      <c r="G1464" s="474"/>
      <c r="H1464" s="474"/>
      <c r="J1464" s="555"/>
    </row>
    <row r="1465" spans="1:10" s="165" customFormat="1">
      <c r="A1465" s="172"/>
      <c r="B1465" s="552"/>
      <c r="C1465" s="553"/>
      <c r="D1465" s="554"/>
      <c r="E1465" s="554"/>
      <c r="F1465" s="167"/>
      <c r="G1465" s="474"/>
      <c r="H1465" s="474"/>
      <c r="J1465" s="555"/>
    </row>
    <row r="1466" spans="1:10" s="165" customFormat="1">
      <c r="A1466" s="172"/>
      <c r="B1466" s="552"/>
      <c r="C1466" s="553"/>
      <c r="D1466" s="554"/>
      <c r="E1466" s="554"/>
      <c r="F1466" s="167"/>
      <c r="G1466" s="474"/>
      <c r="H1466" s="474"/>
      <c r="J1466" s="555"/>
    </row>
    <row r="1467" spans="1:10" s="165" customFormat="1">
      <c r="A1467" s="172"/>
      <c r="B1467" s="552"/>
      <c r="C1467" s="553"/>
      <c r="D1467" s="554"/>
      <c r="E1467" s="554"/>
      <c r="F1467" s="167"/>
      <c r="G1467" s="474"/>
      <c r="H1467" s="474"/>
      <c r="J1467" s="555"/>
    </row>
    <row r="1468" spans="1:10" s="165" customFormat="1">
      <c r="A1468" s="172"/>
      <c r="B1468" s="552"/>
      <c r="C1468" s="553"/>
      <c r="D1468" s="554"/>
      <c r="E1468" s="554"/>
      <c r="F1468" s="167"/>
      <c r="G1468" s="474"/>
      <c r="H1468" s="474"/>
      <c r="J1468" s="555"/>
    </row>
    <row r="1469" spans="1:10" s="165" customFormat="1">
      <c r="A1469" s="172"/>
      <c r="B1469" s="552"/>
      <c r="C1469" s="553"/>
      <c r="D1469" s="554"/>
      <c r="E1469" s="554"/>
      <c r="F1469" s="167"/>
      <c r="G1469" s="474"/>
      <c r="H1469" s="474"/>
      <c r="J1469" s="555"/>
    </row>
    <row r="1470" spans="1:10" s="165" customFormat="1">
      <c r="A1470" s="172"/>
      <c r="B1470" s="552"/>
      <c r="C1470" s="553"/>
      <c r="D1470" s="554"/>
      <c r="E1470" s="554"/>
      <c r="F1470" s="167"/>
      <c r="G1470" s="474"/>
      <c r="H1470" s="474"/>
      <c r="J1470" s="555"/>
    </row>
    <row r="1471" spans="1:10" s="165" customFormat="1">
      <c r="A1471" s="172"/>
      <c r="B1471" s="552"/>
      <c r="C1471" s="553"/>
      <c r="D1471" s="554"/>
      <c r="E1471" s="554"/>
      <c r="F1471" s="167"/>
      <c r="G1471" s="474"/>
      <c r="H1471" s="474"/>
      <c r="J1471" s="555"/>
    </row>
    <row r="1472" spans="1:10" s="165" customFormat="1">
      <c r="A1472" s="172"/>
      <c r="B1472" s="552"/>
      <c r="C1472" s="553"/>
      <c r="D1472" s="554"/>
      <c r="E1472" s="554"/>
      <c r="F1472" s="167"/>
      <c r="G1472" s="474"/>
      <c r="H1472" s="474"/>
      <c r="J1472" s="555"/>
    </row>
    <row r="1473" spans="1:10" s="165" customFormat="1">
      <c r="A1473" s="172"/>
      <c r="B1473" s="552"/>
      <c r="C1473" s="553"/>
      <c r="D1473" s="554"/>
      <c r="E1473" s="554"/>
      <c r="F1473" s="167"/>
      <c r="G1473" s="474"/>
      <c r="H1473" s="474"/>
      <c r="J1473" s="555"/>
    </row>
    <row r="1474" spans="1:10" s="165" customFormat="1">
      <c r="A1474" s="172"/>
      <c r="B1474" s="552"/>
      <c r="C1474" s="553"/>
      <c r="D1474" s="554"/>
      <c r="E1474" s="554"/>
      <c r="F1474" s="167"/>
      <c r="G1474" s="474"/>
      <c r="H1474" s="474"/>
      <c r="J1474" s="555"/>
    </row>
    <row r="1475" spans="1:10" s="165" customFormat="1">
      <c r="A1475" s="172"/>
      <c r="B1475" s="552"/>
      <c r="C1475" s="553"/>
      <c r="D1475" s="554"/>
      <c r="E1475" s="554"/>
      <c r="F1475" s="167"/>
      <c r="G1475" s="474"/>
      <c r="H1475" s="474"/>
      <c r="J1475" s="555"/>
    </row>
    <row r="1476" spans="1:10" s="165" customFormat="1">
      <c r="A1476" s="172"/>
      <c r="B1476" s="552"/>
      <c r="C1476" s="553"/>
      <c r="D1476" s="554"/>
      <c r="E1476" s="554"/>
      <c r="F1476" s="167"/>
      <c r="G1476" s="474"/>
      <c r="H1476" s="474"/>
      <c r="J1476" s="555"/>
    </row>
    <row r="1477" spans="1:10" s="165" customFormat="1">
      <c r="A1477" s="172"/>
      <c r="B1477" s="552"/>
      <c r="C1477" s="553"/>
      <c r="D1477" s="554"/>
      <c r="E1477" s="554"/>
      <c r="F1477" s="167"/>
      <c r="G1477" s="474"/>
      <c r="H1477" s="474"/>
      <c r="J1477" s="555"/>
    </row>
    <row r="1478" spans="1:10" s="165" customFormat="1">
      <c r="A1478" s="172"/>
      <c r="B1478" s="552"/>
      <c r="C1478" s="553"/>
      <c r="D1478" s="554"/>
      <c r="E1478" s="554"/>
      <c r="F1478" s="167"/>
      <c r="G1478" s="474"/>
      <c r="H1478" s="474"/>
      <c r="J1478" s="555"/>
    </row>
    <row r="1479" spans="1:10" s="165" customFormat="1">
      <c r="A1479" s="172"/>
      <c r="B1479" s="552"/>
      <c r="C1479" s="553"/>
      <c r="D1479" s="554"/>
      <c r="E1479" s="554"/>
      <c r="F1479" s="167"/>
      <c r="G1479" s="474"/>
      <c r="H1479" s="474"/>
      <c r="J1479" s="555"/>
    </row>
    <row r="1480" spans="1:10" s="165" customFormat="1">
      <c r="A1480" s="172"/>
      <c r="B1480" s="552"/>
      <c r="C1480" s="553"/>
      <c r="D1480" s="554"/>
      <c r="E1480" s="554"/>
      <c r="F1480" s="167"/>
      <c r="G1480" s="474"/>
      <c r="H1480" s="474"/>
      <c r="J1480" s="555"/>
    </row>
    <row r="1481" spans="1:10" s="165" customFormat="1">
      <c r="A1481" s="172"/>
      <c r="B1481" s="552"/>
      <c r="C1481" s="553"/>
      <c r="D1481" s="554"/>
      <c r="E1481" s="554"/>
      <c r="F1481" s="167"/>
      <c r="G1481" s="474"/>
      <c r="H1481" s="474"/>
      <c r="J1481" s="555"/>
    </row>
    <row r="1482" spans="1:10" s="165" customFormat="1">
      <c r="A1482" s="172"/>
      <c r="B1482" s="552"/>
      <c r="C1482" s="553"/>
      <c r="D1482" s="554"/>
      <c r="E1482" s="554"/>
      <c r="F1482" s="167"/>
      <c r="G1482" s="474"/>
      <c r="H1482" s="474"/>
      <c r="J1482" s="555"/>
    </row>
    <row r="1483" spans="1:10" s="165" customFormat="1">
      <c r="A1483" s="172"/>
      <c r="B1483" s="552"/>
      <c r="C1483" s="553"/>
      <c r="D1483" s="554"/>
      <c r="E1483" s="554"/>
      <c r="F1483" s="167"/>
      <c r="G1483" s="474"/>
      <c r="H1483" s="474"/>
      <c r="J1483" s="555"/>
    </row>
    <row r="1484" spans="1:10" s="165" customFormat="1">
      <c r="A1484" s="172"/>
      <c r="B1484" s="552"/>
      <c r="C1484" s="553"/>
      <c r="D1484" s="554"/>
      <c r="E1484" s="554"/>
      <c r="F1484" s="167"/>
      <c r="G1484" s="474"/>
      <c r="H1484" s="474"/>
      <c r="J1484" s="555"/>
    </row>
    <row r="1485" spans="1:10" s="165" customFormat="1">
      <c r="A1485" s="172"/>
      <c r="B1485" s="552"/>
      <c r="C1485" s="553"/>
      <c r="D1485" s="554"/>
      <c r="E1485" s="554"/>
      <c r="F1485" s="167"/>
      <c r="G1485" s="474"/>
      <c r="H1485" s="474"/>
      <c r="J1485" s="555"/>
    </row>
    <row r="1486" spans="1:10" s="165" customFormat="1">
      <c r="A1486" s="172"/>
      <c r="B1486" s="552"/>
      <c r="C1486" s="553"/>
      <c r="D1486" s="554"/>
      <c r="E1486" s="554"/>
      <c r="F1486" s="167"/>
      <c r="G1486" s="474"/>
      <c r="H1486" s="474"/>
      <c r="J1486" s="555"/>
    </row>
    <row r="1487" spans="1:10" s="165" customFormat="1">
      <c r="A1487" s="172"/>
      <c r="B1487" s="552"/>
      <c r="C1487" s="553"/>
      <c r="D1487" s="554"/>
      <c r="E1487" s="554"/>
      <c r="F1487" s="167"/>
      <c r="G1487" s="474"/>
      <c r="H1487" s="474"/>
      <c r="J1487" s="555"/>
    </row>
    <row r="1488" spans="1:10" s="165" customFormat="1">
      <c r="A1488" s="172"/>
      <c r="B1488" s="552"/>
      <c r="C1488" s="553"/>
      <c r="D1488" s="554"/>
      <c r="E1488" s="554"/>
      <c r="F1488" s="167"/>
      <c r="G1488" s="474"/>
      <c r="H1488" s="474"/>
      <c r="J1488" s="555"/>
    </row>
    <row r="1489" spans="1:10" s="165" customFormat="1">
      <c r="A1489" s="172"/>
      <c r="B1489" s="552"/>
      <c r="C1489" s="553"/>
      <c r="D1489" s="554"/>
      <c r="E1489" s="554"/>
      <c r="F1489" s="167"/>
      <c r="G1489" s="474"/>
      <c r="H1489" s="474"/>
      <c r="J1489" s="555"/>
    </row>
    <row r="1490" spans="1:10" s="165" customFormat="1">
      <c r="A1490" s="172"/>
      <c r="B1490" s="552"/>
      <c r="C1490" s="553"/>
      <c r="D1490" s="554"/>
      <c r="E1490" s="554"/>
      <c r="F1490" s="167"/>
      <c r="G1490" s="474"/>
      <c r="H1490" s="474"/>
      <c r="J1490" s="555"/>
    </row>
    <row r="1491" spans="1:10" s="165" customFormat="1">
      <c r="A1491" s="172"/>
      <c r="B1491" s="552"/>
      <c r="C1491" s="553"/>
      <c r="D1491" s="554"/>
      <c r="E1491" s="554"/>
      <c r="F1491" s="167"/>
      <c r="G1491" s="474"/>
      <c r="H1491" s="474"/>
      <c r="J1491" s="555"/>
    </row>
    <row r="1492" spans="1:10" s="165" customFormat="1">
      <c r="A1492" s="172"/>
      <c r="B1492" s="552"/>
      <c r="C1492" s="553"/>
      <c r="D1492" s="554"/>
      <c r="E1492" s="554"/>
      <c r="F1492" s="167"/>
      <c r="G1492" s="474"/>
      <c r="H1492" s="474"/>
      <c r="J1492" s="555"/>
    </row>
    <row r="1493" spans="1:10" s="165" customFormat="1">
      <c r="A1493" s="172"/>
      <c r="B1493" s="552"/>
      <c r="C1493" s="553"/>
      <c r="D1493" s="554"/>
      <c r="E1493" s="554"/>
      <c r="F1493" s="167"/>
      <c r="G1493" s="474"/>
      <c r="H1493" s="474"/>
      <c r="J1493" s="555"/>
    </row>
    <row r="1494" spans="1:10" s="165" customFormat="1">
      <c r="A1494" s="172"/>
      <c r="B1494" s="552"/>
      <c r="C1494" s="553"/>
      <c r="D1494" s="554"/>
      <c r="E1494" s="554"/>
      <c r="F1494" s="167"/>
      <c r="G1494" s="474"/>
      <c r="H1494" s="474"/>
      <c r="J1494" s="555"/>
    </row>
    <row r="1495" spans="1:10" s="165" customFormat="1">
      <c r="A1495" s="172"/>
      <c r="B1495" s="552"/>
      <c r="C1495" s="553"/>
      <c r="D1495" s="554"/>
      <c r="E1495" s="554"/>
      <c r="F1495" s="167"/>
      <c r="G1495" s="474"/>
      <c r="H1495" s="474"/>
      <c r="J1495" s="555"/>
    </row>
    <row r="1496" spans="1:10" s="165" customFormat="1">
      <c r="A1496" s="172"/>
      <c r="B1496" s="552"/>
      <c r="C1496" s="553"/>
      <c r="D1496" s="554"/>
      <c r="E1496" s="554"/>
      <c r="F1496" s="167"/>
      <c r="G1496" s="474"/>
      <c r="H1496" s="474"/>
      <c r="J1496" s="555"/>
    </row>
    <row r="1497" spans="1:10" s="165" customFormat="1">
      <c r="A1497" s="172"/>
      <c r="B1497" s="552"/>
      <c r="C1497" s="553"/>
      <c r="D1497" s="554"/>
      <c r="E1497" s="554"/>
      <c r="F1497" s="167"/>
      <c r="G1497" s="474"/>
      <c r="H1497" s="474"/>
      <c r="J1497" s="555"/>
    </row>
    <row r="1498" spans="1:10" s="165" customFormat="1">
      <c r="A1498" s="172"/>
      <c r="B1498" s="552"/>
      <c r="C1498" s="553"/>
      <c r="D1498" s="554"/>
      <c r="E1498" s="554"/>
      <c r="F1498" s="167"/>
      <c r="G1498" s="474"/>
      <c r="H1498" s="474"/>
      <c r="J1498" s="555"/>
    </row>
    <row r="1499" spans="1:10" s="165" customFormat="1">
      <c r="A1499" s="172"/>
      <c r="B1499" s="552"/>
      <c r="C1499" s="553"/>
      <c r="D1499" s="554"/>
      <c r="E1499" s="554"/>
      <c r="F1499" s="167"/>
      <c r="G1499" s="474"/>
      <c r="H1499" s="474"/>
      <c r="J1499" s="555"/>
    </row>
    <row r="1500" spans="1:10" s="165" customFormat="1">
      <c r="A1500" s="172"/>
      <c r="B1500" s="552"/>
      <c r="C1500" s="553"/>
      <c r="D1500" s="554"/>
      <c r="E1500" s="554"/>
      <c r="F1500" s="167"/>
      <c r="G1500" s="474"/>
      <c r="H1500" s="474"/>
      <c r="J1500" s="555"/>
    </row>
    <row r="1501" spans="1:10" s="165" customFormat="1">
      <c r="A1501" s="172"/>
      <c r="B1501" s="552"/>
      <c r="C1501" s="553"/>
      <c r="D1501" s="554"/>
      <c r="E1501" s="554"/>
      <c r="F1501" s="167"/>
      <c r="G1501" s="474"/>
      <c r="H1501" s="474"/>
      <c r="J1501" s="555"/>
    </row>
    <row r="1502" spans="1:10" s="165" customFormat="1">
      <c r="A1502" s="172"/>
      <c r="B1502" s="552"/>
      <c r="C1502" s="553"/>
      <c r="D1502" s="554"/>
      <c r="E1502" s="554"/>
      <c r="F1502" s="167"/>
      <c r="G1502" s="474"/>
      <c r="H1502" s="474"/>
      <c r="J1502" s="555"/>
    </row>
    <row r="1503" spans="1:10" s="165" customFormat="1">
      <c r="A1503" s="172"/>
      <c r="B1503" s="552"/>
      <c r="C1503" s="553"/>
      <c r="D1503" s="554"/>
      <c r="E1503" s="554"/>
      <c r="F1503" s="167"/>
      <c r="G1503" s="474"/>
      <c r="H1503" s="474"/>
      <c r="J1503" s="555"/>
    </row>
    <row r="1504" spans="1:10" s="165" customFormat="1">
      <c r="A1504" s="172"/>
      <c r="B1504" s="552"/>
      <c r="C1504" s="553"/>
      <c r="D1504" s="554"/>
      <c r="E1504" s="554"/>
      <c r="F1504" s="167"/>
      <c r="G1504" s="474"/>
      <c r="H1504" s="474"/>
      <c r="J1504" s="555"/>
    </row>
    <row r="1505" spans="1:10" s="165" customFormat="1">
      <c r="A1505" s="172"/>
      <c r="B1505" s="552"/>
      <c r="C1505" s="553"/>
      <c r="D1505" s="554"/>
      <c r="E1505" s="554"/>
      <c r="F1505" s="167"/>
      <c r="G1505" s="474"/>
      <c r="H1505" s="474"/>
      <c r="J1505" s="555"/>
    </row>
    <row r="1506" spans="1:10" s="165" customFormat="1">
      <c r="A1506" s="172"/>
      <c r="B1506" s="552"/>
      <c r="C1506" s="553"/>
      <c r="D1506" s="554"/>
      <c r="E1506" s="554"/>
      <c r="F1506" s="167"/>
      <c r="G1506" s="474"/>
      <c r="H1506" s="474"/>
      <c r="J1506" s="555"/>
    </row>
    <row r="1507" spans="1:10" s="165" customFormat="1">
      <c r="A1507" s="172"/>
      <c r="B1507" s="552"/>
      <c r="C1507" s="553"/>
      <c r="D1507" s="554"/>
      <c r="E1507" s="554"/>
      <c r="F1507" s="167"/>
      <c r="G1507" s="474"/>
      <c r="H1507" s="474"/>
      <c r="J1507" s="555"/>
    </row>
    <row r="1508" spans="1:10" s="165" customFormat="1">
      <c r="A1508" s="172"/>
      <c r="B1508" s="552"/>
      <c r="C1508" s="553"/>
      <c r="D1508" s="554"/>
      <c r="E1508" s="554"/>
      <c r="F1508" s="167"/>
      <c r="G1508" s="474"/>
      <c r="H1508" s="474"/>
      <c r="J1508" s="555"/>
    </row>
    <row r="1509" spans="1:10" s="165" customFormat="1">
      <c r="A1509" s="172"/>
      <c r="B1509" s="552"/>
      <c r="C1509" s="553"/>
      <c r="D1509" s="554"/>
      <c r="E1509" s="554"/>
      <c r="F1509" s="167"/>
      <c r="G1509" s="474"/>
      <c r="H1509" s="474"/>
      <c r="J1509" s="555"/>
    </row>
    <row r="1510" spans="1:10" s="165" customFormat="1">
      <c r="A1510" s="172"/>
      <c r="B1510" s="552"/>
      <c r="C1510" s="553"/>
      <c r="D1510" s="554"/>
      <c r="E1510" s="554"/>
      <c r="F1510" s="167"/>
      <c r="G1510" s="474"/>
      <c r="H1510" s="474"/>
      <c r="J1510" s="555"/>
    </row>
    <row r="1511" spans="1:10" s="165" customFormat="1">
      <c r="A1511" s="172"/>
      <c r="B1511" s="552"/>
      <c r="C1511" s="553"/>
      <c r="D1511" s="554"/>
      <c r="E1511" s="554"/>
      <c r="F1511" s="167"/>
      <c r="G1511" s="474"/>
      <c r="H1511" s="474"/>
      <c r="J1511" s="555"/>
    </row>
    <row r="1512" spans="1:10" s="165" customFormat="1">
      <c r="A1512" s="172"/>
      <c r="B1512" s="552"/>
      <c r="C1512" s="553"/>
      <c r="D1512" s="554"/>
      <c r="E1512" s="554"/>
      <c r="F1512" s="167"/>
      <c r="G1512" s="474"/>
      <c r="H1512" s="474"/>
      <c r="J1512" s="555"/>
    </row>
    <row r="1513" spans="1:10" s="165" customFormat="1">
      <c r="A1513" s="172"/>
      <c r="B1513" s="552"/>
      <c r="C1513" s="553"/>
      <c r="D1513" s="554"/>
      <c r="E1513" s="554"/>
      <c r="F1513" s="167"/>
      <c r="G1513" s="474"/>
      <c r="H1513" s="474"/>
      <c r="J1513" s="555"/>
    </row>
    <row r="1514" spans="1:10" s="165" customFormat="1">
      <c r="A1514" s="172"/>
      <c r="B1514" s="552"/>
      <c r="C1514" s="553"/>
      <c r="D1514" s="554"/>
      <c r="E1514" s="554"/>
      <c r="F1514" s="167"/>
      <c r="G1514" s="474"/>
      <c r="H1514" s="474"/>
      <c r="J1514" s="555"/>
    </row>
    <row r="1515" spans="1:10" s="165" customFormat="1">
      <c r="A1515" s="172"/>
      <c r="B1515" s="552"/>
      <c r="C1515" s="553"/>
      <c r="D1515" s="554"/>
      <c r="E1515" s="554"/>
      <c r="F1515" s="167"/>
      <c r="G1515" s="474"/>
      <c r="H1515" s="474"/>
      <c r="J1515" s="555"/>
    </row>
    <row r="1516" spans="1:10" s="165" customFormat="1">
      <c r="A1516" s="172"/>
      <c r="B1516" s="552"/>
      <c r="C1516" s="553"/>
      <c r="D1516" s="554"/>
      <c r="E1516" s="554"/>
      <c r="F1516" s="167"/>
      <c r="G1516" s="474"/>
      <c r="H1516" s="474"/>
      <c r="J1516" s="555"/>
    </row>
    <row r="1517" spans="1:10" s="165" customFormat="1">
      <c r="A1517" s="172"/>
      <c r="B1517" s="552"/>
      <c r="C1517" s="553"/>
      <c r="D1517" s="554"/>
      <c r="E1517" s="554"/>
      <c r="F1517" s="167"/>
      <c r="G1517" s="474"/>
      <c r="H1517" s="474"/>
      <c r="J1517" s="555"/>
    </row>
    <row r="1518" spans="1:10" s="165" customFormat="1">
      <c r="A1518" s="172"/>
      <c r="B1518" s="552"/>
      <c r="C1518" s="553"/>
      <c r="D1518" s="554"/>
      <c r="E1518" s="554"/>
      <c r="F1518" s="167"/>
      <c r="G1518" s="474"/>
      <c r="H1518" s="474"/>
      <c r="J1518" s="555"/>
    </row>
    <row r="1519" spans="1:10" s="165" customFormat="1">
      <c r="A1519" s="172"/>
      <c r="B1519" s="552"/>
      <c r="C1519" s="553"/>
      <c r="D1519" s="554"/>
      <c r="E1519" s="554"/>
      <c r="F1519" s="167"/>
      <c r="G1519" s="474"/>
      <c r="H1519" s="474"/>
      <c r="J1519" s="555"/>
    </row>
    <row r="1520" spans="1:10" s="165" customFormat="1">
      <c r="A1520" s="172"/>
      <c r="B1520" s="552"/>
      <c r="C1520" s="553"/>
      <c r="D1520" s="554"/>
      <c r="E1520" s="554"/>
      <c r="F1520" s="167"/>
      <c r="G1520" s="474"/>
      <c r="H1520" s="474"/>
      <c r="J1520" s="555"/>
    </row>
    <row r="1521" spans="1:10" s="165" customFormat="1">
      <c r="A1521" s="172"/>
      <c r="B1521" s="552"/>
      <c r="C1521" s="553"/>
      <c r="D1521" s="554"/>
      <c r="E1521" s="554"/>
      <c r="F1521" s="167"/>
      <c r="G1521" s="474"/>
      <c r="H1521" s="474"/>
      <c r="J1521" s="555"/>
    </row>
    <row r="1522" spans="1:10" s="165" customFormat="1">
      <c r="A1522" s="172"/>
      <c r="B1522" s="552"/>
      <c r="C1522" s="553"/>
      <c r="D1522" s="554"/>
      <c r="E1522" s="554"/>
      <c r="F1522" s="167"/>
      <c r="G1522" s="474"/>
      <c r="H1522" s="474"/>
      <c r="J1522" s="555"/>
    </row>
    <row r="1523" spans="1:10" s="165" customFormat="1">
      <c r="A1523" s="172"/>
      <c r="B1523" s="552"/>
      <c r="C1523" s="553"/>
      <c r="D1523" s="554"/>
      <c r="E1523" s="554"/>
      <c r="F1523" s="167"/>
      <c r="G1523" s="474"/>
      <c r="H1523" s="474"/>
      <c r="J1523" s="555"/>
    </row>
    <row r="1524" spans="1:10" s="165" customFormat="1">
      <c r="A1524" s="172"/>
      <c r="B1524" s="552"/>
      <c r="C1524" s="553"/>
      <c r="D1524" s="554"/>
      <c r="E1524" s="554"/>
      <c r="F1524" s="167"/>
      <c r="G1524" s="474"/>
      <c r="H1524" s="474"/>
      <c r="J1524" s="555"/>
    </row>
    <row r="1525" spans="1:10" s="165" customFormat="1">
      <c r="A1525" s="172"/>
      <c r="B1525" s="552"/>
      <c r="C1525" s="553"/>
      <c r="D1525" s="554"/>
      <c r="E1525" s="554"/>
      <c r="F1525" s="167"/>
      <c r="G1525" s="474"/>
      <c r="H1525" s="474"/>
      <c r="J1525" s="555"/>
    </row>
    <row r="1526" spans="1:10" s="165" customFormat="1">
      <c r="A1526" s="172"/>
      <c r="B1526" s="552"/>
      <c r="C1526" s="553"/>
      <c r="D1526" s="554"/>
      <c r="E1526" s="554"/>
      <c r="F1526" s="167"/>
      <c r="G1526" s="474"/>
      <c r="H1526" s="474"/>
      <c r="J1526" s="555"/>
    </row>
    <row r="1527" spans="1:10" s="165" customFormat="1">
      <c r="A1527" s="172"/>
      <c r="B1527" s="552"/>
      <c r="C1527" s="553"/>
      <c r="D1527" s="554"/>
      <c r="E1527" s="554"/>
      <c r="F1527" s="167"/>
      <c r="G1527" s="474"/>
      <c r="H1527" s="474"/>
      <c r="J1527" s="555"/>
    </row>
    <row r="1528" spans="1:10" s="165" customFormat="1">
      <c r="A1528" s="172"/>
      <c r="B1528" s="552"/>
      <c r="C1528" s="553"/>
      <c r="D1528" s="554"/>
      <c r="E1528" s="554"/>
      <c r="F1528" s="167"/>
      <c r="G1528" s="474"/>
      <c r="H1528" s="474"/>
      <c r="J1528" s="555"/>
    </row>
    <row r="1529" spans="1:10" s="165" customFormat="1">
      <c r="A1529" s="172"/>
      <c r="B1529" s="552"/>
      <c r="C1529" s="553"/>
      <c r="D1529" s="554"/>
      <c r="E1529" s="554"/>
      <c r="F1529" s="167"/>
      <c r="G1529" s="474"/>
      <c r="H1529" s="474"/>
      <c r="J1529" s="555"/>
    </row>
    <row r="1530" spans="1:10" s="165" customFormat="1">
      <c r="A1530" s="172"/>
      <c r="B1530" s="552"/>
      <c r="C1530" s="553"/>
      <c r="D1530" s="554"/>
      <c r="E1530" s="554"/>
      <c r="F1530" s="167"/>
      <c r="G1530" s="474"/>
      <c r="H1530" s="474"/>
      <c r="J1530" s="555"/>
    </row>
    <row r="1531" spans="1:10" s="165" customFormat="1">
      <c r="A1531" s="172"/>
      <c r="B1531" s="552"/>
      <c r="C1531" s="553"/>
      <c r="D1531" s="554"/>
      <c r="E1531" s="554"/>
      <c r="F1531" s="167"/>
      <c r="G1531" s="474"/>
      <c r="H1531" s="474"/>
      <c r="J1531" s="555"/>
    </row>
    <row r="1532" spans="1:10" s="165" customFormat="1">
      <c r="A1532" s="172"/>
      <c r="B1532" s="552"/>
      <c r="C1532" s="553"/>
      <c r="D1532" s="554"/>
      <c r="E1532" s="554"/>
      <c r="F1532" s="167"/>
      <c r="G1532" s="474"/>
      <c r="H1532" s="474"/>
      <c r="J1532" s="555"/>
    </row>
    <row r="1533" spans="1:10" s="165" customFormat="1">
      <c r="A1533" s="172"/>
      <c r="B1533" s="552"/>
      <c r="C1533" s="553"/>
      <c r="D1533" s="554"/>
      <c r="E1533" s="554"/>
      <c r="F1533" s="167"/>
      <c r="G1533" s="474"/>
      <c r="H1533" s="474"/>
      <c r="J1533" s="555"/>
    </row>
    <row r="1534" spans="1:10" s="165" customFormat="1">
      <c r="A1534" s="172"/>
      <c r="B1534" s="552"/>
      <c r="C1534" s="553"/>
      <c r="D1534" s="554"/>
      <c r="E1534" s="554"/>
      <c r="F1534" s="167"/>
      <c r="G1534" s="474"/>
      <c r="H1534" s="474"/>
      <c r="J1534" s="555"/>
    </row>
    <row r="1535" spans="1:10" s="165" customFormat="1">
      <c r="A1535" s="172"/>
      <c r="B1535" s="552"/>
      <c r="C1535" s="553"/>
      <c r="D1535" s="554"/>
      <c r="E1535" s="554"/>
      <c r="F1535" s="167"/>
      <c r="G1535" s="474"/>
      <c r="H1535" s="474"/>
      <c r="J1535" s="555"/>
    </row>
    <row r="1536" spans="1:10" s="165" customFormat="1">
      <c r="A1536" s="172"/>
      <c r="B1536" s="552"/>
      <c r="C1536" s="553"/>
      <c r="D1536" s="554"/>
      <c r="E1536" s="554"/>
      <c r="F1536" s="167"/>
      <c r="G1536" s="474"/>
      <c r="H1536" s="474"/>
      <c r="J1536" s="555"/>
    </row>
    <row r="1537" spans="1:10" s="165" customFormat="1">
      <c r="A1537" s="172"/>
      <c r="B1537" s="552"/>
      <c r="C1537" s="553"/>
      <c r="D1537" s="554"/>
      <c r="E1537" s="554"/>
      <c r="F1537" s="167"/>
      <c r="G1537" s="474"/>
      <c r="H1537" s="474"/>
      <c r="J1537" s="555"/>
    </row>
    <row r="1538" spans="1:10" s="165" customFormat="1">
      <c r="A1538" s="172"/>
      <c r="B1538" s="552"/>
      <c r="C1538" s="553"/>
      <c r="D1538" s="554"/>
      <c r="E1538" s="554"/>
      <c r="F1538" s="167"/>
      <c r="G1538" s="474"/>
      <c r="H1538" s="474"/>
      <c r="J1538" s="555"/>
    </row>
    <row r="1539" spans="1:10" s="165" customFormat="1">
      <c r="A1539" s="172"/>
      <c r="B1539" s="552"/>
      <c r="C1539" s="553"/>
      <c r="D1539" s="554"/>
      <c r="E1539" s="554"/>
      <c r="F1539" s="167"/>
      <c r="G1539" s="474"/>
      <c r="H1539" s="474"/>
      <c r="J1539" s="555"/>
    </row>
    <row r="1540" spans="1:10" s="165" customFormat="1">
      <c r="A1540" s="172"/>
      <c r="B1540" s="552"/>
      <c r="C1540" s="553"/>
      <c r="D1540" s="554"/>
      <c r="E1540" s="554"/>
      <c r="F1540" s="167"/>
      <c r="G1540" s="474"/>
      <c r="H1540" s="474"/>
      <c r="J1540" s="555"/>
    </row>
    <row r="1541" spans="1:10" s="165" customFormat="1">
      <c r="A1541" s="172"/>
      <c r="B1541" s="552"/>
      <c r="C1541" s="553"/>
      <c r="D1541" s="554"/>
      <c r="E1541" s="554"/>
      <c r="F1541" s="167"/>
      <c r="G1541" s="474"/>
      <c r="H1541" s="474"/>
      <c r="J1541" s="555"/>
    </row>
    <row r="1542" spans="1:10" s="165" customFormat="1">
      <c r="A1542" s="172"/>
      <c r="B1542" s="552"/>
      <c r="C1542" s="553"/>
      <c r="D1542" s="554"/>
      <c r="E1542" s="554"/>
      <c r="F1542" s="167"/>
      <c r="G1542" s="474"/>
      <c r="H1542" s="474"/>
      <c r="J1542" s="555"/>
    </row>
    <row r="1543" spans="1:10" s="165" customFormat="1">
      <c r="A1543" s="172"/>
      <c r="B1543" s="552"/>
      <c r="C1543" s="553"/>
      <c r="D1543" s="554"/>
      <c r="E1543" s="554"/>
      <c r="F1543" s="167"/>
      <c r="G1543" s="474"/>
      <c r="H1543" s="474"/>
      <c r="J1543" s="555"/>
    </row>
    <row r="1544" spans="1:10" s="165" customFormat="1">
      <c r="A1544" s="172"/>
      <c r="B1544" s="552"/>
      <c r="C1544" s="553"/>
      <c r="D1544" s="554"/>
      <c r="E1544" s="554"/>
      <c r="F1544" s="167"/>
      <c r="G1544" s="474"/>
      <c r="H1544" s="474"/>
      <c r="J1544" s="555"/>
    </row>
    <row r="1545" spans="1:10" s="165" customFormat="1">
      <c r="A1545" s="172"/>
      <c r="B1545" s="552"/>
      <c r="C1545" s="553"/>
      <c r="D1545" s="554"/>
      <c r="E1545" s="554"/>
      <c r="F1545" s="167"/>
      <c r="G1545" s="474"/>
      <c r="H1545" s="474"/>
      <c r="J1545" s="555"/>
    </row>
    <row r="1546" spans="1:10" s="165" customFormat="1">
      <c r="A1546" s="172"/>
      <c r="B1546" s="552"/>
      <c r="C1546" s="553"/>
      <c r="D1546" s="554"/>
      <c r="E1546" s="554"/>
      <c r="F1546" s="167"/>
      <c r="G1546" s="474"/>
      <c r="H1546" s="474"/>
      <c r="J1546" s="555"/>
    </row>
    <row r="1547" spans="1:10" s="165" customFormat="1">
      <c r="A1547" s="172"/>
      <c r="B1547" s="552"/>
      <c r="C1547" s="553"/>
      <c r="D1547" s="554"/>
      <c r="E1547" s="554"/>
      <c r="F1547" s="167"/>
      <c r="G1547" s="474"/>
      <c r="H1547" s="474"/>
      <c r="J1547" s="555"/>
    </row>
    <row r="1548" spans="1:10" s="165" customFormat="1">
      <c r="A1548" s="172"/>
      <c r="B1548" s="552"/>
      <c r="C1548" s="553"/>
      <c r="D1548" s="554"/>
      <c r="E1548" s="554"/>
      <c r="F1548" s="167"/>
      <c r="G1548" s="474"/>
      <c r="H1548" s="474"/>
      <c r="J1548" s="555"/>
    </row>
    <row r="1549" spans="1:10" s="165" customFormat="1">
      <c r="A1549" s="172"/>
      <c r="B1549" s="552"/>
      <c r="C1549" s="553"/>
      <c r="D1549" s="554"/>
      <c r="E1549" s="554"/>
      <c r="F1549" s="167"/>
      <c r="G1549" s="474"/>
      <c r="H1549" s="474"/>
      <c r="J1549" s="555"/>
    </row>
    <row r="1550" spans="1:10" s="165" customFormat="1">
      <c r="A1550" s="172"/>
      <c r="B1550" s="552"/>
      <c r="C1550" s="553"/>
      <c r="D1550" s="554"/>
      <c r="E1550" s="554"/>
      <c r="F1550" s="167"/>
      <c r="G1550" s="474"/>
      <c r="H1550" s="474"/>
      <c r="J1550" s="555"/>
    </row>
    <row r="1551" spans="1:10" s="165" customFormat="1">
      <c r="A1551" s="172"/>
      <c r="B1551" s="552"/>
      <c r="C1551" s="553"/>
      <c r="D1551" s="554"/>
      <c r="E1551" s="554"/>
      <c r="F1551" s="167"/>
      <c r="G1551" s="474"/>
      <c r="H1551" s="474"/>
      <c r="J1551" s="555"/>
    </row>
    <row r="1552" spans="1:10" s="165" customFormat="1">
      <c r="A1552" s="172"/>
      <c r="B1552" s="552"/>
      <c r="C1552" s="553"/>
      <c r="D1552" s="554"/>
      <c r="E1552" s="554"/>
      <c r="F1552" s="167"/>
      <c r="G1552" s="474"/>
      <c r="H1552" s="474"/>
      <c r="J1552" s="555"/>
    </row>
    <row r="1553" spans="1:10" s="165" customFormat="1">
      <c r="A1553" s="172"/>
      <c r="B1553" s="552"/>
      <c r="C1553" s="553"/>
      <c r="D1553" s="554"/>
      <c r="E1553" s="554"/>
      <c r="F1553" s="167"/>
      <c r="G1553" s="474"/>
      <c r="H1553" s="474"/>
      <c r="J1553" s="555"/>
    </row>
    <row r="1554" spans="1:10" s="165" customFormat="1">
      <c r="A1554" s="172"/>
      <c r="B1554" s="552"/>
      <c r="C1554" s="553"/>
      <c r="D1554" s="554"/>
      <c r="E1554" s="554"/>
      <c r="F1554" s="167"/>
      <c r="G1554" s="474"/>
      <c r="H1554" s="474"/>
      <c r="J1554" s="555"/>
    </row>
    <row r="1555" spans="1:10" s="165" customFormat="1">
      <c r="A1555" s="172"/>
      <c r="B1555" s="552"/>
      <c r="C1555" s="553"/>
      <c r="D1555" s="554"/>
      <c r="E1555" s="554"/>
      <c r="F1555" s="167"/>
      <c r="G1555" s="474"/>
      <c r="H1555" s="474"/>
      <c r="J1555" s="555"/>
    </row>
    <row r="1556" spans="1:10" s="165" customFormat="1">
      <c r="A1556" s="172"/>
      <c r="B1556" s="552"/>
      <c r="C1556" s="553"/>
      <c r="D1556" s="554"/>
      <c r="E1556" s="554"/>
      <c r="F1556" s="167"/>
      <c r="G1556" s="474"/>
      <c r="H1556" s="474"/>
      <c r="J1556" s="555"/>
    </row>
    <row r="1557" spans="1:10" s="165" customFormat="1">
      <c r="A1557" s="172"/>
      <c r="B1557" s="552"/>
      <c r="C1557" s="553"/>
      <c r="D1557" s="554"/>
      <c r="E1557" s="554"/>
      <c r="F1557" s="167"/>
      <c r="G1557" s="474"/>
      <c r="H1557" s="474"/>
      <c r="J1557" s="555"/>
    </row>
    <row r="1558" spans="1:10" s="165" customFormat="1">
      <c r="A1558" s="172"/>
      <c r="B1558" s="552"/>
      <c r="C1558" s="553"/>
      <c r="D1558" s="554"/>
      <c r="E1558" s="554"/>
      <c r="F1558" s="167"/>
      <c r="G1558" s="474"/>
      <c r="H1558" s="474"/>
      <c r="J1558" s="555"/>
    </row>
    <row r="1559" spans="1:10" s="165" customFormat="1">
      <c r="A1559" s="172"/>
      <c r="B1559" s="552"/>
      <c r="C1559" s="553"/>
      <c r="D1559" s="554"/>
      <c r="E1559" s="554"/>
      <c r="F1559" s="167"/>
      <c r="G1559" s="474"/>
      <c r="H1559" s="474"/>
      <c r="J1559" s="555"/>
    </row>
    <row r="1560" spans="1:10" s="165" customFormat="1">
      <c r="A1560" s="172"/>
      <c r="B1560" s="552"/>
      <c r="C1560" s="553"/>
      <c r="D1560" s="554"/>
      <c r="E1560" s="554"/>
      <c r="F1560" s="167"/>
      <c r="G1560" s="474"/>
      <c r="H1560" s="474"/>
      <c r="J1560" s="555"/>
    </row>
    <row r="1561" spans="1:10" s="165" customFormat="1">
      <c r="A1561" s="172"/>
      <c r="B1561" s="552"/>
      <c r="C1561" s="553"/>
      <c r="D1561" s="554"/>
      <c r="E1561" s="554"/>
      <c r="F1561" s="167"/>
      <c r="G1561" s="474"/>
      <c r="H1561" s="474"/>
      <c r="J1561" s="555"/>
    </row>
    <row r="1562" spans="1:10" s="165" customFormat="1">
      <c r="A1562" s="172"/>
      <c r="B1562" s="552"/>
      <c r="C1562" s="553"/>
      <c r="D1562" s="554"/>
      <c r="E1562" s="554"/>
      <c r="F1562" s="167"/>
      <c r="G1562" s="474"/>
      <c r="H1562" s="474"/>
      <c r="J1562" s="555"/>
    </row>
    <row r="1563" spans="1:10" s="165" customFormat="1">
      <c r="A1563" s="172"/>
      <c r="B1563" s="552"/>
      <c r="C1563" s="553"/>
      <c r="D1563" s="554"/>
      <c r="E1563" s="554"/>
      <c r="F1563" s="167"/>
      <c r="G1563" s="474"/>
      <c r="H1563" s="474"/>
      <c r="J1563" s="555"/>
    </row>
    <row r="1564" spans="1:10" s="165" customFormat="1">
      <c r="A1564" s="172"/>
      <c r="B1564" s="552"/>
      <c r="C1564" s="553"/>
      <c r="D1564" s="554"/>
      <c r="E1564" s="554"/>
      <c r="F1564" s="167"/>
      <c r="G1564" s="474"/>
      <c r="H1564" s="474"/>
      <c r="J1564" s="555"/>
    </row>
    <row r="1565" spans="1:10" s="165" customFormat="1">
      <c r="A1565" s="172"/>
      <c r="B1565" s="552"/>
      <c r="C1565" s="553"/>
      <c r="D1565" s="554"/>
      <c r="E1565" s="554"/>
      <c r="F1565" s="167"/>
      <c r="G1565" s="474"/>
      <c r="H1565" s="474"/>
      <c r="J1565" s="555"/>
    </row>
    <row r="1566" spans="1:10" s="165" customFormat="1">
      <c r="A1566" s="172"/>
      <c r="B1566" s="552"/>
      <c r="C1566" s="553"/>
      <c r="D1566" s="554"/>
      <c r="E1566" s="554"/>
      <c r="F1566" s="167"/>
      <c r="G1566" s="474"/>
      <c r="H1566" s="474"/>
      <c r="J1566" s="555"/>
    </row>
    <row r="1567" spans="1:10" s="165" customFormat="1">
      <c r="A1567" s="172"/>
      <c r="B1567" s="552"/>
      <c r="C1567" s="553"/>
      <c r="D1567" s="554"/>
      <c r="E1567" s="554"/>
      <c r="F1567" s="167"/>
      <c r="G1567" s="474"/>
      <c r="H1567" s="474"/>
      <c r="J1567" s="555"/>
    </row>
    <row r="1568" spans="1:10" s="165" customFormat="1">
      <c r="A1568" s="172"/>
      <c r="B1568" s="552"/>
      <c r="C1568" s="553"/>
      <c r="D1568" s="554"/>
      <c r="E1568" s="554"/>
      <c r="F1568" s="167"/>
      <c r="G1568" s="474"/>
      <c r="H1568" s="474"/>
      <c r="J1568" s="555"/>
    </row>
    <row r="1569" spans="1:10" s="165" customFormat="1">
      <c r="A1569" s="172"/>
      <c r="B1569" s="552"/>
      <c r="C1569" s="553"/>
      <c r="D1569" s="554"/>
      <c r="E1569" s="554"/>
      <c r="F1569" s="167"/>
      <c r="G1569" s="474"/>
      <c r="H1569" s="474"/>
      <c r="J1569" s="555"/>
    </row>
    <row r="1570" spans="1:10" s="165" customFormat="1">
      <c r="A1570" s="172"/>
      <c r="B1570" s="552"/>
      <c r="C1570" s="553"/>
      <c r="D1570" s="554"/>
      <c r="E1570" s="554"/>
      <c r="F1570" s="167"/>
      <c r="G1570" s="474"/>
      <c r="H1570" s="474"/>
      <c r="J1570" s="555"/>
    </row>
    <row r="1571" spans="1:10" s="165" customFormat="1">
      <c r="A1571" s="172"/>
      <c r="B1571" s="552"/>
      <c r="C1571" s="553"/>
      <c r="D1571" s="554"/>
      <c r="E1571" s="554"/>
      <c r="F1571" s="167"/>
      <c r="G1571" s="474"/>
      <c r="H1571" s="474"/>
      <c r="J1571" s="555"/>
    </row>
    <row r="1572" spans="1:10" s="165" customFormat="1">
      <c r="A1572" s="172"/>
      <c r="B1572" s="552"/>
      <c r="C1572" s="553"/>
      <c r="D1572" s="554"/>
      <c r="E1572" s="554"/>
      <c r="F1572" s="167"/>
      <c r="G1572" s="474"/>
      <c r="H1572" s="474"/>
      <c r="J1572" s="555"/>
    </row>
    <row r="1573" spans="1:10" s="165" customFormat="1">
      <c r="A1573" s="172"/>
      <c r="B1573" s="552"/>
      <c r="C1573" s="553"/>
      <c r="D1573" s="554"/>
      <c r="E1573" s="554"/>
      <c r="F1573" s="167"/>
      <c r="G1573" s="474"/>
      <c r="H1573" s="474"/>
      <c r="J1573" s="555"/>
    </row>
    <row r="1574" spans="1:10" s="165" customFormat="1">
      <c r="A1574" s="172"/>
      <c r="B1574" s="552"/>
      <c r="C1574" s="553"/>
      <c r="D1574" s="554"/>
      <c r="E1574" s="554"/>
      <c r="F1574" s="167"/>
      <c r="G1574" s="474"/>
      <c r="H1574" s="474"/>
      <c r="J1574" s="555"/>
    </row>
    <row r="1575" spans="1:10" s="165" customFormat="1">
      <c r="A1575" s="172"/>
      <c r="B1575" s="552"/>
      <c r="C1575" s="553"/>
      <c r="D1575" s="554"/>
      <c r="E1575" s="554"/>
      <c r="F1575" s="167"/>
      <c r="G1575" s="474"/>
      <c r="H1575" s="474"/>
      <c r="J1575" s="555"/>
    </row>
    <row r="1576" spans="1:10" s="165" customFormat="1">
      <c r="A1576" s="172"/>
      <c r="B1576" s="552"/>
      <c r="C1576" s="553"/>
      <c r="D1576" s="554"/>
      <c r="E1576" s="554"/>
      <c r="F1576" s="167"/>
      <c r="G1576" s="474"/>
      <c r="H1576" s="474"/>
      <c r="J1576" s="555"/>
    </row>
    <row r="1577" spans="1:10" s="165" customFormat="1">
      <c r="A1577" s="172"/>
      <c r="B1577" s="552"/>
      <c r="C1577" s="553"/>
      <c r="D1577" s="554"/>
      <c r="E1577" s="554"/>
      <c r="F1577" s="167"/>
      <c r="G1577" s="474"/>
      <c r="H1577" s="474"/>
      <c r="J1577" s="555"/>
    </row>
    <row r="1578" spans="1:10" s="165" customFormat="1">
      <c r="A1578" s="172"/>
      <c r="B1578" s="552"/>
      <c r="C1578" s="553"/>
      <c r="D1578" s="554"/>
      <c r="E1578" s="554"/>
      <c r="F1578" s="167"/>
      <c r="G1578" s="474"/>
      <c r="H1578" s="474"/>
      <c r="J1578" s="555"/>
    </row>
    <row r="1579" spans="1:10" s="165" customFormat="1">
      <c r="A1579" s="172"/>
      <c r="B1579" s="552"/>
      <c r="C1579" s="553"/>
      <c r="D1579" s="554"/>
      <c r="E1579" s="554"/>
      <c r="F1579" s="167"/>
      <c r="G1579" s="474"/>
      <c r="H1579" s="474"/>
      <c r="J1579" s="555"/>
    </row>
    <row r="1580" spans="1:10" s="165" customFormat="1">
      <c r="A1580" s="172"/>
      <c r="B1580" s="552"/>
      <c r="C1580" s="553"/>
      <c r="D1580" s="554"/>
      <c r="E1580" s="554"/>
      <c r="F1580" s="167"/>
      <c r="G1580" s="474"/>
      <c r="H1580" s="474"/>
      <c r="J1580" s="555"/>
    </row>
    <row r="1581" spans="1:10" s="165" customFormat="1">
      <c r="A1581" s="172"/>
      <c r="B1581" s="552"/>
      <c r="C1581" s="553"/>
      <c r="D1581" s="554"/>
      <c r="E1581" s="554"/>
      <c r="F1581" s="167"/>
      <c r="G1581" s="474"/>
      <c r="H1581" s="474"/>
      <c r="J1581" s="555"/>
    </row>
    <row r="1582" spans="1:10" s="165" customFormat="1">
      <c r="A1582" s="172"/>
      <c r="B1582" s="552"/>
      <c r="C1582" s="553"/>
      <c r="D1582" s="554"/>
      <c r="E1582" s="554"/>
      <c r="F1582" s="167"/>
      <c r="G1582" s="474"/>
      <c r="H1582" s="474"/>
      <c r="J1582" s="555"/>
    </row>
    <row r="1583" spans="1:10" s="165" customFormat="1">
      <c r="A1583" s="172"/>
      <c r="B1583" s="552"/>
      <c r="C1583" s="553"/>
      <c r="D1583" s="554"/>
      <c r="E1583" s="554"/>
      <c r="F1583" s="167"/>
      <c r="G1583" s="474"/>
      <c r="H1583" s="474"/>
      <c r="J1583" s="555"/>
    </row>
    <row r="1584" spans="1:10" s="165" customFormat="1">
      <c r="A1584" s="172"/>
      <c r="B1584" s="552"/>
      <c r="C1584" s="553"/>
      <c r="D1584" s="554"/>
      <c r="E1584" s="554"/>
      <c r="F1584" s="167"/>
      <c r="G1584" s="474"/>
      <c r="H1584" s="474"/>
      <c r="J1584" s="555"/>
    </row>
    <row r="1585" spans="1:10" s="165" customFormat="1">
      <c r="A1585" s="172"/>
      <c r="B1585" s="552"/>
      <c r="C1585" s="553"/>
      <c r="D1585" s="554"/>
      <c r="E1585" s="554"/>
      <c r="F1585" s="167"/>
      <c r="G1585" s="474"/>
      <c r="H1585" s="474"/>
      <c r="J1585" s="555"/>
    </row>
    <row r="1586" spans="1:10" s="165" customFormat="1">
      <c r="A1586" s="172"/>
      <c r="B1586" s="552"/>
      <c r="C1586" s="553"/>
      <c r="D1586" s="554"/>
      <c r="E1586" s="554"/>
      <c r="F1586" s="167"/>
      <c r="G1586" s="474"/>
      <c r="H1586" s="474"/>
      <c r="J1586" s="555"/>
    </row>
    <row r="1587" spans="1:10" s="165" customFormat="1">
      <c r="A1587" s="172"/>
      <c r="B1587" s="552"/>
      <c r="C1587" s="553"/>
      <c r="D1587" s="554"/>
      <c r="E1587" s="554"/>
      <c r="F1587" s="167"/>
      <c r="G1587" s="474"/>
      <c r="H1587" s="474"/>
      <c r="J1587" s="555"/>
    </row>
    <row r="1588" spans="1:10" s="165" customFormat="1">
      <c r="A1588" s="172"/>
      <c r="B1588" s="552"/>
      <c r="C1588" s="553"/>
      <c r="D1588" s="554"/>
      <c r="E1588" s="554"/>
      <c r="F1588" s="167"/>
      <c r="G1588" s="474"/>
      <c r="H1588" s="474"/>
      <c r="J1588" s="555"/>
    </row>
    <row r="1589" spans="1:10" s="165" customFormat="1">
      <c r="A1589" s="172"/>
      <c r="B1589" s="552"/>
      <c r="C1589" s="553"/>
      <c r="D1589" s="554"/>
      <c r="E1589" s="554"/>
      <c r="F1589" s="167"/>
      <c r="G1589" s="474"/>
      <c r="H1589" s="474"/>
      <c r="J1589" s="555"/>
    </row>
    <row r="1590" spans="1:10" s="165" customFormat="1">
      <c r="A1590" s="172"/>
      <c r="B1590" s="552"/>
      <c r="C1590" s="553"/>
      <c r="D1590" s="554"/>
      <c r="E1590" s="554"/>
      <c r="F1590" s="167"/>
      <c r="G1590" s="474"/>
      <c r="H1590" s="474"/>
      <c r="J1590" s="555"/>
    </row>
    <row r="1591" spans="1:10" s="165" customFormat="1">
      <c r="A1591" s="172"/>
      <c r="B1591" s="552"/>
      <c r="C1591" s="553"/>
      <c r="D1591" s="554"/>
      <c r="E1591" s="554"/>
      <c r="F1591" s="167"/>
      <c r="G1591" s="474"/>
      <c r="H1591" s="474"/>
      <c r="J1591" s="555"/>
    </row>
    <row r="1592" spans="1:10" s="165" customFormat="1">
      <c r="A1592" s="172"/>
      <c r="B1592" s="552"/>
      <c r="C1592" s="553"/>
      <c r="D1592" s="554"/>
      <c r="E1592" s="554"/>
      <c r="F1592" s="167"/>
      <c r="G1592" s="474"/>
      <c r="H1592" s="474"/>
      <c r="J1592" s="555"/>
    </row>
    <row r="1593" spans="1:10" s="165" customFormat="1">
      <c r="A1593" s="172"/>
      <c r="B1593" s="552"/>
      <c r="C1593" s="553"/>
      <c r="D1593" s="554"/>
      <c r="E1593" s="554"/>
      <c r="F1593" s="167"/>
      <c r="G1593" s="474"/>
      <c r="H1593" s="474"/>
      <c r="J1593" s="555"/>
    </row>
    <row r="1594" spans="1:10" s="165" customFormat="1">
      <c r="A1594" s="172"/>
      <c r="B1594" s="552"/>
      <c r="C1594" s="553"/>
      <c r="D1594" s="554"/>
      <c r="E1594" s="554"/>
      <c r="F1594" s="167"/>
      <c r="G1594" s="474"/>
      <c r="H1594" s="474"/>
      <c r="J1594" s="555"/>
    </row>
    <row r="1595" spans="1:10" s="165" customFormat="1">
      <c r="A1595" s="172"/>
      <c r="B1595" s="552"/>
      <c r="C1595" s="553"/>
      <c r="D1595" s="554"/>
      <c r="E1595" s="554"/>
      <c r="F1595" s="167"/>
      <c r="G1595" s="474"/>
      <c r="H1595" s="474"/>
      <c r="J1595" s="555"/>
    </row>
    <row r="1596" spans="1:10" s="165" customFormat="1">
      <c r="A1596" s="172"/>
      <c r="B1596" s="552"/>
      <c r="C1596" s="553"/>
      <c r="D1596" s="554"/>
      <c r="E1596" s="554"/>
      <c r="F1596" s="167"/>
      <c r="G1596" s="474"/>
      <c r="H1596" s="474"/>
      <c r="J1596" s="555"/>
    </row>
    <row r="1597" spans="1:10" s="165" customFormat="1">
      <c r="A1597" s="172"/>
      <c r="B1597" s="552"/>
      <c r="C1597" s="553"/>
      <c r="D1597" s="554"/>
      <c r="E1597" s="554"/>
      <c r="F1597" s="167"/>
      <c r="G1597" s="474"/>
      <c r="H1597" s="474"/>
      <c r="J1597" s="555"/>
    </row>
    <row r="1598" spans="1:10" s="165" customFormat="1">
      <c r="A1598" s="172"/>
      <c r="B1598" s="552"/>
      <c r="C1598" s="553"/>
      <c r="D1598" s="554"/>
      <c r="E1598" s="554"/>
      <c r="F1598" s="167"/>
      <c r="G1598" s="474"/>
      <c r="H1598" s="474"/>
      <c r="J1598" s="555"/>
    </row>
    <row r="1599" spans="1:10" s="165" customFormat="1">
      <c r="A1599" s="172"/>
      <c r="B1599" s="552"/>
      <c r="C1599" s="553"/>
      <c r="D1599" s="554"/>
      <c r="E1599" s="554"/>
      <c r="F1599" s="167"/>
      <c r="G1599" s="474"/>
      <c r="H1599" s="474"/>
      <c r="J1599" s="555"/>
    </row>
    <row r="1600" spans="1:10" s="165" customFormat="1">
      <c r="A1600" s="172"/>
      <c r="B1600" s="552"/>
      <c r="C1600" s="553"/>
      <c r="D1600" s="554"/>
      <c r="E1600" s="554"/>
      <c r="F1600" s="167"/>
      <c r="G1600" s="474"/>
      <c r="H1600" s="474"/>
      <c r="J1600" s="555"/>
    </row>
    <row r="1601" spans="1:10" s="165" customFormat="1">
      <c r="A1601" s="172"/>
      <c r="B1601" s="552"/>
      <c r="C1601" s="553"/>
      <c r="D1601" s="554"/>
      <c r="E1601" s="554"/>
      <c r="F1601" s="167"/>
      <c r="G1601" s="474"/>
      <c r="H1601" s="474"/>
      <c r="J1601" s="555"/>
    </row>
    <row r="1602" spans="1:10" s="165" customFormat="1">
      <c r="A1602" s="172"/>
      <c r="B1602" s="552"/>
      <c r="C1602" s="553"/>
      <c r="D1602" s="554"/>
      <c r="E1602" s="554"/>
      <c r="F1602" s="167"/>
      <c r="G1602" s="474"/>
      <c r="H1602" s="474"/>
      <c r="J1602" s="555"/>
    </row>
    <row r="1603" spans="1:10" s="165" customFormat="1">
      <c r="A1603" s="172"/>
      <c r="B1603" s="552"/>
      <c r="C1603" s="553"/>
      <c r="D1603" s="554"/>
      <c r="E1603" s="554"/>
      <c r="F1603" s="167"/>
      <c r="G1603" s="474"/>
      <c r="H1603" s="474"/>
      <c r="J1603" s="555"/>
    </row>
    <row r="1604" spans="1:10" s="165" customFormat="1">
      <c r="A1604" s="172"/>
      <c r="B1604" s="552"/>
      <c r="C1604" s="553"/>
      <c r="D1604" s="554"/>
      <c r="E1604" s="554"/>
      <c r="F1604" s="167"/>
      <c r="G1604" s="474"/>
      <c r="H1604" s="474"/>
      <c r="J1604" s="555"/>
    </row>
    <row r="1605" spans="1:10" s="165" customFormat="1">
      <c r="A1605" s="172"/>
      <c r="B1605" s="552"/>
      <c r="C1605" s="553"/>
      <c r="D1605" s="554"/>
      <c r="E1605" s="554"/>
      <c r="F1605" s="167"/>
      <c r="G1605" s="474"/>
      <c r="H1605" s="474"/>
      <c r="J1605" s="555"/>
    </row>
    <row r="1606" spans="1:10" s="165" customFormat="1">
      <c r="A1606" s="172"/>
      <c r="B1606" s="552"/>
      <c r="C1606" s="553"/>
      <c r="D1606" s="554"/>
      <c r="E1606" s="554"/>
      <c r="F1606" s="167"/>
      <c r="G1606" s="474"/>
      <c r="H1606" s="474"/>
      <c r="J1606" s="555"/>
    </row>
    <row r="1607" spans="1:10" s="165" customFormat="1">
      <c r="A1607" s="172"/>
      <c r="B1607" s="552"/>
      <c r="C1607" s="553"/>
      <c r="D1607" s="554"/>
      <c r="E1607" s="554"/>
      <c r="F1607" s="167"/>
      <c r="G1607" s="474"/>
      <c r="H1607" s="474"/>
      <c r="J1607" s="555"/>
    </row>
    <row r="1608" spans="1:10" s="165" customFormat="1">
      <c r="A1608" s="172"/>
      <c r="B1608" s="552"/>
      <c r="C1608" s="553"/>
      <c r="D1608" s="554"/>
      <c r="E1608" s="554"/>
      <c r="F1608" s="167"/>
      <c r="G1608" s="474"/>
      <c r="H1608" s="474"/>
      <c r="J1608" s="555"/>
    </row>
    <row r="1609" spans="1:10" s="165" customFormat="1">
      <c r="A1609" s="172"/>
      <c r="B1609" s="552"/>
      <c r="C1609" s="553"/>
      <c r="D1609" s="554"/>
      <c r="E1609" s="554"/>
      <c r="F1609" s="167"/>
      <c r="G1609" s="474"/>
      <c r="H1609" s="474"/>
      <c r="J1609" s="555"/>
    </row>
    <row r="1610" spans="1:10" s="165" customFormat="1">
      <c r="A1610" s="172"/>
      <c r="B1610" s="552"/>
      <c r="C1610" s="553"/>
      <c r="D1610" s="554"/>
      <c r="E1610" s="554"/>
      <c r="F1610" s="167"/>
      <c r="G1610" s="474"/>
      <c r="H1610" s="474"/>
      <c r="J1610" s="555"/>
    </row>
    <row r="1611" spans="1:10" s="165" customFormat="1">
      <c r="A1611" s="172"/>
      <c r="B1611" s="552"/>
      <c r="C1611" s="553"/>
      <c r="D1611" s="554"/>
      <c r="E1611" s="554"/>
      <c r="F1611" s="167"/>
      <c r="G1611" s="474"/>
      <c r="H1611" s="474"/>
      <c r="J1611" s="555"/>
    </row>
    <row r="1612" spans="1:10" s="165" customFormat="1">
      <c r="A1612" s="172"/>
      <c r="B1612" s="552"/>
      <c r="C1612" s="553"/>
      <c r="D1612" s="554"/>
      <c r="E1612" s="554"/>
      <c r="F1612" s="167"/>
      <c r="G1612" s="474"/>
      <c r="H1612" s="474"/>
      <c r="J1612" s="555"/>
    </row>
    <row r="1613" spans="1:10" s="165" customFormat="1">
      <c r="A1613" s="172"/>
      <c r="B1613" s="552"/>
      <c r="C1613" s="553"/>
      <c r="D1613" s="554"/>
      <c r="E1613" s="554"/>
      <c r="F1613" s="167"/>
      <c r="G1613" s="474"/>
      <c r="H1613" s="474"/>
      <c r="J1613" s="555"/>
    </row>
    <row r="1614" spans="1:10" s="165" customFormat="1">
      <c r="A1614" s="172"/>
      <c r="B1614" s="552"/>
      <c r="C1614" s="553"/>
      <c r="D1614" s="554"/>
      <c r="E1614" s="554"/>
      <c r="F1614" s="167"/>
      <c r="G1614" s="474"/>
      <c r="H1614" s="474"/>
      <c r="J1614" s="555"/>
    </row>
    <row r="1615" spans="1:10" s="165" customFormat="1">
      <c r="A1615" s="172"/>
      <c r="B1615" s="552"/>
      <c r="C1615" s="553"/>
      <c r="D1615" s="554"/>
      <c r="E1615" s="554"/>
      <c r="F1615" s="167"/>
      <c r="G1615" s="474"/>
      <c r="H1615" s="474"/>
      <c r="J1615" s="555"/>
    </row>
    <row r="1616" spans="1:10" s="165" customFormat="1">
      <c r="A1616" s="172"/>
      <c r="B1616" s="552"/>
      <c r="C1616" s="553"/>
      <c r="D1616" s="554"/>
      <c r="E1616" s="554"/>
      <c r="F1616" s="167"/>
      <c r="G1616" s="474"/>
      <c r="H1616" s="474"/>
      <c r="J1616" s="555"/>
    </row>
    <row r="1617" spans="1:10" s="165" customFormat="1">
      <c r="A1617" s="172"/>
      <c r="B1617" s="552"/>
      <c r="C1617" s="553"/>
      <c r="D1617" s="554"/>
      <c r="E1617" s="554"/>
      <c r="F1617" s="167"/>
      <c r="G1617" s="474"/>
      <c r="H1617" s="474"/>
      <c r="J1617" s="555"/>
    </row>
    <row r="1618" spans="1:10" s="165" customFormat="1">
      <c r="A1618" s="172"/>
      <c r="B1618" s="552"/>
      <c r="C1618" s="553"/>
      <c r="D1618" s="554"/>
      <c r="E1618" s="554"/>
      <c r="F1618" s="167"/>
      <c r="G1618" s="474"/>
      <c r="H1618" s="474"/>
      <c r="J1618" s="555"/>
    </row>
    <row r="1619" spans="1:10" s="165" customFormat="1">
      <c r="A1619" s="172"/>
      <c r="B1619" s="552"/>
      <c r="C1619" s="553"/>
      <c r="D1619" s="554"/>
      <c r="E1619" s="554"/>
      <c r="F1619" s="167"/>
      <c r="G1619" s="474"/>
      <c r="H1619" s="474"/>
      <c r="J1619" s="555"/>
    </row>
    <row r="1620" spans="1:10" s="165" customFormat="1">
      <c r="A1620" s="172"/>
      <c r="B1620" s="552"/>
      <c r="C1620" s="553"/>
      <c r="D1620" s="554"/>
      <c r="E1620" s="554"/>
      <c r="F1620" s="167"/>
      <c r="G1620" s="474"/>
      <c r="H1620" s="474"/>
      <c r="J1620" s="555"/>
    </row>
    <row r="1621" spans="1:10" s="165" customFormat="1">
      <c r="A1621" s="172"/>
      <c r="B1621" s="552"/>
      <c r="C1621" s="553"/>
      <c r="D1621" s="554"/>
      <c r="E1621" s="554"/>
      <c r="F1621" s="167"/>
      <c r="G1621" s="474"/>
      <c r="H1621" s="474"/>
      <c r="J1621" s="555"/>
    </row>
    <row r="1622" spans="1:10" s="165" customFormat="1">
      <c r="A1622" s="172"/>
      <c r="B1622" s="552"/>
      <c r="C1622" s="553"/>
      <c r="D1622" s="554"/>
      <c r="E1622" s="554"/>
      <c r="F1622" s="167"/>
      <c r="G1622" s="474"/>
      <c r="H1622" s="474"/>
      <c r="J1622" s="555"/>
    </row>
    <row r="1623" spans="1:10" s="165" customFormat="1">
      <c r="A1623" s="172"/>
      <c r="B1623" s="552"/>
      <c r="C1623" s="553"/>
      <c r="D1623" s="554"/>
      <c r="E1623" s="554"/>
      <c r="F1623" s="167"/>
      <c r="G1623" s="474"/>
      <c r="H1623" s="474"/>
      <c r="J1623" s="555"/>
    </row>
    <row r="1624" spans="1:10" s="165" customFormat="1">
      <c r="A1624" s="172"/>
      <c r="B1624" s="552"/>
      <c r="C1624" s="553"/>
      <c r="D1624" s="554"/>
      <c r="E1624" s="554"/>
      <c r="F1624" s="167"/>
      <c r="G1624" s="474"/>
      <c r="H1624" s="474"/>
      <c r="J1624" s="555"/>
    </row>
    <row r="1625" spans="1:10" s="165" customFormat="1">
      <c r="A1625" s="172"/>
      <c r="B1625" s="552"/>
      <c r="C1625" s="553"/>
      <c r="D1625" s="554"/>
      <c r="E1625" s="554"/>
      <c r="F1625" s="167"/>
      <c r="G1625" s="474"/>
      <c r="H1625" s="474"/>
      <c r="J1625" s="555"/>
    </row>
    <row r="1626" spans="1:10" s="165" customFormat="1">
      <c r="A1626" s="172"/>
      <c r="B1626" s="552"/>
      <c r="C1626" s="553"/>
      <c r="D1626" s="554"/>
      <c r="E1626" s="554"/>
      <c r="F1626" s="167"/>
      <c r="G1626" s="474"/>
      <c r="H1626" s="474"/>
      <c r="J1626" s="555"/>
    </row>
    <row r="1627" spans="1:10" s="165" customFormat="1">
      <c r="A1627" s="172"/>
      <c r="B1627" s="552"/>
      <c r="C1627" s="553"/>
      <c r="D1627" s="554"/>
      <c r="E1627" s="554"/>
      <c r="F1627" s="167"/>
      <c r="G1627" s="474"/>
      <c r="H1627" s="474"/>
      <c r="J1627" s="555"/>
    </row>
    <row r="1628" spans="1:10" s="165" customFormat="1">
      <c r="A1628" s="172"/>
      <c r="B1628" s="552"/>
      <c r="C1628" s="553"/>
      <c r="D1628" s="554"/>
      <c r="E1628" s="554"/>
      <c r="F1628" s="167"/>
      <c r="G1628" s="474"/>
      <c r="H1628" s="474"/>
      <c r="J1628" s="555"/>
    </row>
    <row r="1629" spans="1:10" s="165" customFormat="1">
      <c r="A1629" s="172"/>
      <c r="B1629" s="552"/>
      <c r="C1629" s="553"/>
      <c r="D1629" s="554"/>
      <c r="E1629" s="554"/>
      <c r="F1629" s="167"/>
      <c r="G1629" s="474"/>
      <c r="H1629" s="474"/>
      <c r="J1629" s="555"/>
    </row>
    <row r="1630" spans="1:10" s="165" customFormat="1">
      <c r="A1630" s="172"/>
      <c r="B1630" s="552"/>
      <c r="C1630" s="553"/>
      <c r="D1630" s="554"/>
      <c r="E1630" s="554"/>
      <c r="F1630" s="167"/>
      <c r="G1630" s="474"/>
      <c r="H1630" s="474"/>
      <c r="J1630" s="555"/>
    </row>
    <row r="1631" spans="1:10" s="165" customFormat="1">
      <c r="A1631" s="172"/>
      <c r="B1631" s="552"/>
      <c r="C1631" s="553"/>
      <c r="D1631" s="554"/>
      <c r="E1631" s="554"/>
      <c r="F1631" s="167"/>
      <c r="G1631" s="474"/>
      <c r="H1631" s="474"/>
      <c r="J1631" s="555"/>
    </row>
    <row r="1632" spans="1:10" s="165" customFormat="1">
      <c r="A1632" s="172"/>
      <c r="B1632" s="552"/>
      <c r="C1632" s="553"/>
      <c r="D1632" s="554"/>
      <c r="E1632" s="554"/>
      <c r="F1632" s="167"/>
      <c r="G1632" s="474"/>
      <c r="H1632" s="474"/>
      <c r="J1632" s="555"/>
    </row>
    <row r="1633" spans="1:10" s="165" customFormat="1">
      <c r="A1633" s="172"/>
      <c r="B1633" s="552"/>
      <c r="C1633" s="553"/>
      <c r="D1633" s="554"/>
      <c r="E1633" s="554"/>
      <c r="F1633" s="167"/>
      <c r="G1633" s="474"/>
      <c r="H1633" s="474"/>
      <c r="J1633" s="555"/>
    </row>
    <row r="1634" spans="1:10" s="165" customFormat="1">
      <c r="A1634" s="172"/>
      <c r="B1634" s="552"/>
      <c r="C1634" s="553"/>
      <c r="D1634" s="554"/>
      <c r="E1634" s="554"/>
      <c r="F1634" s="167"/>
      <c r="G1634" s="474"/>
      <c r="H1634" s="474"/>
      <c r="J1634" s="555"/>
    </row>
    <row r="1635" spans="1:10" s="165" customFormat="1">
      <c r="A1635" s="172"/>
      <c r="B1635" s="552"/>
      <c r="C1635" s="553"/>
      <c r="D1635" s="554"/>
      <c r="E1635" s="554"/>
      <c r="F1635" s="167"/>
      <c r="G1635" s="474"/>
      <c r="H1635" s="474"/>
      <c r="J1635" s="555"/>
    </row>
    <row r="1636" spans="1:10" s="165" customFormat="1">
      <c r="A1636" s="172"/>
      <c r="B1636" s="552"/>
      <c r="C1636" s="553"/>
      <c r="D1636" s="554"/>
      <c r="E1636" s="554"/>
      <c r="F1636" s="167"/>
      <c r="G1636" s="474"/>
      <c r="H1636" s="474"/>
      <c r="J1636" s="555"/>
    </row>
    <row r="1637" spans="1:10" s="165" customFormat="1">
      <c r="A1637" s="172"/>
      <c r="B1637" s="552"/>
      <c r="C1637" s="553"/>
      <c r="D1637" s="554"/>
      <c r="E1637" s="554"/>
      <c r="F1637" s="167"/>
      <c r="G1637" s="474"/>
      <c r="H1637" s="474"/>
      <c r="J1637" s="555"/>
    </row>
    <row r="1638" spans="1:10" s="165" customFormat="1">
      <c r="A1638" s="172"/>
      <c r="B1638" s="552"/>
      <c r="C1638" s="553"/>
      <c r="D1638" s="554"/>
      <c r="E1638" s="554"/>
      <c r="F1638" s="167"/>
      <c r="G1638" s="474"/>
      <c r="H1638" s="474"/>
      <c r="J1638" s="555"/>
    </row>
    <row r="1639" spans="1:10" s="165" customFormat="1">
      <c r="A1639" s="172"/>
      <c r="B1639" s="552"/>
      <c r="C1639" s="553"/>
      <c r="D1639" s="554"/>
      <c r="E1639" s="554"/>
      <c r="F1639" s="167"/>
      <c r="G1639" s="474"/>
      <c r="H1639" s="474"/>
      <c r="J1639" s="555"/>
    </row>
    <row r="1640" spans="1:10" s="165" customFormat="1">
      <c r="A1640" s="172"/>
      <c r="B1640" s="552"/>
      <c r="C1640" s="553"/>
      <c r="D1640" s="554"/>
      <c r="E1640" s="554"/>
      <c r="F1640" s="167"/>
      <c r="G1640" s="474"/>
      <c r="H1640" s="474"/>
      <c r="J1640" s="555"/>
    </row>
    <row r="1641" spans="1:10" s="165" customFormat="1">
      <c r="A1641" s="172"/>
      <c r="B1641" s="552"/>
      <c r="C1641" s="553"/>
      <c r="D1641" s="554"/>
      <c r="E1641" s="554"/>
      <c r="F1641" s="167"/>
      <c r="G1641" s="474"/>
      <c r="H1641" s="474"/>
      <c r="J1641" s="555"/>
    </row>
    <row r="1642" spans="1:10" s="165" customFormat="1">
      <c r="A1642" s="172"/>
      <c r="B1642" s="552"/>
      <c r="C1642" s="553"/>
      <c r="D1642" s="554"/>
      <c r="E1642" s="554"/>
      <c r="F1642" s="167"/>
      <c r="G1642" s="474"/>
      <c r="H1642" s="474"/>
      <c r="J1642" s="555"/>
    </row>
    <row r="1643" spans="1:10" s="165" customFormat="1">
      <c r="A1643" s="172"/>
      <c r="B1643" s="552"/>
      <c r="C1643" s="553"/>
      <c r="D1643" s="554"/>
      <c r="E1643" s="554"/>
      <c r="F1643" s="167"/>
      <c r="G1643" s="474"/>
      <c r="H1643" s="474"/>
      <c r="J1643" s="555"/>
    </row>
    <row r="1644" spans="1:10" s="165" customFormat="1">
      <c r="A1644" s="172"/>
      <c r="B1644" s="552"/>
      <c r="C1644" s="553"/>
      <c r="D1644" s="554"/>
      <c r="E1644" s="554"/>
      <c r="F1644" s="167"/>
      <c r="G1644" s="474"/>
      <c r="H1644" s="474"/>
      <c r="J1644" s="555"/>
    </row>
    <row r="1645" spans="1:10" s="165" customFormat="1">
      <c r="A1645" s="172"/>
      <c r="B1645" s="552"/>
      <c r="C1645" s="553"/>
      <c r="D1645" s="554"/>
      <c r="E1645" s="554"/>
      <c r="F1645" s="167"/>
      <c r="G1645" s="474"/>
      <c r="H1645" s="474"/>
      <c r="J1645" s="555"/>
    </row>
    <row r="1646" spans="1:10" s="165" customFormat="1">
      <c r="A1646" s="172"/>
      <c r="B1646" s="552"/>
      <c r="C1646" s="553"/>
      <c r="D1646" s="554"/>
      <c r="E1646" s="554"/>
      <c r="F1646" s="167"/>
      <c r="G1646" s="474"/>
      <c r="H1646" s="474"/>
      <c r="J1646" s="555"/>
    </row>
    <row r="1647" spans="1:10" s="165" customFormat="1">
      <c r="A1647" s="172"/>
      <c r="B1647" s="552"/>
      <c r="C1647" s="553"/>
      <c r="D1647" s="554"/>
      <c r="E1647" s="554"/>
      <c r="F1647" s="167"/>
      <c r="G1647" s="474"/>
      <c r="H1647" s="474"/>
      <c r="J1647" s="555"/>
    </row>
    <row r="1648" spans="1:10" s="165" customFormat="1">
      <c r="A1648" s="172"/>
      <c r="B1648" s="552"/>
      <c r="C1648" s="553"/>
      <c r="D1648" s="554"/>
      <c r="E1648" s="554"/>
      <c r="F1648" s="167"/>
      <c r="G1648" s="474"/>
      <c r="H1648" s="474"/>
      <c r="J1648" s="555"/>
    </row>
    <row r="1649" spans="1:10" s="165" customFormat="1">
      <c r="A1649" s="172"/>
      <c r="B1649" s="552"/>
      <c r="C1649" s="553"/>
      <c r="D1649" s="554"/>
      <c r="E1649" s="554"/>
      <c r="F1649" s="167"/>
      <c r="G1649" s="474"/>
      <c r="H1649" s="474"/>
      <c r="J1649" s="555"/>
    </row>
    <row r="1650" spans="1:10" s="165" customFormat="1">
      <c r="A1650" s="172"/>
      <c r="B1650" s="552"/>
      <c r="C1650" s="553"/>
      <c r="D1650" s="554"/>
      <c r="E1650" s="554"/>
      <c r="F1650" s="167"/>
      <c r="G1650" s="474"/>
      <c r="H1650" s="474"/>
      <c r="J1650" s="555"/>
    </row>
    <row r="1651" spans="1:10" s="165" customFormat="1">
      <c r="A1651" s="172"/>
      <c r="B1651" s="552"/>
      <c r="C1651" s="553"/>
      <c r="D1651" s="554"/>
      <c r="E1651" s="554"/>
      <c r="F1651" s="167"/>
      <c r="G1651" s="474"/>
      <c r="H1651" s="474"/>
      <c r="J1651" s="555"/>
    </row>
    <row r="1652" spans="1:10" s="165" customFormat="1">
      <c r="A1652" s="172"/>
      <c r="B1652" s="552"/>
      <c r="C1652" s="553"/>
      <c r="D1652" s="554"/>
      <c r="E1652" s="554"/>
      <c r="F1652" s="167"/>
      <c r="G1652" s="474"/>
      <c r="H1652" s="474"/>
      <c r="J1652" s="555"/>
    </row>
    <row r="1653" spans="1:10" s="165" customFormat="1">
      <c r="A1653" s="172"/>
      <c r="B1653" s="552"/>
      <c r="C1653" s="553"/>
      <c r="D1653" s="554"/>
      <c r="E1653" s="554"/>
      <c r="F1653" s="167"/>
      <c r="G1653" s="474"/>
      <c r="H1653" s="474"/>
      <c r="J1653" s="555"/>
    </row>
    <row r="1654" spans="1:10" s="165" customFormat="1">
      <c r="A1654" s="172"/>
      <c r="B1654" s="552"/>
      <c r="C1654" s="553"/>
      <c r="D1654" s="554"/>
      <c r="E1654" s="554"/>
      <c r="F1654" s="167"/>
      <c r="G1654" s="474"/>
      <c r="H1654" s="474"/>
      <c r="J1654" s="555"/>
    </row>
    <row r="1655" spans="1:10" s="165" customFormat="1">
      <c r="A1655" s="172"/>
      <c r="B1655" s="552"/>
      <c r="C1655" s="553"/>
      <c r="D1655" s="554"/>
      <c r="E1655" s="554"/>
      <c r="F1655" s="167"/>
      <c r="G1655" s="474"/>
      <c r="H1655" s="474"/>
      <c r="J1655" s="555"/>
    </row>
    <row r="1656" spans="1:10" s="165" customFormat="1">
      <c r="A1656" s="172"/>
      <c r="B1656" s="552"/>
      <c r="C1656" s="553"/>
      <c r="D1656" s="554"/>
      <c r="E1656" s="554"/>
      <c r="F1656" s="167"/>
      <c r="G1656" s="474"/>
      <c r="H1656" s="474"/>
      <c r="J1656" s="555"/>
    </row>
    <row r="1657" spans="1:10" s="165" customFormat="1">
      <c r="A1657" s="172"/>
      <c r="B1657" s="552"/>
      <c r="C1657" s="553"/>
      <c r="D1657" s="554"/>
      <c r="E1657" s="554"/>
      <c r="F1657" s="167"/>
      <c r="G1657" s="474"/>
      <c r="H1657" s="474"/>
      <c r="J1657" s="555"/>
    </row>
    <row r="1658" spans="1:10" s="165" customFormat="1">
      <c r="A1658" s="172"/>
      <c r="B1658" s="552"/>
      <c r="C1658" s="553"/>
      <c r="D1658" s="554"/>
      <c r="E1658" s="554"/>
      <c r="F1658" s="167"/>
      <c r="G1658" s="474"/>
      <c r="H1658" s="474"/>
      <c r="J1658" s="555"/>
    </row>
    <row r="1659" spans="1:10" s="165" customFormat="1">
      <c r="A1659" s="172"/>
      <c r="B1659" s="552"/>
      <c r="C1659" s="553"/>
      <c r="D1659" s="554"/>
      <c r="E1659" s="554"/>
      <c r="F1659" s="167"/>
      <c r="G1659" s="474"/>
      <c r="H1659" s="474"/>
      <c r="J1659" s="555"/>
    </row>
    <row r="1660" spans="1:10" s="165" customFormat="1">
      <c r="A1660" s="172"/>
      <c r="B1660" s="552"/>
      <c r="C1660" s="553"/>
      <c r="D1660" s="554"/>
      <c r="E1660" s="554"/>
      <c r="F1660" s="167"/>
      <c r="G1660" s="474"/>
      <c r="H1660" s="474"/>
      <c r="J1660" s="555"/>
    </row>
    <row r="1661" spans="1:10" s="165" customFormat="1">
      <c r="A1661" s="172"/>
      <c r="B1661" s="552"/>
      <c r="C1661" s="553"/>
      <c r="D1661" s="554"/>
      <c r="E1661" s="554"/>
      <c r="F1661" s="167"/>
      <c r="G1661" s="474"/>
      <c r="H1661" s="474"/>
      <c r="J1661" s="555"/>
    </row>
    <row r="1662" spans="1:10" s="165" customFormat="1">
      <c r="A1662" s="172"/>
      <c r="B1662" s="552"/>
      <c r="C1662" s="553"/>
      <c r="D1662" s="554"/>
      <c r="E1662" s="554"/>
      <c r="F1662" s="167"/>
      <c r="G1662" s="474"/>
      <c r="H1662" s="474"/>
      <c r="J1662" s="555"/>
    </row>
    <row r="1663" spans="1:10" s="165" customFormat="1">
      <c r="A1663" s="172"/>
      <c r="B1663" s="552"/>
      <c r="C1663" s="553"/>
      <c r="D1663" s="554"/>
      <c r="E1663" s="554"/>
      <c r="F1663" s="167"/>
      <c r="G1663" s="474"/>
      <c r="H1663" s="474"/>
      <c r="J1663" s="555"/>
    </row>
    <row r="1664" spans="1:10" s="165" customFormat="1">
      <c r="A1664" s="172"/>
      <c r="B1664" s="552"/>
      <c r="C1664" s="553"/>
      <c r="D1664" s="554"/>
      <c r="E1664" s="554"/>
      <c r="F1664" s="167"/>
      <c r="G1664" s="474"/>
      <c r="H1664" s="474"/>
      <c r="J1664" s="555"/>
    </row>
    <row r="1665" spans="1:10" s="165" customFormat="1">
      <c r="A1665" s="172"/>
      <c r="B1665" s="552"/>
      <c r="C1665" s="553"/>
      <c r="D1665" s="554"/>
      <c r="E1665" s="554"/>
      <c r="F1665" s="167"/>
      <c r="G1665" s="474"/>
      <c r="H1665" s="474"/>
      <c r="J1665" s="555"/>
    </row>
    <row r="1666" spans="1:10" s="165" customFormat="1">
      <c r="A1666" s="172"/>
      <c r="B1666" s="552"/>
      <c r="C1666" s="553"/>
      <c r="D1666" s="554"/>
      <c r="E1666" s="554"/>
      <c r="F1666" s="167"/>
      <c r="G1666" s="474"/>
      <c r="H1666" s="474"/>
      <c r="J1666" s="555"/>
    </row>
    <row r="1667" spans="1:10" s="165" customFormat="1">
      <c r="A1667" s="172"/>
      <c r="B1667" s="552"/>
      <c r="C1667" s="553"/>
      <c r="D1667" s="554"/>
      <c r="E1667" s="554"/>
      <c r="F1667" s="167"/>
      <c r="G1667" s="474"/>
      <c r="H1667" s="474"/>
      <c r="J1667" s="555"/>
    </row>
    <row r="1668" spans="1:10" s="165" customFormat="1">
      <c r="A1668" s="172"/>
      <c r="B1668" s="552"/>
      <c r="C1668" s="553"/>
      <c r="D1668" s="554"/>
      <c r="E1668" s="554"/>
      <c r="F1668" s="167"/>
      <c r="G1668" s="474"/>
      <c r="H1668" s="474"/>
      <c r="J1668" s="555"/>
    </row>
    <row r="1669" spans="1:10" s="165" customFormat="1">
      <c r="A1669" s="172"/>
      <c r="B1669" s="552"/>
      <c r="C1669" s="553"/>
      <c r="D1669" s="554"/>
      <c r="E1669" s="554"/>
      <c r="F1669" s="167"/>
      <c r="G1669" s="474"/>
      <c r="H1669" s="474"/>
      <c r="J1669" s="555"/>
    </row>
    <row r="1670" spans="1:10" s="165" customFormat="1">
      <c r="A1670" s="172"/>
      <c r="B1670" s="552"/>
      <c r="C1670" s="553"/>
      <c r="D1670" s="554"/>
      <c r="E1670" s="554"/>
      <c r="F1670" s="167"/>
      <c r="G1670" s="474"/>
      <c r="H1670" s="474"/>
      <c r="J1670" s="555"/>
    </row>
    <row r="1671" spans="1:10" s="165" customFormat="1">
      <c r="A1671" s="172"/>
      <c r="B1671" s="552"/>
      <c r="C1671" s="553"/>
      <c r="D1671" s="554"/>
      <c r="E1671" s="554"/>
      <c r="F1671" s="167"/>
      <c r="G1671" s="474"/>
      <c r="H1671" s="474"/>
      <c r="J1671" s="555"/>
    </row>
    <row r="1672" spans="1:10" s="165" customFormat="1">
      <c r="A1672" s="172"/>
      <c r="B1672" s="552"/>
      <c r="C1672" s="553"/>
      <c r="D1672" s="554"/>
      <c r="E1672" s="554"/>
      <c r="F1672" s="167"/>
      <c r="G1672" s="474"/>
      <c r="H1672" s="474"/>
      <c r="J1672" s="555"/>
    </row>
    <row r="1673" spans="1:10" s="165" customFormat="1">
      <c r="A1673" s="172"/>
      <c r="B1673" s="552"/>
      <c r="C1673" s="553"/>
      <c r="D1673" s="554"/>
      <c r="E1673" s="554"/>
      <c r="F1673" s="167"/>
      <c r="G1673" s="474"/>
      <c r="H1673" s="474"/>
      <c r="J1673" s="555"/>
    </row>
    <row r="1674" spans="1:10" s="165" customFormat="1">
      <c r="A1674" s="172"/>
      <c r="B1674" s="552"/>
      <c r="C1674" s="553"/>
      <c r="D1674" s="554"/>
      <c r="E1674" s="554"/>
      <c r="F1674" s="167"/>
      <c r="G1674" s="474"/>
      <c r="H1674" s="474"/>
      <c r="J1674" s="555"/>
    </row>
    <row r="1675" spans="1:10" s="165" customFormat="1">
      <c r="A1675" s="172"/>
      <c r="B1675" s="552"/>
      <c r="C1675" s="553"/>
      <c r="D1675" s="554"/>
      <c r="E1675" s="554"/>
      <c r="F1675" s="167"/>
      <c r="G1675" s="474"/>
      <c r="H1675" s="474"/>
      <c r="J1675" s="555"/>
    </row>
    <row r="1676" spans="1:10" s="165" customFormat="1">
      <c r="A1676" s="172"/>
      <c r="B1676" s="552"/>
      <c r="C1676" s="553"/>
      <c r="D1676" s="554"/>
      <c r="E1676" s="554"/>
      <c r="F1676" s="167"/>
      <c r="G1676" s="474"/>
      <c r="H1676" s="474"/>
      <c r="J1676" s="555"/>
    </row>
    <row r="1677" spans="1:10" s="165" customFormat="1">
      <c r="A1677" s="172"/>
      <c r="B1677" s="552"/>
      <c r="C1677" s="553"/>
      <c r="D1677" s="554"/>
      <c r="E1677" s="554"/>
      <c r="F1677" s="167"/>
      <c r="G1677" s="474"/>
      <c r="H1677" s="474"/>
      <c r="J1677" s="555"/>
    </row>
    <row r="1678" spans="1:10" s="165" customFormat="1">
      <c r="A1678" s="172"/>
      <c r="B1678" s="552"/>
      <c r="C1678" s="553"/>
      <c r="D1678" s="554"/>
      <c r="E1678" s="554"/>
      <c r="F1678" s="167"/>
      <c r="G1678" s="474"/>
      <c r="H1678" s="474"/>
      <c r="J1678" s="555"/>
    </row>
    <row r="1679" spans="1:10" s="165" customFormat="1">
      <c r="A1679" s="172"/>
      <c r="B1679" s="552"/>
      <c r="C1679" s="553"/>
      <c r="D1679" s="554"/>
      <c r="E1679" s="554"/>
      <c r="F1679" s="167"/>
      <c r="G1679" s="474"/>
      <c r="H1679" s="474"/>
      <c r="J1679" s="555"/>
    </row>
    <row r="1680" spans="1:10" s="165" customFormat="1">
      <c r="A1680" s="172"/>
      <c r="B1680" s="552"/>
      <c r="C1680" s="553"/>
      <c r="D1680" s="554"/>
      <c r="E1680" s="554"/>
      <c r="F1680" s="167"/>
      <c r="G1680" s="474"/>
      <c r="H1680" s="474"/>
      <c r="J1680" s="555"/>
    </row>
    <row r="1681" spans="1:10" s="165" customFormat="1">
      <c r="A1681" s="172"/>
      <c r="B1681" s="552"/>
      <c r="C1681" s="553"/>
      <c r="D1681" s="554"/>
      <c r="E1681" s="554"/>
      <c r="F1681" s="167"/>
      <c r="G1681" s="474"/>
      <c r="H1681" s="474"/>
      <c r="J1681" s="555"/>
    </row>
    <row r="1682" spans="1:10" s="165" customFormat="1">
      <c r="A1682" s="172"/>
      <c r="B1682" s="552"/>
      <c r="C1682" s="553"/>
      <c r="D1682" s="554"/>
      <c r="E1682" s="554"/>
      <c r="F1682" s="167"/>
      <c r="G1682" s="474"/>
      <c r="H1682" s="474"/>
      <c r="J1682" s="555"/>
    </row>
    <row r="1683" spans="1:10" s="165" customFormat="1">
      <c r="A1683" s="172"/>
      <c r="B1683" s="552"/>
      <c r="C1683" s="553"/>
      <c r="D1683" s="554"/>
      <c r="E1683" s="554"/>
      <c r="F1683" s="167"/>
      <c r="G1683" s="474"/>
      <c r="H1683" s="474"/>
      <c r="J1683" s="555"/>
    </row>
    <row r="1684" spans="1:10" s="165" customFormat="1">
      <c r="A1684" s="172"/>
      <c r="B1684" s="552"/>
      <c r="C1684" s="553"/>
      <c r="D1684" s="554"/>
      <c r="E1684" s="554"/>
      <c r="F1684" s="167"/>
      <c r="G1684" s="474"/>
      <c r="H1684" s="474"/>
      <c r="J1684" s="555"/>
    </row>
    <row r="1685" spans="1:10" s="165" customFormat="1">
      <c r="A1685" s="172"/>
      <c r="B1685" s="552"/>
      <c r="C1685" s="553"/>
      <c r="D1685" s="554"/>
      <c r="E1685" s="554"/>
      <c r="F1685" s="167"/>
      <c r="G1685" s="474"/>
      <c r="H1685" s="474"/>
      <c r="J1685" s="555"/>
    </row>
    <row r="1686" spans="1:10" s="165" customFormat="1">
      <c r="A1686" s="172"/>
      <c r="B1686" s="552"/>
      <c r="C1686" s="553"/>
      <c r="D1686" s="554"/>
      <c r="E1686" s="554"/>
      <c r="F1686" s="167"/>
      <c r="G1686" s="474"/>
      <c r="H1686" s="474"/>
      <c r="J1686" s="555"/>
    </row>
    <row r="1687" spans="1:10" s="165" customFormat="1">
      <c r="A1687" s="172"/>
      <c r="B1687" s="552"/>
      <c r="C1687" s="553"/>
      <c r="D1687" s="554"/>
      <c r="E1687" s="554"/>
      <c r="F1687" s="167"/>
      <c r="G1687" s="474"/>
      <c r="H1687" s="474"/>
      <c r="J1687" s="555"/>
    </row>
    <row r="1688" spans="1:10" s="165" customFormat="1">
      <c r="A1688" s="172"/>
      <c r="B1688" s="552"/>
      <c r="C1688" s="553"/>
      <c r="D1688" s="554"/>
      <c r="E1688" s="554"/>
      <c r="F1688" s="167"/>
      <c r="G1688" s="474"/>
      <c r="H1688" s="474"/>
      <c r="J1688" s="555"/>
    </row>
    <row r="1689" spans="1:10" s="165" customFormat="1">
      <c r="A1689" s="172"/>
      <c r="B1689" s="552"/>
      <c r="C1689" s="553"/>
      <c r="D1689" s="554"/>
      <c r="E1689" s="554"/>
      <c r="F1689" s="167"/>
      <c r="G1689" s="474"/>
      <c r="H1689" s="474"/>
      <c r="J1689" s="555"/>
    </row>
    <row r="1690" spans="1:10" s="165" customFormat="1">
      <c r="A1690" s="172"/>
      <c r="B1690" s="552"/>
      <c r="C1690" s="553"/>
      <c r="D1690" s="554"/>
      <c r="E1690" s="554"/>
      <c r="F1690" s="167"/>
      <c r="G1690" s="474"/>
      <c r="H1690" s="474"/>
      <c r="J1690" s="555"/>
    </row>
    <row r="1691" spans="1:10" s="165" customFormat="1">
      <c r="A1691" s="172"/>
      <c r="B1691" s="552"/>
      <c r="C1691" s="553"/>
      <c r="D1691" s="554"/>
      <c r="E1691" s="554"/>
      <c r="F1691" s="167"/>
      <c r="G1691" s="474"/>
      <c r="H1691" s="474"/>
      <c r="J1691" s="555"/>
    </row>
    <row r="1692" spans="1:10" s="165" customFormat="1">
      <c r="A1692" s="172"/>
      <c r="B1692" s="552"/>
      <c r="C1692" s="553"/>
      <c r="D1692" s="554"/>
      <c r="E1692" s="554"/>
      <c r="F1692" s="167"/>
      <c r="G1692" s="474"/>
      <c r="H1692" s="474"/>
      <c r="J1692" s="555"/>
    </row>
    <row r="1693" spans="1:10" s="165" customFormat="1">
      <c r="A1693" s="172"/>
      <c r="B1693" s="552"/>
      <c r="C1693" s="553"/>
      <c r="D1693" s="554"/>
      <c r="E1693" s="554"/>
      <c r="F1693" s="167"/>
      <c r="G1693" s="474"/>
      <c r="H1693" s="474"/>
      <c r="J1693" s="555"/>
    </row>
    <row r="1694" spans="1:10" s="165" customFormat="1">
      <c r="A1694" s="172"/>
      <c r="B1694" s="552"/>
      <c r="C1694" s="553"/>
      <c r="D1694" s="554"/>
      <c r="E1694" s="554"/>
      <c r="F1694" s="167"/>
      <c r="G1694" s="474"/>
      <c r="H1694" s="474"/>
      <c r="J1694" s="555"/>
    </row>
    <row r="1695" spans="1:10" s="165" customFormat="1">
      <c r="A1695" s="172"/>
      <c r="B1695" s="552"/>
      <c r="C1695" s="553"/>
      <c r="D1695" s="554"/>
      <c r="E1695" s="554"/>
      <c r="F1695" s="167"/>
      <c r="G1695" s="474"/>
      <c r="H1695" s="474"/>
      <c r="J1695" s="555"/>
    </row>
    <row r="1696" spans="1:10" s="165" customFormat="1">
      <c r="A1696" s="172"/>
      <c r="B1696" s="552"/>
      <c r="C1696" s="553"/>
      <c r="D1696" s="554"/>
      <c r="E1696" s="554"/>
      <c r="F1696" s="167"/>
      <c r="G1696" s="474"/>
      <c r="H1696" s="474"/>
      <c r="J1696" s="555"/>
    </row>
    <row r="1697" spans="1:10" s="165" customFormat="1">
      <c r="A1697" s="172"/>
      <c r="B1697" s="552"/>
      <c r="C1697" s="553"/>
      <c r="D1697" s="554"/>
      <c r="E1697" s="554"/>
      <c r="F1697" s="167"/>
      <c r="G1697" s="474"/>
      <c r="H1697" s="474"/>
      <c r="J1697" s="555"/>
    </row>
    <row r="1698" spans="1:10" s="165" customFormat="1">
      <c r="A1698" s="172"/>
      <c r="B1698" s="552"/>
      <c r="C1698" s="553"/>
      <c r="D1698" s="554"/>
      <c r="E1698" s="554"/>
      <c r="F1698" s="167"/>
      <c r="G1698" s="474"/>
      <c r="H1698" s="474"/>
      <c r="J1698" s="555"/>
    </row>
    <row r="1699" spans="1:10" s="165" customFormat="1">
      <c r="A1699" s="172"/>
      <c r="B1699" s="552"/>
      <c r="C1699" s="553"/>
      <c r="D1699" s="554"/>
      <c r="E1699" s="554"/>
      <c r="F1699" s="167"/>
      <c r="G1699" s="474"/>
      <c r="H1699" s="474"/>
      <c r="J1699" s="555"/>
    </row>
    <row r="1700" spans="1:10" s="165" customFormat="1">
      <c r="A1700" s="172"/>
      <c r="B1700" s="552"/>
      <c r="C1700" s="553"/>
      <c r="D1700" s="554"/>
      <c r="E1700" s="554"/>
      <c r="F1700" s="167"/>
      <c r="G1700" s="474"/>
      <c r="H1700" s="474"/>
      <c r="J1700" s="555"/>
    </row>
    <row r="1701" spans="1:10" s="165" customFormat="1">
      <c r="A1701" s="172"/>
      <c r="B1701" s="552"/>
      <c r="C1701" s="553"/>
      <c r="D1701" s="554"/>
      <c r="E1701" s="554"/>
      <c r="F1701" s="167"/>
      <c r="G1701" s="474"/>
      <c r="H1701" s="474"/>
      <c r="J1701" s="555"/>
    </row>
    <row r="1702" spans="1:10" s="165" customFormat="1">
      <c r="A1702" s="172"/>
      <c r="B1702" s="552"/>
      <c r="C1702" s="553"/>
      <c r="D1702" s="554"/>
      <c r="E1702" s="554"/>
      <c r="F1702" s="167"/>
      <c r="G1702" s="474"/>
      <c r="H1702" s="474"/>
      <c r="J1702" s="555"/>
    </row>
    <row r="1703" spans="1:10" s="165" customFormat="1">
      <c r="A1703" s="172"/>
      <c r="B1703" s="552"/>
      <c r="C1703" s="553"/>
      <c r="D1703" s="554"/>
      <c r="E1703" s="554"/>
      <c r="F1703" s="167"/>
      <c r="G1703" s="474"/>
      <c r="H1703" s="474"/>
      <c r="J1703" s="555"/>
    </row>
    <row r="1704" spans="1:10" s="165" customFormat="1">
      <c r="A1704" s="172"/>
      <c r="B1704" s="552"/>
      <c r="C1704" s="553"/>
      <c r="D1704" s="554"/>
      <c r="E1704" s="554"/>
      <c r="F1704" s="167"/>
      <c r="G1704" s="474"/>
      <c r="H1704" s="474"/>
      <c r="J1704" s="555"/>
    </row>
    <row r="1705" spans="1:10" s="165" customFormat="1">
      <c r="A1705" s="172"/>
      <c r="B1705" s="552"/>
      <c r="C1705" s="553"/>
      <c r="D1705" s="554"/>
      <c r="E1705" s="554"/>
      <c r="F1705" s="167"/>
      <c r="G1705" s="474"/>
      <c r="H1705" s="474"/>
      <c r="J1705" s="555"/>
    </row>
    <row r="1706" spans="1:10" s="165" customFormat="1">
      <c r="A1706" s="172"/>
      <c r="B1706" s="552"/>
      <c r="C1706" s="553"/>
      <c r="D1706" s="554"/>
      <c r="E1706" s="554"/>
      <c r="F1706" s="167"/>
      <c r="G1706" s="474"/>
      <c r="H1706" s="474"/>
      <c r="J1706" s="555"/>
    </row>
    <row r="1707" spans="1:10" s="165" customFormat="1">
      <c r="A1707" s="172"/>
      <c r="B1707" s="552"/>
      <c r="C1707" s="553"/>
      <c r="D1707" s="554"/>
      <c r="E1707" s="554"/>
      <c r="F1707" s="167"/>
      <c r="G1707" s="474"/>
      <c r="H1707" s="474"/>
      <c r="J1707" s="555"/>
    </row>
    <row r="1708" spans="1:10" s="165" customFormat="1">
      <c r="A1708" s="172"/>
      <c r="B1708" s="552"/>
      <c r="C1708" s="553"/>
      <c r="D1708" s="554"/>
      <c r="E1708" s="554"/>
      <c r="F1708" s="167"/>
      <c r="G1708" s="474"/>
      <c r="H1708" s="474"/>
      <c r="J1708" s="555"/>
    </row>
    <row r="1709" spans="1:10" s="165" customFormat="1">
      <c r="A1709" s="172"/>
      <c r="B1709" s="552"/>
      <c r="C1709" s="553"/>
      <c r="D1709" s="554"/>
      <c r="E1709" s="554"/>
      <c r="F1709" s="167"/>
      <c r="G1709" s="474"/>
      <c r="H1709" s="474"/>
      <c r="J1709" s="555"/>
    </row>
    <row r="1710" spans="1:10" s="165" customFormat="1">
      <c r="A1710" s="172"/>
      <c r="B1710" s="552"/>
      <c r="C1710" s="553"/>
      <c r="D1710" s="554"/>
      <c r="E1710" s="554"/>
      <c r="F1710" s="167"/>
      <c r="G1710" s="474"/>
      <c r="H1710" s="474"/>
      <c r="J1710" s="555"/>
    </row>
    <row r="1711" spans="1:10" s="165" customFormat="1">
      <c r="A1711" s="172"/>
      <c r="B1711" s="552"/>
      <c r="C1711" s="553"/>
      <c r="D1711" s="554"/>
      <c r="E1711" s="554"/>
      <c r="F1711" s="167"/>
      <c r="G1711" s="474"/>
      <c r="H1711" s="474"/>
      <c r="J1711" s="555"/>
    </row>
    <row r="1712" spans="1:10" s="165" customFormat="1">
      <c r="A1712" s="172"/>
      <c r="B1712" s="552"/>
      <c r="C1712" s="553"/>
      <c r="D1712" s="554"/>
      <c r="E1712" s="554"/>
      <c r="F1712" s="167"/>
      <c r="G1712" s="474"/>
      <c r="H1712" s="474"/>
      <c r="J1712" s="555"/>
    </row>
    <row r="1713" spans="1:10" s="165" customFormat="1">
      <c r="A1713" s="172"/>
      <c r="B1713" s="552"/>
      <c r="C1713" s="553"/>
      <c r="D1713" s="554"/>
      <c r="E1713" s="554"/>
      <c r="F1713" s="167"/>
      <c r="G1713" s="474"/>
      <c r="H1713" s="474"/>
      <c r="J1713" s="555"/>
    </row>
    <row r="1714" spans="1:10" s="165" customFormat="1">
      <c r="A1714" s="172"/>
      <c r="B1714" s="552"/>
      <c r="C1714" s="553"/>
      <c r="D1714" s="554"/>
      <c r="E1714" s="554"/>
      <c r="F1714" s="167"/>
      <c r="G1714" s="474"/>
      <c r="H1714" s="474"/>
      <c r="J1714" s="555"/>
    </row>
    <row r="1715" spans="1:10" s="165" customFormat="1">
      <c r="A1715" s="172"/>
      <c r="B1715" s="552"/>
      <c r="C1715" s="553"/>
      <c r="D1715" s="554"/>
      <c r="E1715" s="554"/>
      <c r="F1715" s="167"/>
      <c r="G1715" s="474"/>
      <c r="H1715" s="474"/>
      <c r="J1715" s="555"/>
    </row>
    <row r="1716" spans="1:10" s="165" customFormat="1">
      <c r="A1716" s="172"/>
      <c r="B1716" s="552"/>
      <c r="C1716" s="553"/>
      <c r="D1716" s="554"/>
      <c r="E1716" s="554"/>
      <c r="F1716" s="167"/>
      <c r="G1716" s="474"/>
      <c r="H1716" s="474"/>
      <c r="J1716" s="555"/>
    </row>
    <row r="1717" spans="1:10" s="165" customFormat="1">
      <c r="A1717" s="172"/>
      <c r="B1717" s="552"/>
      <c r="C1717" s="553"/>
      <c r="D1717" s="554"/>
      <c r="E1717" s="554"/>
      <c r="F1717" s="167"/>
      <c r="G1717" s="474"/>
      <c r="H1717" s="474"/>
      <c r="J1717" s="555"/>
    </row>
    <row r="1718" spans="1:10" s="165" customFormat="1">
      <c r="A1718" s="172"/>
      <c r="B1718" s="552"/>
      <c r="C1718" s="553"/>
      <c r="D1718" s="554"/>
      <c r="E1718" s="554"/>
      <c r="F1718" s="167"/>
      <c r="G1718" s="474"/>
      <c r="H1718" s="474"/>
      <c r="J1718" s="555"/>
    </row>
    <row r="1719" spans="1:10" s="165" customFormat="1">
      <c r="A1719" s="172"/>
      <c r="B1719" s="552"/>
      <c r="C1719" s="553"/>
      <c r="D1719" s="554"/>
      <c r="E1719" s="554"/>
      <c r="F1719" s="167"/>
      <c r="G1719" s="474"/>
      <c r="H1719" s="474"/>
      <c r="J1719" s="555"/>
    </row>
    <row r="1720" spans="1:10" s="165" customFormat="1">
      <c r="A1720" s="172"/>
      <c r="B1720" s="552"/>
      <c r="C1720" s="553"/>
      <c r="D1720" s="554"/>
      <c r="E1720" s="554"/>
      <c r="F1720" s="167"/>
      <c r="G1720" s="474"/>
      <c r="H1720" s="474"/>
      <c r="J1720" s="555"/>
    </row>
    <row r="1721" spans="1:10" s="165" customFormat="1">
      <c r="A1721" s="172"/>
      <c r="B1721" s="552"/>
      <c r="C1721" s="553"/>
      <c r="D1721" s="554"/>
      <c r="E1721" s="554"/>
      <c r="F1721" s="167"/>
      <c r="G1721" s="474"/>
      <c r="H1721" s="474"/>
      <c r="J1721" s="555"/>
    </row>
    <row r="1722" spans="1:10" s="165" customFormat="1">
      <c r="A1722" s="172"/>
      <c r="B1722" s="552"/>
      <c r="C1722" s="553"/>
      <c r="D1722" s="554"/>
      <c r="E1722" s="554"/>
      <c r="F1722" s="167"/>
      <c r="G1722" s="474"/>
      <c r="H1722" s="474"/>
      <c r="J1722" s="555"/>
    </row>
    <row r="1723" spans="1:10" s="165" customFormat="1">
      <c r="A1723" s="172"/>
      <c r="B1723" s="552"/>
      <c r="C1723" s="553"/>
      <c r="D1723" s="554"/>
      <c r="E1723" s="554"/>
      <c r="F1723" s="167"/>
      <c r="G1723" s="474"/>
      <c r="H1723" s="474"/>
      <c r="J1723" s="555"/>
    </row>
    <row r="1724" spans="1:10" s="165" customFormat="1">
      <c r="A1724" s="172"/>
      <c r="B1724" s="552"/>
      <c r="C1724" s="553"/>
      <c r="D1724" s="554"/>
      <c r="E1724" s="554"/>
      <c r="F1724" s="167"/>
      <c r="G1724" s="474"/>
      <c r="H1724" s="474"/>
      <c r="J1724" s="555"/>
    </row>
    <row r="1725" spans="1:10" s="165" customFormat="1">
      <c r="A1725" s="172"/>
      <c r="B1725" s="552"/>
      <c r="C1725" s="553"/>
      <c r="D1725" s="554"/>
      <c r="E1725" s="554"/>
      <c r="F1725" s="167"/>
      <c r="G1725" s="474"/>
      <c r="H1725" s="474"/>
      <c r="J1725" s="555"/>
    </row>
    <row r="1726" spans="1:10" s="165" customFormat="1">
      <c r="A1726" s="172"/>
      <c r="B1726" s="552"/>
      <c r="C1726" s="553"/>
      <c r="D1726" s="554"/>
      <c r="E1726" s="554"/>
      <c r="F1726" s="167"/>
      <c r="G1726" s="474"/>
      <c r="H1726" s="474"/>
      <c r="J1726" s="555"/>
    </row>
    <row r="1727" spans="1:10" s="165" customFormat="1">
      <c r="A1727" s="172"/>
      <c r="B1727" s="552"/>
      <c r="C1727" s="553"/>
      <c r="D1727" s="554"/>
      <c r="E1727" s="554"/>
      <c r="F1727" s="167"/>
      <c r="G1727" s="474"/>
      <c r="H1727" s="474"/>
      <c r="J1727" s="555"/>
    </row>
    <row r="1728" spans="1:10" s="165" customFormat="1">
      <c r="A1728" s="172"/>
      <c r="B1728" s="552"/>
      <c r="C1728" s="553"/>
      <c r="D1728" s="554"/>
      <c r="E1728" s="554"/>
      <c r="F1728" s="167"/>
      <c r="G1728" s="474"/>
      <c r="H1728" s="474"/>
      <c r="J1728" s="555"/>
    </row>
    <row r="1729" spans="1:10" s="165" customFormat="1">
      <c r="A1729" s="172"/>
      <c r="B1729" s="552"/>
      <c r="C1729" s="553"/>
      <c r="D1729" s="554"/>
      <c r="E1729" s="554"/>
      <c r="F1729" s="167"/>
      <c r="G1729" s="474"/>
      <c r="H1729" s="474"/>
      <c r="J1729" s="555"/>
    </row>
    <row r="1730" spans="1:10" s="165" customFormat="1">
      <c r="A1730" s="172"/>
      <c r="B1730" s="552"/>
      <c r="C1730" s="553"/>
      <c r="D1730" s="554"/>
      <c r="E1730" s="554"/>
      <c r="F1730" s="167"/>
      <c r="G1730" s="474"/>
      <c r="H1730" s="474"/>
      <c r="J1730" s="555"/>
    </row>
    <row r="1731" spans="1:10" s="165" customFormat="1">
      <c r="A1731" s="172"/>
      <c r="B1731" s="552"/>
      <c r="C1731" s="553"/>
      <c r="D1731" s="554"/>
      <c r="E1731" s="554"/>
      <c r="F1731" s="167"/>
      <c r="G1731" s="474"/>
      <c r="H1731" s="474"/>
      <c r="J1731" s="555"/>
    </row>
    <row r="1732" spans="1:10" s="165" customFormat="1">
      <c r="A1732" s="172"/>
      <c r="B1732" s="552"/>
      <c r="C1732" s="553"/>
      <c r="D1732" s="554"/>
      <c r="E1732" s="554"/>
      <c r="F1732" s="167"/>
      <c r="G1732" s="474"/>
      <c r="H1732" s="474"/>
      <c r="J1732" s="555"/>
    </row>
    <row r="1733" spans="1:10" s="165" customFormat="1">
      <c r="A1733" s="172"/>
      <c r="B1733" s="552"/>
      <c r="C1733" s="553"/>
      <c r="D1733" s="554"/>
      <c r="E1733" s="554"/>
      <c r="F1733" s="167"/>
      <c r="G1733" s="474"/>
      <c r="H1733" s="474"/>
      <c r="J1733" s="555"/>
    </row>
    <row r="1734" spans="1:10" s="165" customFormat="1">
      <c r="A1734" s="172"/>
      <c r="B1734" s="552"/>
      <c r="C1734" s="553"/>
      <c r="D1734" s="554"/>
      <c r="E1734" s="554"/>
      <c r="F1734" s="167"/>
      <c r="G1734" s="474"/>
      <c r="H1734" s="474"/>
      <c r="J1734" s="555"/>
    </row>
    <row r="1735" spans="1:10" s="165" customFormat="1">
      <c r="A1735" s="172"/>
      <c r="B1735" s="552"/>
      <c r="C1735" s="553"/>
      <c r="D1735" s="554"/>
      <c r="E1735" s="554"/>
      <c r="F1735" s="167"/>
      <c r="G1735" s="474"/>
      <c r="H1735" s="474"/>
      <c r="J1735" s="555"/>
    </row>
    <row r="1736" spans="1:10" s="165" customFormat="1">
      <c r="A1736" s="172"/>
      <c r="B1736" s="552"/>
      <c r="C1736" s="553"/>
      <c r="D1736" s="554"/>
      <c r="E1736" s="554"/>
      <c r="F1736" s="167"/>
      <c r="G1736" s="474"/>
      <c r="H1736" s="474"/>
      <c r="J1736" s="555"/>
    </row>
    <row r="1737" spans="1:10" s="165" customFormat="1">
      <c r="A1737" s="172"/>
      <c r="B1737" s="552"/>
      <c r="C1737" s="553"/>
      <c r="D1737" s="554"/>
      <c r="E1737" s="554"/>
      <c r="F1737" s="167"/>
      <c r="G1737" s="474"/>
      <c r="H1737" s="474"/>
      <c r="J1737" s="555"/>
    </row>
    <row r="1738" spans="1:10" s="165" customFormat="1">
      <c r="A1738" s="172"/>
      <c r="B1738" s="552"/>
      <c r="C1738" s="553"/>
      <c r="D1738" s="554"/>
      <c r="E1738" s="554"/>
      <c r="F1738" s="167"/>
      <c r="G1738" s="474"/>
      <c r="H1738" s="474"/>
      <c r="J1738" s="555"/>
    </row>
    <row r="1739" spans="1:10" s="165" customFormat="1">
      <c r="A1739" s="172"/>
      <c r="B1739" s="552"/>
      <c r="C1739" s="553"/>
      <c r="D1739" s="554"/>
      <c r="E1739" s="554"/>
      <c r="F1739" s="167"/>
      <c r="G1739" s="474"/>
      <c r="H1739" s="474"/>
      <c r="J1739" s="555"/>
    </row>
    <row r="1740" spans="1:10" s="165" customFormat="1">
      <c r="A1740" s="172"/>
      <c r="B1740" s="552"/>
      <c r="C1740" s="553"/>
      <c r="D1740" s="554"/>
      <c r="E1740" s="554"/>
      <c r="F1740" s="167"/>
      <c r="G1740" s="474"/>
      <c r="H1740" s="474"/>
      <c r="J1740" s="555"/>
    </row>
    <row r="1741" spans="1:10" s="165" customFormat="1">
      <c r="A1741" s="172"/>
      <c r="B1741" s="552"/>
      <c r="C1741" s="553"/>
      <c r="D1741" s="554"/>
      <c r="E1741" s="554"/>
      <c r="F1741" s="167"/>
      <c r="G1741" s="474"/>
      <c r="H1741" s="474"/>
      <c r="J1741" s="555"/>
    </row>
    <row r="1742" spans="1:10" s="165" customFormat="1">
      <c r="A1742" s="172"/>
      <c r="B1742" s="552"/>
      <c r="C1742" s="553"/>
      <c r="D1742" s="554"/>
      <c r="E1742" s="554"/>
      <c r="F1742" s="167"/>
      <c r="G1742" s="474"/>
      <c r="H1742" s="474"/>
      <c r="J1742" s="555"/>
    </row>
    <row r="1743" spans="1:10" s="165" customFormat="1">
      <c r="A1743" s="172"/>
      <c r="B1743" s="552"/>
      <c r="C1743" s="553"/>
      <c r="D1743" s="554"/>
      <c r="E1743" s="554"/>
      <c r="F1743" s="167"/>
      <c r="G1743" s="474"/>
      <c r="H1743" s="474"/>
      <c r="J1743" s="555"/>
    </row>
    <row r="1744" spans="1:10" s="165" customFormat="1">
      <c r="A1744" s="172"/>
      <c r="B1744" s="552"/>
      <c r="C1744" s="553"/>
      <c r="D1744" s="554"/>
      <c r="E1744" s="554"/>
      <c r="F1744" s="167"/>
      <c r="G1744" s="474"/>
      <c r="H1744" s="474"/>
      <c r="J1744" s="555"/>
    </row>
    <row r="1745" spans="1:10" s="165" customFormat="1">
      <c r="A1745" s="172"/>
      <c r="B1745" s="552"/>
      <c r="C1745" s="553"/>
      <c r="D1745" s="554"/>
      <c r="E1745" s="554"/>
      <c r="F1745" s="167"/>
      <c r="G1745" s="474"/>
      <c r="H1745" s="474"/>
      <c r="J1745" s="555"/>
    </row>
    <row r="1746" spans="1:10" s="165" customFormat="1">
      <c r="A1746" s="172"/>
      <c r="B1746" s="552"/>
      <c r="C1746" s="553"/>
      <c r="D1746" s="554"/>
      <c r="E1746" s="554"/>
      <c r="F1746" s="167"/>
      <c r="G1746" s="474"/>
      <c r="H1746" s="474"/>
      <c r="J1746" s="555"/>
    </row>
    <row r="1747" spans="1:10" s="165" customFormat="1">
      <c r="A1747" s="172"/>
      <c r="B1747" s="552"/>
      <c r="C1747" s="553"/>
      <c r="D1747" s="554"/>
      <c r="E1747" s="554"/>
      <c r="F1747" s="167"/>
      <c r="G1747" s="474"/>
      <c r="H1747" s="474"/>
      <c r="J1747" s="555"/>
    </row>
    <row r="1748" spans="1:10" s="165" customFormat="1">
      <c r="A1748" s="172"/>
      <c r="B1748" s="552"/>
      <c r="C1748" s="553"/>
      <c r="D1748" s="554"/>
      <c r="E1748" s="554"/>
      <c r="F1748" s="167"/>
      <c r="G1748" s="474"/>
      <c r="H1748" s="474"/>
      <c r="J1748" s="555"/>
    </row>
    <row r="1749" spans="1:10" s="165" customFormat="1">
      <c r="A1749" s="172"/>
      <c r="B1749" s="552"/>
      <c r="C1749" s="553"/>
      <c r="D1749" s="554"/>
      <c r="E1749" s="554"/>
      <c r="F1749" s="167"/>
      <c r="G1749" s="474"/>
      <c r="H1749" s="474"/>
      <c r="J1749" s="555"/>
    </row>
    <row r="1750" spans="1:10" s="165" customFormat="1">
      <c r="A1750" s="172"/>
      <c r="B1750" s="552"/>
      <c r="C1750" s="553"/>
      <c r="D1750" s="554"/>
      <c r="E1750" s="554"/>
      <c r="F1750" s="167"/>
      <c r="G1750" s="474"/>
      <c r="H1750" s="474"/>
      <c r="J1750" s="555"/>
    </row>
    <row r="1751" spans="1:10" s="165" customFormat="1">
      <c r="A1751" s="172"/>
      <c r="B1751" s="552"/>
      <c r="C1751" s="553"/>
      <c r="D1751" s="554"/>
      <c r="E1751" s="554"/>
      <c r="F1751" s="167"/>
      <c r="G1751" s="474"/>
      <c r="H1751" s="474"/>
      <c r="J1751" s="555"/>
    </row>
    <row r="1752" spans="1:10" s="165" customFormat="1">
      <c r="A1752" s="172"/>
      <c r="B1752" s="552"/>
      <c r="C1752" s="553"/>
      <c r="D1752" s="554"/>
      <c r="E1752" s="554"/>
      <c r="F1752" s="167"/>
      <c r="G1752" s="474"/>
      <c r="H1752" s="474"/>
      <c r="J1752" s="555"/>
    </row>
    <row r="1753" spans="1:10" s="165" customFormat="1">
      <c r="A1753" s="172"/>
      <c r="B1753" s="552"/>
      <c r="C1753" s="553"/>
      <c r="D1753" s="554"/>
      <c r="E1753" s="554"/>
      <c r="F1753" s="167"/>
      <c r="G1753" s="474"/>
      <c r="H1753" s="474"/>
      <c r="J1753" s="555"/>
    </row>
    <row r="1754" spans="1:10" s="165" customFormat="1">
      <c r="A1754" s="172"/>
      <c r="B1754" s="552"/>
      <c r="C1754" s="553"/>
      <c r="D1754" s="554"/>
      <c r="E1754" s="554"/>
      <c r="F1754" s="167"/>
      <c r="G1754" s="474"/>
      <c r="H1754" s="474"/>
      <c r="J1754" s="555"/>
    </row>
    <row r="1755" spans="1:10" s="165" customFormat="1">
      <c r="A1755" s="172"/>
      <c r="B1755" s="552"/>
      <c r="C1755" s="553"/>
      <c r="D1755" s="554"/>
      <c r="E1755" s="554"/>
      <c r="F1755" s="167"/>
      <c r="G1755" s="474"/>
      <c r="H1755" s="474"/>
      <c r="J1755" s="555"/>
    </row>
    <row r="1756" spans="1:10" s="165" customFormat="1">
      <c r="A1756" s="172"/>
      <c r="B1756" s="552"/>
      <c r="C1756" s="553"/>
      <c r="D1756" s="554"/>
      <c r="E1756" s="554"/>
      <c r="F1756" s="167"/>
      <c r="G1756" s="474"/>
      <c r="H1756" s="474"/>
      <c r="J1756" s="555"/>
    </row>
    <row r="1757" spans="1:10" s="165" customFormat="1">
      <c r="A1757" s="172"/>
      <c r="B1757" s="552"/>
      <c r="C1757" s="553"/>
      <c r="D1757" s="554"/>
      <c r="E1757" s="554"/>
      <c r="F1757" s="167"/>
      <c r="G1757" s="474"/>
      <c r="H1757" s="474"/>
      <c r="J1757" s="555"/>
    </row>
    <row r="1758" spans="1:10" s="165" customFormat="1">
      <c r="A1758" s="172"/>
      <c r="B1758" s="552"/>
      <c r="C1758" s="553"/>
      <c r="D1758" s="554"/>
      <c r="E1758" s="554"/>
      <c r="F1758" s="167"/>
      <c r="G1758" s="474"/>
      <c r="H1758" s="474"/>
      <c r="J1758" s="555"/>
    </row>
    <row r="1759" spans="1:10" s="165" customFormat="1">
      <c r="A1759" s="172"/>
      <c r="B1759" s="552"/>
      <c r="C1759" s="553"/>
      <c r="D1759" s="554"/>
      <c r="E1759" s="554"/>
      <c r="F1759" s="167"/>
      <c r="G1759" s="474"/>
      <c r="H1759" s="474"/>
      <c r="J1759" s="555"/>
    </row>
    <row r="1760" spans="1:10" s="165" customFormat="1">
      <c r="A1760" s="172"/>
      <c r="B1760" s="552"/>
      <c r="C1760" s="553"/>
      <c r="D1760" s="554"/>
      <c r="E1760" s="554"/>
      <c r="F1760" s="167"/>
      <c r="G1760" s="474"/>
      <c r="H1760" s="474"/>
      <c r="J1760" s="555"/>
    </row>
    <row r="1761" spans="1:10" s="165" customFormat="1">
      <c r="A1761" s="172"/>
      <c r="B1761" s="552"/>
      <c r="C1761" s="553"/>
      <c r="D1761" s="554"/>
      <c r="E1761" s="554"/>
      <c r="F1761" s="167"/>
      <c r="G1761" s="474"/>
      <c r="H1761" s="474"/>
      <c r="J1761" s="555"/>
    </row>
    <row r="1762" spans="1:10" s="165" customFormat="1">
      <c r="A1762" s="172"/>
      <c r="B1762" s="552"/>
      <c r="C1762" s="553"/>
      <c r="D1762" s="554"/>
      <c r="E1762" s="554"/>
      <c r="F1762" s="167"/>
      <c r="G1762" s="474"/>
      <c r="H1762" s="474"/>
      <c r="J1762" s="555"/>
    </row>
    <row r="1763" spans="1:10" s="165" customFormat="1">
      <c r="A1763" s="172"/>
      <c r="B1763" s="552"/>
      <c r="C1763" s="553"/>
      <c r="D1763" s="554"/>
      <c r="E1763" s="554"/>
      <c r="F1763" s="167"/>
      <c r="G1763" s="474"/>
      <c r="H1763" s="474"/>
      <c r="J1763" s="555"/>
    </row>
    <row r="1764" spans="1:10" s="165" customFormat="1">
      <c r="A1764" s="172"/>
      <c r="B1764" s="552"/>
      <c r="C1764" s="553"/>
      <c r="D1764" s="554"/>
      <c r="E1764" s="554"/>
      <c r="F1764" s="167"/>
      <c r="G1764" s="474"/>
      <c r="H1764" s="474"/>
      <c r="J1764" s="555"/>
    </row>
    <row r="1765" spans="1:10" s="165" customFormat="1">
      <c r="A1765" s="172"/>
      <c r="B1765" s="552"/>
      <c r="C1765" s="553"/>
      <c r="D1765" s="554"/>
      <c r="E1765" s="554"/>
      <c r="F1765" s="167"/>
      <c r="G1765" s="474"/>
      <c r="H1765" s="474"/>
      <c r="J1765" s="555"/>
    </row>
    <row r="1766" spans="1:10" s="165" customFormat="1">
      <c r="A1766" s="172"/>
      <c r="B1766" s="552"/>
      <c r="C1766" s="553"/>
      <c r="D1766" s="554"/>
      <c r="E1766" s="554"/>
      <c r="F1766" s="167"/>
      <c r="G1766" s="474"/>
      <c r="H1766" s="474"/>
      <c r="J1766" s="555"/>
    </row>
    <row r="1767" spans="1:10" s="165" customFormat="1">
      <c r="A1767" s="172"/>
      <c r="B1767" s="552"/>
      <c r="C1767" s="553"/>
      <c r="D1767" s="554"/>
      <c r="E1767" s="554"/>
      <c r="F1767" s="167"/>
      <c r="G1767" s="474"/>
      <c r="H1767" s="474"/>
      <c r="J1767" s="555"/>
    </row>
    <row r="1768" spans="1:10" s="165" customFormat="1">
      <c r="A1768" s="172"/>
      <c r="B1768" s="552"/>
      <c r="C1768" s="553"/>
      <c r="D1768" s="554"/>
      <c r="E1768" s="554"/>
      <c r="F1768" s="167"/>
      <c r="G1768" s="474"/>
      <c r="H1768" s="474"/>
      <c r="J1768" s="555"/>
    </row>
    <row r="1769" spans="1:10" s="165" customFormat="1">
      <c r="A1769" s="172"/>
      <c r="B1769" s="552"/>
      <c r="C1769" s="553"/>
      <c r="D1769" s="554"/>
      <c r="E1769" s="554"/>
      <c r="F1769" s="167"/>
      <c r="G1769" s="474"/>
      <c r="H1769" s="474"/>
      <c r="J1769" s="555"/>
    </row>
    <row r="1770" spans="1:10" s="165" customFormat="1">
      <c r="A1770" s="172"/>
      <c r="B1770" s="552"/>
      <c r="C1770" s="553"/>
      <c r="D1770" s="554"/>
      <c r="E1770" s="554"/>
      <c r="F1770" s="167"/>
      <c r="G1770" s="474"/>
      <c r="H1770" s="474"/>
      <c r="J1770" s="555"/>
    </row>
    <row r="1771" spans="1:10" s="165" customFormat="1">
      <c r="A1771" s="172"/>
      <c r="B1771" s="552"/>
      <c r="C1771" s="553"/>
      <c r="D1771" s="554"/>
      <c r="E1771" s="554"/>
      <c r="F1771" s="167"/>
      <c r="G1771" s="474"/>
      <c r="H1771" s="474"/>
      <c r="J1771" s="555"/>
    </row>
    <row r="1772" spans="1:10" s="165" customFormat="1">
      <c r="A1772" s="172"/>
      <c r="B1772" s="552"/>
      <c r="C1772" s="553"/>
      <c r="D1772" s="554"/>
      <c r="E1772" s="554"/>
      <c r="F1772" s="167"/>
      <c r="G1772" s="474"/>
      <c r="H1772" s="474"/>
      <c r="J1772" s="555"/>
    </row>
    <row r="1773" spans="1:10" s="165" customFormat="1">
      <c r="A1773" s="172"/>
      <c r="B1773" s="552"/>
      <c r="C1773" s="553"/>
      <c r="D1773" s="554"/>
      <c r="E1773" s="554"/>
      <c r="F1773" s="167"/>
      <c r="G1773" s="474"/>
      <c r="H1773" s="474"/>
      <c r="J1773" s="555"/>
    </row>
    <row r="1774" spans="1:10" s="165" customFormat="1">
      <c r="A1774" s="172"/>
      <c r="B1774" s="552"/>
      <c r="C1774" s="553"/>
      <c r="D1774" s="554"/>
      <c r="E1774" s="554"/>
      <c r="F1774" s="167"/>
      <c r="G1774" s="474"/>
      <c r="H1774" s="474"/>
      <c r="J1774" s="555"/>
    </row>
    <row r="1775" spans="1:10" s="165" customFormat="1">
      <c r="A1775" s="172"/>
      <c r="B1775" s="552"/>
      <c r="C1775" s="553"/>
      <c r="D1775" s="554"/>
      <c r="E1775" s="554"/>
      <c r="F1775" s="167"/>
      <c r="G1775" s="474"/>
      <c r="H1775" s="474"/>
      <c r="J1775" s="555"/>
    </row>
    <row r="1776" spans="1:10" s="165" customFormat="1">
      <c r="A1776" s="172"/>
      <c r="B1776" s="552"/>
      <c r="C1776" s="553"/>
      <c r="D1776" s="554"/>
      <c r="E1776" s="554"/>
      <c r="F1776" s="167"/>
      <c r="G1776" s="474"/>
      <c r="H1776" s="474"/>
      <c r="J1776" s="555"/>
    </row>
    <row r="1777" spans="1:10" s="165" customFormat="1">
      <c r="A1777" s="172"/>
      <c r="B1777" s="552"/>
      <c r="C1777" s="553"/>
      <c r="D1777" s="554"/>
      <c r="E1777" s="554"/>
      <c r="F1777" s="167"/>
      <c r="G1777" s="474"/>
      <c r="H1777" s="474"/>
      <c r="J1777" s="555"/>
    </row>
    <row r="1778" spans="1:10" s="165" customFormat="1">
      <c r="A1778" s="172"/>
      <c r="B1778" s="552"/>
      <c r="C1778" s="553"/>
      <c r="D1778" s="554"/>
      <c r="E1778" s="554"/>
      <c r="F1778" s="167"/>
      <c r="G1778" s="474"/>
      <c r="H1778" s="474"/>
      <c r="J1778" s="555"/>
    </row>
    <row r="1779" spans="1:10" s="165" customFormat="1">
      <c r="A1779" s="172"/>
      <c r="B1779" s="552"/>
      <c r="C1779" s="553"/>
      <c r="D1779" s="554"/>
      <c r="E1779" s="554"/>
      <c r="F1779" s="167"/>
      <c r="G1779" s="474"/>
      <c r="H1779" s="474"/>
      <c r="J1779" s="555"/>
    </row>
    <row r="1780" spans="1:10" s="165" customFormat="1">
      <c r="A1780" s="172"/>
      <c r="B1780" s="552"/>
      <c r="C1780" s="553"/>
      <c r="D1780" s="554"/>
      <c r="E1780" s="554"/>
      <c r="F1780" s="167"/>
      <c r="G1780" s="474"/>
      <c r="H1780" s="474"/>
      <c r="J1780" s="555"/>
    </row>
    <row r="1781" spans="1:10" s="165" customFormat="1">
      <c r="A1781" s="172"/>
      <c r="B1781" s="552"/>
      <c r="C1781" s="553"/>
      <c r="D1781" s="554"/>
      <c r="E1781" s="554"/>
      <c r="F1781" s="167"/>
      <c r="G1781" s="474"/>
      <c r="H1781" s="474"/>
      <c r="J1781" s="555"/>
    </row>
    <row r="1782" spans="1:10" s="165" customFormat="1">
      <c r="A1782" s="172"/>
      <c r="B1782" s="552"/>
      <c r="C1782" s="553"/>
      <c r="D1782" s="554"/>
      <c r="E1782" s="554"/>
      <c r="F1782" s="167"/>
      <c r="G1782" s="474"/>
      <c r="H1782" s="474"/>
      <c r="J1782" s="555"/>
    </row>
    <row r="1783" spans="1:10" s="165" customFormat="1">
      <c r="A1783" s="172"/>
      <c r="B1783" s="552"/>
      <c r="C1783" s="553"/>
      <c r="D1783" s="554"/>
      <c r="E1783" s="554"/>
      <c r="F1783" s="167"/>
      <c r="G1783" s="474"/>
      <c r="H1783" s="474"/>
      <c r="J1783" s="555"/>
    </row>
    <row r="1784" spans="1:10" s="165" customFormat="1">
      <c r="A1784" s="172"/>
      <c r="B1784" s="552"/>
      <c r="C1784" s="553"/>
      <c r="D1784" s="554"/>
      <c r="E1784" s="554"/>
      <c r="F1784" s="167"/>
      <c r="G1784" s="474"/>
      <c r="H1784" s="474"/>
      <c r="J1784" s="555"/>
    </row>
    <row r="1785" spans="1:10" s="165" customFormat="1">
      <c r="A1785" s="172"/>
      <c r="B1785" s="552"/>
      <c r="C1785" s="553"/>
      <c r="D1785" s="554"/>
      <c r="E1785" s="554"/>
      <c r="F1785" s="167"/>
      <c r="G1785" s="474"/>
      <c r="H1785" s="474"/>
      <c r="J1785" s="555"/>
    </row>
    <row r="1786" spans="1:10" s="165" customFormat="1">
      <c r="A1786" s="172"/>
      <c r="B1786" s="552"/>
      <c r="C1786" s="553"/>
      <c r="D1786" s="554"/>
      <c r="E1786" s="554"/>
      <c r="F1786" s="167"/>
      <c r="G1786" s="474"/>
      <c r="H1786" s="474"/>
      <c r="J1786" s="555"/>
    </row>
    <row r="1787" spans="1:10" s="165" customFormat="1">
      <c r="A1787" s="172"/>
      <c r="B1787" s="552"/>
      <c r="C1787" s="553"/>
      <c r="D1787" s="554"/>
      <c r="E1787" s="554"/>
      <c r="F1787" s="167"/>
      <c r="G1787" s="474"/>
      <c r="H1787" s="474"/>
      <c r="J1787" s="555"/>
    </row>
    <row r="1788" spans="1:10" s="165" customFormat="1">
      <c r="A1788" s="172"/>
      <c r="B1788" s="552"/>
      <c r="C1788" s="553"/>
      <c r="D1788" s="554"/>
      <c r="E1788" s="554"/>
      <c r="F1788" s="167"/>
      <c r="G1788" s="474"/>
      <c r="H1788" s="474"/>
      <c r="J1788" s="555"/>
    </row>
    <row r="1789" spans="1:10" s="165" customFormat="1">
      <c r="A1789" s="172"/>
      <c r="B1789" s="552"/>
      <c r="C1789" s="553"/>
      <c r="D1789" s="554"/>
      <c r="E1789" s="554"/>
      <c r="F1789" s="167"/>
      <c r="G1789" s="474"/>
      <c r="H1789" s="474"/>
      <c r="J1789" s="555"/>
    </row>
    <row r="1790" spans="1:10" s="165" customFormat="1">
      <c r="A1790" s="172"/>
      <c r="B1790" s="552"/>
      <c r="C1790" s="553"/>
      <c r="D1790" s="554"/>
      <c r="E1790" s="554"/>
      <c r="F1790" s="167"/>
      <c r="G1790" s="474"/>
      <c r="H1790" s="474"/>
      <c r="J1790" s="555"/>
    </row>
    <row r="1791" spans="1:10" s="165" customFormat="1">
      <c r="A1791" s="172"/>
      <c r="B1791" s="552"/>
      <c r="C1791" s="553"/>
      <c r="D1791" s="554"/>
      <c r="E1791" s="554"/>
      <c r="F1791" s="167"/>
      <c r="G1791" s="474"/>
      <c r="H1791" s="474"/>
      <c r="J1791" s="555"/>
    </row>
    <row r="1792" spans="1:10" s="165" customFormat="1">
      <c r="A1792" s="172"/>
      <c r="B1792" s="552"/>
      <c r="C1792" s="553"/>
      <c r="D1792" s="554"/>
      <c r="E1792" s="554"/>
      <c r="F1792" s="167"/>
      <c r="G1792" s="474"/>
      <c r="H1792" s="474"/>
      <c r="J1792" s="555"/>
    </row>
    <row r="1793" spans="1:10" s="165" customFormat="1">
      <c r="A1793" s="172"/>
      <c r="B1793" s="552"/>
      <c r="C1793" s="553"/>
      <c r="D1793" s="554"/>
      <c r="E1793" s="554"/>
      <c r="F1793" s="167"/>
      <c r="G1793" s="474"/>
      <c r="H1793" s="474"/>
      <c r="J1793" s="555"/>
    </row>
    <row r="1794" spans="1:10" s="165" customFormat="1">
      <c r="A1794" s="172"/>
      <c r="B1794" s="552"/>
      <c r="C1794" s="553"/>
      <c r="D1794" s="554"/>
      <c r="E1794" s="554"/>
      <c r="F1794" s="167"/>
      <c r="G1794" s="474"/>
      <c r="H1794" s="474"/>
      <c r="J1794" s="555"/>
    </row>
    <row r="1795" spans="1:10" s="165" customFormat="1">
      <c r="A1795" s="172"/>
      <c r="B1795" s="552"/>
      <c r="C1795" s="553"/>
      <c r="D1795" s="554"/>
      <c r="E1795" s="554"/>
      <c r="F1795" s="167"/>
      <c r="G1795" s="474"/>
      <c r="H1795" s="474"/>
      <c r="J1795" s="555"/>
    </row>
    <row r="1796" spans="1:10" s="165" customFormat="1">
      <c r="A1796" s="172"/>
      <c r="B1796" s="552"/>
      <c r="C1796" s="553"/>
      <c r="D1796" s="554"/>
      <c r="E1796" s="554"/>
      <c r="F1796" s="167"/>
      <c r="G1796" s="474"/>
      <c r="H1796" s="474"/>
      <c r="J1796" s="555"/>
    </row>
    <row r="1797" spans="1:10" s="165" customFormat="1">
      <c r="A1797" s="172"/>
      <c r="B1797" s="552"/>
      <c r="C1797" s="553"/>
      <c r="D1797" s="554"/>
      <c r="E1797" s="554"/>
      <c r="F1797" s="167"/>
      <c r="G1797" s="474"/>
      <c r="H1797" s="474"/>
      <c r="J1797" s="555"/>
    </row>
    <row r="1798" spans="1:10" s="165" customFormat="1">
      <c r="A1798" s="172"/>
      <c r="B1798" s="552"/>
      <c r="C1798" s="553"/>
      <c r="D1798" s="554"/>
      <c r="E1798" s="554"/>
      <c r="F1798" s="167"/>
      <c r="G1798" s="474"/>
      <c r="H1798" s="474"/>
      <c r="J1798" s="555"/>
    </row>
    <row r="1799" spans="1:10" s="165" customFormat="1">
      <c r="A1799" s="172"/>
      <c r="B1799" s="552"/>
      <c r="C1799" s="553"/>
      <c r="D1799" s="554"/>
      <c r="E1799" s="554"/>
      <c r="F1799" s="167"/>
      <c r="G1799" s="474"/>
      <c r="H1799" s="474"/>
      <c r="J1799" s="555"/>
    </row>
    <row r="1800" spans="1:10" s="165" customFormat="1">
      <c r="A1800" s="172"/>
      <c r="B1800" s="552"/>
      <c r="C1800" s="553"/>
      <c r="D1800" s="554"/>
      <c r="E1800" s="554"/>
      <c r="F1800" s="167"/>
      <c r="G1800" s="474"/>
      <c r="H1800" s="474"/>
      <c r="J1800" s="555"/>
    </row>
    <row r="1801" spans="1:10" s="165" customFormat="1">
      <c r="A1801" s="172"/>
      <c r="B1801" s="552"/>
      <c r="C1801" s="553"/>
      <c r="D1801" s="554"/>
      <c r="E1801" s="554"/>
      <c r="F1801" s="167"/>
      <c r="G1801" s="474"/>
      <c r="H1801" s="474"/>
      <c r="J1801" s="555"/>
    </row>
    <row r="1802" spans="1:10" s="165" customFormat="1">
      <c r="A1802" s="172"/>
      <c r="B1802" s="552"/>
      <c r="C1802" s="553"/>
      <c r="D1802" s="554"/>
      <c r="E1802" s="554"/>
      <c r="F1802" s="167"/>
      <c r="G1802" s="474"/>
      <c r="H1802" s="474"/>
      <c r="J1802" s="555"/>
    </row>
    <row r="1803" spans="1:10" s="165" customFormat="1">
      <c r="A1803" s="172"/>
      <c r="B1803" s="552"/>
      <c r="C1803" s="553"/>
      <c r="D1803" s="554"/>
      <c r="E1803" s="554"/>
      <c r="F1803" s="167"/>
      <c r="G1803" s="474"/>
      <c r="H1803" s="474"/>
      <c r="J1803" s="555"/>
    </row>
    <row r="1804" spans="1:10" s="165" customFormat="1">
      <c r="A1804" s="172"/>
      <c r="B1804" s="552"/>
      <c r="C1804" s="553"/>
      <c r="D1804" s="554"/>
      <c r="E1804" s="554"/>
      <c r="F1804" s="167"/>
      <c r="G1804" s="474"/>
      <c r="H1804" s="474"/>
      <c r="J1804" s="555"/>
    </row>
    <row r="1805" spans="1:10" s="165" customFormat="1">
      <c r="A1805" s="172"/>
      <c r="B1805" s="552"/>
      <c r="C1805" s="553"/>
      <c r="D1805" s="554"/>
      <c r="E1805" s="554"/>
      <c r="F1805" s="167"/>
      <c r="G1805" s="474"/>
      <c r="H1805" s="474"/>
      <c r="J1805" s="555"/>
    </row>
    <row r="1806" spans="1:10" s="165" customFormat="1">
      <c r="A1806" s="172"/>
      <c r="B1806" s="552"/>
      <c r="C1806" s="553"/>
      <c r="D1806" s="554"/>
      <c r="E1806" s="554"/>
      <c r="F1806" s="167"/>
      <c r="G1806" s="474"/>
      <c r="H1806" s="474"/>
      <c r="J1806" s="555"/>
    </row>
    <row r="1807" spans="1:10" s="165" customFormat="1">
      <c r="A1807" s="172"/>
      <c r="B1807" s="552"/>
      <c r="C1807" s="553"/>
      <c r="D1807" s="554"/>
      <c r="E1807" s="554"/>
      <c r="F1807" s="167"/>
      <c r="G1807" s="474"/>
      <c r="H1807" s="474"/>
      <c r="J1807" s="555"/>
    </row>
    <row r="1808" spans="1:10" s="165" customFormat="1">
      <c r="A1808" s="172"/>
      <c r="B1808" s="552"/>
      <c r="C1808" s="553"/>
      <c r="D1808" s="554"/>
      <c r="E1808" s="554"/>
      <c r="F1808" s="167"/>
      <c r="G1808" s="474"/>
      <c r="H1808" s="474"/>
      <c r="J1808" s="555"/>
    </row>
    <row r="1809" spans="1:10" s="165" customFormat="1">
      <c r="A1809" s="172"/>
      <c r="B1809" s="552"/>
      <c r="C1809" s="553"/>
      <c r="D1809" s="554"/>
      <c r="E1809" s="554"/>
      <c r="F1809" s="167"/>
      <c r="G1809" s="474"/>
      <c r="H1809" s="474"/>
      <c r="J1809" s="555"/>
    </row>
    <row r="1810" spans="1:10" s="165" customFormat="1">
      <c r="A1810" s="172"/>
      <c r="B1810" s="552"/>
      <c r="C1810" s="553"/>
      <c r="D1810" s="554"/>
      <c r="E1810" s="554"/>
      <c r="F1810" s="167"/>
      <c r="G1810" s="474"/>
      <c r="H1810" s="474"/>
      <c r="J1810" s="555"/>
    </row>
    <row r="1811" spans="1:10" s="165" customFormat="1">
      <c r="A1811" s="172"/>
      <c r="B1811" s="552"/>
      <c r="C1811" s="553"/>
      <c r="D1811" s="554"/>
      <c r="E1811" s="554"/>
      <c r="F1811" s="167"/>
      <c r="G1811" s="474"/>
      <c r="H1811" s="474"/>
      <c r="J1811" s="555"/>
    </row>
    <row r="1812" spans="1:10" s="165" customFormat="1">
      <c r="A1812" s="172"/>
      <c r="B1812" s="552"/>
      <c r="C1812" s="553"/>
      <c r="D1812" s="554"/>
      <c r="E1812" s="554"/>
      <c r="F1812" s="167"/>
      <c r="G1812" s="474"/>
      <c r="H1812" s="474"/>
      <c r="J1812" s="555"/>
    </row>
    <row r="1813" spans="1:10" s="165" customFormat="1">
      <c r="A1813" s="172"/>
      <c r="B1813" s="552"/>
      <c r="C1813" s="553"/>
      <c r="D1813" s="554"/>
      <c r="E1813" s="554"/>
      <c r="F1813" s="167"/>
      <c r="G1813" s="474"/>
      <c r="H1813" s="474"/>
      <c r="J1813" s="555"/>
    </row>
    <row r="1814" spans="1:10" s="165" customFormat="1">
      <c r="A1814" s="172"/>
      <c r="B1814" s="552"/>
      <c r="C1814" s="553"/>
      <c r="D1814" s="554"/>
      <c r="E1814" s="554"/>
      <c r="F1814" s="167"/>
      <c r="G1814" s="474"/>
      <c r="H1814" s="474"/>
      <c r="J1814" s="555"/>
    </row>
    <row r="1815" spans="1:10" s="165" customFormat="1">
      <c r="A1815" s="172"/>
      <c r="B1815" s="552"/>
      <c r="C1815" s="553"/>
      <c r="D1815" s="554"/>
      <c r="E1815" s="554"/>
      <c r="F1815" s="167"/>
      <c r="G1815" s="474"/>
      <c r="H1815" s="474"/>
      <c r="J1815" s="555"/>
    </row>
    <row r="1816" spans="1:10" s="165" customFormat="1">
      <c r="A1816" s="172"/>
      <c r="B1816" s="552"/>
      <c r="C1816" s="553"/>
      <c r="D1816" s="554"/>
      <c r="E1816" s="554"/>
      <c r="F1816" s="167"/>
      <c r="G1816" s="474"/>
      <c r="H1816" s="474"/>
      <c r="J1816" s="555"/>
    </row>
    <row r="1817" spans="1:10" s="165" customFormat="1">
      <c r="A1817" s="172"/>
      <c r="B1817" s="552"/>
      <c r="C1817" s="553"/>
      <c r="D1817" s="554"/>
      <c r="E1817" s="554"/>
      <c r="F1817" s="167"/>
      <c r="G1817" s="474"/>
      <c r="H1817" s="474"/>
      <c r="J1817" s="555"/>
    </row>
    <row r="1818" spans="1:10" s="165" customFormat="1">
      <c r="A1818" s="172"/>
      <c r="B1818" s="552"/>
      <c r="C1818" s="553"/>
      <c r="D1818" s="554"/>
      <c r="E1818" s="554"/>
      <c r="F1818" s="167"/>
      <c r="G1818" s="474"/>
      <c r="H1818" s="474"/>
      <c r="J1818" s="555"/>
    </row>
    <row r="1819" spans="1:10" s="165" customFormat="1">
      <c r="A1819" s="172"/>
      <c r="B1819" s="552"/>
      <c r="C1819" s="553"/>
      <c r="D1819" s="554"/>
      <c r="E1819" s="554"/>
      <c r="F1819" s="167"/>
      <c r="G1819" s="474"/>
      <c r="H1819" s="474"/>
      <c r="J1819" s="555"/>
    </row>
    <row r="1820" spans="1:10" s="165" customFormat="1">
      <c r="A1820" s="172"/>
      <c r="B1820" s="552"/>
      <c r="C1820" s="553"/>
      <c r="D1820" s="554"/>
      <c r="E1820" s="554"/>
      <c r="F1820" s="167"/>
      <c r="G1820" s="474"/>
      <c r="H1820" s="474"/>
      <c r="J1820" s="555"/>
    </row>
    <row r="1821" spans="1:10" s="165" customFormat="1">
      <c r="A1821" s="172"/>
      <c r="B1821" s="552"/>
      <c r="C1821" s="553"/>
      <c r="D1821" s="554"/>
      <c r="E1821" s="554"/>
      <c r="F1821" s="167"/>
      <c r="G1821" s="474"/>
      <c r="H1821" s="474"/>
      <c r="J1821" s="555"/>
    </row>
    <row r="1822" spans="1:10" s="165" customFormat="1">
      <c r="A1822" s="172"/>
      <c r="B1822" s="552"/>
      <c r="C1822" s="553"/>
      <c r="D1822" s="554"/>
      <c r="E1822" s="554"/>
      <c r="F1822" s="167"/>
      <c r="G1822" s="474"/>
      <c r="H1822" s="474"/>
      <c r="J1822" s="555"/>
    </row>
    <row r="1823" spans="1:10" s="165" customFormat="1">
      <c r="A1823" s="172"/>
      <c r="B1823" s="552"/>
      <c r="C1823" s="553"/>
      <c r="D1823" s="554"/>
      <c r="E1823" s="554"/>
      <c r="F1823" s="167"/>
      <c r="G1823" s="474"/>
      <c r="H1823" s="474"/>
      <c r="J1823" s="555"/>
    </row>
    <row r="1824" spans="1:10" s="165" customFormat="1">
      <c r="A1824" s="172"/>
      <c r="B1824" s="552"/>
      <c r="C1824" s="553"/>
      <c r="D1824" s="554"/>
      <c r="E1824" s="554"/>
      <c r="F1824" s="167"/>
      <c r="G1824" s="474"/>
      <c r="H1824" s="474"/>
      <c r="J1824" s="555"/>
    </row>
    <row r="1825" spans="1:10" s="165" customFormat="1">
      <c r="A1825" s="172"/>
      <c r="B1825" s="552"/>
      <c r="C1825" s="553"/>
      <c r="D1825" s="554"/>
      <c r="E1825" s="554"/>
      <c r="F1825" s="167"/>
      <c r="G1825" s="474"/>
      <c r="H1825" s="474"/>
      <c r="J1825" s="555"/>
    </row>
    <row r="1826" spans="1:10" s="165" customFormat="1">
      <c r="A1826" s="172"/>
      <c r="B1826" s="552"/>
      <c r="C1826" s="553"/>
      <c r="D1826" s="554"/>
      <c r="E1826" s="554"/>
      <c r="F1826" s="167"/>
      <c r="G1826" s="474"/>
      <c r="H1826" s="474"/>
      <c r="J1826" s="555"/>
    </row>
    <row r="1827" spans="1:10" s="165" customFormat="1">
      <c r="A1827" s="172"/>
      <c r="B1827" s="552"/>
      <c r="C1827" s="553"/>
      <c r="D1827" s="554"/>
      <c r="E1827" s="554"/>
      <c r="F1827" s="167"/>
      <c r="G1827" s="474"/>
      <c r="H1827" s="474"/>
      <c r="J1827" s="555"/>
    </row>
    <row r="1828" spans="1:10" s="165" customFormat="1">
      <c r="A1828" s="172"/>
      <c r="B1828" s="552"/>
      <c r="C1828" s="553"/>
      <c r="D1828" s="554"/>
      <c r="E1828" s="554"/>
      <c r="F1828" s="167"/>
      <c r="G1828" s="474"/>
      <c r="H1828" s="474"/>
      <c r="J1828" s="555"/>
    </row>
    <row r="1829" spans="1:10" s="165" customFormat="1">
      <c r="A1829" s="172"/>
      <c r="B1829" s="552"/>
      <c r="C1829" s="553"/>
      <c r="D1829" s="554"/>
      <c r="E1829" s="554"/>
      <c r="F1829" s="167"/>
      <c r="G1829" s="474"/>
      <c r="H1829" s="474"/>
      <c r="J1829" s="555"/>
    </row>
    <row r="1830" spans="1:10" s="165" customFormat="1">
      <c r="A1830" s="172"/>
      <c r="B1830" s="552"/>
      <c r="C1830" s="553"/>
      <c r="D1830" s="554"/>
      <c r="E1830" s="554"/>
      <c r="F1830" s="167"/>
      <c r="G1830" s="474"/>
      <c r="H1830" s="474"/>
      <c r="J1830" s="555"/>
    </row>
    <row r="1831" spans="1:10" s="165" customFormat="1">
      <c r="A1831" s="172"/>
      <c r="B1831" s="552"/>
      <c r="C1831" s="553"/>
      <c r="D1831" s="554"/>
      <c r="E1831" s="554"/>
      <c r="F1831" s="167"/>
      <c r="G1831" s="474"/>
      <c r="H1831" s="474"/>
      <c r="J1831" s="555"/>
    </row>
    <row r="1832" spans="1:10" s="165" customFormat="1">
      <c r="A1832" s="172"/>
      <c r="B1832" s="552"/>
      <c r="C1832" s="553"/>
      <c r="D1832" s="554"/>
      <c r="E1832" s="554"/>
      <c r="F1832" s="167"/>
      <c r="G1832" s="474"/>
      <c r="H1832" s="474"/>
      <c r="J1832" s="555"/>
    </row>
    <row r="1833" spans="1:10" s="165" customFormat="1">
      <c r="A1833" s="172"/>
      <c r="B1833" s="552"/>
      <c r="C1833" s="553"/>
      <c r="D1833" s="554"/>
      <c r="E1833" s="554"/>
      <c r="F1833" s="167"/>
      <c r="G1833" s="474"/>
      <c r="H1833" s="474"/>
      <c r="J1833" s="555"/>
    </row>
    <row r="1834" spans="1:10" s="165" customFormat="1">
      <c r="A1834" s="172"/>
      <c r="B1834" s="552"/>
      <c r="C1834" s="553"/>
      <c r="D1834" s="554"/>
      <c r="E1834" s="554"/>
      <c r="F1834" s="167"/>
      <c r="G1834" s="474"/>
      <c r="H1834" s="474"/>
      <c r="J1834" s="555"/>
    </row>
    <row r="1835" spans="1:10" s="165" customFormat="1">
      <c r="A1835" s="172"/>
      <c r="B1835" s="552"/>
      <c r="C1835" s="553"/>
      <c r="D1835" s="554"/>
      <c r="E1835" s="554"/>
      <c r="F1835" s="167"/>
      <c r="G1835" s="474"/>
      <c r="H1835" s="474"/>
      <c r="J1835" s="555"/>
    </row>
    <row r="1836" spans="1:10" s="165" customFormat="1">
      <c r="A1836" s="172"/>
      <c r="B1836" s="552"/>
      <c r="C1836" s="553"/>
      <c r="D1836" s="554"/>
      <c r="E1836" s="554"/>
      <c r="F1836" s="167"/>
      <c r="G1836" s="474"/>
      <c r="H1836" s="474"/>
      <c r="J1836" s="555"/>
    </row>
    <row r="1837" spans="1:10" s="165" customFormat="1">
      <c r="A1837" s="172"/>
      <c r="B1837" s="552"/>
      <c r="C1837" s="553"/>
      <c r="D1837" s="554"/>
      <c r="E1837" s="554"/>
      <c r="F1837" s="167"/>
      <c r="G1837" s="474"/>
      <c r="H1837" s="474"/>
      <c r="J1837" s="555"/>
    </row>
    <row r="1838" spans="1:10" s="165" customFormat="1">
      <c r="A1838" s="172"/>
      <c r="B1838" s="552"/>
      <c r="C1838" s="553"/>
      <c r="D1838" s="554"/>
      <c r="E1838" s="554"/>
      <c r="F1838" s="167"/>
      <c r="G1838" s="474"/>
      <c r="H1838" s="474"/>
      <c r="J1838" s="555"/>
    </row>
    <row r="1839" spans="1:10" s="165" customFormat="1">
      <c r="A1839" s="172"/>
      <c r="B1839" s="552"/>
      <c r="C1839" s="553"/>
      <c r="D1839" s="554"/>
      <c r="E1839" s="554"/>
      <c r="F1839" s="167"/>
      <c r="G1839" s="474"/>
      <c r="H1839" s="474"/>
      <c r="J1839" s="555"/>
    </row>
    <row r="1840" spans="1:10" s="165" customFormat="1">
      <c r="A1840" s="172"/>
      <c r="B1840" s="552"/>
      <c r="C1840" s="553"/>
      <c r="D1840" s="554"/>
      <c r="E1840" s="554"/>
      <c r="F1840" s="167"/>
      <c r="G1840" s="474"/>
      <c r="H1840" s="474"/>
      <c r="J1840" s="555"/>
    </row>
    <row r="1841" spans="1:10" s="165" customFormat="1">
      <c r="A1841" s="172"/>
      <c r="B1841" s="552"/>
      <c r="C1841" s="553"/>
      <c r="D1841" s="554"/>
      <c r="E1841" s="554"/>
      <c r="F1841" s="167"/>
      <c r="G1841" s="474"/>
      <c r="H1841" s="474"/>
      <c r="J1841" s="555"/>
    </row>
    <row r="1842" spans="1:10" s="165" customFormat="1">
      <c r="A1842" s="172"/>
      <c r="B1842" s="552"/>
      <c r="C1842" s="553"/>
      <c r="D1842" s="554"/>
      <c r="E1842" s="554"/>
      <c r="F1842" s="167"/>
      <c r="G1842" s="474"/>
      <c r="H1842" s="474"/>
      <c r="J1842" s="555"/>
    </row>
    <row r="1843" spans="1:10" s="165" customFormat="1">
      <c r="A1843" s="172"/>
      <c r="B1843" s="552"/>
      <c r="C1843" s="553"/>
      <c r="D1843" s="554"/>
      <c r="E1843" s="554"/>
      <c r="F1843" s="167"/>
      <c r="G1843" s="474"/>
      <c r="H1843" s="474"/>
      <c r="J1843" s="555"/>
    </row>
    <row r="1844" spans="1:10" s="165" customFormat="1">
      <c r="A1844" s="172"/>
      <c r="B1844" s="552"/>
      <c r="C1844" s="553"/>
      <c r="D1844" s="554"/>
      <c r="E1844" s="554"/>
      <c r="F1844" s="167"/>
      <c r="G1844" s="474"/>
      <c r="H1844" s="474"/>
      <c r="J1844" s="555"/>
    </row>
    <row r="1845" spans="1:10" s="165" customFormat="1">
      <c r="A1845" s="172"/>
      <c r="B1845" s="552"/>
      <c r="C1845" s="553"/>
      <c r="D1845" s="554"/>
      <c r="E1845" s="554"/>
      <c r="F1845" s="167"/>
      <c r="G1845" s="474"/>
      <c r="H1845" s="474"/>
      <c r="J1845" s="555"/>
    </row>
    <row r="1846" spans="1:10" s="165" customFormat="1">
      <c r="A1846" s="172"/>
      <c r="B1846" s="552"/>
      <c r="C1846" s="553"/>
      <c r="D1846" s="554"/>
      <c r="E1846" s="554"/>
      <c r="F1846" s="167"/>
      <c r="G1846" s="474"/>
      <c r="H1846" s="474"/>
      <c r="J1846" s="555"/>
    </row>
    <row r="1847" spans="1:10" s="165" customFormat="1">
      <c r="A1847" s="172"/>
      <c r="B1847" s="552"/>
      <c r="C1847" s="553"/>
      <c r="D1847" s="554"/>
      <c r="E1847" s="554"/>
      <c r="F1847" s="167"/>
      <c r="G1847" s="474"/>
      <c r="H1847" s="474"/>
      <c r="J1847" s="555"/>
    </row>
    <row r="1848" spans="1:10" s="165" customFormat="1">
      <c r="A1848" s="172"/>
      <c r="B1848" s="552"/>
      <c r="C1848" s="553"/>
      <c r="D1848" s="554"/>
      <c r="E1848" s="554"/>
      <c r="F1848" s="167"/>
      <c r="G1848" s="474"/>
      <c r="H1848" s="474"/>
      <c r="J1848" s="555"/>
    </row>
    <row r="1849" spans="1:10" s="165" customFormat="1">
      <c r="A1849" s="172"/>
      <c r="B1849" s="552"/>
      <c r="C1849" s="553"/>
      <c r="D1849" s="554"/>
      <c r="E1849" s="554"/>
      <c r="F1849" s="167"/>
      <c r="G1849" s="474"/>
      <c r="H1849" s="474"/>
      <c r="J1849" s="555"/>
    </row>
    <row r="1850" spans="1:10" s="165" customFormat="1">
      <c r="A1850" s="172"/>
      <c r="B1850" s="552"/>
      <c r="C1850" s="553"/>
      <c r="D1850" s="554"/>
      <c r="E1850" s="554"/>
      <c r="F1850" s="167"/>
      <c r="G1850" s="474"/>
      <c r="H1850" s="474"/>
      <c r="J1850" s="555"/>
    </row>
    <row r="1851" spans="1:10" s="165" customFormat="1">
      <c r="A1851" s="172"/>
      <c r="B1851" s="552"/>
      <c r="C1851" s="553"/>
      <c r="D1851" s="554"/>
      <c r="E1851" s="554"/>
      <c r="F1851" s="167"/>
      <c r="G1851" s="474"/>
      <c r="H1851" s="474"/>
      <c r="J1851" s="555"/>
    </row>
    <row r="1852" spans="1:10" s="165" customFormat="1">
      <c r="A1852" s="172"/>
      <c r="B1852" s="552"/>
      <c r="C1852" s="553"/>
      <c r="D1852" s="554"/>
      <c r="E1852" s="554"/>
      <c r="F1852" s="167"/>
      <c r="G1852" s="474"/>
      <c r="H1852" s="474"/>
      <c r="J1852" s="555"/>
    </row>
    <row r="1853" spans="1:10" s="165" customFormat="1">
      <c r="A1853" s="172"/>
      <c r="B1853" s="552"/>
      <c r="C1853" s="553"/>
      <c r="D1853" s="554"/>
      <c r="E1853" s="554"/>
      <c r="F1853" s="167"/>
      <c r="G1853" s="474"/>
      <c r="H1853" s="474"/>
      <c r="J1853" s="555"/>
    </row>
    <row r="1854" spans="1:10" s="165" customFormat="1">
      <c r="A1854" s="172"/>
      <c r="B1854" s="552"/>
      <c r="C1854" s="553"/>
      <c r="D1854" s="554"/>
      <c r="E1854" s="554"/>
      <c r="F1854" s="167"/>
      <c r="G1854" s="474"/>
      <c r="H1854" s="474"/>
      <c r="J1854" s="555"/>
    </row>
    <row r="1855" spans="1:10" s="165" customFormat="1">
      <c r="A1855" s="172"/>
      <c r="B1855" s="552"/>
      <c r="C1855" s="553"/>
      <c r="D1855" s="554"/>
      <c r="E1855" s="554"/>
      <c r="F1855" s="167"/>
      <c r="G1855" s="474"/>
      <c r="H1855" s="474"/>
      <c r="J1855" s="555"/>
    </row>
    <row r="1856" spans="1:10" s="165" customFormat="1">
      <c r="A1856" s="172"/>
      <c r="B1856" s="552"/>
      <c r="C1856" s="553"/>
      <c r="D1856" s="554"/>
      <c r="E1856" s="554"/>
      <c r="F1856" s="167"/>
      <c r="G1856" s="474"/>
      <c r="H1856" s="474"/>
      <c r="J1856" s="555"/>
    </row>
    <row r="1857" spans="1:10" s="165" customFormat="1">
      <c r="A1857" s="172"/>
      <c r="B1857" s="552"/>
      <c r="C1857" s="553"/>
      <c r="D1857" s="554"/>
      <c r="E1857" s="554"/>
      <c r="F1857" s="167"/>
      <c r="G1857" s="474"/>
      <c r="H1857" s="474"/>
      <c r="J1857" s="555"/>
    </row>
    <row r="1858" spans="1:10" s="165" customFormat="1">
      <c r="A1858" s="172"/>
      <c r="B1858" s="552"/>
      <c r="C1858" s="553"/>
      <c r="D1858" s="554"/>
      <c r="E1858" s="554"/>
      <c r="F1858" s="167"/>
      <c r="G1858" s="474"/>
      <c r="H1858" s="474"/>
      <c r="J1858" s="555"/>
    </row>
    <row r="1859" spans="1:10" s="165" customFormat="1">
      <c r="A1859" s="172"/>
      <c r="B1859" s="552"/>
      <c r="C1859" s="553"/>
      <c r="D1859" s="554"/>
      <c r="E1859" s="554"/>
      <c r="F1859" s="167"/>
      <c r="G1859" s="474"/>
      <c r="H1859" s="474"/>
      <c r="J1859" s="555"/>
    </row>
    <row r="1860" spans="1:10" s="165" customFormat="1">
      <c r="A1860" s="172"/>
      <c r="B1860" s="552"/>
      <c r="C1860" s="553"/>
      <c r="D1860" s="554"/>
      <c r="E1860" s="554"/>
      <c r="F1860" s="167"/>
      <c r="G1860" s="474"/>
      <c r="H1860" s="474"/>
      <c r="J1860" s="555"/>
    </row>
    <row r="1861" spans="1:10" s="165" customFormat="1">
      <c r="A1861" s="172"/>
      <c r="B1861" s="552"/>
      <c r="C1861" s="553"/>
      <c r="D1861" s="554"/>
      <c r="E1861" s="554"/>
      <c r="F1861" s="167"/>
      <c r="G1861" s="474"/>
      <c r="H1861" s="474"/>
      <c r="J1861" s="555"/>
    </row>
    <row r="1862" spans="1:10" s="165" customFormat="1">
      <c r="A1862" s="172"/>
      <c r="B1862" s="552"/>
      <c r="C1862" s="553"/>
      <c r="D1862" s="554"/>
      <c r="E1862" s="554"/>
      <c r="F1862" s="167"/>
      <c r="G1862" s="474"/>
      <c r="H1862" s="474"/>
      <c r="J1862" s="555"/>
    </row>
    <row r="1863" spans="1:10" s="165" customFormat="1">
      <c r="A1863" s="172"/>
      <c r="B1863" s="552"/>
      <c r="C1863" s="553"/>
      <c r="D1863" s="554"/>
      <c r="E1863" s="554"/>
      <c r="F1863" s="167"/>
      <c r="G1863" s="474"/>
      <c r="H1863" s="474"/>
      <c r="J1863" s="555"/>
    </row>
    <row r="1864" spans="1:10" s="165" customFormat="1">
      <c r="A1864" s="172"/>
      <c r="B1864" s="552"/>
      <c r="C1864" s="553"/>
      <c r="D1864" s="554"/>
      <c r="E1864" s="554"/>
      <c r="F1864" s="167"/>
      <c r="G1864" s="474"/>
      <c r="H1864" s="474"/>
      <c r="J1864" s="555"/>
    </row>
    <row r="1865" spans="1:10" s="165" customFormat="1">
      <c r="A1865" s="172"/>
      <c r="B1865" s="552"/>
      <c r="C1865" s="553"/>
      <c r="D1865" s="554"/>
      <c r="E1865" s="554"/>
      <c r="F1865" s="167"/>
      <c r="G1865" s="474"/>
      <c r="H1865" s="474"/>
      <c r="J1865" s="555"/>
    </row>
    <row r="1866" spans="1:10" s="165" customFormat="1">
      <c r="A1866" s="172"/>
      <c r="B1866" s="552"/>
      <c r="C1866" s="553"/>
      <c r="D1866" s="554"/>
      <c r="E1866" s="554"/>
      <c r="F1866" s="167"/>
      <c r="G1866" s="474"/>
      <c r="H1866" s="474"/>
      <c r="J1866" s="555"/>
    </row>
    <row r="1867" spans="1:10" s="165" customFormat="1">
      <c r="A1867" s="172"/>
      <c r="B1867" s="552"/>
      <c r="C1867" s="553"/>
      <c r="D1867" s="554"/>
      <c r="E1867" s="554"/>
      <c r="F1867" s="167"/>
      <c r="G1867" s="474"/>
      <c r="H1867" s="474"/>
      <c r="J1867" s="555"/>
    </row>
    <row r="1868" spans="1:10" s="165" customFormat="1">
      <c r="A1868" s="172"/>
      <c r="B1868" s="552"/>
      <c r="C1868" s="553"/>
      <c r="D1868" s="554"/>
      <c r="E1868" s="554"/>
      <c r="F1868" s="167"/>
      <c r="G1868" s="474"/>
      <c r="H1868" s="474"/>
      <c r="J1868" s="555"/>
    </row>
    <row r="1869" spans="1:10" s="165" customFormat="1">
      <c r="A1869" s="172"/>
      <c r="B1869" s="552"/>
      <c r="C1869" s="553"/>
      <c r="D1869" s="554"/>
      <c r="E1869" s="554"/>
      <c r="F1869" s="167"/>
      <c r="G1869" s="474"/>
      <c r="H1869" s="474"/>
      <c r="J1869" s="555"/>
    </row>
    <row r="1870" spans="1:10" s="165" customFormat="1">
      <c r="A1870" s="172"/>
      <c r="B1870" s="552"/>
      <c r="C1870" s="553"/>
      <c r="D1870" s="554"/>
      <c r="E1870" s="554"/>
      <c r="F1870" s="167"/>
      <c r="G1870" s="474"/>
      <c r="H1870" s="474"/>
      <c r="J1870" s="555"/>
    </row>
    <row r="1871" spans="1:10" s="165" customFormat="1">
      <c r="A1871" s="172"/>
      <c r="B1871" s="552"/>
      <c r="C1871" s="553"/>
      <c r="D1871" s="554"/>
      <c r="E1871" s="554"/>
      <c r="F1871" s="167"/>
      <c r="G1871" s="474"/>
      <c r="H1871" s="474"/>
      <c r="J1871" s="555"/>
    </row>
    <row r="1872" spans="1:10" s="165" customFormat="1">
      <c r="A1872" s="172"/>
      <c r="B1872" s="552"/>
      <c r="C1872" s="553"/>
      <c r="D1872" s="554"/>
      <c r="E1872" s="554"/>
      <c r="F1872" s="167"/>
      <c r="G1872" s="474"/>
      <c r="H1872" s="474"/>
      <c r="J1872" s="555"/>
    </row>
    <row r="1873" spans="1:10" s="165" customFormat="1">
      <c r="A1873" s="172"/>
      <c r="B1873" s="552"/>
      <c r="C1873" s="553"/>
      <c r="D1873" s="554"/>
      <c r="E1873" s="554"/>
      <c r="F1873" s="167"/>
      <c r="G1873" s="474"/>
      <c r="H1873" s="474"/>
      <c r="J1873" s="555"/>
    </row>
    <row r="1874" spans="1:10" s="165" customFormat="1">
      <c r="A1874" s="172"/>
      <c r="B1874" s="552"/>
      <c r="C1874" s="553"/>
      <c r="D1874" s="554"/>
      <c r="E1874" s="554"/>
      <c r="F1874" s="167"/>
      <c r="G1874" s="474"/>
      <c r="H1874" s="474"/>
      <c r="J1874" s="555"/>
    </row>
    <row r="1875" spans="1:10" s="165" customFormat="1">
      <c r="A1875" s="172"/>
      <c r="B1875" s="552"/>
      <c r="C1875" s="553"/>
      <c r="D1875" s="554"/>
      <c r="E1875" s="554"/>
      <c r="F1875" s="167"/>
      <c r="G1875" s="474"/>
      <c r="H1875" s="474"/>
      <c r="J1875" s="555"/>
    </row>
    <row r="1876" spans="1:10" s="165" customFormat="1">
      <c r="A1876" s="172"/>
      <c r="B1876" s="552"/>
      <c r="C1876" s="553"/>
      <c r="D1876" s="554"/>
      <c r="E1876" s="554"/>
      <c r="F1876" s="167"/>
      <c r="G1876" s="474"/>
      <c r="H1876" s="474"/>
      <c r="J1876" s="555"/>
    </row>
    <row r="1877" spans="1:10" s="165" customFormat="1">
      <c r="A1877" s="172"/>
      <c r="B1877" s="552"/>
      <c r="C1877" s="553"/>
      <c r="D1877" s="554"/>
      <c r="E1877" s="554"/>
      <c r="F1877" s="167"/>
      <c r="G1877" s="474"/>
      <c r="H1877" s="474"/>
      <c r="J1877" s="555"/>
    </row>
    <row r="1878" spans="1:10" s="165" customFormat="1">
      <c r="A1878" s="172"/>
      <c r="B1878" s="552"/>
      <c r="C1878" s="553"/>
      <c r="D1878" s="554"/>
      <c r="E1878" s="554"/>
      <c r="F1878" s="167"/>
      <c r="G1878" s="474"/>
      <c r="H1878" s="474"/>
      <c r="J1878" s="555"/>
    </row>
    <row r="1879" spans="1:10" s="165" customFormat="1">
      <c r="A1879" s="172"/>
      <c r="B1879" s="552"/>
      <c r="C1879" s="553"/>
      <c r="D1879" s="554"/>
      <c r="E1879" s="554"/>
      <c r="F1879" s="167"/>
      <c r="G1879" s="474"/>
      <c r="H1879" s="474"/>
      <c r="J1879" s="555"/>
    </row>
    <row r="1880" spans="1:10" s="165" customFormat="1">
      <c r="A1880" s="172"/>
      <c r="B1880" s="552"/>
      <c r="C1880" s="553"/>
      <c r="D1880" s="554"/>
      <c r="E1880" s="554"/>
      <c r="F1880" s="167"/>
      <c r="G1880" s="474"/>
      <c r="H1880" s="474"/>
      <c r="J1880" s="555"/>
    </row>
    <row r="1881" spans="1:10" s="165" customFormat="1">
      <c r="A1881" s="172"/>
      <c r="B1881" s="552"/>
      <c r="C1881" s="553"/>
      <c r="D1881" s="554"/>
      <c r="E1881" s="554"/>
      <c r="F1881" s="167"/>
      <c r="G1881" s="474"/>
      <c r="H1881" s="474"/>
      <c r="J1881" s="555"/>
    </row>
    <row r="1882" spans="1:10" s="165" customFormat="1">
      <c r="A1882" s="172"/>
      <c r="B1882" s="552"/>
      <c r="C1882" s="553"/>
      <c r="D1882" s="554"/>
      <c r="E1882" s="554"/>
      <c r="F1882" s="167"/>
      <c r="G1882" s="474"/>
      <c r="H1882" s="474"/>
      <c r="J1882" s="555"/>
    </row>
    <row r="1883" spans="1:10" s="165" customFormat="1">
      <c r="A1883" s="172"/>
      <c r="B1883" s="552"/>
      <c r="C1883" s="553"/>
      <c r="D1883" s="554"/>
      <c r="E1883" s="554"/>
      <c r="F1883" s="167"/>
      <c r="G1883" s="474"/>
      <c r="H1883" s="474"/>
      <c r="J1883" s="555"/>
    </row>
    <row r="1884" spans="1:10" s="165" customFormat="1">
      <c r="A1884" s="172"/>
      <c r="B1884" s="552"/>
      <c r="C1884" s="553"/>
      <c r="D1884" s="554"/>
      <c r="E1884" s="554"/>
      <c r="F1884" s="167"/>
      <c r="G1884" s="474"/>
      <c r="H1884" s="474"/>
      <c r="J1884" s="555"/>
    </row>
    <row r="1885" spans="1:10" s="165" customFormat="1">
      <c r="A1885" s="172"/>
      <c r="B1885" s="552"/>
      <c r="C1885" s="553"/>
      <c r="D1885" s="554"/>
      <c r="E1885" s="554"/>
      <c r="F1885" s="167"/>
      <c r="G1885" s="474"/>
      <c r="H1885" s="474"/>
      <c r="J1885" s="555"/>
    </row>
    <row r="1886" spans="1:10" s="165" customFormat="1">
      <c r="A1886" s="172"/>
      <c r="B1886" s="552"/>
      <c r="C1886" s="553"/>
      <c r="D1886" s="554"/>
      <c r="E1886" s="554"/>
      <c r="F1886" s="167"/>
      <c r="G1886" s="474"/>
      <c r="H1886" s="474"/>
      <c r="J1886" s="555"/>
    </row>
    <row r="1887" spans="1:10" s="165" customFormat="1">
      <c r="A1887" s="172"/>
      <c r="B1887" s="552"/>
      <c r="C1887" s="553"/>
      <c r="D1887" s="554"/>
      <c r="E1887" s="554"/>
      <c r="F1887" s="167"/>
      <c r="G1887" s="474"/>
      <c r="H1887" s="474"/>
      <c r="J1887" s="555"/>
    </row>
    <row r="1888" spans="1:10" s="165" customFormat="1">
      <c r="A1888" s="172"/>
      <c r="B1888" s="552"/>
      <c r="C1888" s="553"/>
      <c r="D1888" s="554"/>
      <c r="E1888" s="554"/>
      <c r="F1888" s="167"/>
      <c r="G1888" s="474"/>
      <c r="H1888" s="474"/>
      <c r="J1888" s="555"/>
    </row>
    <row r="1889" spans="1:10" s="165" customFormat="1">
      <c r="A1889" s="172"/>
      <c r="B1889" s="552"/>
      <c r="C1889" s="553"/>
      <c r="D1889" s="554"/>
      <c r="E1889" s="554"/>
      <c r="F1889" s="167"/>
      <c r="G1889" s="474"/>
      <c r="H1889" s="474"/>
      <c r="J1889" s="555"/>
    </row>
    <row r="1890" spans="1:10" s="165" customFormat="1">
      <c r="A1890" s="172"/>
      <c r="B1890" s="552"/>
      <c r="C1890" s="553"/>
      <c r="D1890" s="554"/>
      <c r="E1890" s="554"/>
      <c r="F1890" s="167"/>
      <c r="G1890" s="474"/>
      <c r="H1890" s="474"/>
      <c r="J1890" s="555"/>
    </row>
    <row r="1891" spans="1:10" s="165" customFormat="1">
      <c r="A1891" s="172"/>
      <c r="B1891" s="552"/>
      <c r="C1891" s="553"/>
      <c r="D1891" s="554"/>
      <c r="E1891" s="554"/>
      <c r="F1891" s="167"/>
      <c r="G1891" s="474"/>
      <c r="H1891" s="474"/>
      <c r="J1891" s="555"/>
    </row>
    <row r="1892" spans="1:10" s="165" customFormat="1">
      <c r="A1892" s="172"/>
      <c r="B1892" s="552"/>
      <c r="C1892" s="553"/>
      <c r="D1892" s="554"/>
      <c r="E1892" s="554"/>
      <c r="F1892" s="167"/>
      <c r="G1892" s="474"/>
      <c r="H1892" s="474"/>
      <c r="J1892" s="555"/>
    </row>
    <row r="1893" spans="1:10" s="165" customFormat="1">
      <c r="A1893" s="172"/>
      <c r="B1893" s="552"/>
      <c r="C1893" s="553"/>
      <c r="D1893" s="554"/>
      <c r="E1893" s="554"/>
      <c r="F1893" s="167"/>
      <c r="G1893" s="474"/>
      <c r="H1893" s="474"/>
      <c r="J1893" s="555"/>
    </row>
    <row r="1894" spans="1:10" s="165" customFormat="1">
      <c r="A1894" s="172"/>
      <c r="B1894" s="552"/>
      <c r="C1894" s="553"/>
      <c r="D1894" s="554"/>
      <c r="E1894" s="554"/>
      <c r="F1894" s="167"/>
      <c r="G1894" s="474"/>
      <c r="H1894" s="474"/>
      <c r="J1894" s="555"/>
    </row>
    <row r="1895" spans="1:10" s="165" customFormat="1">
      <c r="A1895" s="172"/>
      <c r="B1895" s="552"/>
      <c r="C1895" s="553"/>
      <c r="D1895" s="554"/>
      <c r="E1895" s="554"/>
      <c r="F1895" s="167"/>
      <c r="G1895" s="474"/>
      <c r="H1895" s="474"/>
      <c r="J1895" s="555"/>
    </row>
    <row r="1896" spans="1:10" s="165" customFormat="1">
      <c r="A1896" s="172"/>
      <c r="B1896" s="552"/>
      <c r="C1896" s="553"/>
      <c r="D1896" s="554"/>
      <c r="E1896" s="554"/>
      <c r="F1896" s="167"/>
      <c r="G1896" s="474"/>
      <c r="H1896" s="474"/>
      <c r="J1896" s="555"/>
    </row>
    <row r="1897" spans="1:10" s="165" customFormat="1">
      <c r="A1897" s="172"/>
      <c r="B1897" s="552"/>
      <c r="C1897" s="553"/>
      <c r="D1897" s="554"/>
      <c r="E1897" s="554"/>
      <c r="F1897" s="167"/>
      <c r="G1897" s="474"/>
      <c r="H1897" s="474"/>
      <c r="J1897" s="555"/>
    </row>
    <row r="1898" spans="1:10" s="165" customFormat="1">
      <c r="A1898" s="172"/>
      <c r="B1898" s="552"/>
      <c r="C1898" s="553"/>
      <c r="D1898" s="554"/>
      <c r="E1898" s="554"/>
      <c r="F1898" s="167"/>
      <c r="G1898" s="474"/>
      <c r="H1898" s="474"/>
      <c r="J1898" s="555"/>
    </row>
    <row r="1899" spans="1:10" s="165" customFormat="1">
      <c r="A1899" s="172"/>
      <c r="B1899" s="552"/>
      <c r="C1899" s="553"/>
      <c r="D1899" s="554"/>
      <c r="E1899" s="554"/>
      <c r="F1899" s="167"/>
      <c r="G1899" s="474"/>
      <c r="H1899" s="474"/>
      <c r="J1899" s="555"/>
    </row>
    <row r="1900" spans="1:10" s="165" customFormat="1">
      <c r="A1900" s="172"/>
      <c r="B1900" s="552"/>
      <c r="C1900" s="553"/>
      <c r="D1900" s="554"/>
      <c r="E1900" s="554"/>
      <c r="F1900" s="167"/>
      <c r="G1900" s="474"/>
      <c r="H1900" s="474"/>
      <c r="J1900" s="555"/>
    </row>
    <row r="1901" spans="1:10" s="165" customFormat="1">
      <c r="A1901" s="172"/>
      <c r="B1901" s="552"/>
      <c r="C1901" s="553"/>
      <c r="D1901" s="554"/>
      <c r="E1901" s="554"/>
      <c r="F1901" s="167"/>
      <c r="G1901" s="474"/>
      <c r="H1901" s="474"/>
      <c r="J1901" s="555"/>
    </row>
    <row r="1902" spans="1:10" s="165" customFormat="1">
      <c r="A1902" s="172"/>
      <c r="B1902" s="552"/>
      <c r="C1902" s="553"/>
      <c r="D1902" s="554"/>
      <c r="E1902" s="554"/>
      <c r="F1902" s="167"/>
      <c r="G1902" s="474"/>
      <c r="H1902" s="474"/>
      <c r="J1902" s="555"/>
    </row>
    <row r="1903" spans="1:10" s="165" customFormat="1">
      <c r="A1903" s="172"/>
      <c r="B1903" s="552"/>
      <c r="C1903" s="553"/>
      <c r="D1903" s="554"/>
      <c r="E1903" s="554"/>
      <c r="F1903" s="167"/>
      <c r="G1903" s="474"/>
      <c r="H1903" s="474"/>
      <c r="J1903" s="555"/>
    </row>
    <row r="1904" spans="1:10" s="165" customFormat="1">
      <c r="A1904" s="172"/>
      <c r="B1904" s="552"/>
      <c r="C1904" s="553"/>
      <c r="D1904" s="554"/>
      <c r="E1904" s="554"/>
      <c r="F1904" s="167"/>
      <c r="G1904" s="474"/>
      <c r="H1904" s="474"/>
      <c r="J1904" s="555"/>
    </row>
    <row r="1905" spans="1:10" s="165" customFormat="1">
      <c r="A1905" s="172"/>
      <c r="B1905" s="552"/>
      <c r="C1905" s="553"/>
      <c r="D1905" s="554"/>
      <c r="E1905" s="554"/>
      <c r="F1905" s="167"/>
      <c r="G1905" s="474"/>
      <c r="H1905" s="474"/>
      <c r="J1905" s="555"/>
    </row>
    <row r="1906" spans="1:10" s="165" customFormat="1">
      <c r="A1906" s="172"/>
      <c r="B1906" s="552"/>
      <c r="C1906" s="553"/>
      <c r="D1906" s="554"/>
      <c r="E1906" s="554"/>
      <c r="F1906" s="167"/>
      <c r="G1906" s="474"/>
      <c r="H1906" s="474"/>
      <c r="J1906" s="555"/>
    </row>
    <row r="1907" spans="1:10" s="165" customFormat="1">
      <c r="A1907" s="172"/>
      <c r="B1907" s="552"/>
      <c r="C1907" s="553"/>
      <c r="D1907" s="554"/>
      <c r="E1907" s="554"/>
      <c r="F1907" s="167"/>
      <c r="G1907" s="474"/>
      <c r="H1907" s="474"/>
      <c r="J1907" s="555"/>
    </row>
    <row r="1908" spans="1:10" s="165" customFormat="1">
      <c r="A1908" s="172"/>
      <c r="B1908" s="552"/>
      <c r="C1908" s="553"/>
      <c r="D1908" s="554"/>
      <c r="E1908" s="554"/>
      <c r="F1908" s="167"/>
      <c r="G1908" s="474"/>
      <c r="H1908" s="474"/>
      <c r="J1908" s="555"/>
    </row>
    <row r="1909" spans="1:10" s="165" customFormat="1">
      <c r="A1909" s="172"/>
      <c r="B1909" s="552"/>
      <c r="C1909" s="553"/>
      <c r="D1909" s="554"/>
      <c r="E1909" s="554"/>
      <c r="F1909" s="167"/>
      <c r="G1909" s="474"/>
      <c r="H1909" s="474"/>
      <c r="J1909" s="555"/>
    </row>
    <row r="1910" spans="1:10" s="165" customFormat="1">
      <c r="A1910" s="172"/>
      <c r="B1910" s="552"/>
      <c r="C1910" s="553"/>
      <c r="D1910" s="554"/>
      <c r="E1910" s="554"/>
      <c r="F1910" s="167"/>
      <c r="G1910" s="474"/>
      <c r="H1910" s="474"/>
      <c r="J1910" s="555"/>
    </row>
    <row r="1911" spans="1:10" s="165" customFormat="1">
      <c r="A1911" s="172"/>
      <c r="B1911" s="552"/>
      <c r="C1911" s="553"/>
      <c r="D1911" s="554"/>
      <c r="E1911" s="554"/>
      <c r="F1911" s="167"/>
      <c r="G1911" s="474"/>
      <c r="H1911" s="474"/>
      <c r="J1911" s="555"/>
    </row>
    <row r="1912" spans="1:10" s="165" customFormat="1">
      <c r="A1912" s="172"/>
      <c r="B1912" s="552"/>
      <c r="C1912" s="553"/>
      <c r="D1912" s="554"/>
      <c r="E1912" s="554"/>
      <c r="F1912" s="167"/>
      <c r="G1912" s="474"/>
      <c r="H1912" s="474"/>
      <c r="J1912" s="555"/>
    </row>
    <row r="1913" spans="1:10" s="165" customFormat="1">
      <c r="A1913" s="172"/>
      <c r="B1913" s="552"/>
      <c r="C1913" s="553"/>
      <c r="D1913" s="554"/>
      <c r="E1913" s="554"/>
      <c r="F1913" s="167"/>
      <c r="G1913" s="474"/>
      <c r="H1913" s="474"/>
      <c r="J1913" s="555"/>
    </row>
    <row r="1914" spans="1:10" s="165" customFormat="1">
      <c r="A1914" s="172"/>
      <c r="B1914" s="552"/>
      <c r="C1914" s="553"/>
      <c r="D1914" s="554"/>
      <c r="E1914" s="554"/>
      <c r="F1914" s="167"/>
      <c r="G1914" s="474"/>
      <c r="H1914" s="474"/>
      <c r="J1914" s="555"/>
    </row>
    <row r="1915" spans="1:10" s="165" customFormat="1">
      <c r="A1915" s="172"/>
      <c r="B1915" s="552"/>
      <c r="C1915" s="553"/>
      <c r="D1915" s="554"/>
      <c r="E1915" s="554"/>
      <c r="F1915" s="167"/>
      <c r="G1915" s="474"/>
      <c r="H1915" s="474"/>
      <c r="J1915" s="555"/>
    </row>
    <row r="1916" spans="1:10" s="165" customFormat="1">
      <c r="A1916" s="172"/>
      <c r="B1916" s="552"/>
      <c r="C1916" s="553"/>
      <c r="D1916" s="554"/>
      <c r="E1916" s="554"/>
      <c r="F1916" s="167"/>
      <c r="G1916" s="474"/>
      <c r="H1916" s="474"/>
      <c r="J1916" s="555"/>
    </row>
    <row r="1917" spans="1:10" s="165" customFormat="1">
      <c r="A1917" s="172"/>
      <c r="B1917" s="552"/>
      <c r="C1917" s="553"/>
      <c r="D1917" s="554"/>
      <c r="E1917" s="554"/>
      <c r="F1917" s="167"/>
      <c r="G1917" s="474"/>
      <c r="H1917" s="474"/>
      <c r="J1917" s="555"/>
    </row>
    <row r="1918" spans="1:10" s="165" customFormat="1">
      <c r="A1918" s="172"/>
      <c r="B1918" s="552"/>
      <c r="C1918" s="553"/>
      <c r="D1918" s="554"/>
      <c r="E1918" s="554"/>
      <c r="F1918" s="167"/>
      <c r="G1918" s="474"/>
      <c r="H1918" s="474"/>
      <c r="J1918" s="555"/>
    </row>
    <row r="1919" spans="1:10" s="165" customFormat="1">
      <c r="A1919" s="172"/>
      <c r="B1919" s="552"/>
      <c r="C1919" s="553"/>
      <c r="D1919" s="554"/>
      <c r="E1919" s="554"/>
      <c r="F1919" s="167"/>
      <c r="G1919" s="474"/>
      <c r="H1919" s="474"/>
      <c r="J1919" s="555"/>
    </row>
    <row r="1920" spans="1:10" s="165" customFormat="1">
      <c r="A1920" s="172"/>
      <c r="B1920" s="552"/>
      <c r="C1920" s="553"/>
      <c r="D1920" s="554"/>
      <c r="E1920" s="554"/>
      <c r="F1920" s="167"/>
      <c r="G1920" s="474"/>
      <c r="H1920" s="474"/>
      <c r="J1920" s="555"/>
    </row>
    <row r="1921" spans="1:10" s="165" customFormat="1">
      <c r="A1921" s="172"/>
      <c r="B1921" s="552"/>
      <c r="C1921" s="553"/>
      <c r="D1921" s="554"/>
      <c r="E1921" s="554"/>
      <c r="F1921" s="167"/>
      <c r="G1921" s="474"/>
      <c r="H1921" s="474"/>
      <c r="J1921" s="555"/>
    </row>
    <row r="1922" spans="1:10" s="165" customFormat="1">
      <c r="A1922" s="172"/>
      <c r="B1922" s="552"/>
      <c r="C1922" s="553"/>
      <c r="D1922" s="554"/>
      <c r="E1922" s="554"/>
      <c r="F1922" s="167"/>
      <c r="G1922" s="474"/>
      <c r="H1922" s="474"/>
      <c r="J1922" s="555"/>
    </row>
    <row r="1923" spans="1:10" s="165" customFormat="1">
      <c r="A1923" s="172"/>
      <c r="B1923" s="552"/>
      <c r="C1923" s="553"/>
      <c r="D1923" s="554"/>
      <c r="E1923" s="554"/>
      <c r="F1923" s="167"/>
      <c r="G1923" s="474"/>
      <c r="H1923" s="474"/>
      <c r="J1923" s="555"/>
    </row>
    <row r="1924" spans="1:10" s="165" customFormat="1">
      <c r="A1924" s="172"/>
      <c r="B1924" s="552"/>
      <c r="C1924" s="553"/>
      <c r="D1924" s="554"/>
      <c r="E1924" s="554"/>
      <c r="F1924" s="167"/>
      <c r="G1924" s="474"/>
      <c r="H1924" s="474"/>
      <c r="J1924" s="555"/>
    </row>
    <row r="1925" spans="1:10" s="165" customFormat="1">
      <c r="A1925" s="172"/>
      <c r="B1925" s="552"/>
      <c r="C1925" s="553"/>
      <c r="D1925" s="554"/>
      <c r="E1925" s="554"/>
      <c r="F1925" s="167"/>
      <c r="G1925" s="474"/>
      <c r="H1925" s="474"/>
      <c r="J1925" s="555"/>
    </row>
    <row r="1926" spans="1:10" s="165" customFormat="1">
      <c r="A1926" s="172"/>
      <c r="B1926" s="552"/>
      <c r="C1926" s="553"/>
      <c r="D1926" s="554"/>
      <c r="E1926" s="554"/>
      <c r="F1926" s="167"/>
      <c r="G1926" s="474"/>
      <c r="H1926" s="474"/>
      <c r="J1926" s="555"/>
    </row>
    <row r="1927" spans="1:10" s="165" customFormat="1">
      <c r="A1927" s="172"/>
      <c r="B1927" s="552"/>
      <c r="C1927" s="553"/>
      <c r="D1927" s="554"/>
      <c r="E1927" s="554"/>
      <c r="F1927" s="167"/>
      <c r="G1927" s="474"/>
      <c r="H1927" s="474"/>
      <c r="J1927" s="555"/>
    </row>
    <row r="1928" spans="1:10" s="165" customFormat="1">
      <c r="A1928" s="172"/>
      <c r="B1928" s="552"/>
      <c r="C1928" s="553"/>
      <c r="D1928" s="554"/>
      <c r="E1928" s="554"/>
      <c r="F1928" s="167"/>
      <c r="G1928" s="474"/>
      <c r="H1928" s="474"/>
      <c r="J1928" s="555"/>
    </row>
    <row r="1929" spans="1:10" s="165" customFormat="1">
      <c r="A1929" s="172"/>
      <c r="B1929" s="552"/>
      <c r="C1929" s="553"/>
      <c r="D1929" s="554"/>
      <c r="E1929" s="554"/>
      <c r="F1929" s="167"/>
      <c r="G1929" s="474"/>
      <c r="H1929" s="474"/>
      <c r="J1929" s="555"/>
    </row>
    <row r="1930" spans="1:10" s="165" customFormat="1">
      <c r="A1930" s="172"/>
      <c r="B1930" s="552"/>
      <c r="C1930" s="553"/>
      <c r="D1930" s="554"/>
      <c r="E1930" s="554"/>
      <c r="F1930" s="167"/>
      <c r="G1930" s="474"/>
      <c r="H1930" s="474"/>
      <c r="J1930" s="555"/>
    </row>
    <row r="1931" spans="1:10" s="165" customFormat="1">
      <c r="A1931" s="172"/>
      <c r="B1931" s="552"/>
      <c r="C1931" s="553"/>
      <c r="D1931" s="554"/>
      <c r="E1931" s="554"/>
      <c r="F1931" s="167"/>
      <c r="G1931" s="474"/>
      <c r="H1931" s="474"/>
      <c r="J1931" s="555"/>
    </row>
    <row r="1932" spans="1:10" s="165" customFormat="1">
      <c r="A1932" s="172"/>
      <c r="B1932" s="552"/>
      <c r="C1932" s="553"/>
      <c r="D1932" s="554"/>
      <c r="E1932" s="554"/>
      <c r="F1932" s="167"/>
      <c r="G1932" s="474"/>
      <c r="H1932" s="474"/>
      <c r="J1932" s="555"/>
    </row>
    <row r="1933" spans="1:10" s="165" customFormat="1">
      <c r="A1933" s="172"/>
      <c r="B1933" s="552"/>
      <c r="C1933" s="553"/>
      <c r="D1933" s="554"/>
      <c r="E1933" s="554"/>
      <c r="F1933" s="167"/>
      <c r="G1933" s="474"/>
      <c r="H1933" s="474"/>
      <c r="J1933" s="555"/>
    </row>
    <row r="1934" spans="1:10" s="165" customFormat="1">
      <c r="A1934" s="172"/>
      <c r="B1934" s="552"/>
      <c r="C1934" s="553"/>
      <c r="D1934" s="554"/>
      <c r="E1934" s="554"/>
      <c r="F1934" s="167"/>
      <c r="G1934" s="474"/>
      <c r="H1934" s="474"/>
      <c r="J1934" s="555"/>
    </row>
    <row r="1935" spans="1:10" s="165" customFormat="1">
      <c r="A1935" s="172"/>
      <c r="B1935" s="552"/>
      <c r="C1935" s="553"/>
      <c r="D1935" s="554"/>
      <c r="E1935" s="554"/>
      <c r="F1935" s="167"/>
      <c r="G1935" s="474"/>
      <c r="H1935" s="474"/>
      <c r="J1935" s="555"/>
    </row>
    <row r="1936" spans="1:10" s="165" customFormat="1">
      <c r="A1936" s="172"/>
      <c r="B1936" s="552"/>
      <c r="C1936" s="553"/>
      <c r="D1936" s="554"/>
      <c r="E1936" s="554"/>
      <c r="F1936" s="167"/>
      <c r="G1936" s="474"/>
      <c r="H1936" s="474"/>
      <c r="J1936" s="555"/>
    </row>
    <row r="1937" spans="1:10" s="165" customFormat="1">
      <c r="A1937" s="172"/>
      <c r="B1937" s="552"/>
      <c r="C1937" s="553"/>
      <c r="D1937" s="554"/>
      <c r="E1937" s="554"/>
      <c r="F1937" s="167"/>
      <c r="G1937" s="474"/>
      <c r="H1937" s="474"/>
      <c r="J1937" s="555"/>
    </row>
    <row r="1938" spans="1:10" s="165" customFormat="1">
      <c r="A1938" s="172"/>
      <c r="B1938" s="552"/>
      <c r="C1938" s="553"/>
      <c r="D1938" s="554"/>
      <c r="E1938" s="554"/>
      <c r="F1938" s="167"/>
      <c r="G1938" s="474"/>
      <c r="H1938" s="474"/>
      <c r="J1938" s="555"/>
    </row>
    <row r="1939" spans="1:10" s="165" customFormat="1">
      <c r="A1939" s="172"/>
      <c r="B1939" s="552"/>
      <c r="C1939" s="553"/>
      <c r="D1939" s="554"/>
      <c r="E1939" s="554"/>
      <c r="F1939" s="167"/>
      <c r="G1939" s="474"/>
      <c r="H1939" s="474"/>
      <c r="J1939" s="555"/>
    </row>
    <row r="1940" spans="1:10" s="165" customFormat="1">
      <c r="A1940" s="172"/>
      <c r="B1940" s="552"/>
      <c r="C1940" s="553"/>
      <c r="D1940" s="554"/>
      <c r="E1940" s="554"/>
      <c r="F1940" s="167"/>
      <c r="G1940" s="474"/>
      <c r="H1940" s="474"/>
      <c r="J1940" s="555"/>
    </row>
    <row r="1941" spans="1:10" s="165" customFormat="1">
      <c r="A1941" s="172"/>
      <c r="B1941" s="552"/>
      <c r="C1941" s="553"/>
      <c r="D1941" s="554"/>
      <c r="E1941" s="554"/>
      <c r="F1941" s="167"/>
      <c r="G1941" s="474"/>
      <c r="H1941" s="474"/>
      <c r="J1941" s="555"/>
    </row>
    <row r="1942" spans="1:10" s="165" customFormat="1">
      <c r="A1942" s="172"/>
      <c r="B1942" s="552"/>
      <c r="C1942" s="553"/>
      <c r="D1942" s="554"/>
      <c r="E1942" s="554"/>
      <c r="F1942" s="167"/>
      <c r="G1942" s="474"/>
      <c r="H1942" s="474"/>
      <c r="J1942" s="555"/>
    </row>
    <row r="1943" spans="1:10" s="165" customFormat="1">
      <c r="A1943" s="172"/>
      <c r="B1943" s="552"/>
      <c r="C1943" s="553"/>
      <c r="D1943" s="554"/>
      <c r="E1943" s="554"/>
      <c r="F1943" s="167"/>
      <c r="G1943" s="474"/>
      <c r="H1943" s="474"/>
      <c r="J1943" s="555"/>
    </row>
    <row r="1944" spans="1:10" s="165" customFormat="1">
      <c r="A1944" s="172"/>
      <c r="B1944" s="552"/>
      <c r="C1944" s="553"/>
      <c r="D1944" s="554"/>
      <c r="E1944" s="554"/>
      <c r="F1944" s="167"/>
      <c r="G1944" s="474"/>
      <c r="H1944" s="474"/>
      <c r="J1944" s="555"/>
    </row>
    <row r="1945" spans="1:10" s="165" customFormat="1">
      <c r="A1945" s="172"/>
      <c r="B1945" s="552"/>
      <c r="C1945" s="553"/>
      <c r="D1945" s="554"/>
      <c r="E1945" s="554"/>
      <c r="F1945" s="167"/>
      <c r="G1945" s="474"/>
      <c r="H1945" s="474"/>
      <c r="J1945" s="555"/>
    </row>
    <row r="1946" spans="1:10" s="165" customFormat="1">
      <c r="A1946" s="172"/>
      <c r="B1946" s="552"/>
      <c r="C1946" s="553"/>
      <c r="D1946" s="554"/>
      <c r="E1946" s="554"/>
      <c r="F1946" s="167"/>
      <c r="G1946" s="474"/>
      <c r="H1946" s="474"/>
      <c r="J1946" s="555"/>
    </row>
    <row r="1947" spans="1:10" s="165" customFormat="1">
      <c r="A1947" s="172"/>
      <c r="B1947" s="552"/>
      <c r="C1947" s="553"/>
      <c r="D1947" s="554"/>
      <c r="E1947" s="554"/>
      <c r="F1947" s="167"/>
      <c r="G1947" s="474"/>
      <c r="H1947" s="474"/>
      <c r="J1947" s="555"/>
    </row>
    <row r="1948" spans="1:10" s="165" customFormat="1">
      <c r="A1948" s="172"/>
      <c r="B1948" s="552"/>
      <c r="C1948" s="553"/>
      <c r="D1948" s="554"/>
      <c r="E1948" s="554"/>
      <c r="F1948" s="167"/>
      <c r="G1948" s="474"/>
      <c r="H1948" s="474"/>
      <c r="J1948" s="555"/>
    </row>
    <row r="1949" spans="1:10" s="165" customFormat="1">
      <c r="A1949" s="172"/>
      <c r="B1949" s="552"/>
      <c r="C1949" s="553"/>
      <c r="D1949" s="554"/>
      <c r="E1949" s="554"/>
      <c r="F1949" s="167"/>
      <c r="G1949" s="474"/>
      <c r="H1949" s="474"/>
      <c r="J1949" s="555"/>
    </row>
    <row r="1950" spans="1:10" s="165" customFormat="1">
      <c r="A1950" s="172"/>
      <c r="B1950" s="552"/>
      <c r="C1950" s="553"/>
      <c r="D1950" s="554"/>
      <c r="E1950" s="554"/>
      <c r="F1950" s="167"/>
      <c r="G1950" s="474"/>
      <c r="H1950" s="474"/>
      <c r="J1950" s="555"/>
    </row>
    <row r="1951" spans="1:10" s="165" customFormat="1">
      <c r="A1951" s="172"/>
      <c r="B1951" s="552"/>
      <c r="C1951" s="553"/>
      <c r="D1951" s="554"/>
      <c r="E1951" s="554"/>
      <c r="F1951" s="167"/>
      <c r="G1951" s="474"/>
      <c r="H1951" s="474"/>
      <c r="J1951" s="555"/>
    </row>
    <row r="1952" spans="1:10" s="165" customFormat="1">
      <c r="A1952" s="172"/>
      <c r="B1952" s="552"/>
      <c r="C1952" s="553"/>
      <c r="D1952" s="554"/>
      <c r="E1952" s="554"/>
      <c r="F1952" s="167"/>
      <c r="G1952" s="474"/>
      <c r="H1952" s="474"/>
      <c r="J1952" s="555"/>
    </row>
    <row r="1953" spans="1:10" s="165" customFormat="1">
      <c r="A1953" s="172"/>
      <c r="B1953" s="552"/>
      <c r="C1953" s="553"/>
      <c r="D1953" s="554"/>
      <c r="E1953" s="554"/>
      <c r="F1953" s="167"/>
      <c r="G1953" s="474"/>
      <c r="H1953" s="474"/>
      <c r="J1953" s="555"/>
    </row>
    <row r="1954" spans="1:10" s="165" customFormat="1">
      <c r="A1954" s="172"/>
      <c r="B1954" s="552"/>
      <c r="C1954" s="553"/>
      <c r="D1954" s="554"/>
      <c r="E1954" s="554"/>
      <c r="F1954" s="167"/>
      <c r="G1954" s="474"/>
      <c r="H1954" s="474"/>
      <c r="J1954" s="555"/>
    </row>
    <row r="1955" spans="1:10" s="165" customFormat="1">
      <c r="A1955" s="172"/>
      <c r="B1955" s="552"/>
      <c r="C1955" s="553"/>
      <c r="D1955" s="554"/>
      <c r="E1955" s="554"/>
      <c r="F1955" s="167"/>
      <c r="G1955" s="474"/>
      <c r="H1955" s="474"/>
      <c r="J1955" s="555"/>
    </row>
    <row r="1956" spans="1:10" s="165" customFormat="1">
      <c r="A1956" s="172"/>
      <c r="B1956" s="552"/>
      <c r="C1956" s="553"/>
      <c r="D1956" s="554"/>
      <c r="E1956" s="554"/>
      <c r="F1956" s="167"/>
      <c r="G1956" s="474"/>
      <c r="H1956" s="474"/>
      <c r="J1956" s="555"/>
    </row>
    <row r="1957" spans="1:10" s="165" customFormat="1">
      <c r="A1957" s="172"/>
      <c r="B1957" s="552"/>
      <c r="C1957" s="553"/>
      <c r="D1957" s="554"/>
      <c r="E1957" s="554"/>
      <c r="F1957" s="167"/>
      <c r="G1957" s="474"/>
      <c r="H1957" s="474"/>
      <c r="J1957" s="555"/>
    </row>
    <row r="1958" spans="1:10" s="165" customFormat="1">
      <c r="A1958" s="172"/>
      <c r="B1958" s="552"/>
      <c r="C1958" s="553"/>
      <c r="D1958" s="554"/>
      <c r="E1958" s="554"/>
      <c r="F1958" s="167"/>
      <c r="G1958" s="474"/>
      <c r="H1958" s="474"/>
      <c r="J1958" s="555"/>
    </row>
    <row r="1959" spans="1:10" s="165" customFormat="1">
      <c r="A1959" s="172"/>
      <c r="B1959" s="552"/>
      <c r="C1959" s="553"/>
      <c r="D1959" s="554"/>
      <c r="E1959" s="554"/>
      <c r="F1959" s="167"/>
      <c r="G1959" s="474"/>
      <c r="H1959" s="474"/>
      <c r="J1959" s="555"/>
    </row>
    <row r="1960" spans="1:10" s="165" customFormat="1">
      <c r="A1960" s="172"/>
      <c r="B1960" s="552"/>
      <c r="C1960" s="553"/>
      <c r="D1960" s="554"/>
      <c r="E1960" s="554"/>
      <c r="F1960" s="167"/>
      <c r="G1960" s="474"/>
      <c r="H1960" s="474"/>
      <c r="J1960" s="555"/>
    </row>
    <row r="1961" spans="1:10" s="165" customFormat="1">
      <c r="A1961" s="172"/>
      <c r="B1961" s="552"/>
      <c r="C1961" s="553"/>
      <c r="D1961" s="554"/>
      <c r="E1961" s="554"/>
      <c r="F1961" s="167"/>
      <c r="G1961" s="474"/>
      <c r="H1961" s="474"/>
      <c r="J1961" s="555"/>
    </row>
    <row r="1962" spans="1:10" s="165" customFormat="1">
      <c r="A1962" s="172"/>
      <c r="B1962" s="552"/>
      <c r="C1962" s="553"/>
      <c r="D1962" s="554"/>
      <c r="E1962" s="554"/>
      <c r="F1962" s="167"/>
      <c r="G1962" s="474"/>
      <c r="H1962" s="474"/>
      <c r="J1962" s="555"/>
    </row>
    <row r="1963" spans="1:10" s="165" customFormat="1">
      <c r="A1963" s="172"/>
      <c r="B1963" s="552"/>
      <c r="C1963" s="553"/>
      <c r="D1963" s="554"/>
      <c r="E1963" s="554"/>
      <c r="F1963" s="167"/>
      <c r="G1963" s="474"/>
      <c r="H1963" s="474"/>
      <c r="J1963" s="555"/>
    </row>
    <row r="1964" spans="1:10" s="165" customFormat="1">
      <c r="A1964" s="172"/>
      <c r="B1964" s="552"/>
      <c r="C1964" s="553"/>
      <c r="D1964" s="554"/>
      <c r="E1964" s="554"/>
      <c r="F1964" s="167"/>
      <c r="G1964" s="474"/>
      <c r="H1964" s="474"/>
      <c r="J1964" s="555"/>
    </row>
    <row r="1965" spans="1:10" s="165" customFormat="1">
      <c r="A1965" s="172"/>
      <c r="B1965" s="552"/>
      <c r="C1965" s="553"/>
      <c r="D1965" s="554"/>
      <c r="E1965" s="554"/>
      <c r="F1965" s="167"/>
      <c r="G1965" s="474"/>
      <c r="H1965" s="474"/>
      <c r="J1965" s="555"/>
    </row>
    <row r="1966" spans="1:10" s="165" customFormat="1">
      <c r="A1966" s="172"/>
      <c r="B1966" s="552"/>
      <c r="C1966" s="553"/>
      <c r="D1966" s="554"/>
      <c r="E1966" s="554"/>
      <c r="F1966" s="167"/>
      <c r="G1966" s="474"/>
      <c r="H1966" s="474"/>
      <c r="J1966" s="555"/>
    </row>
    <row r="1967" spans="1:10" s="165" customFormat="1">
      <c r="A1967" s="172"/>
      <c r="B1967" s="552"/>
      <c r="C1967" s="553"/>
      <c r="D1967" s="554"/>
      <c r="E1967" s="554"/>
      <c r="F1967" s="167"/>
      <c r="G1967" s="474"/>
      <c r="H1967" s="474"/>
      <c r="J1967" s="555"/>
    </row>
    <row r="1968" spans="1:10" s="165" customFormat="1">
      <c r="A1968" s="172"/>
      <c r="B1968" s="552"/>
      <c r="C1968" s="553"/>
      <c r="D1968" s="554"/>
      <c r="E1968" s="554"/>
      <c r="F1968" s="167"/>
      <c r="G1968" s="474"/>
      <c r="H1968" s="474"/>
      <c r="J1968" s="555"/>
    </row>
    <row r="1969" spans="1:10" s="165" customFormat="1">
      <c r="A1969" s="172"/>
      <c r="B1969" s="552"/>
      <c r="C1969" s="553"/>
      <c r="D1969" s="554"/>
      <c r="E1969" s="554"/>
      <c r="F1969" s="167"/>
      <c r="G1969" s="474"/>
      <c r="H1969" s="474"/>
      <c r="J1969" s="555"/>
    </row>
    <row r="1970" spans="1:10" s="165" customFormat="1">
      <c r="A1970" s="172"/>
      <c r="B1970" s="552"/>
      <c r="C1970" s="553"/>
      <c r="D1970" s="554"/>
      <c r="E1970" s="554"/>
      <c r="F1970" s="167"/>
      <c r="G1970" s="474"/>
      <c r="H1970" s="474"/>
      <c r="J1970" s="555"/>
    </row>
    <row r="1971" spans="1:10" s="165" customFormat="1">
      <c r="A1971" s="172"/>
      <c r="B1971" s="552"/>
      <c r="C1971" s="553"/>
      <c r="D1971" s="554"/>
      <c r="E1971" s="554"/>
      <c r="F1971" s="167"/>
      <c r="G1971" s="474"/>
      <c r="H1971" s="474"/>
      <c r="J1971" s="555"/>
    </row>
    <row r="1972" spans="1:10" s="165" customFormat="1">
      <c r="A1972" s="172"/>
      <c r="B1972" s="552"/>
      <c r="C1972" s="553"/>
      <c r="D1972" s="554"/>
      <c r="E1972" s="554"/>
      <c r="F1972" s="167"/>
      <c r="G1972" s="474"/>
      <c r="H1972" s="474"/>
      <c r="J1972" s="555"/>
    </row>
    <row r="1973" spans="1:10" s="165" customFormat="1">
      <c r="A1973" s="172"/>
      <c r="B1973" s="552"/>
      <c r="C1973" s="553"/>
      <c r="D1973" s="554"/>
      <c r="E1973" s="554"/>
      <c r="F1973" s="167"/>
      <c r="G1973" s="474"/>
      <c r="H1973" s="474"/>
      <c r="J1973" s="555"/>
    </row>
    <row r="1974" spans="1:10" s="165" customFormat="1">
      <c r="A1974" s="172"/>
      <c r="B1974" s="552"/>
      <c r="C1974" s="553"/>
      <c r="D1974" s="554"/>
      <c r="E1974" s="554"/>
      <c r="F1974" s="167"/>
      <c r="G1974" s="474"/>
      <c r="H1974" s="474"/>
      <c r="J1974" s="555"/>
    </row>
    <row r="1975" spans="1:10" s="165" customFormat="1">
      <c r="A1975" s="172"/>
      <c r="B1975" s="552"/>
      <c r="C1975" s="553"/>
      <c r="D1975" s="554"/>
      <c r="E1975" s="554"/>
      <c r="F1975" s="167"/>
      <c r="G1975" s="474"/>
      <c r="H1975" s="474"/>
      <c r="J1975" s="555"/>
    </row>
    <row r="1976" spans="1:10" s="165" customFormat="1">
      <c r="A1976" s="172"/>
      <c r="B1976" s="552"/>
      <c r="C1976" s="553"/>
      <c r="D1976" s="554"/>
      <c r="E1976" s="554"/>
      <c r="F1976" s="167"/>
      <c r="G1976" s="474"/>
      <c r="H1976" s="474"/>
      <c r="J1976" s="555"/>
    </row>
    <row r="1977" spans="1:10" s="165" customFormat="1">
      <c r="A1977" s="172"/>
      <c r="B1977" s="552"/>
      <c r="C1977" s="553"/>
      <c r="D1977" s="554"/>
      <c r="E1977" s="554"/>
      <c r="F1977" s="167"/>
      <c r="G1977" s="474"/>
      <c r="H1977" s="474"/>
      <c r="J1977" s="555"/>
    </row>
    <row r="1978" spans="1:10" s="165" customFormat="1">
      <c r="A1978" s="172"/>
      <c r="B1978" s="552"/>
      <c r="C1978" s="553"/>
      <c r="D1978" s="554"/>
      <c r="E1978" s="554"/>
      <c r="F1978" s="167"/>
      <c r="G1978" s="474"/>
      <c r="H1978" s="474"/>
      <c r="J1978" s="555"/>
    </row>
    <row r="1979" spans="1:10" s="165" customFormat="1">
      <c r="A1979" s="172"/>
      <c r="B1979" s="552"/>
      <c r="C1979" s="553"/>
      <c r="D1979" s="554"/>
      <c r="E1979" s="554"/>
      <c r="F1979" s="167"/>
      <c r="G1979" s="474"/>
      <c r="H1979" s="474"/>
      <c r="J1979" s="555"/>
    </row>
    <row r="1980" spans="1:10" s="165" customFormat="1">
      <c r="A1980" s="172"/>
      <c r="B1980" s="552"/>
      <c r="C1980" s="553"/>
      <c r="D1980" s="554"/>
      <c r="E1980" s="554"/>
      <c r="F1980" s="167"/>
      <c r="G1980" s="474"/>
      <c r="H1980" s="474"/>
      <c r="J1980" s="555"/>
    </row>
    <row r="1981" spans="1:10" s="165" customFormat="1">
      <c r="A1981" s="172"/>
      <c r="B1981" s="552"/>
      <c r="C1981" s="553"/>
      <c r="D1981" s="554"/>
      <c r="E1981" s="554"/>
      <c r="F1981" s="167"/>
      <c r="G1981" s="474"/>
      <c r="H1981" s="474"/>
      <c r="J1981" s="555"/>
    </row>
    <row r="1982" spans="1:10" s="165" customFormat="1">
      <c r="A1982" s="172"/>
      <c r="B1982" s="552"/>
      <c r="C1982" s="553"/>
      <c r="D1982" s="554"/>
      <c r="E1982" s="554"/>
      <c r="F1982" s="167"/>
      <c r="G1982" s="474"/>
      <c r="H1982" s="474"/>
      <c r="J1982" s="555"/>
    </row>
    <row r="1983" spans="1:10" s="165" customFormat="1">
      <c r="A1983" s="172"/>
      <c r="B1983" s="552"/>
      <c r="C1983" s="553"/>
      <c r="D1983" s="554"/>
      <c r="E1983" s="554"/>
      <c r="F1983" s="167"/>
      <c r="G1983" s="474"/>
      <c r="H1983" s="474"/>
      <c r="J1983" s="555"/>
    </row>
    <row r="1984" spans="1:10" s="165" customFormat="1">
      <c r="A1984" s="172"/>
      <c r="B1984" s="552"/>
      <c r="C1984" s="553"/>
      <c r="D1984" s="554"/>
      <c r="E1984" s="554"/>
      <c r="F1984" s="167"/>
      <c r="G1984" s="474"/>
      <c r="H1984" s="474"/>
      <c r="J1984" s="555"/>
    </row>
    <row r="1985" spans="1:10" s="165" customFormat="1">
      <c r="A1985" s="172"/>
      <c r="B1985" s="552"/>
      <c r="C1985" s="553"/>
      <c r="D1985" s="554"/>
      <c r="E1985" s="554"/>
      <c r="F1985" s="167"/>
      <c r="G1985" s="474"/>
      <c r="H1985" s="474"/>
      <c r="J1985" s="555"/>
    </row>
    <row r="1986" spans="1:10" s="165" customFormat="1">
      <c r="A1986" s="172"/>
      <c r="B1986" s="552"/>
      <c r="C1986" s="553"/>
      <c r="D1986" s="554"/>
      <c r="E1986" s="554"/>
      <c r="F1986" s="167"/>
      <c r="G1986" s="474"/>
      <c r="H1986" s="474"/>
      <c r="J1986" s="555"/>
    </row>
    <row r="1987" spans="1:10" s="165" customFormat="1">
      <c r="A1987" s="172"/>
      <c r="B1987" s="552"/>
      <c r="C1987" s="553"/>
      <c r="D1987" s="554"/>
      <c r="E1987" s="554"/>
      <c r="F1987" s="167"/>
      <c r="G1987" s="474"/>
      <c r="H1987" s="474"/>
      <c r="J1987" s="555"/>
    </row>
    <row r="1988" spans="1:10" s="165" customFormat="1">
      <c r="A1988" s="172"/>
      <c r="B1988" s="552"/>
      <c r="C1988" s="553"/>
      <c r="D1988" s="554"/>
      <c r="E1988" s="554"/>
      <c r="F1988" s="167"/>
      <c r="G1988" s="474"/>
      <c r="H1988" s="474"/>
      <c r="J1988" s="555"/>
    </row>
    <row r="1989" spans="1:10" s="165" customFormat="1">
      <c r="A1989" s="172"/>
      <c r="B1989" s="552"/>
      <c r="C1989" s="553"/>
      <c r="D1989" s="554"/>
      <c r="E1989" s="554"/>
      <c r="F1989" s="167"/>
      <c r="G1989" s="474"/>
      <c r="H1989" s="474"/>
      <c r="J1989" s="555"/>
    </row>
    <row r="1990" spans="1:10" s="165" customFormat="1">
      <c r="A1990" s="172"/>
      <c r="B1990" s="552"/>
      <c r="C1990" s="553"/>
      <c r="D1990" s="554"/>
      <c r="E1990" s="554"/>
      <c r="F1990" s="167"/>
      <c r="G1990" s="474"/>
      <c r="H1990" s="474"/>
      <c r="J1990" s="555"/>
    </row>
    <row r="1991" spans="1:10" s="165" customFormat="1">
      <c r="A1991" s="172"/>
      <c r="B1991" s="552"/>
      <c r="C1991" s="553"/>
      <c r="D1991" s="554"/>
      <c r="E1991" s="554"/>
      <c r="F1991" s="167"/>
      <c r="G1991" s="474"/>
      <c r="H1991" s="474"/>
      <c r="J1991" s="555"/>
    </row>
    <row r="1992" spans="1:10" s="165" customFormat="1">
      <c r="A1992" s="172"/>
      <c r="B1992" s="552"/>
      <c r="C1992" s="553"/>
      <c r="D1992" s="554"/>
      <c r="E1992" s="554"/>
      <c r="F1992" s="167"/>
      <c r="G1992" s="474"/>
      <c r="H1992" s="474"/>
      <c r="J1992" s="555"/>
    </row>
    <row r="1993" spans="1:10" s="165" customFormat="1">
      <c r="A1993" s="172"/>
      <c r="B1993" s="552"/>
      <c r="C1993" s="553"/>
      <c r="D1993" s="554"/>
      <c r="E1993" s="554"/>
      <c r="F1993" s="167"/>
      <c r="G1993" s="474"/>
      <c r="H1993" s="474"/>
      <c r="J1993" s="555"/>
    </row>
    <row r="1994" spans="1:10" s="165" customFormat="1">
      <c r="A1994" s="172"/>
      <c r="B1994" s="552"/>
      <c r="C1994" s="553"/>
      <c r="D1994" s="554"/>
      <c r="E1994" s="554"/>
      <c r="F1994" s="167"/>
      <c r="G1994" s="474"/>
      <c r="H1994" s="474"/>
      <c r="J1994" s="555"/>
    </row>
    <row r="1995" spans="1:10" s="165" customFormat="1">
      <c r="A1995" s="172"/>
      <c r="B1995" s="552"/>
      <c r="C1995" s="553"/>
      <c r="D1995" s="554"/>
      <c r="E1995" s="554"/>
      <c r="F1995" s="167"/>
      <c r="G1995" s="474"/>
      <c r="H1995" s="474"/>
      <c r="J1995" s="555"/>
    </row>
    <row r="1996" spans="1:10" s="165" customFormat="1">
      <c r="A1996" s="172"/>
      <c r="B1996" s="552"/>
      <c r="C1996" s="553"/>
      <c r="D1996" s="554"/>
      <c r="E1996" s="554"/>
      <c r="F1996" s="167"/>
      <c r="G1996" s="474"/>
      <c r="H1996" s="474"/>
      <c r="J1996" s="555"/>
    </row>
    <row r="1997" spans="1:10" s="165" customFormat="1">
      <c r="A1997" s="172"/>
      <c r="B1997" s="552"/>
      <c r="C1997" s="553"/>
      <c r="D1997" s="554"/>
      <c r="E1997" s="554"/>
      <c r="F1997" s="167"/>
      <c r="G1997" s="474"/>
      <c r="H1997" s="474"/>
      <c r="J1997" s="555"/>
    </row>
    <row r="1998" spans="1:10" s="165" customFormat="1">
      <c r="A1998" s="172"/>
      <c r="B1998" s="552"/>
      <c r="C1998" s="553"/>
      <c r="D1998" s="554"/>
      <c r="E1998" s="554"/>
      <c r="F1998" s="167"/>
      <c r="G1998" s="474"/>
      <c r="H1998" s="474"/>
      <c r="J1998" s="555"/>
    </row>
    <row r="1999" spans="1:10" s="165" customFormat="1">
      <c r="A1999" s="172"/>
      <c r="B1999" s="552"/>
      <c r="C1999" s="553"/>
      <c r="D1999" s="554"/>
      <c r="E1999" s="554"/>
      <c r="F1999" s="167"/>
      <c r="G1999" s="474"/>
      <c r="H1999" s="474"/>
      <c r="J1999" s="555"/>
    </row>
    <row r="2000" spans="1:10" s="165" customFormat="1">
      <c r="A2000" s="172"/>
      <c r="B2000" s="552"/>
      <c r="C2000" s="553"/>
      <c r="D2000" s="554"/>
      <c r="E2000" s="554"/>
      <c r="F2000" s="167"/>
      <c r="G2000" s="474"/>
      <c r="H2000" s="474"/>
      <c r="J2000" s="555"/>
    </row>
    <row r="2001" spans="1:10" s="165" customFormat="1">
      <c r="A2001" s="172"/>
      <c r="B2001" s="552"/>
      <c r="C2001" s="553"/>
      <c r="D2001" s="554"/>
      <c r="E2001" s="554"/>
      <c r="F2001" s="167"/>
      <c r="G2001" s="474"/>
      <c r="H2001" s="474"/>
      <c r="J2001" s="555"/>
    </row>
    <row r="2002" spans="1:10" s="165" customFormat="1">
      <c r="A2002" s="172"/>
      <c r="B2002" s="552"/>
      <c r="C2002" s="553"/>
      <c r="D2002" s="554"/>
      <c r="E2002" s="554"/>
      <c r="F2002" s="167"/>
      <c r="G2002" s="474"/>
      <c r="H2002" s="474"/>
      <c r="J2002" s="555"/>
    </row>
    <row r="2003" spans="1:10" s="165" customFormat="1">
      <c r="A2003" s="172"/>
      <c r="B2003" s="552"/>
      <c r="C2003" s="553"/>
      <c r="D2003" s="554"/>
      <c r="E2003" s="554"/>
      <c r="F2003" s="167"/>
      <c r="G2003" s="474"/>
      <c r="H2003" s="474"/>
      <c r="J2003" s="555"/>
    </row>
    <row r="2004" spans="1:10" s="165" customFormat="1">
      <c r="A2004" s="172"/>
      <c r="B2004" s="552"/>
      <c r="C2004" s="553"/>
      <c r="D2004" s="554"/>
      <c r="E2004" s="554"/>
      <c r="F2004" s="167"/>
      <c r="G2004" s="474"/>
      <c r="H2004" s="474"/>
      <c r="J2004" s="555"/>
    </row>
    <row r="2005" spans="1:10" s="165" customFormat="1">
      <c r="A2005" s="172"/>
      <c r="B2005" s="552"/>
      <c r="C2005" s="553"/>
      <c r="D2005" s="554"/>
      <c r="E2005" s="554"/>
      <c r="F2005" s="167"/>
      <c r="G2005" s="474"/>
      <c r="H2005" s="474"/>
      <c r="J2005" s="555"/>
    </row>
    <row r="2006" spans="1:10" s="165" customFormat="1">
      <c r="A2006" s="172"/>
      <c r="B2006" s="552"/>
      <c r="C2006" s="553"/>
      <c r="D2006" s="554"/>
      <c r="E2006" s="554"/>
      <c r="F2006" s="167"/>
      <c r="G2006" s="474"/>
      <c r="H2006" s="474"/>
      <c r="J2006" s="555"/>
    </row>
    <row r="2007" spans="1:10" s="165" customFormat="1">
      <c r="A2007" s="172"/>
      <c r="B2007" s="552"/>
      <c r="C2007" s="553"/>
      <c r="D2007" s="554"/>
      <c r="E2007" s="554"/>
      <c r="F2007" s="167"/>
      <c r="G2007" s="474"/>
      <c r="H2007" s="474"/>
      <c r="J2007" s="555"/>
    </row>
    <row r="2008" spans="1:10" s="165" customFormat="1">
      <c r="A2008" s="172"/>
      <c r="B2008" s="552"/>
      <c r="C2008" s="553"/>
      <c r="D2008" s="554"/>
      <c r="E2008" s="554"/>
      <c r="F2008" s="167"/>
      <c r="G2008" s="474"/>
      <c r="H2008" s="474"/>
      <c r="J2008" s="555"/>
    </row>
    <row r="2009" spans="1:10" s="165" customFormat="1">
      <c r="A2009" s="172"/>
      <c r="B2009" s="552"/>
      <c r="C2009" s="553"/>
      <c r="D2009" s="554"/>
      <c r="E2009" s="554"/>
      <c r="F2009" s="167"/>
      <c r="G2009" s="474"/>
      <c r="H2009" s="474"/>
      <c r="J2009" s="555"/>
    </row>
    <row r="2010" spans="1:10" s="165" customFormat="1">
      <c r="A2010" s="172"/>
      <c r="B2010" s="552"/>
      <c r="C2010" s="553"/>
      <c r="D2010" s="554"/>
      <c r="E2010" s="554"/>
      <c r="F2010" s="167"/>
      <c r="G2010" s="474"/>
      <c r="H2010" s="474"/>
      <c r="J2010" s="555"/>
    </row>
    <row r="2011" spans="1:10" s="165" customFormat="1">
      <c r="A2011" s="172"/>
      <c r="B2011" s="552"/>
      <c r="C2011" s="553"/>
      <c r="D2011" s="554"/>
      <c r="E2011" s="554"/>
      <c r="F2011" s="167"/>
      <c r="G2011" s="474"/>
      <c r="H2011" s="474"/>
      <c r="J2011" s="555"/>
    </row>
    <row r="2012" spans="1:10" s="165" customFormat="1">
      <c r="A2012" s="172"/>
      <c r="B2012" s="552"/>
      <c r="C2012" s="553"/>
      <c r="D2012" s="554"/>
      <c r="E2012" s="554"/>
      <c r="F2012" s="167"/>
      <c r="G2012" s="474"/>
      <c r="H2012" s="474"/>
      <c r="J2012" s="555"/>
    </row>
    <row r="2013" spans="1:10" s="165" customFormat="1">
      <c r="A2013" s="172"/>
      <c r="B2013" s="552"/>
      <c r="C2013" s="553"/>
      <c r="D2013" s="554"/>
      <c r="E2013" s="554"/>
      <c r="F2013" s="167"/>
      <c r="G2013" s="474"/>
      <c r="H2013" s="474"/>
      <c r="J2013" s="555"/>
    </row>
    <row r="2014" spans="1:10" s="165" customFormat="1">
      <c r="A2014" s="172"/>
      <c r="B2014" s="552"/>
      <c r="C2014" s="553"/>
      <c r="D2014" s="554"/>
      <c r="E2014" s="554"/>
      <c r="F2014" s="167"/>
      <c r="G2014" s="474"/>
      <c r="H2014" s="474"/>
      <c r="J2014" s="555"/>
    </row>
    <row r="2015" spans="1:10" s="165" customFormat="1">
      <c r="A2015" s="172"/>
      <c r="B2015" s="552"/>
      <c r="C2015" s="553"/>
      <c r="D2015" s="554"/>
      <c r="E2015" s="554"/>
      <c r="F2015" s="167"/>
      <c r="G2015" s="474"/>
      <c r="H2015" s="474"/>
      <c r="J2015" s="555"/>
    </row>
    <row r="2016" spans="1:10" s="165" customFormat="1">
      <c r="A2016" s="172"/>
      <c r="B2016" s="552"/>
      <c r="C2016" s="553"/>
      <c r="D2016" s="554"/>
      <c r="E2016" s="554"/>
      <c r="F2016" s="167"/>
      <c r="G2016" s="474"/>
      <c r="H2016" s="474"/>
      <c r="J2016" s="555"/>
    </row>
    <row r="2017" spans="1:10" s="165" customFormat="1">
      <c r="A2017" s="172"/>
      <c r="B2017" s="552"/>
      <c r="C2017" s="553"/>
      <c r="D2017" s="554"/>
      <c r="E2017" s="554"/>
      <c r="F2017" s="167"/>
      <c r="G2017" s="474"/>
      <c r="H2017" s="474"/>
      <c r="J2017" s="555"/>
    </row>
    <row r="2018" spans="1:10" s="165" customFormat="1">
      <c r="A2018" s="172"/>
      <c r="B2018" s="552"/>
      <c r="C2018" s="553"/>
      <c r="D2018" s="554"/>
      <c r="E2018" s="554"/>
      <c r="F2018" s="167"/>
      <c r="G2018" s="474"/>
      <c r="H2018" s="474"/>
      <c r="J2018" s="555"/>
    </row>
    <row r="2019" spans="1:10" s="165" customFormat="1">
      <c r="A2019" s="172"/>
      <c r="B2019" s="552"/>
      <c r="C2019" s="553"/>
      <c r="D2019" s="554"/>
      <c r="E2019" s="554"/>
      <c r="F2019" s="167"/>
      <c r="G2019" s="474"/>
      <c r="H2019" s="474"/>
      <c r="J2019" s="555"/>
    </row>
    <row r="2020" spans="1:10" s="165" customFormat="1">
      <c r="A2020" s="172"/>
      <c r="B2020" s="552"/>
      <c r="C2020" s="553"/>
      <c r="D2020" s="554"/>
      <c r="E2020" s="554"/>
      <c r="F2020" s="167"/>
      <c r="G2020" s="474"/>
      <c r="H2020" s="474"/>
      <c r="J2020" s="555"/>
    </row>
    <row r="2021" spans="1:10" s="165" customFormat="1">
      <c r="A2021" s="172"/>
      <c r="B2021" s="552"/>
      <c r="C2021" s="553"/>
      <c r="D2021" s="554"/>
      <c r="E2021" s="554"/>
      <c r="F2021" s="167"/>
      <c r="G2021" s="474"/>
      <c r="H2021" s="474"/>
      <c r="J2021" s="555"/>
    </row>
    <row r="2022" spans="1:10" s="165" customFormat="1">
      <c r="A2022" s="172"/>
      <c r="B2022" s="552"/>
      <c r="C2022" s="553"/>
      <c r="D2022" s="554"/>
      <c r="E2022" s="554"/>
      <c r="F2022" s="167"/>
      <c r="G2022" s="474"/>
      <c r="H2022" s="474"/>
      <c r="J2022" s="555"/>
    </row>
    <row r="2023" spans="1:10" s="165" customFormat="1">
      <c r="A2023" s="172"/>
      <c r="B2023" s="552"/>
      <c r="C2023" s="553"/>
      <c r="D2023" s="554"/>
      <c r="E2023" s="554"/>
      <c r="F2023" s="167"/>
      <c r="G2023" s="474"/>
      <c r="H2023" s="474"/>
      <c r="J2023" s="555"/>
    </row>
    <row r="2024" spans="1:10" s="165" customFormat="1">
      <c r="A2024" s="172"/>
      <c r="B2024" s="552"/>
      <c r="C2024" s="553"/>
      <c r="D2024" s="554"/>
      <c r="E2024" s="554"/>
      <c r="F2024" s="167"/>
      <c r="G2024" s="474"/>
      <c r="H2024" s="474"/>
      <c r="J2024" s="555"/>
    </row>
    <row r="2025" spans="1:10" s="165" customFormat="1">
      <c r="A2025" s="172"/>
      <c r="B2025" s="552"/>
      <c r="C2025" s="553"/>
      <c r="D2025" s="554"/>
      <c r="E2025" s="554"/>
      <c r="F2025" s="167"/>
      <c r="G2025" s="474"/>
      <c r="H2025" s="474"/>
      <c r="J2025" s="555"/>
    </row>
    <row r="2026" spans="1:10" s="165" customFormat="1">
      <c r="A2026" s="172"/>
      <c r="B2026" s="552"/>
      <c r="C2026" s="553"/>
      <c r="D2026" s="554"/>
      <c r="E2026" s="554"/>
      <c r="F2026" s="167"/>
      <c r="G2026" s="474"/>
      <c r="H2026" s="474"/>
      <c r="J2026" s="555"/>
    </row>
    <row r="2027" spans="1:10" s="165" customFormat="1">
      <c r="A2027" s="172"/>
      <c r="B2027" s="552"/>
      <c r="C2027" s="553"/>
      <c r="D2027" s="554"/>
      <c r="E2027" s="554"/>
      <c r="F2027" s="167"/>
      <c r="G2027" s="474"/>
      <c r="H2027" s="474"/>
      <c r="J2027" s="555"/>
    </row>
    <row r="2028" spans="1:10" s="165" customFormat="1">
      <c r="A2028" s="172"/>
      <c r="B2028" s="552"/>
      <c r="C2028" s="553"/>
      <c r="D2028" s="554"/>
      <c r="E2028" s="554"/>
      <c r="F2028" s="167"/>
      <c r="G2028" s="474"/>
      <c r="H2028" s="474"/>
      <c r="J2028" s="555"/>
    </row>
    <row r="2029" spans="1:10" s="165" customFormat="1">
      <c r="A2029" s="172"/>
      <c r="B2029" s="552"/>
      <c r="C2029" s="553"/>
      <c r="D2029" s="554"/>
      <c r="E2029" s="554"/>
      <c r="F2029" s="167"/>
      <c r="G2029" s="474"/>
      <c r="H2029" s="474"/>
      <c r="J2029" s="555"/>
    </row>
    <row r="2030" spans="1:10" s="165" customFormat="1">
      <c r="A2030" s="172"/>
      <c r="B2030" s="552"/>
      <c r="C2030" s="553"/>
      <c r="D2030" s="554"/>
      <c r="E2030" s="554"/>
      <c r="F2030" s="167"/>
      <c r="G2030" s="474"/>
      <c r="H2030" s="474"/>
      <c r="J2030" s="555"/>
    </row>
    <row r="2031" spans="1:10" s="165" customFormat="1">
      <c r="A2031" s="172"/>
      <c r="B2031" s="552"/>
      <c r="C2031" s="553"/>
      <c r="D2031" s="554"/>
      <c r="E2031" s="554"/>
      <c r="F2031" s="167"/>
      <c r="G2031" s="474"/>
      <c r="H2031" s="474"/>
      <c r="J2031" s="555"/>
    </row>
    <row r="2032" spans="1:10" s="165" customFormat="1">
      <c r="A2032" s="172"/>
      <c r="B2032" s="552"/>
      <c r="C2032" s="553"/>
      <c r="D2032" s="554"/>
      <c r="E2032" s="554"/>
      <c r="F2032" s="167"/>
      <c r="G2032" s="474"/>
      <c r="H2032" s="474"/>
      <c r="J2032" s="555"/>
    </row>
    <row r="2033" spans="1:10" s="165" customFormat="1">
      <c r="A2033" s="172"/>
      <c r="B2033" s="552"/>
      <c r="C2033" s="553"/>
      <c r="D2033" s="554"/>
      <c r="E2033" s="554"/>
      <c r="F2033" s="167"/>
      <c r="G2033" s="474"/>
      <c r="H2033" s="474"/>
      <c r="J2033" s="555"/>
    </row>
    <row r="2034" spans="1:10" s="165" customFormat="1">
      <c r="A2034" s="172"/>
      <c r="B2034" s="552"/>
      <c r="C2034" s="553"/>
      <c r="D2034" s="554"/>
      <c r="E2034" s="554"/>
      <c r="F2034" s="167"/>
      <c r="G2034" s="474"/>
      <c r="H2034" s="474"/>
      <c r="J2034" s="555"/>
    </row>
    <row r="2035" spans="1:10" s="165" customFormat="1">
      <c r="A2035" s="172"/>
      <c r="B2035" s="552"/>
      <c r="C2035" s="553"/>
      <c r="D2035" s="554"/>
      <c r="E2035" s="554"/>
      <c r="F2035" s="167"/>
      <c r="G2035" s="474"/>
      <c r="H2035" s="474"/>
      <c r="J2035" s="555"/>
    </row>
    <row r="2036" spans="1:10" s="165" customFormat="1">
      <c r="A2036" s="172"/>
      <c r="B2036" s="552"/>
      <c r="C2036" s="553"/>
      <c r="D2036" s="554"/>
      <c r="E2036" s="554"/>
      <c r="F2036" s="167"/>
      <c r="G2036" s="474"/>
      <c r="H2036" s="474"/>
      <c r="J2036" s="555"/>
    </row>
    <row r="2037" spans="1:10" s="165" customFormat="1">
      <c r="A2037" s="172"/>
      <c r="B2037" s="552"/>
      <c r="C2037" s="553"/>
      <c r="D2037" s="554"/>
      <c r="E2037" s="554"/>
      <c r="F2037" s="167"/>
      <c r="G2037" s="474"/>
      <c r="H2037" s="474"/>
      <c r="J2037" s="555"/>
    </row>
    <row r="2038" spans="1:10" s="165" customFormat="1">
      <c r="A2038" s="172"/>
      <c r="B2038" s="552"/>
      <c r="C2038" s="553"/>
      <c r="D2038" s="554"/>
      <c r="E2038" s="554"/>
      <c r="F2038" s="167"/>
      <c r="G2038" s="474"/>
      <c r="H2038" s="474"/>
      <c r="J2038" s="555"/>
    </row>
    <row r="2039" spans="1:10" s="165" customFormat="1">
      <c r="A2039" s="172"/>
      <c r="B2039" s="552"/>
      <c r="C2039" s="553"/>
      <c r="D2039" s="554"/>
      <c r="E2039" s="554"/>
      <c r="F2039" s="167"/>
      <c r="G2039" s="474"/>
      <c r="H2039" s="474"/>
      <c r="J2039" s="555"/>
    </row>
    <row r="2040" spans="1:10" s="165" customFormat="1">
      <c r="A2040" s="172"/>
      <c r="B2040" s="552"/>
      <c r="C2040" s="553"/>
      <c r="D2040" s="554"/>
      <c r="E2040" s="554"/>
      <c r="F2040" s="167"/>
      <c r="G2040" s="474"/>
      <c r="H2040" s="474"/>
      <c r="J2040" s="555"/>
    </row>
    <row r="2041" spans="1:10" s="165" customFormat="1">
      <c r="A2041" s="172"/>
      <c r="B2041" s="552"/>
      <c r="C2041" s="553"/>
      <c r="D2041" s="554"/>
      <c r="E2041" s="554"/>
      <c r="F2041" s="167"/>
      <c r="G2041" s="474"/>
      <c r="H2041" s="474"/>
      <c r="J2041" s="555"/>
    </row>
    <row r="2042" spans="1:10" s="165" customFormat="1">
      <c r="A2042" s="172"/>
      <c r="B2042" s="552"/>
      <c r="C2042" s="553"/>
      <c r="D2042" s="554"/>
      <c r="E2042" s="554"/>
      <c r="F2042" s="167"/>
      <c r="G2042" s="474"/>
      <c r="H2042" s="474"/>
      <c r="J2042" s="555"/>
    </row>
    <row r="2043" spans="1:10" s="165" customFormat="1">
      <c r="A2043" s="172"/>
      <c r="B2043" s="552"/>
      <c r="C2043" s="553"/>
      <c r="D2043" s="554"/>
      <c r="E2043" s="554"/>
      <c r="F2043" s="167"/>
      <c r="G2043" s="474"/>
      <c r="H2043" s="474"/>
      <c r="J2043" s="555"/>
    </row>
    <row r="2044" spans="1:10" s="165" customFormat="1">
      <c r="A2044" s="172"/>
      <c r="B2044" s="552"/>
      <c r="C2044" s="553"/>
      <c r="D2044" s="554"/>
      <c r="E2044" s="554"/>
      <c r="F2044" s="167"/>
      <c r="G2044" s="474"/>
      <c r="H2044" s="474"/>
      <c r="J2044" s="555"/>
    </row>
    <row r="2045" spans="1:10" s="165" customFormat="1">
      <c r="A2045" s="172"/>
      <c r="B2045" s="552"/>
      <c r="C2045" s="553"/>
      <c r="D2045" s="554"/>
      <c r="E2045" s="554"/>
      <c r="F2045" s="167"/>
      <c r="G2045" s="474"/>
      <c r="H2045" s="474"/>
      <c r="J2045" s="555"/>
    </row>
    <row r="2046" spans="1:10" s="165" customFormat="1">
      <c r="A2046" s="172"/>
      <c r="B2046" s="552"/>
      <c r="C2046" s="553"/>
      <c r="D2046" s="554"/>
      <c r="E2046" s="554"/>
      <c r="F2046" s="167"/>
      <c r="G2046" s="474"/>
      <c r="H2046" s="474"/>
      <c r="J2046" s="555"/>
    </row>
    <row r="2047" spans="1:10" s="165" customFormat="1">
      <c r="A2047" s="172"/>
      <c r="B2047" s="552"/>
      <c r="C2047" s="553"/>
      <c r="D2047" s="554"/>
      <c r="E2047" s="554"/>
      <c r="F2047" s="167"/>
      <c r="G2047" s="474"/>
      <c r="H2047" s="474"/>
      <c r="J2047" s="555"/>
    </row>
    <row r="2048" spans="1:10" s="165" customFormat="1">
      <c r="A2048" s="172"/>
      <c r="B2048" s="552"/>
      <c r="C2048" s="553"/>
      <c r="D2048" s="554"/>
      <c r="E2048" s="554"/>
      <c r="F2048" s="167"/>
      <c r="G2048" s="474"/>
      <c r="H2048" s="474"/>
      <c r="J2048" s="555"/>
    </row>
    <row r="2049" spans="1:10" s="165" customFormat="1">
      <c r="A2049" s="172"/>
      <c r="B2049" s="552"/>
      <c r="C2049" s="553"/>
      <c r="D2049" s="554"/>
      <c r="E2049" s="554"/>
      <c r="F2049" s="167"/>
      <c r="G2049" s="474"/>
      <c r="H2049" s="474"/>
      <c r="J2049" s="555"/>
    </row>
    <row r="2050" spans="1:10" s="165" customFormat="1">
      <c r="A2050" s="172"/>
      <c r="B2050" s="552"/>
      <c r="C2050" s="553"/>
      <c r="D2050" s="554"/>
      <c r="E2050" s="554"/>
      <c r="F2050" s="167"/>
      <c r="G2050" s="474"/>
      <c r="H2050" s="474"/>
      <c r="J2050" s="555"/>
    </row>
    <row r="2051" spans="1:10" s="165" customFormat="1">
      <c r="A2051" s="172"/>
      <c r="B2051" s="552"/>
      <c r="C2051" s="553"/>
      <c r="D2051" s="554"/>
      <c r="E2051" s="554"/>
      <c r="F2051" s="167"/>
      <c r="G2051" s="474"/>
      <c r="H2051" s="474"/>
      <c r="J2051" s="555"/>
    </row>
    <row r="2052" spans="1:10" s="165" customFormat="1">
      <c r="A2052" s="172"/>
      <c r="B2052" s="552"/>
      <c r="C2052" s="553"/>
      <c r="D2052" s="554"/>
      <c r="E2052" s="554"/>
      <c r="F2052" s="167"/>
      <c r="G2052" s="474"/>
      <c r="H2052" s="474"/>
      <c r="J2052" s="555"/>
    </row>
    <row r="2053" spans="1:10" s="165" customFormat="1">
      <c r="A2053" s="172"/>
      <c r="B2053" s="552"/>
      <c r="C2053" s="553"/>
      <c r="D2053" s="554"/>
      <c r="E2053" s="554"/>
      <c r="F2053" s="167"/>
      <c r="G2053" s="474"/>
      <c r="H2053" s="474"/>
      <c r="J2053" s="555"/>
    </row>
    <row r="2054" spans="1:10" s="165" customFormat="1">
      <c r="A2054" s="172"/>
      <c r="B2054" s="552"/>
      <c r="C2054" s="553"/>
      <c r="D2054" s="554"/>
      <c r="E2054" s="554"/>
      <c r="F2054" s="167"/>
      <c r="G2054" s="474"/>
      <c r="H2054" s="474"/>
      <c r="J2054" s="555"/>
    </row>
    <row r="2055" spans="1:10" s="165" customFormat="1">
      <c r="A2055" s="172"/>
      <c r="B2055" s="552"/>
      <c r="C2055" s="553"/>
      <c r="D2055" s="554"/>
      <c r="E2055" s="554"/>
      <c r="F2055" s="167"/>
      <c r="G2055" s="474"/>
      <c r="H2055" s="474"/>
      <c r="J2055" s="555"/>
    </row>
    <row r="2056" spans="1:10" s="165" customFormat="1">
      <c r="A2056" s="172"/>
      <c r="B2056" s="552"/>
      <c r="C2056" s="553"/>
      <c r="D2056" s="554"/>
      <c r="E2056" s="554"/>
      <c r="F2056" s="167"/>
      <c r="G2056" s="474"/>
      <c r="H2056" s="474"/>
      <c r="J2056" s="555"/>
    </row>
    <row r="2057" spans="1:10" s="165" customFormat="1">
      <c r="A2057" s="172"/>
      <c r="B2057" s="552"/>
      <c r="C2057" s="553"/>
      <c r="D2057" s="554"/>
      <c r="E2057" s="554"/>
      <c r="F2057" s="167"/>
      <c r="G2057" s="474"/>
      <c r="H2057" s="474"/>
      <c r="J2057" s="555"/>
    </row>
    <row r="2058" spans="1:10" s="165" customFormat="1">
      <c r="A2058" s="172"/>
      <c r="B2058" s="552"/>
      <c r="C2058" s="553"/>
      <c r="D2058" s="554"/>
      <c r="E2058" s="554"/>
      <c r="F2058" s="167"/>
      <c r="G2058" s="474"/>
      <c r="H2058" s="474"/>
      <c r="J2058" s="555"/>
    </row>
    <row r="2059" spans="1:10" s="165" customFormat="1">
      <c r="A2059" s="172"/>
      <c r="B2059" s="552"/>
      <c r="C2059" s="553"/>
      <c r="D2059" s="554"/>
      <c r="E2059" s="554"/>
      <c r="F2059" s="167"/>
      <c r="G2059" s="474"/>
      <c r="H2059" s="474"/>
      <c r="J2059" s="555"/>
    </row>
    <row r="2060" spans="1:10" s="165" customFormat="1">
      <c r="A2060" s="172"/>
      <c r="B2060" s="552"/>
      <c r="C2060" s="553"/>
      <c r="D2060" s="554"/>
      <c r="E2060" s="554"/>
      <c r="F2060" s="167"/>
      <c r="G2060" s="474"/>
      <c r="H2060" s="474"/>
      <c r="J2060" s="555"/>
    </row>
    <row r="2061" spans="1:10" s="165" customFormat="1">
      <c r="A2061" s="172"/>
      <c r="B2061" s="552"/>
      <c r="C2061" s="553"/>
      <c r="D2061" s="554"/>
      <c r="E2061" s="554"/>
      <c r="F2061" s="167"/>
      <c r="G2061" s="474"/>
      <c r="H2061" s="474"/>
      <c r="J2061" s="555"/>
    </row>
    <row r="2062" spans="1:10" s="165" customFormat="1">
      <c r="A2062" s="172"/>
      <c r="B2062" s="552"/>
      <c r="C2062" s="553"/>
      <c r="D2062" s="554"/>
      <c r="E2062" s="554"/>
      <c r="F2062" s="167"/>
      <c r="G2062" s="474"/>
      <c r="H2062" s="474"/>
      <c r="J2062" s="555"/>
    </row>
    <row r="2063" spans="1:10" s="165" customFormat="1">
      <c r="A2063" s="172"/>
      <c r="B2063" s="552"/>
      <c r="C2063" s="553"/>
      <c r="D2063" s="554"/>
      <c r="E2063" s="554"/>
      <c r="F2063" s="167"/>
      <c r="G2063" s="474"/>
      <c r="H2063" s="474"/>
      <c r="J2063" s="555"/>
    </row>
    <row r="2064" spans="1:10" s="165" customFormat="1">
      <c r="A2064" s="172"/>
      <c r="B2064" s="552"/>
      <c r="C2064" s="553"/>
      <c r="D2064" s="554"/>
      <c r="E2064" s="554"/>
      <c r="F2064" s="167"/>
      <c r="G2064" s="474"/>
      <c r="H2064" s="474"/>
      <c r="J2064" s="555"/>
    </row>
    <row r="2065" spans="1:10" s="165" customFormat="1">
      <c r="A2065" s="172"/>
      <c r="B2065" s="552"/>
      <c r="C2065" s="553"/>
      <c r="D2065" s="554"/>
      <c r="E2065" s="554"/>
      <c r="F2065" s="167"/>
      <c r="G2065" s="474"/>
      <c r="H2065" s="474"/>
      <c r="J2065" s="555"/>
    </row>
    <row r="2066" spans="1:10" s="165" customFormat="1">
      <c r="A2066" s="172"/>
      <c r="B2066" s="552"/>
      <c r="C2066" s="553"/>
      <c r="D2066" s="554"/>
      <c r="E2066" s="554"/>
      <c r="F2066" s="167"/>
      <c r="G2066" s="474"/>
      <c r="H2066" s="474"/>
      <c r="J2066" s="555"/>
    </row>
    <row r="2067" spans="1:10" s="165" customFormat="1">
      <c r="A2067" s="172"/>
      <c r="B2067" s="552"/>
      <c r="C2067" s="553"/>
      <c r="D2067" s="554"/>
      <c r="E2067" s="554"/>
      <c r="F2067" s="167"/>
      <c r="G2067" s="474"/>
      <c r="H2067" s="474"/>
      <c r="J2067" s="555"/>
    </row>
    <row r="2068" spans="1:10" s="165" customFormat="1">
      <c r="A2068" s="172"/>
      <c r="B2068" s="552"/>
      <c r="C2068" s="553"/>
      <c r="D2068" s="554"/>
      <c r="E2068" s="554"/>
      <c r="F2068" s="167"/>
      <c r="G2068" s="474"/>
      <c r="H2068" s="474"/>
      <c r="J2068" s="555"/>
    </row>
    <row r="2069" spans="1:10" s="165" customFormat="1">
      <c r="A2069" s="172"/>
      <c r="B2069" s="552"/>
      <c r="C2069" s="553"/>
      <c r="D2069" s="554"/>
      <c r="E2069" s="554"/>
      <c r="F2069" s="167"/>
      <c r="G2069" s="474"/>
      <c r="H2069" s="474"/>
      <c r="J2069" s="555"/>
    </row>
    <row r="2070" spans="1:10" s="165" customFormat="1">
      <c r="A2070" s="172"/>
      <c r="B2070" s="552"/>
      <c r="C2070" s="553"/>
      <c r="D2070" s="554"/>
      <c r="E2070" s="554"/>
      <c r="F2070" s="167"/>
      <c r="G2070" s="474"/>
      <c r="H2070" s="474"/>
      <c r="J2070" s="555"/>
    </row>
    <row r="2071" spans="1:10" s="165" customFormat="1">
      <c r="A2071" s="172"/>
      <c r="B2071" s="552"/>
      <c r="C2071" s="553"/>
      <c r="D2071" s="554"/>
      <c r="E2071" s="554"/>
      <c r="F2071" s="167"/>
      <c r="G2071" s="474"/>
      <c r="H2071" s="474"/>
      <c r="J2071" s="555"/>
    </row>
    <row r="2072" spans="1:10" s="165" customFormat="1">
      <c r="A2072" s="172"/>
      <c r="B2072" s="552"/>
      <c r="C2072" s="553"/>
      <c r="D2072" s="554"/>
      <c r="E2072" s="554"/>
      <c r="F2072" s="167"/>
      <c r="G2072" s="474"/>
      <c r="H2072" s="474"/>
      <c r="J2072" s="555"/>
    </row>
    <row r="2073" spans="1:10" s="165" customFormat="1">
      <c r="A2073" s="172"/>
      <c r="B2073" s="552"/>
      <c r="C2073" s="553"/>
      <c r="D2073" s="554"/>
      <c r="E2073" s="554"/>
      <c r="F2073" s="167"/>
      <c r="G2073" s="474"/>
      <c r="H2073" s="474"/>
      <c r="J2073" s="555"/>
    </row>
    <row r="2074" spans="1:10" s="165" customFormat="1">
      <c r="A2074" s="172"/>
      <c r="B2074" s="552"/>
      <c r="C2074" s="553"/>
      <c r="D2074" s="554"/>
      <c r="E2074" s="554"/>
      <c r="F2074" s="167"/>
      <c r="G2074" s="474"/>
      <c r="H2074" s="474"/>
      <c r="J2074" s="555"/>
    </row>
    <row r="2075" spans="1:10" s="165" customFormat="1">
      <c r="A2075" s="172"/>
      <c r="B2075" s="552"/>
      <c r="C2075" s="553"/>
      <c r="D2075" s="554"/>
      <c r="E2075" s="554"/>
      <c r="F2075" s="167"/>
      <c r="G2075" s="474"/>
      <c r="H2075" s="474"/>
      <c r="J2075" s="555"/>
    </row>
    <row r="2076" spans="1:10" s="165" customFormat="1">
      <c r="A2076" s="172"/>
      <c r="B2076" s="552"/>
      <c r="C2076" s="553"/>
      <c r="D2076" s="554"/>
      <c r="E2076" s="554"/>
      <c r="F2076" s="167"/>
      <c r="G2076" s="474"/>
      <c r="H2076" s="474"/>
      <c r="J2076" s="555"/>
    </row>
    <row r="2077" spans="1:10" s="165" customFormat="1">
      <c r="A2077" s="172"/>
      <c r="B2077" s="552"/>
      <c r="C2077" s="553"/>
      <c r="D2077" s="554"/>
      <c r="E2077" s="554"/>
      <c r="F2077" s="167"/>
      <c r="G2077" s="474"/>
      <c r="H2077" s="474"/>
      <c r="J2077" s="555"/>
    </row>
    <row r="2078" spans="1:10" s="165" customFormat="1">
      <c r="A2078" s="172"/>
      <c r="B2078" s="552"/>
      <c r="C2078" s="553"/>
      <c r="D2078" s="554"/>
      <c r="E2078" s="554"/>
      <c r="F2078" s="167"/>
      <c r="G2078" s="474"/>
      <c r="H2078" s="474"/>
      <c r="J2078" s="555"/>
    </row>
    <row r="2079" spans="1:10" s="165" customFormat="1">
      <c r="A2079" s="172"/>
      <c r="B2079" s="552"/>
      <c r="C2079" s="553"/>
      <c r="D2079" s="554"/>
      <c r="E2079" s="554"/>
      <c r="F2079" s="167"/>
      <c r="G2079" s="474"/>
      <c r="H2079" s="474"/>
      <c r="J2079" s="555"/>
    </row>
    <row r="2080" spans="1:10" s="165" customFormat="1">
      <c r="A2080" s="172"/>
      <c r="B2080" s="552"/>
      <c r="C2080" s="553"/>
      <c r="D2080" s="554"/>
      <c r="E2080" s="554"/>
      <c r="F2080" s="167"/>
      <c r="G2080" s="474"/>
      <c r="H2080" s="474"/>
      <c r="J2080" s="555"/>
    </row>
    <row r="2081" spans="1:10" s="165" customFormat="1">
      <c r="A2081" s="172"/>
      <c r="B2081" s="552"/>
      <c r="C2081" s="553"/>
      <c r="D2081" s="554"/>
      <c r="E2081" s="554"/>
      <c r="F2081" s="167"/>
      <c r="G2081" s="474"/>
      <c r="H2081" s="474"/>
      <c r="J2081" s="555"/>
    </row>
    <row r="2082" spans="1:10" s="165" customFormat="1">
      <c r="A2082" s="172"/>
      <c r="B2082" s="552"/>
      <c r="C2082" s="553"/>
      <c r="D2082" s="554"/>
      <c r="E2082" s="554"/>
      <c r="F2082" s="167"/>
      <c r="G2082" s="474"/>
      <c r="H2082" s="474"/>
      <c r="J2082" s="555"/>
    </row>
    <row r="2083" spans="1:10" s="165" customFormat="1">
      <c r="A2083" s="172"/>
      <c r="B2083" s="552"/>
      <c r="C2083" s="553"/>
      <c r="D2083" s="554"/>
      <c r="E2083" s="554"/>
      <c r="F2083" s="167"/>
      <c r="G2083" s="474"/>
      <c r="H2083" s="474"/>
      <c r="J2083" s="555"/>
    </row>
    <row r="2084" spans="1:10" s="165" customFormat="1">
      <c r="A2084" s="172"/>
      <c r="B2084" s="552"/>
      <c r="C2084" s="553"/>
      <c r="D2084" s="554"/>
      <c r="E2084" s="554"/>
      <c r="F2084" s="167"/>
      <c r="G2084" s="474"/>
      <c r="H2084" s="474"/>
      <c r="J2084" s="555"/>
    </row>
    <row r="2085" spans="1:10" s="165" customFormat="1">
      <c r="A2085" s="172"/>
      <c r="B2085" s="552"/>
      <c r="C2085" s="553"/>
      <c r="D2085" s="554"/>
      <c r="E2085" s="554"/>
      <c r="F2085" s="167"/>
      <c r="G2085" s="474"/>
      <c r="H2085" s="474"/>
      <c r="J2085" s="555"/>
    </row>
    <row r="2086" spans="1:10" s="165" customFormat="1">
      <c r="A2086" s="172"/>
      <c r="B2086" s="552"/>
      <c r="C2086" s="553"/>
      <c r="D2086" s="554"/>
      <c r="E2086" s="554"/>
      <c r="F2086" s="167"/>
      <c r="G2086" s="474"/>
      <c r="H2086" s="474"/>
      <c r="J2086" s="555"/>
    </row>
    <row r="2087" spans="1:10" s="165" customFormat="1">
      <c r="A2087" s="172"/>
      <c r="B2087" s="552"/>
      <c r="C2087" s="553"/>
      <c r="D2087" s="554"/>
      <c r="E2087" s="554"/>
      <c r="F2087" s="167"/>
      <c r="G2087" s="474"/>
      <c r="H2087" s="474"/>
      <c r="J2087" s="555"/>
    </row>
    <row r="2088" spans="1:10" s="165" customFormat="1">
      <c r="A2088" s="172"/>
      <c r="B2088" s="552"/>
      <c r="C2088" s="553"/>
      <c r="D2088" s="554"/>
      <c r="E2088" s="554"/>
      <c r="F2088" s="167"/>
      <c r="G2088" s="474"/>
      <c r="H2088" s="474"/>
      <c r="J2088" s="555"/>
    </row>
    <row r="2089" spans="1:10" s="165" customFormat="1">
      <c r="A2089" s="172"/>
      <c r="B2089" s="552"/>
      <c r="C2089" s="553"/>
      <c r="D2089" s="554"/>
      <c r="E2089" s="554"/>
      <c r="F2089" s="167"/>
      <c r="G2089" s="474"/>
      <c r="H2089" s="474"/>
      <c r="J2089" s="555"/>
    </row>
    <row r="2090" spans="1:10" s="165" customFormat="1">
      <c r="A2090" s="172"/>
      <c r="B2090" s="552"/>
      <c r="C2090" s="553"/>
      <c r="D2090" s="554"/>
      <c r="E2090" s="554"/>
      <c r="F2090" s="167"/>
      <c r="G2090" s="474"/>
      <c r="H2090" s="474"/>
      <c r="J2090" s="555"/>
    </row>
    <row r="2091" spans="1:10" s="165" customFormat="1">
      <c r="A2091" s="172"/>
      <c r="B2091" s="552"/>
      <c r="C2091" s="553"/>
      <c r="D2091" s="554"/>
      <c r="E2091" s="554"/>
      <c r="F2091" s="167"/>
      <c r="G2091" s="474"/>
      <c r="H2091" s="474"/>
      <c r="J2091" s="555"/>
    </row>
    <row r="2092" spans="1:10" s="165" customFormat="1">
      <c r="A2092" s="172"/>
      <c r="B2092" s="552"/>
      <c r="C2092" s="553"/>
      <c r="D2092" s="554"/>
      <c r="E2092" s="554"/>
      <c r="F2092" s="167"/>
      <c r="G2092" s="474"/>
      <c r="H2092" s="474"/>
      <c r="J2092" s="555"/>
    </row>
    <row r="2093" spans="1:10" s="165" customFormat="1">
      <c r="A2093" s="172"/>
      <c r="B2093" s="552"/>
      <c r="C2093" s="553"/>
      <c r="D2093" s="554"/>
      <c r="E2093" s="554"/>
      <c r="F2093" s="167"/>
      <c r="G2093" s="474"/>
      <c r="H2093" s="474"/>
      <c r="J2093" s="555"/>
    </row>
    <row r="2094" spans="1:10" s="165" customFormat="1">
      <c r="A2094" s="172"/>
      <c r="B2094" s="552"/>
      <c r="C2094" s="553"/>
      <c r="D2094" s="554"/>
      <c r="E2094" s="554"/>
      <c r="F2094" s="167"/>
      <c r="G2094" s="474"/>
      <c r="H2094" s="474"/>
      <c r="J2094" s="555"/>
    </row>
    <row r="2095" spans="1:10" s="165" customFormat="1">
      <c r="A2095" s="172"/>
      <c r="B2095" s="552"/>
      <c r="C2095" s="553"/>
      <c r="D2095" s="554"/>
      <c r="E2095" s="554"/>
      <c r="F2095" s="167"/>
      <c r="G2095" s="474"/>
      <c r="H2095" s="474"/>
      <c r="J2095" s="555"/>
    </row>
    <row r="2096" spans="1:10" s="165" customFormat="1">
      <c r="A2096" s="172"/>
      <c r="B2096" s="552"/>
      <c r="C2096" s="553"/>
      <c r="D2096" s="554"/>
      <c r="E2096" s="554"/>
      <c r="F2096" s="167"/>
      <c r="G2096" s="474"/>
      <c r="H2096" s="474"/>
      <c r="J2096" s="555"/>
    </row>
    <row r="2097" spans="1:10" s="165" customFormat="1">
      <c r="A2097" s="172"/>
      <c r="B2097" s="552"/>
      <c r="C2097" s="553"/>
      <c r="D2097" s="554"/>
      <c r="E2097" s="554"/>
      <c r="F2097" s="167"/>
      <c r="G2097" s="474"/>
      <c r="H2097" s="474"/>
      <c r="J2097" s="555"/>
    </row>
    <row r="2098" spans="1:10" s="165" customFormat="1">
      <c r="A2098" s="172"/>
      <c r="B2098" s="552"/>
      <c r="C2098" s="553"/>
      <c r="D2098" s="554"/>
      <c r="E2098" s="554"/>
      <c r="F2098" s="167"/>
      <c r="G2098" s="474"/>
      <c r="H2098" s="474"/>
      <c r="J2098" s="555"/>
    </row>
    <row r="2099" spans="1:10" s="165" customFormat="1">
      <c r="A2099" s="172"/>
      <c r="B2099" s="552"/>
      <c r="C2099" s="553"/>
      <c r="D2099" s="554"/>
      <c r="E2099" s="554"/>
      <c r="F2099" s="167"/>
      <c r="G2099" s="474"/>
      <c r="H2099" s="474"/>
      <c r="J2099" s="555"/>
    </row>
    <row r="2100" spans="1:10" s="165" customFormat="1">
      <c r="A2100" s="172"/>
      <c r="B2100" s="552"/>
      <c r="C2100" s="553"/>
      <c r="D2100" s="554"/>
      <c r="E2100" s="554"/>
      <c r="F2100" s="167"/>
      <c r="G2100" s="474"/>
      <c r="H2100" s="474"/>
      <c r="J2100" s="555"/>
    </row>
    <row r="2101" spans="1:10" s="165" customFormat="1">
      <c r="A2101" s="172"/>
      <c r="B2101" s="552"/>
      <c r="C2101" s="553"/>
      <c r="D2101" s="554"/>
      <c r="E2101" s="554"/>
      <c r="F2101" s="167"/>
      <c r="G2101" s="474"/>
      <c r="H2101" s="474"/>
      <c r="J2101" s="555"/>
    </row>
    <row r="2102" spans="1:10" s="165" customFormat="1">
      <c r="A2102" s="172"/>
      <c r="B2102" s="552"/>
      <c r="C2102" s="553"/>
      <c r="D2102" s="554"/>
      <c r="E2102" s="554"/>
      <c r="F2102" s="167"/>
      <c r="G2102" s="474"/>
      <c r="H2102" s="474"/>
      <c r="J2102" s="555"/>
    </row>
    <row r="2103" spans="1:10" s="165" customFormat="1">
      <c r="A2103" s="172"/>
      <c r="B2103" s="552"/>
      <c r="C2103" s="553"/>
      <c r="D2103" s="554"/>
      <c r="E2103" s="554"/>
      <c r="F2103" s="167"/>
      <c r="G2103" s="474"/>
      <c r="H2103" s="474"/>
      <c r="J2103" s="555"/>
    </row>
    <row r="2104" spans="1:10" s="165" customFormat="1">
      <c r="A2104" s="172"/>
      <c r="B2104" s="552"/>
      <c r="C2104" s="553"/>
      <c r="D2104" s="554"/>
      <c r="E2104" s="554"/>
      <c r="F2104" s="167"/>
      <c r="G2104" s="474"/>
      <c r="H2104" s="474"/>
      <c r="J2104" s="555"/>
    </row>
    <row r="2105" spans="1:10" s="165" customFormat="1">
      <c r="A2105" s="172"/>
      <c r="B2105" s="552"/>
      <c r="C2105" s="553"/>
      <c r="D2105" s="554"/>
      <c r="E2105" s="554"/>
      <c r="F2105" s="167"/>
      <c r="G2105" s="474"/>
      <c r="H2105" s="474"/>
      <c r="J2105" s="555"/>
    </row>
    <row r="2106" spans="1:10" s="165" customFormat="1">
      <c r="A2106" s="172"/>
      <c r="B2106" s="552"/>
      <c r="C2106" s="553"/>
      <c r="D2106" s="554"/>
      <c r="E2106" s="554"/>
      <c r="F2106" s="167"/>
      <c r="G2106" s="474"/>
      <c r="H2106" s="474"/>
      <c r="J2106" s="555"/>
    </row>
    <row r="2107" spans="1:10" s="165" customFormat="1">
      <c r="A2107" s="172"/>
      <c r="B2107" s="552"/>
      <c r="C2107" s="553"/>
      <c r="D2107" s="554"/>
      <c r="E2107" s="554"/>
      <c r="F2107" s="167"/>
      <c r="G2107" s="474"/>
      <c r="H2107" s="474"/>
      <c r="J2107" s="555"/>
    </row>
    <row r="2108" spans="1:10" s="165" customFormat="1">
      <c r="A2108" s="172"/>
      <c r="B2108" s="552"/>
      <c r="C2108" s="553"/>
      <c r="D2108" s="554"/>
      <c r="E2108" s="554"/>
      <c r="F2108" s="167"/>
      <c r="G2108" s="474"/>
      <c r="H2108" s="474"/>
      <c r="J2108" s="555"/>
    </row>
    <row r="2109" spans="1:10" s="165" customFormat="1">
      <c r="A2109" s="172"/>
      <c r="B2109" s="552"/>
      <c r="C2109" s="553"/>
      <c r="D2109" s="554"/>
      <c r="E2109" s="554"/>
      <c r="F2109" s="167"/>
      <c r="G2109" s="474"/>
      <c r="H2109" s="474"/>
      <c r="J2109" s="555"/>
    </row>
    <row r="2110" spans="1:10" s="165" customFormat="1">
      <c r="A2110" s="172"/>
      <c r="B2110" s="552"/>
      <c r="C2110" s="553"/>
      <c r="D2110" s="554"/>
      <c r="E2110" s="554"/>
      <c r="F2110" s="167"/>
      <c r="G2110" s="474"/>
      <c r="H2110" s="474"/>
      <c r="J2110" s="555"/>
    </row>
    <row r="2111" spans="1:10" s="165" customFormat="1">
      <c r="A2111" s="172"/>
      <c r="B2111" s="552"/>
      <c r="C2111" s="553"/>
      <c r="D2111" s="554"/>
      <c r="E2111" s="554"/>
      <c r="F2111" s="167"/>
      <c r="G2111" s="474"/>
      <c r="H2111" s="474"/>
      <c r="J2111" s="555"/>
    </row>
    <row r="2112" spans="1:10" s="165" customFormat="1">
      <c r="A2112" s="172"/>
      <c r="B2112" s="552"/>
      <c r="C2112" s="553"/>
      <c r="D2112" s="554"/>
      <c r="E2112" s="554"/>
      <c r="F2112" s="167"/>
      <c r="G2112" s="474"/>
      <c r="H2112" s="474"/>
      <c r="J2112" s="555"/>
    </row>
    <row r="2113" spans="1:10" s="165" customFormat="1">
      <c r="A2113" s="172"/>
      <c r="B2113" s="552"/>
      <c r="C2113" s="553"/>
      <c r="D2113" s="554"/>
      <c r="E2113" s="554"/>
      <c r="F2113" s="167"/>
      <c r="G2113" s="474"/>
      <c r="H2113" s="474"/>
      <c r="J2113" s="555"/>
    </row>
    <row r="2114" spans="1:10" s="165" customFormat="1">
      <c r="A2114" s="172"/>
      <c r="B2114" s="552"/>
      <c r="C2114" s="553"/>
      <c r="D2114" s="554"/>
      <c r="E2114" s="554"/>
      <c r="F2114" s="167"/>
      <c r="G2114" s="474"/>
      <c r="H2114" s="474"/>
      <c r="J2114" s="555"/>
    </row>
    <row r="2115" spans="1:10" s="165" customFormat="1">
      <c r="A2115" s="172"/>
      <c r="B2115" s="552"/>
      <c r="C2115" s="553"/>
      <c r="D2115" s="554"/>
      <c r="E2115" s="554"/>
      <c r="F2115" s="167"/>
      <c r="G2115" s="474"/>
      <c r="H2115" s="474"/>
      <c r="J2115" s="555"/>
    </row>
    <row r="2116" spans="1:10" s="165" customFormat="1">
      <c r="A2116" s="172"/>
      <c r="B2116" s="552"/>
      <c r="C2116" s="553"/>
      <c r="D2116" s="554"/>
      <c r="E2116" s="554"/>
      <c r="F2116" s="167"/>
      <c r="G2116" s="474"/>
      <c r="H2116" s="474"/>
      <c r="J2116" s="555"/>
    </row>
    <row r="2117" spans="1:10" s="165" customFormat="1">
      <c r="A2117" s="172"/>
      <c r="B2117" s="552"/>
      <c r="C2117" s="553"/>
      <c r="D2117" s="554"/>
      <c r="E2117" s="554"/>
      <c r="F2117" s="167"/>
      <c r="G2117" s="474"/>
      <c r="H2117" s="474"/>
      <c r="J2117" s="555"/>
    </row>
    <row r="2118" spans="1:10" s="165" customFormat="1">
      <c r="A2118" s="172"/>
      <c r="B2118" s="552"/>
      <c r="C2118" s="553"/>
      <c r="D2118" s="554"/>
      <c r="E2118" s="554"/>
      <c r="F2118" s="167"/>
      <c r="G2118" s="474"/>
      <c r="H2118" s="474"/>
      <c r="J2118" s="555"/>
    </row>
    <row r="2119" spans="1:10" s="165" customFormat="1">
      <c r="A2119" s="172"/>
      <c r="B2119" s="552"/>
      <c r="C2119" s="553"/>
      <c r="D2119" s="554"/>
      <c r="E2119" s="554"/>
      <c r="F2119" s="167"/>
      <c r="G2119" s="474"/>
      <c r="H2119" s="474"/>
      <c r="J2119" s="555"/>
    </row>
    <row r="2120" spans="1:10" s="165" customFormat="1">
      <c r="A2120" s="172"/>
      <c r="B2120" s="552"/>
      <c r="C2120" s="553"/>
      <c r="D2120" s="554"/>
      <c r="E2120" s="554"/>
      <c r="F2120" s="167"/>
      <c r="G2120" s="474"/>
      <c r="H2120" s="474"/>
      <c r="J2120" s="555"/>
    </row>
    <row r="2121" spans="1:10" s="165" customFormat="1">
      <c r="A2121" s="172"/>
      <c r="B2121" s="552"/>
      <c r="C2121" s="553"/>
      <c r="D2121" s="554"/>
      <c r="E2121" s="554"/>
      <c r="F2121" s="167"/>
      <c r="G2121" s="474"/>
      <c r="H2121" s="474"/>
      <c r="J2121" s="555"/>
    </row>
    <row r="2122" spans="1:10" s="165" customFormat="1">
      <c r="A2122" s="172"/>
      <c r="B2122" s="552"/>
      <c r="C2122" s="553"/>
      <c r="D2122" s="554"/>
      <c r="E2122" s="554"/>
      <c r="F2122" s="167"/>
      <c r="G2122" s="474"/>
      <c r="H2122" s="474"/>
      <c r="J2122" s="555"/>
    </row>
    <row r="2123" spans="1:10" s="165" customFormat="1">
      <c r="A2123" s="172"/>
      <c r="B2123" s="552"/>
      <c r="C2123" s="553"/>
      <c r="D2123" s="554"/>
      <c r="E2123" s="554"/>
      <c r="F2123" s="167"/>
      <c r="G2123" s="474"/>
      <c r="H2123" s="474"/>
      <c r="J2123" s="555"/>
    </row>
    <row r="2124" spans="1:10" s="165" customFormat="1">
      <c r="A2124" s="172"/>
      <c r="B2124" s="552"/>
      <c r="C2124" s="553"/>
      <c r="D2124" s="554"/>
      <c r="E2124" s="554"/>
      <c r="F2124" s="167"/>
      <c r="G2124" s="474"/>
      <c r="H2124" s="474"/>
      <c r="J2124" s="555"/>
    </row>
    <row r="2125" spans="1:10" s="165" customFormat="1">
      <c r="A2125" s="172"/>
      <c r="B2125" s="552"/>
      <c r="C2125" s="553"/>
      <c r="D2125" s="554"/>
      <c r="E2125" s="554"/>
      <c r="F2125" s="167"/>
      <c r="G2125" s="474"/>
      <c r="H2125" s="474"/>
      <c r="J2125" s="555"/>
    </row>
    <row r="2126" spans="1:10" s="165" customFormat="1">
      <c r="A2126" s="172"/>
      <c r="B2126" s="552"/>
      <c r="C2126" s="553"/>
      <c r="D2126" s="554"/>
      <c r="E2126" s="554"/>
      <c r="F2126" s="167"/>
      <c r="G2126" s="474"/>
      <c r="H2126" s="474"/>
      <c r="J2126" s="555"/>
    </row>
    <row r="2127" spans="1:10" s="165" customFormat="1">
      <c r="A2127" s="172"/>
      <c r="B2127" s="552"/>
      <c r="C2127" s="553"/>
      <c r="D2127" s="554"/>
      <c r="E2127" s="554"/>
      <c r="F2127" s="167"/>
      <c r="G2127" s="474"/>
      <c r="H2127" s="474"/>
      <c r="J2127" s="555"/>
    </row>
    <row r="2128" spans="1:10" s="165" customFormat="1">
      <c r="A2128" s="172"/>
      <c r="B2128" s="552"/>
      <c r="C2128" s="553"/>
      <c r="D2128" s="554"/>
      <c r="E2128" s="554"/>
      <c r="F2128" s="167"/>
      <c r="G2128" s="474"/>
      <c r="H2128" s="474"/>
      <c r="J2128" s="555"/>
    </row>
    <row r="2129" spans="1:10" s="165" customFormat="1">
      <c r="A2129" s="172"/>
      <c r="B2129" s="552"/>
      <c r="C2129" s="553"/>
      <c r="D2129" s="554"/>
      <c r="E2129" s="554"/>
      <c r="F2129" s="167"/>
      <c r="G2129" s="474"/>
      <c r="H2129" s="474"/>
      <c r="J2129" s="555"/>
    </row>
    <row r="2130" spans="1:10" s="165" customFormat="1">
      <c r="A2130" s="172"/>
      <c r="B2130" s="552"/>
      <c r="C2130" s="553"/>
      <c r="D2130" s="554"/>
      <c r="E2130" s="554"/>
      <c r="F2130" s="167"/>
      <c r="G2130" s="474"/>
      <c r="H2130" s="474"/>
      <c r="J2130" s="555"/>
    </row>
    <row r="2131" spans="1:10" s="165" customFormat="1">
      <c r="A2131" s="172"/>
      <c r="B2131" s="552"/>
      <c r="C2131" s="553"/>
      <c r="D2131" s="554"/>
      <c r="E2131" s="554"/>
      <c r="F2131" s="167"/>
      <c r="G2131" s="474"/>
      <c r="H2131" s="474"/>
      <c r="J2131" s="555"/>
    </row>
    <row r="2132" spans="1:10" s="165" customFormat="1">
      <c r="A2132" s="172"/>
      <c r="B2132" s="552"/>
      <c r="C2132" s="553"/>
      <c r="D2132" s="554"/>
      <c r="E2132" s="554"/>
      <c r="F2132" s="167"/>
      <c r="G2132" s="474"/>
      <c r="H2132" s="474"/>
      <c r="J2132" s="555"/>
    </row>
    <row r="2133" spans="1:10" s="165" customFormat="1">
      <c r="A2133" s="172"/>
      <c r="B2133" s="552"/>
      <c r="C2133" s="553"/>
      <c r="D2133" s="554"/>
      <c r="E2133" s="554"/>
      <c r="F2133" s="167"/>
      <c r="G2133" s="474"/>
      <c r="H2133" s="474"/>
      <c r="J2133" s="555"/>
    </row>
    <row r="2134" spans="1:10" s="165" customFormat="1">
      <c r="A2134" s="172"/>
      <c r="B2134" s="552"/>
      <c r="C2134" s="553"/>
      <c r="D2134" s="554"/>
      <c r="E2134" s="554"/>
      <c r="F2134" s="167"/>
      <c r="G2134" s="474"/>
      <c r="H2134" s="474"/>
      <c r="J2134" s="555"/>
    </row>
    <row r="2135" spans="1:10" s="165" customFormat="1">
      <c r="A2135" s="172"/>
      <c r="B2135" s="552"/>
      <c r="C2135" s="553"/>
      <c r="D2135" s="554"/>
      <c r="E2135" s="554"/>
      <c r="F2135" s="167"/>
      <c r="G2135" s="474"/>
      <c r="H2135" s="474"/>
      <c r="J2135" s="555"/>
    </row>
    <row r="2136" spans="1:10" s="165" customFormat="1">
      <c r="A2136" s="172"/>
      <c r="B2136" s="552"/>
      <c r="C2136" s="553"/>
      <c r="D2136" s="554"/>
      <c r="E2136" s="554"/>
      <c r="F2136" s="167"/>
      <c r="G2136" s="474"/>
      <c r="H2136" s="474"/>
      <c r="J2136" s="555"/>
    </row>
    <row r="2137" spans="1:10" s="165" customFormat="1">
      <c r="A2137" s="172"/>
      <c r="B2137" s="552"/>
      <c r="C2137" s="553"/>
      <c r="D2137" s="554"/>
      <c r="E2137" s="554"/>
      <c r="F2137" s="167"/>
      <c r="G2137" s="474"/>
      <c r="H2137" s="474"/>
      <c r="J2137" s="555"/>
    </row>
    <row r="2138" spans="1:10" s="165" customFormat="1">
      <c r="A2138" s="172"/>
      <c r="B2138" s="552"/>
      <c r="C2138" s="553"/>
      <c r="D2138" s="554"/>
      <c r="E2138" s="554"/>
      <c r="F2138" s="167"/>
      <c r="G2138" s="474"/>
      <c r="H2138" s="474"/>
      <c r="J2138" s="555"/>
    </row>
    <row r="2139" spans="1:10" s="165" customFormat="1">
      <c r="A2139" s="172"/>
      <c r="B2139" s="552"/>
      <c r="C2139" s="553"/>
      <c r="D2139" s="554"/>
      <c r="E2139" s="554"/>
      <c r="F2139" s="167"/>
      <c r="G2139" s="474"/>
      <c r="H2139" s="474"/>
      <c r="J2139" s="555"/>
    </row>
    <row r="2140" spans="1:10" s="165" customFormat="1">
      <c r="A2140" s="172"/>
      <c r="B2140" s="552"/>
      <c r="C2140" s="553"/>
      <c r="D2140" s="554"/>
      <c r="E2140" s="554"/>
      <c r="F2140" s="167"/>
      <c r="G2140" s="474"/>
      <c r="H2140" s="474"/>
      <c r="J2140" s="555"/>
    </row>
    <row r="2141" spans="1:10" s="165" customFormat="1">
      <c r="A2141" s="172"/>
      <c r="B2141" s="552"/>
      <c r="C2141" s="553"/>
      <c r="D2141" s="554"/>
      <c r="E2141" s="554"/>
      <c r="F2141" s="167"/>
      <c r="G2141" s="474"/>
      <c r="H2141" s="474"/>
      <c r="J2141" s="555"/>
    </row>
    <row r="2142" spans="1:10" s="165" customFormat="1">
      <c r="A2142" s="172"/>
      <c r="B2142" s="552"/>
      <c r="C2142" s="553"/>
      <c r="D2142" s="554"/>
      <c r="E2142" s="554"/>
      <c r="F2142" s="167"/>
      <c r="G2142" s="474"/>
      <c r="H2142" s="474"/>
      <c r="J2142" s="555"/>
    </row>
    <row r="2143" spans="1:10" s="165" customFormat="1">
      <c r="A2143" s="172"/>
      <c r="B2143" s="552"/>
      <c r="C2143" s="553"/>
      <c r="D2143" s="554"/>
      <c r="E2143" s="554"/>
      <c r="F2143" s="167"/>
      <c r="G2143" s="474"/>
      <c r="H2143" s="474"/>
      <c r="J2143" s="555"/>
    </row>
    <row r="2144" spans="1:10" s="165" customFormat="1">
      <c r="A2144" s="172"/>
      <c r="B2144" s="552"/>
      <c r="C2144" s="553"/>
      <c r="D2144" s="554"/>
      <c r="E2144" s="554"/>
      <c r="F2144" s="167"/>
      <c r="G2144" s="474"/>
      <c r="H2144" s="474"/>
      <c r="J2144" s="555"/>
    </row>
    <row r="2145" spans="1:10" s="165" customFormat="1">
      <c r="A2145" s="172"/>
      <c r="B2145" s="552"/>
      <c r="C2145" s="553"/>
      <c r="D2145" s="554"/>
      <c r="E2145" s="554"/>
      <c r="F2145" s="167"/>
      <c r="G2145" s="474"/>
      <c r="H2145" s="474"/>
      <c r="J2145" s="555"/>
    </row>
    <row r="2146" spans="1:10" s="165" customFormat="1">
      <c r="A2146" s="172"/>
      <c r="B2146" s="552"/>
      <c r="C2146" s="553"/>
      <c r="D2146" s="554"/>
      <c r="E2146" s="554"/>
      <c r="F2146" s="167"/>
      <c r="G2146" s="474"/>
      <c r="H2146" s="474"/>
      <c r="J2146" s="555"/>
    </row>
    <row r="2147" spans="1:10" s="165" customFormat="1">
      <c r="A2147" s="172"/>
      <c r="B2147" s="552"/>
      <c r="C2147" s="553"/>
      <c r="D2147" s="554"/>
      <c r="E2147" s="554"/>
      <c r="F2147" s="167"/>
      <c r="G2147" s="474"/>
      <c r="H2147" s="474"/>
      <c r="J2147" s="555"/>
    </row>
    <row r="2148" spans="1:10" s="165" customFormat="1">
      <c r="A2148" s="172"/>
      <c r="B2148" s="552"/>
      <c r="C2148" s="553"/>
      <c r="D2148" s="554"/>
      <c r="E2148" s="554"/>
      <c r="F2148" s="167"/>
      <c r="G2148" s="474"/>
      <c r="H2148" s="474"/>
      <c r="J2148" s="555"/>
    </row>
    <row r="2149" spans="1:10" s="165" customFormat="1">
      <c r="A2149" s="172"/>
      <c r="B2149" s="552"/>
      <c r="C2149" s="553"/>
      <c r="D2149" s="554"/>
      <c r="E2149" s="554"/>
      <c r="F2149" s="167"/>
      <c r="G2149" s="474"/>
      <c r="H2149" s="474"/>
      <c r="J2149" s="555"/>
    </row>
    <row r="2150" spans="1:10" s="165" customFormat="1">
      <c r="A2150" s="172"/>
      <c r="B2150" s="552"/>
      <c r="C2150" s="553"/>
      <c r="D2150" s="554"/>
      <c r="E2150" s="554"/>
      <c r="F2150" s="167"/>
      <c r="G2150" s="474"/>
      <c r="H2150" s="474"/>
      <c r="J2150" s="555"/>
    </row>
    <row r="2151" spans="1:10" s="165" customFormat="1">
      <c r="A2151" s="172"/>
      <c r="B2151" s="552"/>
      <c r="C2151" s="553"/>
      <c r="D2151" s="554"/>
      <c r="E2151" s="554"/>
      <c r="F2151" s="167"/>
      <c r="G2151" s="474"/>
      <c r="H2151" s="474"/>
      <c r="J2151" s="555"/>
    </row>
    <row r="2152" spans="1:10" s="165" customFormat="1">
      <c r="A2152" s="172"/>
      <c r="B2152" s="552"/>
      <c r="C2152" s="553"/>
      <c r="D2152" s="554"/>
      <c r="E2152" s="554"/>
      <c r="F2152" s="167"/>
      <c r="G2152" s="474"/>
      <c r="H2152" s="474"/>
      <c r="J2152" s="555"/>
    </row>
    <row r="2153" spans="1:10" s="165" customFormat="1">
      <c r="A2153" s="172"/>
      <c r="B2153" s="552"/>
      <c r="C2153" s="553"/>
      <c r="D2153" s="554"/>
      <c r="E2153" s="554"/>
      <c r="F2153" s="167"/>
      <c r="G2153" s="474"/>
      <c r="H2153" s="474"/>
      <c r="J2153" s="555"/>
    </row>
    <row r="2154" spans="1:10" s="165" customFormat="1">
      <c r="A2154" s="172"/>
      <c r="B2154" s="552"/>
      <c r="C2154" s="553"/>
      <c r="D2154" s="554"/>
      <c r="E2154" s="554"/>
      <c r="F2154" s="167"/>
      <c r="G2154" s="474"/>
      <c r="H2154" s="474"/>
      <c r="J2154" s="555"/>
    </row>
    <row r="2155" spans="1:10" s="165" customFormat="1">
      <c r="A2155" s="172"/>
      <c r="B2155" s="552"/>
      <c r="C2155" s="553"/>
      <c r="D2155" s="554"/>
      <c r="E2155" s="554"/>
      <c r="F2155" s="167"/>
      <c r="G2155" s="474"/>
      <c r="H2155" s="474"/>
      <c r="J2155" s="555"/>
    </row>
    <row r="2156" spans="1:10" s="165" customFormat="1">
      <c r="A2156" s="172"/>
      <c r="B2156" s="552"/>
      <c r="C2156" s="553"/>
      <c r="D2156" s="554"/>
      <c r="E2156" s="554"/>
      <c r="F2156" s="167"/>
      <c r="G2156" s="474"/>
      <c r="H2156" s="474"/>
      <c r="J2156" s="555"/>
    </row>
    <row r="2157" spans="1:10" s="165" customFormat="1">
      <c r="A2157" s="172"/>
      <c r="B2157" s="552"/>
      <c r="C2157" s="553"/>
      <c r="D2157" s="554"/>
      <c r="E2157" s="554"/>
      <c r="F2157" s="167"/>
      <c r="G2157" s="474"/>
      <c r="H2157" s="474"/>
      <c r="J2157" s="555"/>
    </row>
    <row r="2158" spans="1:10" s="165" customFormat="1">
      <c r="A2158" s="172"/>
      <c r="B2158" s="552"/>
      <c r="C2158" s="553"/>
      <c r="D2158" s="554"/>
      <c r="E2158" s="554"/>
      <c r="F2158" s="167"/>
      <c r="G2158" s="474"/>
      <c r="H2158" s="474"/>
      <c r="J2158" s="555"/>
    </row>
    <row r="2159" spans="1:10" s="165" customFormat="1">
      <c r="A2159" s="172"/>
      <c r="B2159" s="552"/>
      <c r="C2159" s="553"/>
      <c r="D2159" s="554"/>
      <c r="E2159" s="554"/>
      <c r="F2159" s="167"/>
      <c r="G2159" s="474"/>
      <c r="H2159" s="474"/>
      <c r="J2159" s="555"/>
    </row>
    <row r="2160" spans="1:10" s="165" customFormat="1">
      <c r="A2160" s="172"/>
      <c r="B2160" s="552"/>
      <c r="C2160" s="553"/>
      <c r="D2160" s="554"/>
      <c r="E2160" s="554"/>
      <c r="F2160" s="167"/>
      <c r="G2160" s="474"/>
      <c r="H2160" s="474"/>
      <c r="J2160" s="555"/>
    </row>
    <row r="2161" spans="1:10" s="165" customFormat="1">
      <c r="A2161" s="172"/>
      <c r="B2161" s="552"/>
      <c r="C2161" s="553"/>
      <c r="D2161" s="554"/>
      <c r="E2161" s="554"/>
      <c r="F2161" s="167"/>
      <c r="G2161" s="474"/>
      <c r="H2161" s="474"/>
      <c r="J2161" s="555"/>
    </row>
    <row r="2162" spans="1:10" s="165" customFormat="1">
      <c r="A2162" s="172"/>
      <c r="B2162" s="552"/>
      <c r="C2162" s="553"/>
      <c r="D2162" s="554"/>
      <c r="E2162" s="554"/>
      <c r="F2162" s="167"/>
      <c r="G2162" s="474"/>
      <c r="H2162" s="474"/>
      <c r="J2162" s="555"/>
    </row>
    <row r="2163" spans="1:10" s="165" customFormat="1">
      <c r="A2163" s="172"/>
      <c r="B2163" s="552"/>
      <c r="C2163" s="553"/>
      <c r="D2163" s="554"/>
      <c r="E2163" s="554"/>
      <c r="F2163" s="167"/>
      <c r="G2163" s="474"/>
      <c r="H2163" s="474"/>
      <c r="J2163" s="555"/>
    </row>
    <row r="2164" spans="1:10" s="165" customFormat="1">
      <c r="A2164" s="172"/>
      <c r="B2164" s="552"/>
      <c r="C2164" s="553"/>
      <c r="D2164" s="554"/>
      <c r="E2164" s="554"/>
      <c r="F2164" s="167"/>
      <c r="G2164" s="474"/>
      <c r="H2164" s="474"/>
      <c r="J2164" s="555"/>
    </row>
    <row r="2165" spans="1:10" s="165" customFormat="1">
      <c r="A2165" s="172"/>
      <c r="B2165" s="552"/>
      <c r="C2165" s="553"/>
      <c r="D2165" s="554"/>
      <c r="E2165" s="554"/>
      <c r="F2165" s="167"/>
      <c r="G2165" s="474"/>
      <c r="H2165" s="474"/>
      <c r="J2165" s="555"/>
    </row>
    <row r="2166" spans="1:10" s="165" customFormat="1">
      <c r="A2166" s="172"/>
      <c r="B2166" s="552"/>
      <c r="C2166" s="553"/>
      <c r="D2166" s="554"/>
      <c r="E2166" s="554"/>
      <c r="F2166" s="167"/>
      <c r="G2166" s="474"/>
      <c r="H2166" s="474"/>
      <c r="J2166" s="555"/>
    </row>
    <row r="2167" spans="1:10" s="165" customFormat="1">
      <c r="A2167" s="172"/>
      <c r="B2167" s="552"/>
      <c r="C2167" s="553"/>
      <c r="D2167" s="554"/>
      <c r="E2167" s="554"/>
      <c r="F2167" s="167"/>
      <c r="G2167" s="474"/>
      <c r="H2167" s="474"/>
      <c r="J2167" s="555"/>
    </row>
    <row r="2168" spans="1:10" s="165" customFormat="1">
      <c r="A2168" s="172"/>
      <c r="B2168" s="552"/>
      <c r="C2168" s="553"/>
      <c r="D2168" s="554"/>
      <c r="E2168" s="554"/>
      <c r="F2168" s="167"/>
      <c r="G2168" s="474"/>
      <c r="H2168" s="474"/>
      <c r="J2168" s="555"/>
    </row>
    <row r="2169" spans="1:10" s="165" customFormat="1">
      <c r="A2169" s="172"/>
      <c r="B2169" s="552"/>
      <c r="C2169" s="553"/>
      <c r="D2169" s="554"/>
      <c r="E2169" s="554"/>
      <c r="F2169" s="167"/>
      <c r="G2169" s="474"/>
      <c r="H2169" s="474"/>
      <c r="J2169" s="555"/>
    </row>
    <row r="2170" spans="1:10" s="165" customFormat="1">
      <c r="A2170" s="172"/>
      <c r="B2170" s="552"/>
      <c r="C2170" s="553"/>
      <c r="D2170" s="554"/>
      <c r="E2170" s="554"/>
      <c r="F2170" s="167"/>
      <c r="G2170" s="474"/>
      <c r="H2170" s="474"/>
      <c r="J2170" s="555"/>
    </row>
    <row r="2171" spans="1:10" s="165" customFormat="1">
      <c r="A2171" s="172"/>
      <c r="B2171" s="552"/>
      <c r="C2171" s="553"/>
      <c r="D2171" s="554"/>
      <c r="E2171" s="554"/>
      <c r="F2171" s="167"/>
      <c r="G2171" s="474"/>
      <c r="H2171" s="474"/>
      <c r="J2171" s="555"/>
    </row>
    <row r="2172" spans="1:10" s="165" customFormat="1">
      <c r="A2172" s="172"/>
      <c r="B2172" s="552"/>
      <c r="C2172" s="553"/>
      <c r="D2172" s="554"/>
      <c r="E2172" s="554"/>
      <c r="F2172" s="167"/>
      <c r="G2172" s="474"/>
      <c r="H2172" s="474"/>
      <c r="J2172" s="555"/>
    </row>
    <row r="2173" spans="1:10" s="165" customFormat="1">
      <c r="A2173" s="172"/>
      <c r="B2173" s="552"/>
      <c r="C2173" s="553"/>
      <c r="D2173" s="554"/>
      <c r="E2173" s="554"/>
      <c r="F2173" s="167"/>
      <c r="G2173" s="474"/>
      <c r="H2173" s="474"/>
      <c r="J2173" s="555"/>
    </row>
    <row r="2174" spans="1:10" s="165" customFormat="1">
      <c r="A2174" s="172"/>
      <c r="B2174" s="552"/>
      <c r="C2174" s="553"/>
      <c r="D2174" s="554"/>
      <c r="E2174" s="554"/>
      <c r="F2174" s="167"/>
      <c r="G2174" s="474"/>
      <c r="H2174" s="474"/>
      <c r="J2174" s="555"/>
    </row>
    <row r="2175" spans="1:10" s="165" customFormat="1">
      <c r="A2175" s="172"/>
      <c r="B2175" s="552"/>
      <c r="C2175" s="553"/>
      <c r="D2175" s="554"/>
      <c r="E2175" s="554"/>
      <c r="F2175" s="167"/>
      <c r="G2175" s="474"/>
      <c r="H2175" s="474"/>
      <c r="J2175" s="555"/>
    </row>
    <row r="2176" spans="1:10" s="165" customFormat="1">
      <c r="A2176" s="172"/>
      <c r="B2176" s="552"/>
      <c r="C2176" s="553"/>
      <c r="D2176" s="554"/>
      <c r="E2176" s="554"/>
      <c r="F2176" s="167"/>
      <c r="G2176" s="474"/>
      <c r="H2176" s="474"/>
      <c r="J2176" s="555"/>
    </row>
    <row r="2177" spans="1:10" s="165" customFormat="1">
      <c r="A2177" s="172"/>
      <c r="B2177" s="552"/>
      <c r="C2177" s="553"/>
      <c r="D2177" s="554"/>
      <c r="E2177" s="554"/>
      <c r="F2177" s="167"/>
      <c r="G2177" s="474"/>
      <c r="H2177" s="474"/>
      <c r="J2177" s="555"/>
    </row>
    <row r="2178" spans="1:10" s="165" customFormat="1">
      <c r="A2178" s="172"/>
      <c r="B2178" s="552"/>
      <c r="C2178" s="553"/>
      <c r="D2178" s="554"/>
      <c r="E2178" s="554"/>
      <c r="F2178" s="167"/>
      <c r="G2178" s="474"/>
      <c r="H2178" s="474"/>
      <c r="J2178" s="555"/>
    </row>
    <row r="2179" spans="1:10" s="165" customFormat="1">
      <c r="A2179" s="172"/>
      <c r="B2179" s="552"/>
      <c r="C2179" s="553"/>
      <c r="D2179" s="554"/>
      <c r="E2179" s="554"/>
      <c r="F2179" s="167"/>
      <c r="G2179" s="474"/>
      <c r="H2179" s="474"/>
      <c r="J2179" s="555"/>
    </row>
    <row r="2180" spans="1:10" s="165" customFormat="1">
      <c r="A2180" s="172"/>
      <c r="B2180" s="552"/>
      <c r="C2180" s="553"/>
      <c r="D2180" s="554"/>
      <c r="E2180" s="554"/>
      <c r="F2180" s="167"/>
      <c r="G2180" s="474"/>
      <c r="H2180" s="474"/>
      <c r="J2180" s="555"/>
    </row>
    <row r="2181" spans="1:10" s="165" customFormat="1">
      <c r="A2181" s="172"/>
      <c r="B2181" s="552"/>
      <c r="C2181" s="553"/>
      <c r="D2181" s="554"/>
      <c r="E2181" s="554"/>
      <c r="F2181" s="167"/>
      <c r="G2181" s="474"/>
      <c r="H2181" s="474"/>
      <c r="J2181" s="555"/>
    </row>
    <row r="2182" spans="1:10" s="165" customFormat="1">
      <c r="A2182" s="172"/>
      <c r="B2182" s="552"/>
      <c r="C2182" s="553"/>
      <c r="D2182" s="554"/>
      <c r="E2182" s="554"/>
      <c r="F2182" s="167"/>
      <c r="G2182" s="474"/>
      <c r="H2182" s="474"/>
      <c r="J2182" s="555"/>
    </row>
    <row r="2183" spans="1:10" s="165" customFormat="1">
      <c r="A2183" s="172"/>
      <c r="B2183" s="552"/>
      <c r="C2183" s="553"/>
      <c r="D2183" s="554"/>
      <c r="E2183" s="554"/>
      <c r="F2183" s="167"/>
      <c r="G2183" s="474"/>
      <c r="H2183" s="474"/>
      <c r="J2183" s="555"/>
    </row>
    <row r="2184" spans="1:10" s="165" customFormat="1">
      <c r="A2184" s="172"/>
      <c r="B2184" s="552"/>
      <c r="C2184" s="553"/>
      <c r="D2184" s="554"/>
      <c r="E2184" s="554"/>
      <c r="F2184" s="167"/>
      <c r="G2184" s="474"/>
      <c r="H2184" s="474"/>
      <c r="J2184" s="555"/>
    </row>
    <row r="2185" spans="1:10" s="165" customFormat="1">
      <c r="A2185" s="172"/>
      <c r="B2185" s="552"/>
      <c r="C2185" s="553"/>
      <c r="D2185" s="554"/>
      <c r="E2185" s="554"/>
      <c r="F2185" s="167"/>
      <c r="G2185" s="474"/>
      <c r="H2185" s="474"/>
      <c r="J2185" s="555"/>
    </row>
    <row r="2186" spans="1:10" s="165" customFormat="1">
      <c r="A2186" s="172"/>
      <c r="B2186" s="552"/>
      <c r="C2186" s="553"/>
      <c r="D2186" s="554"/>
      <c r="E2186" s="554"/>
      <c r="F2186" s="167"/>
      <c r="G2186" s="474"/>
      <c r="H2186" s="474"/>
      <c r="J2186" s="555"/>
    </row>
    <row r="2187" spans="1:10" s="165" customFormat="1">
      <c r="A2187" s="172"/>
      <c r="B2187" s="552"/>
      <c r="C2187" s="553"/>
      <c r="D2187" s="554"/>
      <c r="E2187" s="554"/>
      <c r="F2187" s="167"/>
      <c r="G2187" s="474"/>
      <c r="H2187" s="474"/>
      <c r="J2187" s="555"/>
    </row>
    <row r="2188" spans="1:10" s="165" customFormat="1">
      <c r="A2188" s="172"/>
      <c r="B2188" s="552"/>
      <c r="C2188" s="553"/>
      <c r="D2188" s="554"/>
      <c r="E2188" s="554"/>
      <c r="F2188" s="167"/>
      <c r="G2188" s="474"/>
      <c r="H2188" s="474"/>
      <c r="J2188" s="555"/>
    </row>
    <row r="2189" spans="1:10" s="165" customFormat="1">
      <c r="A2189" s="172"/>
      <c r="B2189" s="552"/>
      <c r="C2189" s="553"/>
      <c r="D2189" s="554"/>
      <c r="E2189" s="554"/>
      <c r="F2189" s="167"/>
      <c r="G2189" s="474"/>
      <c r="H2189" s="474"/>
      <c r="J2189" s="555"/>
    </row>
    <row r="2190" spans="1:10" s="165" customFormat="1">
      <c r="A2190" s="172"/>
      <c r="B2190" s="552"/>
      <c r="C2190" s="553"/>
      <c r="D2190" s="554"/>
      <c r="E2190" s="554"/>
      <c r="F2190" s="167"/>
      <c r="G2190" s="474"/>
      <c r="H2190" s="474"/>
      <c r="J2190" s="555"/>
    </row>
    <row r="2191" spans="1:10" s="165" customFormat="1">
      <c r="A2191" s="172"/>
      <c r="B2191" s="552"/>
      <c r="C2191" s="553"/>
      <c r="D2191" s="554"/>
      <c r="E2191" s="554"/>
      <c r="F2191" s="167"/>
      <c r="G2191" s="474"/>
      <c r="H2191" s="474"/>
      <c r="J2191" s="555"/>
    </row>
    <row r="2192" spans="1:10" s="165" customFormat="1">
      <c r="A2192" s="172"/>
      <c r="B2192" s="552"/>
      <c r="C2192" s="553"/>
      <c r="D2192" s="554"/>
      <c r="E2192" s="554"/>
      <c r="F2192" s="167"/>
      <c r="G2192" s="474"/>
      <c r="H2192" s="474"/>
      <c r="J2192" s="555"/>
    </row>
    <row r="2193" spans="1:10" s="165" customFormat="1">
      <c r="A2193" s="172"/>
      <c r="B2193" s="552"/>
      <c r="C2193" s="553"/>
      <c r="D2193" s="554"/>
      <c r="E2193" s="554"/>
      <c r="F2193" s="167"/>
      <c r="G2193" s="474"/>
      <c r="H2193" s="474"/>
      <c r="J2193" s="555"/>
    </row>
    <row r="2194" spans="1:10" s="165" customFormat="1">
      <c r="A2194" s="172"/>
      <c r="B2194" s="552"/>
      <c r="C2194" s="553"/>
      <c r="D2194" s="554"/>
      <c r="E2194" s="554"/>
      <c r="F2194" s="167"/>
      <c r="G2194" s="474"/>
      <c r="H2194" s="474"/>
      <c r="J2194" s="555"/>
    </row>
    <row r="2195" spans="1:10" s="165" customFormat="1">
      <c r="A2195" s="172"/>
      <c r="B2195" s="552"/>
      <c r="C2195" s="553"/>
      <c r="D2195" s="554"/>
      <c r="E2195" s="554"/>
      <c r="F2195" s="167"/>
      <c r="G2195" s="474"/>
      <c r="H2195" s="474"/>
      <c r="J2195" s="555"/>
    </row>
    <row r="2196" spans="1:10" s="165" customFormat="1">
      <c r="A2196" s="172"/>
      <c r="B2196" s="552"/>
      <c r="C2196" s="553"/>
      <c r="D2196" s="554"/>
      <c r="E2196" s="554"/>
      <c r="F2196" s="167"/>
      <c r="G2196" s="474"/>
      <c r="H2196" s="474"/>
      <c r="J2196" s="555"/>
    </row>
    <row r="2197" spans="1:10" s="165" customFormat="1">
      <c r="A2197" s="172"/>
      <c r="B2197" s="552"/>
      <c r="C2197" s="553"/>
      <c r="D2197" s="554"/>
      <c r="E2197" s="554"/>
      <c r="F2197" s="167"/>
      <c r="G2197" s="474"/>
      <c r="H2197" s="474"/>
      <c r="J2197" s="555"/>
    </row>
    <row r="2198" spans="1:10" s="165" customFormat="1">
      <c r="A2198" s="172"/>
      <c r="B2198" s="552"/>
      <c r="C2198" s="553"/>
      <c r="D2198" s="554"/>
      <c r="E2198" s="554"/>
      <c r="F2198" s="167"/>
      <c r="G2198" s="474"/>
      <c r="H2198" s="474"/>
      <c r="J2198" s="555"/>
    </row>
    <row r="2199" spans="1:10" s="165" customFormat="1">
      <c r="A2199" s="172"/>
      <c r="B2199" s="552"/>
      <c r="C2199" s="553"/>
      <c r="D2199" s="554"/>
      <c r="E2199" s="554"/>
      <c r="F2199" s="167"/>
      <c r="G2199" s="474"/>
      <c r="H2199" s="474"/>
      <c r="J2199" s="555"/>
    </row>
    <row r="2200" spans="1:10" s="165" customFormat="1">
      <c r="A2200" s="172"/>
      <c r="B2200" s="552"/>
      <c r="C2200" s="553"/>
      <c r="D2200" s="554"/>
      <c r="E2200" s="554"/>
      <c r="F2200" s="167"/>
      <c r="G2200" s="474"/>
      <c r="H2200" s="474"/>
      <c r="J2200" s="555"/>
    </row>
    <row r="2201" spans="1:10" s="165" customFormat="1">
      <c r="A2201" s="172"/>
      <c r="B2201" s="552"/>
      <c r="C2201" s="553"/>
      <c r="D2201" s="554"/>
      <c r="E2201" s="554"/>
      <c r="F2201" s="167"/>
      <c r="G2201" s="474"/>
      <c r="H2201" s="474"/>
      <c r="J2201" s="555"/>
    </row>
    <row r="2202" spans="1:10" s="165" customFormat="1">
      <c r="A2202" s="172"/>
      <c r="B2202" s="552"/>
      <c r="C2202" s="553"/>
      <c r="D2202" s="554"/>
      <c r="E2202" s="554"/>
      <c r="F2202" s="167"/>
      <c r="G2202" s="474"/>
      <c r="H2202" s="474"/>
      <c r="J2202" s="555"/>
    </row>
    <row r="2203" spans="1:10" s="165" customFormat="1">
      <c r="A2203" s="172"/>
      <c r="B2203" s="552"/>
      <c r="C2203" s="553"/>
      <c r="D2203" s="554"/>
      <c r="E2203" s="554"/>
      <c r="F2203" s="167"/>
      <c r="G2203" s="474"/>
      <c r="H2203" s="474"/>
      <c r="J2203" s="555"/>
    </row>
    <row r="2204" spans="1:10" s="165" customFormat="1">
      <c r="A2204" s="172"/>
      <c r="B2204" s="552"/>
      <c r="C2204" s="553"/>
      <c r="D2204" s="554"/>
      <c r="E2204" s="554"/>
      <c r="F2204" s="167"/>
      <c r="G2204" s="474"/>
      <c r="H2204" s="474"/>
      <c r="J2204" s="555"/>
    </row>
    <row r="2205" spans="1:10" s="165" customFormat="1">
      <c r="A2205" s="172"/>
      <c r="B2205" s="552"/>
      <c r="C2205" s="553"/>
      <c r="D2205" s="554"/>
      <c r="E2205" s="554"/>
      <c r="F2205" s="167"/>
      <c r="G2205" s="474"/>
      <c r="H2205" s="474"/>
      <c r="J2205" s="555"/>
    </row>
    <row r="2206" spans="1:10" s="165" customFormat="1">
      <c r="A2206" s="172"/>
      <c r="B2206" s="552"/>
      <c r="C2206" s="553"/>
      <c r="D2206" s="554"/>
      <c r="E2206" s="554"/>
      <c r="F2206" s="167"/>
      <c r="G2206" s="474"/>
      <c r="H2206" s="474"/>
      <c r="J2206" s="555"/>
    </row>
    <row r="2207" spans="1:10" s="165" customFormat="1">
      <c r="A2207" s="172"/>
      <c r="B2207" s="552"/>
      <c r="C2207" s="553"/>
      <c r="D2207" s="554"/>
      <c r="E2207" s="554"/>
      <c r="F2207" s="167"/>
      <c r="G2207" s="474"/>
      <c r="H2207" s="474"/>
      <c r="J2207" s="555"/>
    </row>
    <row r="2208" spans="1:10" s="165" customFormat="1">
      <c r="A2208" s="172"/>
      <c r="B2208" s="552"/>
      <c r="C2208" s="553"/>
      <c r="D2208" s="554"/>
      <c r="E2208" s="554"/>
      <c r="F2208" s="167"/>
      <c r="G2208" s="474"/>
      <c r="H2208" s="474"/>
      <c r="J2208" s="555"/>
    </row>
    <row r="2209" spans="1:10" s="165" customFormat="1">
      <c r="A2209" s="172"/>
      <c r="B2209" s="552"/>
      <c r="C2209" s="553"/>
      <c r="D2209" s="554"/>
      <c r="E2209" s="554"/>
      <c r="F2209" s="167"/>
      <c r="G2209" s="474"/>
      <c r="H2209" s="474"/>
      <c r="J2209" s="555"/>
    </row>
    <row r="2210" spans="1:10" s="165" customFormat="1">
      <c r="A2210" s="172"/>
      <c r="B2210" s="552"/>
      <c r="C2210" s="553"/>
      <c r="D2210" s="554"/>
      <c r="E2210" s="554"/>
      <c r="F2210" s="167"/>
      <c r="G2210" s="474"/>
      <c r="H2210" s="474"/>
      <c r="J2210" s="555"/>
    </row>
    <row r="2211" spans="1:10" s="165" customFormat="1">
      <c r="A2211" s="172"/>
      <c r="B2211" s="552"/>
      <c r="C2211" s="553"/>
      <c r="D2211" s="554"/>
      <c r="E2211" s="554"/>
      <c r="F2211" s="167"/>
      <c r="G2211" s="474"/>
      <c r="H2211" s="474"/>
      <c r="J2211" s="555"/>
    </row>
    <row r="2212" spans="1:10" s="165" customFormat="1">
      <c r="A2212" s="172"/>
      <c r="B2212" s="552"/>
      <c r="C2212" s="553"/>
      <c r="D2212" s="554"/>
      <c r="E2212" s="554"/>
      <c r="F2212" s="167"/>
      <c r="G2212" s="474"/>
      <c r="H2212" s="474"/>
      <c r="J2212" s="555"/>
    </row>
    <row r="2213" spans="1:10" s="165" customFormat="1">
      <c r="A2213" s="172"/>
      <c r="B2213" s="552"/>
      <c r="C2213" s="553"/>
      <c r="D2213" s="554"/>
      <c r="E2213" s="554"/>
      <c r="F2213" s="167"/>
      <c r="G2213" s="474"/>
      <c r="H2213" s="474"/>
      <c r="J2213" s="555"/>
    </row>
    <row r="2214" spans="1:10" s="165" customFormat="1">
      <c r="A2214" s="172"/>
      <c r="B2214" s="552"/>
      <c r="C2214" s="553"/>
      <c r="D2214" s="554"/>
      <c r="E2214" s="554"/>
      <c r="F2214" s="167"/>
      <c r="G2214" s="474"/>
      <c r="H2214" s="474"/>
      <c r="J2214" s="555"/>
    </row>
    <row r="2215" spans="1:10" s="165" customFormat="1">
      <c r="A2215" s="172"/>
      <c r="B2215" s="552"/>
      <c r="C2215" s="553"/>
      <c r="D2215" s="554"/>
      <c r="E2215" s="554"/>
      <c r="F2215" s="167"/>
      <c r="G2215" s="474"/>
      <c r="H2215" s="474"/>
      <c r="J2215" s="555"/>
    </row>
    <row r="2216" spans="1:10" s="165" customFormat="1">
      <c r="A2216" s="172"/>
      <c r="B2216" s="552"/>
      <c r="C2216" s="553"/>
      <c r="D2216" s="554"/>
      <c r="E2216" s="554"/>
      <c r="F2216" s="167"/>
      <c r="G2216" s="474"/>
      <c r="H2216" s="474"/>
      <c r="J2216" s="555"/>
    </row>
    <row r="2217" spans="1:10" s="165" customFormat="1">
      <c r="A2217" s="172"/>
      <c r="B2217" s="552"/>
      <c r="C2217" s="553"/>
      <c r="D2217" s="554"/>
      <c r="E2217" s="554"/>
      <c r="F2217" s="167"/>
      <c r="G2217" s="474"/>
      <c r="H2217" s="474"/>
      <c r="J2217" s="555"/>
    </row>
    <row r="2218" spans="1:10" s="165" customFormat="1">
      <c r="A2218" s="172"/>
      <c r="B2218" s="552"/>
      <c r="C2218" s="553"/>
      <c r="D2218" s="554"/>
      <c r="E2218" s="554"/>
      <c r="F2218" s="167"/>
      <c r="G2218" s="474"/>
      <c r="H2218" s="474"/>
      <c r="J2218" s="555"/>
    </row>
    <row r="2219" spans="1:10" s="165" customFormat="1">
      <c r="A2219" s="172"/>
      <c r="B2219" s="552"/>
      <c r="C2219" s="553"/>
      <c r="D2219" s="554"/>
      <c r="E2219" s="554"/>
      <c r="F2219" s="167"/>
      <c r="G2219" s="474"/>
      <c r="H2219" s="474"/>
      <c r="J2219" s="555"/>
    </row>
    <row r="2220" spans="1:10" s="165" customFormat="1">
      <c r="A2220" s="172"/>
      <c r="B2220" s="552"/>
      <c r="C2220" s="553"/>
      <c r="D2220" s="554"/>
      <c r="E2220" s="554"/>
      <c r="F2220" s="167"/>
      <c r="G2220" s="474"/>
      <c r="H2220" s="474"/>
      <c r="J2220" s="555"/>
    </row>
    <row r="2221" spans="1:10" s="165" customFormat="1">
      <c r="A2221" s="172"/>
      <c r="B2221" s="552"/>
      <c r="C2221" s="553"/>
      <c r="D2221" s="554"/>
      <c r="E2221" s="554"/>
      <c r="F2221" s="167"/>
      <c r="G2221" s="474"/>
      <c r="H2221" s="474"/>
      <c r="J2221" s="555"/>
    </row>
    <row r="2222" spans="1:10" s="165" customFormat="1">
      <c r="A2222" s="172"/>
      <c r="B2222" s="552"/>
      <c r="C2222" s="553"/>
      <c r="D2222" s="554"/>
      <c r="E2222" s="554"/>
      <c r="F2222" s="167"/>
      <c r="G2222" s="474"/>
      <c r="H2222" s="474"/>
      <c r="J2222" s="555"/>
    </row>
    <row r="2223" spans="1:10" s="165" customFormat="1">
      <c r="A2223" s="172"/>
      <c r="B2223" s="552"/>
      <c r="C2223" s="553"/>
      <c r="D2223" s="554"/>
      <c r="E2223" s="554"/>
      <c r="F2223" s="167"/>
      <c r="G2223" s="474"/>
      <c r="H2223" s="474"/>
      <c r="J2223" s="555"/>
    </row>
    <row r="2224" spans="1:10" s="165" customFormat="1">
      <c r="A2224" s="172"/>
      <c r="B2224" s="552"/>
      <c r="C2224" s="553"/>
      <c r="D2224" s="554"/>
      <c r="E2224" s="554"/>
      <c r="F2224" s="167"/>
      <c r="G2224" s="474"/>
      <c r="H2224" s="474"/>
      <c r="J2224" s="555"/>
    </row>
    <row r="2225" spans="1:10" s="165" customFormat="1">
      <c r="A2225" s="172"/>
      <c r="B2225" s="552"/>
      <c r="C2225" s="553"/>
      <c r="D2225" s="554"/>
      <c r="E2225" s="554"/>
      <c r="F2225" s="167"/>
      <c r="G2225" s="474"/>
      <c r="H2225" s="474"/>
      <c r="J2225" s="555"/>
    </row>
    <row r="2226" spans="1:10" s="165" customFormat="1">
      <c r="A2226" s="172"/>
      <c r="B2226" s="552"/>
      <c r="C2226" s="553"/>
      <c r="D2226" s="554"/>
      <c r="E2226" s="554"/>
      <c r="F2226" s="167"/>
      <c r="G2226" s="474"/>
      <c r="H2226" s="474"/>
      <c r="J2226" s="555"/>
    </row>
    <row r="2227" spans="1:10" s="165" customFormat="1">
      <c r="A2227" s="172"/>
      <c r="B2227" s="552"/>
      <c r="C2227" s="553"/>
      <c r="D2227" s="554"/>
      <c r="E2227" s="554"/>
      <c r="F2227" s="167"/>
      <c r="G2227" s="474"/>
      <c r="H2227" s="474"/>
      <c r="J2227" s="555"/>
    </row>
    <row r="2228" spans="1:10" s="165" customFormat="1">
      <c r="A2228" s="172"/>
      <c r="B2228" s="552"/>
      <c r="C2228" s="553"/>
      <c r="D2228" s="554"/>
      <c r="E2228" s="554"/>
      <c r="F2228" s="167"/>
      <c r="G2228" s="474"/>
      <c r="H2228" s="474"/>
      <c r="J2228" s="555"/>
    </row>
    <row r="2229" spans="1:10" s="165" customFormat="1">
      <c r="A2229" s="172"/>
      <c r="B2229" s="552"/>
      <c r="C2229" s="553"/>
      <c r="D2229" s="554"/>
      <c r="E2229" s="554"/>
      <c r="F2229" s="167"/>
      <c r="G2229" s="474"/>
      <c r="H2229" s="474"/>
      <c r="J2229" s="555"/>
    </row>
    <row r="2230" spans="1:10" s="165" customFormat="1">
      <c r="A2230" s="172"/>
      <c r="B2230" s="552"/>
      <c r="C2230" s="553"/>
      <c r="D2230" s="554"/>
      <c r="E2230" s="554"/>
      <c r="F2230" s="167"/>
      <c r="G2230" s="474"/>
      <c r="H2230" s="474"/>
      <c r="J2230" s="555"/>
    </row>
    <row r="2231" spans="1:10" s="165" customFormat="1">
      <c r="A2231" s="172"/>
      <c r="B2231" s="552"/>
      <c r="C2231" s="553"/>
      <c r="D2231" s="554"/>
      <c r="E2231" s="554"/>
      <c r="F2231" s="167"/>
      <c r="G2231" s="474"/>
      <c r="H2231" s="474"/>
      <c r="J2231" s="555"/>
    </row>
    <row r="2232" spans="1:10" s="165" customFormat="1">
      <c r="A2232" s="172"/>
      <c r="B2232" s="552"/>
      <c r="C2232" s="553"/>
      <c r="D2232" s="554"/>
      <c r="E2232" s="554"/>
      <c r="F2232" s="167"/>
      <c r="G2232" s="474"/>
      <c r="H2232" s="474"/>
      <c r="J2232" s="555"/>
    </row>
    <row r="2233" spans="1:10" s="165" customFormat="1">
      <c r="A2233" s="172"/>
      <c r="B2233" s="552"/>
      <c r="C2233" s="553"/>
      <c r="D2233" s="554"/>
      <c r="E2233" s="554"/>
      <c r="F2233" s="167"/>
      <c r="G2233" s="474"/>
      <c r="H2233" s="474"/>
      <c r="J2233" s="555"/>
    </row>
    <row r="2234" spans="1:10" s="165" customFormat="1">
      <c r="A2234" s="172"/>
      <c r="B2234" s="552"/>
      <c r="C2234" s="553"/>
      <c r="D2234" s="554"/>
      <c r="E2234" s="554"/>
      <c r="F2234" s="167"/>
      <c r="G2234" s="474"/>
      <c r="H2234" s="474"/>
      <c r="J2234" s="555"/>
    </row>
    <row r="2235" spans="1:10" s="165" customFormat="1">
      <c r="A2235" s="172"/>
      <c r="B2235" s="552"/>
      <c r="C2235" s="553"/>
      <c r="D2235" s="554"/>
      <c r="E2235" s="554"/>
      <c r="F2235" s="167"/>
      <c r="G2235" s="474"/>
      <c r="H2235" s="474"/>
      <c r="J2235" s="555"/>
    </row>
    <row r="2236" spans="1:10" s="165" customFormat="1">
      <c r="A2236" s="172"/>
      <c r="B2236" s="552"/>
      <c r="C2236" s="553"/>
      <c r="D2236" s="554"/>
      <c r="E2236" s="554"/>
      <c r="F2236" s="167"/>
      <c r="G2236" s="474"/>
      <c r="H2236" s="474"/>
      <c r="J2236" s="555"/>
    </row>
    <row r="2237" spans="1:10" s="165" customFormat="1">
      <c r="A2237" s="172"/>
      <c r="B2237" s="552"/>
      <c r="C2237" s="553"/>
      <c r="D2237" s="554"/>
      <c r="E2237" s="554"/>
      <c r="F2237" s="167"/>
      <c r="G2237" s="474"/>
      <c r="H2237" s="474"/>
      <c r="J2237" s="555"/>
    </row>
    <row r="2238" spans="1:10" s="165" customFormat="1">
      <c r="A2238" s="172"/>
      <c r="B2238" s="552"/>
      <c r="C2238" s="553"/>
      <c r="D2238" s="554"/>
      <c r="E2238" s="554"/>
      <c r="F2238" s="167"/>
      <c r="G2238" s="474"/>
      <c r="H2238" s="474"/>
      <c r="J2238" s="555"/>
    </row>
    <row r="2239" spans="1:10" s="165" customFormat="1">
      <c r="A2239" s="172"/>
      <c r="B2239" s="552"/>
      <c r="C2239" s="553"/>
      <c r="D2239" s="554"/>
      <c r="E2239" s="554"/>
      <c r="F2239" s="167"/>
      <c r="G2239" s="474"/>
      <c r="H2239" s="474"/>
      <c r="J2239" s="555"/>
    </row>
    <row r="2240" spans="1:10" s="165" customFormat="1">
      <c r="A2240" s="172"/>
      <c r="B2240" s="552"/>
      <c r="C2240" s="553"/>
      <c r="D2240" s="554"/>
      <c r="E2240" s="554"/>
      <c r="F2240" s="167"/>
      <c r="G2240" s="474"/>
      <c r="H2240" s="474"/>
      <c r="J2240" s="555"/>
    </row>
    <row r="2241" spans="1:10" s="165" customFormat="1">
      <c r="A2241" s="172"/>
      <c r="B2241" s="552"/>
      <c r="C2241" s="553"/>
      <c r="D2241" s="554"/>
      <c r="E2241" s="554"/>
      <c r="F2241" s="167"/>
      <c r="G2241" s="474"/>
      <c r="H2241" s="474"/>
      <c r="J2241" s="555"/>
    </row>
    <row r="2242" spans="1:10" s="165" customFormat="1">
      <c r="A2242" s="172"/>
      <c r="B2242" s="552"/>
      <c r="C2242" s="553"/>
      <c r="D2242" s="554"/>
      <c r="E2242" s="554"/>
      <c r="F2242" s="167"/>
      <c r="G2242" s="474"/>
      <c r="H2242" s="474"/>
      <c r="J2242" s="555"/>
    </row>
    <row r="2243" spans="1:10" s="165" customFormat="1">
      <c r="A2243" s="172"/>
      <c r="B2243" s="552"/>
      <c r="C2243" s="553"/>
      <c r="D2243" s="554"/>
      <c r="E2243" s="554"/>
      <c r="F2243" s="167"/>
      <c r="G2243" s="474"/>
      <c r="H2243" s="474"/>
      <c r="J2243" s="555"/>
    </row>
    <row r="2244" spans="1:10" s="165" customFormat="1">
      <c r="A2244" s="172"/>
      <c r="B2244" s="552"/>
      <c r="C2244" s="553"/>
      <c r="D2244" s="554"/>
      <c r="E2244" s="554"/>
      <c r="F2244" s="167"/>
      <c r="G2244" s="474"/>
      <c r="H2244" s="474"/>
      <c r="J2244" s="555"/>
    </row>
    <row r="2245" spans="1:10" s="165" customFormat="1">
      <c r="A2245" s="172"/>
      <c r="B2245" s="552"/>
      <c r="C2245" s="553"/>
      <c r="D2245" s="554"/>
      <c r="E2245" s="554"/>
      <c r="F2245" s="167"/>
      <c r="G2245" s="474"/>
      <c r="H2245" s="474"/>
      <c r="J2245" s="555"/>
    </row>
    <row r="2246" spans="1:10" s="165" customFormat="1">
      <c r="A2246" s="172"/>
      <c r="B2246" s="552"/>
      <c r="C2246" s="553"/>
      <c r="D2246" s="554"/>
      <c r="E2246" s="554"/>
      <c r="F2246" s="167"/>
      <c r="G2246" s="474"/>
      <c r="H2246" s="474"/>
      <c r="J2246" s="555"/>
    </row>
    <row r="2247" spans="1:10" s="165" customFormat="1">
      <c r="A2247" s="172"/>
      <c r="B2247" s="552"/>
      <c r="C2247" s="553"/>
      <c r="D2247" s="554"/>
      <c r="E2247" s="554"/>
      <c r="F2247" s="167"/>
      <c r="G2247" s="474"/>
      <c r="H2247" s="474"/>
      <c r="J2247" s="555"/>
    </row>
    <row r="2248" spans="1:10" s="165" customFormat="1">
      <c r="A2248" s="172"/>
      <c r="B2248" s="552"/>
      <c r="C2248" s="553"/>
      <c r="D2248" s="554"/>
      <c r="E2248" s="554"/>
      <c r="F2248" s="167"/>
      <c r="G2248" s="474"/>
      <c r="H2248" s="474"/>
      <c r="J2248" s="555"/>
    </row>
    <row r="2249" spans="1:10" s="165" customFormat="1">
      <c r="A2249" s="172"/>
      <c r="B2249" s="552"/>
      <c r="C2249" s="553"/>
      <c r="D2249" s="554"/>
      <c r="E2249" s="554"/>
      <c r="F2249" s="167"/>
      <c r="G2249" s="474"/>
      <c r="H2249" s="474"/>
      <c r="J2249" s="555"/>
    </row>
    <row r="2250" spans="1:10" s="165" customFormat="1">
      <c r="A2250" s="172"/>
      <c r="B2250" s="552"/>
      <c r="C2250" s="553"/>
      <c r="D2250" s="554"/>
      <c r="E2250" s="554"/>
      <c r="F2250" s="167"/>
      <c r="G2250" s="474"/>
      <c r="H2250" s="474"/>
      <c r="J2250" s="555"/>
    </row>
    <row r="2251" spans="1:10" s="165" customFormat="1">
      <c r="A2251" s="172"/>
      <c r="B2251" s="552"/>
      <c r="C2251" s="553"/>
      <c r="D2251" s="554"/>
      <c r="E2251" s="554"/>
      <c r="F2251" s="167"/>
      <c r="G2251" s="474"/>
      <c r="H2251" s="474"/>
      <c r="J2251" s="555"/>
    </row>
    <row r="2252" spans="1:10" s="165" customFormat="1">
      <c r="A2252" s="172"/>
      <c r="B2252" s="552"/>
      <c r="C2252" s="553"/>
      <c r="D2252" s="554"/>
      <c r="E2252" s="554"/>
      <c r="F2252" s="167"/>
      <c r="G2252" s="474"/>
      <c r="H2252" s="474"/>
      <c r="J2252" s="555"/>
    </row>
    <row r="2253" spans="1:10" s="165" customFormat="1">
      <c r="A2253" s="172"/>
      <c r="B2253" s="552"/>
      <c r="C2253" s="553"/>
      <c r="D2253" s="554"/>
      <c r="E2253" s="554"/>
      <c r="F2253" s="167"/>
      <c r="G2253" s="474"/>
      <c r="H2253" s="474"/>
      <c r="J2253" s="555"/>
    </row>
    <row r="2254" spans="1:10" s="165" customFormat="1">
      <c r="A2254" s="172"/>
      <c r="B2254" s="552"/>
      <c r="C2254" s="553"/>
      <c r="D2254" s="554"/>
      <c r="E2254" s="554"/>
      <c r="F2254" s="167"/>
      <c r="G2254" s="474"/>
      <c r="H2254" s="474"/>
      <c r="J2254" s="555"/>
    </row>
    <row r="2255" spans="1:10" s="165" customFormat="1">
      <c r="A2255" s="172"/>
      <c r="B2255" s="552"/>
      <c r="C2255" s="553"/>
      <c r="D2255" s="554"/>
      <c r="E2255" s="554"/>
      <c r="F2255" s="167"/>
      <c r="G2255" s="474"/>
      <c r="H2255" s="474"/>
      <c r="J2255" s="555"/>
    </row>
    <row r="2256" spans="1:10" s="165" customFormat="1">
      <c r="A2256" s="172"/>
      <c r="B2256" s="552"/>
      <c r="C2256" s="553"/>
      <c r="D2256" s="554"/>
      <c r="E2256" s="554"/>
      <c r="F2256" s="167"/>
      <c r="G2256" s="474"/>
      <c r="H2256" s="474"/>
      <c r="J2256" s="555"/>
    </row>
    <row r="2257" spans="1:10" s="165" customFormat="1">
      <c r="A2257" s="172"/>
      <c r="B2257" s="552"/>
      <c r="C2257" s="553"/>
      <c r="D2257" s="554"/>
      <c r="E2257" s="554"/>
      <c r="F2257" s="167"/>
      <c r="G2257" s="474"/>
      <c r="H2257" s="474"/>
      <c r="J2257" s="555"/>
    </row>
    <row r="2258" spans="1:10" s="165" customFormat="1">
      <c r="A2258" s="172"/>
      <c r="B2258" s="552"/>
      <c r="C2258" s="553"/>
      <c r="D2258" s="554"/>
      <c r="E2258" s="554"/>
      <c r="F2258" s="167"/>
      <c r="G2258" s="474"/>
      <c r="H2258" s="474"/>
      <c r="J2258" s="555"/>
    </row>
    <row r="2259" spans="1:10" s="165" customFormat="1">
      <c r="A2259" s="172"/>
      <c r="B2259" s="552"/>
      <c r="C2259" s="553"/>
      <c r="D2259" s="554"/>
      <c r="E2259" s="554"/>
      <c r="F2259" s="167"/>
      <c r="G2259" s="474"/>
      <c r="H2259" s="474"/>
      <c r="J2259" s="555"/>
    </row>
    <row r="2260" spans="1:10" s="165" customFormat="1">
      <c r="A2260" s="172"/>
      <c r="B2260" s="552"/>
      <c r="C2260" s="553"/>
      <c r="D2260" s="554"/>
      <c r="E2260" s="554"/>
      <c r="F2260" s="167"/>
      <c r="G2260" s="474"/>
      <c r="H2260" s="474"/>
      <c r="J2260" s="555"/>
    </row>
    <row r="2261" spans="1:10" s="165" customFormat="1">
      <c r="A2261" s="172"/>
      <c r="B2261" s="552"/>
      <c r="C2261" s="553"/>
      <c r="D2261" s="554"/>
      <c r="E2261" s="554"/>
      <c r="F2261" s="167"/>
      <c r="G2261" s="474"/>
      <c r="H2261" s="474"/>
      <c r="J2261" s="555"/>
    </row>
    <row r="2262" spans="1:10" s="165" customFormat="1">
      <c r="A2262" s="172"/>
      <c r="B2262" s="552"/>
      <c r="C2262" s="553"/>
      <c r="D2262" s="554"/>
      <c r="E2262" s="554"/>
      <c r="F2262" s="167"/>
      <c r="G2262" s="474"/>
      <c r="H2262" s="474"/>
      <c r="J2262" s="555"/>
    </row>
    <row r="2263" spans="1:10" s="165" customFormat="1">
      <c r="A2263" s="172"/>
      <c r="B2263" s="552"/>
      <c r="C2263" s="553"/>
      <c r="D2263" s="554"/>
      <c r="E2263" s="554"/>
      <c r="F2263" s="167"/>
      <c r="G2263" s="474"/>
      <c r="H2263" s="474"/>
      <c r="J2263" s="555"/>
    </row>
    <row r="2264" spans="1:10" s="165" customFormat="1">
      <c r="A2264" s="172"/>
      <c r="B2264" s="552"/>
      <c r="C2264" s="553"/>
      <c r="D2264" s="554"/>
      <c r="E2264" s="554"/>
      <c r="F2264" s="167"/>
      <c r="G2264" s="474"/>
      <c r="H2264" s="474"/>
      <c r="J2264" s="555"/>
    </row>
    <row r="2265" spans="1:10" s="165" customFormat="1">
      <c r="A2265" s="172"/>
      <c r="B2265" s="552"/>
      <c r="C2265" s="553"/>
      <c r="D2265" s="554"/>
      <c r="E2265" s="554"/>
      <c r="F2265" s="167"/>
      <c r="G2265" s="474"/>
      <c r="H2265" s="474"/>
      <c r="J2265" s="555"/>
    </row>
    <row r="2266" spans="1:10" s="165" customFormat="1">
      <c r="A2266" s="172"/>
      <c r="B2266" s="552"/>
      <c r="C2266" s="553"/>
      <c r="D2266" s="554"/>
      <c r="E2266" s="554"/>
      <c r="F2266" s="167"/>
      <c r="G2266" s="474"/>
      <c r="H2266" s="474"/>
      <c r="J2266" s="555"/>
    </row>
    <row r="2267" spans="1:10" s="165" customFormat="1">
      <c r="A2267" s="172"/>
      <c r="B2267" s="552"/>
      <c r="C2267" s="553"/>
      <c r="D2267" s="554"/>
      <c r="E2267" s="554"/>
      <c r="F2267" s="167"/>
      <c r="G2267" s="474"/>
      <c r="H2267" s="474"/>
      <c r="J2267" s="555"/>
    </row>
    <row r="2268" spans="1:10" s="165" customFormat="1">
      <c r="A2268" s="172"/>
      <c r="B2268" s="552"/>
      <c r="C2268" s="553"/>
      <c r="D2268" s="554"/>
      <c r="E2268" s="554"/>
      <c r="F2268" s="167"/>
      <c r="G2268" s="474"/>
      <c r="H2268" s="474"/>
      <c r="J2268" s="555"/>
    </row>
    <row r="2269" spans="1:10" s="165" customFormat="1">
      <c r="A2269" s="172"/>
      <c r="B2269" s="552"/>
      <c r="C2269" s="553"/>
      <c r="D2269" s="554"/>
      <c r="E2269" s="554"/>
      <c r="F2269" s="167"/>
      <c r="G2269" s="474"/>
      <c r="H2269" s="474"/>
      <c r="J2269" s="555"/>
    </row>
    <row r="2270" spans="1:10" s="165" customFormat="1">
      <c r="A2270" s="172"/>
      <c r="B2270" s="552"/>
      <c r="C2270" s="553"/>
      <c r="D2270" s="554"/>
      <c r="E2270" s="554"/>
      <c r="F2270" s="167"/>
      <c r="G2270" s="474"/>
      <c r="H2270" s="474"/>
      <c r="J2270" s="555"/>
    </row>
    <row r="2271" spans="1:10" s="165" customFormat="1">
      <c r="A2271" s="172"/>
      <c r="B2271" s="552"/>
      <c r="C2271" s="553"/>
      <c r="D2271" s="554"/>
      <c r="E2271" s="554"/>
      <c r="F2271" s="167"/>
      <c r="G2271" s="474"/>
      <c r="H2271" s="474"/>
      <c r="J2271" s="555"/>
    </row>
    <row r="2272" spans="1:10" s="165" customFormat="1">
      <c r="A2272" s="172"/>
      <c r="B2272" s="552"/>
      <c r="C2272" s="553"/>
      <c r="D2272" s="554"/>
      <c r="E2272" s="554"/>
      <c r="F2272" s="167"/>
      <c r="G2272" s="474"/>
      <c r="H2272" s="474"/>
      <c r="J2272" s="555"/>
    </row>
    <row r="2273" spans="1:10" s="165" customFormat="1">
      <c r="A2273" s="172"/>
      <c r="B2273" s="552"/>
      <c r="C2273" s="553"/>
      <c r="D2273" s="554"/>
      <c r="E2273" s="554"/>
      <c r="F2273" s="167"/>
      <c r="G2273" s="474"/>
      <c r="H2273" s="474"/>
      <c r="J2273" s="555"/>
    </row>
    <row r="2274" spans="1:10" s="165" customFormat="1">
      <c r="A2274" s="172"/>
      <c r="B2274" s="552"/>
      <c r="C2274" s="553"/>
      <c r="D2274" s="554"/>
      <c r="E2274" s="554"/>
      <c r="F2274" s="167"/>
      <c r="G2274" s="474"/>
      <c r="H2274" s="474"/>
      <c r="J2274" s="555"/>
    </row>
    <row r="2275" spans="1:10" s="165" customFormat="1">
      <c r="A2275" s="172"/>
      <c r="B2275" s="552"/>
      <c r="C2275" s="553"/>
      <c r="D2275" s="554"/>
      <c r="E2275" s="554"/>
      <c r="F2275" s="167"/>
      <c r="G2275" s="474"/>
      <c r="H2275" s="474"/>
      <c r="J2275" s="555"/>
    </row>
    <row r="2276" spans="1:10" s="165" customFormat="1">
      <c r="A2276" s="172"/>
      <c r="B2276" s="552"/>
      <c r="C2276" s="553"/>
      <c r="D2276" s="554"/>
      <c r="E2276" s="554"/>
      <c r="F2276" s="167"/>
      <c r="G2276" s="474"/>
      <c r="H2276" s="474"/>
      <c r="J2276" s="555"/>
    </row>
    <row r="2277" spans="1:10" s="165" customFormat="1">
      <c r="A2277" s="172"/>
      <c r="B2277" s="552"/>
      <c r="C2277" s="553"/>
      <c r="D2277" s="554"/>
      <c r="E2277" s="554"/>
      <c r="F2277" s="167"/>
      <c r="G2277" s="474"/>
      <c r="H2277" s="474"/>
      <c r="J2277" s="555"/>
    </row>
    <row r="2278" spans="1:10" s="165" customFormat="1">
      <c r="A2278" s="172"/>
      <c r="B2278" s="552"/>
      <c r="C2278" s="553"/>
      <c r="D2278" s="554"/>
      <c r="E2278" s="554"/>
      <c r="F2278" s="167"/>
      <c r="G2278" s="474"/>
      <c r="H2278" s="474"/>
      <c r="J2278" s="555"/>
    </row>
    <row r="2279" spans="1:10" s="165" customFormat="1">
      <c r="A2279" s="172"/>
      <c r="B2279" s="552"/>
      <c r="C2279" s="553"/>
      <c r="D2279" s="554"/>
      <c r="E2279" s="554"/>
      <c r="F2279" s="167"/>
      <c r="G2279" s="474"/>
      <c r="H2279" s="474"/>
      <c r="J2279" s="555"/>
    </row>
    <row r="2280" spans="1:10" s="165" customFormat="1">
      <c r="A2280" s="172"/>
      <c r="B2280" s="552"/>
      <c r="C2280" s="553"/>
      <c r="D2280" s="554"/>
      <c r="E2280" s="554"/>
      <c r="F2280" s="167"/>
      <c r="G2280" s="474"/>
      <c r="H2280" s="474"/>
      <c r="J2280" s="555"/>
    </row>
    <row r="2281" spans="1:10" s="165" customFormat="1">
      <c r="A2281" s="172"/>
      <c r="B2281" s="552"/>
      <c r="C2281" s="553"/>
      <c r="D2281" s="554"/>
      <c r="E2281" s="554"/>
      <c r="F2281" s="167"/>
      <c r="G2281" s="474"/>
      <c r="H2281" s="474"/>
      <c r="J2281" s="555"/>
    </row>
    <row r="2282" spans="1:10" s="165" customFormat="1">
      <c r="A2282" s="172"/>
      <c r="B2282" s="552"/>
      <c r="C2282" s="553"/>
      <c r="D2282" s="554"/>
      <c r="E2282" s="554"/>
      <c r="F2282" s="167"/>
      <c r="G2282" s="474"/>
      <c r="H2282" s="474"/>
      <c r="J2282" s="555"/>
    </row>
    <row r="2283" spans="1:10" s="165" customFormat="1">
      <c r="A2283" s="172"/>
      <c r="B2283" s="552"/>
      <c r="C2283" s="553"/>
      <c r="D2283" s="554"/>
      <c r="E2283" s="554"/>
      <c r="F2283" s="167"/>
      <c r="G2283" s="474"/>
      <c r="H2283" s="474"/>
      <c r="J2283" s="555"/>
    </row>
    <row r="2284" spans="1:10" s="165" customFormat="1">
      <c r="A2284" s="172"/>
      <c r="B2284" s="552"/>
      <c r="C2284" s="553"/>
      <c r="D2284" s="554"/>
      <c r="E2284" s="554"/>
      <c r="F2284" s="167"/>
      <c r="G2284" s="474"/>
      <c r="H2284" s="474"/>
      <c r="J2284" s="555"/>
    </row>
    <row r="2285" spans="1:10" s="165" customFormat="1">
      <c r="A2285" s="172"/>
      <c r="B2285" s="552"/>
      <c r="C2285" s="553"/>
      <c r="D2285" s="554"/>
      <c r="E2285" s="554"/>
      <c r="F2285" s="167"/>
      <c r="G2285" s="474"/>
      <c r="H2285" s="474"/>
      <c r="J2285" s="555"/>
    </row>
    <row r="2286" spans="1:10" s="165" customFormat="1">
      <c r="A2286" s="172"/>
      <c r="B2286" s="552"/>
      <c r="C2286" s="553"/>
      <c r="D2286" s="554"/>
      <c r="E2286" s="554"/>
      <c r="F2286" s="167"/>
      <c r="G2286" s="474"/>
      <c r="H2286" s="474"/>
      <c r="J2286" s="555"/>
    </row>
    <row r="2287" spans="1:10" s="165" customFormat="1">
      <c r="A2287" s="172"/>
      <c r="B2287" s="552"/>
      <c r="C2287" s="553"/>
      <c r="D2287" s="554"/>
      <c r="E2287" s="554"/>
      <c r="F2287" s="167"/>
      <c r="G2287" s="474"/>
      <c r="H2287" s="474"/>
      <c r="J2287" s="555"/>
    </row>
    <row r="2288" spans="1:10" s="165" customFormat="1">
      <c r="A2288" s="172"/>
      <c r="B2288" s="552"/>
      <c r="C2288" s="553"/>
      <c r="D2288" s="554"/>
      <c r="E2288" s="554"/>
      <c r="F2288" s="167"/>
      <c r="G2288" s="474"/>
      <c r="H2288" s="474"/>
      <c r="J2288" s="555"/>
    </row>
    <row r="2289" spans="1:10" s="165" customFormat="1">
      <c r="A2289" s="172"/>
      <c r="B2289" s="552"/>
      <c r="C2289" s="553"/>
      <c r="D2289" s="554"/>
      <c r="E2289" s="554"/>
      <c r="F2289" s="167"/>
      <c r="G2289" s="474"/>
      <c r="H2289" s="474"/>
      <c r="J2289" s="555"/>
    </row>
    <row r="2290" spans="1:10" s="165" customFormat="1">
      <c r="A2290" s="172"/>
      <c r="B2290" s="552"/>
      <c r="C2290" s="553"/>
      <c r="D2290" s="554"/>
      <c r="E2290" s="554"/>
      <c r="F2290" s="167"/>
      <c r="G2290" s="474"/>
      <c r="H2290" s="474"/>
      <c r="J2290" s="555"/>
    </row>
    <row r="2291" spans="1:10" s="165" customFormat="1">
      <c r="A2291" s="172"/>
      <c r="B2291" s="552"/>
      <c r="C2291" s="553"/>
      <c r="D2291" s="554"/>
      <c r="E2291" s="554"/>
      <c r="F2291" s="167"/>
      <c r="G2291" s="474"/>
      <c r="H2291" s="474"/>
      <c r="J2291" s="555"/>
    </row>
    <row r="2292" spans="1:10" s="165" customFormat="1">
      <c r="A2292" s="172"/>
      <c r="B2292" s="552"/>
      <c r="C2292" s="553"/>
      <c r="D2292" s="554"/>
      <c r="E2292" s="554"/>
      <c r="F2292" s="167"/>
      <c r="G2292" s="474"/>
      <c r="H2292" s="474"/>
      <c r="J2292" s="555"/>
    </row>
    <row r="2293" spans="1:10" s="165" customFormat="1">
      <c r="A2293" s="172"/>
      <c r="B2293" s="552"/>
      <c r="C2293" s="553"/>
      <c r="D2293" s="554"/>
      <c r="E2293" s="554"/>
      <c r="F2293" s="167"/>
      <c r="G2293" s="474"/>
      <c r="H2293" s="474"/>
      <c r="J2293" s="555"/>
    </row>
    <row r="2294" spans="1:10" s="165" customFormat="1">
      <c r="A2294" s="172"/>
      <c r="B2294" s="552"/>
      <c r="C2294" s="553"/>
      <c r="D2294" s="554"/>
      <c r="E2294" s="554"/>
      <c r="F2294" s="167"/>
      <c r="G2294" s="474"/>
      <c r="H2294" s="474"/>
      <c r="J2294" s="555"/>
    </row>
    <row r="2295" spans="1:10" s="165" customFormat="1">
      <c r="A2295" s="172"/>
      <c r="B2295" s="552"/>
      <c r="C2295" s="553"/>
      <c r="D2295" s="554"/>
      <c r="E2295" s="554"/>
      <c r="F2295" s="167"/>
      <c r="G2295" s="474"/>
      <c r="H2295" s="474"/>
      <c r="J2295" s="555"/>
    </row>
    <row r="2296" spans="1:10" s="165" customFormat="1">
      <c r="A2296" s="172"/>
      <c r="B2296" s="552"/>
      <c r="C2296" s="553"/>
      <c r="D2296" s="554"/>
      <c r="E2296" s="554"/>
      <c r="F2296" s="167"/>
      <c r="G2296" s="474"/>
      <c r="H2296" s="474"/>
      <c r="J2296" s="555"/>
    </row>
    <row r="2297" spans="1:10" s="165" customFormat="1">
      <c r="A2297" s="172"/>
      <c r="B2297" s="552"/>
      <c r="C2297" s="553"/>
      <c r="D2297" s="554"/>
      <c r="E2297" s="554"/>
      <c r="F2297" s="167"/>
      <c r="G2297" s="474"/>
      <c r="H2297" s="474"/>
      <c r="J2297" s="555"/>
    </row>
    <row r="2298" spans="1:10" s="165" customFormat="1">
      <c r="A2298" s="172"/>
      <c r="B2298" s="552"/>
      <c r="C2298" s="553"/>
      <c r="D2298" s="554"/>
      <c r="E2298" s="554"/>
      <c r="F2298" s="167"/>
      <c r="G2298" s="474"/>
      <c r="H2298" s="474"/>
      <c r="J2298" s="555"/>
    </row>
    <row r="2299" spans="1:10" s="165" customFormat="1">
      <c r="A2299" s="172"/>
      <c r="B2299" s="552"/>
      <c r="C2299" s="553"/>
      <c r="D2299" s="554"/>
      <c r="E2299" s="554"/>
      <c r="F2299" s="167"/>
      <c r="G2299" s="474"/>
      <c r="H2299" s="474"/>
      <c r="J2299" s="555"/>
    </row>
    <row r="2300" spans="1:10" s="165" customFormat="1">
      <c r="A2300" s="172"/>
      <c r="B2300" s="552"/>
      <c r="C2300" s="553"/>
      <c r="D2300" s="554"/>
      <c r="E2300" s="554"/>
      <c r="F2300" s="167"/>
      <c r="G2300" s="474"/>
      <c r="H2300" s="474"/>
      <c r="J2300" s="555"/>
    </row>
    <row r="2301" spans="1:10" s="165" customFormat="1">
      <c r="A2301" s="172"/>
      <c r="B2301" s="552"/>
      <c r="C2301" s="553"/>
      <c r="D2301" s="554"/>
      <c r="E2301" s="554"/>
      <c r="F2301" s="167"/>
      <c r="G2301" s="474"/>
      <c r="H2301" s="474"/>
      <c r="J2301" s="555"/>
    </row>
    <row r="2302" spans="1:10" s="165" customFormat="1">
      <c r="A2302" s="172"/>
      <c r="B2302" s="552"/>
      <c r="C2302" s="553"/>
      <c r="D2302" s="554"/>
      <c r="E2302" s="554"/>
      <c r="F2302" s="167"/>
      <c r="G2302" s="474"/>
      <c r="H2302" s="474"/>
      <c r="J2302" s="555"/>
    </row>
    <row r="2303" spans="1:10" s="165" customFormat="1">
      <c r="A2303" s="172"/>
      <c r="B2303" s="552"/>
      <c r="C2303" s="553"/>
      <c r="D2303" s="554"/>
      <c r="E2303" s="554"/>
      <c r="F2303" s="167"/>
      <c r="G2303" s="474"/>
      <c r="H2303" s="474"/>
      <c r="J2303" s="555"/>
    </row>
    <row r="2304" spans="1:10" s="165" customFormat="1">
      <c r="A2304" s="172"/>
      <c r="B2304" s="552"/>
      <c r="C2304" s="553"/>
      <c r="D2304" s="554"/>
      <c r="E2304" s="554"/>
      <c r="F2304" s="167"/>
      <c r="G2304" s="474"/>
      <c r="H2304" s="474"/>
      <c r="J2304" s="555"/>
    </row>
    <row r="2305" spans="1:10" s="165" customFormat="1">
      <c r="A2305" s="172"/>
      <c r="B2305" s="552"/>
      <c r="C2305" s="553"/>
      <c r="D2305" s="554"/>
      <c r="E2305" s="554"/>
      <c r="F2305" s="167"/>
      <c r="G2305" s="474"/>
      <c r="H2305" s="474"/>
      <c r="J2305" s="555"/>
    </row>
    <row r="2306" spans="1:10" s="165" customFormat="1">
      <c r="A2306" s="172"/>
      <c r="B2306" s="552"/>
      <c r="C2306" s="553"/>
      <c r="D2306" s="554"/>
      <c r="E2306" s="554"/>
      <c r="F2306" s="167"/>
      <c r="G2306" s="474"/>
      <c r="H2306" s="474"/>
      <c r="J2306" s="555"/>
    </row>
    <row r="2307" spans="1:10" s="165" customFormat="1">
      <c r="A2307" s="172"/>
      <c r="B2307" s="552"/>
      <c r="C2307" s="553"/>
      <c r="D2307" s="554"/>
      <c r="E2307" s="554"/>
      <c r="F2307" s="167"/>
      <c r="G2307" s="474"/>
      <c r="H2307" s="474"/>
      <c r="J2307" s="555"/>
    </row>
    <row r="2308" spans="1:10" s="165" customFormat="1">
      <c r="A2308" s="172"/>
      <c r="B2308" s="552"/>
      <c r="C2308" s="553"/>
      <c r="D2308" s="554"/>
      <c r="E2308" s="554"/>
      <c r="F2308" s="167"/>
      <c r="G2308" s="474"/>
      <c r="H2308" s="474"/>
      <c r="J2308" s="555"/>
    </row>
    <row r="2309" spans="1:10" s="165" customFormat="1">
      <c r="A2309" s="172"/>
      <c r="B2309" s="552"/>
      <c r="C2309" s="553"/>
      <c r="D2309" s="554"/>
      <c r="E2309" s="554"/>
      <c r="F2309" s="167"/>
      <c r="G2309" s="474"/>
      <c r="H2309" s="474"/>
      <c r="J2309" s="555"/>
    </row>
    <row r="2310" spans="1:10" s="165" customFormat="1">
      <c r="A2310" s="172"/>
      <c r="B2310" s="552"/>
      <c r="C2310" s="553"/>
      <c r="D2310" s="554"/>
      <c r="E2310" s="554"/>
      <c r="F2310" s="167"/>
      <c r="G2310" s="474"/>
      <c r="H2310" s="474"/>
      <c r="J2310" s="555"/>
    </row>
    <row r="2311" spans="1:10" s="165" customFormat="1">
      <c r="A2311" s="172"/>
      <c r="B2311" s="552"/>
      <c r="C2311" s="553"/>
      <c r="D2311" s="554"/>
      <c r="E2311" s="554"/>
      <c r="F2311" s="167"/>
      <c r="G2311" s="474"/>
      <c r="H2311" s="474"/>
      <c r="J2311" s="555"/>
    </row>
    <row r="2312" spans="1:10" s="165" customFormat="1">
      <c r="A2312" s="172"/>
      <c r="B2312" s="552"/>
      <c r="C2312" s="553"/>
      <c r="D2312" s="554"/>
      <c r="E2312" s="554"/>
      <c r="F2312" s="167"/>
      <c r="G2312" s="474"/>
      <c r="H2312" s="474"/>
      <c r="J2312" s="555"/>
    </row>
    <row r="2313" spans="1:10" s="165" customFormat="1">
      <c r="A2313" s="172"/>
      <c r="B2313" s="552"/>
      <c r="C2313" s="553"/>
      <c r="D2313" s="554"/>
      <c r="E2313" s="554"/>
      <c r="F2313" s="167"/>
      <c r="G2313" s="474"/>
      <c r="H2313" s="474"/>
      <c r="J2313" s="555"/>
    </row>
    <row r="2314" spans="1:10" s="165" customFormat="1">
      <c r="A2314" s="172"/>
      <c r="B2314" s="552"/>
      <c r="C2314" s="553"/>
      <c r="D2314" s="554"/>
      <c r="E2314" s="554"/>
      <c r="F2314" s="167"/>
      <c r="G2314" s="474"/>
      <c r="H2314" s="474"/>
      <c r="J2314" s="555"/>
    </row>
    <row r="2315" spans="1:10" s="165" customFormat="1">
      <c r="A2315" s="172"/>
      <c r="B2315" s="552"/>
      <c r="C2315" s="553"/>
      <c r="D2315" s="554"/>
      <c r="E2315" s="554"/>
      <c r="F2315" s="167"/>
      <c r="G2315" s="474"/>
      <c r="H2315" s="474"/>
      <c r="J2315" s="555"/>
    </row>
    <row r="2316" spans="1:10" s="165" customFormat="1">
      <c r="A2316" s="172"/>
      <c r="B2316" s="552"/>
      <c r="C2316" s="553"/>
      <c r="D2316" s="554"/>
      <c r="E2316" s="554"/>
      <c r="F2316" s="167"/>
      <c r="G2316" s="474"/>
      <c r="H2316" s="474"/>
      <c r="J2316" s="555"/>
    </row>
    <row r="2317" spans="1:10" s="165" customFormat="1">
      <c r="A2317" s="172"/>
      <c r="B2317" s="552"/>
      <c r="C2317" s="553"/>
      <c r="D2317" s="554"/>
      <c r="E2317" s="554"/>
      <c r="F2317" s="167"/>
      <c r="G2317" s="474"/>
      <c r="H2317" s="474"/>
      <c r="J2317" s="555"/>
    </row>
    <row r="2318" spans="1:10" s="165" customFormat="1">
      <c r="A2318" s="172"/>
      <c r="B2318" s="552"/>
      <c r="C2318" s="553"/>
      <c r="D2318" s="554"/>
      <c r="E2318" s="554"/>
      <c r="F2318" s="167"/>
      <c r="G2318" s="474"/>
      <c r="H2318" s="474"/>
      <c r="J2318" s="555"/>
    </row>
    <row r="2319" spans="1:10" s="165" customFormat="1">
      <c r="A2319" s="172"/>
      <c r="B2319" s="552"/>
      <c r="C2319" s="553"/>
      <c r="D2319" s="554"/>
      <c r="E2319" s="554"/>
      <c r="F2319" s="167"/>
      <c r="G2319" s="474"/>
      <c r="H2319" s="474"/>
      <c r="J2319" s="555"/>
    </row>
    <row r="2320" spans="1:10" s="165" customFormat="1">
      <c r="A2320" s="172"/>
      <c r="B2320" s="552"/>
      <c r="C2320" s="553"/>
      <c r="D2320" s="554"/>
      <c r="E2320" s="554"/>
      <c r="F2320" s="167"/>
      <c r="G2320" s="474"/>
      <c r="H2320" s="474"/>
      <c r="J2320" s="555"/>
    </row>
    <row r="2321" spans="1:10" s="165" customFormat="1">
      <c r="A2321" s="172"/>
      <c r="B2321" s="552"/>
      <c r="C2321" s="553"/>
      <c r="D2321" s="554"/>
      <c r="E2321" s="554"/>
      <c r="F2321" s="167"/>
      <c r="G2321" s="474"/>
      <c r="H2321" s="474"/>
      <c r="J2321" s="555"/>
    </row>
    <row r="2322" spans="1:10" s="165" customFormat="1">
      <c r="A2322" s="172"/>
      <c r="B2322" s="552"/>
      <c r="C2322" s="553"/>
      <c r="D2322" s="554"/>
      <c r="E2322" s="554"/>
      <c r="F2322" s="167"/>
      <c r="G2322" s="474"/>
      <c r="H2322" s="474"/>
      <c r="J2322" s="555"/>
    </row>
    <row r="2323" spans="1:10" s="165" customFormat="1">
      <c r="A2323" s="172"/>
      <c r="B2323" s="552"/>
      <c r="C2323" s="553"/>
      <c r="D2323" s="554"/>
      <c r="E2323" s="554"/>
      <c r="F2323" s="167"/>
      <c r="G2323" s="474"/>
      <c r="H2323" s="474"/>
      <c r="J2323" s="555"/>
    </row>
    <row r="2324" spans="1:10" s="165" customFormat="1">
      <c r="A2324" s="172"/>
      <c r="B2324" s="552"/>
      <c r="C2324" s="553"/>
      <c r="D2324" s="554"/>
      <c r="E2324" s="554"/>
      <c r="F2324" s="167"/>
      <c r="G2324" s="474"/>
      <c r="H2324" s="474"/>
      <c r="J2324" s="555"/>
    </row>
    <row r="2325" spans="1:10" s="165" customFormat="1">
      <c r="A2325" s="172"/>
      <c r="B2325" s="552"/>
      <c r="C2325" s="553"/>
      <c r="D2325" s="554"/>
      <c r="E2325" s="554"/>
      <c r="F2325" s="167"/>
      <c r="G2325" s="474"/>
      <c r="H2325" s="474"/>
      <c r="J2325" s="555"/>
    </row>
    <row r="2326" spans="1:10" s="165" customFormat="1">
      <c r="A2326" s="172"/>
      <c r="B2326" s="552"/>
      <c r="C2326" s="553"/>
      <c r="D2326" s="554"/>
      <c r="E2326" s="554"/>
      <c r="F2326" s="167"/>
      <c r="G2326" s="474"/>
      <c r="H2326" s="474"/>
      <c r="J2326" s="555"/>
    </row>
    <row r="2327" spans="1:10" s="165" customFormat="1">
      <c r="A2327" s="172"/>
      <c r="B2327" s="552"/>
      <c r="C2327" s="553"/>
      <c r="D2327" s="554"/>
      <c r="E2327" s="554"/>
      <c r="F2327" s="167"/>
      <c r="G2327" s="474"/>
      <c r="H2327" s="474"/>
      <c r="J2327" s="555"/>
    </row>
    <row r="2328" spans="1:10" s="165" customFormat="1">
      <c r="A2328" s="172"/>
      <c r="B2328" s="552"/>
      <c r="C2328" s="553"/>
      <c r="D2328" s="554"/>
      <c r="E2328" s="554"/>
      <c r="F2328" s="167"/>
      <c r="G2328" s="474"/>
      <c r="H2328" s="474"/>
      <c r="J2328" s="555"/>
    </row>
    <row r="2329" spans="1:10" s="165" customFormat="1">
      <c r="A2329" s="172"/>
      <c r="B2329" s="552"/>
      <c r="C2329" s="553"/>
      <c r="D2329" s="554"/>
      <c r="E2329" s="554"/>
      <c r="F2329" s="167"/>
      <c r="G2329" s="474"/>
      <c r="H2329" s="474"/>
      <c r="J2329" s="555"/>
    </row>
    <row r="2330" spans="1:10" s="165" customFormat="1">
      <c r="A2330" s="172"/>
      <c r="B2330" s="552"/>
      <c r="C2330" s="553"/>
      <c r="D2330" s="554"/>
      <c r="E2330" s="554"/>
      <c r="F2330" s="167"/>
      <c r="G2330" s="474"/>
      <c r="H2330" s="474"/>
      <c r="J2330" s="555"/>
    </row>
    <row r="2331" spans="1:10" s="165" customFormat="1">
      <c r="A2331" s="172"/>
      <c r="B2331" s="552"/>
      <c r="C2331" s="553"/>
      <c r="D2331" s="554"/>
      <c r="E2331" s="554"/>
      <c r="F2331" s="167"/>
      <c r="G2331" s="474"/>
      <c r="H2331" s="474"/>
      <c r="J2331" s="555"/>
    </row>
    <row r="2332" spans="1:10" s="165" customFormat="1">
      <c r="A2332" s="172"/>
      <c r="B2332" s="552"/>
      <c r="C2332" s="553"/>
      <c r="D2332" s="554"/>
      <c r="E2332" s="554"/>
      <c r="F2332" s="167"/>
      <c r="G2332" s="474"/>
      <c r="H2332" s="474"/>
      <c r="J2332" s="555"/>
    </row>
    <row r="2333" spans="1:10" s="165" customFormat="1">
      <c r="A2333" s="172"/>
      <c r="B2333" s="552"/>
      <c r="C2333" s="553"/>
      <c r="D2333" s="554"/>
      <c r="E2333" s="554"/>
      <c r="F2333" s="167"/>
      <c r="G2333" s="474"/>
      <c r="H2333" s="474"/>
      <c r="J2333" s="555"/>
    </row>
    <row r="2334" spans="1:10" s="165" customFormat="1">
      <c r="A2334" s="172"/>
      <c r="B2334" s="552"/>
      <c r="C2334" s="553"/>
      <c r="D2334" s="554"/>
      <c r="E2334" s="554"/>
      <c r="F2334" s="167"/>
      <c r="G2334" s="474"/>
      <c r="H2334" s="474"/>
      <c r="J2334" s="555"/>
    </row>
    <row r="2335" spans="1:10" s="165" customFormat="1">
      <c r="A2335" s="172"/>
      <c r="B2335" s="552"/>
      <c r="C2335" s="553"/>
      <c r="D2335" s="554"/>
      <c r="E2335" s="554"/>
      <c r="F2335" s="167"/>
      <c r="G2335" s="474"/>
      <c r="H2335" s="474"/>
      <c r="J2335" s="555"/>
    </row>
    <row r="2336" spans="1:10" s="165" customFormat="1">
      <c r="A2336" s="172"/>
      <c r="B2336" s="552"/>
      <c r="C2336" s="553"/>
      <c r="D2336" s="554"/>
      <c r="E2336" s="554"/>
      <c r="F2336" s="167"/>
      <c r="G2336" s="474"/>
      <c r="H2336" s="474"/>
      <c r="J2336" s="555"/>
    </row>
    <row r="2337" spans="1:10" s="165" customFormat="1">
      <c r="A2337" s="172"/>
      <c r="B2337" s="552"/>
      <c r="C2337" s="553"/>
      <c r="D2337" s="554"/>
      <c r="E2337" s="554"/>
      <c r="F2337" s="167"/>
      <c r="G2337" s="474"/>
      <c r="H2337" s="474"/>
      <c r="J2337" s="555"/>
    </row>
    <row r="2338" spans="1:10" s="165" customFormat="1">
      <c r="A2338" s="172"/>
      <c r="B2338" s="552"/>
      <c r="C2338" s="553"/>
      <c r="D2338" s="554"/>
      <c r="E2338" s="554"/>
      <c r="F2338" s="167"/>
      <c r="G2338" s="474"/>
      <c r="H2338" s="474"/>
      <c r="J2338" s="555"/>
    </row>
    <row r="2339" spans="1:10" s="165" customFormat="1">
      <c r="A2339" s="172"/>
      <c r="B2339" s="552"/>
      <c r="C2339" s="553"/>
      <c r="D2339" s="554"/>
      <c r="E2339" s="554"/>
      <c r="F2339" s="167"/>
      <c r="G2339" s="474"/>
      <c r="H2339" s="474"/>
      <c r="J2339" s="555"/>
    </row>
    <row r="2340" spans="1:10" s="165" customFormat="1">
      <c r="A2340" s="172"/>
      <c r="B2340" s="552"/>
      <c r="C2340" s="553"/>
      <c r="D2340" s="554"/>
      <c r="E2340" s="554"/>
      <c r="F2340" s="167"/>
      <c r="G2340" s="474"/>
      <c r="H2340" s="474"/>
      <c r="J2340" s="555"/>
    </row>
    <row r="2341" spans="1:10" s="165" customFormat="1">
      <c r="A2341" s="172"/>
      <c r="B2341" s="552"/>
      <c r="C2341" s="553"/>
      <c r="D2341" s="554"/>
      <c r="E2341" s="554"/>
      <c r="F2341" s="167"/>
      <c r="G2341" s="474"/>
      <c r="H2341" s="474"/>
      <c r="J2341" s="555"/>
    </row>
    <row r="2342" spans="1:10" s="165" customFormat="1">
      <c r="A2342" s="172"/>
      <c r="B2342" s="552"/>
      <c r="C2342" s="553"/>
      <c r="D2342" s="554"/>
      <c r="E2342" s="554"/>
      <c r="F2342" s="167"/>
      <c r="G2342" s="474"/>
      <c r="H2342" s="474"/>
      <c r="J2342" s="555"/>
    </row>
    <row r="2343" spans="1:10" s="165" customFormat="1">
      <c r="A2343" s="172"/>
      <c r="B2343" s="552"/>
      <c r="C2343" s="553"/>
      <c r="D2343" s="554"/>
      <c r="E2343" s="554"/>
      <c r="F2343" s="167"/>
      <c r="G2343" s="474"/>
      <c r="H2343" s="474"/>
      <c r="J2343" s="555"/>
    </row>
    <row r="2344" spans="1:10" s="165" customFormat="1">
      <c r="A2344" s="172"/>
      <c r="B2344" s="552"/>
      <c r="C2344" s="553"/>
      <c r="D2344" s="554"/>
      <c r="E2344" s="554"/>
      <c r="F2344" s="167"/>
      <c r="G2344" s="474"/>
      <c r="H2344" s="474"/>
      <c r="J2344" s="555"/>
    </row>
    <row r="2345" spans="1:10" s="165" customFormat="1">
      <c r="A2345" s="172"/>
      <c r="B2345" s="552"/>
      <c r="C2345" s="553"/>
      <c r="D2345" s="554"/>
      <c r="E2345" s="554"/>
      <c r="F2345" s="167"/>
      <c r="G2345" s="474"/>
      <c r="H2345" s="474"/>
      <c r="J2345" s="555"/>
    </row>
    <row r="2346" spans="1:10" s="165" customFormat="1">
      <c r="A2346" s="172"/>
      <c r="B2346" s="552"/>
      <c r="C2346" s="553"/>
      <c r="D2346" s="554"/>
      <c r="E2346" s="554"/>
      <c r="F2346" s="167"/>
      <c r="G2346" s="474"/>
      <c r="H2346" s="474"/>
      <c r="J2346" s="555"/>
    </row>
    <row r="2347" spans="1:10" s="165" customFormat="1">
      <c r="A2347" s="172"/>
      <c r="B2347" s="552"/>
      <c r="C2347" s="553"/>
      <c r="D2347" s="554"/>
      <c r="E2347" s="554"/>
      <c r="F2347" s="167"/>
      <c r="G2347" s="474"/>
      <c r="H2347" s="474"/>
      <c r="J2347" s="555"/>
    </row>
    <row r="2348" spans="1:10" s="165" customFormat="1">
      <c r="A2348" s="172"/>
      <c r="B2348" s="552"/>
      <c r="C2348" s="553"/>
      <c r="D2348" s="554"/>
      <c r="E2348" s="554"/>
      <c r="F2348" s="167"/>
      <c r="G2348" s="474"/>
      <c r="H2348" s="474"/>
      <c r="J2348" s="555"/>
    </row>
    <row r="2349" spans="1:10" s="165" customFormat="1">
      <c r="A2349" s="172"/>
      <c r="B2349" s="552"/>
      <c r="C2349" s="553"/>
      <c r="D2349" s="554"/>
      <c r="E2349" s="554"/>
      <c r="F2349" s="167"/>
      <c r="G2349" s="474"/>
      <c r="H2349" s="474"/>
      <c r="J2349" s="555"/>
    </row>
    <row r="2350" spans="1:10" s="165" customFormat="1">
      <c r="A2350" s="172"/>
      <c r="B2350" s="552"/>
      <c r="C2350" s="553"/>
      <c r="D2350" s="554"/>
      <c r="E2350" s="554"/>
      <c r="F2350" s="167"/>
      <c r="G2350" s="474"/>
      <c r="H2350" s="474"/>
      <c r="J2350" s="555"/>
    </row>
    <row r="2351" spans="1:10" s="165" customFormat="1">
      <c r="A2351" s="172"/>
      <c r="B2351" s="552"/>
      <c r="C2351" s="553"/>
      <c r="D2351" s="554"/>
      <c r="E2351" s="554"/>
      <c r="F2351" s="167"/>
      <c r="G2351" s="474"/>
      <c r="H2351" s="474"/>
      <c r="J2351" s="555"/>
    </row>
    <row r="2352" spans="1:10" s="165" customFormat="1">
      <c r="A2352" s="172"/>
      <c r="B2352" s="552"/>
      <c r="C2352" s="553"/>
      <c r="D2352" s="554"/>
      <c r="E2352" s="554"/>
      <c r="F2352" s="167"/>
      <c r="G2352" s="474"/>
      <c r="H2352" s="474"/>
      <c r="J2352" s="555"/>
    </row>
    <row r="2353" spans="1:10" s="165" customFormat="1">
      <c r="A2353" s="172"/>
      <c r="B2353" s="552"/>
      <c r="C2353" s="553"/>
      <c r="D2353" s="554"/>
      <c r="E2353" s="554"/>
      <c r="F2353" s="167"/>
      <c r="G2353" s="474"/>
      <c r="H2353" s="474"/>
      <c r="J2353" s="555"/>
    </row>
    <row r="2354" spans="1:10" s="165" customFormat="1">
      <c r="A2354" s="172"/>
      <c r="B2354" s="552"/>
      <c r="C2354" s="553"/>
      <c r="D2354" s="554"/>
      <c r="E2354" s="554"/>
      <c r="F2354" s="167"/>
      <c r="G2354" s="474"/>
      <c r="H2354" s="474"/>
      <c r="J2354" s="555"/>
    </row>
    <row r="2355" spans="1:10" s="165" customFormat="1">
      <c r="A2355" s="172"/>
      <c r="B2355" s="552"/>
      <c r="C2355" s="553"/>
      <c r="D2355" s="554"/>
      <c r="E2355" s="554"/>
      <c r="F2355" s="167"/>
      <c r="G2355" s="474"/>
      <c r="H2355" s="474"/>
      <c r="J2355" s="555"/>
    </row>
    <row r="2356" spans="1:10" s="165" customFormat="1">
      <c r="A2356" s="172"/>
      <c r="B2356" s="552"/>
      <c r="C2356" s="553"/>
      <c r="D2356" s="554"/>
      <c r="E2356" s="554"/>
      <c r="F2356" s="167"/>
      <c r="G2356" s="474"/>
      <c r="H2356" s="474"/>
      <c r="J2356" s="555"/>
    </row>
    <row r="2357" spans="1:10" s="165" customFormat="1">
      <c r="A2357" s="172"/>
      <c r="B2357" s="552"/>
      <c r="C2357" s="553"/>
      <c r="D2357" s="554"/>
      <c r="E2357" s="554"/>
      <c r="F2357" s="167"/>
      <c r="G2357" s="474"/>
      <c r="H2357" s="474"/>
      <c r="J2357" s="555"/>
    </row>
    <row r="2358" spans="1:10" s="165" customFormat="1">
      <c r="A2358" s="172"/>
      <c r="B2358" s="552"/>
      <c r="C2358" s="553"/>
      <c r="D2358" s="554"/>
      <c r="E2358" s="554"/>
      <c r="F2358" s="167"/>
      <c r="G2358" s="474"/>
      <c r="H2358" s="474"/>
      <c r="J2358" s="555"/>
    </row>
    <row r="2359" spans="1:10" s="165" customFormat="1">
      <c r="A2359" s="172"/>
      <c r="B2359" s="552"/>
      <c r="C2359" s="553"/>
      <c r="D2359" s="554"/>
      <c r="E2359" s="554"/>
      <c r="F2359" s="167"/>
      <c r="G2359" s="474"/>
      <c r="H2359" s="474"/>
      <c r="J2359" s="555"/>
    </row>
    <row r="2360" spans="1:10" s="165" customFormat="1">
      <c r="A2360" s="172"/>
      <c r="B2360" s="552"/>
      <c r="C2360" s="553"/>
      <c r="D2360" s="554"/>
      <c r="E2360" s="554"/>
      <c r="F2360" s="167"/>
      <c r="G2360" s="474"/>
      <c r="H2360" s="474"/>
      <c r="J2360" s="555"/>
    </row>
    <row r="2361" spans="1:10" s="165" customFormat="1">
      <c r="A2361" s="172"/>
      <c r="B2361" s="552"/>
      <c r="C2361" s="553"/>
      <c r="D2361" s="554"/>
      <c r="E2361" s="554"/>
      <c r="F2361" s="167"/>
      <c r="G2361" s="474"/>
      <c r="H2361" s="474"/>
      <c r="J2361" s="555"/>
    </row>
    <row r="2362" spans="1:10" s="165" customFormat="1">
      <c r="A2362" s="172"/>
      <c r="B2362" s="552"/>
      <c r="C2362" s="553"/>
      <c r="D2362" s="554"/>
      <c r="E2362" s="554"/>
      <c r="F2362" s="167"/>
      <c r="G2362" s="474"/>
      <c r="H2362" s="474"/>
      <c r="J2362" s="555"/>
    </row>
    <row r="2363" spans="1:10" s="165" customFormat="1">
      <c r="A2363" s="172"/>
      <c r="B2363" s="552"/>
      <c r="C2363" s="553"/>
      <c r="D2363" s="554"/>
      <c r="E2363" s="554"/>
      <c r="F2363" s="167"/>
      <c r="G2363" s="474"/>
      <c r="H2363" s="474"/>
      <c r="J2363" s="555"/>
    </row>
    <row r="2364" spans="1:10" s="165" customFormat="1">
      <c r="A2364" s="172"/>
      <c r="B2364" s="552"/>
      <c r="C2364" s="553"/>
      <c r="D2364" s="554"/>
      <c r="E2364" s="554"/>
      <c r="F2364" s="167"/>
      <c r="G2364" s="474"/>
      <c r="H2364" s="474"/>
      <c r="J2364" s="555"/>
    </row>
    <row r="2365" spans="1:10" s="165" customFormat="1">
      <c r="A2365" s="172"/>
      <c r="B2365" s="552"/>
      <c r="C2365" s="553"/>
      <c r="D2365" s="554"/>
      <c r="E2365" s="554"/>
      <c r="F2365" s="167"/>
      <c r="G2365" s="474"/>
      <c r="H2365" s="474"/>
      <c r="J2365" s="555"/>
    </row>
    <row r="2366" spans="1:10" s="165" customFormat="1">
      <c r="A2366" s="172"/>
      <c r="B2366" s="552"/>
      <c r="C2366" s="553"/>
      <c r="D2366" s="554"/>
      <c r="E2366" s="554"/>
      <c r="F2366" s="167"/>
      <c r="G2366" s="474"/>
      <c r="H2366" s="474"/>
      <c r="J2366" s="555"/>
    </row>
    <row r="2367" spans="1:10" s="165" customFormat="1">
      <c r="A2367" s="172"/>
      <c r="B2367" s="552"/>
      <c r="C2367" s="553"/>
      <c r="D2367" s="554"/>
      <c r="E2367" s="554"/>
      <c r="F2367" s="167"/>
      <c r="G2367" s="474"/>
      <c r="H2367" s="474"/>
      <c r="J2367" s="555"/>
    </row>
    <row r="2368" spans="1:10" s="165" customFormat="1">
      <c r="A2368" s="172"/>
      <c r="B2368" s="552"/>
      <c r="C2368" s="553"/>
      <c r="D2368" s="554"/>
      <c r="E2368" s="554"/>
      <c r="F2368" s="167"/>
      <c r="G2368" s="474"/>
      <c r="H2368" s="474"/>
      <c r="J2368" s="555"/>
    </row>
    <row r="2369" spans="1:10" s="165" customFormat="1">
      <c r="A2369" s="172"/>
      <c r="B2369" s="552"/>
      <c r="C2369" s="553"/>
      <c r="D2369" s="554"/>
      <c r="E2369" s="554"/>
      <c r="F2369" s="167"/>
      <c r="G2369" s="474"/>
      <c r="H2369" s="474"/>
      <c r="J2369" s="555"/>
    </row>
    <row r="2370" spans="1:10" s="165" customFormat="1">
      <c r="A2370" s="172"/>
      <c r="B2370" s="552"/>
      <c r="C2370" s="553"/>
      <c r="D2370" s="554"/>
      <c r="E2370" s="554"/>
      <c r="F2370" s="167"/>
      <c r="G2370" s="474"/>
      <c r="H2370" s="474"/>
      <c r="J2370" s="555"/>
    </row>
    <row r="2371" spans="1:10" s="165" customFormat="1">
      <c r="A2371" s="172"/>
      <c r="B2371" s="552"/>
      <c r="C2371" s="553"/>
      <c r="D2371" s="554"/>
      <c r="E2371" s="554"/>
      <c r="F2371" s="167"/>
      <c r="G2371" s="474"/>
      <c r="H2371" s="474"/>
      <c r="J2371" s="555"/>
    </row>
    <row r="2372" spans="1:10" s="165" customFormat="1">
      <c r="A2372" s="172"/>
      <c r="B2372" s="552"/>
      <c r="C2372" s="553"/>
      <c r="D2372" s="554"/>
      <c r="E2372" s="554"/>
      <c r="F2372" s="167"/>
      <c r="G2372" s="474"/>
      <c r="H2372" s="474"/>
      <c r="J2372" s="555"/>
    </row>
    <row r="2373" spans="1:10" s="165" customFormat="1">
      <c r="A2373" s="172"/>
      <c r="B2373" s="552"/>
      <c r="C2373" s="553"/>
      <c r="D2373" s="554"/>
      <c r="E2373" s="554"/>
      <c r="F2373" s="167"/>
      <c r="G2373" s="474"/>
      <c r="H2373" s="474"/>
      <c r="J2373" s="555"/>
    </row>
    <row r="2374" spans="1:10" s="165" customFormat="1">
      <c r="A2374" s="172"/>
      <c r="B2374" s="552"/>
      <c r="C2374" s="553"/>
      <c r="D2374" s="554"/>
      <c r="E2374" s="554"/>
      <c r="F2374" s="167"/>
      <c r="G2374" s="474"/>
      <c r="H2374" s="474"/>
      <c r="J2374" s="555"/>
    </row>
    <row r="2375" spans="1:10" s="165" customFormat="1">
      <c r="A2375" s="172"/>
      <c r="B2375" s="552"/>
      <c r="C2375" s="553"/>
      <c r="D2375" s="554"/>
      <c r="E2375" s="554"/>
      <c r="F2375" s="167"/>
      <c r="G2375" s="474"/>
      <c r="H2375" s="474"/>
      <c r="J2375" s="555"/>
    </row>
    <row r="2376" spans="1:10" s="165" customFormat="1">
      <c r="A2376" s="172"/>
      <c r="B2376" s="552"/>
      <c r="C2376" s="553"/>
      <c r="D2376" s="554"/>
      <c r="E2376" s="554"/>
      <c r="F2376" s="167"/>
      <c r="G2376" s="474"/>
      <c r="H2376" s="474"/>
      <c r="J2376" s="555"/>
    </row>
    <row r="2377" spans="1:10" s="165" customFormat="1">
      <c r="A2377" s="172"/>
      <c r="B2377" s="552"/>
      <c r="C2377" s="553"/>
      <c r="D2377" s="554"/>
      <c r="E2377" s="554"/>
      <c r="F2377" s="167"/>
      <c r="G2377" s="474"/>
      <c r="H2377" s="474"/>
      <c r="J2377" s="555"/>
    </row>
    <row r="2378" spans="1:10" s="165" customFormat="1">
      <c r="A2378" s="172"/>
      <c r="B2378" s="552"/>
      <c r="C2378" s="553"/>
      <c r="D2378" s="554"/>
      <c r="E2378" s="554"/>
      <c r="F2378" s="167"/>
      <c r="G2378" s="474"/>
      <c r="H2378" s="474"/>
      <c r="J2378" s="555"/>
    </row>
    <row r="2379" spans="1:10" s="165" customFormat="1">
      <c r="A2379" s="172"/>
      <c r="B2379" s="552"/>
      <c r="C2379" s="553"/>
      <c r="D2379" s="554"/>
      <c r="E2379" s="554"/>
      <c r="F2379" s="167"/>
      <c r="G2379" s="474"/>
      <c r="H2379" s="474"/>
      <c r="J2379" s="555"/>
    </row>
    <row r="2380" spans="1:10" s="165" customFormat="1">
      <c r="A2380" s="172"/>
      <c r="B2380" s="552"/>
      <c r="C2380" s="553"/>
      <c r="D2380" s="554"/>
      <c r="E2380" s="554"/>
      <c r="F2380" s="167"/>
      <c r="G2380" s="474"/>
      <c r="H2380" s="474"/>
      <c r="J2380" s="555"/>
    </row>
    <row r="2381" spans="1:10" s="165" customFormat="1">
      <c r="A2381" s="172"/>
      <c r="B2381" s="552"/>
      <c r="C2381" s="553"/>
      <c r="D2381" s="554"/>
      <c r="E2381" s="554"/>
      <c r="F2381" s="167"/>
      <c r="G2381" s="474"/>
      <c r="H2381" s="474"/>
      <c r="J2381" s="555"/>
    </row>
    <row r="2382" spans="1:10" s="165" customFormat="1">
      <c r="A2382" s="172"/>
      <c r="B2382" s="552"/>
      <c r="C2382" s="553"/>
      <c r="D2382" s="554"/>
      <c r="E2382" s="554"/>
      <c r="F2382" s="167"/>
      <c r="G2382" s="474"/>
      <c r="H2382" s="474"/>
      <c r="J2382" s="555"/>
    </row>
    <row r="2383" spans="1:10" s="165" customFormat="1">
      <c r="A2383" s="172"/>
      <c r="B2383" s="552"/>
      <c r="C2383" s="553"/>
      <c r="D2383" s="554"/>
      <c r="E2383" s="554"/>
      <c r="F2383" s="167"/>
      <c r="G2383" s="474"/>
      <c r="H2383" s="474"/>
      <c r="J2383" s="555"/>
    </row>
    <row r="2384" spans="1:10" s="165" customFormat="1">
      <c r="A2384" s="172"/>
      <c r="B2384" s="552"/>
      <c r="C2384" s="553"/>
      <c r="D2384" s="554"/>
      <c r="E2384" s="554"/>
      <c r="F2384" s="167"/>
      <c r="G2384" s="474"/>
      <c r="H2384" s="474"/>
      <c r="J2384" s="555"/>
    </row>
    <row r="2385" spans="1:10" s="165" customFormat="1">
      <c r="A2385" s="172"/>
      <c r="B2385" s="552"/>
      <c r="C2385" s="553"/>
      <c r="D2385" s="554"/>
      <c r="E2385" s="554"/>
      <c r="F2385" s="167"/>
      <c r="G2385" s="474"/>
      <c r="H2385" s="474"/>
      <c r="J2385" s="555"/>
    </row>
    <row r="2386" spans="1:10" s="165" customFormat="1">
      <c r="A2386" s="172"/>
      <c r="B2386" s="552"/>
      <c r="C2386" s="553"/>
      <c r="D2386" s="554"/>
      <c r="E2386" s="554"/>
      <c r="F2386" s="167"/>
      <c r="G2386" s="474"/>
      <c r="H2386" s="474"/>
      <c r="J2386" s="555"/>
    </row>
    <row r="2387" spans="1:10" s="165" customFormat="1">
      <c r="A2387" s="172"/>
      <c r="B2387" s="552"/>
      <c r="C2387" s="553"/>
      <c r="D2387" s="554"/>
      <c r="E2387" s="554"/>
      <c r="F2387" s="167"/>
      <c r="G2387" s="474"/>
      <c r="H2387" s="474"/>
      <c r="J2387" s="555"/>
    </row>
    <row r="2388" spans="1:10" s="165" customFormat="1">
      <c r="A2388" s="172"/>
      <c r="B2388" s="552"/>
      <c r="C2388" s="553"/>
      <c r="D2388" s="554"/>
      <c r="E2388" s="554"/>
      <c r="F2388" s="167"/>
      <c r="G2388" s="474"/>
      <c r="H2388" s="474"/>
      <c r="J2388" s="555"/>
    </row>
    <row r="2389" spans="1:10" s="165" customFormat="1">
      <c r="A2389" s="172"/>
      <c r="B2389" s="552"/>
      <c r="C2389" s="553"/>
      <c r="D2389" s="554"/>
      <c r="E2389" s="554"/>
      <c r="F2389" s="167"/>
      <c r="G2389" s="474"/>
      <c r="H2389" s="474"/>
      <c r="J2389" s="555"/>
    </row>
    <row r="2390" spans="1:10" s="165" customFormat="1">
      <c r="A2390" s="172"/>
      <c r="B2390" s="552"/>
      <c r="C2390" s="553"/>
      <c r="D2390" s="554"/>
      <c r="E2390" s="554"/>
      <c r="F2390" s="167"/>
      <c r="G2390" s="474"/>
      <c r="H2390" s="474"/>
      <c r="J2390" s="555"/>
    </row>
    <row r="2391" spans="1:10" s="165" customFormat="1">
      <c r="A2391" s="172"/>
      <c r="B2391" s="552"/>
      <c r="C2391" s="553"/>
      <c r="D2391" s="554"/>
      <c r="E2391" s="554"/>
      <c r="F2391" s="167"/>
      <c r="G2391" s="474"/>
      <c r="H2391" s="474"/>
      <c r="J2391" s="555"/>
    </row>
    <row r="2392" spans="1:10" s="165" customFormat="1">
      <c r="A2392" s="172"/>
      <c r="B2392" s="552"/>
      <c r="C2392" s="553"/>
      <c r="D2392" s="554"/>
      <c r="E2392" s="554"/>
      <c r="F2392" s="167"/>
      <c r="G2392" s="474"/>
      <c r="H2392" s="474"/>
      <c r="J2392" s="555"/>
    </row>
    <row r="2393" spans="1:10" s="165" customFormat="1">
      <c r="A2393" s="172"/>
      <c r="B2393" s="552"/>
      <c r="C2393" s="553"/>
      <c r="D2393" s="554"/>
      <c r="E2393" s="554"/>
      <c r="F2393" s="167"/>
      <c r="G2393" s="474"/>
      <c r="H2393" s="474"/>
      <c r="J2393" s="555"/>
    </row>
    <row r="2394" spans="1:10" s="165" customFormat="1">
      <c r="A2394" s="172"/>
      <c r="B2394" s="552"/>
      <c r="C2394" s="553"/>
      <c r="D2394" s="554"/>
      <c r="E2394" s="554"/>
      <c r="F2394" s="167"/>
      <c r="G2394" s="474"/>
      <c r="H2394" s="474"/>
      <c r="J2394" s="555"/>
    </row>
    <row r="2395" spans="1:10" s="165" customFormat="1">
      <c r="A2395" s="172"/>
      <c r="B2395" s="552"/>
      <c r="C2395" s="553"/>
      <c r="D2395" s="554"/>
      <c r="E2395" s="554"/>
      <c r="F2395" s="167"/>
      <c r="G2395" s="474"/>
      <c r="H2395" s="474"/>
      <c r="J2395" s="555"/>
    </row>
    <row r="2396" spans="1:10" s="165" customFormat="1">
      <c r="A2396" s="172"/>
      <c r="B2396" s="552"/>
      <c r="C2396" s="553"/>
      <c r="D2396" s="554"/>
      <c r="E2396" s="554"/>
      <c r="F2396" s="167"/>
      <c r="G2396" s="474"/>
      <c r="H2396" s="474"/>
      <c r="J2396" s="555"/>
    </row>
    <row r="2397" spans="1:10" s="165" customFormat="1">
      <c r="A2397" s="172"/>
      <c r="B2397" s="552"/>
      <c r="C2397" s="553"/>
      <c r="D2397" s="554"/>
      <c r="E2397" s="554"/>
      <c r="F2397" s="167"/>
      <c r="G2397" s="474"/>
      <c r="H2397" s="474"/>
      <c r="J2397" s="555"/>
    </row>
    <row r="2398" spans="1:10" s="165" customFormat="1">
      <c r="A2398" s="172"/>
      <c r="B2398" s="552"/>
      <c r="C2398" s="553"/>
      <c r="D2398" s="554"/>
      <c r="E2398" s="554"/>
      <c r="F2398" s="167"/>
      <c r="G2398" s="474"/>
      <c r="H2398" s="474"/>
      <c r="J2398" s="555"/>
    </row>
    <row r="2399" spans="1:10" s="165" customFormat="1">
      <c r="A2399" s="172"/>
      <c r="B2399" s="552"/>
      <c r="C2399" s="553"/>
      <c r="D2399" s="554"/>
      <c r="E2399" s="554"/>
      <c r="F2399" s="167"/>
      <c r="G2399" s="474"/>
      <c r="H2399" s="474"/>
      <c r="J2399" s="555"/>
    </row>
    <row r="2400" spans="1:10" s="165" customFormat="1">
      <c r="A2400" s="172"/>
      <c r="B2400" s="552"/>
      <c r="C2400" s="553"/>
      <c r="D2400" s="554"/>
      <c r="E2400" s="554"/>
      <c r="F2400" s="167"/>
      <c r="G2400" s="474"/>
      <c r="H2400" s="474"/>
      <c r="J2400" s="555"/>
    </row>
    <row r="2401" spans="1:10" s="165" customFormat="1">
      <c r="A2401" s="172"/>
      <c r="B2401" s="552"/>
      <c r="C2401" s="553"/>
      <c r="D2401" s="554"/>
      <c r="E2401" s="554"/>
      <c r="F2401" s="167"/>
      <c r="G2401" s="474"/>
      <c r="H2401" s="474"/>
      <c r="J2401" s="555"/>
    </row>
    <row r="2402" spans="1:10" s="165" customFormat="1">
      <c r="A2402" s="172"/>
      <c r="B2402" s="552"/>
      <c r="C2402" s="553"/>
      <c r="D2402" s="554"/>
      <c r="E2402" s="554"/>
      <c r="F2402" s="167"/>
      <c r="G2402" s="474"/>
      <c r="H2402" s="474"/>
      <c r="J2402" s="555"/>
    </row>
    <row r="2403" spans="1:10" s="165" customFormat="1">
      <c r="A2403" s="172"/>
      <c r="B2403" s="552"/>
      <c r="C2403" s="553"/>
      <c r="D2403" s="554"/>
      <c r="E2403" s="554"/>
      <c r="F2403" s="167"/>
      <c r="G2403" s="474"/>
      <c r="H2403" s="474"/>
      <c r="J2403" s="555"/>
    </row>
    <row r="2404" spans="1:10" s="165" customFormat="1">
      <c r="A2404" s="172"/>
      <c r="B2404" s="552"/>
      <c r="C2404" s="553"/>
      <c r="D2404" s="554"/>
      <c r="E2404" s="554"/>
      <c r="F2404" s="167"/>
      <c r="G2404" s="474"/>
      <c r="H2404" s="474"/>
      <c r="J2404" s="555"/>
    </row>
    <row r="2405" spans="1:10" s="165" customFormat="1">
      <c r="A2405" s="172"/>
      <c r="B2405" s="552"/>
      <c r="C2405" s="553"/>
      <c r="D2405" s="554"/>
      <c r="E2405" s="554"/>
      <c r="F2405" s="167"/>
      <c r="G2405" s="474"/>
      <c r="H2405" s="474"/>
      <c r="J2405" s="555"/>
    </row>
    <row r="2406" spans="1:10" s="165" customFormat="1">
      <c r="A2406" s="172"/>
      <c r="B2406" s="552"/>
      <c r="C2406" s="553"/>
      <c r="D2406" s="554"/>
      <c r="E2406" s="554"/>
      <c r="F2406" s="167"/>
      <c r="G2406" s="474"/>
      <c r="H2406" s="474"/>
      <c r="J2406" s="555"/>
    </row>
    <row r="2407" spans="1:10" s="165" customFormat="1">
      <c r="A2407" s="172"/>
      <c r="B2407" s="552"/>
      <c r="C2407" s="553"/>
      <c r="D2407" s="554"/>
      <c r="E2407" s="554"/>
      <c r="F2407" s="167"/>
      <c r="G2407" s="474"/>
      <c r="H2407" s="474"/>
      <c r="J2407" s="555"/>
    </row>
    <row r="2408" spans="1:10" s="165" customFormat="1">
      <c r="A2408" s="172"/>
      <c r="B2408" s="552"/>
      <c r="C2408" s="553"/>
      <c r="D2408" s="554"/>
      <c r="E2408" s="554"/>
      <c r="F2408" s="167"/>
      <c r="G2408" s="474"/>
      <c r="H2408" s="474"/>
      <c r="J2408" s="555"/>
    </row>
    <row r="2409" spans="1:10" s="165" customFormat="1">
      <c r="A2409" s="172"/>
      <c r="B2409" s="552"/>
      <c r="C2409" s="553"/>
      <c r="D2409" s="554"/>
      <c r="E2409" s="554"/>
      <c r="F2409" s="167"/>
      <c r="G2409" s="474"/>
      <c r="H2409" s="474"/>
      <c r="J2409" s="555"/>
    </row>
    <row r="2410" spans="1:10" s="165" customFormat="1">
      <c r="A2410" s="172"/>
      <c r="B2410" s="552"/>
      <c r="C2410" s="553"/>
      <c r="D2410" s="554"/>
      <c r="E2410" s="554"/>
      <c r="F2410" s="167"/>
      <c r="G2410" s="474"/>
      <c r="H2410" s="474"/>
      <c r="J2410" s="555"/>
    </row>
    <row r="2411" spans="1:10" s="165" customFormat="1">
      <c r="A2411" s="172"/>
      <c r="B2411" s="552"/>
      <c r="C2411" s="553"/>
      <c r="D2411" s="554"/>
      <c r="E2411" s="554"/>
      <c r="F2411" s="167"/>
      <c r="G2411" s="474"/>
      <c r="H2411" s="474"/>
      <c r="J2411" s="555"/>
    </row>
    <row r="2412" spans="1:10" s="165" customFormat="1">
      <c r="A2412" s="172"/>
      <c r="B2412" s="552"/>
      <c r="C2412" s="553"/>
      <c r="D2412" s="554"/>
      <c r="E2412" s="554"/>
      <c r="F2412" s="167"/>
      <c r="G2412" s="474"/>
      <c r="H2412" s="474"/>
      <c r="J2412" s="555"/>
    </row>
    <row r="2413" spans="1:10" s="165" customFormat="1">
      <c r="A2413" s="172"/>
      <c r="B2413" s="552"/>
      <c r="C2413" s="553"/>
      <c r="D2413" s="554"/>
      <c r="E2413" s="554"/>
      <c r="F2413" s="167"/>
      <c r="G2413" s="474"/>
      <c r="H2413" s="474"/>
      <c r="J2413" s="555"/>
    </row>
    <row r="2414" spans="1:10" s="165" customFormat="1">
      <c r="A2414" s="172"/>
      <c r="B2414" s="552"/>
      <c r="C2414" s="553"/>
      <c r="D2414" s="554"/>
      <c r="E2414" s="554"/>
      <c r="F2414" s="167"/>
      <c r="G2414" s="474"/>
      <c r="H2414" s="474"/>
      <c r="J2414" s="555"/>
    </row>
    <row r="2415" spans="1:10" s="165" customFormat="1">
      <c r="A2415" s="172"/>
      <c r="B2415" s="552"/>
      <c r="C2415" s="553"/>
      <c r="D2415" s="554"/>
      <c r="E2415" s="554"/>
      <c r="F2415" s="167"/>
      <c r="G2415" s="474"/>
      <c r="H2415" s="474"/>
      <c r="J2415" s="555"/>
    </row>
    <row r="2416" spans="1:10" s="165" customFormat="1">
      <c r="A2416" s="172"/>
      <c r="B2416" s="552"/>
      <c r="C2416" s="553"/>
      <c r="D2416" s="554"/>
      <c r="E2416" s="554"/>
      <c r="F2416" s="167"/>
      <c r="G2416" s="474"/>
      <c r="H2416" s="474"/>
      <c r="J2416" s="555"/>
    </row>
    <row r="2417" spans="1:10" s="165" customFormat="1">
      <c r="A2417" s="172"/>
      <c r="B2417" s="552"/>
      <c r="C2417" s="553"/>
      <c r="D2417" s="554"/>
      <c r="E2417" s="554"/>
      <c r="F2417" s="167"/>
      <c r="G2417" s="474"/>
      <c r="H2417" s="474"/>
      <c r="J2417" s="555"/>
    </row>
    <row r="2418" spans="1:10" s="165" customFormat="1">
      <c r="A2418" s="172"/>
      <c r="B2418" s="552"/>
      <c r="C2418" s="553"/>
      <c r="D2418" s="554"/>
      <c r="E2418" s="554"/>
      <c r="F2418" s="167"/>
      <c r="G2418" s="474"/>
      <c r="H2418" s="474"/>
      <c r="J2418" s="555"/>
    </row>
    <row r="2419" spans="1:10" s="165" customFormat="1">
      <c r="A2419" s="172"/>
      <c r="B2419" s="552"/>
      <c r="C2419" s="553"/>
      <c r="D2419" s="554"/>
      <c r="E2419" s="554"/>
      <c r="F2419" s="167"/>
      <c r="G2419" s="474"/>
      <c r="H2419" s="474"/>
      <c r="J2419" s="555"/>
    </row>
    <row r="2420" spans="1:10" s="165" customFormat="1">
      <c r="A2420" s="172"/>
      <c r="B2420" s="552"/>
      <c r="C2420" s="553"/>
      <c r="D2420" s="554"/>
      <c r="E2420" s="554"/>
      <c r="F2420" s="167"/>
      <c r="G2420" s="474"/>
      <c r="H2420" s="474"/>
      <c r="J2420" s="555"/>
    </row>
    <row r="2421" spans="1:10" s="165" customFormat="1">
      <c r="A2421" s="172"/>
      <c r="B2421" s="552"/>
      <c r="C2421" s="553"/>
      <c r="D2421" s="554"/>
      <c r="E2421" s="554"/>
      <c r="F2421" s="167"/>
      <c r="G2421" s="474"/>
      <c r="H2421" s="474"/>
      <c r="J2421" s="555"/>
    </row>
    <row r="2422" spans="1:10" s="165" customFormat="1">
      <c r="A2422" s="172"/>
      <c r="B2422" s="552"/>
      <c r="C2422" s="553"/>
      <c r="D2422" s="554"/>
      <c r="E2422" s="554"/>
      <c r="F2422" s="167"/>
      <c r="G2422" s="474"/>
      <c r="H2422" s="474"/>
      <c r="J2422" s="555"/>
    </row>
    <row r="2423" spans="1:10" s="165" customFormat="1">
      <c r="A2423" s="172"/>
      <c r="B2423" s="552"/>
      <c r="C2423" s="553"/>
      <c r="D2423" s="554"/>
      <c r="E2423" s="554"/>
      <c r="F2423" s="167"/>
      <c r="G2423" s="474"/>
      <c r="H2423" s="474"/>
      <c r="J2423" s="555"/>
    </row>
    <row r="2424" spans="1:10" s="165" customFormat="1">
      <c r="A2424" s="172"/>
      <c r="B2424" s="552"/>
      <c r="C2424" s="553"/>
      <c r="D2424" s="554"/>
      <c r="E2424" s="554"/>
      <c r="F2424" s="167"/>
      <c r="G2424" s="474"/>
      <c r="H2424" s="474"/>
      <c r="J2424" s="555"/>
    </row>
    <row r="2425" spans="1:10" s="165" customFormat="1">
      <c r="A2425" s="172"/>
      <c r="B2425" s="552"/>
      <c r="C2425" s="553"/>
      <c r="D2425" s="554"/>
      <c r="E2425" s="554"/>
      <c r="F2425" s="167"/>
      <c r="G2425" s="474"/>
      <c r="H2425" s="474"/>
      <c r="J2425" s="555"/>
    </row>
    <row r="2426" spans="1:10" s="165" customFormat="1">
      <c r="A2426" s="172"/>
      <c r="B2426" s="552"/>
      <c r="C2426" s="553"/>
      <c r="D2426" s="554"/>
      <c r="E2426" s="554"/>
      <c r="F2426" s="167"/>
      <c r="G2426" s="474"/>
      <c r="H2426" s="474"/>
      <c r="J2426" s="555"/>
    </row>
    <row r="2427" spans="1:10" s="165" customFormat="1">
      <c r="A2427" s="172"/>
      <c r="B2427" s="552"/>
      <c r="C2427" s="553"/>
      <c r="D2427" s="554"/>
      <c r="E2427" s="554"/>
      <c r="F2427" s="167"/>
      <c r="G2427" s="474"/>
      <c r="H2427" s="474"/>
      <c r="J2427" s="555"/>
    </row>
    <row r="2428" spans="1:10" s="165" customFormat="1">
      <c r="A2428" s="172"/>
      <c r="B2428" s="552"/>
      <c r="C2428" s="553"/>
      <c r="D2428" s="554"/>
      <c r="E2428" s="554"/>
      <c r="F2428" s="167"/>
      <c r="G2428" s="474"/>
      <c r="H2428" s="474"/>
      <c r="J2428" s="555"/>
    </row>
    <row r="2429" spans="1:10" s="165" customFormat="1">
      <c r="A2429" s="172"/>
      <c r="B2429" s="552"/>
      <c r="C2429" s="553"/>
      <c r="D2429" s="554"/>
      <c r="E2429" s="554"/>
      <c r="F2429" s="167"/>
      <c r="G2429" s="474"/>
      <c r="H2429" s="474"/>
      <c r="J2429" s="555"/>
    </row>
    <row r="2430" spans="1:10" s="165" customFormat="1">
      <c r="A2430" s="172"/>
      <c r="B2430" s="552"/>
      <c r="C2430" s="553"/>
      <c r="D2430" s="554"/>
      <c r="E2430" s="554"/>
      <c r="F2430" s="167"/>
      <c r="G2430" s="474"/>
      <c r="H2430" s="474"/>
      <c r="J2430" s="555"/>
    </row>
    <row r="2431" spans="1:10" s="165" customFormat="1">
      <c r="A2431" s="172"/>
      <c r="B2431" s="552"/>
      <c r="C2431" s="553"/>
      <c r="D2431" s="554"/>
      <c r="E2431" s="554"/>
      <c r="F2431" s="167"/>
      <c r="G2431" s="474"/>
      <c r="H2431" s="474"/>
      <c r="J2431" s="555"/>
    </row>
    <row r="2432" spans="1:10" s="165" customFormat="1">
      <c r="A2432" s="172"/>
      <c r="B2432" s="552"/>
      <c r="C2432" s="553"/>
      <c r="D2432" s="554"/>
      <c r="E2432" s="554"/>
      <c r="F2432" s="167"/>
      <c r="G2432" s="474"/>
      <c r="H2432" s="474"/>
      <c r="J2432" s="555"/>
    </row>
    <row r="2433" spans="1:10" s="165" customFormat="1">
      <c r="A2433" s="172"/>
      <c r="B2433" s="552"/>
      <c r="C2433" s="553"/>
      <c r="D2433" s="554"/>
      <c r="E2433" s="554"/>
      <c r="F2433" s="167"/>
      <c r="G2433" s="474"/>
      <c r="H2433" s="474"/>
      <c r="J2433" s="555"/>
    </row>
    <row r="2434" spans="1:10" s="165" customFormat="1">
      <c r="A2434" s="172"/>
      <c r="B2434" s="552"/>
      <c r="C2434" s="553"/>
      <c r="D2434" s="554"/>
      <c r="E2434" s="554"/>
      <c r="F2434" s="167"/>
      <c r="G2434" s="474"/>
      <c r="H2434" s="474"/>
      <c r="J2434" s="555"/>
    </row>
    <row r="2435" spans="1:10" s="165" customFormat="1">
      <c r="A2435" s="172"/>
      <c r="B2435" s="552"/>
      <c r="C2435" s="553"/>
      <c r="D2435" s="554"/>
      <c r="E2435" s="554"/>
      <c r="F2435" s="167"/>
      <c r="G2435" s="474"/>
      <c r="H2435" s="474"/>
      <c r="J2435" s="555"/>
    </row>
    <row r="2436" spans="1:10" s="165" customFormat="1">
      <c r="A2436" s="172"/>
      <c r="B2436" s="552"/>
      <c r="C2436" s="553"/>
      <c r="D2436" s="554"/>
      <c r="E2436" s="554"/>
      <c r="F2436" s="167"/>
      <c r="G2436" s="474"/>
      <c r="H2436" s="474"/>
      <c r="J2436" s="555"/>
    </row>
    <row r="2437" spans="1:10" s="165" customFormat="1">
      <c r="A2437" s="172"/>
      <c r="B2437" s="552"/>
      <c r="C2437" s="553"/>
      <c r="D2437" s="554"/>
      <c r="E2437" s="554"/>
      <c r="F2437" s="167"/>
      <c r="G2437" s="474"/>
      <c r="H2437" s="474"/>
      <c r="J2437" s="555"/>
    </row>
    <row r="2438" spans="1:10" s="165" customFormat="1">
      <c r="A2438" s="172"/>
      <c r="B2438" s="552"/>
      <c r="C2438" s="553"/>
      <c r="D2438" s="554"/>
      <c r="E2438" s="554"/>
      <c r="F2438" s="167"/>
      <c r="G2438" s="474"/>
      <c r="H2438" s="474"/>
      <c r="J2438" s="555"/>
    </row>
    <row r="2439" spans="1:10" s="165" customFormat="1">
      <c r="A2439" s="172"/>
      <c r="B2439" s="552"/>
      <c r="C2439" s="553"/>
      <c r="D2439" s="554"/>
      <c r="E2439" s="554"/>
      <c r="F2439" s="167"/>
      <c r="G2439" s="474"/>
      <c r="H2439" s="474"/>
      <c r="J2439" s="555"/>
    </row>
    <row r="2440" spans="1:10" s="165" customFormat="1">
      <c r="A2440" s="172"/>
      <c r="B2440" s="552"/>
      <c r="C2440" s="553"/>
      <c r="D2440" s="554"/>
      <c r="E2440" s="554"/>
      <c r="F2440" s="167"/>
      <c r="G2440" s="474"/>
      <c r="H2440" s="474"/>
      <c r="J2440" s="555"/>
    </row>
    <row r="2441" spans="1:10" s="165" customFormat="1">
      <c r="A2441" s="172"/>
      <c r="B2441" s="552"/>
      <c r="C2441" s="553"/>
      <c r="D2441" s="554"/>
      <c r="E2441" s="554"/>
      <c r="F2441" s="167"/>
      <c r="G2441" s="474"/>
      <c r="H2441" s="474"/>
      <c r="J2441" s="555"/>
    </row>
    <row r="2442" spans="1:10" s="165" customFormat="1">
      <c r="A2442" s="172"/>
      <c r="B2442" s="552"/>
      <c r="C2442" s="553"/>
      <c r="D2442" s="554"/>
      <c r="E2442" s="554"/>
      <c r="F2442" s="167"/>
      <c r="G2442" s="474"/>
      <c r="H2442" s="474"/>
      <c r="J2442" s="555"/>
    </row>
    <row r="2443" spans="1:10" s="165" customFormat="1">
      <c r="A2443" s="172"/>
      <c r="B2443" s="552"/>
      <c r="C2443" s="553"/>
      <c r="D2443" s="554"/>
      <c r="E2443" s="554"/>
      <c r="F2443" s="167"/>
      <c r="G2443" s="474"/>
      <c r="H2443" s="474"/>
      <c r="J2443" s="555"/>
    </row>
    <row r="2444" spans="1:10" s="165" customFormat="1">
      <c r="A2444" s="172"/>
      <c r="B2444" s="552"/>
      <c r="C2444" s="553"/>
      <c r="D2444" s="554"/>
      <c r="E2444" s="554"/>
      <c r="F2444" s="167"/>
      <c r="G2444" s="474"/>
      <c r="H2444" s="474"/>
      <c r="J2444" s="555"/>
    </row>
    <row r="2445" spans="1:10" s="165" customFormat="1">
      <c r="A2445" s="172"/>
      <c r="B2445" s="552"/>
      <c r="C2445" s="553"/>
      <c r="D2445" s="554"/>
      <c r="E2445" s="554"/>
      <c r="F2445" s="167"/>
      <c r="G2445" s="474"/>
      <c r="H2445" s="474"/>
      <c r="J2445" s="555"/>
    </row>
    <row r="2446" spans="1:10" s="165" customFormat="1">
      <c r="A2446" s="172"/>
      <c r="B2446" s="552"/>
      <c r="C2446" s="553"/>
      <c r="D2446" s="554"/>
      <c r="E2446" s="554"/>
      <c r="F2446" s="167"/>
      <c r="G2446" s="474"/>
      <c r="H2446" s="474"/>
      <c r="J2446" s="555"/>
    </row>
    <row r="2447" spans="1:10" s="165" customFormat="1">
      <c r="A2447" s="172"/>
      <c r="B2447" s="552"/>
      <c r="C2447" s="553"/>
      <c r="D2447" s="554"/>
      <c r="E2447" s="554"/>
      <c r="F2447" s="167"/>
      <c r="G2447" s="474"/>
      <c r="H2447" s="474"/>
      <c r="J2447" s="555"/>
    </row>
    <row r="2448" spans="1:10" s="165" customFormat="1">
      <c r="A2448" s="172"/>
      <c r="B2448" s="552"/>
      <c r="C2448" s="553"/>
      <c r="D2448" s="554"/>
      <c r="E2448" s="554"/>
      <c r="F2448" s="167"/>
      <c r="G2448" s="474"/>
      <c r="H2448" s="474"/>
      <c r="J2448" s="555"/>
    </row>
    <row r="2449" spans="1:10" s="165" customFormat="1">
      <c r="A2449" s="172"/>
      <c r="B2449" s="552"/>
      <c r="C2449" s="553"/>
      <c r="D2449" s="554"/>
      <c r="E2449" s="554"/>
      <c r="F2449" s="167"/>
      <c r="G2449" s="474"/>
      <c r="H2449" s="474"/>
      <c r="J2449" s="555"/>
    </row>
    <row r="2450" spans="1:10" s="165" customFormat="1">
      <c r="A2450" s="172"/>
      <c r="B2450" s="552"/>
      <c r="C2450" s="553"/>
      <c r="D2450" s="554"/>
      <c r="E2450" s="554"/>
      <c r="F2450" s="167"/>
      <c r="G2450" s="474"/>
      <c r="H2450" s="474"/>
      <c r="J2450" s="555"/>
    </row>
    <row r="2451" spans="1:10" s="165" customFormat="1">
      <c r="A2451" s="172"/>
      <c r="B2451" s="552"/>
      <c r="C2451" s="553"/>
      <c r="D2451" s="554"/>
      <c r="E2451" s="554"/>
      <c r="F2451" s="167"/>
      <c r="G2451" s="474"/>
      <c r="H2451" s="474"/>
      <c r="J2451" s="555"/>
    </row>
    <row r="2452" spans="1:10" s="165" customFormat="1">
      <c r="A2452" s="172"/>
      <c r="B2452" s="552"/>
      <c r="C2452" s="553"/>
      <c r="D2452" s="554"/>
      <c r="E2452" s="554"/>
      <c r="F2452" s="167"/>
      <c r="G2452" s="474"/>
      <c r="H2452" s="474"/>
      <c r="J2452" s="555"/>
    </row>
    <row r="2453" spans="1:10" s="165" customFormat="1">
      <c r="A2453" s="172"/>
      <c r="B2453" s="552"/>
      <c r="C2453" s="553"/>
      <c r="D2453" s="554"/>
      <c r="E2453" s="554"/>
      <c r="F2453" s="167"/>
      <c r="G2453" s="474"/>
      <c r="H2453" s="474"/>
      <c r="J2453" s="555"/>
    </row>
    <row r="2454" spans="1:10" s="165" customFormat="1">
      <c r="A2454" s="172"/>
      <c r="B2454" s="552"/>
      <c r="C2454" s="553"/>
      <c r="D2454" s="554"/>
      <c r="E2454" s="554"/>
      <c r="F2454" s="167"/>
      <c r="G2454" s="474"/>
      <c r="H2454" s="474"/>
      <c r="J2454" s="555"/>
    </row>
    <row r="2455" spans="1:10" s="165" customFormat="1">
      <c r="A2455" s="172"/>
      <c r="B2455" s="552"/>
      <c r="C2455" s="553"/>
      <c r="D2455" s="554"/>
      <c r="E2455" s="554"/>
      <c r="F2455" s="167"/>
      <c r="G2455" s="474"/>
      <c r="H2455" s="474"/>
      <c r="J2455" s="555"/>
    </row>
    <row r="2456" spans="1:10" s="165" customFormat="1">
      <c r="A2456" s="172"/>
      <c r="B2456" s="552"/>
      <c r="C2456" s="553"/>
      <c r="D2456" s="554"/>
      <c r="E2456" s="554"/>
      <c r="F2456" s="167"/>
      <c r="G2456" s="474"/>
      <c r="H2456" s="474"/>
      <c r="J2456" s="555"/>
    </row>
    <row r="2457" spans="1:10" s="165" customFormat="1">
      <c r="A2457" s="172"/>
      <c r="B2457" s="552"/>
      <c r="C2457" s="553"/>
      <c r="D2457" s="554"/>
      <c r="E2457" s="554"/>
      <c r="F2457" s="167"/>
      <c r="G2457" s="474"/>
      <c r="H2457" s="474"/>
      <c r="J2457" s="555"/>
    </row>
    <row r="2458" spans="1:10" s="165" customFormat="1">
      <c r="A2458" s="172"/>
      <c r="B2458" s="552"/>
      <c r="C2458" s="553"/>
      <c r="D2458" s="554"/>
      <c r="E2458" s="554"/>
      <c r="F2458" s="167"/>
      <c r="G2458" s="474"/>
      <c r="H2458" s="474"/>
      <c r="J2458" s="555"/>
    </row>
    <row r="2459" spans="1:10" s="165" customFormat="1">
      <c r="A2459" s="172"/>
      <c r="B2459" s="552"/>
      <c r="C2459" s="553"/>
      <c r="D2459" s="554"/>
      <c r="E2459" s="554"/>
      <c r="F2459" s="167"/>
      <c r="G2459" s="474"/>
      <c r="H2459" s="474"/>
      <c r="J2459" s="555"/>
    </row>
    <row r="2460" spans="1:10" s="165" customFormat="1">
      <c r="A2460" s="172"/>
      <c r="B2460" s="552"/>
      <c r="C2460" s="553"/>
      <c r="D2460" s="554"/>
      <c r="E2460" s="554"/>
      <c r="F2460" s="167"/>
      <c r="G2460" s="474"/>
      <c r="H2460" s="474"/>
      <c r="J2460" s="555"/>
    </row>
    <row r="2461" spans="1:10" s="165" customFormat="1">
      <c r="A2461" s="172"/>
      <c r="B2461" s="552"/>
      <c r="C2461" s="553"/>
      <c r="D2461" s="554"/>
      <c r="E2461" s="554"/>
      <c r="F2461" s="167"/>
      <c r="G2461" s="474"/>
      <c r="H2461" s="474"/>
      <c r="J2461" s="555"/>
    </row>
    <row r="2462" spans="1:10" s="165" customFormat="1">
      <c r="A2462" s="172"/>
      <c r="B2462" s="552"/>
      <c r="C2462" s="553"/>
      <c r="D2462" s="554"/>
      <c r="E2462" s="554"/>
      <c r="F2462" s="167"/>
      <c r="G2462" s="474"/>
      <c r="H2462" s="474"/>
      <c r="J2462" s="555"/>
    </row>
    <row r="2463" spans="1:10" s="165" customFormat="1">
      <c r="A2463" s="172"/>
      <c r="B2463" s="552"/>
      <c r="C2463" s="553"/>
      <c r="D2463" s="554"/>
      <c r="E2463" s="554"/>
      <c r="F2463" s="167"/>
      <c r="G2463" s="474"/>
      <c r="H2463" s="474"/>
      <c r="J2463" s="555"/>
    </row>
    <row r="2464" spans="1:10" s="165" customFormat="1">
      <c r="A2464" s="172"/>
      <c r="B2464" s="552"/>
      <c r="C2464" s="553"/>
      <c r="D2464" s="554"/>
      <c r="E2464" s="554"/>
      <c r="F2464" s="167"/>
      <c r="G2464" s="474"/>
      <c r="H2464" s="474"/>
      <c r="J2464" s="555"/>
    </row>
    <row r="2465" spans="1:10" s="165" customFormat="1">
      <c r="A2465" s="172"/>
      <c r="B2465" s="552"/>
      <c r="C2465" s="553"/>
      <c r="D2465" s="554"/>
      <c r="E2465" s="554"/>
      <c r="F2465" s="167"/>
      <c r="G2465" s="474"/>
      <c r="H2465" s="474"/>
      <c r="J2465" s="555"/>
    </row>
    <row r="2466" spans="1:10" s="165" customFormat="1">
      <c r="A2466" s="172"/>
      <c r="B2466" s="552"/>
      <c r="C2466" s="553"/>
      <c r="D2466" s="554"/>
      <c r="E2466" s="554"/>
      <c r="F2466" s="167"/>
      <c r="G2466" s="474"/>
      <c r="H2466" s="474"/>
      <c r="J2466" s="555"/>
    </row>
    <row r="2467" spans="1:10" s="165" customFormat="1">
      <c r="A2467" s="172"/>
      <c r="B2467" s="552"/>
      <c r="C2467" s="553"/>
      <c r="D2467" s="554"/>
      <c r="E2467" s="554"/>
      <c r="F2467" s="167"/>
      <c r="G2467" s="474"/>
      <c r="H2467" s="474"/>
      <c r="J2467" s="555"/>
    </row>
    <row r="2468" spans="1:10" s="165" customFormat="1">
      <c r="A2468" s="172"/>
      <c r="B2468" s="552"/>
      <c r="C2468" s="553"/>
      <c r="D2468" s="554"/>
      <c r="E2468" s="554"/>
      <c r="F2468" s="167"/>
      <c r="G2468" s="474"/>
      <c r="H2468" s="474"/>
      <c r="J2468" s="555"/>
    </row>
    <row r="2469" spans="1:10" s="165" customFormat="1">
      <c r="A2469" s="172"/>
      <c r="B2469" s="552"/>
      <c r="C2469" s="553"/>
      <c r="D2469" s="554"/>
      <c r="E2469" s="554"/>
      <c r="F2469" s="167"/>
      <c r="G2469" s="474"/>
      <c r="H2469" s="474"/>
      <c r="J2469" s="555"/>
    </row>
    <row r="2470" spans="1:10" s="165" customFormat="1">
      <c r="A2470" s="172"/>
      <c r="B2470" s="552"/>
      <c r="C2470" s="553"/>
      <c r="D2470" s="554"/>
      <c r="E2470" s="554"/>
      <c r="F2470" s="167"/>
      <c r="G2470" s="474"/>
      <c r="H2470" s="474"/>
      <c r="J2470" s="555"/>
    </row>
    <row r="2471" spans="1:10" s="165" customFormat="1">
      <c r="A2471" s="172"/>
      <c r="B2471" s="552"/>
      <c r="C2471" s="553"/>
      <c r="D2471" s="554"/>
      <c r="E2471" s="554"/>
      <c r="F2471" s="167"/>
      <c r="G2471" s="474"/>
      <c r="H2471" s="474"/>
      <c r="J2471" s="555"/>
    </row>
    <row r="2472" spans="1:10" s="165" customFormat="1">
      <c r="A2472" s="172"/>
      <c r="B2472" s="552"/>
      <c r="C2472" s="553"/>
      <c r="D2472" s="554"/>
      <c r="E2472" s="554"/>
      <c r="F2472" s="167"/>
      <c r="G2472" s="474"/>
      <c r="H2472" s="474"/>
      <c r="J2472" s="555"/>
    </row>
    <row r="2473" spans="1:10" s="165" customFormat="1">
      <c r="A2473" s="172"/>
      <c r="B2473" s="552"/>
      <c r="C2473" s="553"/>
      <c r="D2473" s="554"/>
      <c r="E2473" s="554"/>
      <c r="F2473" s="167"/>
      <c r="G2473" s="474"/>
      <c r="H2473" s="474"/>
      <c r="J2473" s="555"/>
    </row>
    <row r="2474" spans="1:10" s="165" customFormat="1">
      <c r="A2474" s="172"/>
      <c r="B2474" s="552"/>
      <c r="C2474" s="553"/>
      <c r="D2474" s="554"/>
      <c r="E2474" s="554"/>
      <c r="F2474" s="167"/>
      <c r="G2474" s="474"/>
      <c r="H2474" s="474"/>
      <c r="J2474" s="555"/>
    </row>
    <row r="2475" spans="1:10" s="165" customFormat="1">
      <c r="A2475" s="172"/>
      <c r="B2475" s="552"/>
      <c r="C2475" s="553"/>
      <c r="D2475" s="554"/>
      <c r="E2475" s="554"/>
      <c r="F2475" s="167"/>
      <c r="G2475" s="474"/>
      <c r="H2475" s="474"/>
      <c r="J2475" s="555"/>
    </row>
    <row r="2476" spans="1:10" s="165" customFormat="1">
      <c r="A2476" s="172"/>
      <c r="B2476" s="552"/>
      <c r="C2476" s="553"/>
      <c r="D2476" s="554"/>
      <c r="E2476" s="554"/>
      <c r="F2476" s="167"/>
      <c r="G2476" s="474"/>
      <c r="H2476" s="474"/>
      <c r="J2476" s="555"/>
    </row>
    <row r="2477" spans="1:10" s="165" customFormat="1">
      <c r="A2477" s="172"/>
      <c r="B2477" s="552"/>
      <c r="C2477" s="553"/>
      <c r="D2477" s="554"/>
      <c r="E2477" s="554"/>
      <c r="F2477" s="167"/>
      <c r="G2477" s="474"/>
      <c r="H2477" s="474"/>
      <c r="J2477" s="555"/>
    </row>
    <row r="2478" spans="1:10" s="165" customFormat="1">
      <c r="A2478" s="172"/>
      <c r="B2478" s="552"/>
      <c r="C2478" s="553"/>
      <c r="D2478" s="554"/>
      <c r="E2478" s="554"/>
      <c r="F2478" s="167"/>
      <c r="G2478" s="474"/>
      <c r="H2478" s="474"/>
      <c r="J2478" s="555"/>
    </row>
    <row r="2479" spans="1:10" s="165" customFormat="1">
      <c r="A2479" s="172"/>
      <c r="B2479" s="552"/>
      <c r="C2479" s="553"/>
      <c r="D2479" s="554"/>
      <c r="E2479" s="554"/>
      <c r="F2479" s="167"/>
      <c r="G2479" s="474"/>
      <c r="H2479" s="474"/>
      <c r="J2479" s="555"/>
    </row>
    <row r="2480" spans="1:10" s="165" customFormat="1">
      <c r="A2480" s="172"/>
      <c r="B2480" s="552"/>
      <c r="C2480" s="553"/>
      <c r="D2480" s="554"/>
      <c r="E2480" s="554"/>
      <c r="F2480" s="167"/>
      <c r="G2480" s="474"/>
      <c r="H2480" s="474"/>
      <c r="J2480" s="555"/>
    </row>
    <row r="2481" spans="1:10" s="165" customFormat="1">
      <c r="A2481" s="172"/>
      <c r="B2481" s="552"/>
      <c r="C2481" s="553"/>
      <c r="D2481" s="554"/>
      <c r="E2481" s="554"/>
      <c r="F2481" s="167"/>
      <c r="G2481" s="474"/>
      <c r="H2481" s="474"/>
      <c r="J2481" s="555"/>
    </row>
    <row r="2482" spans="1:10" s="165" customFormat="1">
      <c r="A2482" s="172"/>
      <c r="B2482" s="552"/>
      <c r="C2482" s="553"/>
      <c r="D2482" s="554"/>
      <c r="E2482" s="554"/>
      <c r="F2482" s="167"/>
      <c r="G2482" s="474"/>
      <c r="H2482" s="474"/>
      <c r="J2482" s="555"/>
    </row>
    <row r="2483" spans="1:10" s="165" customFormat="1">
      <c r="A2483" s="172"/>
      <c r="B2483" s="552"/>
      <c r="C2483" s="553"/>
      <c r="D2483" s="554"/>
      <c r="E2483" s="554"/>
      <c r="F2483" s="167"/>
      <c r="G2483" s="474"/>
      <c r="H2483" s="474"/>
      <c r="J2483" s="555"/>
    </row>
    <row r="2484" spans="1:10" s="165" customFormat="1">
      <c r="A2484" s="172"/>
      <c r="B2484" s="552"/>
      <c r="C2484" s="553"/>
      <c r="D2484" s="554"/>
      <c r="E2484" s="554"/>
      <c r="F2484" s="167"/>
      <c r="G2484" s="474"/>
      <c r="H2484" s="474"/>
      <c r="J2484" s="555"/>
    </row>
    <row r="2485" spans="1:10" s="165" customFormat="1">
      <c r="A2485" s="172"/>
      <c r="B2485" s="552"/>
      <c r="C2485" s="553"/>
      <c r="D2485" s="554"/>
      <c r="E2485" s="554"/>
      <c r="F2485" s="167"/>
      <c r="G2485" s="474"/>
      <c r="H2485" s="474"/>
      <c r="J2485" s="555"/>
    </row>
    <row r="2486" spans="1:10" s="165" customFormat="1">
      <c r="A2486" s="172"/>
      <c r="B2486" s="552"/>
      <c r="C2486" s="553"/>
      <c r="D2486" s="554"/>
      <c r="E2486" s="554"/>
      <c r="F2486" s="167"/>
      <c r="G2486" s="474"/>
      <c r="H2486" s="474"/>
      <c r="J2486" s="555"/>
    </row>
    <row r="2487" spans="1:10" s="165" customFormat="1">
      <c r="A2487" s="172"/>
      <c r="B2487" s="552"/>
      <c r="C2487" s="553"/>
      <c r="D2487" s="554"/>
      <c r="E2487" s="554"/>
      <c r="F2487" s="167"/>
      <c r="G2487" s="474"/>
      <c r="H2487" s="474"/>
      <c r="J2487" s="555"/>
    </row>
    <row r="2488" spans="1:10" s="165" customFormat="1">
      <c r="A2488" s="172"/>
      <c r="B2488" s="552"/>
      <c r="C2488" s="553"/>
      <c r="D2488" s="554"/>
      <c r="E2488" s="554"/>
      <c r="F2488" s="167"/>
      <c r="G2488" s="474"/>
      <c r="H2488" s="474"/>
      <c r="J2488" s="555"/>
    </row>
    <row r="2489" spans="1:10" s="165" customFormat="1">
      <c r="A2489" s="172"/>
      <c r="B2489" s="552"/>
      <c r="C2489" s="553"/>
      <c r="D2489" s="554"/>
      <c r="E2489" s="554"/>
      <c r="F2489" s="167"/>
      <c r="G2489" s="474"/>
      <c r="H2489" s="474"/>
      <c r="J2489" s="555"/>
    </row>
    <row r="2490" spans="1:10" s="165" customFormat="1">
      <c r="A2490" s="172"/>
      <c r="B2490" s="552"/>
      <c r="C2490" s="553"/>
      <c r="D2490" s="554"/>
      <c r="E2490" s="554"/>
      <c r="F2490" s="167"/>
      <c r="G2490" s="474"/>
      <c r="H2490" s="474"/>
      <c r="J2490" s="555"/>
    </row>
    <row r="2491" spans="1:10" s="165" customFormat="1">
      <c r="A2491" s="172"/>
      <c r="B2491" s="552"/>
      <c r="C2491" s="553"/>
      <c r="D2491" s="554"/>
      <c r="E2491" s="554"/>
      <c r="F2491" s="167"/>
      <c r="G2491" s="474"/>
      <c r="H2491" s="474"/>
      <c r="J2491" s="555"/>
    </row>
    <row r="2492" spans="1:10" s="165" customFormat="1">
      <c r="A2492" s="172"/>
      <c r="B2492" s="552"/>
      <c r="C2492" s="553"/>
      <c r="D2492" s="554"/>
      <c r="E2492" s="554"/>
      <c r="F2492" s="167"/>
      <c r="G2492" s="474"/>
      <c r="H2492" s="474"/>
      <c r="J2492" s="555"/>
    </row>
    <row r="2493" spans="1:10" s="165" customFormat="1">
      <c r="A2493" s="172"/>
      <c r="B2493" s="552"/>
      <c r="C2493" s="553"/>
      <c r="D2493" s="554"/>
      <c r="E2493" s="554"/>
      <c r="F2493" s="167"/>
      <c r="G2493" s="474"/>
      <c r="H2493" s="474"/>
      <c r="J2493" s="555"/>
    </row>
    <row r="2494" spans="1:10" s="165" customFormat="1">
      <c r="A2494" s="172"/>
      <c r="B2494" s="552"/>
      <c r="C2494" s="553"/>
      <c r="D2494" s="554"/>
      <c r="E2494" s="554"/>
      <c r="F2494" s="167"/>
      <c r="G2494" s="474"/>
      <c r="H2494" s="474"/>
      <c r="J2494" s="555"/>
    </row>
    <row r="2495" spans="1:10" s="165" customFormat="1">
      <c r="A2495" s="172"/>
      <c r="B2495" s="552"/>
      <c r="C2495" s="553"/>
      <c r="D2495" s="554"/>
      <c r="E2495" s="554"/>
      <c r="F2495" s="167"/>
      <c r="G2495" s="474"/>
      <c r="H2495" s="474"/>
      <c r="J2495" s="555"/>
    </row>
    <row r="2496" spans="1:10" s="165" customFormat="1">
      <c r="A2496" s="172"/>
      <c r="B2496" s="552"/>
      <c r="C2496" s="553"/>
      <c r="D2496" s="554"/>
      <c r="E2496" s="554"/>
      <c r="F2496" s="167"/>
      <c r="G2496" s="474"/>
      <c r="H2496" s="474"/>
      <c r="J2496" s="555"/>
    </row>
    <row r="2497" spans="1:10" s="165" customFormat="1">
      <c r="A2497" s="172"/>
      <c r="B2497" s="552"/>
      <c r="C2497" s="553"/>
      <c r="D2497" s="554"/>
      <c r="E2497" s="554"/>
      <c r="F2497" s="167"/>
      <c r="G2497" s="474"/>
      <c r="H2497" s="474"/>
      <c r="J2497" s="555"/>
    </row>
    <row r="2498" spans="1:10" s="165" customFormat="1">
      <c r="A2498" s="172"/>
      <c r="B2498" s="552"/>
      <c r="C2498" s="553"/>
      <c r="D2498" s="554"/>
      <c r="E2498" s="554"/>
      <c r="F2498" s="167"/>
      <c r="G2498" s="474"/>
      <c r="H2498" s="474"/>
      <c r="J2498" s="555"/>
    </row>
    <row r="2499" spans="1:10" s="165" customFormat="1">
      <c r="A2499" s="172"/>
      <c r="B2499" s="552"/>
      <c r="C2499" s="553"/>
      <c r="D2499" s="554"/>
      <c r="E2499" s="554"/>
      <c r="F2499" s="167"/>
      <c r="G2499" s="474"/>
      <c r="H2499" s="474"/>
      <c r="J2499" s="555"/>
    </row>
    <row r="2500" spans="1:10" s="165" customFormat="1">
      <c r="A2500" s="172"/>
      <c r="B2500" s="552"/>
      <c r="C2500" s="553"/>
      <c r="D2500" s="554"/>
      <c r="E2500" s="554"/>
      <c r="F2500" s="167"/>
      <c r="G2500" s="474"/>
      <c r="H2500" s="474"/>
      <c r="J2500" s="555"/>
    </row>
    <row r="2501" spans="1:10" s="165" customFormat="1">
      <c r="A2501" s="172"/>
      <c r="B2501" s="552"/>
      <c r="C2501" s="553"/>
      <c r="D2501" s="554"/>
      <c r="E2501" s="554"/>
      <c r="F2501" s="167"/>
      <c r="G2501" s="474"/>
      <c r="H2501" s="474"/>
      <c r="J2501" s="555"/>
    </row>
    <row r="2502" spans="1:10" s="165" customFormat="1">
      <c r="A2502" s="172"/>
      <c r="B2502" s="552"/>
      <c r="C2502" s="553"/>
      <c r="D2502" s="554"/>
      <c r="E2502" s="554"/>
      <c r="F2502" s="167"/>
      <c r="G2502" s="474"/>
      <c r="H2502" s="474"/>
      <c r="J2502" s="555"/>
    </row>
    <row r="2503" spans="1:10" s="165" customFormat="1">
      <c r="A2503" s="172"/>
      <c r="B2503" s="552"/>
      <c r="C2503" s="553"/>
      <c r="D2503" s="554"/>
      <c r="E2503" s="554"/>
      <c r="F2503" s="167"/>
      <c r="G2503" s="474"/>
      <c r="H2503" s="474"/>
      <c r="J2503" s="555"/>
    </row>
    <row r="2504" spans="1:10" s="165" customFormat="1">
      <c r="A2504" s="172"/>
      <c r="B2504" s="552"/>
      <c r="C2504" s="553"/>
      <c r="D2504" s="554"/>
      <c r="E2504" s="554"/>
      <c r="F2504" s="167"/>
      <c r="G2504" s="474"/>
      <c r="H2504" s="474"/>
      <c r="J2504" s="555"/>
    </row>
    <row r="2505" spans="1:10" s="165" customFormat="1">
      <c r="A2505" s="172"/>
      <c r="B2505" s="552"/>
      <c r="C2505" s="553"/>
      <c r="D2505" s="554"/>
      <c r="E2505" s="554"/>
      <c r="F2505" s="167"/>
      <c r="G2505" s="474"/>
      <c r="H2505" s="474"/>
      <c r="J2505" s="555"/>
    </row>
    <row r="2506" spans="1:10" s="165" customFormat="1">
      <c r="A2506" s="172"/>
      <c r="B2506" s="552"/>
      <c r="C2506" s="553"/>
      <c r="D2506" s="554"/>
      <c r="E2506" s="554"/>
      <c r="F2506" s="167"/>
      <c r="G2506" s="474"/>
      <c r="H2506" s="474"/>
      <c r="J2506" s="555"/>
    </row>
    <row r="2507" spans="1:10" s="165" customFormat="1">
      <c r="A2507" s="172"/>
      <c r="B2507" s="552"/>
      <c r="C2507" s="553"/>
      <c r="D2507" s="554"/>
      <c r="E2507" s="554"/>
      <c r="F2507" s="167"/>
      <c r="G2507" s="474"/>
      <c r="H2507" s="474"/>
      <c r="J2507" s="555"/>
    </row>
    <row r="2508" spans="1:10" s="165" customFormat="1">
      <c r="A2508" s="172"/>
      <c r="B2508" s="552"/>
      <c r="C2508" s="553"/>
      <c r="D2508" s="554"/>
      <c r="E2508" s="554"/>
      <c r="F2508" s="167"/>
      <c r="G2508" s="474"/>
      <c r="H2508" s="474"/>
      <c r="J2508" s="555"/>
    </row>
    <row r="2509" spans="1:10" s="165" customFormat="1">
      <c r="A2509" s="172"/>
      <c r="B2509" s="552"/>
      <c r="C2509" s="553"/>
      <c r="D2509" s="554"/>
      <c r="E2509" s="554"/>
      <c r="F2509" s="167"/>
      <c r="G2509" s="474"/>
      <c r="H2509" s="474"/>
      <c r="J2509" s="555"/>
    </row>
    <row r="2510" spans="1:10" s="165" customFormat="1">
      <c r="A2510" s="172"/>
      <c r="B2510" s="552"/>
      <c r="C2510" s="553"/>
      <c r="D2510" s="554"/>
      <c r="E2510" s="554"/>
      <c r="F2510" s="167"/>
      <c r="G2510" s="474"/>
      <c r="H2510" s="474"/>
      <c r="J2510" s="555"/>
    </row>
    <row r="2511" spans="1:10" s="165" customFormat="1">
      <c r="A2511" s="172"/>
      <c r="B2511" s="552"/>
      <c r="C2511" s="553"/>
      <c r="D2511" s="554"/>
      <c r="E2511" s="554"/>
      <c r="F2511" s="167"/>
      <c r="G2511" s="474"/>
      <c r="H2511" s="474"/>
      <c r="J2511" s="555"/>
    </row>
    <row r="2512" spans="1:10" s="165" customFormat="1">
      <c r="A2512" s="172"/>
      <c r="B2512" s="552"/>
      <c r="C2512" s="553"/>
      <c r="D2512" s="554"/>
      <c r="E2512" s="554"/>
      <c r="F2512" s="167"/>
      <c r="G2512" s="474"/>
      <c r="H2512" s="474"/>
      <c r="J2512" s="555"/>
    </row>
    <row r="2513" spans="1:10" s="165" customFormat="1">
      <c r="A2513" s="172"/>
      <c r="B2513" s="552"/>
      <c r="C2513" s="553"/>
      <c r="D2513" s="554"/>
      <c r="E2513" s="554"/>
      <c r="F2513" s="167"/>
      <c r="G2513" s="474"/>
      <c r="H2513" s="474"/>
      <c r="J2513" s="555"/>
    </row>
    <row r="2514" spans="1:10" s="165" customFormat="1">
      <c r="A2514" s="172"/>
      <c r="B2514" s="552"/>
      <c r="C2514" s="553"/>
      <c r="D2514" s="554"/>
      <c r="E2514" s="554"/>
      <c r="F2514" s="167"/>
      <c r="G2514" s="474"/>
      <c r="H2514" s="474"/>
      <c r="J2514" s="555"/>
    </row>
    <row r="2515" spans="1:10" s="165" customFormat="1">
      <c r="A2515" s="172"/>
      <c r="B2515" s="552"/>
      <c r="C2515" s="553"/>
      <c r="D2515" s="554"/>
      <c r="E2515" s="554"/>
      <c r="F2515" s="167"/>
      <c r="G2515" s="474"/>
      <c r="H2515" s="474"/>
      <c r="J2515" s="555"/>
    </row>
    <row r="2516" spans="1:10" s="165" customFormat="1">
      <c r="A2516" s="172"/>
      <c r="B2516" s="552"/>
      <c r="C2516" s="553"/>
      <c r="D2516" s="554"/>
      <c r="E2516" s="554"/>
      <c r="F2516" s="167"/>
      <c r="G2516" s="474"/>
      <c r="H2516" s="474"/>
      <c r="J2516" s="555"/>
    </row>
    <row r="2517" spans="1:10" s="165" customFormat="1">
      <c r="A2517" s="172"/>
      <c r="B2517" s="552"/>
      <c r="C2517" s="553"/>
      <c r="D2517" s="554"/>
      <c r="E2517" s="554"/>
      <c r="F2517" s="167"/>
      <c r="G2517" s="474"/>
      <c r="H2517" s="474"/>
      <c r="J2517" s="555"/>
    </row>
    <row r="2518" spans="1:10" s="165" customFormat="1">
      <c r="A2518" s="172"/>
      <c r="B2518" s="552"/>
      <c r="C2518" s="553"/>
      <c r="D2518" s="554"/>
      <c r="E2518" s="554"/>
      <c r="F2518" s="167"/>
      <c r="G2518" s="474"/>
      <c r="H2518" s="474"/>
      <c r="J2518" s="555"/>
    </row>
    <row r="2519" spans="1:10" s="165" customFormat="1">
      <c r="A2519" s="172"/>
      <c r="B2519" s="552"/>
      <c r="C2519" s="553"/>
      <c r="D2519" s="554"/>
      <c r="E2519" s="554"/>
      <c r="F2519" s="167"/>
      <c r="G2519" s="474"/>
      <c r="H2519" s="474"/>
      <c r="J2519" s="555"/>
    </row>
    <row r="2520" spans="1:10" s="165" customFormat="1">
      <c r="A2520" s="172"/>
      <c r="B2520" s="552"/>
      <c r="C2520" s="553"/>
      <c r="D2520" s="554"/>
      <c r="E2520" s="554"/>
      <c r="F2520" s="167"/>
      <c r="G2520" s="474"/>
      <c r="H2520" s="474"/>
      <c r="J2520" s="555"/>
    </row>
    <row r="2521" spans="1:10" s="165" customFormat="1">
      <c r="A2521" s="172"/>
      <c r="B2521" s="552"/>
      <c r="C2521" s="553"/>
      <c r="D2521" s="554"/>
      <c r="E2521" s="554"/>
      <c r="F2521" s="167"/>
      <c r="G2521" s="474"/>
      <c r="H2521" s="474"/>
      <c r="J2521" s="555"/>
    </row>
    <row r="2522" spans="1:10" s="165" customFormat="1">
      <c r="A2522" s="172"/>
      <c r="B2522" s="552"/>
      <c r="C2522" s="553"/>
      <c r="D2522" s="554"/>
      <c r="E2522" s="554"/>
      <c r="F2522" s="167"/>
      <c r="G2522" s="474"/>
      <c r="H2522" s="474"/>
      <c r="J2522" s="555"/>
    </row>
    <row r="2523" spans="1:10" s="165" customFormat="1">
      <c r="A2523" s="172"/>
      <c r="B2523" s="552"/>
      <c r="C2523" s="553"/>
      <c r="D2523" s="554"/>
      <c r="E2523" s="554"/>
      <c r="F2523" s="167"/>
      <c r="G2523" s="474"/>
      <c r="H2523" s="474"/>
      <c r="J2523" s="555"/>
    </row>
    <row r="2524" spans="1:10" s="165" customFormat="1">
      <c r="A2524" s="172"/>
      <c r="B2524" s="552"/>
      <c r="C2524" s="553"/>
      <c r="D2524" s="554"/>
      <c r="E2524" s="554"/>
      <c r="F2524" s="167"/>
      <c r="G2524" s="474"/>
      <c r="H2524" s="474"/>
      <c r="J2524" s="555"/>
    </row>
    <row r="2525" spans="1:10" s="165" customFormat="1">
      <c r="A2525" s="172"/>
      <c r="B2525" s="552"/>
      <c r="C2525" s="553"/>
      <c r="D2525" s="554"/>
      <c r="E2525" s="554"/>
      <c r="F2525" s="167"/>
      <c r="G2525" s="474"/>
      <c r="H2525" s="474"/>
      <c r="J2525" s="555"/>
    </row>
    <row r="2526" spans="1:10" s="165" customFormat="1">
      <c r="A2526" s="172"/>
      <c r="B2526" s="552"/>
      <c r="C2526" s="553"/>
      <c r="D2526" s="554"/>
      <c r="E2526" s="554"/>
      <c r="F2526" s="167"/>
      <c r="G2526" s="474"/>
      <c r="H2526" s="474"/>
      <c r="J2526" s="555"/>
    </row>
    <row r="2527" spans="1:10" s="165" customFormat="1">
      <c r="A2527" s="172"/>
      <c r="B2527" s="552"/>
      <c r="C2527" s="553"/>
      <c r="D2527" s="554"/>
      <c r="E2527" s="554"/>
      <c r="F2527" s="167"/>
      <c r="G2527" s="474"/>
      <c r="H2527" s="474"/>
      <c r="J2527" s="555"/>
    </row>
    <row r="2528" spans="1:10" s="165" customFormat="1">
      <c r="A2528" s="172"/>
      <c r="B2528" s="552"/>
      <c r="C2528" s="553"/>
      <c r="D2528" s="554"/>
      <c r="E2528" s="554"/>
      <c r="F2528" s="167"/>
      <c r="G2528" s="474"/>
      <c r="H2528" s="474"/>
      <c r="J2528" s="555"/>
    </row>
    <row r="2529" spans="1:10" s="165" customFormat="1">
      <c r="A2529" s="172"/>
      <c r="B2529" s="552"/>
      <c r="C2529" s="553"/>
      <c r="D2529" s="554"/>
      <c r="E2529" s="554"/>
      <c r="F2529" s="167"/>
      <c r="G2529" s="474"/>
      <c r="H2529" s="474"/>
      <c r="J2529" s="555"/>
    </row>
    <row r="2530" spans="1:10" s="165" customFormat="1">
      <c r="A2530" s="172"/>
      <c r="B2530" s="552"/>
      <c r="C2530" s="553"/>
      <c r="D2530" s="554"/>
      <c r="E2530" s="554"/>
      <c r="F2530" s="167"/>
      <c r="G2530" s="474"/>
      <c r="H2530" s="474"/>
      <c r="J2530" s="555"/>
    </row>
    <row r="2531" spans="1:10" s="165" customFormat="1">
      <c r="A2531" s="172"/>
      <c r="B2531" s="552"/>
      <c r="C2531" s="553"/>
      <c r="D2531" s="554"/>
      <c r="E2531" s="554"/>
      <c r="F2531" s="167"/>
      <c r="G2531" s="474"/>
      <c r="H2531" s="474"/>
      <c r="J2531" s="555"/>
    </row>
    <row r="2532" spans="1:10" s="165" customFormat="1">
      <c r="A2532" s="172"/>
      <c r="B2532" s="552"/>
      <c r="C2532" s="553"/>
      <c r="D2532" s="554"/>
      <c r="E2532" s="554"/>
      <c r="F2532" s="167"/>
      <c r="G2532" s="474"/>
      <c r="H2532" s="474"/>
      <c r="J2532" s="555"/>
    </row>
    <row r="2533" spans="1:10" s="165" customFormat="1">
      <c r="A2533" s="172"/>
      <c r="B2533" s="552"/>
      <c r="C2533" s="553"/>
      <c r="D2533" s="554"/>
      <c r="E2533" s="554"/>
      <c r="F2533" s="167"/>
      <c r="G2533" s="474"/>
      <c r="H2533" s="474"/>
      <c r="J2533" s="555"/>
    </row>
    <row r="2534" spans="1:10" s="165" customFormat="1">
      <c r="A2534" s="172"/>
      <c r="B2534" s="552"/>
      <c r="C2534" s="553"/>
      <c r="D2534" s="554"/>
      <c r="E2534" s="554"/>
      <c r="F2534" s="167"/>
      <c r="G2534" s="474"/>
      <c r="H2534" s="474"/>
      <c r="J2534" s="555"/>
    </row>
    <row r="2535" spans="1:10" s="165" customFormat="1">
      <c r="A2535" s="172"/>
      <c r="B2535" s="552"/>
      <c r="C2535" s="553"/>
      <c r="D2535" s="554"/>
      <c r="E2535" s="554"/>
      <c r="F2535" s="167"/>
      <c r="G2535" s="474"/>
      <c r="H2535" s="474"/>
      <c r="J2535" s="555"/>
    </row>
    <row r="2536" spans="1:10" s="165" customFormat="1">
      <c r="A2536" s="172"/>
      <c r="B2536" s="552"/>
      <c r="C2536" s="553"/>
      <c r="D2536" s="554"/>
      <c r="E2536" s="554"/>
      <c r="F2536" s="167"/>
      <c r="G2536" s="474"/>
      <c r="H2536" s="474"/>
      <c r="J2536" s="555"/>
    </row>
    <row r="2537" spans="1:10" s="165" customFormat="1">
      <c r="A2537" s="172"/>
      <c r="B2537" s="552"/>
      <c r="C2537" s="553"/>
      <c r="D2537" s="554"/>
      <c r="E2537" s="554"/>
      <c r="F2537" s="167"/>
      <c r="G2537" s="474"/>
      <c r="H2537" s="474"/>
      <c r="J2537" s="555"/>
    </row>
    <row r="2538" spans="1:10" s="165" customFormat="1">
      <c r="A2538" s="172"/>
      <c r="B2538" s="552"/>
      <c r="C2538" s="553"/>
      <c r="D2538" s="554"/>
      <c r="E2538" s="554"/>
      <c r="F2538" s="167"/>
      <c r="G2538" s="474"/>
      <c r="H2538" s="474"/>
      <c r="J2538" s="555"/>
    </row>
    <row r="2539" spans="1:10" s="165" customFormat="1">
      <c r="A2539" s="172"/>
      <c r="B2539" s="552"/>
      <c r="C2539" s="553"/>
      <c r="D2539" s="554"/>
      <c r="E2539" s="554"/>
      <c r="F2539" s="167"/>
      <c r="G2539" s="474"/>
      <c r="H2539" s="474"/>
      <c r="J2539" s="555"/>
    </row>
    <row r="2540" spans="1:10" s="165" customFormat="1">
      <c r="A2540" s="172"/>
      <c r="B2540" s="552"/>
      <c r="C2540" s="553"/>
      <c r="D2540" s="554"/>
      <c r="E2540" s="554"/>
      <c r="F2540" s="167"/>
      <c r="G2540" s="474"/>
      <c r="H2540" s="474"/>
      <c r="J2540" s="555"/>
    </row>
    <row r="2541" spans="1:10" s="165" customFormat="1">
      <c r="A2541" s="172"/>
      <c r="B2541" s="552"/>
      <c r="C2541" s="553"/>
      <c r="D2541" s="554"/>
      <c r="E2541" s="554"/>
      <c r="F2541" s="167"/>
      <c r="G2541" s="474"/>
      <c r="H2541" s="474"/>
      <c r="J2541" s="555"/>
    </row>
    <row r="2542" spans="1:10" s="165" customFormat="1">
      <c r="A2542" s="172"/>
      <c r="B2542" s="552"/>
      <c r="C2542" s="553"/>
      <c r="D2542" s="554"/>
      <c r="E2542" s="554"/>
      <c r="F2542" s="167"/>
      <c r="G2542" s="474"/>
      <c r="H2542" s="474"/>
      <c r="J2542" s="555"/>
    </row>
    <row r="2543" spans="1:10" s="165" customFormat="1">
      <c r="A2543" s="172"/>
      <c r="B2543" s="552"/>
      <c r="C2543" s="553"/>
      <c r="D2543" s="554"/>
      <c r="E2543" s="554"/>
      <c r="F2543" s="167"/>
      <c r="G2543" s="474"/>
      <c r="H2543" s="474"/>
      <c r="J2543" s="555"/>
    </row>
    <row r="2544" spans="1:10" s="165" customFormat="1">
      <c r="A2544" s="172"/>
      <c r="B2544" s="552"/>
      <c r="C2544" s="553"/>
      <c r="D2544" s="554"/>
      <c r="E2544" s="554"/>
      <c r="F2544" s="167"/>
      <c r="G2544" s="474"/>
      <c r="H2544" s="474"/>
      <c r="J2544" s="555"/>
    </row>
    <row r="2545" spans="1:10" s="165" customFormat="1">
      <c r="A2545" s="172"/>
      <c r="B2545" s="552"/>
      <c r="C2545" s="553"/>
      <c r="D2545" s="554"/>
      <c r="E2545" s="554"/>
      <c r="F2545" s="167"/>
      <c r="G2545" s="474"/>
      <c r="H2545" s="474"/>
      <c r="J2545" s="555"/>
    </row>
    <row r="2546" spans="1:10" s="165" customFormat="1">
      <c r="A2546" s="172"/>
      <c r="B2546" s="552"/>
      <c r="C2546" s="553"/>
      <c r="D2546" s="554"/>
      <c r="E2546" s="554"/>
      <c r="F2546" s="167"/>
      <c r="G2546" s="474"/>
      <c r="H2546" s="474"/>
      <c r="J2546" s="555"/>
    </row>
    <row r="2547" spans="1:10" s="165" customFormat="1">
      <c r="A2547" s="172"/>
      <c r="B2547" s="552"/>
      <c r="C2547" s="553"/>
      <c r="D2547" s="554"/>
      <c r="E2547" s="554"/>
      <c r="F2547" s="167"/>
      <c r="G2547" s="474"/>
      <c r="H2547" s="474"/>
      <c r="J2547" s="555"/>
    </row>
    <row r="2548" spans="1:10" s="165" customFormat="1">
      <c r="A2548" s="172"/>
      <c r="B2548" s="552"/>
      <c r="C2548" s="553"/>
      <c r="D2548" s="554"/>
      <c r="E2548" s="554"/>
      <c r="F2548" s="167"/>
      <c r="G2548" s="474"/>
      <c r="H2548" s="474"/>
      <c r="J2548" s="555"/>
    </row>
    <row r="2549" spans="1:10" s="165" customFormat="1">
      <c r="A2549" s="172"/>
      <c r="B2549" s="552"/>
      <c r="C2549" s="553"/>
      <c r="D2549" s="554"/>
      <c r="E2549" s="554"/>
      <c r="F2549" s="167"/>
      <c r="G2549" s="474"/>
      <c r="H2549" s="474"/>
      <c r="J2549" s="555"/>
    </row>
    <row r="2550" spans="1:10" s="165" customFormat="1">
      <c r="A2550" s="172"/>
      <c r="B2550" s="552"/>
      <c r="C2550" s="553"/>
      <c r="D2550" s="554"/>
      <c r="E2550" s="554"/>
      <c r="F2550" s="167"/>
      <c r="G2550" s="474"/>
      <c r="H2550" s="474"/>
      <c r="J2550" s="555"/>
    </row>
    <row r="2551" spans="1:10" s="165" customFormat="1">
      <c r="A2551" s="172"/>
      <c r="B2551" s="552"/>
      <c r="C2551" s="553"/>
      <c r="D2551" s="554"/>
      <c r="E2551" s="554"/>
      <c r="F2551" s="167"/>
      <c r="G2551" s="474"/>
      <c r="H2551" s="474"/>
      <c r="J2551" s="555"/>
    </row>
    <row r="2552" spans="1:10" s="165" customFormat="1">
      <c r="A2552" s="172"/>
      <c r="B2552" s="552"/>
      <c r="C2552" s="553"/>
      <c r="D2552" s="554"/>
      <c r="E2552" s="554"/>
      <c r="F2552" s="167"/>
      <c r="G2552" s="474"/>
      <c r="H2552" s="474"/>
      <c r="J2552" s="555"/>
    </row>
    <row r="2553" spans="1:10" s="165" customFormat="1">
      <c r="A2553" s="172"/>
      <c r="B2553" s="552"/>
      <c r="C2553" s="553"/>
      <c r="D2553" s="554"/>
      <c r="E2553" s="554"/>
      <c r="F2553" s="167"/>
      <c r="G2553" s="474"/>
      <c r="H2553" s="474"/>
      <c r="J2553" s="555"/>
    </row>
    <row r="2554" spans="1:10" s="165" customFormat="1">
      <c r="A2554" s="172"/>
      <c r="B2554" s="552"/>
      <c r="C2554" s="553"/>
      <c r="D2554" s="554"/>
      <c r="E2554" s="554"/>
      <c r="F2554" s="167"/>
      <c r="G2554" s="474"/>
      <c r="H2554" s="474"/>
      <c r="J2554" s="555"/>
    </row>
    <row r="2555" spans="1:10" s="165" customFormat="1">
      <c r="A2555" s="172"/>
      <c r="B2555" s="552"/>
      <c r="C2555" s="553"/>
      <c r="D2555" s="554"/>
      <c r="E2555" s="554"/>
      <c r="F2555" s="167"/>
      <c r="G2555" s="474"/>
      <c r="H2555" s="474"/>
      <c r="J2555" s="555"/>
    </row>
    <row r="2556" spans="1:10" s="165" customFormat="1">
      <c r="A2556" s="172"/>
      <c r="B2556" s="552"/>
      <c r="C2556" s="553"/>
      <c r="D2556" s="554"/>
      <c r="E2556" s="554"/>
      <c r="F2556" s="167"/>
      <c r="G2556" s="474"/>
      <c r="H2556" s="474"/>
      <c r="J2556" s="555"/>
    </row>
    <row r="2557" spans="1:10" s="165" customFormat="1">
      <c r="A2557" s="172"/>
      <c r="B2557" s="552"/>
      <c r="C2557" s="553"/>
      <c r="D2557" s="554"/>
      <c r="E2557" s="554"/>
      <c r="F2557" s="167"/>
      <c r="G2557" s="474"/>
      <c r="H2557" s="474"/>
      <c r="J2557" s="555"/>
    </row>
    <row r="2558" spans="1:10" s="165" customFormat="1">
      <c r="A2558" s="172"/>
      <c r="B2558" s="552"/>
      <c r="C2558" s="553"/>
      <c r="D2558" s="554"/>
      <c r="E2558" s="554"/>
      <c r="F2558" s="167"/>
      <c r="G2558" s="474"/>
      <c r="H2558" s="474"/>
      <c r="J2558" s="555"/>
    </row>
    <row r="2559" spans="1:10" s="165" customFormat="1">
      <c r="A2559" s="172"/>
      <c r="B2559" s="552"/>
      <c r="C2559" s="553"/>
      <c r="D2559" s="554"/>
      <c r="E2559" s="554"/>
      <c r="F2559" s="167"/>
      <c r="G2559" s="474"/>
      <c r="H2559" s="474"/>
      <c r="J2559" s="555"/>
    </row>
    <row r="2560" spans="1:10" s="165" customFormat="1">
      <c r="A2560" s="172"/>
      <c r="B2560" s="552"/>
      <c r="C2560" s="553"/>
      <c r="D2560" s="554"/>
      <c r="E2560" s="554"/>
      <c r="F2560" s="167"/>
      <c r="G2560" s="474"/>
      <c r="H2560" s="474"/>
      <c r="J2560" s="555"/>
    </row>
    <row r="2561" spans="1:10" s="165" customFormat="1">
      <c r="A2561" s="172"/>
      <c r="B2561" s="552"/>
      <c r="C2561" s="553"/>
      <c r="D2561" s="554"/>
      <c r="E2561" s="554"/>
      <c r="F2561" s="167"/>
      <c r="G2561" s="474"/>
      <c r="H2561" s="474"/>
      <c r="J2561" s="555"/>
    </row>
    <row r="2562" spans="1:10" s="165" customFormat="1">
      <c r="A2562" s="172"/>
      <c r="B2562" s="552"/>
      <c r="C2562" s="553"/>
      <c r="D2562" s="554"/>
      <c r="E2562" s="554"/>
      <c r="F2562" s="167"/>
      <c r="G2562" s="474"/>
      <c r="H2562" s="474"/>
      <c r="J2562" s="555"/>
    </row>
    <row r="2563" spans="1:10" s="165" customFormat="1">
      <c r="A2563" s="172"/>
      <c r="B2563" s="552"/>
      <c r="C2563" s="553"/>
      <c r="D2563" s="554"/>
      <c r="E2563" s="554"/>
      <c r="F2563" s="167"/>
      <c r="G2563" s="474"/>
      <c r="H2563" s="474"/>
      <c r="J2563" s="555"/>
    </row>
    <row r="2564" spans="1:10" s="165" customFormat="1">
      <c r="A2564" s="172"/>
      <c r="B2564" s="552"/>
      <c r="C2564" s="553"/>
      <c r="D2564" s="554"/>
      <c r="E2564" s="554"/>
      <c r="F2564" s="167"/>
      <c r="G2564" s="474"/>
      <c r="H2564" s="474"/>
      <c r="J2564" s="555"/>
    </row>
    <row r="2565" spans="1:10" s="165" customFormat="1">
      <c r="A2565" s="172"/>
      <c r="B2565" s="552"/>
      <c r="C2565" s="553"/>
      <c r="D2565" s="554"/>
      <c r="E2565" s="554"/>
      <c r="F2565" s="167"/>
      <c r="G2565" s="474"/>
      <c r="H2565" s="474"/>
      <c r="J2565" s="555"/>
    </row>
    <row r="2566" spans="1:10" s="165" customFormat="1">
      <c r="A2566" s="172"/>
      <c r="B2566" s="552"/>
      <c r="C2566" s="553"/>
      <c r="D2566" s="554"/>
      <c r="E2566" s="554"/>
      <c r="F2566" s="167"/>
      <c r="G2566" s="474"/>
      <c r="H2566" s="474"/>
      <c r="J2566" s="555"/>
    </row>
    <row r="2567" spans="1:10" s="165" customFormat="1">
      <c r="A2567" s="172"/>
      <c r="B2567" s="552"/>
      <c r="C2567" s="553"/>
      <c r="D2567" s="554"/>
      <c r="E2567" s="554"/>
      <c r="F2567" s="167"/>
      <c r="G2567" s="474"/>
      <c r="H2567" s="474"/>
      <c r="J2567" s="555"/>
    </row>
    <row r="2568" spans="1:10" s="165" customFormat="1">
      <c r="A2568" s="172"/>
      <c r="B2568" s="552"/>
      <c r="C2568" s="553"/>
      <c r="D2568" s="554"/>
      <c r="E2568" s="554"/>
      <c r="F2568" s="167"/>
      <c r="G2568" s="474"/>
      <c r="H2568" s="474"/>
      <c r="J2568" s="555"/>
    </row>
    <row r="2569" spans="1:10" s="165" customFormat="1">
      <c r="A2569" s="172"/>
      <c r="B2569" s="552"/>
      <c r="C2569" s="553"/>
      <c r="D2569" s="554"/>
      <c r="E2569" s="554"/>
      <c r="F2569" s="167"/>
      <c r="G2569" s="474"/>
      <c r="H2569" s="474"/>
      <c r="J2569" s="555"/>
    </row>
    <row r="2570" spans="1:10" s="165" customFormat="1">
      <c r="A2570" s="172"/>
      <c r="B2570" s="552"/>
      <c r="C2570" s="553"/>
      <c r="D2570" s="554"/>
      <c r="E2570" s="554"/>
      <c r="F2570" s="167"/>
      <c r="G2570" s="474"/>
      <c r="H2570" s="474"/>
      <c r="J2570" s="555"/>
    </row>
    <row r="2571" spans="1:10" s="165" customFormat="1">
      <c r="A2571" s="172"/>
      <c r="B2571" s="552"/>
      <c r="C2571" s="553"/>
      <c r="D2571" s="554"/>
      <c r="E2571" s="554"/>
      <c r="F2571" s="167"/>
      <c r="G2571" s="474"/>
      <c r="H2571" s="474"/>
      <c r="J2571" s="555"/>
    </row>
    <row r="2572" spans="1:10" s="165" customFormat="1">
      <c r="A2572" s="172"/>
      <c r="B2572" s="552"/>
      <c r="C2572" s="553"/>
      <c r="D2572" s="554"/>
      <c r="E2572" s="554"/>
      <c r="F2572" s="167"/>
      <c r="G2572" s="474"/>
      <c r="H2572" s="474"/>
      <c r="J2572" s="555"/>
    </row>
    <row r="2573" spans="1:10" s="165" customFormat="1">
      <c r="A2573" s="172"/>
      <c r="B2573" s="552"/>
      <c r="C2573" s="553"/>
      <c r="D2573" s="554"/>
      <c r="E2573" s="554"/>
      <c r="F2573" s="167"/>
      <c r="G2573" s="474"/>
      <c r="H2573" s="474"/>
      <c r="J2573" s="555"/>
    </row>
    <row r="2574" spans="1:10" s="165" customFormat="1">
      <c r="A2574" s="172"/>
      <c r="B2574" s="552"/>
      <c r="C2574" s="553"/>
      <c r="D2574" s="554"/>
      <c r="E2574" s="554"/>
      <c r="F2574" s="167"/>
      <c r="G2574" s="474"/>
      <c r="H2574" s="474"/>
      <c r="J2574" s="555"/>
    </row>
    <row r="2575" spans="1:10" s="165" customFormat="1">
      <c r="A2575" s="172"/>
      <c r="B2575" s="552"/>
      <c r="C2575" s="553"/>
      <c r="D2575" s="554"/>
      <c r="E2575" s="554"/>
      <c r="F2575" s="167"/>
      <c r="G2575" s="474"/>
      <c r="H2575" s="474"/>
      <c r="J2575" s="555"/>
    </row>
    <row r="2576" spans="1:10" s="165" customFormat="1">
      <c r="A2576" s="172"/>
      <c r="B2576" s="552"/>
      <c r="C2576" s="553"/>
      <c r="D2576" s="554"/>
      <c r="E2576" s="554"/>
      <c r="F2576" s="167"/>
      <c r="G2576" s="474"/>
      <c r="H2576" s="474"/>
      <c r="J2576" s="555"/>
    </row>
    <row r="2577" spans="1:10" s="165" customFormat="1">
      <c r="A2577" s="172"/>
      <c r="B2577" s="552"/>
      <c r="C2577" s="553"/>
      <c r="D2577" s="554"/>
      <c r="E2577" s="554"/>
      <c r="F2577" s="167"/>
      <c r="G2577" s="474"/>
      <c r="H2577" s="474"/>
      <c r="J2577" s="555"/>
    </row>
    <row r="2578" spans="1:10" s="165" customFormat="1">
      <c r="A2578" s="172"/>
      <c r="B2578" s="552"/>
      <c r="C2578" s="553"/>
      <c r="D2578" s="554"/>
      <c r="E2578" s="554"/>
      <c r="F2578" s="167"/>
      <c r="G2578" s="474"/>
      <c r="H2578" s="474"/>
      <c r="J2578" s="555"/>
    </row>
    <row r="2579" spans="1:10" s="165" customFormat="1">
      <c r="A2579" s="172"/>
      <c r="B2579" s="552"/>
      <c r="C2579" s="553"/>
      <c r="D2579" s="554"/>
      <c r="E2579" s="554"/>
      <c r="F2579" s="167"/>
      <c r="G2579" s="474"/>
      <c r="H2579" s="474"/>
      <c r="J2579" s="555"/>
    </row>
    <row r="2580" spans="1:10" s="165" customFormat="1">
      <c r="A2580" s="172"/>
      <c r="B2580" s="552"/>
      <c r="C2580" s="553"/>
      <c r="D2580" s="554"/>
      <c r="E2580" s="554"/>
      <c r="F2580" s="167"/>
      <c r="G2580" s="474"/>
      <c r="H2580" s="474"/>
      <c r="J2580" s="555"/>
    </row>
    <row r="2581" spans="1:10" s="165" customFormat="1">
      <c r="A2581" s="172"/>
      <c r="B2581" s="552"/>
      <c r="C2581" s="553"/>
      <c r="D2581" s="554"/>
      <c r="E2581" s="554"/>
      <c r="F2581" s="167"/>
      <c r="G2581" s="474"/>
      <c r="H2581" s="474"/>
      <c r="J2581" s="555"/>
    </row>
    <row r="2582" spans="1:10" s="165" customFormat="1">
      <c r="A2582" s="172"/>
      <c r="B2582" s="552"/>
      <c r="C2582" s="553"/>
      <c r="D2582" s="554"/>
      <c r="E2582" s="554"/>
      <c r="F2582" s="167"/>
      <c r="G2582" s="474"/>
      <c r="H2582" s="474"/>
      <c r="J2582" s="555"/>
    </row>
    <row r="2583" spans="1:10" s="165" customFormat="1">
      <c r="A2583" s="172"/>
      <c r="B2583" s="552"/>
      <c r="C2583" s="553"/>
      <c r="D2583" s="554"/>
      <c r="E2583" s="554"/>
      <c r="F2583" s="167"/>
      <c r="G2583" s="474"/>
      <c r="H2583" s="474"/>
      <c r="J2583" s="555"/>
    </row>
    <row r="2584" spans="1:10" s="165" customFormat="1">
      <c r="A2584" s="172"/>
      <c r="B2584" s="552"/>
      <c r="C2584" s="553"/>
      <c r="D2584" s="554"/>
      <c r="E2584" s="554"/>
      <c r="F2584" s="167"/>
      <c r="G2584" s="474"/>
      <c r="H2584" s="474"/>
      <c r="J2584" s="555"/>
    </row>
    <row r="2585" spans="1:10" s="165" customFormat="1">
      <c r="A2585" s="172"/>
      <c r="B2585" s="552"/>
      <c r="C2585" s="553"/>
      <c r="D2585" s="554"/>
      <c r="E2585" s="554"/>
      <c r="F2585" s="167"/>
      <c r="G2585" s="474"/>
      <c r="H2585" s="474"/>
      <c r="J2585" s="555"/>
    </row>
    <row r="2586" spans="1:10" s="165" customFormat="1">
      <c r="A2586" s="172"/>
      <c r="B2586" s="552"/>
      <c r="C2586" s="553"/>
      <c r="D2586" s="554"/>
      <c r="E2586" s="554"/>
      <c r="F2586" s="167"/>
      <c r="G2586" s="474"/>
      <c r="H2586" s="474"/>
      <c r="J2586" s="555"/>
    </row>
    <row r="2587" spans="1:10" s="165" customFormat="1">
      <c r="A2587" s="172"/>
      <c r="B2587" s="552"/>
      <c r="C2587" s="553"/>
      <c r="D2587" s="554"/>
      <c r="E2587" s="554"/>
      <c r="F2587" s="167"/>
      <c r="G2587" s="474"/>
      <c r="H2587" s="474"/>
      <c r="J2587" s="555"/>
    </row>
    <row r="2588" spans="1:10" s="165" customFormat="1">
      <c r="A2588" s="172"/>
      <c r="B2588" s="552"/>
      <c r="C2588" s="553"/>
      <c r="D2588" s="554"/>
      <c r="E2588" s="554"/>
      <c r="F2588" s="167"/>
      <c r="G2588" s="474"/>
      <c r="H2588" s="474"/>
      <c r="J2588" s="555"/>
    </row>
    <row r="2589" spans="1:10" s="165" customFormat="1">
      <c r="A2589" s="172"/>
      <c r="B2589" s="552"/>
      <c r="C2589" s="553"/>
      <c r="D2589" s="554"/>
      <c r="E2589" s="554"/>
      <c r="F2589" s="167"/>
      <c r="G2589" s="474"/>
      <c r="H2589" s="474"/>
      <c r="J2589" s="555"/>
    </row>
    <row r="2590" spans="1:10" s="165" customFormat="1">
      <c r="A2590" s="172"/>
      <c r="B2590" s="552"/>
      <c r="C2590" s="553"/>
      <c r="D2590" s="554"/>
      <c r="E2590" s="554"/>
      <c r="F2590" s="167"/>
      <c r="G2590" s="474"/>
      <c r="H2590" s="474"/>
      <c r="J2590" s="555"/>
    </row>
    <row r="2591" spans="1:10" s="165" customFormat="1">
      <c r="A2591" s="172"/>
      <c r="B2591" s="552"/>
      <c r="C2591" s="553"/>
      <c r="D2591" s="554"/>
      <c r="E2591" s="554"/>
      <c r="F2591" s="167"/>
      <c r="G2591" s="474"/>
      <c r="H2591" s="474"/>
      <c r="J2591" s="555"/>
    </row>
    <row r="2592" spans="1:10" s="165" customFormat="1">
      <c r="A2592" s="172"/>
      <c r="B2592" s="552"/>
      <c r="C2592" s="553"/>
      <c r="D2592" s="554"/>
      <c r="E2592" s="554"/>
      <c r="F2592" s="167"/>
      <c r="G2592" s="474"/>
      <c r="H2592" s="474"/>
      <c r="J2592" s="555"/>
    </row>
    <row r="2593" spans="1:10" s="165" customFormat="1">
      <c r="A2593" s="172"/>
      <c r="B2593" s="552"/>
      <c r="C2593" s="553"/>
      <c r="D2593" s="554"/>
      <c r="E2593" s="554"/>
      <c r="F2593" s="167"/>
      <c r="G2593" s="474"/>
      <c r="H2593" s="474"/>
      <c r="J2593" s="555"/>
    </row>
    <row r="2594" spans="1:10" s="165" customFormat="1">
      <c r="A2594" s="172"/>
      <c r="B2594" s="552"/>
      <c r="C2594" s="553"/>
      <c r="D2594" s="554"/>
      <c r="E2594" s="554"/>
      <c r="F2594" s="167"/>
      <c r="G2594" s="474"/>
      <c r="H2594" s="474"/>
      <c r="J2594" s="555"/>
    </row>
    <row r="2595" spans="1:10" s="165" customFormat="1">
      <c r="A2595" s="172"/>
      <c r="B2595" s="552"/>
      <c r="C2595" s="553"/>
      <c r="D2595" s="554"/>
      <c r="E2595" s="554"/>
      <c r="F2595" s="167"/>
      <c r="G2595" s="474"/>
      <c r="H2595" s="474"/>
      <c r="J2595" s="555"/>
    </row>
    <row r="2596" spans="1:10" s="165" customFormat="1">
      <c r="A2596" s="172"/>
      <c r="B2596" s="552"/>
      <c r="C2596" s="553"/>
      <c r="D2596" s="554"/>
      <c r="E2596" s="554"/>
      <c r="F2596" s="167"/>
      <c r="G2596" s="474"/>
      <c r="H2596" s="474"/>
      <c r="J2596" s="555"/>
    </row>
    <row r="2597" spans="1:10" s="165" customFormat="1">
      <c r="A2597" s="172"/>
      <c r="B2597" s="552"/>
      <c r="C2597" s="553"/>
      <c r="D2597" s="554"/>
      <c r="E2597" s="554"/>
      <c r="F2597" s="167"/>
      <c r="G2597" s="474"/>
      <c r="H2597" s="474"/>
      <c r="J2597" s="555"/>
    </row>
    <row r="2598" spans="1:10" s="165" customFormat="1">
      <c r="A2598" s="172"/>
      <c r="B2598" s="552"/>
      <c r="C2598" s="553"/>
      <c r="D2598" s="554"/>
      <c r="E2598" s="554"/>
      <c r="F2598" s="167"/>
      <c r="G2598" s="474"/>
      <c r="H2598" s="474"/>
      <c r="J2598" s="555"/>
    </row>
    <row r="2599" spans="1:10" s="165" customFormat="1">
      <c r="A2599" s="172"/>
      <c r="B2599" s="552"/>
      <c r="C2599" s="553"/>
      <c r="D2599" s="554"/>
      <c r="E2599" s="554"/>
      <c r="F2599" s="167"/>
      <c r="G2599" s="474"/>
      <c r="H2599" s="474"/>
      <c r="J2599" s="555"/>
    </row>
    <row r="2600" spans="1:10" s="165" customFormat="1">
      <c r="A2600" s="172"/>
      <c r="B2600" s="552"/>
      <c r="C2600" s="553"/>
      <c r="D2600" s="554"/>
      <c r="E2600" s="554"/>
      <c r="F2600" s="167"/>
      <c r="G2600" s="474"/>
      <c r="H2600" s="474"/>
      <c r="J2600" s="555"/>
    </row>
    <row r="2601" spans="1:10" s="165" customFormat="1">
      <c r="A2601" s="172"/>
      <c r="B2601" s="552"/>
      <c r="C2601" s="553"/>
      <c r="D2601" s="554"/>
      <c r="E2601" s="554"/>
      <c r="F2601" s="167"/>
      <c r="G2601" s="474"/>
      <c r="H2601" s="474"/>
      <c r="J2601" s="555"/>
    </row>
    <row r="2602" spans="1:10" s="165" customFormat="1">
      <c r="A2602" s="172"/>
      <c r="B2602" s="552"/>
      <c r="C2602" s="553"/>
      <c r="D2602" s="554"/>
      <c r="E2602" s="554"/>
      <c r="F2602" s="167"/>
      <c r="G2602" s="474"/>
      <c r="H2602" s="474"/>
      <c r="J2602" s="555"/>
    </row>
    <row r="2603" spans="1:10" s="165" customFormat="1">
      <c r="A2603" s="172"/>
      <c r="B2603" s="552"/>
      <c r="C2603" s="553"/>
      <c r="D2603" s="554"/>
      <c r="E2603" s="554"/>
      <c r="F2603" s="167"/>
      <c r="G2603" s="474"/>
      <c r="H2603" s="474"/>
      <c r="J2603" s="555"/>
    </row>
    <row r="2604" spans="1:10" s="165" customFormat="1">
      <c r="A2604" s="172"/>
      <c r="B2604" s="552"/>
      <c r="C2604" s="553"/>
      <c r="D2604" s="554"/>
      <c r="E2604" s="554"/>
      <c r="F2604" s="167"/>
      <c r="G2604" s="474"/>
      <c r="H2604" s="474"/>
      <c r="J2604" s="555"/>
    </row>
    <row r="2605" spans="1:10" s="165" customFormat="1">
      <c r="A2605" s="172"/>
      <c r="B2605" s="552"/>
      <c r="C2605" s="553"/>
      <c r="D2605" s="554"/>
      <c r="E2605" s="554"/>
      <c r="F2605" s="167"/>
      <c r="G2605" s="474"/>
      <c r="H2605" s="474"/>
      <c r="J2605" s="555"/>
    </row>
    <row r="2606" spans="1:10" s="165" customFormat="1">
      <c r="A2606" s="172"/>
      <c r="B2606" s="552"/>
      <c r="C2606" s="553"/>
      <c r="D2606" s="554"/>
      <c r="E2606" s="554"/>
      <c r="F2606" s="167"/>
      <c r="G2606" s="474"/>
      <c r="H2606" s="474"/>
      <c r="J2606" s="555"/>
    </row>
    <row r="2607" spans="1:10" s="165" customFormat="1">
      <c r="A2607" s="172"/>
      <c r="B2607" s="552"/>
      <c r="C2607" s="553"/>
      <c r="D2607" s="554"/>
      <c r="E2607" s="554"/>
      <c r="F2607" s="167"/>
      <c r="G2607" s="474"/>
      <c r="H2607" s="474"/>
      <c r="J2607" s="555"/>
    </row>
    <row r="2608" spans="1:10" s="165" customFormat="1">
      <c r="A2608" s="172"/>
      <c r="B2608" s="552"/>
      <c r="C2608" s="553"/>
      <c r="D2608" s="554"/>
      <c r="E2608" s="554"/>
      <c r="F2608" s="167"/>
      <c r="G2608" s="474"/>
      <c r="H2608" s="474"/>
      <c r="J2608" s="555"/>
    </row>
    <row r="2609" spans="1:10" s="165" customFormat="1">
      <c r="A2609" s="172"/>
      <c r="B2609" s="552"/>
      <c r="C2609" s="553"/>
      <c r="D2609" s="554"/>
      <c r="E2609" s="554"/>
      <c r="F2609" s="167"/>
      <c r="G2609" s="474"/>
      <c r="H2609" s="474"/>
      <c r="J2609" s="555"/>
    </row>
    <row r="2610" spans="1:10" s="165" customFormat="1">
      <c r="A2610" s="172"/>
      <c r="B2610" s="552"/>
      <c r="C2610" s="553"/>
      <c r="D2610" s="554"/>
      <c r="E2610" s="554"/>
      <c r="F2610" s="167"/>
      <c r="G2610" s="474"/>
      <c r="H2610" s="474"/>
      <c r="J2610" s="555"/>
    </row>
    <row r="2611" spans="1:10" s="165" customFormat="1">
      <c r="A2611" s="172"/>
      <c r="B2611" s="552"/>
      <c r="C2611" s="553"/>
      <c r="D2611" s="554"/>
      <c r="E2611" s="554"/>
      <c r="F2611" s="167"/>
      <c r="G2611" s="474"/>
      <c r="H2611" s="474"/>
      <c r="J2611" s="555"/>
    </row>
    <row r="2612" spans="1:10" s="165" customFormat="1">
      <c r="A2612" s="172"/>
      <c r="B2612" s="552"/>
      <c r="C2612" s="553"/>
      <c r="D2612" s="554"/>
      <c r="E2612" s="554"/>
      <c r="F2612" s="167"/>
      <c r="G2612" s="474"/>
      <c r="H2612" s="474"/>
      <c r="J2612" s="555"/>
    </row>
    <row r="2613" spans="1:10" s="165" customFormat="1">
      <c r="A2613" s="172"/>
      <c r="B2613" s="552"/>
      <c r="C2613" s="553"/>
      <c r="D2613" s="554"/>
      <c r="E2613" s="554"/>
      <c r="F2613" s="167"/>
      <c r="G2613" s="474"/>
      <c r="H2613" s="474"/>
      <c r="J2613" s="555"/>
    </row>
    <row r="2614" spans="1:10" s="165" customFormat="1">
      <c r="A2614" s="172"/>
      <c r="B2614" s="552"/>
      <c r="C2614" s="553"/>
      <c r="D2614" s="554"/>
      <c r="E2614" s="554"/>
      <c r="F2614" s="167"/>
      <c r="G2614" s="474"/>
      <c r="H2614" s="474"/>
      <c r="J2614" s="555"/>
    </row>
    <row r="2615" spans="1:10" s="165" customFormat="1">
      <c r="A2615" s="172"/>
      <c r="B2615" s="552"/>
      <c r="C2615" s="553"/>
      <c r="D2615" s="554"/>
      <c r="E2615" s="554"/>
      <c r="F2615" s="167"/>
      <c r="G2615" s="474"/>
      <c r="H2615" s="474"/>
      <c r="J2615" s="555"/>
    </row>
    <row r="2616" spans="1:10" s="165" customFormat="1">
      <c r="A2616" s="172"/>
      <c r="B2616" s="552"/>
      <c r="C2616" s="553"/>
      <c r="D2616" s="554"/>
      <c r="E2616" s="554"/>
      <c r="F2616" s="167"/>
      <c r="G2616" s="474"/>
      <c r="H2616" s="474"/>
      <c r="J2616" s="555"/>
    </row>
    <row r="2617" spans="1:10" s="165" customFormat="1">
      <c r="A2617" s="172"/>
      <c r="B2617" s="552"/>
      <c r="C2617" s="553"/>
      <c r="D2617" s="554"/>
      <c r="E2617" s="554"/>
      <c r="F2617" s="167"/>
      <c r="G2617" s="474"/>
      <c r="H2617" s="474"/>
      <c r="J2617" s="555"/>
    </row>
    <row r="2618" spans="1:10" s="165" customFormat="1">
      <c r="A2618" s="172"/>
      <c r="B2618" s="552"/>
      <c r="C2618" s="553"/>
      <c r="D2618" s="554"/>
      <c r="E2618" s="554"/>
      <c r="F2618" s="167"/>
      <c r="G2618" s="474"/>
      <c r="H2618" s="474"/>
      <c r="J2618" s="555"/>
    </row>
    <row r="2619" spans="1:10" s="165" customFormat="1">
      <c r="A2619" s="172"/>
      <c r="B2619" s="552"/>
      <c r="C2619" s="553"/>
      <c r="D2619" s="554"/>
      <c r="E2619" s="554"/>
      <c r="F2619" s="167"/>
      <c r="G2619" s="474"/>
      <c r="H2619" s="474"/>
      <c r="J2619" s="555"/>
    </row>
    <row r="2620" spans="1:10" s="165" customFormat="1">
      <c r="A2620" s="172"/>
      <c r="B2620" s="552"/>
      <c r="C2620" s="553"/>
      <c r="D2620" s="554"/>
      <c r="E2620" s="554"/>
      <c r="F2620" s="167"/>
      <c r="G2620" s="474"/>
      <c r="H2620" s="474"/>
      <c r="J2620" s="555"/>
    </row>
    <row r="2621" spans="1:10" s="165" customFormat="1">
      <c r="A2621" s="172"/>
      <c r="B2621" s="552"/>
      <c r="C2621" s="553"/>
      <c r="D2621" s="554"/>
      <c r="E2621" s="554"/>
      <c r="F2621" s="167"/>
      <c r="G2621" s="474"/>
      <c r="H2621" s="474"/>
      <c r="J2621" s="555"/>
    </row>
    <row r="2622" spans="1:10" s="165" customFormat="1">
      <c r="A2622" s="172"/>
      <c r="B2622" s="552"/>
      <c r="C2622" s="553"/>
      <c r="D2622" s="554"/>
      <c r="E2622" s="554"/>
      <c r="F2622" s="167"/>
      <c r="G2622" s="474"/>
      <c r="H2622" s="474"/>
      <c r="J2622" s="555"/>
    </row>
    <row r="2623" spans="1:10" s="165" customFormat="1">
      <c r="A2623" s="172"/>
      <c r="B2623" s="552"/>
      <c r="C2623" s="553"/>
      <c r="D2623" s="554"/>
      <c r="E2623" s="554"/>
      <c r="F2623" s="167"/>
      <c r="G2623" s="474"/>
      <c r="H2623" s="474"/>
      <c r="J2623" s="555"/>
    </row>
    <row r="2624" spans="1:10" s="165" customFormat="1">
      <c r="A2624" s="172"/>
      <c r="B2624" s="552"/>
      <c r="C2624" s="553"/>
      <c r="D2624" s="554"/>
      <c r="E2624" s="554"/>
      <c r="F2624" s="167"/>
      <c r="G2624" s="474"/>
      <c r="H2624" s="474"/>
      <c r="J2624" s="555"/>
    </row>
    <row r="2625" spans="1:10" s="165" customFormat="1">
      <c r="A2625" s="172"/>
      <c r="B2625" s="552"/>
      <c r="C2625" s="553"/>
      <c r="D2625" s="554"/>
      <c r="E2625" s="554"/>
      <c r="F2625" s="167"/>
      <c r="G2625" s="474"/>
      <c r="H2625" s="474"/>
      <c r="J2625" s="555"/>
    </row>
    <row r="2626" spans="1:10" s="165" customFormat="1">
      <c r="A2626" s="172"/>
      <c r="B2626" s="552"/>
      <c r="C2626" s="553"/>
      <c r="D2626" s="554"/>
      <c r="E2626" s="554"/>
      <c r="F2626" s="167"/>
      <c r="G2626" s="474"/>
      <c r="H2626" s="474"/>
      <c r="J2626" s="555"/>
    </row>
    <row r="2627" spans="1:10" s="165" customFormat="1">
      <c r="A2627" s="172"/>
      <c r="B2627" s="552"/>
      <c r="C2627" s="553"/>
      <c r="D2627" s="554"/>
      <c r="E2627" s="554"/>
      <c r="F2627" s="167"/>
      <c r="G2627" s="474"/>
      <c r="H2627" s="474"/>
      <c r="J2627" s="555"/>
    </row>
    <row r="2628" spans="1:10" s="165" customFormat="1">
      <c r="A2628" s="172"/>
      <c r="B2628" s="552"/>
      <c r="C2628" s="553"/>
      <c r="D2628" s="554"/>
      <c r="E2628" s="554"/>
      <c r="F2628" s="167"/>
      <c r="G2628" s="474"/>
      <c r="H2628" s="474"/>
      <c r="J2628" s="555"/>
    </row>
    <row r="2629" spans="1:10" s="165" customFormat="1">
      <c r="A2629" s="172"/>
      <c r="B2629" s="552"/>
      <c r="C2629" s="553"/>
      <c r="D2629" s="554"/>
      <c r="E2629" s="554"/>
      <c r="F2629" s="167"/>
      <c r="G2629" s="474"/>
      <c r="H2629" s="474"/>
      <c r="J2629" s="555"/>
    </row>
    <row r="2630" spans="1:10" s="165" customFormat="1">
      <c r="A2630" s="172"/>
      <c r="B2630" s="552"/>
      <c r="C2630" s="553"/>
      <c r="D2630" s="554"/>
      <c r="E2630" s="554"/>
      <c r="F2630" s="167"/>
      <c r="G2630" s="474"/>
      <c r="H2630" s="474"/>
      <c r="J2630" s="555"/>
    </row>
    <row r="2631" spans="1:10" s="165" customFormat="1">
      <c r="A2631" s="172"/>
      <c r="B2631" s="552"/>
      <c r="C2631" s="553"/>
      <c r="D2631" s="554"/>
      <c r="E2631" s="554"/>
      <c r="F2631" s="167"/>
      <c r="G2631" s="474"/>
      <c r="H2631" s="474"/>
      <c r="J2631" s="555"/>
    </row>
    <row r="2632" spans="1:10" s="165" customFormat="1">
      <c r="A2632" s="172"/>
      <c r="B2632" s="552"/>
      <c r="C2632" s="553"/>
      <c r="D2632" s="554"/>
      <c r="E2632" s="554"/>
      <c r="F2632" s="167"/>
      <c r="G2632" s="474"/>
      <c r="H2632" s="474"/>
      <c r="J2632" s="555"/>
    </row>
    <row r="2633" spans="1:10" s="165" customFormat="1">
      <c r="A2633" s="172"/>
      <c r="B2633" s="552"/>
      <c r="C2633" s="553"/>
      <c r="D2633" s="554"/>
      <c r="E2633" s="554"/>
      <c r="F2633" s="167"/>
      <c r="G2633" s="474"/>
      <c r="H2633" s="474"/>
      <c r="J2633" s="555"/>
    </row>
    <row r="2634" spans="1:10" s="165" customFormat="1">
      <c r="A2634" s="172"/>
      <c r="B2634" s="552"/>
      <c r="C2634" s="553"/>
      <c r="D2634" s="554"/>
      <c r="E2634" s="554"/>
      <c r="F2634" s="167"/>
      <c r="G2634" s="474"/>
      <c r="H2634" s="474"/>
      <c r="J2634" s="555"/>
    </row>
    <row r="2635" spans="1:10" s="165" customFormat="1">
      <c r="A2635" s="172"/>
      <c r="B2635" s="552"/>
      <c r="C2635" s="553"/>
      <c r="D2635" s="554"/>
      <c r="E2635" s="554"/>
      <c r="F2635" s="167"/>
      <c r="G2635" s="474"/>
      <c r="H2635" s="474"/>
      <c r="J2635" s="555"/>
    </row>
    <row r="2636" spans="1:10" s="165" customFormat="1">
      <c r="A2636" s="172"/>
      <c r="B2636" s="552"/>
      <c r="C2636" s="553"/>
      <c r="D2636" s="554"/>
      <c r="E2636" s="554"/>
      <c r="F2636" s="167"/>
      <c r="G2636" s="474"/>
      <c r="H2636" s="474"/>
      <c r="J2636" s="555"/>
    </row>
    <row r="2637" spans="1:10" s="165" customFormat="1">
      <c r="A2637" s="172"/>
      <c r="B2637" s="552"/>
      <c r="C2637" s="553"/>
      <c r="D2637" s="554"/>
      <c r="E2637" s="554"/>
      <c r="F2637" s="167"/>
      <c r="G2637" s="474"/>
      <c r="H2637" s="474"/>
      <c r="J2637" s="555"/>
    </row>
    <row r="2638" spans="1:10" s="165" customFormat="1">
      <c r="A2638" s="172"/>
      <c r="B2638" s="552"/>
      <c r="C2638" s="553"/>
      <c r="D2638" s="554"/>
      <c r="E2638" s="554"/>
      <c r="F2638" s="167"/>
      <c r="G2638" s="474"/>
      <c r="H2638" s="474"/>
      <c r="J2638" s="555"/>
    </row>
    <row r="2639" spans="1:10" s="165" customFormat="1">
      <c r="A2639" s="172"/>
      <c r="B2639" s="552"/>
      <c r="C2639" s="553"/>
      <c r="D2639" s="554"/>
      <c r="E2639" s="554"/>
      <c r="F2639" s="167"/>
      <c r="G2639" s="474"/>
      <c r="H2639" s="474"/>
      <c r="J2639" s="555"/>
    </row>
    <row r="2640" spans="1:10" s="165" customFormat="1">
      <c r="A2640" s="172"/>
      <c r="B2640" s="552"/>
      <c r="C2640" s="553"/>
      <c r="D2640" s="554"/>
      <c r="E2640" s="554"/>
      <c r="F2640" s="167"/>
      <c r="G2640" s="474"/>
      <c r="H2640" s="474"/>
      <c r="J2640" s="555"/>
    </row>
    <row r="2641" spans="1:10" s="165" customFormat="1">
      <c r="A2641" s="172"/>
      <c r="B2641" s="552"/>
      <c r="C2641" s="553"/>
      <c r="D2641" s="554"/>
      <c r="E2641" s="554"/>
      <c r="F2641" s="167"/>
      <c r="G2641" s="474"/>
      <c r="H2641" s="474"/>
      <c r="J2641" s="555"/>
    </row>
    <row r="2642" spans="1:10" s="165" customFormat="1">
      <c r="A2642" s="172"/>
      <c r="B2642" s="552"/>
      <c r="C2642" s="553"/>
      <c r="D2642" s="554"/>
      <c r="E2642" s="554"/>
      <c r="F2642" s="167"/>
      <c r="G2642" s="474"/>
      <c r="H2642" s="474"/>
      <c r="J2642" s="555"/>
    </row>
    <row r="2643" spans="1:10" s="165" customFormat="1">
      <c r="A2643" s="172"/>
      <c r="B2643" s="552"/>
      <c r="C2643" s="553"/>
      <c r="D2643" s="554"/>
      <c r="E2643" s="554"/>
      <c r="F2643" s="167"/>
      <c r="G2643" s="474"/>
      <c r="H2643" s="474"/>
      <c r="J2643" s="555"/>
    </row>
    <row r="2644" spans="1:10" s="165" customFormat="1">
      <c r="A2644" s="172"/>
      <c r="B2644" s="552"/>
      <c r="C2644" s="553"/>
      <c r="D2644" s="554"/>
      <c r="E2644" s="554"/>
      <c r="F2644" s="167"/>
      <c r="G2644" s="474"/>
      <c r="H2644" s="474"/>
      <c r="J2644" s="555"/>
    </row>
    <row r="2645" spans="1:10" s="165" customFormat="1">
      <c r="A2645" s="172"/>
      <c r="B2645" s="552"/>
      <c r="C2645" s="553"/>
      <c r="D2645" s="554"/>
      <c r="E2645" s="554"/>
      <c r="F2645" s="167"/>
      <c r="G2645" s="474"/>
      <c r="H2645" s="474"/>
      <c r="J2645" s="555"/>
    </row>
    <row r="2646" spans="1:10" s="165" customFormat="1">
      <c r="A2646" s="172"/>
      <c r="B2646" s="552"/>
      <c r="C2646" s="553"/>
      <c r="D2646" s="554"/>
      <c r="E2646" s="554"/>
      <c r="F2646" s="167"/>
      <c r="G2646" s="474"/>
      <c r="H2646" s="474"/>
      <c r="J2646" s="555"/>
    </row>
    <row r="2647" spans="1:10" s="165" customFormat="1">
      <c r="A2647" s="172"/>
      <c r="B2647" s="552"/>
      <c r="C2647" s="553"/>
      <c r="D2647" s="554"/>
      <c r="E2647" s="554"/>
      <c r="F2647" s="167"/>
      <c r="G2647" s="474"/>
      <c r="H2647" s="474"/>
      <c r="J2647" s="555"/>
    </row>
    <row r="2648" spans="1:10" s="165" customFormat="1">
      <c r="A2648" s="172"/>
      <c r="B2648" s="552"/>
      <c r="C2648" s="553"/>
      <c r="D2648" s="554"/>
      <c r="E2648" s="554"/>
      <c r="F2648" s="167"/>
      <c r="G2648" s="474"/>
      <c r="H2648" s="474"/>
      <c r="J2648" s="555"/>
    </row>
    <row r="2649" spans="1:10" s="165" customFormat="1">
      <c r="A2649" s="172"/>
      <c r="B2649" s="552"/>
      <c r="C2649" s="553"/>
      <c r="D2649" s="554"/>
      <c r="E2649" s="554"/>
      <c r="F2649" s="167"/>
      <c r="G2649" s="474"/>
      <c r="H2649" s="474"/>
      <c r="J2649" s="555"/>
    </row>
    <row r="2650" spans="1:10" s="165" customFormat="1">
      <c r="A2650" s="172"/>
      <c r="B2650" s="552"/>
      <c r="C2650" s="553"/>
      <c r="D2650" s="554"/>
      <c r="E2650" s="554"/>
      <c r="F2650" s="167"/>
      <c r="G2650" s="474"/>
      <c r="H2650" s="474"/>
      <c r="J2650" s="555"/>
    </row>
    <row r="2651" spans="1:10" s="165" customFormat="1">
      <c r="A2651" s="172"/>
      <c r="B2651" s="552"/>
      <c r="C2651" s="553"/>
      <c r="D2651" s="554"/>
      <c r="E2651" s="554"/>
      <c r="F2651" s="167"/>
      <c r="G2651" s="474"/>
      <c r="H2651" s="474"/>
      <c r="J2651" s="555"/>
    </row>
    <row r="2652" spans="1:10" s="165" customFormat="1">
      <c r="A2652" s="172"/>
      <c r="B2652" s="552"/>
      <c r="C2652" s="553"/>
      <c r="D2652" s="554"/>
      <c r="E2652" s="554"/>
      <c r="F2652" s="167"/>
      <c r="G2652" s="474"/>
      <c r="H2652" s="474"/>
      <c r="J2652" s="555"/>
    </row>
  </sheetData>
  <sortState xmlns:xlrd2="http://schemas.microsoft.com/office/spreadsheetml/2017/richdata2" ref="A6:H34">
    <sortCondition ref="G34"/>
  </sortState>
  <phoneticPr fontId="8" type="noConversion"/>
  <conditionalFormatting sqref="F5:F1048576">
    <cfRule type="containsText" dxfId="1272" priority="146" operator="containsText" text="DA PAGARE">
      <formula>NOT(ISERROR(SEARCH("DA PAGARE",F5)))</formula>
    </cfRule>
  </conditionalFormatting>
  <conditionalFormatting sqref="F6:F828">
    <cfRule type="containsText" dxfId="1271" priority="142" operator="containsText" text="SCADUTA">
      <formula>NOT(ISERROR(SEARCH("SCADUTA",F6)))</formula>
    </cfRule>
    <cfRule type="containsText" dxfId="1270" priority="143" operator="containsText" text="DA SALDARE">
      <formula>NOT(ISERROR(SEARCH("DA SALDARE",F6)))</formula>
    </cfRule>
    <cfRule type="containsText" dxfId="1269" priority="144" operator="containsText" text="PAGATA">
      <formula>NOT(ISERROR(SEARCH("PAGATA",F6)))</formula>
    </cfRule>
  </conditionalFormatting>
  <conditionalFormatting sqref="F137:F150">
    <cfRule type="containsText" dxfId="1268" priority="9" operator="containsText" text="DA PAGARE">
      <formula>NOT(ISERROR(SEARCH("DA PAGARE",F137)))</formula>
    </cfRule>
    <cfRule type="containsText" dxfId="1267" priority="10" operator="containsText" text="SCADUTA">
      <formula>NOT(ISERROR(SEARCH("SCADUTA",F137)))</formula>
    </cfRule>
    <cfRule type="containsText" dxfId="1266" priority="11" operator="containsText" text="DA SALDARE">
      <formula>NOT(ISERROR(SEARCH("DA SALDARE",F137)))</formula>
    </cfRule>
    <cfRule type="containsText" dxfId="1265" priority="12" operator="containsText" text="PAGATA">
      <formula>NOT(ISERROR(SEARCH("PAGATA",F137)))</formula>
    </cfRule>
  </conditionalFormatting>
  <conditionalFormatting sqref="F188:F191">
    <cfRule type="containsText" dxfId="1264" priority="17" operator="containsText" text="SCADUTA">
      <formula>NOT(ISERROR(SEARCH("SCADUTA",F188)))</formula>
    </cfRule>
    <cfRule type="containsText" dxfId="1263" priority="18" operator="containsText" text="DA SALDARE">
      <formula>NOT(ISERROR(SEARCH("DA SALDARE",F188)))</formula>
    </cfRule>
    <cfRule type="containsText" dxfId="1262" priority="19" operator="containsText" text="PAGATA">
      <formula>NOT(ISERROR(SEARCH("PAGATA",F188)))</formula>
    </cfRule>
    <cfRule type="containsText" dxfId="1261" priority="20" operator="containsText" text="DA PAGARE">
      <formula>NOT(ISERROR(SEARCH("DA PAGARE",F188)))</formula>
    </cfRule>
  </conditionalFormatting>
  <conditionalFormatting sqref="G5">
    <cfRule type="containsText" dxfId="1260" priority="145" operator="containsText" text="DA PAGARE">
      <formula>NOT(ISERROR(SEARCH("DA PAGARE",G5)))</formula>
    </cfRule>
  </conditionalFormatting>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633A-53AB-9E46-AE0B-8C757F8AECC7}">
  <dimension ref="A1:AP1995"/>
  <sheetViews>
    <sheetView topLeftCell="A22" workbookViewId="0">
      <selection activeCell="L34" sqref="L34"/>
    </sheetView>
  </sheetViews>
  <sheetFormatPr baseColWidth="10" defaultColWidth="11" defaultRowHeight="16"/>
  <cols>
    <col min="1" max="1" width="10.1640625" style="42" customWidth="1"/>
    <col min="2" max="2" width="19.83203125" style="107" customWidth="1"/>
    <col min="3" max="3" width="29.1640625" style="104" customWidth="1"/>
    <col min="4" max="5" width="12.1640625" style="43" customWidth="1"/>
    <col min="6" max="6" width="8.83203125" style="43" bestFit="1" customWidth="1"/>
    <col min="7" max="7" width="19.83203125" style="44" customWidth="1"/>
    <col min="8" max="8" width="16.1640625" style="58" customWidth="1"/>
    <col min="9" max="9" width="60.33203125" style="58" customWidth="1"/>
    <col min="10" max="10" width="8.6640625" style="24" customWidth="1"/>
    <col min="11" max="11" width="8.6640625" style="28" customWidth="1"/>
    <col min="12" max="42" width="11" style="24"/>
  </cols>
  <sheetData>
    <row r="1" spans="1:42" s="34" customFormat="1" ht="27" customHeight="1" thickBot="1">
      <c r="A1" s="30" t="s">
        <v>291</v>
      </c>
      <c r="B1" s="101" t="s">
        <v>312</v>
      </c>
      <c r="C1" s="32" t="s">
        <v>313</v>
      </c>
      <c r="D1" s="32" t="s">
        <v>116</v>
      </c>
      <c r="E1" s="32" t="s">
        <v>439</v>
      </c>
      <c r="F1" s="32" t="s">
        <v>168</v>
      </c>
      <c r="G1" s="31" t="s">
        <v>314</v>
      </c>
      <c r="H1" s="31" t="s">
        <v>315</v>
      </c>
      <c r="I1" s="102" t="s">
        <v>292</v>
      </c>
      <c r="J1" s="33"/>
      <c r="K1" s="27" t="s">
        <v>316</v>
      </c>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row>
    <row r="2" spans="1:42">
      <c r="A2" s="54">
        <v>44181</v>
      </c>
      <c r="B2" s="105" t="s">
        <v>117</v>
      </c>
      <c r="C2" s="37" t="s">
        <v>440</v>
      </c>
      <c r="D2" s="112">
        <v>2987</v>
      </c>
      <c r="E2" s="112"/>
      <c r="F2" s="112"/>
      <c r="G2" s="37" t="s">
        <v>323</v>
      </c>
      <c r="H2" s="97">
        <v>43815</v>
      </c>
      <c r="I2" s="97" t="s">
        <v>441</v>
      </c>
      <c r="J2" s="38"/>
      <c r="K2" s="39"/>
    </row>
    <row r="3" spans="1:42" s="55" customFormat="1">
      <c r="A3" s="94">
        <v>43895</v>
      </c>
      <c r="B3" s="119" t="s">
        <v>442</v>
      </c>
      <c r="C3" s="120" t="s">
        <v>443</v>
      </c>
      <c r="D3" s="67">
        <v>596.52</v>
      </c>
      <c r="E3" s="67"/>
      <c r="F3" s="67"/>
      <c r="G3" s="120" t="s">
        <v>323</v>
      </c>
      <c r="H3" s="60">
        <v>43896</v>
      </c>
      <c r="I3" s="121"/>
      <c r="J3" s="122"/>
      <c r="K3" s="124"/>
    </row>
    <row r="4" spans="1:42">
      <c r="A4" s="35">
        <v>43997</v>
      </c>
      <c r="B4" s="105" t="s">
        <v>444</v>
      </c>
      <c r="C4" s="37" t="s">
        <v>445</v>
      </c>
      <c r="D4" s="118">
        <v>2759.5</v>
      </c>
      <c r="E4" s="118"/>
      <c r="F4" s="111"/>
      <c r="G4" s="37" t="s">
        <v>323</v>
      </c>
      <c r="H4" s="35">
        <v>44114</v>
      </c>
      <c r="I4" s="61"/>
      <c r="J4" s="38"/>
    </row>
    <row r="5" spans="1:42">
      <c r="A5" s="35">
        <v>44117</v>
      </c>
      <c r="B5" s="105">
        <v>3023036480</v>
      </c>
      <c r="C5" s="37" t="s">
        <v>446</v>
      </c>
      <c r="D5" s="36">
        <v>62.83</v>
      </c>
      <c r="E5" s="36"/>
      <c r="F5" s="36"/>
      <c r="G5" s="37" t="s">
        <v>323</v>
      </c>
      <c r="H5" s="35">
        <v>44124</v>
      </c>
      <c r="I5" s="62"/>
      <c r="J5" s="38"/>
    </row>
    <row r="6" spans="1:42">
      <c r="A6" s="35">
        <v>44074</v>
      </c>
      <c r="B6" s="105" t="s">
        <v>447</v>
      </c>
      <c r="C6" s="37" t="s">
        <v>448</v>
      </c>
      <c r="D6" s="36">
        <v>288.52</v>
      </c>
      <c r="E6" s="36"/>
      <c r="F6" s="36"/>
      <c r="G6" s="37" t="s">
        <v>323</v>
      </c>
      <c r="H6" s="56">
        <v>44135</v>
      </c>
      <c r="I6" s="62"/>
      <c r="J6" s="38"/>
    </row>
    <row r="7" spans="1:42">
      <c r="A7" s="35">
        <v>44076</v>
      </c>
      <c r="B7" s="105">
        <v>120513753</v>
      </c>
      <c r="C7" s="37" t="s">
        <v>385</v>
      </c>
      <c r="D7" s="36">
        <v>1505.28</v>
      </c>
      <c r="E7" s="36"/>
      <c r="F7" s="36"/>
      <c r="G7" s="37" t="s">
        <v>323</v>
      </c>
      <c r="H7" s="35">
        <v>44137</v>
      </c>
      <c r="I7" s="62"/>
      <c r="J7" s="38"/>
    </row>
    <row r="8" spans="1:42">
      <c r="A8" s="35">
        <v>43997</v>
      </c>
      <c r="B8" s="105" t="s">
        <v>449</v>
      </c>
      <c r="C8" s="37" t="s">
        <v>445</v>
      </c>
      <c r="D8" s="111">
        <v>2759.5</v>
      </c>
      <c r="E8" s="111"/>
      <c r="F8" s="111"/>
      <c r="G8" s="37" t="s">
        <v>323</v>
      </c>
      <c r="H8" s="35">
        <v>44145</v>
      </c>
      <c r="I8" s="62"/>
      <c r="J8" s="38"/>
    </row>
    <row r="9" spans="1:42">
      <c r="A9" s="35">
        <v>44145</v>
      </c>
      <c r="B9" s="105" t="s">
        <v>173</v>
      </c>
      <c r="C9" s="37" t="s">
        <v>450</v>
      </c>
      <c r="D9" s="112">
        <v>6286.72</v>
      </c>
      <c r="E9" s="112"/>
      <c r="F9" s="112"/>
      <c r="G9" s="37" t="s">
        <v>323</v>
      </c>
      <c r="H9" s="35">
        <v>44151</v>
      </c>
      <c r="I9" s="62" t="s">
        <v>451</v>
      </c>
      <c r="J9" s="38"/>
    </row>
    <row r="10" spans="1:42">
      <c r="A10" s="35">
        <v>44118</v>
      </c>
      <c r="B10" s="105" t="s">
        <v>452</v>
      </c>
      <c r="C10" s="37" t="s">
        <v>412</v>
      </c>
      <c r="D10" s="36">
        <v>29.28</v>
      </c>
      <c r="E10" s="36"/>
      <c r="F10" s="36"/>
      <c r="G10" s="37" t="s">
        <v>323</v>
      </c>
      <c r="H10" s="35">
        <v>44155</v>
      </c>
      <c r="I10" s="62"/>
      <c r="J10" s="38"/>
    </row>
    <row r="11" spans="1:42">
      <c r="A11" s="54">
        <v>44135</v>
      </c>
      <c r="B11" s="105" t="s">
        <v>453</v>
      </c>
      <c r="C11" s="37" t="s">
        <v>349</v>
      </c>
      <c r="D11" s="96">
        <v>650.16999999999996</v>
      </c>
      <c r="E11" s="96"/>
      <c r="F11" s="96"/>
      <c r="G11" s="37" t="s">
        <v>323</v>
      </c>
      <c r="H11" s="97">
        <v>44165</v>
      </c>
      <c r="I11" s="97"/>
      <c r="J11" s="38"/>
    </row>
    <row r="12" spans="1:42">
      <c r="A12" s="35">
        <v>44106</v>
      </c>
      <c r="B12" s="105">
        <v>32710</v>
      </c>
      <c r="C12" s="37" t="s">
        <v>100</v>
      </c>
      <c r="D12" s="36">
        <v>3120.75</v>
      </c>
      <c r="E12" s="36"/>
      <c r="F12" s="36"/>
      <c r="G12" s="37" t="s">
        <v>323</v>
      </c>
      <c r="H12" s="35">
        <v>44167</v>
      </c>
      <c r="I12" s="62"/>
      <c r="J12" s="38"/>
    </row>
    <row r="13" spans="1:42">
      <c r="A13" s="35">
        <v>43997</v>
      </c>
      <c r="B13" s="105" t="s">
        <v>454</v>
      </c>
      <c r="C13" s="37" t="s">
        <v>445</v>
      </c>
      <c r="D13" s="111">
        <v>2759.5</v>
      </c>
      <c r="E13" s="111"/>
      <c r="F13" s="111"/>
      <c r="G13" s="37" t="s">
        <v>323</v>
      </c>
      <c r="H13" s="35">
        <v>44175</v>
      </c>
      <c r="I13" s="62"/>
      <c r="J13" s="38"/>
    </row>
    <row r="14" spans="1:42">
      <c r="A14" s="35">
        <v>44175</v>
      </c>
      <c r="B14" s="105" t="s">
        <v>0</v>
      </c>
      <c r="C14" s="37" t="s">
        <v>455</v>
      </c>
      <c r="D14" s="112">
        <f>9193.46-D9</f>
        <v>2906.7399999999989</v>
      </c>
      <c r="E14" s="112"/>
      <c r="F14" s="112"/>
      <c r="G14" s="37" t="s">
        <v>323</v>
      </c>
      <c r="H14" s="35">
        <v>44181</v>
      </c>
      <c r="I14" s="62" t="s">
        <v>456</v>
      </c>
      <c r="J14" s="38"/>
    </row>
    <row r="15" spans="1:42">
      <c r="A15" s="54">
        <v>44188</v>
      </c>
      <c r="B15" s="105">
        <v>8925</v>
      </c>
      <c r="C15" s="37" t="s">
        <v>336</v>
      </c>
      <c r="D15" s="36">
        <v>552.46</v>
      </c>
      <c r="E15" s="36"/>
      <c r="F15" s="36"/>
      <c r="G15" s="37" t="s">
        <v>323</v>
      </c>
      <c r="H15" s="35">
        <v>44188</v>
      </c>
      <c r="I15" s="62"/>
      <c r="J15" s="38"/>
    </row>
    <row r="16" spans="1:42">
      <c r="A16" s="35">
        <v>44113</v>
      </c>
      <c r="B16" s="105" t="s">
        <v>457</v>
      </c>
      <c r="C16" s="37" t="s">
        <v>458</v>
      </c>
      <c r="D16" s="36">
        <v>3288.73</v>
      </c>
      <c r="E16" s="36"/>
      <c r="F16" s="36"/>
      <c r="G16" s="37" t="s">
        <v>323</v>
      </c>
      <c r="H16" s="35">
        <v>44196</v>
      </c>
      <c r="I16" s="62"/>
      <c r="J16" s="38"/>
    </row>
    <row r="17" spans="1:11">
      <c r="A17" s="54">
        <v>44177</v>
      </c>
      <c r="B17" s="105" t="s">
        <v>117</v>
      </c>
      <c r="C17" s="37" t="s">
        <v>459</v>
      </c>
      <c r="D17" s="36">
        <v>1000</v>
      </c>
      <c r="E17" s="36"/>
      <c r="F17" s="36"/>
      <c r="G17" s="37" t="s">
        <v>323</v>
      </c>
      <c r="H17" s="35">
        <v>44197</v>
      </c>
      <c r="I17" s="62"/>
      <c r="J17" s="38"/>
    </row>
    <row r="18" spans="1:11">
      <c r="A18" s="35">
        <v>43997</v>
      </c>
      <c r="B18" s="105" t="s">
        <v>460</v>
      </c>
      <c r="C18" s="37" t="s">
        <v>445</v>
      </c>
      <c r="D18" s="111">
        <v>2759.5</v>
      </c>
      <c r="E18" s="111"/>
      <c r="F18" s="111"/>
      <c r="G18" s="37" t="s">
        <v>323</v>
      </c>
      <c r="H18" s="35">
        <v>44206</v>
      </c>
      <c r="I18" s="62"/>
      <c r="J18" s="38"/>
    </row>
    <row r="19" spans="1:11">
      <c r="A19" s="54">
        <v>44214</v>
      </c>
      <c r="B19" s="105" t="s">
        <v>461</v>
      </c>
      <c r="C19" s="37" t="s">
        <v>462</v>
      </c>
      <c r="D19" s="36">
        <v>2220.9699999999998</v>
      </c>
      <c r="E19" s="36"/>
      <c r="F19" s="36"/>
      <c r="G19" s="37" t="s">
        <v>323</v>
      </c>
      <c r="H19" s="35">
        <v>44214</v>
      </c>
      <c r="I19" s="62"/>
      <c r="J19" s="38"/>
    </row>
    <row r="20" spans="1:11">
      <c r="A20" s="54">
        <v>44177</v>
      </c>
      <c r="B20" s="105" t="s">
        <v>463</v>
      </c>
      <c r="C20" s="37" t="s">
        <v>412</v>
      </c>
      <c r="D20" s="36">
        <v>30.87</v>
      </c>
      <c r="E20" s="36"/>
      <c r="F20" s="36"/>
      <c r="G20" s="37" t="s">
        <v>323</v>
      </c>
      <c r="H20" s="35">
        <v>44216</v>
      </c>
      <c r="I20" s="62"/>
      <c r="J20" s="38"/>
    </row>
    <row r="21" spans="1:11">
      <c r="A21" s="54">
        <v>44186</v>
      </c>
      <c r="B21" s="105">
        <v>529</v>
      </c>
      <c r="C21" s="37" t="s">
        <v>361</v>
      </c>
      <c r="D21" s="36">
        <v>-49.1</v>
      </c>
      <c r="E21" s="36"/>
      <c r="F21" s="36"/>
      <c r="G21" s="37" t="s">
        <v>323</v>
      </c>
      <c r="H21" s="35">
        <v>44217</v>
      </c>
      <c r="I21" s="62"/>
      <c r="J21" s="38"/>
    </row>
    <row r="22" spans="1:11">
      <c r="A22" s="35">
        <v>44193</v>
      </c>
      <c r="B22" s="105">
        <v>5317</v>
      </c>
      <c r="C22" s="37" t="s">
        <v>349</v>
      </c>
      <c r="D22" s="36">
        <v>241.23</v>
      </c>
      <c r="E22" s="36"/>
      <c r="F22" s="36"/>
      <c r="G22" s="37" t="s">
        <v>323</v>
      </c>
      <c r="H22" s="35">
        <v>44224</v>
      </c>
      <c r="I22" s="62"/>
      <c r="J22" s="38"/>
    </row>
    <row r="23" spans="1:11">
      <c r="A23" s="35">
        <v>43997</v>
      </c>
      <c r="B23" s="105" t="s">
        <v>464</v>
      </c>
      <c r="C23" s="37" t="s">
        <v>445</v>
      </c>
      <c r="D23" s="111">
        <v>2759.5</v>
      </c>
      <c r="E23" s="111"/>
      <c r="F23" s="111"/>
      <c r="G23" s="37" t="s">
        <v>323</v>
      </c>
      <c r="H23" s="35">
        <v>44237</v>
      </c>
      <c r="I23" s="68" t="s">
        <v>386</v>
      </c>
      <c r="J23" s="38"/>
    </row>
    <row r="24" spans="1:11" s="55" customFormat="1">
      <c r="A24" s="94">
        <v>44187</v>
      </c>
      <c r="B24" s="119">
        <v>42150</v>
      </c>
      <c r="C24" s="120" t="s">
        <v>100</v>
      </c>
      <c r="D24" s="67">
        <v>327.42</v>
      </c>
      <c r="E24" s="67">
        <f t="shared" ref="E24:E29" si="0">D24-F24</f>
        <v>255.98000000000002</v>
      </c>
      <c r="F24" s="67">
        <v>71.44</v>
      </c>
      <c r="G24" s="120" t="s">
        <v>323</v>
      </c>
      <c r="H24" s="94">
        <v>44249</v>
      </c>
      <c r="I24" s="121"/>
      <c r="J24" s="122"/>
      <c r="K24" s="123"/>
    </row>
    <row r="25" spans="1:11">
      <c r="A25" s="54">
        <v>44253</v>
      </c>
      <c r="B25" s="105" t="s">
        <v>465</v>
      </c>
      <c r="C25" s="37" t="s">
        <v>336</v>
      </c>
      <c r="D25" s="36">
        <v>336.52</v>
      </c>
      <c r="E25" s="36">
        <f t="shared" si="0"/>
        <v>280.39999999999998</v>
      </c>
      <c r="F25" s="36">
        <v>56.12</v>
      </c>
      <c r="G25" s="37" t="s">
        <v>323</v>
      </c>
      <c r="H25" s="35">
        <v>44253</v>
      </c>
      <c r="I25" s="62"/>
      <c r="J25" s="38"/>
    </row>
    <row r="26" spans="1:11">
      <c r="A26" s="54">
        <v>44226</v>
      </c>
      <c r="B26" s="105" t="s">
        <v>466</v>
      </c>
      <c r="C26" s="37" t="s">
        <v>349</v>
      </c>
      <c r="D26" s="36">
        <v>120.76</v>
      </c>
      <c r="E26" s="36">
        <f t="shared" si="0"/>
        <v>109.78</v>
      </c>
      <c r="F26" s="36">
        <v>10.98</v>
      </c>
      <c r="G26" s="37" t="s">
        <v>323</v>
      </c>
      <c r="H26" s="35">
        <v>44255</v>
      </c>
      <c r="I26" s="62"/>
      <c r="J26" s="38"/>
    </row>
    <row r="27" spans="1:11">
      <c r="A27" s="54">
        <v>44175</v>
      </c>
      <c r="B27" s="105" t="s">
        <v>467</v>
      </c>
      <c r="C27" s="37" t="s">
        <v>341</v>
      </c>
      <c r="D27" s="36">
        <v>1265.5999999999999</v>
      </c>
      <c r="E27" s="36">
        <f t="shared" si="0"/>
        <v>1037.3799999999999</v>
      </c>
      <c r="F27" s="36">
        <v>228.22</v>
      </c>
      <c r="G27" s="37" t="s">
        <v>323</v>
      </c>
      <c r="H27" s="35">
        <v>44255</v>
      </c>
      <c r="I27" s="62" t="s">
        <v>468</v>
      </c>
      <c r="J27" s="38"/>
    </row>
    <row r="28" spans="1:11" s="55" customFormat="1">
      <c r="A28" s="94">
        <v>44260</v>
      </c>
      <c r="B28" s="119" t="s">
        <v>117</v>
      </c>
      <c r="C28" s="120" t="s">
        <v>469</v>
      </c>
      <c r="D28" s="67">
        <v>490</v>
      </c>
      <c r="E28" s="67">
        <f t="shared" si="0"/>
        <v>490</v>
      </c>
      <c r="F28" s="67">
        <v>0</v>
      </c>
      <c r="G28" s="120" t="s">
        <v>323</v>
      </c>
      <c r="H28" s="94">
        <v>44256</v>
      </c>
      <c r="I28" s="121"/>
      <c r="J28" s="122"/>
      <c r="K28" s="123"/>
    </row>
    <row r="29" spans="1:11">
      <c r="A29" s="54">
        <v>44246</v>
      </c>
      <c r="B29" s="105" t="s">
        <v>470</v>
      </c>
      <c r="C29" s="37" t="s">
        <v>471</v>
      </c>
      <c r="D29" s="36">
        <v>-78.47</v>
      </c>
      <c r="E29" s="36">
        <f t="shared" si="0"/>
        <v>-64.319999999999993</v>
      </c>
      <c r="F29" s="36">
        <v>-14.15</v>
      </c>
      <c r="G29" s="37" t="s">
        <v>323</v>
      </c>
      <c r="H29" s="35">
        <v>44261</v>
      </c>
      <c r="I29" s="62"/>
      <c r="J29" s="38"/>
    </row>
    <row r="30" spans="1:11">
      <c r="A30" s="35">
        <v>43997</v>
      </c>
      <c r="B30" s="105" t="s">
        <v>472</v>
      </c>
      <c r="C30" s="37" t="s">
        <v>445</v>
      </c>
      <c r="D30" s="111">
        <f>2759.5</f>
        <v>2759.5</v>
      </c>
      <c r="E30" s="111"/>
      <c r="F30" s="111"/>
      <c r="G30" s="37" t="s">
        <v>323</v>
      </c>
      <c r="H30" s="35">
        <v>44265</v>
      </c>
      <c r="I30" s="113" t="s">
        <v>473</v>
      </c>
      <c r="J30" s="38"/>
    </row>
    <row r="31" spans="1:11">
      <c r="A31" s="54">
        <v>44250</v>
      </c>
      <c r="B31" s="105" t="s">
        <v>474</v>
      </c>
      <c r="C31" s="37" t="s">
        <v>471</v>
      </c>
      <c r="D31" s="36">
        <v>541.87</v>
      </c>
      <c r="E31" s="36">
        <f>D31-F31</f>
        <v>458.94</v>
      </c>
      <c r="F31" s="36">
        <v>82.93</v>
      </c>
      <c r="G31" s="37" t="s">
        <v>323</v>
      </c>
      <c r="H31" s="35">
        <v>44265</v>
      </c>
      <c r="I31" s="62"/>
      <c r="J31" s="38"/>
    </row>
    <row r="32" spans="1:11">
      <c r="A32" s="54">
        <v>44260</v>
      </c>
      <c r="B32" s="105" t="s">
        <v>475</v>
      </c>
      <c r="C32" s="37" t="s">
        <v>435</v>
      </c>
      <c r="D32" s="36">
        <v>562.17999999999995</v>
      </c>
      <c r="E32" s="36">
        <v>460.8</v>
      </c>
      <c r="F32" s="36">
        <v>101.38</v>
      </c>
      <c r="G32" s="37" t="s">
        <v>323</v>
      </c>
      <c r="H32" s="35">
        <v>44267</v>
      </c>
      <c r="I32" s="62"/>
      <c r="J32" s="38"/>
    </row>
    <row r="33" spans="1:11">
      <c r="A33" s="54">
        <v>44257</v>
      </c>
      <c r="B33" s="105" t="s">
        <v>476</v>
      </c>
      <c r="C33" s="37" t="s">
        <v>471</v>
      </c>
      <c r="D33" s="36">
        <v>609.1</v>
      </c>
      <c r="E33" s="36">
        <f>D33-F33</f>
        <v>502.87</v>
      </c>
      <c r="F33" s="36">
        <v>106.23</v>
      </c>
      <c r="G33" s="37" t="s">
        <v>323</v>
      </c>
      <c r="H33" s="35">
        <v>44272</v>
      </c>
      <c r="I33" s="62"/>
      <c r="J33" s="38"/>
    </row>
    <row r="34" spans="1:11">
      <c r="A34" s="54">
        <v>44244</v>
      </c>
      <c r="B34" s="105" t="s">
        <v>477</v>
      </c>
      <c r="C34" s="37" t="s">
        <v>478</v>
      </c>
      <c r="D34" s="36">
        <v>431.47</v>
      </c>
      <c r="E34" s="36">
        <f>D34-F34</f>
        <v>353.66</v>
      </c>
      <c r="F34" s="36">
        <v>77.81</v>
      </c>
      <c r="G34" s="37" t="s">
        <v>323</v>
      </c>
      <c r="H34" s="35">
        <v>44279</v>
      </c>
      <c r="I34" s="62" t="s">
        <v>392</v>
      </c>
      <c r="J34" s="38"/>
    </row>
    <row r="35" spans="1:11">
      <c r="A35" s="54">
        <v>44253</v>
      </c>
      <c r="B35" s="105" t="s">
        <v>479</v>
      </c>
      <c r="C35" s="37" t="s">
        <v>349</v>
      </c>
      <c r="D35" s="36">
        <v>870.25</v>
      </c>
      <c r="E35" s="36">
        <f>D35-F35</f>
        <v>791.14</v>
      </c>
      <c r="F35" s="36">
        <v>79.11</v>
      </c>
      <c r="G35" s="37" t="s">
        <v>323</v>
      </c>
      <c r="H35" s="35">
        <v>44281</v>
      </c>
      <c r="I35" s="62"/>
      <c r="J35" s="38"/>
    </row>
    <row r="36" spans="1:11">
      <c r="A36" s="54">
        <v>44255</v>
      </c>
      <c r="B36" s="105" t="s">
        <v>480</v>
      </c>
      <c r="C36" s="37" t="s">
        <v>361</v>
      </c>
      <c r="D36" s="36">
        <v>882.03</v>
      </c>
      <c r="E36" s="36">
        <f>D36-F36</f>
        <v>810.68</v>
      </c>
      <c r="F36" s="36">
        <v>71.349999999999994</v>
      </c>
      <c r="G36" s="37" t="s">
        <v>323</v>
      </c>
      <c r="H36" s="35">
        <v>44283</v>
      </c>
      <c r="I36" s="62"/>
      <c r="J36" s="38"/>
    </row>
    <row r="37" spans="1:11">
      <c r="A37" s="54">
        <v>44285</v>
      </c>
      <c r="B37" s="105" t="s">
        <v>481</v>
      </c>
      <c r="C37" s="37" t="s">
        <v>482</v>
      </c>
      <c r="D37" s="36">
        <v>225.7</v>
      </c>
      <c r="E37" s="36">
        <v>185</v>
      </c>
      <c r="F37" s="36">
        <v>40.700000000000003</v>
      </c>
      <c r="G37" s="37" t="s">
        <v>323</v>
      </c>
      <c r="H37" s="35">
        <v>44285</v>
      </c>
      <c r="I37" s="62"/>
      <c r="J37" s="38"/>
    </row>
    <row r="38" spans="1:11">
      <c r="A38" s="54">
        <v>44254</v>
      </c>
      <c r="B38" s="105" t="s">
        <v>483</v>
      </c>
      <c r="C38" s="37" t="s">
        <v>448</v>
      </c>
      <c r="D38" s="36">
        <v>184.62</v>
      </c>
      <c r="E38" s="36">
        <f>D38-F38</f>
        <v>151.33000000000001</v>
      </c>
      <c r="F38" s="36">
        <v>33.29</v>
      </c>
      <c r="G38" s="37" t="s">
        <v>323</v>
      </c>
      <c r="H38" s="35">
        <v>44286</v>
      </c>
      <c r="I38" s="62"/>
      <c r="J38" s="38"/>
    </row>
    <row r="39" spans="1:11">
      <c r="A39" s="54">
        <v>44245</v>
      </c>
      <c r="B39" s="105" t="s">
        <v>484</v>
      </c>
      <c r="C39" s="37" t="s">
        <v>341</v>
      </c>
      <c r="D39" s="36">
        <v>111.7</v>
      </c>
      <c r="E39" s="36">
        <f>D39-F39</f>
        <v>91.56</v>
      </c>
      <c r="F39" s="36">
        <v>20.14</v>
      </c>
      <c r="G39" s="37" t="s">
        <v>323</v>
      </c>
      <c r="H39" s="35">
        <v>44286</v>
      </c>
      <c r="I39" s="62"/>
      <c r="J39" s="38"/>
    </row>
    <row r="40" spans="1:11">
      <c r="A40" s="54">
        <v>44231</v>
      </c>
      <c r="B40" s="105" t="s">
        <v>485</v>
      </c>
      <c r="C40" s="37" t="s">
        <v>341</v>
      </c>
      <c r="D40" s="36">
        <v>101.74</v>
      </c>
      <c r="E40" s="36">
        <f>D40-F40</f>
        <v>83.389999999999986</v>
      </c>
      <c r="F40" s="36">
        <v>18.350000000000001</v>
      </c>
      <c r="G40" s="37" t="s">
        <v>323</v>
      </c>
      <c r="H40" s="35">
        <v>44286</v>
      </c>
      <c r="I40" s="62" t="s">
        <v>392</v>
      </c>
      <c r="J40" s="38"/>
    </row>
    <row r="41" spans="1:11">
      <c r="A41" s="54">
        <v>44228</v>
      </c>
      <c r="B41" s="105" t="s">
        <v>486</v>
      </c>
      <c r="C41" s="37" t="s">
        <v>347</v>
      </c>
      <c r="D41" s="36">
        <v>178.12</v>
      </c>
      <c r="E41" s="36">
        <f>D41-F41</f>
        <v>146</v>
      </c>
      <c r="F41" s="36">
        <v>32.119999999999997</v>
      </c>
      <c r="G41" s="37" t="s">
        <v>323</v>
      </c>
      <c r="H41" s="35">
        <v>44286</v>
      </c>
      <c r="I41" s="62" t="s">
        <v>392</v>
      </c>
      <c r="J41" s="38"/>
    </row>
    <row r="42" spans="1:11">
      <c r="A42" s="54">
        <v>44175</v>
      </c>
      <c r="B42" s="105" t="s">
        <v>487</v>
      </c>
      <c r="C42" s="37" t="s">
        <v>341</v>
      </c>
      <c r="D42" s="36">
        <v>1265.5999999999999</v>
      </c>
      <c r="E42" s="36">
        <f>D42-F42</f>
        <v>1037.3799999999999</v>
      </c>
      <c r="F42" s="36">
        <v>228.22</v>
      </c>
      <c r="G42" s="37" t="s">
        <v>323</v>
      </c>
      <c r="H42" s="35">
        <v>44286</v>
      </c>
      <c r="I42" s="62" t="s">
        <v>468</v>
      </c>
      <c r="J42" s="38"/>
    </row>
    <row r="43" spans="1:11">
      <c r="A43" s="54">
        <v>44286</v>
      </c>
      <c r="B43" s="105" t="s">
        <v>488</v>
      </c>
      <c r="C43" s="37" t="s">
        <v>394</v>
      </c>
      <c r="D43" s="36">
        <v>233.64</v>
      </c>
      <c r="E43" s="36">
        <v>213.92</v>
      </c>
      <c r="F43" s="36">
        <v>9.7200000000000006</v>
      </c>
      <c r="G43" s="37" t="s">
        <v>323</v>
      </c>
      <c r="H43" s="35">
        <v>44286</v>
      </c>
      <c r="I43" s="62"/>
      <c r="J43" s="38"/>
    </row>
    <row r="44" spans="1:11">
      <c r="A44" s="54">
        <v>44286</v>
      </c>
      <c r="B44" s="105" t="s">
        <v>489</v>
      </c>
      <c r="C44" s="37" t="s">
        <v>336</v>
      </c>
      <c r="D44" s="36">
        <v>385.52</v>
      </c>
      <c r="E44" s="36">
        <v>316</v>
      </c>
      <c r="F44" s="36">
        <v>69.52</v>
      </c>
      <c r="G44" s="37" t="s">
        <v>323</v>
      </c>
      <c r="H44" s="35">
        <v>44286</v>
      </c>
      <c r="I44" s="62"/>
      <c r="J44" s="38"/>
    </row>
    <row r="45" spans="1:11">
      <c r="A45" s="54">
        <v>44286</v>
      </c>
      <c r="B45" s="105" t="s">
        <v>490</v>
      </c>
      <c r="C45" s="37" t="s">
        <v>361</v>
      </c>
      <c r="D45" s="36">
        <v>258.32</v>
      </c>
      <c r="E45" s="36">
        <v>235.41</v>
      </c>
      <c r="F45" s="36">
        <v>22.82</v>
      </c>
      <c r="G45" s="37" t="s">
        <v>323</v>
      </c>
      <c r="H45" s="35">
        <v>44286</v>
      </c>
      <c r="I45" s="62"/>
      <c r="J45" s="38"/>
    </row>
    <row r="46" spans="1:11">
      <c r="A46" s="54">
        <v>44292</v>
      </c>
      <c r="B46" s="105" t="s">
        <v>491</v>
      </c>
      <c r="C46" s="37" t="s">
        <v>492</v>
      </c>
      <c r="D46" s="36">
        <v>1830</v>
      </c>
      <c r="E46" s="36">
        <v>1500</v>
      </c>
      <c r="F46" s="36">
        <v>330</v>
      </c>
      <c r="G46" s="37" t="s">
        <v>323</v>
      </c>
      <c r="H46" s="35">
        <v>44296</v>
      </c>
      <c r="I46" s="62"/>
      <c r="J46" s="38"/>
    </row>
    <row r="47" spans="1:11" s="55" customFormat="1">
      <c r="A47" s="94">
        <v>44294</v>
      </c>
      <c r="B47" s="119" t="s">
        <v>117</v>
      </c>
      <c r="C47" s="120" t="s">
        <v>493</v>
      </c>
      <c r="D47" s="67">
        <v>2054.81</v>
      </c>
      <c r="E47" s="67"/>
      <c r="F47" s="67"/>
      <c r="G47" s="120" t="s">
        <v>355</v>
      </c>
      <c r="H47" s="60">
        <v>44304</v>
      </c>
      <c r="I47" s="60"/>
      <c r="J47" s="122"/>
      <c r="K47" s="123"/>
    </row>
    <row r="48" spans="1:11">
      <c r="A48" s="54">
        <v>44270</v>
      </c>
      <c r="B48" s="105">
        <v>212115664</v>
      </c>
      <c r="C48" s="37" t="s">
        <v>478</v>
      </c>
      <c r="D48" s="36">
        <v>717.35</v>
      </c>
      <c r="E48" s="36">
        <v>587.99</v>
      </c>
      <c r="F48" s="36">
        <v>129.36000000000001</v>
      </c>
      <c r="G48" s="37" t="s">
        <v>355</v>
      </c>
      <c r="H48" s="35">
        <v>44305</v>
      </c>
      <c r="I48" s="62"/>
      <c r="J48" s="38"/>
    </row>
    <row r="49" spans="1:11">
      <c r="A49" s="54">
        <v>44256</v>
      </c>
      <c r="B49" s="105" t="s">
        <v>494</v>
      </c>
      <c r="C49" s="37" t="s">
        <v>347</v>
      </c>
      <c r="D49" s="36">
        <v>178.12</v>
      </c>
      <c r="E49" s="36">
        <f>D49-F49</f>
        <v>146</v>
      </c>
      <c r="F49" s="36">
        <v>32.119999999999997</v>
      </c>
      <c r="G49" s="37" t="s">
        <v>355</v>
      </c>
      <c r="H49" s="35">
        <v>44316</v>
      </c>
      <c r="I49" s="62"/>
      <c r="J49" s="38"/>
    </row>
    <row r="50" spans="1:11">
      <c r="A50" s="54">
        <v>44227</v>
      </c>
      <c r="B50" s="105" t="s">
        <v>495</v>
      </c>
      <c r="C50" s="37" t="s">
        <v>359</v>
      </c>
      <c r="D50" s="36">
        <v>438.93</v>
      </c>
      <c r="E50" s="36">
        <f>D50-F50</f>
        <v>359.78</v>
      </c>
      <c r="F50" s="36">
        <v>79.150000000000006</v>
      </c>
      <c r="G50" s="37" t="s">
        <v>355</v>
      </c>
      <c r="H50" s="35">
        <v>44316</v>
      </c>
      <c r="I50" s="62"/>
      <c r="J50" s="38"/>
    </row>
    <row r="51" spans="1:11">
      <c r="A51" s="54">
        <v>44259</v>
      </c>
      <c r="B51" s="105" t="s">
        <v>496</v>
      </c>
      <c r="C51" s="37" t="s">
        <v>359</v>
      </c>
      <c r="D51" s="36">
        <v>-103.68</v>
      </c>
      <c r="E51" s="36">
        <v>-84.98</v>
      </c>
      <c r="F51" s="36">
        <v>-18.7</v>
      </c>
      <c r="G51" s="37" t="s">
        <v>355</v>
      </c>
      <c r="H51" s="35">
        <v>44316</v>
      </c>
      <c r="I51" s="62"/>
      <c r="J51" s="38"/>
    </row>
    <row r="52" spans="1:11">
      <c r="A52" s="54">
        <v>44259</v>
      </c>
      <c r="B52" s="105" t="s">
        <v>497</v>
      </c>
      <c r="C52" s="37" t="s">
        <v>341</v>
      </c>
      <c r="D52" s="36">
        <v>117.71</v>
      </c>
      <c r="E52" s="36">
        <v>96.48</v>
      </c>
      <c r="F52" s="36">
        <v>21.23</v>
      </c>
      <c r="G52" s="37" t="s">
        <v>355</v>
      </c>
      <c r="H52" s="35">
        <v>44316</v>
      </c>
      <c r="I52" s="62"/>
      <c r="J52" s="38"/>
    </row>
    <row r="53" spans="1:11">
      <c r="A53" s="54">
        <v>44259</v>
      </c>
      <c r="B53" s="105" t="s">
        <v>498</v>
      </c>
      <c r="C53" s="37" t="s">
        <v>499</v>
      </c>
      <c r="D53" s="36">
        <v>278.51</v>
      </c>
      <c r="E53" s="36">
        <v>228.29</v>
      </c>
      <c r="F53" s="36">
        <v>50.22</v>
      </c>
      <c r="G53" s="37" t="s">
        <v>355</v>
      </c>
      <c r="H53" s="35">
        <v>44320</v>
      </c>
      <c r="I53" s="62"/>
      <c r="J53" s="38"/>
    </row>
    <row r="54" spans="1:11">
      <c r="A54" s="54">
        <v>44287</v>
      </c>
      <c r="B54" s="105" t="s">
        <v>500</v>
      </c>
      <c r="C54" s="37" t="s">
        <v>347</v>
      </c>
      <c r="D54" s="36">
        <v>178.12</v>
      </c>
      <c r="E54" s="36">
        <v>146</v>
      </c>
      <c r="F54" s="36">
        <v>32.119999999999997</v>
      </c>
      <c r="G54" s="37" t="s">
        <v>355</v>
      </c>
      <c r="H54" s="35">
        <v>44347</v>
      </c>
      <c r="I54" s="62"/>
      <c r="J54" s="38"/>
    </row>
    <row r="55" spans="1:11" s="24" customFormat="1">
      <c r="A55" s="40"/>
      <c r="B55" s="106"/>
      <c r="C55" s="103"/>
      <c r="D55" s="41"/>
      <c r="E55" s="41"/>
      <c r="F55" s="41"/>
      <c r="G55" s="25"/>
      <c r="H55" s="57"/>
      <c r="I55" s="57"/>
      <c r="K55" s="28"/>
    </row>
    <row r="56" spans="1:11" s="24" customFormat="1">
      <c r="A56" s="40"/>
      <c r="B56" s="106"/>
      <c r="C56" s="103"/>
      <c r="D56" s="41"/>
      <c r="E56" s="41"/>
      <c r="F56" s="41"/>
      <c r="G56" s="25"/>
      <c r="H56" s="57"/>
      <c r="I56" s="57"/>
      <c r="K56" s="28"/>
    </row>
    <row r="57" spans="1:11" s="24" customFormat="1">
      <c r="A57" s="40"/>
      <c r="B57" s="106"/>
      <c r="C57" s="103"/>
      <c r="D57" s="41"/>
      <c r="E57" s="41"/>
      <c r="F57" s="41"/>
      <c r="G57" s="25"/>
      <c r="H57" s="57"/>
      <c r="I57" s="57"/>
      <c r="K57" s="28"/>
    </row>
    <row r="58" spans="1:11" s="24" customFormat="1">
      <c r="A58" s="40"/>
      <c r="B58" s="106"/>
      <c r="C58" s="103"/>
      <c r="D58" s="41"/>
      <c r="E58" s="41"/>
      <c r="F58" s="41"/>
      <c r="G58" s="25"/>
      <c r="H58" s="57"/>
      <c r="I58" s="57"/>
      <c r="K58" s="28"/>
    </row>
    <row r="59" spans="1:11" s="24" customFormat="1">
      <c r="A59" s="40"/>
      <c r="B59" s="106"/>
      <c r="C59" s="103"/>
      <c r="D59" s="41"/>
      <c r="E59" s="41"/>
      <c r="F59" s="41"/>
      <c r="G59" s="25"/>
      <c r="H59" s="57"/>
      <c r="I59" s="57"/>
      <c r="K59" s="28"/>
    </row>
    <row r="60" spans="1:11" s="24" customFormat="1">
      <c r="A60" s="40"/>
      <c r="B60" s="106"/>
      <c r="C60" s="103"/>
      <c r="D60" s="41"/>
      <c r="E60" s="41"/>
      <c r="F60" s="41"/>
      <c r="G60" s="25"/>
      <c r="H60" s="57"/>
      <c r="I60" s="57"/>
      <c r="K60" s="28"/>
    </row>
    <row r="61" spans="1:11" s="24" customFormat="1">
      <c r="A61" s="40"/>
      <c r="B61" s="106"/>
      <c r="C61" s="103"/>
      <c r="D61" s="41"/>
      <c r="E61" s="41"/>
      <c r="F61" s="41"/>
      <c r="G61" s="25"/>
      <c r="H61" s="57"/>
      <c r="I61" s="57"/>
      <c r="K61" s="28"/>
    </row>
    <row r="62" spans="1:11" s="24" customFormat="1">
      <c r="A62" s="40"/>
      <c r="B62" s="106"/>
      <c r="C62" s="103"/>
      <c r="D62" s="41"/>
      <c r="E62" s="41"/>
      <c r="F62" s="41"/>
      <c r="G62" s="25"/>
      <c r="H62" s="57"/>
      <c r="I62" s="57"/>
      <c r="K62" s="28"/>
    </row>
    <row r="63" spans="1:11" s="24" customFormat="1">
      <c r="A63" s="40"/>
      <c r="B63" s="106"/>
      <c r="C63" s="103"/>
      <c r="D63" s="41"/>
      <c r="E63" s="41"/>
      <c r="F63" s="41"/>
      <c r="G63" s="25"/>
      <c r="H63" s="57"/>
      <c r="I63" s="57"/>
      <c r="K63" s="28"/>
    </row>
    <row r="64" spans="1:11" s="24" customFormat="1">
      <c r="A64" s="40"/>
      <c r="B64" s="106"/>
      <c r="C64" s="103"/>
      <c r="D64" s="41"/>
      <c r="E64" s="41"/>
      <c r="F64" s="41"/>
      <c r="G64" s="25"/>
      <c r="H64" s="57"/>
      <c r="I64" s="57"/>
      <c r="K64" s="28"/>
    </row>
    <row r="65" spans="1:11" s="24" customFormat="1">
      <c r="A65" s="40"/>
      <c r="B65" s="106"/>
      <c r="C65" s="103"/>
      <c r="D65" s="41"/>
      <c r="E65" s="41"/>
      <c r="F65" s="41"/>
      <c r="G65" s="25"/>
      <c r="H65" s="57"/>
      <c r="I65" s="57"/>
      <c r="K65" s="28"/>
    </row>
    <row r="66" spans="1:11" s="24" customFormat="1">
      <c r="A66" s="40"/>
      <c r="B66" s="106"/>
      <c r="C66" s="103"/>
      <c r="D66" s="41"/>
      <c r="E66" s="41"/>
      <c r="F66" s="41"/>
      <c r="G66" s="25"/>
      <c r="H66" s="57"/>
      <c r="I66" s="57"/>
      <c r="K66" s="28"/>
    </row>
    <row r="67" spans="1:11" s="24" customFormat="1">
      <c r="A67" s="40"/>
      <c r="B67" s="106"/>
      <c r="C67" s="103"/>
      <c r="D67" s="41"/>
      <c r="E67" s="41"/>
      <c r="F67" s="41"/>
      <c r="G67" s="25"/>
      <c r="H67" s="57"/>
      <c r="I67" s="57"/>
      <c r="K67" s="28"/>
    </row>
    <row r="68" spans="1:11" s="24" customFormat="1">
      <c r="A68" s="40"/>
      <c r="B68" s="106"/>
      <c r="C68" s="103"/>
      <c r="D68" s="41"/>
      <c r="E68" s="41"/>
      <c r="F68" s="41"/>
      <c r="G68" s="25"/>
      <c r="H68" s="57"/>
      <c r="I68" s="57"/>
      <c r="K68" s="28"/>
    </row>
    <row r="69" spans="1:11" s="24" customFormat="1">
      <c r="A69" s="40"/>
      <c r="B69" s="106"/>
      <c r="C69" s="103"/>
      <c r="D69" s="41"/>
      <c r="E69" s="41"/>
      <c r="F69" s="41"/>
      <c r="G69" s="25"/>
      <c r="H69" s="57"/>
      <c r="I69" s="57"/>
      <c r="K69" s="28"/>
    </row>
    <row r="70" spans="1:11" s="24" customFormat="1">
      <c r="A70" s="40"/>
      <c r="B70" s="106"/>
      <c r="C70" s="103"/>
      <c r="D70" s="41"/>
      <c r="E70" s="41"/>
      <c r="F70" s="41"/>
      <c r="G70" s="25"/>
      <c r="H70" s="57"/>
      <c r="I70" s="57"/>
      <c r="K70" s="28"/>
    </row>
    <row r="71" spans="1:11" s="24" customFormat="1">
      <c r="A71" s="40"/>
      <c r="B71" s="106"/>
      <c r="C71" s="103"/>
      <c r="D71" s="41"/>
      <c r="E71" s="41"/>
      <c r="F71" s="41"/>
      <c r="G71" s="25"/>
      <c r="H71" s="57"/>
      <c r="I71" s="57"/>
      <c r="K71" s="28"/>
    </row>
    <row r="72" spans="1:11" s="24" customFormat="1">
      <c r="A72" s="40"/>
      <c r="B72" s="106"/>
      <c r="C72" s="103"/>
      <c r="D72" s="41"/>
      <c r="E72" s="41"/>
      <c r="F72" s="41"/>
      <c r="G72" s="25"/>
      <c r="H72" s="57"/>
      <c r="I72" s="57"/>
      <c r="K72" s="28"/>
    </row>
    <row r="73" spans="1:11" s="24" customFormat="1">
      <c r="A73" s="40"/>
      <c r="B73" s="106"/>
      <c r="C73" s="103"/>
      <c r="D73" s="41"/>
      <c r="E73" s="41"/>
      <c r="F73" s="41"/>
      <c r="G73" s="25"/>
      <c r="H73" s="57"/>
      <c r="I73" s="57"/>
      <c r="K73" s="28"/>
    </row>
    <row r="74" spans="1:11" s="24" customFormat="1">
      <c r="A74" s="40"/>
      <c r="B74" s="106"/>
      <c r="C74" s="103"/>
      <c r="D74" s="41"/>
      <c r="E74" s="41"/>
      <c r="F74" s="41"/>
      <c r="G74" s="25"/>
      <c r="H74" s="57"/>
      <c r="I74" s="57"/>
      <c r="K74" s="28"/>
    </row>
    <row r="75" spans="1:11" s="24" customFormat="1">
      <c r="A75" s="40"/>
      <c r="B75" s="106"/>
      <c r="C75" s="103"/>
      <c r="D75" s="41"/>
      <c r="E75" s="41"/>
      <c r="F75" s="41"/>
      <c r="G75" s="25"/>
      <c r="H75" s="57"/>
      <c r="I75" s="57"/>
      <c r="K75" s="28"/>
    </row>
    <row r="76" spans="1:11" s="24" customFormat="1">
      <c r="A76" s="40"/>
      <c r="B76" s="106"/>
      <c r="C76" s="103"/>
      <c r="D76" s="41"/>
      <c r="E76" s="41"/>
      <c r="F76" s="41"/>
      <c r="G76" s="25"/>
      <c r="H76" s="57"/>
      <c r="I76" s="57"/>
      <c r="K76" s="28"/>
    </row>
    <row r="77" spans="1:11" s="24" customFormat="1">
      <c r="A77" s="40"/>
      <c r="B77" s="106"/>
      <c r="C77" s="103"/>
      <c r="D77" s="41"/>
      <c r="E77" s="41"/>
      <c r="F77" s="41"/>
      <c r="G77" s="25"/>
      <c r="H77" s="57"/>
      <c r="I77" s="57"/>
      <c r="K77" s="28"/>
    </row>
    <row r="78" spans="1:11" s="24" customFormat="1">
      <c r="A78" s="40"/>
      <c r="B78" s="106"/>
      <c r="C78" s="103"/>
      <c r="D78" s="41"/>
      <c r="E78" s="41"/>
      <c r="F78" s="41"/>
      <c r="G78" s="25"/>
      <c r="H78" s="57"/>
      <c r="I78" s="57"/>
      <c r="K78" s="28"/>
    </row>
    <row r="79" spans="1:11" s="24" customFormat="1">
      <c r="A79" s="40"/>
      <c r="B79" s="106"/>
      <c r="C79" s="103"/>
      <c r="D79" s="41"/>
      <c r="E79" s="41"/>
      <c r="F79" s="41"/>
      <c r="G79" s="25"/>
      <c r="H79" s="57"/>
      <c r="I79" s="57"/>
      <c r="K79" s="28"/>
    </row>
    <row r="80" spans="1:11" s="24" customFormat="1">
      <c r="A80" s="40"/>
      <c r="B80" s="106"/>
      <c r="C80" s="103"/>
      <c r="D80" s="41"/>
      <c r="E80" s="41"/>
      <c r="F80" s="41"/>
      <c r="G80" s="25"/>
      <c r="H80" s="57"/>
      <c r="I80" s="57"/>
      <c r="K80" s="28"/>
    </row>
    <row r="81" spans="1:11" s="24" customFormat="1">
      <c r="A81" s="40"/>
      <c r="B81" s="106"/>
      <c r="C81" s="103"/>
      <c r="D81" s="41"/>
      <c r="E81" s="41"/>
      <c r="F81" s="41"/>
      <c r="G81" s="25"/>
      <c r="H81" s="57"/>
      <c r="I81" s="57"/>
      <c r="K81" s="28"/>
    </row>
    <row r="82" spans="1:11" s="24" customFormat="1">
      <c r="A82" s="40"/>
      <c r="B82" s="106"/>
      <c r="C82" s="103"/>
      <c r="D82" s="41"/>
      <c r="E82" s="41"/>
      <c r="F82" s="41"/>
      <c r="G82" s="25"/>
      <c r="H82" s="57"/>
      <c r="I82" s="57"/>
      <c r="K82" s="28"/>
    </row>
    <row r="83" spans="1:11" s="24" customFormat="1">
      <c r="A83" s="40"/>
      <c r="B83" s="106"/>
      <c r="C83" s="103"/>
      <c r="D83" s="41"/>
      <c r="E83" s="41"/>
      <c r="F83" s="41"/>
      <c r="G83" s="25"/>
      <c r="H83" s="57"/>
      <c r="I83" s="57"/>
      <c r="K83" s="28"/>
    </row>
    <row r="84" spans="1:11" s="24" customFormat="1">
      <c r="A84" s="40"/>
      <c r="B84" s="106"/>
      <c r="C84" s="103"/>
      <c r="D84" s="41"/>
      <c r="E84" s="41"/>
      <c r="F84" s="41"/>
      <c r="G84" s="25"/>
      <c r="H84" s="57"/>
      <c r="I84" s="57"/>
      <c r="K84" s="28"/>
    </row>
    <row r="85" spans="1:11" s="24" customFormat="1">
      <c r="A85" s="40"/>
      <c r="B85" s="106"/>
      <c r="C85" s="103"/>
      <c r="D85" s="41"/>
      <c r="E85" s="41"/>
      <c r="F85" s="41"/>
      <c r="G85" s="25"/>
      <c r="H85" s="57"/>
      <c r="I85" s="57"/>
      <c r="K85" s="28"/>
    </row>
    <row r="86" spans="1:11" s="24" customFormat="1">
      <c r="A86" s="40"/>
      <c r="B86" s="106"/>
      <c r="C86" s="103"/>
      <c r="D86" s="41"/>
      <c r="E86" s="41"/>
      <c r="F86" s="41"/>
      <c r="G86" s="25"/>
      <c r="H86" s="57"/>
      <c r="I86" s="57"/>
      <c r="K86" s="28"/>
    </row>
    <row r="87" spans="1:11" s="24" customFormat="1">
      <c r="A87" s="40"/>
      <c r="B87" s="106"/>
      <c r="C87" s="103"/>
      <c r="D87" s="41"/>
      <c r="E87" s="41"/>
      <c r="F87" s="41"/>
      <c r="G87" s="25"/>
      <c r="H87" s="57"/>
      <c r="I87" s="57"/>
      <c r="K87" s="28"/>
    </row>
    <row r="88" spans="1:11" s="24" customFormat="1">
      <c r="A88" s="40"/>
      <c r="B88" s="106"/>
      <c r="C88" s="103"/>
      <c r="D88" s="41"/>
      <c r="E88" s="41"/>
      <c r="F88" s="41"/>
      <c r="G88" s="25"/>
      <c r="H88" s="57"/>
      <c r="I88" s="57"/>
      <c r="K88" s="28"/>
    </row>
    <row r="89" spans="1:11" s="24" customFormat="1">
      <c r="A89" s="40"/>
      <c r="B89" s="106"/>
      <c r="C89" s="103"/>
      <c r="D89" s="41"/>
      <c r="E89" s="41"/>
      <c r="F89" s="41"/>
      <c r="G89" s="25"/>
      <c r="H89" s="57"/>
      <c r="I89" s="57"/>
      <c r="K89" s="28"/>
    </row>
    <row r="90" spans="1:11" s="24" customFormat="1">
      <c r="A90" s="40"/>
      <c r="B90" s="106"/>
      <c r="C90" s="103"/>
      <c r="D90" s="41"/>
      <c r="E90" s="41"/>
      <c r="F90" s="41"/>
      <c r="G90" s="25"/>
      <c r="H90" s="57"/>
      <c r="I90" s="57"/>
      <c r="K90" s="28"/>
    </row>
    <row r="91" spans="1:11" s="24" customFormat="1">
      <c r="A91" s="40"/>
      <c r="B91" s="106"/>
      <c r="C91" s="103"/>
      <c r="D91" s="41"/>
      <c r="E91" s="41"/>
      <c r="F91" s="41"/>
      <c r="G91" s="25"/>
      <c r="H91" s="57"/>
      <c r="I91" s="57"/>
      <c r="K91" s="28"/>
    </row>
    <row r="92" spans="1:11" s="24" customFormat="1">
      <c r="A92" s="40"/>
      <c r="B92" s="106"/>
      <c r="C92" s="103"/>
      <c r="D92" s="41"/>
      <c r="E92" s="41"/>
      <c r="F92" s="41"/>
      <c r="G92" s="25"/>
      <c r="H92" s="57"/>
      <c r="I92" s="57"/>
      <c r="K92" s="28"/>
    </row>
    <row r="93" spans="1:11" s="24" customFormat="1">
      <c r="A93" s="40"/>
      <c r="B93" s="106"/>
      <c r="C93" s="103"/>
      <c r="D93" s="41"/>
      <c r="E93" s="41"/>
      <c r="F93" s="41"/>
      <c r="G93" s="25"/>
      <c r="H93" s="57"/>
      <c r="I93" s="57"/>
      <c r="K93" s="28"/>
    </row>
    <row r="94" spans="1:11" s="24" customFormat="1">
      <c r="A94" s="40"/>
      <c r="B94" s="106"/>
      <c r="C94" s="103"/>
      <c r="D94" s="41"/>
      <c r="E94" s="41"/>
      <c r="F94" s="41"/>
      <c r="G94" s="25"/>
      <c r="H94" s="57"/>
      <c r="I94" s="57"/>
      <c r="K94" s="28"/>
    </row>
    <row r="95" spans="1:11" s="24" customFormat="1">
      <c r="A95" s="40"/>
      <c r="B95" s="106"/>
      <c r="C95" s="103"/>
      <c r="D95" s="41"/>
      <c r="E95" s="41"/>
      <c r="F95" s="41"/>
      <c r="G95" s="25"/>
      <c r="H95" s="57"/>
      <c r="I95" s="57"/>
      <c r="K95" s="28"/>
    </row>
    <row r="96" spans="1:11" s="24" customFormat="1">
      <c r="A96" s="40"/>
      <c r="B96" s="106"/>
      <c r="C96" s="103"/>
      <c r="D96" s="41"/>
      <c r="E96" s="41"/>
      <c r="F96" s="41"/>
      <c r="G96" s="25"/>
      <c r="H96" s="57"/>
      <c r="I96" s="57"/>
      <c r="K96" s="28"/>
    </row>
    <row r="97" spans="1:11" s="24" customFormat="1">
      <c r="A97" s="40"/>
      <c r="B97" s="106"/>
      <c r="C97" s="103"/>
      <c r="D97" s="41"/>
      <c r="E97" s="41"/>
      <c r="F97" s="41"/>
      <c r="G97" s="25"/>
      <c r="H97" s="57"/>
      <c r="I97" s="57"/>
      <c r="K97" s="28"/>
    </row>
    <row r="98" spans="1:11" s="24" customFormat="1">
      <c r="A98" s="40"/>
      <c r="B98" s="106"/>
      <c r="C98" s="103"/>
      <c r="D98" s="41"/>
      <c r="E98" s="41"/>
      <c r="F98" s="41"/>
      <c r="G98" s="25"/>
      <c r="H98" s="57"/>
      <c r="I98" s="57"/>
      <c r="K98" s="28"/>
    </row>
    <row r="99" spans="1:11" s="24" customFormat="1">
      <c r="A99" s="40"/>
      <c r="B99" s="106"/>
      <c r="C99" s="103"/>
      <c r="D99" s="41"/>
      <c r="E99" s="41"/>
      <c r="F99" s="41"/>
      <c r="G99" s="25"/>
      <c r="H99" s="57"/>
      <c r="I99" s="57"/>
      <c r="K99" s="28"/>
    </row>
    <row r="100" spans="1:11" s="24" customFormat="1">
      <c r="A100" s="40"/>
      <c r="B100" s="106"/>
      <c r="C100" s="103"/>
      <c r="D100" s="41"/>
      <c r="E100" s="41"/>
      <c r="F100" s="41"/>
      <c r="G100" s="25"/>
      <c r="H100" s="57"/>
      <c r="I100" s="57"/>
      <c r="K100" s="28"/>
    </row>
    <row r="101" spans="1:11" s="24" customFormat="1">
      <c r="A101" s="40"/>
      <c r="B101" s="106"/>
      <c r="C101" s="103"/>
      <c r="D101" s="41"/>
      <c r="E101" s="41"/>
      <c r="F101" s="41"/>
      <c r="G101" s="25"/>
      <c r="H101" s="57"/>
      <c r="I101" s="57"/>
      <c r="K101" s="28"/>
    </row>
    <row r="102" spans="1:11" s="24" customFormat="1">
      <c r="A102" s="40"/>
      <c r="B102" s="106"/>
      <c r="C102" s="103"/>
      <c r="D102" s="41"/>
      <c r="E102" s="41"/>
      <c r="F102" s="41"/>
      <c r="G102" s="25"/>
      <c r="H102" s="57"/>
      <c r="I102" s="57"/>
      <c r="K102" s="28"/>
    </row>
    <row r="103" spans="1:11" s="24" customFormat="1">
      <c r="A103" s="40"/>
      <c r="B103" s="106"/>
      <c r="C103" s="103"/>
      <c r="D103" s="41"/>
      <c r="E103" s="41"/>
      <c r="F103" s="41"/>
      <c r="G103" s="25"/>
      <c r="H103" s="57"/>
      <c r="I103" s="57"/>
      <c r="K103" s="28"/>
    </row>
    <row r="104" spans="1:11" s="24" customFormat="1">
      <c r="A104" s="40"/>
      <c r="B104" s="106"/>
      <c r="C104" s="103"/>
      <c r="D104" s="41"/>
      <c r="E104" s="41"/>
      <c r="F104" s="41"/>
      <c r="G104" s="25"/>
      <c r="H104" s="57"/>
      <c r="I104" s="57"/>
      <c r="K104" s="28"/>
    </row>
    <row r="105" spans="1:11" s="24" customFormat="1">
      <c r="A105" s="40"/>
      <c r="B105" s="106"/>
      <c r="C105" s="103"/>
      <c r="D105" s="41"/>
      <c r="E105" s="41"/>
      <c r="F105" s="41"/>
      <c r="G105" s="25"/>
      <c r="H105" s="57"/>
      <c r="I105" s="57"/>
      <c r="K105" s="28"/>
    </row>
    <row r="106" spans="1:11" s="24" customFormat="1">
      <c r="A106" s="40"/>
      <c r="B106" s="106"/>
      <c r="C106" s="103"/>
      <c r="D106" s="41"/>
      <c r="E106" s="41"/>
      <c r="F106" s="41"/>
      <c r="G106" s="25"/>
      <c r="H106" s="57"/>
      <c r="I106" s="57"/>
      <c r="K106" s="28"/>
    </row>
    <row r="107" spans="1:11" s="24" customFormat="1">
      <c r="A107" s="40"/>
      <c r="B107" s="106"/>
      <c r="C107" s="103"/>
      <c r="D107" s="41"/>
      <c r="E107" s="41"/>
      <c r="F107" s="41"/>
      <c r="G107" s="25"/>
      <c r="H107" s="57"/>
      <c r="I107" s="57"/>
      <c r="K107" s="28"/>
    </row>
    <row r="108" spans="1:11" s="24" customFormat="1">
      <c r="A108" s="40"/>
      <c r="B108" s="106"/>
      <c r="C108" s="103"/>
      <c r="D108" s="41"/>
      <c r="E108" s="41"/>
      <c r="F108" s="41"/>
      <c r="G108" s="25"/>
      <c r="H108" s="57"/>
      <c r="I108" s="57"/>
      <c r="K108" s="28"/>
    </row>
    <row r="109" spans="1:11" s="24" customFormat="1">
      <c r="A109" s="40"/>
      <c r="B109" s="106"/>
      <c r="C109" s="103"/>
      <c r="D109" s="41"/>
      <c r="E109" s="41"/>
      <c r="F109" s="41"/>
      <c r="G109" s="25"/>
      <c r="H109" s="57"/>
      <c r="I109" s="57"/>
      <c r="K109" s="28"/>
    </row>
    <row r="110" spans="1:11" s="24" customFormat="1">
      <c r="A110" s="40"/>
      <c r="B110" s="106"/>
      <c r="C110" s="103"/>
      <c r="D110" s="41"/>
      <c r="E110" s="41"/>
      <c r="F110" s="41"/>
      <c r="G110" s="25"/>
      <c r="H110" s="57"/>
      <c r="I110" s="57"/>
      <c r="K110" s="28"/>
    </row>
    <row r="111" spans="1:11" s="24" customFormat="1">
      <c r="A111" s="40"/>
      <c r="B111" s="106"/>
      <c r="C111" s="103"/>
      <c r="D111" s="41"/>
      <c r="E111" s="41"/>
      <c r="F111" s="41"/>
      <c r="G111" s="25"/>
      <c r="H111" s="57"/>
      <c r="I111" s="57"/>
      <c r="K111" s="28"/>
    </row>
    <row r="112" spans="1:11" s="24" customFormat="1">
      <c r="A112" s="40"/>
      <c r="B112" s="106"/>
      <c r="C112" s="103"/>
      <c r="D112" s="41"/>
      <c r="E112" s="41"/>
      <c r="F112" s="41"/>
      <c r="G112" s="25"/>
      <c r="H112" s="57"/>
      <c r="I112" s="57"/>
      <c r="K112" s="28"/>
    </row>
    <row r="113" spans="1:11" s="24" customFormat="1">
      <c r="A113" s="40"/>
      <c r="B113" s="106"/>
      <c r="C113" s="103"/>
      <c r="D113" s="41"/>
      <c r="E113" s="41"/>
      <c r="F113" s="41"/>
      <c r="G113" s="25"/>
      <c r="H113" s="57"/>
      <c r="I113" s="57"/>
      <c r="K113" s="28"/>
    </row>
    <row r="114" spans="1:11" s="24" customFormat="1">
      <c r="A114" s="40"/>
      <c r="B114" s="106"/>
      <c r="C114" s="103"/>
      <c r="D114" s="41"/>
      <c r="E114" s="41"/>
      <c r="F114" s="41"/>
      <c r="G114" s="25"/>
      <c r="H114" s="57"/>
      <c r="I114" s="57"/>
      <c r="K114" s="28"/>
    </row>
    <row r="115" spans="1:11" s="24" customFormat="1">
      <c r="A115" s="40"/>
      <c r="B115" s="106"/>
      <c r="C115" s="103"/>
      <c r="D115" s="41"/>
      <c r="E115" s="41"/>
      <c r="F115" s="41"/>
      <c r="G115" s="25"/>
      <c r="H115" s="57"/>
      <c r="I115" s="57"/>
      <c r="K115" s="28"/>
    </row>
    <row r="116" spans="1:11" s="24" customFormat="1">
      <c r="A116" s="40"/>
      <c r="B116" s="106"/>
      <c r="C116" s="103"/>
      <c r="D116" s="41"/>
      <c r="E116" s="41"/>
      <c r="F116" s="41"/>
      <c r="G116" s="25"/>
      <c r="H116" s="57"/>
      <c r="I116" s="57"/>
      <c r="K116" s="28"/>
    </row>
    <row r="117" spans="1:11" s="24" customFormat="1">
      <c r="A117" s="40"/>
      <c r="B117" s="106"/>
      <c r="C117" s="103"/>
      <c r="D117" s="41"/>
      <c r="E117" s="41"/>
      <c r="F117" s="41"/>
      <c r="G117" s="25"/>
      <c r="H117" s="57"/>
      <c r="I117" s="57"/>
      <c r="K117" s="28"/>
    </row>
    <row r="118" spans="1:11" s="24" customFormat="1">
      <c r="A118" s="40"/>
      <c r="B118" s="106"/>
      <c r="C118" s="103"/>
      <c r="D118" s="41"/>
      <c r="E118" s="41"/>
      <c r="F118" s="41"/>
      <c r="G118" s="25"/>
      <c r="H118" s="57"/>
      <c r="I118" s="57"/>
      <c r="K118" s="28"/>
    </row>
    <row r="119" spans="1:11" s="24" customFormat="1">
      <c r="A119" s="40"/>
      <c r="B119" s="106"/>
      <c r="C119" s="103"/>
      <c r="D119" s="41"/>
      <c r="E119" s="41"/>
      <c r="F119" s="41"/>
      <c r="G119" s="25"/>
      <c r="H119" s="57"/>
      <c r="I119" s="57"/>
      <c r="K119" s="28"/>
    </row>
    <row r="120" spans="1:11" s="24" customFormat="1">
      <c r="A120" s="40"/>
      <c r="B120" s="106"/>
      <c r="C120" s="103"/>
      <c r="D120" s="41"/>
      <c r="E120" s="41"/>
      <c r="F120" s="41"/>
      <c r="G120" s="25"/>
      <c r="H120" s="57"/>
      <c r="I120" s="57"/>
      <c r="K120" s="28"/>
    </row>
    <row r="121" spans="1:11" s="24" customFormat="1">
      <c r="A121" s="40"/>
      <c r="B121" s="106"/>
      <c r="C121" s="103"/>
      <c r="D121" s="41"/>
      <c r="E121" s="41"/>
      <c r="F121" s="41"/>
      <c r="G121" s="25"/>
      <c r="H121" s="57"/>
      <c r="I121" s="57"/>
      <c r="K121" s="28"/>
    </row>
    <row r="122" spans="1:11" s="24" customFormat="1">
      <c r="A122" s="40"/>
      <c r="B122" s="106"/>
      <c r="C122" s="103"/>
      <c r="D122" s="41"/>
      <c r="E122" s="41"/>
      <c r="F122" s="41"/>
      <c r="G122" s="25"/>
      <c r="H122" s="57"/>
      <c r="I122" s="57"/>
      <c r="K122" s="28"/>
    </row>
    <row r="123" spans="1:11" s="24" customFormat="1">
      <c r="A123" s="40"/>
      <c r="B123" s="106"/>
      <c r="C123" s="103"/>
      <c r="D123" s="41"/>
      <c r="E123" s="41"/>
      <c r="F123" s="41"/>
      <c r="G123" s="25"/>
      <c r="H123" s="57"/>
      <c r="I123" s="57"/>
      <c r="K123" s="28"/>
    </row>
    <row r="124" spans="1:11" s="24" customFormat="1">
      <c r="A124" s="40"/>
      <c r="B124" s="106"/>
      <c r="C124" s="103"/>
      <c r="D124" s="41"/>
      <c r="E124" s="41"/>
      <c r="F124" s="41"/>
      <c r="G124" s="25"/>
      <c r="H124" s="57"/>
      <c r="I124" s="57"/>
      <c r="K124" s="28"/>
    </row>
    <row r="125" spans="1:11" s="24" customFormat="1">
      <c r="A125" s="40"/>
      <c r="B125" s="106"/>
      <c r="C125" s="103"/>
      <c r="D125" s="41"/>
      <c r="E125" s="41"/>
      <c r="F125" s="41"/>
      <c r="G125" s="25"/>
      <c r="H125" s="57"/>
      <c r="I125" s="57"/>
      <c r="K125" s="28"/>
    </row>
    <row r="126" spans="1:11" s="24" customFormat="1">
      <c r="A126" s="40"/>
      <c r="B126" s="106"/>
      <c r="C126" s="103"/>
      <c r="D126" s="41"/>
      <c r="E126" s="41"/>
      <c r="F126" s="41"/>
      <c r="G126" s="25"/>
      <c r="H126" s="57"/>
      <c r="I126" s="57"/>
      <c r="K126" s="28"/>
    </row>
    <row r="127" spans="1:11" s="24" customFormat="1">
      <c r="A127" s="40"/>
      <c r="B127" s="106"/>
      <c r="C127" s="103"/>
      <c r="D127" s="41"/>
      <c r="E127" s="41"/>
      <c r="F127" s="41"/>
      <c r="G127" s="25"/>
      <c r="H127" s="57"/>
      <c r="I127" s="57"/>
      <c r="K127" s="28"/>
    </row>
    <row r="128" spans="1:11" s="24" customFormat="1">
      <c r="A128" s="40"/>
      <c r="B128" s="106"/>
      <c r="C128" s="103"/>
      <c r="D128" s="41"/>
      <c r="E128" s="41"/>
      <c r="F128" s="41"/>
      <c r="G128" s="25"/>
      <c r="H128" s="57"/>
      <c r="I128" s="57"/>
      <c r="K128" s="28"/>
    </row>
    <row r="129" spans="1:11" s="24" customFormat="1">
      <c r="A129" s="40"/>
      <c r="B129" s="106"/>
      <c r="C129" s="103"/>
      <c r="D129" s="41"/>
      <c r="E129" s="41"/>
      <c r="F129" s="41"/>
      <c r="G129" s="25"/>
      <c r="H129" s="57"/>
      <c r="I129" s="57"/>
      <c r="K129" s="28"/>
    </row>
    <row r="130" spans="1:11" s="24" customFormat="1">
      <c r="A130" s="40"/>
      <c r="B130" s="106"/>
      <c r="C130" s="103"/>
      <c r="D130" s="41"/>
      <c r="E130" s="41"/>
      <c r="F130" s="41"/>
      <c r="G130" s="25"/>
      <c r="H130" s="57"/>
      <c r="I130" s="57"/>
      <c r="K130" s="28"/>
    </row>
    <row r="131" spans="1:11" s="24" customFormat="1">
      <c r="A131" s="40"/>
      <c r="B131" s="106"/>
      <c r="C131" s="103"/>
      <c r="D131" s="41"/>
      <c r="E131" s="41"/>
      <c r="F131" s="41"/>
      <c r="G131" s="25"/>
      <c r="H131" s="57"/>
      <c r="I131" s="57"/>
      <c r="K131" s="28"/>
    </row>
    <row r="132" spans="1:11" s="24" customFormat="1">
      <c r="A132" s="40"/>
      <c r="B132" s="106"/>
      <c r="C132" s="103"/>
      <c r="D132" s="41"/>
      <c r="E132" s="41"/>
      <c r="F132" s="41"/>
      <c r="G132" s="25"/>
      <c r="H132" s="57"/>
      <c r="I132" s="57"/>
      <c r="K132" s="28"/>
    </row>
    <row r="133" spans="1:11" s="24" customFormat="1">
      <c r="A133" s="40"/>
      <c r="B133" s="106"/>
      <c r="C133" s="103"/>
      <c r="D133" s="41"/>
      <c r="E133" s="41"/>
      <c r="F133" s="41"/>
      <c r="G133" s="25"/>
      <c r="H133" s="57"/>
      <c r="I133" s="57"/>
      <c r="K133" s="28"/>
    </row>
    <row r="134" spans="1:11" s="24" customFormat="1">
      <c r="A134" s="40"/>
      <c r="B134" s="106"/>
      <c r="C134" s="103"/>
      <c r="D134" s="41"/>
      <c r="E134" s="41"/>
      <c r="F134" s="41"/>
      <c r="G134" s="25"/>
      <c r="H134" s="57"/>
      <c r="I134" s="57"/>
      <c r="K134" s="28"/>
    </row>
    <row r="135" spans="1:11" s="24" customFormat="1">
      <c r="A135" s="40"/>
      <c r="B135" s="106"/>
      <c r="C135" s="103"/>
      <c r="D135" s="41"/>
      <c r="E135" s="41"/>
      <c r="F135" s="41"/>
      <c r="G135" s="25"/>
      <c r="H135" s="57"/>
      <c r="I135" s="57"/>
      <c r="K135" s="28"/>
    </row>
    <row r="136" spans="1:11" s="24" customFormat="1">
      <c r="A136" s="40"/>
      <c r="B136" s="106"/>
      <c r="C136" s="103"/>
      <c r="D136" s="41"/>
      <c r="E136" s="41"/>
      <c r="F136" s="41"/>
      <c r="G136" s="25"/>
      <c r="H136" s="57"/>
      <c r="I136" s="57"/>
      <c r="K136" s="28"/>
    </row>
    <row r="137" spans="1:11" s="24" customFormat="1">
      <c r="A137" s="40"/>
      <c r="B137" s="106"/>
      <c r="C137" s="103"/>
      <c r="D137" s="41"/>
      <c r="E137" s="41"/>
      <c r="F137" s="41"/>
      <c r="G137" s="25"/>
      <c r="H137" s="57"/>
      <c r="I137" s="57"/>
      <c r="K137" s="28"/>
    </row>
    <row r="138" spans="1:11" s="24" customFormat="1">
      <c r="A138" s="40"/>
      <c r="B138" s="106"/>
      <c r="C138" s="103"/>
      <c r="D138" s="41"/>
      <c r="E138" s="41"/>
      <c r="F138" s="41"/>
      <c r="G138" s="25"/>
      <c r="H138" s="57"/>
      <c r="I138" s="57"/>
      <c r="K138" s="28"/>
    </row>
    <row r="139" spans="1:11" s="24" customFormat="1">
      <c r="A139" s="40"/>
      <c r="B139" s="106"/>
      <c r="C139" s="103"/>
      <c r="D139" s="41"/>
      <c r="E139" s="41"/>
      <c r="F139" s="41"/>
      <c r="G139" s="25"/>
      <c r="H139" s="57"/>
      <c r="I139" s="57"/>
      <c r="K139" s="28"/>
    </row>
    <row r="140" spans="1:11" s="24" customFormat="1">
      <c r="A140" s="40"/>
      <c r="B140" s="106"/>
      <c r="C140" s="103"/>
      <c r="D140" s="41"/>
      <c r="E140" s="41"/>
      <c r="F140" s="41"/>
      <c r="G140" s="25"/>
      <c r="H140" s="57"/>
      <c r="I140" s="57"/>
      <c r="K140" s="28"/>
    </row>
    <row r="141" spans="1:11" s="24" customFormat="1">
      <c r="A141" s="40"/>
      <c r="B141" s="106"/>
      <c r="C141" s="103"/>
      <c r="D141" s="41"/>
      <c r="E141" s="41"/>
      <c r="F141" s="41"/>
      <c r="G141" s="25"/>
      <c r="H141" s="57"/>
      <c r="I141" s="57"/>
      <c r="K141" s="28"/>
    </row>
    <row r="142" spans="1:11" s="24" customFormat="1">
      <c r="A142" s="40"/>
      <c r="B142" s="106"/>
      <c r="C142" s="103"/>
      <c r="D142" s="41"/>
      <c r="E142" s="41"/>
      <c r="F142" s="41"/>
      <c r="G142" s="25"/>
      <c r="H142" s="57"/>
      <c r="I142" s="57"/>
      <c r="K142" s="28"/>
    </row>
    <row r="143" spans="1:11" s="24" customFormat="1">
      <c r="A143" s="40"/>
      <c r="B143" s="106"/>
      <c r="C143" s="103"/>
      <c r="D143" s="41"/>
      <c r="E143" s="41"/>
      <c r="F143" s="41"/>
      <c r="G143" s="25"/>
      <c r="H143" s="57"/>
      <c r="I143" s="57"/>
      <c r="K143" s="28"/>
    </row>
    <row r="144" spans="1:11" s="24" customFormat="1">
      <c r="A144" s="40"/>
      <c r="B144" s="106"/>
      <c r="C144" s="103"/>
      <c r="D144" s="41"/>
      <c r="E144" s="41"/>
      <c r="F144" s="41"/>
      <c r="G144" s="25"/>
      <c r="H144" s="57"/>
      <c r="I144" s="57"/>
      <c r="K144" s="28"/>
    </row>
    <row r="145" spans="1:11" s="24" customFormat="1">
      <c r="A145" s="40"/>
      <c r="B145" s="106"/>
      <c r="C145" s="103"/>
      <c r="D145" s="41"/>
      <c r="E145" s="41"/>
      <c r="F145" s="41"/>
      <c r="G145" s="25"/>
      <c r="H145" s="57"/>
      <c r="I145" s="57"/>
      <c r="K145" s="28"/>
    </row>
    <row r="146" spans="1:11" s="24" customFormat="1">
      <c r="A146" s="40"/>
      <c r="B146" s="106"/>
      <c r="C146" s="103"/>
      <c r="D146" s="41"/>
      <c r="E146" s="41"/>
      <c r="F146" s="41"/>
      <c r="G146" s="25"/>
      <c r="H146" s="57"/>
      <c r="I146" s="57"/>
      <c r="K146" s="28"/>
    </row>
    <row r="147" spans="1:11" s="24" customFormat="1">
      <c r="A147" s="40"/>
      <c r="B147" s="106"/>
      <c r="C147" s="103"/>
      <c r="D147" s="41"/>
      <c r="E147" s="41"/>
      <c r="F147" s="41"/>
      <c r="G147" s="25"/>
      <c r="H147" s="57"/>
      <c r="I147" s="57"/>
      <c r="K147" s="28"/>
    </row>
    <row r="148" spans="1:11" s="24" customFormat="1">
      <c r="A148" s="40"/>
      <c r="B148" s="106"/>
      <c r="C148" s="103"/>
      <c r="D148" s="41"/>
      <c r="E148" s="41"/>
      <c r="F148" s="41"/>
      <c r="G148" s="25"/>
      <c r="H148" s="57"/>
      <c r="I148" s="57"/>
      <c r="K148" s="28"/>
    </row>
    <row r="149" spans="1:11" s="24" customFormat="1">
      <c r="A149" s="40"/>
      <c r="B149" s="106"/>
      <c r="C149" s="103"/>
      <c r="D149" s="41"/>
      <c r="E149" s="41"/>
      <c r="F149" s="41"/>
      <c r="G149" s="25"/>
      <c r="H149" s="57"/>
      <c r="I149" s="57"/>
      <c r="K149" s="28"/>
    </row>
    <row r="150" spans="1:11" s="24" customFormat="1">
      <c r="A150" s="40"/>
      <c r="B150" s="106"/>
      <c r="C150" s="103"/>
      <c r="D150" s="41"/>
      <c r="E150" s="41"/>
      <c r="F150" s="41"/>
      <c r="G150" s="25"/>
      <c r="H150" s="57"/>
      <c r="I150" s="57"/>
      <c r="K150" s="28"/>
    </row>
    <row r="151" spans="1:11" s="24" customFormat="1">
      <c r="A151" s="40"/>
      <c r="B151" s="106"/>
      <c r="C151" s="103"/>
      <c r="D151" s="41"/>
      <c r="E151" s="41"/>
      <c r="F151" s="41"/>
      <c r="G151" s="25"/>
      <c r="H151" s="57"/>
      <c r="I151" s="57"/>
      <c r="K151" s="28"/>
    </row>
    <row r="152" spans="1:11" s="24" customFormat="1">
      <c r="A152" s="40"/>
      <c r="B152" s="106"/>
      <c r="C152" s="103"/>
      <c r="D152" s="41"/>
      <c r="E152" s="41"/>
      <c r="F152" s="41"/>
      <c r="G152" s="25"/>
      <c r="H152" s="57"/>
      <c r="I152" s="57"/>
      <c r="K152" s="28"/>
    </row>
    <row r="153" spans="1:11" s="24" customFormat="1">
      <c r="A153" s="40"/>
      <c r="B153" s="106"/>
      <c r="C153" s="103"/>
      <c r="D153" s="41"/>
      <c r="E153" s="41"/>
      <c r="F153" s="41"/>
      <c r="G153" s="25"/>
      <c r="H153" s="57"/>
      <c r="I153" s="57"/>
      <c r="K153" s="28"/>
    </row>
    <row r="154" spans="1:11" s="24" customFormat="1">
      <c r="A154" s="40"/>
      <c r="B154" s="106"/>
      <c r="C154" s="103"/>
      <c r="D154" s="41"/>
      <c r="E154" s="41"/>
      <c r="F154" s="41"/>
      <c r="G154" s="25"/>
      <c r="H154" s="57"/>
      <c r="I154" s="57"/>
      <c r="K154" s="28"/>
    </row>
    <row r="155" spans="1:11" s="24" customFormat="1">
      <c r="A155" s="40"/>
      <c r="B155" s="106"/>
      <c r="C155" s="103"/>
      <c r="D155" s="41"/>
      <c r="E155" s="41"/>
      <c r="F155" s="41"/>
      <c r="G155" s="25"/>
      <c r="H155" s="57"/>
      <c r="I155" s="57"/>
      <c r="K155" s="28"/>
    </row>
    <row r="156" spans="1:11" s="24" customFormat="1">
      <c r="A156" s="40"/>
      <c r="B156" s="106"/>
      <c r="C156" s="103"/>
      <c r="D156" s="41"/>
      <c r="E156" s="41"/>
      <c r="F156" s="41"/>
      <c r="G156" s="25"/>
      <c r="H156" s="57"/>
      <c r="I156" s="57"/>
      <c r="K156" s="28"/>
    </row>
    <row r="157" spans="1:11" s="24" customFormat="1">
      <c r="A157" s="40"/>
      <c r="B157" s="106"/>
      <c r="C157" s="103"/>
      <c r="D157" s="41"/>
      <c r="E157" s="41"/>
      <c r="F157" s="41"/>
      <c r="G157" s="25"/>
      <c r="H157" s="57"/>
      <c r="I157" s="57"/>
      <c r="K157" s="28"/>
    </row>
    <row r="158" spans="1:11" s="24" customFormat="1">
      <c r="A158" s="40"/>
      <c r="B158" s="106"/>
      <c r="C158" s="103"/>
      <c r="D158" s="41"/>
      <c r="E158" s="41"/>
      <c r="F158" s="41"/>
      <c r="G158" s="25"/>
      <c r="H158" s="57"/>
      <c r="I158" s="57"/>
      <c r="K158" s="28"/>
    </row>
    <row r="159" spans="1:11" s="24" customFormat="1">
      <c r="A159" s="40"/>
      <c r="B159" s="106"/>
      <c r="C159" s="103"/>
      <c r="D159" s="41"/>
      <c r="E159" s="41"/>
      <c r="F159" s="41"/>
      <c r="G159" s="25"/>
      <c r="H159" s="57"/>
      <c r="I159" s="57"/>
      <c r="K159" s="28"/>
    </row>
    <row r="160" spans="1:11" s="24" customFormat="1">
      <c r="A160" s="40"/>
      <c r="B160" s="106"/>
      <c r="C160" s="103"/>
      <c r="D160" s="41"/>
      <c r="E160" s="41"/>
      <c r="F160" s="41"/>
      <c r="G160" s="25"/>
      <c r="H160" s="57"/>
      <c r="I160" s="57"/>
      <c r="K160" s="28"/>
    </row>
    <row r="161" spans="1:11" s="24" customFormat="1">
      <c r="A161" s="40"/>
      <c r="B161" s="106"/>
      <c r="C161" s="103"/>
      <c r="D161" s="41"/>
      <c r="E161" s="41"/>
      <c r="F161" s="41"/>
      <c r="G161" s="25"/>
      <c r="H161" s="57"/>
      <c r="I161" s="57"/>
      <c r="K161" s="28"/>
    </row>
    <row r="162" spans="1:11" s="24" customFormat="1">
      <c r="A162" s="40"/>
      <c r="B162" s="106"/>
      <c r="C162" s="103"/>
      <c r="D162" s="41"/>
      <c r="E162" s="41"/>
      <c r="F162" s="41"/>
      <c r="G162" s="25"/>
      <c r="H162" s="57"/>
      <c r="I162" s="57"/>
      <c r="K162" s="28"/>
    </row>
    <row r="163" spans="1:11" s="24" customFormat="1">
      <c r="A163" s="40"/>
      <c r="B163" s="106"/>
      <c r="C163" s="103"/>
      <c r="D163" s="41"/>
      <c r="E163" s="41"/>
      <c r="F163" s="41"/>
      <c r="G163" s="25"/>
      <c r="H163" s="57"/>
      <c r="I163" s="57"/>
      <c r="K163" s="28"/>
    </row>
    <row r="164" spans="1:11" s="24" customFormat="1">
      <c r="A164" s="40"/>
      <c r="B164" s="106"/>
      <c r="C164" s="103"/>
      <c r="D164" s="41"/>
      <c r="E164" s="41"/>
      <c r="F164" s="41"/>
      <c r="G164" s="25"/>
      <c r="H164" s="57"/>
      <c r="I164" s="57"/>
      <c r="K164" s="28"/>
    </row>
    <row r="165" spans="1:11" s="24" customFormat="1">
      <c r="A165" s="40"/>
      <c r="B165" s="106"/>
      <c r="C165" s="103"/>
      <c r="D165" s="41"/>
      <c r="E165" s="41"/>
      <c r="F165" s="41"/>
      <c r="G165" s="25"/>
      <c r="H165" s="57"/>
      <c r="I165" s="57"/>
      <c r="K165" s="28"/>
    </row>
    <row r="166" spans="1:11" s="24" customFormat="1">
      <c r="A166" s="40"/>
      <c r="B166" s="106"/>
      <c r="C166" s="103"/>
      <c r="D166" s="41"/>
      <c r="E166" s="41"/>
      <c r="F166" s="41"/>
      <c r="G166" s="25"/>
      <c r="H166" s="57"/>
      <c r="I166" s="57"/>
      <c r="K166" s="28"/>
    </row>
    <row r="167" spans="1:11" s="24" customFormat="1">
      <c r="A167" s="40"/>
      <c r="B167" s="106"/>
      <c r="C167" s="103"/>
      <c r="D167" s="41"/>
      <c r="E167" s="41"/>
      <c r="F167" s="41"/>
      <c r="G167" s="25"/>
      <c r="H167" s="57"/>
      <c r="I167" s="57"/>
      <c r="K167" s="28"/>
    </row>
    <row r="168" spans="1:11" s="24" customFormat="1">
      <c r="A168" s="40"/>
      <c r="B168" s="106"/>
      <c r="C168" s="103"/>
      <c r="D168" s="41"/>
      <c r="E168" s="41"/>
      <c r="F168" s="41"/>
      <c r="G168" s="25"/>
      <c r="H168" s="57"/>
      <c r="I168" s="57"/>
      <c r="K168" s="28"/>
    </row>
    <row r="169" spans="1:11" s="24" customFormat="1">
      <c r="A169" s="40"/>
      <c r="B169" s="106"/>
      <c r="C169" s="103"/>
      <c r="D169" s="41"/>
      <c r="E169" s="41"/>
      <c r="F169" s="41"/>
      <c r="G169" s="25"/>
      <c r="H169" s="57"/>
      <c r="I169" s="57"/>
      <c r="K169" s="28"/>
    </row>
    <row r="170" spans="1:11" s="24" customFormat="1">
      <c r="A170" s="40"/>
      <c r="B170" s="106"/>
      <c r="C170" s="103"/>
      <c r="D170" s="41"/>
      <c r="E170" s="41"/>
      <c r="F170" s="41"/>
      <c r="G170" s="25"/>
      <c r="H170" s="57"/>
      <c r="I170" s="57"/>
      <c r="K170" s="28"/>
    </row>
    <row r="171" spans="1:11" s="24" customFormat="1">
      <c r="A171" s="40"/>
      <c r="B171" s="106"/>
      <c r="C171" s="103"/>
      <c r="D171" s="41"/>
      <c r="E171" s="41"/>
      <c r="F171" s="41"/>
      <c r="G171" s="25"/>
      <c r="H171" s="57"/>
      <c r="I171" s="57"/>
      <c r="K171" s="28"/>
    </row>
    <row r="172" spans="1:11" s="24" customFormat="1">
      <c r="A172" s="40"/>
      <c r="B172" s="106"/>
      <c r="C172" s="103"/>
      <c r="D172" s="41"/>
      <c r="E172" s="41"/>
      <c r="F172" s="41"/>
      <c r="G172" s="25"/>
      <c r="H172" s="57"/>
      <c r="I172" s="57"/>
      <c r="K172" s="28"/>
    </row>
    <row r="173" spans="1:11" s="24" customFormat="1">
      <c r="A173" s="40"/>
      <c r="B173" s="106"/>
      <c r="C173" s="103"/>
      <c r="D173" s="41"/>
      <c r="E173" s="41"/>
      <c r="F173" s="41"/>
      <c r="G173" s="25"/>
      <c r="H173" s="57"/>
      <c r="I173" s="57"/>
      <c r="K173" s="28"/>
    </row>
    <row r="174" spans="1:11" s="24" customFormat="1">
      <c r="A174" s="40"/>
      <c r="B174" s="106"/>
      <c r="C174" s="103"/>
      <c r="D174" s="41"/>
      <c r="E174" s="41"/>
      <c r="F174" s="41"/>
      <c r="G174" s="25"/>
      <c r="H174" s="57"/>
      <c r="I174" s="57"/>
      <c r="K174" s="28"/>
    </row>
    <row r="175" spans="1:11" s="24" customFormat="1">
      <c r="A175" s="40"/>
      <c r="B175" s="106"/>
      <c r="C175" s="103"/>
      <c r="D175" s="41"/>
      <c r="E175" s="41"/>
      <c r="F175" s="41"/>
      <c r="G175" s="25"/>
      <c r="H175" s="57"/>
      <c r="I175" s="57"/>
      <c r="K175" s="28"/>
    </row>
    <row r="176" spans="1:11" s="24" customFormat="1">
      <c r="A176" s="40"/>
      <c r="B176" s="106"/>
      <c r="C176" s="103"/>
      <c r="D176" s="41"/>
      <c r="E176" s="41"/>
      <c r="F176" s="41"/>
      <c r="G176" s="25"/>
      <c r="H176" s="57"/>
      <c r="I176" s="57"/>
      <c r="K176" s="28"/>
    </row>
    <row r="177" spans="1:11" s="24" customFormat="1">
      <c r="A177" s="40"/>
      <c r="B177" s="106"/>
      <c r="C177" s="103"/>
      <c r="D177" s="41"/>
      <c r="E177" s="41"/>
      <c r="F177" s="41"/>
      <c r="G177" s="25"/>
      <c r="H177" s="57"/>
      <c r="I177" s="57"/>
      <c r="K177" s="28"/>
    </row>
    <row r="178" spans="1:11" s="24" customFormat="1">
      <c r="A178" s="40"/>
      <c r="B178" s="106"/>
      <c r="C178" s="103"/>
      <c r="D178" s="41"/>
      <c r="E178" s="41"/>
      <c r="F178" s="41"/>
      <c r="G178" s="25"/>
      <c r="H178" s="57"/>
      <c r="I178" s="57"/>
      <c r="K178" s="28"/>
    </row>
    <row r="179" spans="1:11" s="24" customFormat="1">
      <c r="A179" s="40"/>
      <c r="B179" s="106"/>
      <c r="C179" s="103"/>
      <c r="D179" s="41"/>
      <c r="E179" s="41"/>
      <c r="F179" s="41"/>
      <c r="G179" s="25"/>
      <c r="H179" s="57"/>
      <c r="I179" s="57"/>
      <c r="K179" s="28"/>
    </row>
    <row r="180" spans="1:11" s="24" customFormat="1">
      <c r="A180" s="40"/>
      <c r="B180" s="106"/>
      <c r="C180" s="103"/>
      <c r="D180" s="41"/>
      <c r="E180" s="41"/>
      <c r="F180" s="41"/>
      <c r="G180" s="25"/>
      <c r="H180" s="57"/>
      <c r="I180" s="57"/>
      <c r="K180" s="28"/>
    </row>
    <row r="181" spans="1:11" s="24" customFormat="1">
      <c r="A181" s="40"/>
      <c r="B181" s="106"/>
      <c r="C181" s="103"/>
      <c r="D181" s="41"/>
      <c r="E181" s="41"/>
      <c r="F181" s="41"/>
      <c r="G181" s="25"/>
      <c r="H181" s="57"/>
      <c r="I181" s="57"/>
      <c r="K181" s="28"/>
    </row>
    <row r="182" spans="1:11" s="24" customFormat="1">
      <c r="A182" s="40"/>
      <c r="B182" s="106"/>
      <c r="C182" s="103"/>
      <c r="D182" s="41"/>
      <c r="E182" s="41"/>
      <c r="F182" s="41"/>
      <c r="G182" s="25"/>
      <c r="H182" s="57"/>
      <c r="I182" s="57"/>
      <c r="K182" s="28"/>
    </row>
    <row r="183" spans="1:11" s="24" customFormat="1">
      <c r="A183" s="40"/>
      <c r="B183" s="106"/>
      <c r="C183" s="103"/>
      <c r="D183" s="41"/>
      <c r="E183" s="41"/>
      <c r="F183" s="41"/>
      <c r="G183" s="25"/>
      <c r="H183" s="57"/>
      <c r="I183" s="57"/>
      <c r="K183" s="28"/>
    </row>
    <row r="184" spans="1:11" s="24" customFormat="1">
      <c r="A184" s="40"/>
      <c r="B184" s="106"/>
      <c r="C184" s="103"/>
      <c r="D184" s="41"/>
      <c r="E184" s="41"/>
      <c r="F184" s="41"/>
      <c r="G184" s="25"/>
      <c r="H184" s="57"/>
      <c r="I184" s="57"/>
      <c r="K184" s="28"/>
    </row>
    <row r="185" spans="1:11" s="24" customFormat="1">
      <c r="A185" s="40"/>
      <c r="B185" s="106"/>
      <c r="C185" s="103"/>
      <c r="D185" s="41"/>
      <c r="E185" s="41"/>
      <c r="F185" s="41"/>
      <c r="G185" s="25"/>
      <c r="H185" s="57"/>
      <c r="I185" s="57"/>
      <c r="K185" s="28"/>
    </row>
    <row r="186" spans="1:11" s="24" customFormat="1">
      <c r="A186" s="40"/>
      <c r="B186" s="106"/>
      <c r="C186" s="103"/>
      <c r="D186" s="41"/>
      <c r="E186" s="41"/>
      <c r="F186" s="41"/>
      <c r="G186" s="25"/>
      <c r="H186" s="57"/>
      <c r="I186" s="57"/>
      <c r="K186" s="28"/>
    </row>
    <row r="187" spans="1:11" s="24" customFormat="1">
      <c r="A187" s="40"/>
      <c r="B187" s="106"/>
      <c r="C187" s="103"/>
      <c r="D187" s="41"/>
      <c r="E187" s="41"/>
      <c r="F187" s="41"/>
      <c r="G187" s="25"/>
      <c r="H187" s="57"/>
      <c r="I187" s="57"/>
      <c r="K187" s="28"/>
    </row>
    <row r="188" spans="1:11" s="24" customFormat="1">
      <c r="A188" s="40"/>
      <c r="B188" s="106"/>
      <c r="C188" s="103"/>
      <c r="D188" s="41"/>
      <c r="E188" s="41"/>
      <c r="F188" s="41"/>
      <c r="G188" s="25"/>
      <c r="H188" s="57"/>
      <c r="I188" s="57"/>
      <c r="K188" s="28"/>
    </row>
    <row r="189" spans="1:11" s="24" customFormat="1">
      <c r="A189" s="40"/>
      <c r="B189" s="106"/>
      <c r="C189" s="103"/>
      <c r="D189" s="41"/>
      <c r="E189" s="41"/>
      <c r="F189" s="41"/>
      <c r="G189" s="25"/>
      <c r="H189" s="57"/>
      <c r="I189" s="57"/>
      <c r="K189" s="28"/>
    </row>
    <row r="190" spans="1:11" s="24" customFormat="1">
      <c r="A190" s="40"/>
      <c r="B190" s="106"/>
      <c r="C190" s="103"/>
      <c r="D190" s="41"/>
      <c r="E190" s="41"/>
      <c r="F190" s="41"/>
      <c r="G190" s="25"/>
      <c r="H190" s="57"/>
      <c r="I190" s="57"/>
      <c r="K190" s="28"/>
    </row>
    <row r="191" spans="1:11" s="24" customFormat="1">
      <c r="A191" s="40"/>
      <c r="B191" s="106"/>
      <c r="C191" s="103"/>
      <c r="D191" s="41"/>
      <c r="E191" s="41"/>
      <c r="F191" s="41"/>
      <c r="G191" s="25"/>
      <c r="H191" s="57"/>
      <c r="I191" s="57"/>
      <c r="K191" s="28"/>
    </row>
    <row r="192" spans="1:11" s="24" customFormat="1">
      <c r="A192" s="40"/>
      <c r="B192" s="106"/>
      <c r="C192" s="103"/>
      <c r="D192" s="41"/>
      <c r="E192" s="41"/>
      <c r="F192" s="41"/>
      <c r="G192" s="25"/>
      <c r="H192" s="57"/>
      <c r="I192" s="57"/>
      <c r="K192" s="28"/>
    </row>
    <row r="193" spans="1:11" s="24" customFormat="1">
      <c r="A193" s="40"/>
      <c r="B193" s="106"/>
      <c r="C193" s="103"/>
      <c r="D193" s="41"/>
      <c r="E193" s="41"/>
      <c r="F193" s="41"/>
      <c r="G193" s="25"/>
      <c r="H193" s="57"/>
      <c r="I193" s="57"/>
      <c r="K193" s="28"/>
    </row>
    <row r="194" spans="1:11" s="24" customFormat="1">
      <c r="A194" s="40"/>
      <c r="B194" s="106"/>
      <c r="C194" s="103"/>
      <c r="D194" s="41"/>
      <c r="E194" s="41"/>
      <c r="F194" s="41"/>
      <c r="G194" s="25"/>
      <c r="H194" s="57"/>
      <c r="I194" s="57"/>
      <c r="K194" s="28"/>
    </row>
    <row r="195" spans="1:11" s="24" customFormat="1">
      <c r="A195" s="40"/>
      <c r="B195" s="106"/>
      <c r="C195" s="103"/>
      <c r="D195" s="41"/>
      <c r="E195" s="41"/>
      <c r="F195" s="41"/>
      <c r="G195" s="25"/>
      <c r="H195" s="57"/>
      <c r="I195" s="57"/>
      <c r="K195" s="28"/>
    </row>
    <row r="196" spans="1:11" s="24" customFormat="1">
      <c r="A196" s="40"/>
      <c r="B196" s="106"/>
      <c r="C196" s="103"/>
      <c r="D196" s="41"/>
      <c r="E196" s="41"/>
      <c r="F196" s="41"/>
      <c r="G196" s="25"/>
      <c r="H196" s="57"/>
      <c r="I196" s="57"/>
      <c r="K196" s="28"/>
    </row>
    <row r="197" spans="1:11" s="24" customFormat="1">
      <c r="A197" s="40"/>
      <c r="B197" s="106"/>
      <c r="C197" s="103"/>
      <c r="D197" s="41"/>
      <c r="E197" s="41"/>
      <c r="F197" s="41"/>
      <c r="G197" s="25"/>
      <c r="H197" s="57"/>
      <c r="I197" s="57"/>
      <c r="K197" s="28"/>
    </row>
    <row r="198" spans="1:11" s="24" customFormat="1">
      <c r="A198" s="40"/>
      <c r="B198" s="106"/>
      <c r="C198" s="103"/>
      <c r="D198" s="41"/>
      <c r="E198" s="41"/>
      <c r="F198" s="41"/>
      <c r="G198" s="25"/>
      <c r="H198" s="57"/>
      <c r="I198" s="57"/>
      <c r="K198" s="28"/>
    </row>
    <row r="199" spans="1:11" s="24" customFormat="1">
      <c r="A199" s="40"/>
      <c r="B199" s="106"/>
      <c r="C199" s="103"/>
      <c r="D199" s="41"/>
      <c r="E199" s="41"/>
      <c r="F199" s="41"/>
      <c r="G199" s="25"/>
      <c r="H199" s="57"/>
      <c r="I199" s="57"/>
      <c r="K199" s="28"/>
    </row>
    <row r="200" spans="1:11" s="24" customFormat="1">
      <c r="A200" s="40"/>
      <c r="B200" s="106"/>
      <c r="C200" s="103"/>
      <c r="D200" s="41"/>
      <c r="E200" s="41"/>
      <c r="F200" s="41"/>
      <c r="G200" s="25"/>
      <c r="H200" s="57"/>
      <c r="I200" s="57"/>
      <c r="K200" s="28"/>
    </row>
    <row r="201" spans="1:11" s="24" customFormat="1">
      <c r="A201" s="40"/>
      <c r="B201" s="106"/>
      <c r="C201" s="103"/>
      <c r="D201" s="41"/>
      <c r="E201" s="41"/>
      <c r="F201" s="41"/>
      <c r="G201" s="25"/>
      <c r="H201" s="57"/>
      <c r="I201" s="57"/>
      <c r="K201" s="28"/>
    </row>
    <row r="202" spans="1:11" s="24" customFormat="1">
      <c r="A202" s="40"/>
      <c r="B202" s="106"/>
      <c r="C202" s="103"/>
      <c r="D202" s="41"/>
      <c r="E202" s="41"/>
      <c r="F202" s="41"/>
      <c r="G202" s="25"/>
      <c r="H202" s="57"/>
      <c r="I202" s="57"/>
      <c r="K202" s="28"/>
    </row>
    <row r="203" spans="1:11" s="24" customFormat="1">
      <c r="A203" s="40"/>
      <c r="B203" s="106"/>
      <c r="C203" s="103"/>
      <c r="D203" s="41"/>
      <c r="E203" s="41"/>
      <c r="F203" s="41"/>
      <c r="G203" s="25"/>
      <c r="H203" s="57"/>
      <c r="I203" s="57"/>
      <c r="K203" s="28"/>
    </row>
    <row r="204" spans="1:11" s="24" customFormat="1">
      <c r="A204" s="40"/>
      <c r="B204" s="106"/>
      <c r="C204" s="103"/>
      <c r="D204" s="41"/>
      <c r="E204" s="41"/>
      <c r="F204" s="41"/>
      <c r="G204" s="25"/>
      <c r="H204" s="57"/>
      <c r="I204" s="57"/>
      <c r="K204" s="28"/>
    </row>
    <row r="205" spans="1:11" s="24" customFormat="1">
      <c r="A205" s="40"/>
      <c r="B205" s="106"/>
      <c r="C205" s="103"/>
      <c r="D205" s="41"/>
      <c r="E205" s="41"/>
      <c r="F205" s="41"/>
      <c r="G205" s="25"/>
      <c r="H205" s="57"/>
      <c r="I205" s="57"/>
      <c r="K205" s="28"/>
    </row>
    <row r="206" spans="1:11" s="24" customFormat="1">
      <c r="A206" s="40"/>
      <c r="B206" s="106"/>
      <c r="C206" s="103"/>
      <c r="D206" s="41"/>
      <c r="E206" s="41"/>
      <c r="F206" s="41"/>
      <c r="G206" s="25"/>
      <c r="H206" s="57"/>
      <c r="I206" s="57"/>
      <c r="K206" s="28"/>
    </row>
    <row r="207" spans="1:11" s="24" customFormat="1">
      <c r="A207" s="40"/>
      <c r="B207" s="106"/>
      <c r="C207" s="103"/>
      <c r="D207" s="41"/>
      <c r="E207" s="41"/>
      <c r="F207" s="41"/>
      <c r="G207" s="25"/>
      <c r="H207" s="57"/>
      <c r="I207" s="57"/>
      <c r="K207" s="28"/>
    </row>
    <row r="208" spans="1:11" s="24" customFormat="1">
      <c r="A208" s="40"/>
      <c r="B208" s="106"/>
      <c r="C208" s="103"/>
      <c r="D208" s="41"/>
      <c r="E208" s="41"/>
      <c r="F208" s="41"/>
      <c r="G208" s="25"/>
      <c r="H208" s="57"/>
      <c r="I208" s="57"/>
      <c r="K208" s="28"/>
    </row>
    <row r="209" spans="1:11" s="24" customFormat="1">
      <c r="A209" s="40"/>
      <c r="B209" s="106"/>
      <c r="C209" s="103"/>
      <c r="D209" s="41"/>
      <c r="E209" s="41"/>
      <c r="F209" s="41"/>
      <c r="G209" s="25"/>
      <c r="H209" s="57"/>
      <c r="I209" s="57"/>
      <c r="K209" s="28"/>
    </row>
    <row r="210" spans="1:11" s="24" customFormat="1">
      <c r="A210" s="40"/>
      <c r="B210" s="106"/>
      <c r="C210" s="103"/>
      <c r="D210" s="41"/>
      <c r="E210" s="41"/>
      <c r="F210" s="41"/>
      <c r="G210" s="25"/>
      <c r="H210" s="57"/>
      <c r="I210" s="57"/>
      <c r="K210" s="28"/>
    </row>
    <row r="211" spans="1:11" s="24" customFormat="1">
      <c r="A211" s="40"/>
      <c r="B211" s="106"/>
      <c r="C211" s="103"/>
      <c r="D211" s="41"/>
      <c r="E211" s="41"/>
      <c r="F211" s="41"/>
      <c r="G211" s="25"/>
      <c r="H211" s="57"/>
      <c r="I211" s="57"/>
      <c r="K211" s="28"/>
    </row>
    <row r="212" spans="1:11" s="24" customFormat="1">
      <c r="A212" s="40"/>
      <c r="B212" s="106"/>
      <c r="C212" s="103"/>
      <c r="D212" s="41"/>
      <c r="E212" s="41"/>
      <c r="F212" s="41"/>
      <c r="G212" s="25"/>
      <c r="H212" s="57"/>
      <c r="I212" s="57"/>
      <c r="K212" s="28"/>
    </row>
    <row r="213" spans="1:11" s="24" customFormat="1">
      <c r="A213" s="40"/>
      <c r="B213" s="106"/>
      <c r="C213" s="103"/>
      <c r="D213" s="41"/>
      <c r="E213" s="41"/>
      <c r="F213" s="41"/>
      <c r="G213" s="25"/>
      <c r="H213" s="57"/>
      <c r="I213" s="57"/>
      <c r="K213" s="28"/>
    </row>
    <row r="214" spans="1:11" s="24" customFormat="1">
      <c r="A214" s="40"/>
      <c r="B214" s="106"/>
      <c r="C214" s="103"/>
      <c r="D214" s="41"/>
      <c r="E214" s="41"/>
      <c r="F214" s="41"/>
      <c r="G214" s="25"/>
      <c r="H214" s="57"/>
      <c r="I214" s="57"/>
      <c r="K214" s="28"/>
    </row>
    <row r="215" spans="1:11" s="24" customFormat="1">
      <c r="A215" s="40"/>
      <c r="B215" s="106"/>
      <c r="C215" s="103"/>
      <c r="D215" s="41"/>
      <c r="E215" s="41"/>
      <c r="F215" s="41"/>
      <c r="G215" s="25"/>
      <c r="H215" s="57"/>
      <c r="I215" s="57"/>
      <c r="K215" s="28"/>
    </row>
    <row r="216" spans="1:11" s="24" customFormat="1">
      <c r="A216" s="40"/>
      <c r="B216" s="106"/>
      <c r="C216" s="103"/>
      <c r="D216" s="41"/>
      <c r="E216" s="41"/>
      <c r="F216" s="41"/>
      <c r="G216" s="25"/>
      <c r="H216" s="57"/>
      <c r="I216" s="57"/>
      <c r="K216" s="28"/>
    </row>
    <row r="217" spans="1:11" s="24" customFormat="1">
      <c r="A217" s="40"/>
      <c r="B217" s="106"/>
      <c r="C217" s="103"/>
      <c r="D217" s="41"/>
      <c r="E217" s="41"/>
      <c r="F217" s="41"/>
      <c r="G217" s="25"/>
      <c r="H217" s="57"/>
      <c r="I217" s="57"/>
      <c r="K217" s="28"/>
    </row>
    <row r="218" spans="1:11" s="24" customFormat="1">
      <c r="A218" s="40"/>
      <c r="B218" s="106"/>
      <c r="C218" s="103"/>
      <c r="D218" s="41"/>
      <c r="E218" s="41"/>
      <c r="F218" s="41"/>
      <c r="G218" s="25"/>
      <c r="H218" s="57"/>
      <c r="I218" s="57"/>
      <c r="K218" s="28"/>
    </row>
    <row r="219" spans="1:11" s="24" customFormat="1">
      <c r="A219" s="40"/>
      <c r="B219" s="106"/>
      <c r="C219" s="103"/>
      <c r="D219" s="41"/>
      <c r="E219" s="41"/>
      <c r="F219" s="41"/>
      <c r="G219" s="25"/>
      <c r="H219" s="57"/>
      <c r="I219" s="57"/>
      <c r="K219" s="28"/>
    </row>
    <row r="220" spans="1:11" s="24" customFormat="1">
      <c r="A220" s="40"/>
      <c r="B220" s="106"/>
      <c r="C220" s="103"/>
      <c r="D220" s="41"/>
      <c r="E220" s="41"/>
      <c r="F220" s="41"/>
      <c r="G220" s="25"/>
      <c r="H220" s="57"/>
      <c r="I220" s="57"/>
      <c r="K220" s="28"/>
    </row>
    <row r="221" spans="1:11" s="24" customFormat="1">
      <c r="A221" s="40"/>
      <c r="B221" s="106"/>
      <c r="C221" s="103"/>
      <c r="D221" s="41"/>
      <c r="E221" s="41"/>
      <c r="F221" s="41"/>
      <c r="G221" s="25"/>
      <c r="H221" s="57"/>
      <c r="I221" s="57"/>
      <c r="K221" s="28"/>
    </row>
    <row r="222" spans="1:11" s="24" customFormat="1">
      <c r="A222" s="40"/>
      <c r="B222" s="106"/>
      <c r="C222" s="103"/>
      <c r="D222" s="41"/>
      <c r="E222" s="41"/>
      <c r="F222" s="41"/>
      <c r="G222" s="25"/>
      <c r="H222" s="57"/>
      <c r="I222" s="57"/>
      <c r="K222" s="28"/>
    </row>
    <row r="223" spans="1:11" s="24" customFormat="1">
      <c r="A223" s="40"/>
      <c r="B223" s="106"/>
      <c r="C223" s="103"/>
      <c r="D223" s="41"/>
      <c r="E223" s="41"/>
      <c r="F223" s="41"/>
      <c r="G223" s="25"/>
      <c r="H223" s="57"/>
      <c r="I223" s="57"/>
      <c r="K223" s="28"/>
    </row>
    <row r="224" spans="1:11" s="24" customFormat="1">
      <c r="A224" s="40"/>
      <c r="B224" s="106"/>
      <c r="C224" s="103"/>
      <c r="D224" s="41"/>
      <c r="E224" s="41"/>
      <c r="F224" s="41"/>
      <c r="G224" s="25"/>
      <c r="H224" s="57"/>
      <c r="I224" s="57"/>
      <c r="K224" s="28"/>
    </row>
    <row r="225" spans="1:11" s="24" customFormat="1">
      <c r="A225" s="40"/>
      <c r="B225" s="106"/>
      <c r="C225" s="103"/>
      <c r="D225" s="41"/>
      <c r="E225" s="41"/>
      <c r="F225" s="41"/>
      <c r="G225" s="25"/>
      <c r="H225" s="57"/>
      <c r="I225" s="57"/>
      <c r="K225" s="28"/>
    </row>
    <row r="226" spans="1:11" s="24" customFormat="1">
      <c r="A226" s="40"/>
      <c r="B226" s="106"/>
      <c r="C226" s="103"/>
      <c r="D226" s="41"/>
      <c r="E226" s="41"/>
      <c r="F226" s="41"/>
      <c r="G226" s="25"/>
      <c r="H226" s="57"/>
      <c r="I226" s="57"/>
      <c r="K226" s="28"/>
    </row>
    <row r="227" spans="1:11" s="24" customFormat="1">
      <c r="A227" s="40"/>
      <c r="B227" s="106"/>
      <c r="C227" s="103"/>
      <c r="D227" s="41"/>
      <c r="E227" s="41"/>
      <c r="F227" s="41"/>
      <c r="G227" s="25"/>
      <c r="H227" s="57"/>
      <c r="I227" s="57"/>
      <c r="K227" s="28"/>
    </row>
    <row r="228" spans="1:11" s="24" customFormat="1">
      <c r="A228" s="40"/>
      <c r="B228" s="106"/>
      <c r="C228" s="103"/>
      <c r="D228" s="41"/>
      <c r="E228" s="41"/>
      <c r="F228" s="41"/>
      <c r="G228" s="25"/>
      <c r="H228" s="57"/>
      <c r="I228" s="57"/>
      <c r="K228" s="28"/>
    </row>
    <row r="229" spans="1:11" s="24" customFormat="1">
      <c r="A229" s="40"/>
      <c r="B229" s="106"/>
      <c r="C229" s="103"/>
      <c r="D229" s="41"/>
      <c r="E229" s="41"/>
      <c r="F229" s="41"/>
      <c r="G229" s="25"/>
      <c r="H229" s="57"/>
      <c r="I229" s="57"/>
      <c r="K229" s="28"/>
    </row>
    <row r="230" spans="1:11" s="24" customFormat="1">
      <c r="A230" s="40"/>
      <c r="B230" s="106"/>
      <c r="C230" s="103"/>
      <c r="D230" s="41"/>
      <c r="E230" s="41"/>
      <c r="F230" s="41"/>
      <c r="G230" s="25"/>
      <c r="H230" s="57"/>
      <c r="I230" s="57"/>
      <c r="K230" s="28"/>
    </row>
    <row r="231" spans="1:11" s="24" customFormat="1">
      <c r="A231" s="40"/>
      <c r="B231" s="106"/>
      <c r="C231" s="103"/>
      <c r="D231" s="41"/>
      <c r="E231" s="41"/>
      <c r="F231" s="41"/>
      <c r="G231" s="25"/>
      <c r="H231" s="57"/>
      <c r="I231" s="57"/>
      <c r="K231" s="28"/>
    </row>
    <row r="232" spans="1:11" s="24" customFormat="1">
      <c r="A232" s="40"/>
      <c r="B232" s="106"/>
      <c r="C232" s="103"/>
      <c r="D232" s="41"/>
      <c r="E232" s="41"/>
      <c r="F232" s="41"/>
      <c r="G232" s="25"/>
      <c r="H232" s="57"/>
      <c r="I232" s="57"/>
      <c r="K232" s="28"/>
    </row>
    <row r="233" spans="1:11" s="24" customFormat="1">
      <c r="A233" s="40"/>
      <c r="B233" s="106"/>
      <c r="C233" s="103"/>
      <c r="D233" s="41"/>
      <c r="E233" s="41"/>
      <c r="F233" s="41"/>
      <c r="G233" s="25"/>
      <c r="H233" s="57"/>
      <c r="I233" s="57"/>
      <c r="K233" s="28"/>
    </row>
    <row r="234" spans="1:11" s="24" customFormat="1">
      <c r="A234" s="40"/>
      <c r="B234" s="106"/>
      <c r="C234" s="103"/>
      <c r="D234" s="41"/>
      <c r="E234" s="41"/>
      <c r="F234" s="41"/>
      <c r="G234" s="25"/>
      <c r="H234" s="57"/>
      <c r="I234" s="57"/>
      <c r="K234" s="28"/>
    </row>
    <row r="235" spans="1:11" s="24" customFormat="1">
      <c r="A235" s="40"/>
      <c r="B235" s="106"/>
      <c r="C235" s="103"/>
      <c r="D235" s="41"/>
      <c r="E235" s="41"/>
      <c r="F235" s="41"/>
      <c r="G235" s="25"/>
      <c r="H235" s="57"/>
      <c r="I235" s="57"/>
      <c r="K235" s="28"/>
    </row>
    <row r="236" spans="1:11" s="24" customFormat="1">
      <c r="A236" s="40"/>
      <c r="B236" s="106"/>
      <c r="C236" s="103"/>
      <c r="D236" s="41"/>
      <c r="E236" s="41"/>
      <c r="F236" s="41"/>
      <c r="G236" s="25"/>
      <c r="H236" s="57"/>
      <c r="I236" s="57"/>
      <c r="K236" s="28"/>
    </row>
    <row r="237" spans="1:11" s="24" customFormat="1">
      <c r="A237" s="40"/>
      <c r="B237" s="106"/>
      <c r="C237" s="103"/>
      <c r="D237" s="41"/>
      <c r="E237" s="41"/>
      <c r="F237" s="41"/>
      <c r="G237" s="25"/>
      <c r="H237" s="57"/>
      <c r="I237" s="57"/>
      <c r="K237" s="28"/>
    </row>
    <row r="238" spans="1:11" s="24" customFormat="1">
      <c r="A238" s="40"/>
      <c r="B238" s="106"/>
      <c r="C238" s="103"/>
      <c r="D238" s="41"/>
      <c r="E238" s="41"/>
      <c r="F238" s="41"/>
      <c r="G238" s="25"/>
      <c r="H238" s="57"/>
      <c r="I238" s="57"/>
      <c r="K238" s="28"/>
    </row>
    <row r="239" spans="1:11" s="24" customFormat="1">
      <c r="A239" s="40"/>
      <c r="B239" s="106"/>
      <c r="C239" s="103"/>
      <c r="D239" s="41"/>
      <c r="E239" s="41"/>
      <c r="F239" s="41"/>
      <c r="G239" s="25"/>
      <c r="H239" s="57"/>
      <c r="I239" s="57"/>
      <c r="K239" s="28"/>
    </row>
    <row r="240" spans="1:11" s="24" customFormat="1">
      <c r="A240" s="40"/>
      <c r="B240" s="106"/>
      <c r="C240" s="103"/>
      <c r="D240" s="41"/>
      <c r="E240" s="41"/>
      <c r="F240" s="41"/>
      <c r="G240" s="25"/>
      <c r="H240" s="57"/>
      <c r="I240" s="57"/>
      <c r="K240" s="28"/>
    </row>
    <row r="241" spans="1:11" s="24" customFormat="1">
      <c r="A241" s="40"/>
      <c r="B241" s="106"/>
      <c r="C241" s="103"/>
      <c r="D241" s="41"/>
      <c r="E241" s="41"/>
      <c r="F241" s="41"/>
      <c r="G241" s="25"/>
      <c r="H241" s="57"/>
      <c r="I241" s="57"/>
      <c r="K241" s="28"/>
    </row>
    <row r="242" spans="1:11" s="24" customFormat="1">
      <c r="A242" s="40"/>
      <c r="B242" s="106"/>
      <c r="C242" s="103"/>
      <c r="D242" s="41"/>
      <c r="E242" s="41"/>
      <c r="F242" s="41"/>
      <c r="G242" s="25"/>
      <c r="H242" s="57"/>
      <c r="I242" s="57"/>
      <c r="K242" s="28"/>
    </row>
    <row r="243" spans="1:11" s="24" customFormat="1">
      <c r="A243" s="40"/>
      <c r="B243" s="106"/>
      <c r="C243" s="103"/>
      <c r="D243" s="41"/>
      <c r="E243" s="41"/>
      <c r="F243" s="41"/>
      <c r="G243" s="25"/>
      <c r="H243" s="57"/>
      <c r="I243" s="57"/>
      <c r="K243" s="28"/>
    </row>
    <row r="244" spans="1:11" s="24" customFormat="1">
      <c r="A244" s="40"/>
      <c r="B244" s="106"/>
      <c r="C244" s="103"/>
      <c r="D244" s="41"/>
      <c r="E244" s="41"/>
      <c r="F244" s="41"/>
      <c r="G244" s="25"/>
      <c r="H244" s="57"/>
      <c r="I244" s="57"/>
      <c r="K244" s="28"/>
    </row>
    <row r="245" spans="1:11" s="24" customFormat="1">
      <c r="A245" s="40"/>
      <c r="B245" s="106"/>
      <c r="C245" s="103"/>
      <c r="D245" s="41"/>
      <c r="E245" s="41"/>
      <c r="F245" s="41"/>
      <c r="G245" s="25"/>
      <c r="H245" s="57"/>
      <c r="I245" s="57"/>
      <c r="K245" s="28"/>
    </row>
    <row r="246" spans="1:11" s="24" customFormat="1">
      <c r="A246" s="40"/>
      <c r="B246" s="106"/>
      <c r="C246" s="103"/>
      <c r="D246" s="41"/>
      <c r="E246" s="41"/>
      <c r="F246" s="41"/>
      <c r="G246" s="25"/>
      <c r="H246" s="57"/>
      <c r="I246" s="57"/>
      <c r="K246" s="28"/>
    </row>
    <row r="247" spans="1:11" s="24" customFormat="1">
      <c r="A247" s="40"/>
      <c r="B247" s="106"/>
      <c r="C247" s="103"/>
      <c r="D247" s="41"/>
      <c r="E247" s="41"/>
      <c r="F247" s="41"/>
      <c r="G247" s="25"/>
      <c r="H247" s="57"/>
      <c r="I247" s="57"/>
      <c r="K247" s="28"/>
    </row>
    <row r="248" spans="1:11" s="24" customFormat="1">
      <c r="A248" s="40"/>
      <c r="B248" s="106"/>
      <c r="C248" s="103"/>
      <c r="D248" s="41"/>
      <c r="E248" s="41"/>
      <c r="F248" s="41"/>
      <c r="G248" s="25"/>
      <c r="H248" s="57"/>
      <c r="I248" s="57"/>
      <c r="K248" s="28"/>
    </row>
    <row r="249" spans="1:11" s="24" customFormat="1">
      <c r="A249" s="40"/>
      <c r="B249" s="106"/>
      <c r="C249" s="103"/>
      <c r="D249" s="41"/>
      <c r="E249" s="41"/>
      <c r="F249" s="41"/>
      <c r="G249" s="25"/>
      <c r="H249" s="57"/>
      <c r="I249" s="57"/>
      <c r="K249" s="28"/>
    </row>
    <row r="250" spans="1:11" s="24" customFormat="1">
      <c r="A250" s="40"/>
      <c r="B250" s="106"/>
      <c r="C250" s="103"/>
      <c r="D250" s="41"/>
      <c r="E250" s="41"/>
      <c r="F250" s="41"/>
      <c r="G250" s="25"/>
      <c r="H250" s="57"/>
      <c r="I250" s="57"/>
      <c r="K250" s="28"/>
    </row>
    <row r="251" spans="1:11" s="24" customFormat="1">
      <c r="A251" s="40"/>
      <c r="B251" s="106"/>
      <c r="C251" s="103"/>
      <c r="D251" s="41"/>
      <c r="E251" s="41"/>
      <c r="F251" s="41"/>
      <c r="G251" s="25"/>
      <c r="H251" s="57"/>
      <c r="I251" s="57"/>
      <c r="K251" s="28"/>
    </row>
    <row r="252" spans="1:11" s="24" customFormat="1">
      <c r="A252" s="40"/>
      <c r="B252" s="106"/>
      <c r="C252" s="103"/>
      <c r="D252" s="41"/>
      <c r="E252" s="41"/>
      <c r="F252" s="41"/>
      <c r="G252" s="25"/>
      <c r="H252" s="57"/>
      <c r="I252" s="57"/>
      <c r="K252" s="28"/>
    </row>
    <row r="253" spans="1:11" s="24" customFormat="1">
      <c r="A253" s="40"/>
      <c r="B253" s="106"/>
      <c r="C253" s="103"/>
      <c r="D253" s="41"/>
      <c r="E253" s="41"/>
      <c r="F253" s="41"/>
      <c r="G253" s="25"/>
      <c r="H253" s="57"/>
      <c r="I253" s="57"/>
      <c r="K253" s="28"/>
    </row>
    <row r="254" spans="1:11" s="24" customFormat="1">
      <c r="A254" s="40"/>
      <c r="B254" s="106"/>
      <c r="C254" s="103"/>
      <c r="D254" s="41"/>
      <c r="E254" s="41"/>
      <c r="F254" s="41"/>
      <c r="G254" s="25"/>
      <c r="H254" s="57"/>
      <c r="I254" s="57"/>
      <c r="K254" s="28"/>
    </row>
    <row r="255" spans="1:11" s="24" customFormat="1">
      <c r="A255" s="40"/>
      <c r="B255" s="106"/>
      <c r="C255" s="103"/>
      <c r="D255" s="41"/>
      <c r="E255" s="41"/>
      <c r="F255" s="41"/>
      <c r="G255" s="25"/>
      <c r="H255" s="57"/>
      <c r="I255" s="57"/>
      <c r="K255" s="28"/>
    </row>
    <row r="256" spans="1:11" s="24" customFormat="1">
      <c r="A256" s="40"/>
      <c r="B256" s="106"/>
      <c r="C256" s="103"/>
      <c r="D256" s="41"/>
      <c r="E256" s="41"/>
      <c r="F256" s="41"/>
      <c r="G256" s="25"/>
      <c r="H256" s="57"/>
      <c r="I256" s="57"/>
      <c r="K256" s="28"/>
    </row>
    <row r="257" spans="1:11" s="24" customFormat="1">
      <c r="A257" s="40"/>
      <c r="B257" s="106"/>
      <c r="C257" s="103"/>
      <c r="D257" s="41"/>
      <c r="E257" s="41"/>
      <c r="F257" s="41"/>
      <c r="G257" s="25"/>
      <c r="H257" s="57"/>
      <c r="I257" s="57"/>
      <c r="K257" s="28"/>
    </row>
    <row r="258" spans="1:11" s="24" customFormat="1">
      <c r="A258" s="40"/>
      <c r="B258" s="106"/>
      <c r="C258" s="103"/>
      <c r="D258" s="41"/>
      <c r="E258" s="41"/>
      <c r="F258" s="41"/>
      <c r="G258" s="25"/>
      <c r="H258" s="57"/>
      <c r="I258" s="57"/>
      <c r="K258" s="28"/>
    </row>
    <row r="259" spans="1:11" s="24" customFormat="1">
      <c r="A259" s="40"/>
      <c r="B259" s="106"/>
      <c r="C259" s="103"/>
      <c r="D259" s="41"/>
      <c r="E259" s="41"/>
      <c r="F259" s="41"/>
      <c r="G259" s="25"/>
      <c r="H259" s="57"/>
      <c r="I259" s="57"/>
      <c r="K259" s="28"/>
    </row>
    <row r="260" spans="1:11" s="24" customFormat="1">
      <c r="A260" s="40"/>
      <c r="B260" s="106"/>
      <c r="C260" s="103"/>
      <c r="D260" s="41"/>
      <c r="E260" s="41"/>
      <c r="F260" s="41"/>
      <c r="G260" s="25"/>
      <c r="H260" s="57"/>
      <c r="I260" s="57"/>
      <c r="K260" s="28"/>
    </row>
    <row r="261" spans="1:11" s="24" customFormat="1">
      <c r="A261" s="40"/>
      <c r="B261" s="106"/>
      <c r="C261" s="103"/>
      <c r="D261" s="41"/>
      <c r="E261" s="41"/>
      <c r="F261" s="41"/>
      <c r="G261" s="25"/>
      <c r="H261" s="57"/>
      <c r="I261" s="57"/>
      <c r="K261" s="28"/>
    </row>
    <row r="262" spans="1:11" s="24" customFormat="1">
      <c r="A262" s="40"/>
      <c r="B262" s="106"/>
      <c r="C262" s="103"/>
      <c r="D262" s="41"/>
      <c r="E262" s="41"/>
      <c r="F262" s="41"/>
      <c r="G262" s="25"/>
      <c r="H262" s="57"/>
      <c r="I262" s="57"/>
      <c r="K262" s="28"/>
    </row>
    <row r="263" spans="1:11" s="24" customFormat="1">
      <c r="A263" s="40"/>
      <c r="B263" s="106"/>
      <c r="C263" s="103"/>
      <c r="D263" s="41"/>
      <c r="E263" s="41"/>
      <c r="F263" s="41"/>
      <c r="G263" s="25"/>
      <c r="H263" s="57"/>
      <c r="I263" s="57"/>
      <c r="K263" s="28"/>
    </row>
    <row r="264" spans="1:11" s="24" customFormat="1">
      <c r="A264" s="40"/>
      <c r="B264" s="106"/>
      <c r="C264" s="103"/>
      <c r="D264" s="41"/>
      <c r="E264" s="41"/>
      <c r="F264" s="41"/>
      <c r="G264" s="25"/>
      <c r="H264" s="57"/>
      <c r="I264" s="57"/>
      <c r="K264" s="28"/>
    </row>
    <row r="265" spans="1:11" s="24" customFormat="1">
      <c r="A265" s="40"/>
      <c r="B265" s="106"/>
      <c r="C265" s="103"/>
      <c r="D265" s="41"/>
      <c r="E265" s="41"/>
      <c r="F265" s="41"/>
      <c r="G265" s="25"/>
      <c r="H265" s="57"/>
      <c r="I265" s="57"/>
      <c r="K265" s="28"/>
    </row>
    <row r="266" spans="1:11" s="24" customFormat="1">
      <c r="A266" s="40"/>
      <c r="B266" s="106"/>
      <c r="C266" s="103"/>
      <c r="D266" s="41"/>
      <c r="E266" s="41"/>
      <c r="F266" s="41"/>
      <c r="G266" s="25"/>
      <c r="H266" s="57"/>
      <c r="I266" s="57"/>
      <c r="K266" s="28"/>
    </row>
    <row r="267" spans="1:11" s="24" customFormat="1">
      <c r="A267" s="40"/>
      <c r="B267" s="106"/>
      <c r="C267" s="103"/>
      <c r="D267" s="41"/>
      <c r="E267" s="41"/>
      <c r="F267" s="41"/>
      <c r="G267" s="25"/>
      <c r="H267" s="57"/>
      <c r="I267" s="57"/>
      <c r="K267" s="28"/>
    </row>
    <row r="268" spans="1:11" s="24" customFormat="1">
      <c r="A268" s="40"/>
      <c r="B268" s="106"/>
      <c r="C268" s="103"/>
      <c r="D268" s="41"/>
      <c r="E268" s="41"/>
      <c r="F268" s="41"/>
      <c r="G268" s="25"/>
      <c r="H268" s="57"/>
      <c r="I268" s="57"/>
      <c r="K268" s="28"/>
    </row>
    <row r="269" spans="1:11" s="24" customFormat="1">
      <c r="A269" s="40"/>
      <c r="B269" s="106"/>
      <c r="C269" s="103"/>
      <c r="D269" s="41"/>
      <c r="E269" s="41"/>
      <c r="F269" s="41"/>
      <c r="G269" s="25"/>
      <c r="H269" s="57"/>
      <c r="I269" s="57"/>
      <c r="K269" s="28"/>
    </row>
    <row r="270" spans="1:11" s="24" customFormat="1">
      <c r="A270" s="40"/>
      <c r="B270" s="106"/>
      <c r="C270" s="103"/>
      <c r="D270" s="41"/>
      <c r="E270" s="41"/>
      <c r="F270" s="41"/>
      <c r="G270" s="25"/>
      <c r="H270" s="57"/>
      <c r="I270" s="57"/>
      <c r="K270" s="28"/>
    </row>
    <row r="271" spans="1:11" s="24" customFormat="1">
      <c r="A271" s="40"/>
      <c r="B271" s="106"/>
      <c r="C271" s="103"/>
      <c r="D271" s="41"/>
      <c r="E271" s="41"/>
      <c r="F271" s="41"/>
      <c r="G271" s="25"/>
      <c r="H271" s="57"/>
      <c r="I271" s="57"/>
      <c r="K271" s="28"/>
    </row>
    <row r="272" spans="1:11" s="24" customFormat="1">
      <c r="A272" s="40"/>
      <c r="B272" s="106"/>
      <c r="C272" s="103"/>
      <c r="D272" s="41"/>
      <c r="E272" s="41"/>
      <c r="F272" s="41"/>
      <c r="G272" s="25"/>
      <c r="H272" s="57"/>
      <c r="I272" s="57"/>
      <c r="K272" s="28"/>
    </row>
    <row r="273" spans="1:11" s="24" customFormat="1">
      <c r="A273" s="40"/>
      <c r="B273" s="106"/>
      <c r="C273" s="103"/>
      <c r="D273" s="41"/>
      <c r="E273" s="41"/>
      <c r="F273" s="41"/>
      <c r="G273" s="25"/>
      <c r="H273" s="57"/>
      <c r="I273" s="57"/>
      <c r="K273" s="28"/>
    </row>
    <row r="274" spans="1:11" s="24" customFormat="1">
      <c r="A274" s="40"/>
      <c r="B274" s="106"/>
      <c r="C274" s="103"/>
      <c r="D274" s="41"/>
      <c r="E274" s="41"/>
      <c r="F274" s="41"/>
      <c r="G274" s="25"/>
      <c r="H274" s="57"/>
      <c r="I274" s="57"/>
      <c r="K274" s="28"/>
    </row>
    <row r="275" spans="1:11" s="24" customFormat="1">
      <c r="A275" s="40"/>
      <c r="B275" s="106"/>
      <c r="C275" s="103"/>
      <c r="D275" s="41"/>
      <c r="E275" s="41"/>
      <c r="F275" s="41"/>
      <c r="G275" s="25"/>
      <c r="H275" s="57"/>
      <c r="I275" s="57"/>
      <c r="K275" s="28"/>
    </row>
    <row r="276" spans="1:11" s="24" customFormat="1">
      <c r="A276" s="40"/>
      <c r="B276" s="106"/>
      <c r="C276" s="103"/>
      <c r="D276" s="41"/>
      <c r="E276" s="41"/>
      <c r="F276" s="41"/>
      <c r="G276" s="25"/>
      <c r="H276" s="57"/>
      <c r="I276" s="57"/>
      <c r="K276" s="28"/>
    </row>
    <row r="277" spans="1:11" s="24" customFormat="1">
      <c r="A277" s="40"/>
      <c r="B277" s="106"/>
      <c r="C277" s="103"/>
      <c r="D277" s="41"/>
      <c r="E277" s="41"/>
      <c r="F277" s="41"/>
      <c r="G277" s="25"/>
      <c r="H277" s="57"/>
      <c r="I277" s="57"/>
      <c r="K277" s="28"/>
    </row>
    <row r="278" spans="1:11" s="24" customFormat="1">
      <c r="A278" s="40"/>
      <c r="B278" s="106"/>
      <c r="C278" s="103"/>
      <c r="D278" s="41"/>
      <c r="E278" s="41"/>
      <c r="F278" s="41"/>
      <c r="G278" s="25"/>
      <c r="H278" s="57"/>
      <c r="I278" s="57"/>
      <c r="K278" s="28"/>
    </row>
    <row r="279" spans="1:11" s="24" customFormat="1">
      <c r="A279" s="40"/>
      <c r="B279" s="106"/>
      <c r="C279" s="103"/>
      <c r="D279" s="41"/>
      <c r="E279" s="41"/>
      <c r="F279" s="41"/>
      <c r="G279" s="25"/>
      <c r="H279" s="57"/>
      <c r="I279" s="57"/>
      <c r="K279" s="28"/>
    </row>
    <row r="280" spans="1:11" s="24" customFormat="1">
      <c r="A280" s="40"/>
      <c r="B280" s="106"/>
      <c r="C280" s="103"/>
      <c r="D280" s="41"/>
      <c r="E280" s="41"/>
      <c r="F280" s="41"/>
      <c r="G280" s="25"/>
      <c r="H280" s="57"/>
      <c r="I280" s="57"/>
      <c r="K280" s="28"/>
    </row>
    <row r="281" spans="1:11" s="24" customFormat="1">
      <c r="A281" s="40"/>
      <c r="B281" s="106"/>
      <c r="C281" s="103"/>
      <c r="D281" s="41"/>
      <c r="E281" s="41"/>
      <c r="F281" s="41"/>
      <c r="G281" s="25"/>
      <c r="H281" s="57"/>
      <c r="I281" s="57"/>
      <c r="K281" s="28"/>
    </row>
    <row r="282" spans="1:11" s="24" customFormat="1">
      <c r="A282" s="40"/>
      <c r="B282" s="106"/>
      <c r="C282" s="103"/>
      <c r="D282" s="41"/>
      <c r="E282" s="41"/>
      <c r="F282" s="41"/>
      <c r="G282" s="25"/>
      <c r="H282" s="57"/>
      <c r="I282" s="57"/>
      <c r="K282" s="28"/>
    </row>
    <row r="283" spans="1:11" s="24" customFormat="1">
      <c r="A283" s="40"/>
      <c r="B283" s="106"/>
      <c r="C283" s="103"/>
      <c r="D283" s="41"/>
      <c r="E283" s="41"/>
      <c r="F283" s="41"/>
      <c r="G283" s="25"/>
      <c r="H283" s="57"/>
      <c r="I283" s="57"/>
      <c r="K283" s="28"/>
    </row>
    <row r="284" spans="1:11" s="24" customFormat="1">
      <c r="A284" s="40"/>
      <c r="B284" s="106"/>
      <c r="C284" s="103"/>
      <c r="D284" s="41"/>
      <c r="E284" s="41"/>
      <c r="F284" s="41"/>
      <c r="G284" s="25"/>
      <c r="H284" s="57"/>
      <c r="I284" s="57"/>
      <c r="K284" s="28"/>
    </row>
    <row r="285" spans="1:11" s="24" customFormat="1">
      <c r="A285" s="40"/>
      <c r="B285" s="106"/>
      <c r="C285" s="103"/>
      <c r="D285" s="41"/>
      <c r="E285" s="41"/>
      <c r="F285" s="41"/>
      <c r="G285" s="25"/>
      <c r="H285" s="57"/>
      <c r="I285" s="57"/>
      <c r="K285" s="28"/>
    </row>
    <row r="286" spans="1:11" s="24" customFormat="1">
      <c r="A286" s="40"/>
      <c r="B286" s="106"/>
      <c r="C286" s="103"/>
      <c r="D286" s="41"/>
      <c r="E286" s="41"/>
      <c r="F286" s="41"/>
      <c r="G286" s="25"/>
      <c r="H286" s="57"/>
      <c r="I286" s="57"/>
      <c r="K286" s="28"/>
    </row>
    <row r="287" spans="1:11" s="24" customFormat="1">
      <c r="A287" s="40"/>
      <c r="B287" s="106"/>
      <c r="C287" s="103"/>
      <c r="D287" s="41"/>
      <c r="E287" s="41"/>
      <c r="F287" s="41"/>
      <c r="G287" s="25"/>
      <c r="H287" s="57"/>
      <c r="I287" s="57"/>
      <c r="K287" s="28"/>
    </row>
    <row r="288" spans="1:11" s="24" customFormat="1">
      <c r="A288" s="40"/>
      <c r="B288" s="106"/>
      <c r="C288" s="103"/>
      <c r="D288" s="41"/>
      <c r="E288" s="41"/>
      <c r="F288" s="41"/>
      <c r="G288" s="25"/>
      <c r="H288" s="57"/>
      <c r="I288" s="57"/>
      <c r="K288" s="28"/>
    </row>
    <row r="289" spans="1:11" s="24" customFormat="1">
      <c r="A289" s="40"/>
      <c r="B289" s="106"/>
      <c r="C289" s="103"/>
      <c r="D289" s="41"/>
      <c r="E289" s="41"/>
      <c r="F289" s="41"/>
      <c r="G289" s="25"/>
      <c r="H289" s="57"/>
      <c r="I289" s="57"/>
      <c r="K289" s="28"/>
    </row>
    <row r="290" spans="1:11" s="24" customFormat="1">
      <c r="A290" s="40"/>
      <c r="B290" s="106"/>
      <c r="C290" s="103"/>
      <c r="D290" s="41"/>
      <c r="E290" s="41"/>
      <c r="F290" s="41"/>
      <c r="G290" s="25"/>
      <c r="H290" s="57"/>
      <c r="I290" s="57"/>
      <c r="K290" s="28"/>
    </row>
    <row r="291" spans="1:11" s="24" customFormat="1">
      <c r="A291" s="40"/>
      <c r="B291" s="106"/>
      <c r="C291" s="103"/>
      <c r="D291" s="41"/>
      <c r="E291" s="41"/>
      <c r="F291" s="41"/>
      <c r="G291" s="25"/>
      <c r="H291" s="57"/>
      <c r="I291" s="57"/>
      <c r="K291" s="28"/>
    </row>
    <row r="292" spans="1:11" s="24" customFormat="1">
      <c r="A292" s="40"/>
      <c r="B292" s="106"/>
      <c r="C292" s="103"/>
      <c r="D292" s="41"/>
      <c r="E292" s="41"/>
      <c r="F292" s="41"/>
      <c r="G292" s="25"/>
      <c r="H292" s="57"/>
      <c r="I292" s="57"/>
      <c r="K292" s="28"/>
    </row>
    <row r="293" spans="1:11" s="24" customFormat="1">
      <c r="A293" s="40"/>
      <c r="B293" s="106"/>
      <c r="C293" s="103"/>
      <c r="D293" s="41"/>
      <c r="E293" s="41"/>
      <c r="F293" s="41"/>
      <c r="G293" s="25"/>
      <c r="H293" s="57"/>
      <c r="I293" s="57"/>
      <c r="K293" s="28"/>
    </row>
    <row r="294" spans="1:11" s="24" customFormat="1">
      <c r="A294" s="40"/>
      <c r="B294" s="106"/>
      <c r="C294" s="103"/>
      <c r="D294" s="41"/>
      <c r="E294" s="41"/>
      <c r="F294" s="41"/>
      <c r="G294" s="25"/>
      <c r="H294" s="57"/>
      <c r="I294" s="57"/>
      <c r="K294" s="28"/>
    </row>
    <row r="295" spans="1:11" s="24" customFormat="1">
      <c r="A295" s="40"/>
      <c r="B295" s="106"/>
      <c r="C295" s="103"/>
      <c r="D295" s="41"/>
      <c r="E295" s="41"/>
      <c r="F295" s="41"/>
      <c r="G295" s="25"/>
      <c r="H295" s="57"/>
      <c r="I295" s="57"/>
      <c r="K295" s="28"/>
    </row>
    <row r="296" spans="1:11" s="24" customFormat="1">
      <c r="A296" s="40"/>
      <c r="B296" s="106"/>
      <c r="C296" s="103"/>
      <c r="D296" s="41"/>
      <c r="E296" s="41"/>
      <c r="F296" s="41"/>
      <c r="G296" s="25"/>
      <c r="H296" s="57"/>
      <c r="I296" s="57"/>
      <c r="K296" s="28"/>
    </row>
    <row r="297" spans="1:11" s="24" customFormat="1">
      <c r="A297" s="40"/>
      <c r="B297" s="106"/>
      <c r="C297" s="103"/>
      <c r="D297" s="41"/>
      <c r="E297" s="41"/>
      <c r="F297" s="41"/>
      <c r="G297" s="25"/>
      <c r="H297" s="57"/>
      <c r="I297" s="57"/>
      <c r="K297" s="28"/>
    </row>
    <row r="298" spans="1:11" s="24" customFormat="1">
      <c r="A298" s="40"/>
      <c r="B298" s="106"/>
      <c r="C298" s="103"/>
      <c r="D298" s="41"/>
      <c r="E298" s="41"/>
      <c r="F298" s="41"/>
      <c r="G298" s="25"/>
      <c r="H298" s="57"/>
      <c r="I298" s="57"/>
      <c r="K298" s="28"/>
    </row>
    <row r="299" spans="1:11" s="24" customFormat="1">
      <c r="A299" s="40"/>
      <c r="B299" s="106"/>
      <c r="C299" s="103"/>
      <c r="D299" s="41"/>
      <c r="E299" s="41"/>
      <c r="F299" s="41"/>
      <c r="G299" s="25"/>
      <c r="H299" s="57"/>
      <c r="I299" s="57"/>
      <c r="K299" s="28"/>
    </row>
    <row r="300" spans="1:11" s="24" customFormat="1">
      <c r="A300" s="40"/>
      <c r="B300" s="106"/>
      <c r="C300" s="103"/>
      <c r="D300" s="41"/>
      <c r="E300" s="41"/>
      <c r="F300" s="41"/>
      <c r="G300" s="25"/>
      <c r="H300" s="57"/>
      <c r="I300" s="57"/>
      <c r="K300" s="28"/>
    </row>
    <row r="301" spans="1:11" s="24" customFormat="1">
      <c r="A301" s="40"/>
      <c r="B301" s="106"/>
      <c r="C301" s="103"/>
      <c r="D301" s="41"/>
      <c r="E301" s="41"/>
      <c r="F301" s="41"/>
      <c r="G301" s="25"/>
      <c r="H301" s="57"/>
      <c r="I301" s="57"/>
      <c r="K301" s="28"/>
    </row>
    <row r="302" spans="1:11" s="24" customFormat="1">
      <c r="A302" s="40"/>
      <c r="B302" s="106"/>
      <c r="C302" s="103"/>
      <c r="D302" s="41"/>
      <c r="E302" s="41"/>
      <c r="F302" s="41"/>
      <c r="G302" s="25"/>
      <c r="H302" s="57"/>
      <c r="I302" s="57"/>
      <c r="K302" s="28"/>
    </row>
    <row r="303" spans="1:11" s="24" customFormat="1">
      <c r="A303" s="40"/>
      <c r="B303" s="106"/>
      <c r="C303" s="103"/>
      <c r="D303" s="41"/>
      <c r="E303" s="41"/>
      <c r="F303" s="41"/>
      <c r="G303" s="25"/>
      <c r="H303" s="57"/>
      <c r="I303" s="57"/>
      <c r="K303" s="28"/>
    </row>
    <row r="304" spans="1:11" s="24" customFormat="1">
      <c r="A304" s="40"/>
      <c r="B304" s="106"/>
      <c r="C304" s="103"/>
      <c r="D304" s="41"/>
      <c r="E304" s="41"/>
      <c r="F304" s="41"/>
      <c r="G304" s="25"/>
      <c r="H304" s="57"/>
      <c r="I304" s="57"/>
      <c r="K304" s="28"/>
    </row>
    <row r="305" spans="1:11" s="24" customFormat="1">
      <c r="A305" s="40"/>
      <c r="B305" s="106"/>
      <c r="C305" s="103"/>
      <c r="D305" s="41"/>
      <c r="E305" s="41"/>
      <c r="F305" s="41"/>
      <c r="G305" s="25"/>
      <c r="H305" s="57"/>
      <c r="I305" s="57"/>
      <c r="K305" s="28"/>
    </row>
    <row r="306" spans="1:11" s="24" customFormat="1">
      <c r="A306" s="40"/>
      <c r="B306" s="106"/>
      <c r="C306" s="103"/>
      <c r="D306" s="41"/>
      <c r="E306" s="41"/>
      <c r="F306" s="41"/>
      <c r="G306" s="25"/>
      <c r="H306" s="57"/>
      <c r="I306" s="57"/>
      <c r="K306" s="28"/>
    </row>
    <row r="307" spans="1:11" s="24" customFormat="1">
      <c r="A307" s="40"/>
      <c r="B307" s="106"/>
      <c r="C307" s="103"/>
      <c r="D307" s="41"/>
      <c r="E307" s="41"/>
      <c r="F307" s="41"/>
      <c r="G307" s="25"/>
      <c r="H307" s="57"/>
      <c r="I307" s="57"/>
      <c r="K307" s="28"/>
    </row>
    <row r="308" spans="1:11" s="24" customFormat="1">
      <c r="A308" s="40"/>
      <c r="B308" s="106"/>
      <c r="C308" s="103"/>
      <c r="D308" s="41"/>
      <c r="E308" s="41"/>
      <c r="F308" s="41"/>
      <c r="G308" s="25"/>
      <c r="H308" s="57"/>
      <c r="I308" s="57"/>
      <c r="K308" s="28"/>
    </row>
    <row r="309" spans="1:11" s="24" customFormat="1">
      <c r="A309" s="40"/>
      <c r="B309" s="106"/>
      <c r="C309" s="103"/>
      <c r="D309" s="41"/>
      <c r="E309" s="41"/>
      <c r="F309" s="41"/>
      <c r="G309" s="25"/>
      <c r="H309" s="57"/>
      <c r="I309" s="57"/>
      <c r="K309" s="28"/>
    </row>
    <row r="310" spans="1:11" s="24" customFormat="1">
      <c r="A310" s="40"/>
      <c r="B310" s="106"/>
      <c r="C310" s="103"/>
      <c r="D310" s="41"/>
      <c r="E310" s="41"/>
      <c r="F310" s="41"/>
      <c r="G310" s="25"/>
      <c r="H310" s="57"/>
      <c r="I310" s="57"/>
      <c r="K310" s="28"/>
    </row>
    <row r="311" spans="1:11" s="24" customFormat="1">
      <c r="A311" s="40"/>
      <c r="B311" s="106"/>
      <c r="C311" s="103"/>
      <c r="D311" s="41"/>
      <c r="E311" s="41"/>
      <c r="F311" s="41"/>
      <c r="G311" s="25"/>
      <c r="H311" s="57"/>
      <c r="I311" s="57"/>
      <c r="K311" s="28"/>
    </row>
    <row r="312" spans="1:11" s="24" customFormat="1">
      <c r="A312" s="40"/>
      <c r="B312" s="106"/>
      <c r="C312" s="103"/>
      <c r="D312" s="41"/>
      <c r="E312" s="41"/>
      <c r="F312" s="41"/>
      <c r="G312" s="25"/>
      <c r="H312" s="57"/>
      <c r="I312" s="57"/>
      <c r="K312" s="28"/>
    </row>
    <row r="313" spans="1:11" s="24" customFormat="1">
      <c r="A313" s="40"/>
      <c r="B313" s="106"/>
      <c r="C313" s="103"/>
      <c r="D313" s="41"/>
      <c r="E313" s="41"/>
      <c r="F313" s="41"/>
      <c r="G313" s="25"/>
      <c r="H313" s="57"/>
      <c r="I313" s="57"/>
      <c r="K313" s="28"/>
    </row>
    <row r="314" spans="1:11" s="24" customFormat="1">
      <c r="A314" s="40"/>
      <c r="B314" s="106"/>
      <c r="C314" s="103"/>
      <c r="D314" s="41"/>
      <c r="E314" s="41"/>
      <c r="F314" s="41"/>
      <c r="G314" s="25"/>
      <c r="H314" s="57"/>
      <c r="I314" s="57"/>
      <c r="K314" s="28"/>
    </row>
    <row r="315" spans="1:11" s="24" customFormat="1">
      <c r="A315" s="40"/>
      <c r="B315" s="106"/>
      <c r="C315" s="103"/>
      <c r="D315" s="41"/>
      <c r="E315" s="41"/>
      <c r="F315" s="41"/>
      <c r="G315" s="25"/>
      <c r="H315" s="57"/>
      <c r="I315" s="57"/>
      <c r="K315" s="28"/>
    </row>
    <row r="316" spans="1:11" s="24" customFormat="1">
      <c r="A316" s="40"/>
      <c r="B316" s="106"/>
      <c r="C316" s="103"/>
      <c r="D316" s="41"/>
      <c r="E316" s="41"/>
      <c r="F316" s="41"/>
      <c r="G316" s="25"/>
      <c r="H316" s="57"/>
      <c r="I316" s="57"/>
      <c r="K316" s="28"/>
    </row>
    <row r="317" spans="1:11" s="24" customFormat="1">
      <c r="A317" s="40"/>
      <c r="B317" s="106"/>
      <c r="C317" s="103"/>
      <c r="D317" s="41"/>
      <c r="E317" s="41"/>
      <c r="F317" s="41"/>
      <c r="G317" s="25"/>
      <c r="H317" s="57"/>
      <c r="I317" s="57"/>
      <c r="K317" s="28"/>
    </row>
    <row r="318" spans="1:11" s="24" customFormat="1">
      <c r="A318" s="40"/>
      <c r="B318" s="106"/>
      <c r="C318" s="103"/>
      <c r="D318" s="41"/>
      <c r="E318" s="41"/>
      <c r="F318" s="41"/>
      <c r="G318" s="25"/>
      <c r="H318" s="57"/>
      <c r="I318" s="57"/>
      <c r="K318" s="28"/>
    </row>
    <row r="319" spans="1:11" s="24" customFormat="1">
      <c r="A319" s="40"/>
      <c r="B319" s="106"/>
      <c r="C319" s="103"/>
      <c r="D319" s="41"/>
      <c r="E319" s="41"/>
      <c r="F319" s="41"/>
      <c r="G319" s="25"/>
      <c r="H319" s="57"/>
      <c r="I319" s="57"/>
      <c r="K319" s="28"/>
    </row>
    <row r="320" spans="1:11" s="24" customFormat="1">
      <c r="A320" s="40"/>
      <c r="B320" s="106"/>
      <c r="C320" s="103"/>
      <c r="D320" s="41"/>
      <c r="E320" s="41"/>
      <c r="F320" s="41"/>
      <c r="G320" s="25"/>
      <c r="H320" s="57"/>
      <c r="I320" s="57"/>
      <c r="K320" s="28"/>
    </row>
    <row r="321" spans="1:11" s="24" customFormat="1">
      <c r="A321" s="40"/>
      <c r="B321" s="106"/>
      <c r="C321" s="103"/>
      <c r="D321" s="41"/>
      <c r="E321" s="41"/>
      <c r="F321" s="41"/>
      <c r="G321" s="25"/>
      <c r="H321" s="57"/>
      <c r="I321" s="57"/>
      <c r="K321" s="28"/>
    </row>
    <row r="322" spans="1:11" s="24" customFormat="1">
      <c r="A322" s="40"/>
      <c r="B322" s="106"/>
      <c r="C322" s="103"/>
      <c r="D322" s="41"/>
      <c r="E322" s="41"/>
      <c r="F322" s="41"/>
      <c r="G322" s="25"/>
      <c r="H322" s="57"/>
      <c r="I322" s="57"/>
      <c r="K322" s="28"/>
    </row>
    <row r="323" spans="1:11" s="24" customFormat="1">
      <c r="A323" s="40"/>
      <c r="B323" s="106"/>
      <c r="C323" s="103"/>
      <c r="D323" s="41"/>
      <c r="E323" s="41"/>
      <c r="F323" s="41"/>
      <c r="G323" s="25"/>
      <c r="H323" s="57"/>
      <c r="I323" s="57"/>
      <c r="K323" s="28"/>
    </row>
    <row r="324" spans="1:11" s="24" customFormat="1">
      <c r="A324" s="40"/>
      <c r="B324" s="106"/>
      <c r="C324" s="103"/>
      <c r="D324" s="41"/>
      <c r="E324" s="41"/>
      <c r="F324" s="41"/>
      <c r="G324" s="25"/>
      <c r="H324" s="57"/>
      <c r="I324" s="57"/>
      <c r="K324" s="28"/>
    </row>
    <row r="325" spans="1:11" s="24" customFormat="1">
      <c r="A325" s="40"/>
      <c r="B325" s="106"/>
      <c r="C325" s="103"/>
      <c r="D325" s="41"/>
      <c r="E325" s="41"/>
      <c r="F325" s="41"/>
      <c r="G325" s="25"/>
      <c r="H325" s="57"/>
      <c r="I325" s="57"/>
      <c r="K325" s="28"/>
    </row>
    <row r="326" spans="1:11" s="24" customFormat="1">
      <c r="A326" s="40"/>
      <c r="B326" s="106"/>
      <c r="C326" s="103"/>
      <c r="D326" s="41"/>
      <c r="E326" s="41"/>
      <c r="F326" s="41"/>
      <c r="G326" s="25"/>
      <c r="H326" s="57"/>
      <c r="I326" s="57"/>
      <c r="K326" s="28"/>
    </row>
    <row r="327" spans="1:11" s="24" customFormat="1">
      <c r="A327" s="40"/>
      <c r="B327" s="106"/>
      <c r="C327" s="103"/>
      <c r="D327" s="41"/>
      <c r="E327" s="41"/>
      <c r="F327" s="41"/>
      <c r="G327" s="25"/>
      <c r="H327" s="57"/>
      <c r="I327" s="57"/>
      <c r="K327" s="28"/>
    </row>
    <row r="328" spans="1:11" s="24" customFormat="1">
      <c r="A328" s="40"/>
      <c r="B328" s="106"/>
      <c r="C328" s="103"/>
      <c r="D328" s="41"/>
      <c r="E328" s="41"/>
      <c r="F328" s="41"/>
      <c r="G328" s="25"/>
      <c r="H328" s="57"/>
      <c r="I328" s="57"/>
      <c r="K328" s="28"/>
    </row>
    <row r="329" spans="1:11" s="24" customFormat="1">
      <c r="A329" s="40"/>
      <c r="B329" s="106"/>
      <c r="C329" s="103"/>
      <c r="D329" s="41"/>
      <c r="E329" s="41"/>
      <c r="F329" s="41"/>
      <c r="G329" s="25"/>
      <c r="H329" s="57"/>
      <c r="I329" s="57"/>
      <c r="K329" s="28"/>
    </row>
    <row r="330" spans="1:11" s="24" customFormat="1">
      <c r="A330" s="40"/>
      <c r="B330" s="106"/>
      <c r="C330" s="103"/>
      <c r="D330" s="41"/>
      <c r="E330" s="41"/>
      <c r="F330" s="41"/>
      <c r="G330" s="25"/>
      <c r="H330" s="57"/>
      <c r="I330" s="57"/>
      <c r="K330" s="28"/>
    </row>
    <row r="331" spans="1:11" s="24" customFormat="1">
      <c r="A331" s="40"/>
      <c r="B331" s="106"/>
      <c r="C331" s="103"/>
      <c r="D331" s="41"/>
      <c r="E331" s="41"/>
      <c r="F331" s="41"/>
      <c r="G331" s="25"/>
      <c r="H331" s="57"/>
      <c r="I331" s="57"/>
      <c r="K331" s="28"/>
    </row>
    <row r="332" spans="1:11" s="24" customFormat="1">
      <c r="A332" s="40"/>
      <c r="B332" s="106"/>
      <c r="C332" s="103"/>
      <c r="D332" s="41"/>
      <c r="E332" s="41"/>
      <c r="F332" s="41"/>
      <c r="G332" s="25"/>
      <c r="H332" s="57"/>
      <c r="I332" s="57"/>
      <c r="K332" s="28"/>
    </row>
    <row r="333" spans="1:11" s="24" customFormat="1">
      <c r="A333" s="40"/>
      <c r="B333" s="106"/>
      <c r="C333" s="103"/>
      <c r="D333" s="41"/>
      <c r="E333" s="41"/>
      <c r="F333" s="41"/>
      <c r="G333" s="25"/>
      <c r="H333" s="57"/>
      <c r="I333" s="57"/>
      <c r="K333" s="28"/>
    </row>
    <row r="334" spans="1:11" s="24" customFormat="1">
      <c r="A334" s="40"/>
      <c r="B334" s="106"/>
      <c r="C334" s="103"/>
      <c r="D334" s="41"/>
      <c r="E334" s="41"/>
      <c r="F334" s="41"/>
      <c r="G334" s="25"/>
      <c r="H334" s="57"/>
      <c r="I334" s="57"/>
      <c r="K334" s="28"/>
    </row>
    <row r="335" spans="1:11" s="24" customFormat="1">
      <c r="A335" s="40"/>
      <c r="B335" s="106"/>
      <c r="C335" s="103"/>
      <c r="D335" s="41"/>
      <c r="E335" s="41"/>
      <c r="F335" s="41"/>
      <c r="G335" s="25"/>
      <c r="H335" s="57"/>
      <c r="I335" s="57"/>
      <c r="K335" s="28"/>
    </row>
    <row r="336" spans="1:11" s="24" customFormat="1">
      <c r="A336" s="40"/>
      <c r="B336" s="106"/>
      <c r="C336" s="103"/>
      <c r="D336" s="41"/>
      <c r="E336" s="41"/>
      <c r="F336" s="41"/>
      <c r="G336" s="25"/>
      <c r="H336" s="57"/>
      <c r="I336" s="57"/>
      <c r="K336" s="28"/>
    </row>
    <row r="337" spans="1:11" s="24" customFormat="1">
      <c r="A337" s="40"/>
      <c r="B337" s="106"/>
      <c r="C337" s="103"/>
      <c r="D337" s="41"/>
      <c r="E337" s="41"/>
      <c r="F337" s="41"/>
      <c r="G337" s="25"/>
      <c r="H337" s="57"/>
      <c r="I337" s="57"/>
      <c r="K337" s="28"/>
    </row>
    <row r="338" spans="1:11" s="24" customFormat="1">
      <c r="A338" s="40"/>
      <c r="B338" s="106"/>
      <c r="C338" s="103"/>
      <c r="D338" s="41"/>
      <c r="E338" s="41"/>
      <c r="F338" s="41"/>
      <c r="G338" s="25"/>
      <c r="H338" s="57"/>
      <c r="I338" s="57"/>
      <c r="K338" s="28"/>
    </row>
    <row r="339" spans="1:11" s="24" customFormat="1">
      <c r="A339" s="40"/>
      <c r="B339" s="106"/>
      <c r="C339" s="103"/>
      <c r="D339" s="41"/>
      <c r="E339" s="41"/>
      <c r="F339" s="41"/>
      <c r="G339" s="25"/>
      <c r="H339" s="57"/>
      <c r="I339" s="57"/>
      <c r="K339" s="28"/>
    </row>
    <row r="340" spans="1:11" s="24" customFormat="1">
      <c r="A340" s="40"/>
      <c r="B340" s="106"/>
      <c r="C340" s="103"/>
      <c r="D340" s="41"/>
      <c r="E340" s="41"/>
      <c r="F340" s="41"/>
      <c r="G340" s="25"/>
      <c r="H340" s="57"/>
      <c r="I340" s="57"/>
      <c r="K340" s="28"/>
    </row>
    <row r="341" spans="1:11" s="24" customFormat="1">
      <c r="A341" s="40"/>
      <c r="B341" s="106"/>
      <c r="C341" s="103"/>
      <c r="D341" s="41"/>
      <c r="E341" s="41"/>
      <c r="F341" s="41"/>
      <c r="G341" s="25"/>
      <c r="H341" s="57"/>
      <c r="I341" s="57"/>
      <c r="K341" s="28"/>
    </row>
    <row r="342" spans="1:11" s="24" customFormat="1">
      <c r="A342" s="40"/>
      <c r="B342" s="106"/>
      <c r="C342" s="103"/>
      <c r="D342" s="41"/>
      <c r="E342" s="41"/>
      <c r="F342" s="41"/>
      <c r="G342" s="25"/>
      <c r="H342" s="57"/>
      <c r="I342" s="57"/>
      <c r="K342" s="28"/>
    </row>
    <row r="343" spans="1:11" s="24" customFormat="1">
      <c r="A343" s="40"/>
      <c r="B343" s="106"/>
      <c r="C343" s="103"/>
      <c r="D343" s="41"/>
      <c r="E343" s="41"/>
      <c r="F343" s="41"/>
      <c r="G343" s="25"/>
      <c r="H343" s="57"/>
      <c r="I343" s="57"/>
      <c r="K343" s="28"/>
    </row>
    <row r="344" spans="1:11" s="24" customFormat="1">
      <c r="A344" s="40"/>
      <c r="B344" s="106"/>
      <c r="C344" s="103"/>
      <c r="D344" s="41"/>
      <c r="E344" s="41"/>
      <c r="F344" s="41"/>
      <c r="G344" s="25"/>
      <c r="H344" s="57"/>
      <c r="I344" s="57"/>
      <c r="K344" s="28"/>
    </row>
    <row r="345" spans="1:11" s="24" customFormat="1">
      <c r="A345" s="40"/>
      <c r="B345" s="106"/>
      <c r="C345" s="103"/>
      <c r="D345" s="41"/>
      <c r="E345" s="41"/>
      <c r="F345" s="41"/>
      <c r="G345" s="25"/>
      <c r="H345" s="57"/>
      <c r="I345" s="57"/>
      <c r="K345" s="28"/>
    </row>
    <row r="346" spans="1:11" s="24" customFormat="1">
      <c r="A346" s="40"/>
      <c r="B346" s="106"/>
      <c r="C346" s="103"/>
      <c r="D346" s="41"/>
      <c r="E346" s="41"/>
      <c r="F346" s="41"/>
      <c r="G346" s="25"/>
      <c r="H346" s="57"/>
      <c r="I346" s="57"/>
      <c r="K346" s="28"/>
    </row>
    <row r="347" spans="1:11" s="24" customFormat="1">
      <c r="A347" s="40"/>
      <c r="B347" s="106"/>
      <c r="C347" s="103"/>
      <c r="D347" s="41"/>
      <c r="E347" s="41"/>
      <c r="F347" s="41"/>
      <c r="G347" s="25"/>
      <c r="H347" s="57"/>
      <c r="I347" s="57"/>
      <c r="K347" s="28"/>
    </row>
    <row r="348" spans="1:11" s="24" customFormat="1">
      <c r="A348" s="40"/>
      <c r="B348" s="106"/>
      <c r="C348" s="103"/>
      <c r="D348" s="41"/>
      <c r="E348" s="41"/>
      <c r="F348" s="41"/>
      <c r="G348" s="25"/>
      <c r="H348" s="57"/>
      <c r="I348" s="57"/>
      <c r="K348" s="28"/>
    </row>
    <row r="349" spans="1:11" s="24" customFormat="1">
      <c r="A349" s="40"/>
      <c r="B349" s="106"/>
      <c r="C349" s="103"/>
      <c r="D349" s="41"/>
      <c r="E349" s="41"/>
      <c r="F349" s="41"/>
      <c r="G349" s="25"/>
      <c r="H349" s="57"/>
      <c r="I349" s="57"/>
      <c r="K349" s="28"/>
    </row>
    <row r="350" spans="1:11" s="24" customFormat="1">
      <c r="A350" s="40"/>
      <c r="B350" s="106"/>
      <c r="C350" s="103"/>
      <c r="D350" s="41"/>
      <c r="E350" s="41"/>
      <c r="F350" s="41"/>
      <c r="G350" s="25"/>
      <c r="H350" s="57"/>
      <c r="I350" s="57"/>
      <c r="K350" s="28"/>
    </row>
    <row r="351" spans="1:11" s="24" customFormat="1">
      <c r="A351" s="40"/>
      <c r="B351" s="106"/>
      <c r="C351" s="103"/>
      <c r="D351" s="41"/>
      <c r="E351" s="41"/>
      <c r="F351" s="41"/>
      <c r="G351" s="25"/>
      <c r="H351" s="57"/>
      <c r="I351" s="57"/>
      <c r="K351" s="28"/>
    </row>
    <row r="352" spans="1:11" s="24" customFormat="1">
      <c r="A352" s="40"/>
      <c r="B352" s="106"/>
      <c r="C352" s="103"/>
      <c r="D352" s="41"/>
      <c r="E352" s="41"/>
      <c r="F352" s="41"/>
      <c r="G352" s="25"/>
      <c r="H352" s="57"/>
      <c r="I352" s="57"/>
      <c r="K352" s="28"/>
    </row>
    <row r="353" spans="1:11" s="24" customFormat="1">
      <c r="A353" s="40"/>
      <c r="B353" s="106"/>
      <c r="C353" s="103"/>
      <c r="D353" s="41"/>
      <c r="E353" s="41"/>
      <c r="F353" s="41"/>
      <c r="G353" s="25"/>
      <c r="H353" s="57"/>
      <c r="I353" s="57"/>
      <c r="K353" s="28"/>
    </row>
    <row r="354" spans="1:11" s="24" customFormat="1">
      <c r="A354" s="40"/>
      <c r="B354" s="106"/>
      <c r="C354" s="103"/>
      <c r="D354" s="41"/>
      <c r="E354" s="41"/>
      <c r="F354" s="41"/>
      <c r="G354" s="25"/>
      <c r="H354" s="57"/>
      <c r="I354" s="57"/>
      <c r="K354" s="28"/>
    </row>
    <row r="355" spans="1:11" s="24" customFormat="1">
      <c r="A355" s="40"/>
      <c r="B355" s="106"/>
      <c r="C355" s="103"/>
      <c r="D355" s="41"/>
      <c r="E355" s="41"/>
      <c r="F355" s="41"/>
      <c r="G355" s="25"/>
      <c r="H355" s="57"/>
      <c r="I355" s="57"/>
      <c r="K355" s="28"/>
    </row>
    <row r="356" spans="1:11" s="24" customFormat="1">
      <c r="A356" s="40"/>
      <c r="B356" s="106"/>
      <c r="C356" s="103"/>
      <c r="D356" s="41"/>
      <c r="E356" s="41"/>
      <c r="F356" s="41"/>
      <c r="G356" s="25"/>
      <c r="H356" s="57"/>
      <c r="I356" s="57"/>
      <c r="K356" s="28"/>
    </row>
    <row r="357" spans="1:11" s="24" customFormat="1">
      <c r="A357" s="40"/>
      <c r="B357" s="106"/>
      <c r="C357" s="103"/>
      <c r="D357" s="41"/>
      <c r="E357" s="41"/>
      <c r="F357" s="41"/>
      <c r="G357" s="25"/>
      <c r="H357" s="57"/>
      <c r="I357" s="57"/>
      <c r="K357" s="28"/>
    </row>
    <row r="358" spans="1:11" s="24" customFormat="1">
      <c r="A358" s="40"/>
      <c r="B358" s="106"/>
      <c r="C358" s="103"/>
      <c r="D358" s="41"/>
      <c r="E358" s="41"/>
      <c r="F358" s="41"/>
      <c r="G358" s="25"/>
      <c r="H358" s="57"/>
      <c r="I358" s="57"/>
      <c r="K358" s="28"/>
    </row>
    <row r="359" spans="1:11" s="24" customFormat="1">
      <c r="A359" s="40"/>
      <c r="B359" s="106"/>
      <c r="C359" s="103"/>
      <c r="D359" s="41"/>
      <c r="E359" s="41"/>
      <c r="F359" s="41"/>
      <c r="G359" s="25"/>
      <c r="H359" s="57"/>
      <c r="I359" s="57"/>
      <c r="K359" s="28"/>
    </row>
    <row r="360" spans="1:11" s="24" customFormat="1">
      <c r="A360" s="40"/>
      <c r="B360" s="106"/>
      <c r="C360" s="103"/>
      <c r="D360" s="41"/>
      <c r="E360" s="41"/>
      <c r="F360" s="41"/>
      <c r="G360" s="25"/>
      <c r="H360" s="57"/>
      <c r="I360" s="57"/>
      <c r="K360" s="28"/>
    </row>
    <row r="361" spans="1:11" s="24" customFormat="1">
      <c r="A361" s="40"/>
      <c r="B361" s="106"/>
      <c r="C361" s="103"/>
      <c r="D361" s="41"/>
      <c r="E361" s="41"/>
      <c r="F361" s="41"/>
      <c r="G361" s="25"/>
      <c r="H361" s="57"/>
      <c r="I361" s="57"/>
      <c r="K361" s="28"/>
    </row>
    <row r="362" spans="1:11" s="24" customFormat="1">
      <c r="A362" s="40"/>
      <c r="B362" s="106"/>
      <c r="C362" s="103"/>
      <c r="D362" s="41"/>
      <c r="E362" s="41"/>
      <c r="F362" s="41"/>
      <c r="G362" s="25"/>
      <c r="H362" s="57"/>
      <c r="I362" s="57"/>
      <c r="K362" s="28"/>
    </row>
    <row r="363" spans="1:11" s="24" customFormat="1">
      <c r="A363" s="40"/>
      <c r="B363" s="106"/>
      <c r="C363" s="103"/>
      <c r="D363" s="41"/>
      <c r="E363" s="41"/>
      <c r="F363" s="41"/>
      <c r="G363" s="25"/>
      <c r="H363" s="57"/>
      <c r="I363" s="57"/>
      <c r="K363" s="28"/>
    </row>
    <row r="364" spans="1:11" s="24" customFormat="1">
      <c r="A364" s="40"/>
      <c r="B364" s="106"/>
      <c r="C364" s="103"/>
      <c r="D364" s="41"/>
      <c r="E364" s="41"/>
      <c r="F364" s="41"/>
      <c r="G364" s="25"/>
      <c r="H364" s="57"/>
      <c r="I364" s="57"/>
      <c r="K364" s="28"/>
    </row>
    <row r="365" spans="1:11" s="24" customFormat="1">
      <c r="A365" s="40"/>
      <c r="B365" s="106"/>
      <c r="C365" s="103"/>
      <c r="D365" s="41"/>
      <c r="E365" s="41"/>
      <c r="F365" s="41"/>
      <c r="G365" s="25"/>
      <c r="H365" s="57"/>
      <c r="I365" s="57"/>
      <c r="K365" s="28"/>
    </row>
    <row r="366" spans="1:11" s="24" customFormat="1">
      <c r="A366" s="40"/>
      <c r="B366" s="106"/>
      <c r="C366" s="103"/>
      <c r="D366" s="41"/>
      <c r="E366" s="41"/>
      <c r="F366" s="41"/>
      <c r="G366" s="25"/>
      <c r="H366" s="57"/>
      <c r="I366" s="57"/>
      <c r="K366" s="28"/>
    </row>
    <row r="367" spans="1:11" s="24" customFormat="1">
      <c r="A367" s="40"/>
      <c r="B367" s="106"/>
      <c r="C367" s="103"/>
      <c r="D367" s="41"/>
      <c r="E367" s="41"/>
      <c r="F367" s="41"/>
      <c r="G367" s="25"/>
      <c r="H367" s="57"/>
      <c r="I367" s="57"/>
      <c r="K367" s="28"/>
    </row>
    <row r="368" spans="1:11" s="24" customFormat="1">
      <c r="A368" s="40"/>
      <c r="B368" s="106"/>
      <c r="C368" s="103"/>
      <c r="D368" s="41"/>
      <c r="E368" s="41"/>
      <c r="F368" s="41"/>
      <c r="G368" s="25"/>
      <c r="H368" s="57"/>
      <c r="I368" s="57"/>
      <c r="K368" s="28"/>
    </row>
    <row r="369" spans="1:11" s="24" customFormat="1">
      <c r="A369" s="40"/>
      <c r="B369" s="106"/>
      <c r="C369" s="103"/>
      <c r="D369" s="41"/>
      <c r="E369" s="41"/>
      <c r="F369" s="41"/>
      <c r="G369" s="25"/>
      <c r="H369" s="57"/>
      <c r="I369" s="57"/>
      <c r="K369" s="28"/>
    </row>
    <row r="370" spans="1:11" s="24" customFormat="1">
      <c r="A370" s="40"/>
      <c r="B370" s="106"/>
      <c r="C370" s="103"/>
      <c r="D370" s="41"/>
      <c r="E370" s="41"/>
      <c r="F370" s="41"/>
      <c r="G370" s="25"/>
      <c r="H370" s="57"/>
      <c r="I370" s="57"/>
      <c r="K370" s="28"/>
    </row>
    <row r="371" spans="1:11" s="24" customFormat="1">
      <c r="A371" s="40"/>
      <c r="B371" s="106"/>
      <c r="C371" s="103"/>
      <c r="D371" s="41"/>
      <c r="E371" s="41"/>
      <c r="F371" s="41"/>
      <c r="G371" s="25"/>
      <c r="H371" s="57"/>
      <c r="I371" s="57"/>
      <c r="K371" s="28"/>
    </row>
    <row r="372" spans="1:11" s="24" customFormat="1">
      <c r="A372" s="40"/>
      <c r="B372" s="106"/>
      <c r="C372" s="103"/>
      <c r="D372" s="41"/>
      <c r="E372" s="41"/>
      <c r="F372" s="41"/>
      <c r="G372" s="25"/>
      <c r="H372" s="57"/>
      <c r="I372" s="57"/>
      <c r="K372" s="28"/>
    </row>
    <row r="373" spans="1:11" s="24" customFormat="1">
      <c r="A373" s="40"/>
      <c r="B373" s="106"/>
      <c r="C373" s="103"/>
      <c r="D373" s="41"/>
      <c r="E373" s="41"/>
      <c r="F373" s="41"/>
      <c r="G373" s="25"/>
      <c r="H373" s="57"/>
      <c r="I373" s="57"/>
      <c r="K373" s="28"/>
    </row>
    <row r="374" spans="1:11" s="24" customFormat="1">
      <c r="A374" s="40"/>
      <c r="B374" s="106"/>
      <c r="C374" s="103"/>
      <c r="D374" s="41"/>
      <c r="E374" s="41"/>
      <c r="F374" s="41"/>
      <c r="G374" s="25"/>
      <c r="H374" s="57"/>
      <c r="I374" s="57"/>
      <c r="K374" s="28"/>
    </row>
    <row r="375" spans="1:11" s="24" customFormat="1">
      <c r="A375" s="40"/>
      <c r="B375" s="106"/>
      <c r="C375" s="103"/>
      <c r="D375" s="41"/>
      <c r="E375" s="41"/>
      <c r="F375" s="41"/>
      <c r="G375" s="25"/>
      <c r="H375" s="57"/>
      <c r="I375" s="57"/>
      <c r="K375" s="28"/>
    </row>
    <row r="376" spans="1:11" s="24" customFormat="1">
      <c r="A376" s="40"/>
      <c r="B376" s="106"/>
      <c r="C376" s="103"/>
      <c r="D376" s="41"/>
      <c r="E376" s="41"/>
      <c r="F376" s="41"/>
      <c r="G376" s="25"/>
      <c r="H376" s="57"/>
      <c r="I376" s="57"/>
      <c r="K376" s="28"/>
    </row>
    <row r="377" spans="1:11" s="24" customFormat="1">
      <c r="A377" s="40"/>
      <c r="B377" s="106"/>
      <c r="C377" s="103"/>
      <c r="D377" s="41"/>
      <c r="E377" s="41"/>
      <c r="F377" s="41"/>
      <c r="G377" s="25"/>
      <c r="H377" s="57"/>
      <c r="I377" s="57"/>
      <c r="K377" s="28"/>
    </row>
    <row r="378" spans="1:11" s="24" customFormat="1">
      <c r="A378" s="40"/>
      <c r="B378" s="106"/>
      <c r="C378" s="103"/>
      <c r="D378" s="41"/>
      <c r="E378" s="41"/>
      <c r="F378" s="41"/>
      <c r="G378" s="25"/>
      <c r="H378" s="57"/>
      <c r="I378" s="57"/>
      <c r="K378" s="28"/>
    </row>
    <row r="379" spans="1:11" s="24" customFormat="1">
      <c r="A379" s="40"/>
      <c r="B379" s="106"/>
      <c r="C379" s="103"/>
      <c r="D379" s="41"/>
      <c r="E379" s="41"/>
      <c r="F379" s="41"/>
      <c r="G379" s="25"/>
      <c r="H379" s="57"/>
      <c r="I379" s="57"/>
      <c r="K379" s="28"/>
    </row>
    <row r="380" spans="1:11" s="24" customFormat="1">
      <c r="A380" s="40"/>
      <c r="B380" s="106"/>
      <c r="C380" s="103"/>
      <c r="D380" s="41"/>
      <c r="E380" s="41"/>
      <c r="F380" s="41"/>
      <c r="G380" s="25"/>
      <c r="H380" s="57"/>
      <c r="I380" s="57"/>
      <c r="K380" s="28"/>
    </row>
    <row r="381" spans="1:11" s="24" customFormat="1">
      <c r="A381" s="40"/>
      <c r="B381" s="106"/>
      <c r="C381" s="103"/>
      <c r="D381" s="41"/>
      <c r="E381" s="41"/>
      <c r="F381" s="41"/>
      <c r="G381" s="25"/>
      <c r="H381" s="57"/>
      <c r="I381" s="57"/>
      <c r="K381" s="28"/>
    </row>
    <row r="382" spans="1:11" s="24" customFormat="1">
      <c r="A382" s="40"/>
      <c r="B382" s="106"/>
      <c r="C382" s="103"/>
      <c r="D382" s="41"/>
      <c r="E382" s="41"/>
      <c r="F382" s="41"/>
      <c r="G382" s="25"/>
      <c r="H382" s="57"/>
      <c r="I382" s="57"/>
      <c r="K382" s="28"/>
    </row>
    <row r="383" spans="1:11" s="24" customFormat="1">
      <c r="A383" s="40"/>
      <c r="B383" s="106"/>
      <c r="C383" s="103"/>
      <c r="D383" s="41"/>
      <c r="E383" s="41"/>
      <c r="F383" s="41"/>
      <c r="G383" s="25"/>
      <c r="H383" s="57"/>
      <c r="I383" s="57"/>
      <c r="K383" s="28"/>
    </row>
    <row r="384" spans="1:11" s="24" customFormat="1">
      <c r="A384" s="40"/>
      <c r="B384" s="106"/>
      <c r="C384" s="103"/>
      <c r="D384" s="41"/>
      <c r="E384" s="41"/>
      <c r="F384" s="41"/>
      <c r="G384" s="25"/>
      <c r="H384" s="57"/>
      <c r="I384" s="57"/>
      <c r="K384" s="28"/>
    </row>
    <row r="385" spans="1:11" s="24" customFormat="1">
      <c r="A385" s="40"/>
      <c r="B385" s="106"/>
      <c r="C385" s="103"/>
      <c r="D385" s="41"/>
      <c r="E385" s="41"/>
      <c r="F385" s="41"/>
      <c r="G385" s="25"/>
      <c r="H385" s="57"/>
      <c r="I385" s="57"/>
      <c r="K385" s="28"/>
    </row>
    <row r="386" spans="1:11" s="24" customFormat="1">
      <c r="A386" s="40"/>
      <c r="B386" s="106"/>
      <c r="C386" s="103"/>
      <c r="D386" s="41"/>
      <c r="E386" s="41"/>
      <c r="F386" s="41"/>
      <c r="G386" s="25"/>
      <c r="H386" s="57"/>
      <c r="I386" s="57"/>
      <c r="K386" s="28"/>
    </row>
    <row r="387" spans="1:11" s="24" customFormat="1">
      <c r="A387" s="40"/>
      <c r="B387" s="106"/>
      <c r="C387" s="103"/>
      <c r="D387" s="41"/>
      <c r="E387" s="41"/>
      <c r="F387" s="41"/>
      <c r="G387" s="25"/>
      <c r="H387" s="57"/>
      <c r="I387" s="57"/>
      <c r="K387" s="28"/>
    </row>
    <row r="388" spans="1:11" s="24" customFormat="1">
      <c r="A388" s="40"/>
      <c r="B388" s="106"/>
      <c r="C388" s="103"/>
      <c r="D388" s="41"/>
      <c r="E388" s="41"/>
      <c r="F388" s="41"/>
      <c r="G388" s="25"/>
      <c r="H388" s="57"/>
      <c r="I388" s="57"/>
      <c r="K388" s="28"/>
    </row>
    <row r="389" spans="1:11" s="24" customFormat="1">
      <c r="A389" s="40"/>
      <c r="B389" s="106"/>
      <c r="C389" s="103"/>
      <c r="D389" s="41"/>
      <c r="E389" s="41"/>
      <c r="F389" s="41"/>
      <c r="G389" s="25"/>
      <c r="H389" s="57"/>
      <c r="I389" s="57"/>
      <c r="K389" s="28"/>
    </row>
    <row r="390" spans="1:11" s="24" customFormat="1">
      <c r="A390" s="40"/>
      <c r="B390" s="106"/>
      <c r="C390" s="103"/>
      <c r="D390" s="41"/>
      <c r="E390" s="41"/>
      <c r="F390" s="41"/>
      <c r="G390" s="25"/>
      <c r="H390" s="57"/>
      <c r="I390" s="57"/>
      <c r="K390" s="28"/>
    </row>
    <row r="391" spans="1:11" s="24" customFormat="1">
      <c r="A391" s="40"/>
      <c r="B391" s="106"/>
      <c r="C391" s="103"/>
      <c r="D391" s="41"/>
      <c r="E391" s="41"/>
      <c r="F391" s="41"/>
      <c r="G391" s="25"/>
      <c r="H391" s="57"/>
      <c r="I391" s="57"/>
      <c r="K391" s="28"/>
    </row>
    <row r="392" spans="1:11" s="24" customFormat="1">
      <c r="A392" s="40"/>
      <c r="B392" s="106"/>
      <c r="C392" s="103"/>
      <c r="D392" s="41"/>
      <c r="E392" s="41"/>
      <c r="F392" s="41"/>
      <c r="G392" s="25"/>
      <c r="H392" s="57"/>
      <c r="I392" s="57"/>
      <c r="K392" s="28"/>
    </row>
    <row r="393" spans="1:11" s="24" customFormat="1">
      <c r="A393" s="40"/>
      <c r="B393" s="106"/>
      <c r="C393" s="103"/>
      <c r="D393" s="41"/>
      <c r="E393" s="41"/>
      <c r="F393" s="41"/>
      <c r="G393" s="25"/>
      <c r="H393" s="57"/>
      <c r="I393" s="57"/>
      <c r="K393" s="28"/>
    </row>
    <row r="394" spans="1:11" s="24" customFormat="1">
      <c r="A394" s="40"/>
      <c r="B394" s="106"/>
      <c r="C394" s="103"/>
      <c r="D394" s="41"/>
      <c r="E394" s="41"/>
      <c r="F394" s="41"/>
      <c r="G394" s="25"/>
      <c r="H394" s="57"/>
      <c r="I394" s="57"/>
      <c r="K394" s="28"/>
    </row>
    <row r="395" spans="1:11" s="24" customFormat="1">
      <c r="A395" s="40"/>
      <c r="B395" s="106"/>
      <c r="C395" s="103"/>
      <c r="D395" s="41"/>
      <c r="E395" s="41"/>
      <c r="F395" s="41"/>
      <c r="G395" s="25"/>
      <c r="H395" s="57"/>
      <c r="I395" s="57"/>
      <c r="K395" s="28"/>
    </row>
    <row r="396" spans="1:11" s="24" customFormat="1">
      <c r="A396" s="40"/>
      <c r="B396" s="106"/>
      <c r="C396" s="103"/>
      <c r="D396" s="41"/>
      <c r="E396" s="41"/>
      <c r="F396" s="41"/>
      <c r="G396" s="25"/>
      <c r="H396" s="57"/>
      <c r="I396" s="57"/>
      <c r="K396" s="28"/>
    </row>
    <row r="397" spans="1:11" s="24" customFormat="1">
      <c r="A397" s="40"/>
      <c r="B397" s="106"/>
      <c r="C397" s="103"/>
      <c r="D397" s="41"/>
      <c r="E397" s="41"/>
      <c r="F397" s="41"/>
      <c r="G397" s="25"/>
      <c r="H397" s="57"/>
      <c r="I397" s="57"/>
      <c r="K397" s="28"/>
    </row>
    <row r="398" spans="1:11" s="24" customFormat="1">
      <c r="A398" s="40"/>
      <c r="B398" s="106"/>
      <c r="C398" s="103"/>
      <c r="D398" s="41"/>
      <c r="E398" s="41"/>
      <c r="F398" s="41"/>
      <c r="G398" s="25"/>
      <c r="H398" s="57"/>
      <c r="I398" s="57"/>
      <c r="K398" s="28"/>
    </row>
    <row r="399" spans="1:11" s="24" customFormat="1">
      <c r="A399" s="40"/>
      <c r="B399" s="106"/>
      <c r="C399" s="103"/>
      <c r="D399" s="41"/>
      <c r="E399" s="41"/>
      <c r="F399" s="41"/>
      <c r="G399" s="25"/>
      <c r="H399" s="57"/>
      <c r="I399" s="57"/>
      <c r="K399" s="28"/>
    </row>
    <row r="400" spans="1:11" s="24" customFormat="1">
      <c r="A400" s="40"/>
      <c r="B400" s="106"/>
      <c r="C400" s="103"/>
      <c r="D400" s="41"/>
      <c r="E400" s="41"/>
      <c r="F400" s="41"/>
      <c r="G400" s="25"/>
      <c r="H400" s="57"/>
      <c r="I400" s="57"/>
      <c r="K400" s="28"/>
    </row>
    <row r="401" spans="1:11" s="24" customFormat="1">
      <c r="A401" s="40"/>
      <c r="B401" s="106"/>
      <c r="C401" s="103"/>
      <c r="D401" s="41"/>
      <c r="E401" s="41"/>
      <c r="F401" s="41"/>
      <c r="G401" s="25"/>
      <c r="H401" s="57"/>
      <c r="I401" s="57"/>
      <c r="K401" s="28"/>
    </row>
    <row r="402" spans="1:11" s="24" customFormat="1">
      <c r="A402" s="40"/>
      <c r="B402" s="106"/>
      <c r="C402" s="103"/>
      <c r="D402" s="41"/>
      <c r="E402" s="41"/>
      <c r="F402" s="41"/>
      <c r="G402" s="25"/>
      <c r="H402" s="57"/>
      <c r="I402" s="57"/>
      <c r="K402" s="28"/>
    </row>
    <row r="403" spans="1:11" s="24" customFormat="1">
      <c r="A403" s="40"/>
      <c r="B403" s="106"/>
      <c r="C403" s="103"/>
      <c r="D403" s="41"/>
      <c r="E403" s="41"/>
      <c r="F403" s="41"/>
      <c r="G403" s="25"/>
      <c r="H403" s="57"/>
      <c r="I403" s="57"/>
      <c r="K403" s="28"/>
    </row>
    <row r="404" spans="1:11" s="24" customFormat="1">
      <c r="A404" s="40"/>
      <c r="B404" s="106"/>
      <c r="C404" s="103"/>
      <c r="D404" s="41"/>
      <c r="E404" s="41"/>
      <c r="F404" s="41"/>
      <c r="G404" s="25"/>
      <c r="H404" s="57"/>
      <c r="I404" s="57"/>
      <c r="K404" s="28"/>
    </row>
    <row r="405" spans="1:11" s="24" customFormat="1">
      <c r="A405" s="40"/>
      <c r="B405" s="106"/>
      <c r="C405" s="103"/>
      <c r="D405" s="41"/>
      <c r="E405" s="41"/>
      <c r="F405" s="41"/>
      <c r="G405" s="25"/>
      <c r="H405" s="57"/>
      <c r="I405" s="57"/>
      <c r="K405" s="28"/>
    </row>
    <row r="406" spans="1:11" s="24" customFormat="1">
      <c r="A406" s="40"/>
      <c r="B406" s="106"/>
      <c r="C406" s="103"/>
      <c r="D406" s="41"/>
      <c r="E406" s="41"/>
      <c r="F406" s="41"/>
      <c r="G406" s="25"/>
      <c r="H406" s="57"/>
      <c r="I406" s="57"/>
      <c r="K406" s="28"/>
    </row>
    <row r="407" spans="1:11" s="24" customFormat="1">
      <c r="A407" s="40"/>
      <c r="B407" s="106"/>
      <c r="C407" s="103"/>
      <c r="D407" s="41"/>
      <c r="E407" s="41"/>
      <c r="F407" s="41"/>
      <c r="G407" s="25"/>
      <c r="H407" s="57"/>
      <c r="I407" s="57"/>
      <c r="K407" s="28"/>
    </row>
    <row r="408" spans="1:11" s="24" customFormat="1">
      <c r="A408" s="40"/>
      <c r="B408" s="106"/>
      <c r="C408" s="103"/>
      <c r="D408" s="41"/>
      <c r="E408" s="41"/>
      <c r="F408" s="41"/>
      <c r="G408" s="25"/>
      <c r="H408" s="57"/>
      <c r="I408" s="57"/>
      <c r="K408" s="28"/>
    </row>
    <row r="409" spans="1:11" s="24" customFormat="1">
      <c r="A409" s="40"/>
      <c r="B409" s="106"/>
      <c r="C409" s="103"/>
      <c r="D409" s="41"/>
      <c r="E409" s="41"/>
      <c r="F409" s="41"/>
      <c r="G409" s="25"/>
      <c r="H409" s="57"/>
      <c r="I409" s="57"/>
      <c r="K409" s="28"/>
    </row>
    <row r="410" spans="1:11" s="24" customFormat="1">
      <c r="A410" s="40"/>
      <c r="B410" s="106"/>
      <c r="C410" s="103"/>
      <c r="D410" s="41"/>
      <c r="E410" s="41"/>
      <c r="F410" s="41"/>
      <c r="G410" s="25"/>
      <c r="H410" s="57"/>
      <c r="I410" s="57"/>
      <c r="K410" s="28"/>
    </row>
    <row r="411" spans="1:11" s="24" customFormat="1">
      <c r="A411" s="40"/>
      <c r="B411" s="106"/>
      <c r="C411" s="103"/>
      <c r="D411" s="41"/>
      <c r="E411" s="41"/>
      <c r="F411" s="41"/>
      <c r="G411" s="25"/>
      <c r="H411" s="57"/>
      <c r="I411" s="57"/>
      <c r="K411" s="28"/>
    </row>
    <row r="412" spans="1:11" s="24" customFormat="1">
      <c r="A412" s="40"/>
      <c r="B412" s="106"/>
      <c r="C412" s="103"/>
      <c r="D412" s="41"/>
      <c r="E412" s="41"/>
      <c r="F412" s="41"/>
      <c r="G412" s="25"/>
      <c r="H412" s="57"/>
      <c r="I412" s="57"/>
      <c r="K412" s="28"/>
    </row>
    <row r="413" spans="1:11" s="24" customFormat="1">
      <c r="A413" s="40"/>
      <c r="B413" s="106"/>
      <c r="C413" s="103"/>
      <c r="D413" s="41"/>
      <c r="E413" s="41"/>
      <c r="F413" s="41"/>
      <c r="G413" s="25"/>
      <c r="H413" s="57"/>
      <c r="I413" s="57"/>
      <c r="K413" s="28"/>
    </row>
    <row r="414" spans="1:11" s="24" customFormat="1">
      <c r="A414" s="40"/>
      <c r="B414" s="106"/>
      <c r="C414" s="103"/>
      <c r="D414" s="41"/>
      <c r="E414" s="41"/>
      <c r="F414" s="41"/>
      <c r="G414" s="25"/>
      <c r="H414" s="57"/>
      <c r="I414" s="57"/>
      <c r="K414" s="28"/>
    </row>
    <row r="415" spans="1:11" s="24" customFormat="1">
      <c r="A415" s="40"/>
      <c r="B415" s="106"/>
      <c r="C415" s="103"/>
      <c r="D415" s="41"/>
      <c r="E415" s="41"/>
      <c r="F415" s="41"/>
      <c r="G415" s="25"/>
      <c r="H415" s="57"/>
      <c r="I415" s="57"/>
      <c r="K415" s="28"/>
    </row>
    <row r="416" spans="1:11" s="24" customFormat="1">
      <c r="A416" s="40"/>
      <c r="B416" s="106"/>
      <c r="C416" s="103"/>
      <c r="D416" s="41"/>
      <c r="E416" s="41"/>
      <c r="F416" s="41"/>
      <c r="G416" s="25"/>
      <c r="H416" s="57"/>
      <c r="I416" s="57"/>
      <c r="K416" s="28"/>
    </row>
    <row r="417" spans="1:11" s="24" customFormat="1">
      <c r="A417" s="40"/>
      <c r="B417" s="106"/>
      <c r="C417" s="103"/>
      <c r="D417" s="41"/>
      <c r="E417" s="41"/>
      <c r="F417" s="41"/>
      <c r="G417" s="25"/>
      <c r="H417" s="57"/>
      <c r="I417" s="57"/>
      <c r="K417" s="28"/>
    </row>
    <row r="418" spans="1:11" s="24" customFormat="1">
      <c r="A418" s="40"/>
      <c r="B418" s="106"/>
      <c r="C418" s="103"/>
      <c r="D418" s="41"/>
      <c r="E418" s="41"/>
      <c r="F418" s="41"/>
      <c r="G418" s="25"/>
      <c r="H418" s="57"/>
      <c r="I418" s="57"/>
      <c r="K418" s="28"/>
    </row>
    <row r="419" spans="1:11" s="24" customFormat="1">
      <c r="A419" s="40"/>
      <c r="B419" s="106"/>
      <c r="C419" s="103"/>
      <c r="D419" s="41"/>
      <c r="E419" s="41"/>
      <c r="F419" s="41"/>
      <c r="G419" s="25"/>
      <c r="H419" s="57"/>
      <c r="I419" s="57"/>
      <c r="K419" s="28"/>
    </row>
    <row r="420" spans="1:11" s="24" customFormat="1">
      <c r="A420" s="40"/>
      <c r="B420" s="106"/>
      <c r="C420" s="103"/>
      <c r="D420" s="41"/>
      <c r="E420" s="41"/>
      <c r="F420" s="41"/>
      <c r="G420" s="25"/>
      <c r="H420" s="57"/>
      <c r="I420" s="57"/>
      <c r="K420" s="28"/>
    </row>
    <row r="421" spans="1:11" s="24" customFormat="1">
      <c r="A421" s="40"/>
      <c r="B421" s="106"/>
      <c r="C421" s="103"/>
      <c r="D421" s="41"/>
      <c r="E421" s="41"/>
      <c r="F421" s="41"/>
      <c r="G421" s="25"/>
      <c r="H421" s="57"/>
      <c r="I421" s="57"/>
      <c r="K421" s="28"/>
    </row>
    <row r="422" spans="1:11" s="24" customFormat="1">
      <c r="A422" s="40"/>
      <c r="B422" s="106"/>
      <c r="C422" s="103"/>
      <c r="D422" s="41"/>
      <c r="E422" s="41"/>
      <c r="F422" s="41"/>
      <c r="G422" s="25"/>
      <c r="H422" s="57"/>
      <c r="I422" s="57"/>
      <c r="K422" s="28"/>
    </row>
    <row r="423" spans="1:11" s="24" customFormat="1">
      <c r="A423" s="40"/>
      <c r="B423" s="106"/>
      <c r="C423" s="103"/>
      <c r="D423" s="41"/>
      <c r="E423" s="41"/>
      <c r="F423" s="41"/>
      <c r="G423" s="25"/>
      <c r="H423" s="57"/>
      <c r="I423" s="57"/>
      <c r="K423" s="28"/>
    </row>
    <row r="424" spans="1:11" s="24" customFormat="1">
      <c r="A424" s="40"/>
      <c r="B424" s="106"/>
      <c r="C424" s="103"/>
      <c r="D424" s="41"/>
      <c r="E424" s="41"/>
      <c r="F424" s="41"/>
      <c r="G424" s="25"/>
      <c r="H424" s="57"/>
      <c r="I424" s="57"/>
      <c r="K424" s="28"/>
    </row>
    <row r="425" spans="1:11" s="24" customFormat="1">
      <c r="A425" s="40"/>
      <c r="B425" s="106"/>
      <c r="C425" s="103"/>
      <c r="D425" s="41"/>
      <c r="E425" s="41"/>
      <c r="F425" s="41"/>
      <c r="G425" s="25"/>
      <c r="H425" s="57"/>
      <c r="I425" s="57"/>
      <c r="K425" s="28"/>
    </row>
    <row r="426" spans="1:11" s="24" customFormat="1">
      <c r="A426" s="40"/>
      <c r="B426" s="106"/>
      <c r="C426" s="103"/>
      <c r="D426" s="41"/>
      <c r="E426" s="41"/>
      <c r="F426" s="41"/>
      <c r="G426" s="25"/>
      <c r="H426" s="57"/>
      <c r="I426" s="57"/>
      <c r="K426" s="28"/>
    </row>
    <row r="427" spans="1:11" s="24" customFormat="1">
      <c r="A427" s="40"/>
      <c r="B427" s="106"/>
      <c r="C427" s="103"/>
      <c r="D427" s="41"/>
      <c r="E427" s="41"/>
      <c r="F427" s="41"/>
      <c r="G427" s="25"/>
      <c r="H427" s="57"/>
      <c r="I427" s="57"/>
      <c r="K427" s="28"/>
    </row>
    <row r="428" spans="1:11" s="24" customFormat="1">
      <c r="A428" s="40"/>
      <c r="B428" s="106"/>
      <c r="C428" s="103"/>
      <c r="D428" s="41"/>
      <c r="E428" s="41"/>
      <c r="F428" s="41"/>
      <c r="G428" s="25"/>
      <c r="H428" s="57"/>
      <c r="I428" s="57"/>
      <c r="K428" s="28"/>
    </row>
    <row r="429" spans="1:11" s="24" customFormat="1">
      <c r="A429" s="40"/>
      <c r="B429" s="106"/>
      <c r="C429" s="103"/>
      <c r="D429" s="41"/>
      <c r="E429" s="41"/>
      <c r="F429" s="41"/>
      <c r="G429" s="25"/>
      <c r="H429" s="57"/>
      <c r="I429" s="57"/>
      <c r="K429" s="28"/>
    </row>
    <row r="430" spans="1:11" s="24" customFormat="1">
      <c r="A430" s="40"/>
      <c r="B430" s="106"/>
      <c r="C430" s="103"/>
      <c r="D430" s="41"/>
      <c r="E430" s="41"/>
      <c r="F430" s="41"/>
      <c r="G430" s="25"/>
      <c r="H430" s="57"/>
      <c r="I430" s="57"/>
      <c r="K430" s="28"/>
    </row>
    <row r="431" spans="1:11" s="24" customFormat="1">
      <c r="A431" s="40"/>
      <c r="B431" s="106"/>
      <c r="C431" s="103"/>
      <c r="D431" s="41"/>
      <c r="E431" s="41"/>
      <c r="F431" s="41"/>
      <c r="G431" s="25"/>
      <c r="H431" s="57"/>
      <c r="I431" s="57"/>
      <c r="K431" s="28"/>
    </row>
    <row r="432" spans="1:11" s="24" customFormat="1">
      <c r="A432" s="40"/>
      <c r="B432" s="106"/>
      <c r="C432" s="103"/>
      <c r="D432" s="41"/>
      <c r="E432" s="41"/>
      <c r="F432" s="41"/>
      <c r="G432" s="25"/>
      <c r="H432" s="57"/>
      <c r="I432" s="57"/>
      <c r="K432" s="28"/>
    </row>
    <row r="433" spans="1:11" s="24" customFormat="1">
      <c r="A433" s="40"/>
      <c r="B433" s="106"/>
      <c r="C433" s="103"/>
      <c r="D433" s="41"/>
      <c r="E433" s="41"/>
      <c r="F433" s="41"/>
      <c r="G433" s="25"/>
      <c r="H433" s="57"/>
      <c r="I433" s="57"/>
      <c r="K433" s="28"/>
    </row>
    <row r="434" spans="1:11" s="24" customFormat="1">
      <c r="A434" s="40"/>
      <c r="B434" s="106"/>
      <c r="C434" s="103"/>
      <c r="D434" s="41"/>
      <c r="E434" s="41"/>
      <c r="F434" s="41"/>
      <c r="G434" s="25"/>
      <c r="H434" s="57"/>
      <c r="I434" s="57"/>
      <c r="K434" s="28"/>
    </row>
    <row r="435" spans="1:11" s="24" customFormat="1">
      <c r="A435" s="40"/>
      <c r="B435" s="106"/>
      <c r="C435" s="103"/>
      <c r="D435" s="41"/>
      <c r="E435" s="41"/>
      <c r="F435" s="41"/>
      <c r="G435" s="25"/>
      <c r="H435" s="57"/>
      <c r="I435" s="57"/>
      <c r="K435" s="28"/>
    </row>
    <row r="436" spans="1:11" s="24" customFormat="1">
      <c r="A436" s="40"/>
      <c r="B436" s="106"/>
      <c r="C436" s="103"/>
      <c r="D436" s="41"/>
      <c r="E436" s="41"/>
      <c r="F436" s="41"/>
      <c r="G436" s="25"/>
      <c r="H436" s="57"/>
      <c r="I436" s="57"/>
      <c r="K436" s="28"/>
    </row>
    <row r="437" spans="1:11" s="24" customFormat="1">
      <c r="A437" s="40"/>
      <c r="B437" s="106"/>
      <c r="C437" s="103"/>
      <c r="D437" s="41"/>
      <c r="E437" s="41"/>
      <c r="F437" s="41"/>
      <c r="G437" s="25"/>
      <c r="H437" s="57"/>
      <c r="I437" s="57"/>
      <c r="K437" s="28"/>
    </row>
    <row r="438" spans="1:11" s="24" customFormat="1">
      <c r="A438" s="40"/>
      <c r="B438" s="106"/>
      <c r="C438" s="103"/>
      <c r="D438" s="41"/>
      <c r="E438" s="41"/>
      <c r="F438" s="41"/>
      <c r="G438" s="25"/>
      <c r="H438" s="57"/>
      <c r="I438" s="57"/>
      <c r="K438" s="28"/>
    </row>
    <row r="439" spans="1:11" s="24" customFormat="1">
      <c r="A439" s="40"/>
      <c r="B439" s="106"/>
      <c r="C439" s="103"/>
      <c r="D439" s="41"/>
      <c r="E439" s="41"/>
      <c r="F439" s="41"/>
      <c r="G439" s="25"/>
      <c r="H439" s="57"/>
      <c r="I439" s="57"/>
      <c r="K439" s="28"/>
    </row>
    <row r="440" spans="1:11" s="24" customFormat="1">
      <c r="A440" s="40"/>
      <c r="B440" s="106"/>
      <c r="C440" s="103"/>
      <c r="D440" s="41"/>
      <c r="E440" s="41"/>
      <c r="F440" s="41"/>
      <c r="G440" s="25"/>
      <c r="H440" s="57"/>
      <c r="I440" s="57"/>
      <c r="K440" s="28"/>
    </row>
    <row r="441" spans="1:11" s="24" customFormat="1">
      <c r="A441" s="40"/>
      <c r="B441" s="106"/>
      <c r="C441" s="103"/>
      <c r="D441" s="41"/>
      <c r="E441" s="41"/>
      <c r="F441" s="41"/>
      <c r="G441" s="25"/>
      <c r="H441" s="57"/>
      <c r="I441" s="57"/>
      <c r="K441" s="28"/>
    </row>
    <row r="442" spans="1:11" s="24" customFormat="1">
      <c r="A442" s="40"/>
      <c r="B442" s="106"/>
      <c r="C442" s="103"/>
      <c r="D442" s="41"/>
      <c r="E442" s="41"/>
      <c r="F442" s="41"/>
      <c r="G442" s="25"/>
      <c r="H442" s="57"/>
      <c r="I442" s="57"/>
      <c r="K442" s="28"/>
    </row>
    <row r="443" spans="1:11" s="24" customFormat="1">
      <c r="A443" s="40"/>
      <c r="B443" s="106"/>
      <c r="C443" s="103"/>
      <c r="D443" s="41"/>
      <c r="E443" s="41"/>
      <c r="F443" s="41"/>
      <c r="G443" s="25"/>
      <c r="H443" s="57"/>
      <c r="I443" s="57"/>
      <c r="K443" s="28"/>
    </row>
    <row r="444" spans="1:11" s="24" customFormat="1">
      <c r="A444" s="40"/>
      <c r="B444" s="106"/>
      <c r="C444" s="103"/>
      <c r="D444" s="41"/>
      <c r="E444" s="41"/>
      <c r="F444" s="41"/>
      <c r="G444" s="25"/>
      <c r="H444" s="57"/>
      <c r="I444" s="57"/>
      <c r="K444" s="28"/>
    </row>
    <row r="445" spans="1:11" s="24" customFormat="1">
      <c r="A445" s="40"/>
      <c r="B445" s="106"/>
      <c r="C445" s="103"/>
      <c r="D445" s="41"/>
      <c r="E445" s="41"/>
      <c r="F445" s="41"/>
      <c r="G445" s="25"/>
      <c r="H445" s="57"/>
      <c r="I445" s="57"/>
      <c r="K445" s="28"/>
    </row>
    <row r="446" spans="1:11" s="24" customFormat="1">
      <c r="A446" s="40"/>
      <c r="B446" s="106"/>
      <c r="C446" s="103"/>
      <c r="D446" s="41"/>
      <c r="E446" s="41"/>
      <c r="F446" s="41"/>
      <c r="G446" s="25"/>
      <c r="H446" s="57"/>
      <c r="I446" s="57"/>
      <c r="K446" s="28"/>
    </row>
    <row r="447" spans="1:11" s="24" customFormat="1">
      <c r="A447" s="40"/>
      <c r="B447" s="106"/>
      <c r="C447" s="103"/>
      <c r="D447" s="41"/>
      <c r="E447" s="41"/>
      <c r="F447" s="41"/>
      <c r="G447" s="25"/>
      <c r="H447" s="57"/>
      <c r="I447" s="57"/>
      <c r="K447" s="28"/>
    </row>
    <row r="448" spans="1:11" s="24" customFormat="1">
      <c r="A448" s="40"/>
      <c r="B448" s="106"/>
      <c r="C448" s="103"/>
      <c r="D448" s="41"/>
      <c r="E448" s="41"/>
      <c r="F448" s="41"/>
      <c r="G448" s="25"/>
      <c r="H448" s="57"/>
      <c r="I448" s="57"/>
      <c r="K448" s="28"/>
    </row>
    <row r="449" spans="1:11" s="24" customFormat="1">
      <c r="A449" s="40"/>
      <c r="B449" s="106"/>
      <c r="C449" s="103"/>
      <c r="D449" s="41"/>
      <c r="E449" s="41"/>
      <c r="F449" s="41"/>
      <c r="G449" s="25"/>
      <c r="H449" s="57"/>
      <c r="I449" s="57"/>
      <c r="K449" s="28"/>
    </row>
    <row r="450" spans="1:11" s="24" customFormat="1">
      <c r="A450" s="40"/>
      <c r="B450" s="106"/>
      <c r="C450" s="103"/>
      <c r="D450" s="41"/>
      <c r="E450" s="41"/>
      <c r="F450" s="41"/>
      <c r="G450" s="25"/>
      <c r="H450" s="57"/>
      <c r="I450" s="57"/>
      <c r="K450" s="28"/>
    </row>
    <row r="451" spans="1:11" s="24" customFormat="1">
      <c r="A451" s="40"/>
      <c r="B451" s="106"/>
      <c r="C451" s="103"/>
      <c r="D451" s="41"/>
      <c r="E451" s="41"/>
      <c r="F451" s="41"/>
      <c r="G451" s="25"/>
      <c r="H451" s="57"/>
      <c r="I451" s="57"/>
      <c r="K451" s="28"/>
    </row>
    <row r="452" spans="1:11" s="24" customFormat="1">
      <c r="A452" s="40"/>
      <c r="B452" s="106"/>
      <c r="C452" s="103"/>
      <c r="D452" s="41"/>
      <c r="E452" s="41"/>
      <c r="F452" s="41"/>
      <c r="G452" s="25"/>
      <c r="H452" s="57"/>
      <c r="I452" s="57"/>
      <c r="K452" s="28"/>
    </row>
    <row r="453" spans="1:11" s="24" customFormat="1">
      <c r="A453" s="40"/>
      <c r="B453" s="106"/>
      <c r="C453" s="103"/>
      <c r="D453" s="41"/>
      <c r="E453" s="41"/>
      <c r="F453" s="41"/>
      <c r="G453" s="25"/>
      <c r="H453" s="57"/>
      <c r="I453" s="57"/>
      <c r="K453" s="28"/>
    </row>
    <row r="454" spans="1:11" s="24" customFormat="1">
      <c r="A454" s="40"/>
      <c r="B454" s="106"/>
      <c r="C454" s="103"/>
      <c r="D454" s="41"/>
      <c r="E454" s="41"/>
      <c r="F454" s="41"/>
      <c r="G454" s="25"/>
      <c r="H454" s="57"/>
      <c r="I454" s="57"/>
      <c r="K454" s="28"/>
    </row>
    <row r="455" spans="1:11" s="24" customFormat="1">
      <c r="A455" s="40"/>
      <c r="B455" s="106"/>
      <c r="C455" s="103"/>
      <c r="D455" s="41"/>
      <c r="E455" s="41"/>
      <c r="F455" s="41"/>
      <c r="G455" s="25"/>
      <c r="H455" s="57"/>
      <c r="I455" s="57"/>
      <c r="K455" s="28"/>
    </row>
    <row r="456" spans="1:11" s="24" customFormat="1">
      <c r="A456" s="40"/>
      <c r="B456" s="106"/>
      <c r="C456" s="103"/>
      <c r="D456" s="41"/>
      <c r="E456" s="41"/>
      <c r="F456" s="41"/>
      <c r="G456" s="25"/>
      <c r="H456" s="57"/>
      <c r="I456" s="57"/>
      <c r="K456" s="28"/>
    </row>
    <row r="457" spans="1:11" s="24" customFormat="1">
      <c r="A457" s="40"/>
      <c r="B457" s="106"/>
      <c r="C457" s="103"/>
      <c r="D457" s="41"/>
      <c r="E457" s="41"/>
      <c r="F457" s="41"/>
      <c r="G457" s="25"/>
      <c r="H457" s="57"/>
      <c r="I457" s="57"/>
      <c r="K457" s="28"/>
    </row>
    <row r="458" spans="1:11" s="24" customFormat="1">
      <c r="A458" s="40"/>
      <c r="B458" s="106"/>
      <c r="C458" s="103"/>
      <c r="D458" s="41"/>
      <c r="E458" s="41"/>
      <c r="F458" s="41"/>
      <c r="G458" s="25"/>
      <c r="H458" s="57"/>
      <c r="I458" s="57"/>
      <c r="K458" s="28"/>
    </row>
    <row r="459" spans="1:11" s="24" customFormat="1">
      <c r="A459" s="40"/>
      <c r="B459" s="106"/>
      <c r="C459" s="103"/>
      <c r="D459" s="41"/>
      <c r="E459" s="41"/>
      <c r="F459" s="41"/>
      <c r="G459" s="25"/>
      <c r="H459" s="57"/>
      <c r="I459" s="57"/>
      <c r="K459" s="28"/>
    </row>
    <row r="460" spans="1:11" s="24" customFormat="1">
      <c r="A460" s="40"/>
      <c r="B460" s="106"/>
      <c r="C460" s="103"/>
      <c r="D460" s="41"/>
      <c r="E460" s="41"/>
      <c r="F460" s="41"/>
      <c r="G460" s="25"/>
      <c r="H460" s="57"/>
      <c r="I460" s="57"/>
      <c r="K460" s="28"/>
    </row>
    <row r="461" spans="1:11" s="24" customFormat="1">
      <c r="A461" s="40"/>
      <c r="B461" s="106"/>
      <c r="C461" s="103"/>
      <c r="D461" s="41"/>
      <c r="E461" s="41"/>
      <c r="F461" s="41"/>
      <c r="G461" s="25"/>
      <c r="H461" s="57"/>
      <c r="I461" s="57"/>
      <c r="K461" s="28"/>
    </row>
    <row r="462" spans="1:11" s="24" customFormat="1">
      <c r="A462" s="40"/>
      <c r="B462" s="106"/>
      <c r="C462" s="103"/>
      <c r="D462" s="41"/>
      <c r="E462" s="41"/>
      <c r="F462" s="41"/>
      <c r="G462" s="25"/>
      <c r="H462" s="57"/>
      <c r="I462" s="57"/>
      <c r="K462" s="28"/>
    </row>
    <row r="463" spans="1:11" s="24" customFormat="1">
      <c r="A463" s="40"/>
      <c r="B463" s="106"/>
      <c r="C463" s="103"/>
      <c r="D463" s="41"/>
      <c r="E463" s="41"/>
      <c r="F463" s="41"/>
      <c r="G463" s="25"/>
      <c r="H463" s="57"/>
      <c r="I463" s="57"/>
      <c r="K463" s="28"/>
    </row>
    <row r="464" spans="1:11" s="24" customFormat="1">
      <c r="A464" s="40"/>
      <c r="B464" s="106"/>
      <c r="C464" s="103"/>
      <c r="D464" s="41"/>
      <c r="E464" s="41"/>
      <c r="F464" s="41"/>
      <c r="G464" s="25"/>
      <c r="H464" s="57"/>
      <c r="I464" s="57"/>
      <c r="K464" s="28"/>
    </row>
    <row r="465" spans="1:11" s="24" customFormat="1">
      <c r="A465" s="40"/>
      <c r="B465" s="106"/>
      <c r="C465" s="103"/>
      <c r="D465" s="41"/>
      <c r="E465" s="41"/>
      <c r="F465" s="41"/>
      <c r="G465" s="25"/>
      <c r="H465" s="57"/>
      <c r="I465" s="57"/>
      <c r="K465" s="28"/>
    </row>
    <row r="466" spans="1:11" s="24" customFormat="1">
      <c r="A466" s="40"/>
      <c r="B466" s="106"/>
      <c r="C466" s="103"/>
      <c r="D466" s="41"/>
      <c r="E466" s="41"/>
      <c r="F466" s="41"/>
      <c r="G466" s="25"/>
      <c r="H466" s="57"/>
      <c r="I466" s="57"/>
      <c r="K466" s="28"/>
    </row>
    <row r="467" spans="1:11" s="24" customFormat="1">
      <c r="A467" s="40"/>
      <c r="B467" s="106"/>
      <c r="C467" s="103"/>
      <c r="D467" s="41"/>
      <c r="E467" s="41"/>
      <c r="F467" s="41"/>
      <c r="G467" s="25"/>
      <c r="H467" s="57"/>
      <c r="I467" s="57"/>
      <c r="K467" s="28"/>
    </row>
    <row r="468" spans="1:11" s="24" customFormat="1">
      <c r="A468" s="40"/>
      <c r="B468" s="106"/>
      <c r="C468" s="103"/>
      <c r="D468" s="41"/>
      <c r="E468" s="41"/>
      <c r="F468" s="41"/>
      <c r="G468" s="25"/>
      <c r="H468" s="57"/>
      <c r="I468" s="57"/>
      <c r="K468" s="28"/>
    </row>
    <row r="469" spans="1:11" s="24" customFormat="1">
      <c r="A469" s="40"/>
      <c r="B469" s="106"/>
      <c r="C469" s="103"/>
      <c r="D469" s="41"/>
      <c r="E469" s="41"/>
      <c r="F469" s="41"/>
      <c r="G469" s="25"/>
      <c r="H469" s="57"/>
      <c r="I469" s="57"/>
      <c r="K469" s="28"/>
    </row>
    <row r="470" spans="1:11" s="24" customFormat="1">
      <c r="A470" s="40"/>
      <c r="B470" s="106"/>
      <c r="C470" s="103"/>
      <c r="D470" s="41"/>
      <c r="E470" s="41"/>
      <c r="F470" s="41"/>
      <c r="G470" s="25"/>
      <c r="H470" s="57"/>
      <c r="I470" s="57"/>
      <c r="K470" s="28"/>
    </row>
    <row r="471" spans="1:11" s="24" customFormat="1">
      <c r="A471" s="40"/>
      <c r="B471" s="106"/>
      <c r="C471" s="103"/>
      <c r="D471" s="41"/>
      <c r="E471" s="41"/>
      <c r="F471" s="41"/>
      <c r="G471" s="25"/>
      <c r="H471" s="57"/>
      <c r="I471" s="57"/>
      <c r="K471" s="28"/>
    </row>
    <row r="472" spans="1:11" s="24" customFormat="1">
      <c r="A472" s="40"/>
      <c r="B472" s="106"/>
      <c r="C472" s="103"/>
      <c r="D472" s="41"/>
      <c r="E472" s="41"/>
      <c r="F472" s="41"/>
      <c r="G472" s="25"/>
      <c r="H472" s="57"/>
      <c r="I472" s="57"/>
      <c r="K472" s="28"/>
    </row>
    <row r="473" spans="1:11" s="24" customFormat="1">
      <c r="A473" s="40"/>
      <c r="B473" s="106"/>
      <c r="C473" s="103"/>
      <c r="D473" s="41"/>
      <c r="E473" s="41"/>
      <c r="F473" s="41"/>
      <c r="G473" s="25"/>
      <c r="H473" s="57"/>
      <c r="I473" s="57"/>
      <c r="K473" s="28"/>
    </row>
    <row r="474" spans="1:11" s="24" customFormat="1">
      <c r="A474" s="40"/>
      <c r="B474" s="106"/>
      <c r="C474" s="103"/>
      <c r="D474" s="41"/>
      <c r="E474" s="41"/>
      <c r="F474" s="41"/>
      <c r="G474" s="25"/>
      <c r="H474" s="57"/>
      <c r="I474" s="57"/>
      <c r="K474" s="28"/>
    </row>
    <row r="475" spans="1:11" s="24" customFormat="1">
      <c r="A475" s="40"/>
      <c r="B475" s="106"/>
      <c r="C475" s="103"/>
      <c r="D475" s="41"/>
      <c r="E475" s="41"/>
      <c r="F475" s="41"/>
      <c r="G475" s="25"/>
      <c r="H475" s="57"/>
      <c r="I475" s="57"/>
      <c r="K475" s="28"/>
    </row>
    <row r="476" spans="1:11" s="24" customFormat="1">
      <c r="A476" s="40"/>
      <c r="B476" s="106"/>
      <c r="C476" s="103"/>
      <c r="D476" s="41"/>
      <c r="E476" s="41"/>
      <c r="F476" s="41"/>
      <c r="G476" s="25"/>
      <c r="H476" s="57"/>
      <c r="I476" s="57"/>
      <c r="K476" s="28"/>
    </row>
    <row r="477" spans="1:11" s="24" customFormat="1">
      <c r="A477" s="40"/>
      <c r="B477" s="106"/>
      <c r="C477" s="103"/>
      <c r="D477" s="41"/>
      <c r="E477" s="41"/>
      <c r="F477" s="41"/>
      <c r="G477" s="25"/>
      <c r="H477" s="57"/>
      <c r="I477" s="57"/>
      <c r="K477" s="28"/>
    </row>
    <row r="478" spans="1:11" s="24" customFormat="1">
      <c r="A478" s="40"/>
      <c r="B478" s="106"/>
      <c r="C478" s="103"/>
      <c r="D478" s="41"/>
      <c r="E478" s="41"/>
      <c r="F478" s="41"/>
      <c r="G478" s="25"/>
      <c r="H478" s="57"/>
      <c r="I478" s="57"/>
      <c r="K478" s="28"/>
    </row>
    <row r="479" spans="1:11" s="24" customFormat="1">
      <c r="A479" s="40"/>
      <c r="B479" s="106"/>
      <c r="C479" s="103"/>
      <c r="D479" s="41"/>
      <c r="E479" s="41"/>
      <c r="F479" s="41"/>
      <c r="G479" s="25"/>
      <c r="H479" s="57"/>
      <c r="I479" s="57"/>
      <c r="K479" s="28"/>
    </row>
    <row r="480" spans="1:11" s="24" customFormat="1">
      <c r="A480" s="40"/>
      <c r="B480" s="106"/>
      <c r="C480" s="103"/>
      <c r="D480" s="41"/>
      <c r="E480" s="41"/>
      <c r="F480" s="41"/>
      <c r="G480" s="25"/>
      <c r="H480" s="57"/>
      <c r="I480" s="57"/>
      <c r="K480" s="28"/>
    </row>
    <row r="481" spans="1:11" s="24" customFormat="1">
      <c r="A481" s="40"/>
      <c r="B481" s="106"/>
      <c r="C481" s="103"/>
      <c r="D481" s="41"/>
      <c r="E481" s="41"/>
      <c r="F481" s="41"/>
      <c r="G481" s="25"/>
      <c r="H481" s="57"/>
      <c r="I481" s="57"/>
      <c r="K481" s="28"/>
    </row>
    <row r="482" spans="1:11" s="24" customFormat="1">
      <c r="A482" s="40"/>
      <c r="B482" s="106"/>
      <c r="C482" s="103"/>
      <c r="D482" s="41"/>
      <c r="E482" s="41"/>
      <c r="F482" s="41"/>
      <c r="G482" s="25"/>
      <c r="H482" s="57"/>
      <c r="I482" s="57"/>
      <c r="K482" s="28"/>
    </row>
    <row r="483" spans="1:11" s="24" customFormat="1">
      <c r="A483" s="40"/>
      <c r="B483" s="106"/>
      <c r="C483" s="103"/>
      <c r="D483" s="41"/>
      <c r="E483" s="41"/>
      <c r="F483" s="41"/>
      <c r="G483" s="25"/>
      <c r="H483" s="57"/>
      <c r="I483" s="57"/>
      <c r="K483" s="28"/>
    </row>
    <row r="484" spans="1:11" s="24" customFormat="1">
      <c r="A484" s="40"/>
      <c r="B484" s="106"/>
      <c r="C484" s="103"/>
      <c r="D484" s="41"/>
      <c r="E484" s="41"/>
      <c r="F484" s="41"/>
      <c r="G484" s="25"/>
      <c r="H484" s="57"/>
      <c r="I484" s="57"/>
      <c r="K484" s="28"/>
    </row>
    <row r="485" spans="1:11" s="24" customFormat="1">
      <c r="A485" s="40"/>
      <c r="B485" s="106"/>
      <c r="C485" s="103"/>
      <c r="D485" s="41"/>
      <c r="E485" s="41"/>
      <c r="F485" s="41"/>
      <c r="G485" s="25"/>
      <c r="H485" s="57"/>
      <c r="I485" s="57"/>
      <c r="K485" s="28"/>
    </row>
    <row r="486" spans="1:11" s="24" customFormat="1">
      <c r="A486" s="40"/>
      <c r="B486" s="106"/>
      <c r="C486" s="103"/>
      <c r="D486" s="41"/>
      <c r="E486" s="41"/>
      <c r="F486" s="41"/>
      <c r="G486" s="25"/>
      <c r="H486" s="57"/>
      <c r="I486" s="57"/>
      <c r="K486" s="28"/>
    </row>
    <row r="487" spans="1:11" s="24" customFormat="1">
      <c r="A487" s="40"/>
      <c r="B487" s="106"/>
      <c r="C487" s="103"/>
      <c r="D487" s="41"/>
      <c r="E487" s="41"/>
      <c r="F487" s="41"/>
      <c r="G487" s="25"/>
      <c r="H487" s="57"/>
      <c r="I487" s="57"/>
      <c r="K487" s="28"/>
    </row>
    <row r="488" spans="1:11" s="24" customFormat="1">
      <c r="A488" s="40"/>
      <c r="B488" s="106"/>
      <c r="C488" s="103"/>
      <c r="D488" s="41"/>
      <c r="E488" s="41"/>
      <c r="F488" s="41"/>
      <c r="G488" s="25"/>
      <c r="H488" s="57"/>
      <c r="I488" s="57"/>
      <c r="K488" s="28"/>
    </row>
    <row r="489" spans="1:11" s="24" customFormat="1">
      <c r="A489" s="40"/>
      <c r="B489" s="106"/>
      <c r="C489" s="103"/>
      <c r="D489" s="41"/>
      <c r="E489" s="41"/>
      <c r="F489" s="41"/>
      <c r="G489" s="25"/>
      <c r="H489" s="57"/>
      <c r="I489" s="57"/>
      <c r="K489" s="28"/>
    </row>
    <row r="490" spans="1:11" s="24" customFormat="1">
      <c r="A490" s="40"/>
      <c r="B490" s="106"/>
      <c r="C490" s="103"/>
      <c r="D490" s="41"/>
      <c r="E490" s="41"/>
      <c r="F490" s="41"/>
      <c r="G490" s="25"/>
      <c r="H490" s="57"/>
      <c r="I490" s="57"/>
      <c r="K490" s="28"/>
    </row>
    <row r="491" spans="1:11" s="24" customFormat="1">
      <c r="A491" s="40"/>
      <c r="B491" s="106"/>
      <c r="C491" s="103"/>
      <c r="D491" s="41"/>
      <c r="E491" s="41"/>
      <c r="F491" s="41"/>
      <c r="G491" s="25"/>
      <c r="H491" s="57"/>
      <c r="I491" s="57"/>
      <c r="K491" s="28"/>
    </row>
    <row r="492" spans="1:11" s="24" customFormat="1">
      <c r="A492" s="40"/>
      <c r="B492" s="106"/>
      <c r="C492" s="103"/>
      <c r="D492" s="41"/>
      <c r="E492" s="41"/>
      <c r="F492" s="41"/>
      <c r="G492" s="25"/>
      <c r="H492" s="57"/>
      <c r="I492" s="57"/>
      <c r="K492" s="28"/>
    </row>
    <row r="493" spans="1:11" s="24" customFormat="1">
      <c r="A493" s="40"/>
      <c r="B493" s="106"/>
      <c r="C493" s="103"/>
      <c r="D493" s="41"/>
      <c r="E493" s="41"/>
      <c r="F493" s="41"/>
      <c r="G493" s="25"/>
      <c r="H493" s="57"/>
      <c r="I493" s="57"/>
      <c r="K493" s="28"/>
    </row>
    <row r="494" spans="1:11" s="24" customFormat="1">
      <c r="A494" s="40"/>
      <c r="B494" s="106"/>
      <c r="C494" s="103"/>
      <c r="D494" s="41"/>
      <c r="E494" s="41"/>
      <c r="F494" s="41"/>
      <c r="G494" s="25"/>
      <c r="H494" s="57"/>
      <c r="I494" s="57"/>
      <c r="K494" s="28"/>
    </row>
    <row r="495" spans="1:11" s="24" customFormat="1">
      <c r="A495" s="40"/>
      <c r="B495" s="106"/>
      <c r="C495" s="103"/>
      <c r="D495" s="41"/>
      <c r="E495" s="41"/>
      <c r="F495" s="41"/>
      <c r="G495" s="25"/>
      <c r="H495" s="57"/>
      <c r="I495" s="57"/>
      <c r="K495" s="28"/>
    </row>
    <row r="496" spans="1:11" s="24" customFormat="1">
      <c r="A496" s="40"/>
      <c r="B496" s="106"/>
      <c r="C496" s="103"/>
      <c r="D496" s="41"/>
      <c r="E496" s="41"/>
      <c r="F496" s="41"/>
      <c r="G496" s="25"/>
      <c r="H496" s="57"/>
      <c r="I496" s="57"/>
      <c r="K496" s="28"/>
    </row>
    <row r="497" spans="1:11" s="24" customFormat="1">
      <c r="A497" s="40"/>
      <c r="B497" s="106"/>
      <c r="C497" s="103"/>
      <c r="D497" s="41"/>
      <c r="E497" s="41"/>
      <c r="F497" s="41"/>
      <c r="G497" s="25"/>
      <c r="H497" s="57"/>
      <c r="I497" s="57"/>
      <c r="K497" s="28"/>
    </row>
    <row r="498" spans="1:11" s="24" customFormat="1">
      <c r="A498" s="40"/>
      <c r="B498" s="106"/>
      <c r="C498" s="103"/>
      <c r="D498" s="41"/>
      <c r="E498" s="41"/>
      <c r="F498" s="41"/>
      <c r="G498" s="25"/>
      <c r="H498" s="57"/>
      <c r="I498" s="57"/>
      <c r="K498" s="28"/>
    </row>
    <row r="499" spans="1:11" s="24" customFormat="1">
      <c r="A499" s="40"/>
      <c r="B499" s="106"/>
      <c r="C499" s="103"/>
      <c r="D499" s="41"/>
      <c r="E499" s="41"/>
      <c r="F499" s="41"/>
      <c r="G499" s="25"/>
      <c r="H499" s="57"/>
      <c r="I499" s="57"/>
      <c r="K499" s="28"/>
    </row>
    <row r="500" spans="1:11" s="24" customFormat="1">
      <c r="A500" s="40"/>
      <c r="B500" s="106"/>
      <c r="C500" s="103"/>
      <c r="D500" s="41"/>
      <c r="E500" s="41"/>
      <c r="F500" s="41"/>
      <c r="G500" s="25"/>
      <c r="H500" s="57"/>
      <c r="I500" s="57"/>
      <c r="K500" s="28"/>
    </row>
    <row r="501" spans="1:11" s="24" customFormat="1">
      <c r="A501" s="40"/>
      <c r="B501" s="106"/>
      <c r="C501" s="103"/>
      <c r="D501" s="41"/>
      <c r="E501" s="41"/>
      <c r="F501" s="41"/>
      <c r="G501" s="25"/>
      <c r="H501" s="57"/>
      <c r="I501" s="57"/>
      <c r="K501" s="28"/>
    </row>
    <row r="502" spans="1:11" s="24" customFormat="1">
      <c r="A502" s="40"/>
      <c r="B502" s="106"/>
      <c r="C502" s="103"/>
      <c r="D502" s="41"/>
      <c r="E502" s="41"/>
      <c r="F502" s="41"/>
      <c r="G502" s="25"/>
      <c r="H502" s="57"/>
      <c r="I502" s="57"/>
      <c r="K502" s="28"/>
    </row>
    <row r="503" spans="1:11" s="24" customFormat="1">
      <c r="A503" s="40"/>
      <c r="B503" s="106"/>
      <c r="C503" s="103"/>
      <c r="D503" s="41"/>
      <c r="E503" s="41"/>
      <c r="F503" s="41"/>
      <c r="G503" s="25"/>
      <c r="H503" s="57"/>
      <c r="I503" s="57"/>
      <c r="K503" s="28"/>
    </row>
    <row r="504" spans="1:11" s="24" customFormat="1">
      <c r="A504" s="40"/>
      <c r="B504" s="106"/>
      <c r="C504" s="103"/>
      <c r="D504" s="41"/>
      <c r="E504" s="41"/>
      <c r="F504" s="41"/>
      <c r="G504" s="25"/>
      <c r="H504" s="57"/>
      <c r="I504" s="57"/>
      <c r="K504" s="28"/>
    </row>
    <row r="505" spans="1:11" s="24" customFormat="1">
      <c r="A505" s="40"/>
      <c r="B505" s="106"/>
      <c r="C505" s="103"/>
      <c r="D505" s="41"/>
      <c r="E505" s="41"/>
      <c r="F505" s="41"/>
      <c r="G505" s="25"/>
      <c r="H505" s="57"/>
      <c r="I505" s="57"/>
      <c r="K505" s="28"/>
    </row>
    <row r="506" spans="1:11" s="24" customFormat="1">
      <c r="A506" s="40"/>
      <c r="B506" s="106"/>
      <c r="C506" s="103"/>
      <c r="D506" s="41"/>
      <c r="E506" s="41"/>
      <c r="F506" s="41"/>
      <c r="G506" s="25"/>
      <c r="H506" s="57"/>
      <c r="I506" s="57"/>
      <c r="K506" s="28"/>
    </row>
    <row r="507" spans="1:11" s="24" customFormat="1">
      <c r="A507" s="40"/>
      <c r="B507" s="106"/>
      <c r="C507" s="103"/>
      <c r="D507" s="41"/>
      <c r="E507" s="41"/>
      <c r="F507" s="41"/>
      <c r="G507" s="25"/>
      <c r="H507" s="57"/>
      <c r="I507" s="57"/>
      <c r="K507" s="28"/>
    </row>
    <row r="508" spans="1:11" s="24" customFormat="1">
      <c r="A508" s="40"/>
      <c r="B508" s="106"/>
      <c r="C508" s="103"/>
      <c r="D508" s="41"/>
      <c r="E508" s="41"/>
      <c r="F508" s="41"/>
      <c r="G508" s="25"/>
      <c r="H508" s="57"/>
      <c r="I508" s="57"/>
      <c r="K508" s="28"/>
    </row>
    <row r="509" spans="1:11" s="24" customFormat="1">
      <c r="A509" s="40"/>
      <c r="B509" s="106"/>
      <c r="C509" s="103"/>
      <c r="D509" s="41"/>
      <c r="E509" s="41"/>
      <c r="F509" s="41"/>
      <c r="G509" s="25"/>
      <c r="H509" s="57"/>
      <c r="I509" s="57"/>
      <c r="K509" s="28"/>
    </row>
    <row r="510" spans="1:11" s="24" customFormat="1">
      <c r="A510" s="40"/>
      <c r="B510" s="106"/>
      <c r="C510" s="103"/>
      <c r="D510" s="41"/>
      <c r="E510" s="41"/>
      <c r="F510" s="41"/>
      <c r="G510" s="25"/>
      <c r="H510" s="57"/>
      <c r="I510" s="57"/>
      <c r="K510" s="28"/>
    </row>
    <row r="511" spans="1:11" s="24" customFormat="1">
      <c r="A511" s="40"/>
      <c r="B511" s="106"/>
      <c r="C511" s="103"/>
      <c r="D511" s="41"/>
      <c r="E511" s="41"/>
      <c r="F511" s="41"/>
      <c r="G511" s="25"/>
      <c r="H511" s="57"/>
      <c r="I511" s="57"/>
      <c r="K511" s="28"/>
    </row>
    <row r="512" spans="1:11" s="24" customFormat="1">
      <c r="A512" s="40"/>
      <c r="B512" s="106"/>
      <c r="C512" s="103"/>
      <c r="D512" s="41"/>
      <c r="E512" s="41"/>
      <c r="F512" s="41"/>
      <c r="G512" s="25"/>
      <c r="H512" s="57"/>
      <c r="I512" s="57"/>
      <c r="K512" s="28"/>
    </row>
    <row r="513" spans="1:11" s="24" customFormat="1">
      <c r="A513" s="40"/>
      <c r="B513" s="106"/>
      <c r="C513" s="103"/>
      <c r="D513" s="41"/>
      <c r="E513" s="41"/>
      <c r="F513" s="41"/>
      <c r="G513" s="25"/>
      <c r="H513" s="57"/>
      <c r="I513" s="57"/>
      <c r="K513" s="28"/>
    </row>
    <row r="514" spans="1:11" s="24" customFormat="1">
      <c r="A514" s="40"/>
      <c r="B514" s="106"/>
      <c r="C514" s="103"/>
      <c r="D514" s="41"/>
      <c r="E514" s="41"/>
      <c r="F514" s="41"/>
      <c r="G514" s="25"/>
      <c r="H514" s="57"/>
      <c r="I514" s="57"/>
      <c r="K514" s="28"/>
    </row>
    <row r="515" spans="1:11" s="24" customFormat="1">
      <c r="A515" s="40"/>
      <c r="B515" s="106"/>
      <c r="C515" s="103"/>
      <c r="D515" s="41"/>
      <c r="E515" s="41"/>
      <c r="F515" s="41"/>
      <c r="G515" s="25"/>
      <c r="H515" s="57"/>
      <c r="I515" s="57"/>
      <c r="K515" s="28"/>
    </row>
    <row r="516" spans="1:11" s="24" customFormat="1">
      <c r="A516" s="40"/>
      <c r="B516" s="106"/>
      <c r="C516" s="103"/>
      <c r="D516" s="41"/>
      <c r="E516" s="41"/>
      <c r="F516" s="41"/>
      <c r="G516" s="25"/>
      <c r="H516" s="57"/>
      <c r="I516" s="57"/>
      <c r="K516" s="28"/>
    </row>
    <row r="517" spans="1:11" s="24" customFormat="1">
      <c r="A517" s="40"/>
      <c r="B517" s="106"/>
      <c r="C517" s="103"/>
      <c r="D517" s="41"/>
      <c r="E517" s="41"/>
      <c r="F517" s="41"/>
      <c r="G517" s="25"/>
      <c r="H517" s="57"/>
      <c r="I517" s="57"/>
      <c r="K517" s="28"/>
    </row>
    <row r="518" spans="1:11" s="24" customFormat="1">
      <c r="A518" s="40"/>
      <c r="B518" s="106"/>
      <c r="C518" s="103"/>
      <c r="D518" s="41"/>
      <c r="E518" s="41"/>
      <c r="F518" s="41"/>
      <c r="G518" s="25"/>
      <c r="H518" s="57"/>
      <c r="I518" s="57"/>
      <c r="K518" s="28"/>
    </row>
    <row r="519" spans="1:11" s="24" customFormat="1">
      <c r="A519" s="40"/>
      <c r="B519" s="106"/>
      <c r="C519" s="103"/>
      <c r="D519" s="41"/>
      <c r="E519" s="41"/>
      <c r="F519" s="41"/>
      <c r="G519" s="25"/>
      <c r="H519" s="57"/>
      <c r="I519" s="57"/>
      <c r="K519" s="28"/>
    </row>
    <row r="520" spans="1:11" s="24" customFormat="1">
      <c r="A520" s="40"/>
      <c r="B520" s="106"/>
      <c r="C520" s="103"/>
      <c r="D520" s="41"/>
      <c r="E520" s="41"/>
      <c r="F520" s="41"/>
      <c r="G520" s="25"/>
      <c r="H520" s="57"/>
      <c r="I520" s="57"/>
      <c r="K520" s="28"/>
    </row>
    <row r="521" spans="1:11" s="24" customFormat="1">
      <c r="A521" s="40"/>
      <c r="B521" s="106"/>
      <c r="C521" s="103"/>
      <c r="D521" s="41"/>
      <c r="E521" s="41"/>
      <c r="F521" s="41"/>
      <c r="G521" s="25"/>
      <c r="H521" s="57"/>
      <c r="I521" s="57"/>
      <c r="K521" s="28"/>
    </row>
    <row r="522" spans="1:11" s="24" customFormat="1">
      <c r="A522" s="40"/>
      <c r="B522" s="106"/>
      <c r="C522" s="103"/>
      <c r="D522" s="41"/>
      <c r="E522" s="41"/>
      <c r="F522" s="41"/>
      <c r="G522" s="25"/>
      <c r="H522" s="57"/>
      <c r="I522" s="57"/>
      <c r="K522" s="28"/>
    </row>
    <row r="523" spans="1:11" s="24" customFormat="1">
      <c r="A523" s="40"/>
      <c r="B523" s="106"/>
      <c r="C523" s="103"/>
      <c r="D523" s="41"/>
      <c r="E523" s="41"/>
      <c r="F523" s="41"/>
      <c r="G523" s="25"/>
      <c r="H523" s="57"/>
      <c r="I523" s="57"/>
      <c r="K523" s="28"/>
    </row>
    <row r="524" spans="1:11" s="24" customFormat="1">
      <c r="A524" s="40"/>
      <c r="B524" s="106"/>
      <c r="C524" s="103"/>
      <c r="D524" s="41"/>
      <c r="E524" s="41"/>
      <c r="F524" s="41"/>
      <c r="G524" s="25"/>
      <c r="H524" s="57"/>
      <c r="I524" s="57"/>
      <c r="K524" s="28"/>
    </row>
    <row r="525" spans="1:11" s="24" customFormat="1">
      <c r="A525" s="40"/>
      <c r="B525" s="106"/>
      <c r="C525" s="103"/>
      <c r="D525" s="41"/>
      <c r="E525" s="41"/>
      <c r="F525" s="41"/>
      <c r="G525" s="25"/>
      <c r="H525" s="57"/>
      <c r="I525" s="57"/>
      <c r="K525" s="28"/>
    </row>
    <row r="526" spans="1:11" s="24" customFormat="1">
      <c r="A526" s="40"/>
      <c r="B526" s="106"/>
      <c r="C526" s="103"/>
      <c r="D526" s="41"/>
      <c r="E526" s="41"/>
      <c r="F526" s="41"/>
      <c r="G526" s="25"/>
      <c r="H526" s="57"/>
      <c r="I526" s="57"/>
      <c r="K526" s="28"/>
    </row>
    <row r="527" spans="1:11" s="24" customFormat="1">
      <c r="A527" s="40"/>
      <c r="B527" s="106"/>
      <c r="C527" s="103"/>
      <c r="D527" s="41"/>
      <c r="E527" s="41"/>
      <c r="F527" s="41"/>
      <c r="G527" s="25"/>
      <c r="H527" s="57"/>
      <c r="I527" s="57"/>
      <c r="K527" s="28"/>
    </row>
    <row r="528" spans="1:11" s="24" customFormat="1">
      <c r="A528" s="40"/>
      <c r="B528" s="106"/>
      <c r="C528" s="103"/>
      <c r="D528" s="41"/>
      <c r="E528" s="41"/>
      <c r="F528" s="41"/>
      <c r="G528" s="25"/>
      <c r="H528" s="57"/>
      <c r="I528" s="57"/>
      <c r="K528" s="28"/>
    </row>
    <row r="529" spans="1:11" s="24" customFormat="1">
      <c r="A529" s="40"/>
      <c r="B529" s="106"/>
      <c r="C529" s="103"/>
      <c r="D529" s="41"/>
      <c r="E529" s="41"/>
      <c r="F529" s="41"/>
      <c r="G529" s="25"/>
      <c r="H529" s="57"/>
      <c r="I529" s="57"/>
      <c r="K529" s="28"/>
    </row>
    <row r="530" spans="1:11" s="24" customFormat="1">
      <c r="A530" s="40"/>
      <c r="B530" s="106"/>
      <c r="C530" s="103"/>
      <c r="D530" s="41"/>
      <c r="E530" s="41"/>
      <c r="F530" s="41"/>
      <c r="G530" s="25"/>
      <c r="H530" s="57"/>
      <c r="I530" s="57"/>
      <c r="K530" s="28"/>
    </row>
    <row r="531" spans="1:11" s="24" customFormat="1">
      <c r="A531" s="40"/>
      <c r="B531" s="106"/>
      <c r="C531" s="103"/>
      <c r="D531" s="41"/>
      <c r="E531" s="41"/>
      <c r="F531" s="41"/>
      <c r="G531" s="25"/>
      <c r="H531" s="57"/>
      <c r="I531" s="57"/>
      <c r="K531" s="28"/>
    </row>
    <row r="532" spans="1:11" s="24" customFormat="1">
      <c r="A532" s="40"/>
      <c r="B532" s="106"/>
      <c r="C532" s="103"/>
      <c r="D532" s="41"/>
      <c r="E532" s="41"/>
      <c r="F532" s="41"/>
      <c r="G532" s="25"/>
      <c r="H532" s="57"/>
      <c r="I532" s="57"/>
      <c r="K532" s="28"/>
    </row>
    <row r="533" spans="1:11" s="24" customFormat="1">
      <c r="A533" s="40"/>
      <c r="B533" s="106"/>
      <c r="C533" s="103"/>
      <c r="D533" s="41"/>
      <c r="E533" s="41"/>
      <c r="F533" s="41"/>
      <c r="G533" s="25"/>
      <c r="H533" s="57"/>
      <c r="I533" s="57"/>
      <c r="K533" s="28"/>
    </row>
    <row r="534" spans="1:11" s="24" customFormat="1">
      <c r="A534" s="40"/>
      <c r="B534" s="106"/>
      <c r="C534" s="103"/>
      <c r="D534" s="41"/>
      <c r="E534" s="41"/>
      <c r="F534" s="41"/>
      <c r="G534" s="25"/>
      <c r="H534" s="57"/>
      <c r="I534" s="57"/>
      <c r="K534" s="28"/>
    </row>
    <row r="535" spans="1:11" s="24" customFormat="1">
      <c r="A535" s="40"/>
      <c r="B535" s="106"/>
      <c r="C535" s="103"/>
      <c r="D535" s="41"/>
      <c r="E535" s="41"/>
      <c r="F535" s="41"/>
      <c r="G535" s="25"/>
      <c r="H535" s="57"/>
      <c r="I535" s="57"/>
      <c r="K535" s="28"/>
    </row>
    <row r="536" spans="1:11" s="24" customFormat="1">
      <c r="A536" s="40"/>
      <c r="B536" s="106"/>
      <c r="C536" s="103"/>
      <c r="D536" s="41"/>
      <c r="E536" s="41"/>
      <c r="F536" s="41"/>
      <c r="G536" s="25"/>
      <c r="H536" s="57"/>
      <c r="I536" s="57"/>
      <c r="K536" s="28"/>
    </row>
    <row r="537" spans="1:11" s="24" customFormat="1">
      <c r="A537" s="40"/>
      <c r="B537" s="106"/>
      <c r="C537" s="103"/>
      <c r="D537" s="41"/>
      <c r="E537" s="41"/>
      <c r="F537" s="41"/>
      <c r="G537" s="25"/>
      <c r="H537" s="57"/>
      <c r="I537" s="57"/>
      <c r="K537" s="28"/>
    </row>
    <row r="538" spans="1:11" s="24" customFormat="1">
      <c r="A538" s="40"/>
      <c r="B538" s="106"/>
      <c r="C538" s="103"/>
      <c r="D538" s="41"/>
      <c r="E538" s="41"/>
      <c r="F538" s="41"/>
      <c r="G538" s="25"/>
      <c r="H538" s="57"/>
      <c r="I538" s="57"/>
      <c r="K538" s="28"/>
    </row>
    <row r="539" spans="1:11" s="24" customFormat="1">
      <c r="A539" s="40"/>
      <c r="B539" s="106"/>
      <c r="C539" s="103"/>
      <c r="D539" s="41"/>
      <c r="E539" s="41"/>
      <c r="F539" s="41"/>
      <c r="G539" s="25"/>
      <c r="H539" s="57"/>
      <c r="I539" s="57"/>
      <c r="K539" s="28"/>
    </row>
    <row r="540" spans="1:11" s="24" customFormat="1">
      <c r="A540" s="40"/>
      <c r="B540" s="106"/>
      <c r="C540" s="103"/>
      <c r="D540" s="41"/>
      <c r="E540" s="41"/>
      <c r="F540" s="41"/>
      <c r="G540" s="25"/>
      <c r="H540" s="57"/>
      <c r="I540" s="57"/>
      <c r="K540" s="28"/>
    </row>
    <row r="541" spans="1:11" s="24" customFormat="1">
      <c r="A541" s="40"/>
      <c r="B541" s="106"/>
      <c r="C541" s="103"/>
      <c r="D541" s="41"/>
      <c r="E541" s="41"/>
      <c r="F541" s="41"/>
      <c r="G541" s="25"/>
      <c r="H541" s="57"/>
      <c r="I541" s="57"/>
      <c r="K541" s="28"/>
    </row>
    <row r="542" spans="1:11" s="24" customFormat="1">
      <c r="A542" s="40"/>
      <c r="B542" s="106"/>
      <c r="C542" s="103"/>
      <c r="D542" s="41"/>
      <c r="E542" s="41"/>
      <c r="F542" s="41"/>
      <c r="G542" s="25"/>
      <c r="H542" s="57"/>
      <c r="I542" s="57"/>
      <c r="K542" s="28"/>
    </row>
    <row r="543" spans="1:11" s="24" customFormat="1">
      <c r="A543" s="40"/>
      <c r="B543" s="106"/>
      <c r="C543" s="103"/>
      <c r="D543" s="41"/>
      <c r="E543" s="41"/>
      <c r="F543" s="41"/>
      <c r="G543" s="25"/>
      <c r="H543" s="57"/>
      <c r="I543" s="57"/>
      <c r="K543" s="28"/>
    </row>
    <row r="544" spans="1:11" s="24" customFormat="1">
      <c r="A544" s="40"/>
      <c r="B544" s="106"/>
      <c r="C544" s="103"/>
      <c r="D544" s="41"/>
      <c r="E544" s="41"/>
      <c r="F544" s="41"/>
      <c r="G544" s="25"/>
      <c r="H544" s="57"/>
      <c r="I544" s="57"/>
      <c r="K544" s="28"/>
    </row>
    <row r="545" spans="1:11" s="24" customFormat="1">
      <c r="A545" s="40"/>
      <c r="B545" s="106"/>
      <c r="C545" s="103"/>
      <c r="D545" s="41"/>
      <c r="E545" s="41"/>
      <c r="F545" s="41"/>
      <c r="G545" s="25"/>
      <c r="H545" s="57"/>
      <c r="I545" s="57"/>
      <c r="K545" s="28"/>
    </row>
    <row r="546" spans="1:11" s="24" customFormat="1">
      <c r="A546" s="40"/>
      <c r="B546" s="106"/>
      <c r="C546" s="103"/>
      <c r="D546" s="41"/>
      <c r="E546" s="41"/>
      <c r="F546" s="41"/>
      <c r="G546" s="25"/>
      <c r="H546" s="57"/>
      <c r="I546" s="57"/>
      <c r="K546" s="28"/>
    </row>
    <row r="547" spans="1:11" s="24" customFormat="1">
      <c r="A547" s="40"/>
      <c r="B547" s="106"/>
      <c r="C547" s="103"/>
      <c r="D547" s="41"/>
      <c r="E547" s="41"/>
      <c r="F547" s="41"/>
      <c r="G547" s="25"/>
      <c r="H547" s="57"/>
      <c r="I547" s="57"/>
      <c r="K547" s="28"/>
    </row>
    <row r="548" spans="1:11" s="24" customFormat="1">
      <c r="A548" s="40"/>
      <c r="B548" s="106"/>
      <c r="C548" s="103"/>
      <c r="D548" s="41"/>
      <c r="E548" s="41"/>
      <c r="F548" s="41"/>
      <c r="G548" s="25"/>
      <c r="H548" s="57"/>
      <c r="I548" s="57"/>
      <c r="K548" s="28"/>
    </row>
    <row r="549" spans="1:11" s="24" customFormat="1">
      <c r="A549" s="40"/>
      <c r="B549" s="106"/>
      <c r="C549" s="103"/>
      <c r="D549" s="41"/>
      <c r="E549" s="41"/>
      <c r="F549" s="41"/>
      <c r="G549" s="25"/>
      <c r="H549" s="57"/>
      <c r="I549" s="57"/>
      <c r="K549" s="28"/>
    </row>
    <row r="550" spans="1:11" s="24" customFormat="1">
      <c r="A550" s="40"/>
      <c r="B550" s="106"/>
      <c r="C550" s="103"/>
      <c r="D550" s="41"/>
      <c r="E550" s="41"/>
      <c r="F550" s="41"/>
      <c r="G550" s="25"/>
      <c r="H550" s="57"/>
      <c r="I550" s="57"/>
      <c r="K550" s="28"/>
    </row>
    <row r="551" spans="1:11" s="24" customFormat="1">
      <c r="A551" s="40"/>
      <c r="B551" s="106"/>
      <c r="C551" s="103"/>
      <c r="D551" s="41"/>
      <c r="E551" s="41"/>
      <c r="F551" s="41"/>
      <c r="G551" s="25"/>
      <c r="H551" s="57"/>
      <c r="I551" s="57"/>
      <c r="K551" s="28"/>
    </row>
    <row r="552" spans="1:11" s="24" customFormat="1">
      <c r="A552" s="40"/>
      <c r="B552" s="106"/>
      <c r="C552" s="103"/>
      <c r="D552" s="41"/>
      <c r="E552" s="41"/>
      <c r="F552" s="41"/>
      <c r="G552" s="25"/>
      <c r="H552" s="57"/>
      <c r="I552" s="57"/>
      <c r="K552" s="28"/>
    </row>
    <row r="553" spans="1:11" s="24" customFormat="1">
      <c r="A553" s="40"/>
      <c r="B553" s="106"/>
      <c r="C553" s="103"/>
      <c r="D553" s="41"/>
      <c r="E553" s="41"/>
      <c r="F553" s="41"/>
      <c r="G553" s="25"/>
      <c r="H553" s="57"/>
      <c r="I553" s="57"/>
      <c r="K553" s="28"/>
    </row>
    <row r="554" spans="1:11" s="24" customFormat="1">
      <c r="A554" s="40"/>
      <c r="B554" s="106"/>
      <c r="C554" s="103"/>
      <c r="D554" s="41"/>
      <c r="E554" s="41"/>
      <c r="F554" s="41"/>
      <c r="G554" s="25"/>
      <c r="H554" s="57"/>
      <c r="I554" s="57"/>
      <c r="K554" s="28"/>
    </row>
    <row r="555" spans="1:11" s="24" customFormat="1">
      <c r="A555" s="40"/>
      <c r="B555" s="106"/>
      <c r="C555" s="103"/>
      <c r="D555" s="41"/>
      <c r="E555" s="41"/>
      <c r="F555" s="41"/>
      <c r="G555" s="25"/>
      <c r="H555" s="57"/>
      <c r="I555" s="57"/>
      <c r="K555" s="28"/>
    </row>
    <row r="556" spans="1:11" s="24" customFormat="1">
      <c r="A556" s="40"/>
      <c r="B556" s="106"/>
      <c r="C556" s="103"/>
      <c r="D556" s="41"/>
      <c r="E556" s="41"/>
      <c r="F556" s="41"/>
      <c r="G556" s="25"/>
      <c r="H556" s="57"/>
      <c r="I556" s="57"/>
      <c r="K556" s="28"/>
    </row>
    <row r="557" spans="1:11" s="24" customFormat="1">
      <c r="A557" s="40"/>
      <c r="B557" s="106"/>
      <c r="C557" s="103"/>
      <c r="D557" s="41"/>
      <c r="E557" s="41"/>
      <c r="F557" s="41"/>
      <c r="G557" s="25"/>
      <c r="H557" s="57"/>
      <c r="I557" s="57"/>
      <c r="K557" s="28"/>
    </row>
    <row r="558" spans="1:11" s="24" customFormat="1">
      <c r="A558" s="40"/>
      <c r="B558" s="106"/>
      <c r="C558" s="103"/>
      <c r="D558" s="41"/>
      <c r="E558" s="41"/>
      <c r="F558" s="41"/>
      <c r="G558" s="25"/>
      <c r="H558" s="57"/>
      <c r="I558" s="57"/>
      <c r="K558" s="28"/>
    </row>
    <row r="559" spans="1:11" s="24" customFormat="1">
      <c r="A559" s="40"/>
      <c r="B559" s="106"/>
      <c r="C559" s="103"/>
      <c r="D559" s="41"/>
      <c r="E559" s="41"/>
      <c r="F559" s="41"/>
      <c r="G559" s="25"/>
      <c r="H559" s="57"/>
      <c r="I559" s="57"/>
      <c r="K559" s="28"/>
    </row>
    <row r="560" spans="1:11" s="24" customFormat="1">
      <c r="A560" s="40"/>
      <c r="B560" s="106"/>
      <c r="C560" s="103"/>
      <c r="D560" s="41"/>
      <c r="E560" s="41"/>
      <c r="F560" s="41"/>
      <c r="G560" s="25"/>
      <c r="H560" s="57"/>
      <c r="I560" s="57"/>
      <c r="K560" s="28"/>
    </row>
    <row r="561" spans="1:11" s="24" customFormat="1">
      <c r="A561" s="40"/>
      <c r="B561" s="106"/>
      <c r="C561" s="103"/>
      <c r="D561" s="41"/>
      <c r="E561" s="41"/>
      <c r="F561" s="41"/>
      <c r="G561" s="25"/>
      <c r="H561" s="57"/>
      <c r="I561" s="57"/>
      <c r="K561" s="28"/>
    </row>
    <row r="562" spans="1:11" s="24" customFormat="1">
      <c r="A562" s="40"/>
      <c r="B562" s="106"/>
      <c r="C562" s="103"/>
      <c r="D562" s="41"/>
      <c r="E562" s="41"/>
      <c r="F562" s="41"/>
      <c r="G562" s="25"/>
      <c r="H562" s="57"/>
      <c r="I562" s="57"/>
      <c r="K562" s="28"/>
    </row>
    <row r="563" spans="1:11" s="24" customFormat="1">
      <c r="A563" s="40"/>
      <c r="B563" s="106"/>
      <c r="C563" s="103"/>
      <c r="D563" s="41"/>
      <c r="E563" s="41"/>
      <c r="F563" s="41"/>
      <c r="G563" s="25"/>
      <c r="H563" s="57"/>
      <c r="I563" s="57"/>
      <c r="K563" s="28"/>
    </row>
    <row r="564" spans="1:11" s="24" customFormat="1">
      <c r="A564" s="40"/>
      <c r="B564" s="106"/>
      <c r="C564" s="103"/>
      <c r="D564" s="41"/>
      <c r="E564" s="41"/>
      <c r="F564" s="41"/>
      <c r="G564" s="25"/>
      <c r="H564" s="57"/>
      <c r="I564" s="57"/>
      <c r="K564" s="28"/>
    </row>
    <row r="565" spans="1:11" s="24" customFormat="1">
      <c r="A565" s="40"/>
      <c r="B565" s="106"/>
      <c r="C565" s="103"/>
      <c r="D565" s="41"/>
      <c r="E565" s="41"/>
      <c r="F565" s="41"/>
      <c r="G565" s="25"/>
      <c r="H565" s="57"/>
      <c r="I565" s="57"/>
      <c r="K565" s="28"/>
    </row>
    <row r="566" spans="1:11" s="24" customFormat="1">
      <c r="A566" s="40"/>
      <c r="B566" s="106"/>
      <c r="C566" s="103"/>
      <c r="D566" s="41"/>
      <c r="E566" s="41"/>
      <c r="F566" s="41"/>
      <c r="G566" s="25"/>
      <c r="H566" s="57"/>
      <c r="I566" s="57"/>
      <c r="K566" s="28"/>
    </row>
    <row r="567" spans="1:11" s="24" customFormat="1">
      <c r="A567" s="40"/>
      <c r="B567" s="106"/>
      <c r="C567" s="103"/>
      <c r="D567" s="41"/>
      <c r="E567" s="41"/>
      <c r="F567" s="41"/>
      <c r="G567" s="25"/>
      <c r="H567" s="57"/>
      <c r="I567" s="57"/>
      <c r="K567" s="28"/>
    </row>
    <row r="568" spans="1:11" s="24" customFormat="1">
      <c r="A568" s="40"/>
      <c r="B568" s="106"/>
      <c r="C568" s="103"/>
      <c r="D568" s="41"/>
      <c r="E568" s="41"/>
      <c r="F568" s="41"/>
      <c r="G568" s="25"/>
      <c r="H568" s="57"/>
      <c r="I568" s="57"/>
      <c r="K568" s="28"/>
    </row>
    <row r="569" spans="1:11" s="24" customFormat="1">
      <c r="A569" s="40"/>
      <c r="B569" s="106"/>
      <c r="C569" s="103"/>
      <c r="D569" s="41"/>
      <c r="E569" s="41"/>
      <c r="F569" s="41"/>
      <c r="G569" s="25"/>
      <c r="H569" s="57"/>
      <c r="I569" s="57"/>
      <c r="K569" s="28"/>
    </row>
    <row r="570" spans="1:11" s="24" customFormat="1">
      <c r="A570" s="40"/>
      <c r="B570" s="106"/>
      <c r="C570" s="103"/>
      <c r="D570" s="41"/>
      <c r="E570" s="41"/>
      <c r="F570" s="41"/>
      <c r="G570" s="25"/>
      <c r="H570" s="57"/>
      <c r="I570" s="57"/>
      <c r="K570" s="28"/>
    </row>
    <row r="571" spans="1:11" s="24" customFormat="1">
      <c r="A571" s="40"/>
      <c r="B571" s="106"/>
      <c r="C571" s="103"/>
      <c r="D571" s="41"/>
      <c r="E571" s="41"/>
      <c r="F571" s="41"/>
      <c r="G571" s="25"/>
      <c r="H571" s="57"/>
      <c r="I571" s="57"/>
      <c r="K571" s="28"/>
    </row>
    <row r="572" spans="1:11" s="24" customFormat="1">
      <c r="A572" s="40"/>
      <c r="B572" s="106"/>
      <c r="C572" s="103"/>
      <c r="D572" s="41"/>
      <c r="E572" s="41"/>
      <c r="F572" s="41"/>
      <c r="G572" s="25"/>
      <c r="H572" s="57"/>
      <c r="I572" s="57"/>
      <c r="K572" s="28"/>
    </row>
    <row r="573" spans="1:11" s="24" customFormat="1">
      <c r="A573" s="40"/>
      <c r="B573" s="106"/>
      <c r="C573" s="103"/>
      <c r="D573" s="41"/>
      <c r="E573" s="41"/>
      <c r="F573" s="41"/>
      <c r="G573" s="25"/>
      <c r="H573" s="57"/>
      <c r="I573" s="57"/>
      <c r="K573" s="28"/>
    </row>
    <row r="574" spans="1:11" s="24" customFormat="1">
      <c r="A574" s="40"/>
      <c r="B574" s="106"/>
      <c r="C574" s="103"/>
      <c r="D574" s="41"/>
      <c r="E574" s="41"/>
      <c r="F574" s="41"/>
      <c r="G574" s="25"/>
      <c r="H574" s="57"/>
      <c r="I574" s="57"/>
      <c r="K574" s="28"/>
    </row>
    <row r="575" spans="1:11" s="24" customFormat="1">
      <c r="A575" s="40"/>
      <c r="B575" s="106"/>
      <c r="C575" s="103"/>
      <c r="D575" s="41"/>
      <c r="E575" s="41"/>
      <c r="F575" s="41"/>
      <c r="G575" s="25"/>
      <c r="H575" s="57"/>
      <c r="I575" s="57"/>
      <c r="K575" s="28"/>
    </row>
    <row r="576" spans="1:11" s="24" customFormat="1">
      <c r="A576" s="40"/>
      <c r="B576" s="106"/>
      <c r="C576" s="103"/>
      <c r="D576" s="41"/>
      <c r="E576" s="41"/>
      <c r="F576" s="41"/>
      <c r="G576" s="25"/>
      <c r="H576" s="57"/>
      <c r="I576" s="57"/>
      <c r="K576" s="28"/>
    </row>
    <row r="577" spans="1:11" s="24" customFormat="1">
      <c r="A577" s="40"/>
      <c r="B577" s="106"/>
      <c r="C577" s="103"/>
      <c r="D577" s="41"/>
      <c r="E577" s="41"/>
      <c r="F577" s="41"/>
      <c r="G577" s="25"/>
      <c r="H577" s="57"/>
      <c r="I577" s="57"/>
      <c r="K577" s="28"/>
    </row>
    <row r="578" spans="1:11" s="24" customFormat="1">
      <c r="A578" s="40"/>
      <c r="B578" s="106"/>
      <c r="C578" s="103"/>
      <c r="D578" s="41"/>
      <c r="E578" s="41"/>
      <c r="F578" s="41"/>
      <c r="G578" s="25"/>
      <c r="H578" s="57"/>
      <c r="I578" s="57"/>
      <c r="K578" s="28"/>
    </row>
    <row r="579" spans="1:11" s="24" customFormat="1">
      <c r="A579" s="40"/>
      <c r="B579" s="106"/>
      <c r="C579" s="103"/>
      <c r="D579" s="41"/>
      <c r="E579" s="41"/>
      <c r="F579" s="41"/>
      <c r="G579" s="25"/>
      <c r="H579" s="57"/>
      <c r="I579" s="57"/>
      <c r="K579" s="28"/>
    </row>
    <row r="580" spans="1:11" s="24" customFormat="1">
      <c r="A580" s="40"/>
      <c r="B580" s="106"/>
      <c r="C580" s="103"/>
      <c r="D580" s="41"/>
      <c r="E580" s="41"/>
      <c r="F580" s="41"/>
      <c r="G580" s="25"/>
      <c r="H580" s="57"/>
      <c r="I580" s="57"/>
      <c r="K580" s="28"/>
    </row>
    <row r="581" spans="1:11" s="24" customFormat="1">
      <c r="A581" s="40"/>
      <c r="B581" s="106"/>
      <c r="C581" s="103"/>
      <c r="D581" s="41"/>
      <c r="E581" s="41"/>
      <c r="F581" s="41"/>
      <c r="G581" s="25"/>
      <c r="H581" s="57"/>
      <c r="I581" s="57"/>
      <c r="K581" s="28"/>
    </row>
    <row r="582" spans="1:11" s="24" customFormat="1">
      <c r="A582" s="40"/>
      <c r="B582" s="106"/>
      <c r="C582" s="103"/>
      <c r="D582" s="41"/>
      <c r="E582" s="41"/>
      <c r="F582" s="41"/>
      <c r="G582" s="25"/>
      <c r="H582" s="57"/>
      <c r="I582" s="57"/>
      <c r="K582" s="28"/>
    </row>
    <row r="583" spans="1:11" s="24" customFormat="1">
      <c r="A583" s="40"/>
      <c r="B583" s="106"/>
      <c r="C583" s="103"/>
      <c r="D583" s="41"/>
      <c r="E583" s="41"/>
      <c r="F583" s="41"/>
      <c r="G583" s="25"/>
      <c r="H583" s="57"/>
      <c r="I583" s="57"/>
      <c r="K583" s="28"/>
    </row>
    <row r="584" spans="1:11" s="24" customFormat="1">
      <c r="A584" s="40"/>
      <c r="B584" s="106"/>
      <c r="C584" s="103"/>
      <c r="D584" s="41"/>
      <c r="E584" s="41"/>
      <c r="F584" s="41"/>
      <c r="G584" s="25"/>
      <c r="H584" s="57"/>
      <c r="I584" s="57"/>
      <c r="K584" s="28"/>
    </row>
    <row r="585" spans="1:11" s="24" customFormat="1">
      <c r="A585" s="40"/>
      <c r="B585" s="106"/>
      <c r="C585" s="103"/>
      <c r="D585" s="41"/>
      <c r="E585" s="41"/>
      <c r="F585" s="41"/>
      <c r="G585" s="25"/>
      <c r="H585" s="57"/>
      <c r="I585" s="57"/>
      <c r="K585" s="28"/>
    </row>
    <row r="586" spans="1:11" s="24" customFormat="1">
      <c r="A586" s="40"/>
      <c r="B586" s="106"/>
      <c r="C586" s="103"/>
      <c r="D586" s="41"/>
      <c r="E586" s="41"/>
      <c r="F586" s="41"/>
      <c r="G586" s="25"/>
      <c r="H586" s="57"/>
      <c r="I586" s="57"/>
      <c r="K586" s="28"/>
    </row>
    <row r="587" spans="1:11" s="24" customFormat="1">
      <c r="A587" s="40"/>
      <c r="B587" s="106"/>
      <c r="C587" s="103"/>
      <c r="D587" s="41"/>
      <c r="E587" s="41"/>
      <c r="F587" s="41"/>
      <c r="G587" s="25"/>
      <c r="H587" s="57"/>
      <c r="I587" s="57"/>
      <c r="K587" s="28"/>
    </row>
    <row r="588" spans="1:11" s="24" customFormat="1">
      <c r="A588" s="40"/>
      <c r="B588" s="106"/>
      <c r="C588" s="103"/>
      <c r="D588" s="41"/>
      <c r="E588" s="41"/>
      <c r="F588" s="41"/>
      <c r="G588" s="25"/>
      <c r="H588" s="57"/>
      <c r="I588" s="57"/>
      <c r="K588" s="28"/>
    </row>
    <row r="589" spans="1:11" s="24" customFormat="1">
      <c r="A589" s="40"/>
      <c r="B589" s="106"/>
      <c r="C589" s="103"/>
      <c r="D589" s="41"/>
      <c r="E589" s="41"/>
      <c r="F589" s="41"/>
      <c r="G589" s="25"/>
      <c r="H589" s="57"/>
      <c r="I589" s="57"/>
      <c r="K589" s="28"/>
    </row>
    <row r="590" spans="1:11" s="24" customFormat="1">
      <c r="A590" s="40"/>
      <c r="B590" s="106"/>
      <c r="C590" s="103"/>
      <c r="D590" s="41"/>
      <c r="E590" s="41"/>
      <c r="F590" s="41"/>
      <c r="G590" s="25"/>
      <c r="H590" s="57"/>
      <c r="I590" s="57"/>
      <c r="K590" s="28"/>
    </row>
    <row r="591" spans="1:11" s="24" customFormat="1">
      <c r="A591" s="40"/>
      <c r="B591" s="106"/>
      <c r="C591" s="103"/>
      <c r="D591" s="41"/>
      <c r="E591" s="41"/>
      <c r="F591" s="41"/>
      <c r="G591" s="25"/>
      <c r="H591" s="57"/>
      <c r="I591" s="57"/>
      <c r="K591" s="28"/>
    </row>
    <row r="592" spans="1:11" s="24" customFormat="1">
      <c r="A592" s="40"/>
      <c r="B592" s="106"/>
      <c r="C592" s="103"/>
      <c r="D592" s="41"/>
      <c r="E592" s="41"/>
      <c r="F592" s="41"/>
      <c r="G592" s="25"/>
      <c r="H592" s="57"/>
      <c r="I592" s="57"/>
      <c r="K592" s="28"/>
    </row>
    <row r="593" spans="1:11" s="24" customFormat="1">
      <c r="A593" s="40"/>
      <c r="B593" s="106"/>
      <c r="C593" s="103"/>
      <c r="D593" s="41"/>
      <c r="E593" s="41"/>
      <c r="F593" s="41"/>
      <c r="G593" s="25"/>
      <c r="H593" s="57"/>
      <c r="I593" s="57"/>
      <c r="K593" s="28"/>
    </row>
    <row r="594" spans="1:11" s="24" customFormat="1">
      <c r="A594" s="40"/>
      <c r="B594" s="106"/>
      <c r="C594" s="103"/>
      <c r="D594" s="41"/>
      <c r="E594" s="41"/>
      <c r="F594" s="41"/>
      <c r="G594" s="25"/>
      <c r="H594" s="57"/>
      <c r="I594" s="57"/>
      <c r="K594" s="28"/>
    </row>
    <row r="595" spans="1:11" s="24" customFormat="1">
      <c r="A595" s="40"/>
      <c r="B595" s="106"/>
      <c r="C595" s="103"/>
      <c r="D595" s="41"/>
      <c r="E595" s="41"/>
      <c r="F595" s="41"/>
      <c r="G595" s="25"/>
      <c r="H595" s="57"/>
      <c r="I595" s="57"/>
      <c r="K595" s="28"/>
    </row>
    <row r="596" spans="1:11" s="24" customFormat="1">
      <c r="A596" s="40"/>
      <c r="B596" s="106"/>
      <c r="C596" s="103"/>
      <c r="D596" s="41"/>
      <c r="E596" s="41"/>
      <c r="F596" s="41"/>
      <c r="G596" s="25"/>
      <c r="H596" s="57"/>
      <c r="I596" s="57"/>
      <c r="K596" s="28"/>
    </row>
    <row r="597" spans="1:11" s="24" customFormat="1">
      <c r="A597" s="40"/>
      <c r="B597" s="106"/>
      <c r="C597" s="103"/>
      <c r="D597" s="41"/>
      <c r="E597" s="41"/>
      <c r="F597" s="41"/>
      <c r="G597" s="25"/>
      <c r="H597" s="57"/>
      <c r="I597" s="57"/>
      <c r="K597" s="28"/>
    </row>
    <row r="598" spans="1:11" s="24" customFormat="1">
      <c r="A598" s="40"/>
      <c r="B598" s="106"/>
      <c r="C598" s="103"/>
      <c r="D598" s="41"/>
      <c r="E598" s="41"/>
      <c r="F598" s="41"/>
      <c r="G598" s="25"/>
      <c r="H598" s="57"/>
      <c r="I598" s="57"/>
      <c r="K598" s="28"/>
    </row>
    <row r="599" spans="1:11" s="24" customFormat="1">
      <c r="A599" s="40"/>
      <c r="B599" s="106"/>
      <c r="C599" s="103"/>
      <c r="D599" s="41"/>
      <c r="E599" s="41"/>
      <c r="F599" s="41"/>
      <c r="G599" s="25"/>
      <c r="H599" s="57"/>
      <c r="I599" s="57"/>
      <c r="K599" s="28"/>
    </row>
    <row r="600" spans="1:11" s="24" customFormat="1">
      <c r="A600" s="40"/>
      <c r="B600" s="106"/>
      <c r="C600" s="103"/>
      <c r="D600" s="41"/>
      <c r="E600" s="41"/>
      <c r="F600" s="41"/>
      <c r="G600" s="25"/>
      <c r="H600" s="57"/>
      <c r="I600" s="57"/>
      <c r="K600" s="28"/>
    </row>
    <row r="601" spans="1:11" s="24" customFormat="1">
      <c r="A601" s="40"/>
      <c r="B601" s="106"/>
      <c r="C601" s="103"/>
      <c r="D601" s="41"/>
      <c r="E601" s="41"/>
      <c r="F601" s="41"/>
      <c r="G601" s="25"/>
      <c r="H601" s="57"/>
      <c r="I601" s="57"/>
      <c r="K601" s="28"/>
    </row>
    <row r="602" spans="1:11" s="24" customFormat="1">
      <c r="A602" s="40"/>
      <c r="B602" s="106"/>
      <c r="C602" s="103"/>
      <c r="D602" s="41"/>
      <c r="E602" s="41"/>
      <c r="F602" s="41"/>
      <c r="G602" s="25"/>
      <c r="H602" s="57"/>
      <c r="I602" s="57"/>
      <c r="K602" s="28"/>
    </row>
    <row r="603" spans="1:11" s="24" customFormat="1">
      <c r="A603" s="40"/>
      <c r="B603" s="106"/>
      <c r="C603" s="103"/>
      <c r="D603" s="41"/>
      <c r="E603" s="41"/>
      <c r="F603" s="41"/>
      <c r="G603" s="25"/>
      <c r="H603" s="57"/>
      <c r="I603" s="57"/>
      <c r="K603" s="28"/>
    </row>
    <row r="604" spans="1:11" s="24" customFormat="1">
      <c r="A604" s="40"/>
      <c r="B604" s="106"/>
      <c r="C604" s="103"/>
      <c r="D604" s="41"/>
      <c r="E604" s="41"/>
      <c r="F604" s="41"/>
      <c r="G604" s="25"/>
      <c r="H604" s="57"/>
      <c r="I604" s="57"/>
      <c r="K604" s="28"/>
    </row>
    <row r="605" spans="1:11" s="24" customFormat="1">
      <c r="A605" s="40"/>
      <c r="B605" s="106"/>
      <c r="C605" s="103"/>
      <c r="D605" s="41"/>
      <c r="E605" s="41"/>
      <c r="F605" s="41"/>
      <c r="G605" s="25"/>
      <c r="H605" s="57"/>
      <c r="I605" s="57"/>
      <c r="K605" s="28"/>
    </row>
    <row r="606" spans="1:11" s="24" customFormat="1">
      <c r="A606" s="40"/>
      <c r="B606" s="106"/>
      <c r="C606" s="103"/>
      <c r="D606" s="41"/>
      <c r="E606" s="41"/>
      <c r="F606" s="41"/>
      <c r="G606" s="25"/>
      <c r="H606" s="57"/>
      <c r="I606" s="57"/>
      <c r="K606" s="28"/>
    </row>
    <row r="607" spans="1:11" s="24" customFormat="1">
      <c r="A607" s="40"/>
      <c r="B607" s="106"/>
      <c r="C607" s="103"/>
      <c r="D607" s="41"/>
      <c r="E607" s="41"/>
      <c r="F607" s="41"/>
      <c r="G607" s="25"/>
      <c r="H607" s="57"/>
      <c r="I607" s="57"/>
      <c r="K607" s="28"/>
    </row>
    <row r="608" spans="1:11" s="24" customFormat="1">
      <c r="A608" s="40"/>
      <c r="B608" s="106"/>
      <c r="C608" s="103"/>
      <c r="D608" s="41"/>
      <c r="E608" s="41"/>
      <c r="F608" s="41"/>
      <c r="G608" s="25"/>
      <c r="H608" s="57"/>
      <c r="I608" s="57"/>
      <c r="K608" s="28"/>
    </row>
    <row r="609" spans="1:11" s="24" customFormat="1">
      <c r="A609" s="40"/>
      <c r="B609" s="106"/>
      <c r="C609" s="103"/>
      <c r="D609" s="41"/>
      <c r="E609" s="41"/>
      <c r="F609" s="41"/>
      <c r="G609" s="25"/>
      <c r="H609" s="57"/>
      <c r="I609" s="57"/>
      <c r="K609" s="28"/>
    </row>
    <row r="610" spans="1:11" s="24" customFormat="1">
      <c r="A610" s="40"/>
      <c r="B610" s="106"/>
      <c r="C610" s="103"/>
      <c r="D610" s="41"/>
      <c r="E610" s="41"/>
      <c r="F610" s="41"/>
      <c r="G610" s="25"/>
      <c r="H610" s="57"/>
      <c r="I610" s="57"/>
      <c r="K610" s="28"/>
    </row>
    <row r="611" spans="1:11" s="24" customFormat="1">
      <c r="A611" s="40"/>
      <c r="B611" s="106"/>
      <c r="C611" s="103"/>
      <c r="D611" s="41"/>
      <c r="E611" s="41"/>
      <c r="F611" s="41"/>
      <c r="G611" s="25"/>
      <c r="H611" s="57"/>
      <c r="I611" s="57"/>
      <c r="K611" s="28"/>
    </row>
    <row r="612" spans="1:11" s="24" customFormat="1">
      <c r="A612" s="40"/>
      <c r="B612" s="106"/>
      <c r="C612" s="103"/>
      <c r="D612" s="41"/>
      <c r="E612" s="41"/>
      <c r="F612" s="41"/>
      <c r="G612" s="25"/>
      <c r="H612" s="57"/>
      <c r="I612" s="57"/>
      <c r="K612" s="28"/>
    </row>
    <row r="613" spans="1:11" s="24" customFormat="1">
      <c r="A613" s="40"/>
      <c r="B613" s="106"/>
      <c r="C613" s="103"/>
      <c r="D613" s="41"/>
      <c r="E613" s="41"/>
      <c r="F613" s="41"/>
      <c r="G613" s="25"/>
      <c r="H613" s="57"/>
      <c r="I613" s="57"/>
      <c r="K613" s="28"/>
    </row>
    <row r="614" spans="1:11" s="24" customFormat="1">
      <c r="A614" s="40"/>
      <c r="B614" s="106"/>
      <c r="C614" s="103"/>
      <c r="D614" s="41"/>
      <c r="E614" s="41"/>
      <c r="F614" s="41"/>
      <c r="G614" s="25"/>
      <c r="H614" s="57"/>
      <c r="I614" s="57"/>
      <c r="K614" s="28"/>
    </row>
    <row r="615" spans="1:11" s="24" customFormat="1">
      <c r="A615" s="40"/>
      <c r="B615" s="106"/>
      <c r="C615" s="103"/>
      <c r="D615" s="41"/>
      <c r="E615" s="41"/>
      <c r="F615" s="41"/>
      <c r="G615" s="25"/>
      <c r="H615" s="57"/>
      <c r="I615" s="57"/>
      <c r="K615" s="28"/>
    </row>
    <row r="616" spans="1:11" s="24" customFormat="1">
      <c r="A616" s="40"/>
      <c r="B616" s="106"/>
      <c r="C616" s="103"/>
      <c r="D616" s="41"/>
      <c r="E616" s="41"/>
      <c r="F616" s="41"/>
      <c r="G616" s="25"/>
      <c r="H616" s="57"/>
      <c r="I616" s="57"/>
      <c r="K616" s="28"/>
    </row>
    <row r="617" spans="1:11" s="24" customFormat="1">
      <c r="A617" s="40"/>
      <c r="B617" s="106"/>
      <c r="C617" s="103"/>
      <c r="D617" s="41"/>
      <c r="E617" s="41"/>
      <c r="F617" s="41"/>
      <c r="G617" s="25"/>
      <c r="H617" s="57"/>
      <c r="I617" s="57"/>
      <c r="K617" s="28"/>
    </row>
    <row r="618" spans="1:11" s="24" customFormat="1">
      <c r="A618" s="40"/>
      <c r="B618" s="106"/>
      <c r="C618" s="103"/>
      <c r="D618" s="41"/>
      <c r="E618" s="41"/>
      <c r="F618" s="41"/>
      <c r="G618" s="25"/>
      <c r="H618" s="57"/>
      <c r="I618" s="57"/>
      <c r="K618" s="28"/>
    </row>
    <row r="619" spans="1:11" s="24" customFormat="1">
      <c r="A619" s="40"/>
      <c r="B619" s="106"/>
      <c r="C619" s="103"/>
      <c r="D619" s="41"/>
      <c r="E619" s="41"/>
      <c r="F619" s="41"/>
      <c r="G619" s="25"/>
      <c r="H619" s="57"/>
      <c r="I619" s="57"/>
      <c r="K619" s="28"/>
    </row>
    <row r="620" spans="1:11" s="24" customFormat="1">
      <c r="A620" s="40"/>
      <c r="B620" s="106"/>
      <c r="C620" s="103"/>
      <c r="D620" s="41"/>
      <c r="E620" s="41"/>
      <c r="F620" s="41"/>
      <c r="G620" s="25"/>
      <c r="H620" s="57"/>
      <c r="I620" s="57"/>
      <c r="K620" s="28"/>
    </row>
    <row r="621" spans="1:11" s="24" customFormat="1">
      <c r="A621" s="40"/>
      <c r="B621" s="106"/>
      <c r="C621" s="103"/>
      <c r="D621" s="41"/>
      <c r="E621" s="41"/>
      <c r="F621" s="41"/>
      <c r="G621" s="25"/>
      <c r="H621" s="57"/>
      <c r="I621" s="57"/>
      <c r="K621" s="28"/>
    </row>
    <row r="622" spans="1:11" s="24" customFormat="1">
      <c r="A622" s="40"/>
      <c r="B622" s="106"/>
      <c r="C622" s="103"/>
      <c r="D622" s="41"/>
      <c r="E622" s="41"/>
      <c r="F622" s="41"/>
      <c r="G622" s="25"/>
      <c r="H622" s="57"/>
      <c r="I622" s="57"/>
      <c r="K622" s="28"/>
    </row>
    <row r="623" spans="1:11" s="24" customFormat="1">
      <c r="A623" s="40"/>
      <c r="B623" s="106"/>
      <c r="C623" s="103"/>
      <c r="D623" s="41"/>
      <c r="E623" s="41"/>
      <c r="F623" s="41"/>
      <c r="G623" s="25"/>
      <c r="H623" s="57"/>
      <c r="I623" s="57"/>
      <c r="K623" s="28"/>
    </row>
    <row r="624" spans="1:11" s="24" customFormat="1">
      <c r="A624" s="40"/>
      <c r="B624" s="106"/>
      <c r="C624" s="103"/>
      <c r="D624" s="41"/>
      <c r="E624" s="41"/>
      <c r="F624" s="41"/>
      <c r="G624" s="25"/>
      <c r="H624" s="57"/>
      <c r="I624" s="57"/>
      <c r="K624" s="28"/>
    </row>
    <row r="625" spans="1:11" s="24" customFormat="1">
      <c r="A625" s="40"/>
      <c r="B625" s="106"/>
      <c r="C625" s="103"/>
      <c r="D625" s="41"/>
      <c r="E625" s="41"/>
      <c r="F625" s="41"/>
      <c r="G625" s="25"/>
      <c r="H625" s="57"/>
      <c r="I625" s="57"/>
      <c r="K625" s="28"/>
    </row>
    <row r="626" spans="1:11" s="24" customFormat="1">
      <c r="A626" s="40"/>
      <c r="B626" s="106"/>
      <c r="C626" s="103"/>
      <c r="D626" s="41"/>
      <c r="E626" s="41"/>
      <c r="F626" s="41"/>
      <c r="G626" s="25"/>
      <c r="H626" s="57"/>
      <c r="I626" s="57"/>
      <c r="K626" s="28"/>
    </row>
    <row r="627" spans="1:11" s="24" customFormat="1">
      <c r="A627" s="40"/>
      <c r="B627" s="106"/>
      <c r="C627" s="103"/>
      <c r="D627" s="41"/>
      <c r="E627" s="41"/>
      <c r="F627" s="41"/>
      <c r="G627" s="25"/>
      <c r="H627" s="57"/>
      <c r="I627" s="57"/>
      <c r="K627" s="28"/>
    </row>
    <row r="628" spans="1:11" s="24" customFormat="1">
      <c r="A628" s="40"/>
      <c r="B628" s="106"/>
      <c r="C628" s="103"/>
      <c r="D628" s="41"/>
      <c r="E628" s="41"/>
      <c r="F628" s="41"/>
      <c r="G628" s="25"/>
      <c r="H628" s="57"/>
      <c r="I628" s="57"/>
      <c r="K628" s="28"/>
    </row>
    <row r="629" spans="1:11" s="24" customFormat="1">
      <c r="A629" s="40"/>
      <c r="B629" s="106"/>
      <c r="C629" s="103"/>
      <c r="D629" s="41"/>
      <c r="E629" s="41"/>
      <c r="F629" s="41"/>
      <c r="G629" s="25"/>
      <c r="H629" s="57"/>
      <c r="I629" s="57"/>
      <c r="K629" s="28"/>
    </row>
    <row r="630" spans="1:11" s="24" customFormat="1">
      <c r="A630" s="40"/>
      <c r="B630" s="106"/>
      <c r="C630" s="103"/>
      <c r="D630" s="41"/>
      <c r="E630" s="41"/>
      <c r="F630" s="41"/>
      <c r="G630" s="25"/>
      <c r="H630" s="57"/>
      <c r="I630" s="57"/>
      <c r="K630" s="28"/>
    </row>
    <row r="631" spans="1:11" s="24" customFormat="1">
      <c r="A631" s="40"/>
      <c r="B631" s="106"/>
      <c r="C631" s="103"/>
      <c r="D631" s="41"/>
      <c r="E631" s="41"/>
      <c r="F631" s="41"/>
      <c r="G631" s="25"/>
      <c r="H631" s="57"/>
      <c r="I631" s="57"/>
      <c r="K631" s="28"/>
    </row>
    <row r="632" spans="1:11" s="24" customFormat="1">
      <c r="A632" s="40"/>
      <c r="B632" s="106"/>
      <c r="C632" s="103"/>
      <c r="D632" s="41"/>
      <c r="E632" s="41"/>
      <c r="F632" s="41"/>
      <c r="G632" s="25"/>
      <c r="H632" s="57"/>
      <c r="I632" s="57"/>
      <c r="K632" s="28"/>
    </row>
    <row r="633" spans="1:11" s="24" customFormat="1">
      <c r="A633" s="40"/>
      <c r="B633" s="106"/>
      <c r="C633" s="103"/>
      <c r="D633" s="41"/>
      <c r="E633" s="41"/>
      <c r="F633" s="41"/>
      <c r="G633" s="25"/>
      <c r="H633" s="57"/>
      <c r="I633" s="57"/>
      <c r="K633" s="28"/>
    </row>
    <row r="634" spans="1:11" s="24" customFormat="1">
      <c r="A634" s="40"/>
      <c r="B634" s="106"/>
      <c r="C634" s="103"/>
      <c r="D634" s="41"/>
      <c r="E634" s="41"/>
      <c r="F634" s="41"/>
      <c r="G634" s="25"/>
      <c r="H634" s="57"/>
      <c r="I634" s="57"/>
      <c r="K634" s="28"/>
    </row>
    <row r="635" spans="1:11" s="24" customFormat="1">
      <c r="A635" s="40"/>
      <c r="B635" s="106"/>
      <c r="C635" s="103"/>
      <c r="D635" s="41"/>
      <c r="E635" s="41"/>
      <c r="F635" s="41"/>
      <c r="G635" s="25"/>
      <c r="H635" s="57"/>
      <c r="I635" s="57"/>
      <c r="K635" s="28"/>
    </row>
    <row r="636" spans="1:11" s="24" customFormat="1">
      <c r="A636" s="40"/>
      <c r="B636" s="106"/>
      <c r="C636" s="103"/>
      <c r="D636" s="41"/>
      <c r="E636" s="41"/>
      <c r="F636" s="41"/>
      <c r="G636" s="25"/>
      <c r="H636" s="57"/>
      <c r="I636" s="57"/>
      <c r="K636" s="28"/>
    </row>
    <row r="637" spans="1:11" s="24" customFormat="1">
      <c r="A637" s="40"/>
      <c r="B637" s="106"/>
      <c r="C637" s="103"/>
      <c r="D637" s="41"/>
      <c r="E637" s="41"/>
      <c r="F637" s="41"/>
      <c r="G637" s="25"/>
      <c r="H637" s="57"/>
      <c r="I637" s="57"/>
      <c r="K637" s="28"/>
    </row>
    <row r="638" spans="1:11" s="24" customFormat="1">
      <c r="A638" s="40"/>
      <c r="B638" s="106"/>
      <c r="C638" s="103"/>
      <c r="D638" s="41"/>
      <c r="E638" s="41"/>
      <c r="F638" s="41"/>
      <c r="G638" s="25"/>
      <c r="H638" s="57"/>
      <c r="I638" s="57"/>
      <c r="K638" s="28"/>
    </row>
    <row r="639" spans="1:11" s="24" customFormat="1">
      <c r="A639" s="40"/>
      <c r="B639" s="106"/>
      <c r="C639" s="103"/>
      <c r="D639" s="41"/>
      <c r="E639" s="41"/>
      <c r="F639" s="41"/>
      <c r="G639" s="25"/>
      <c r="H639" s="57"/>
      <c r="I639" s="57"/>
      <c r="K639" s="28"/>
    </row>
    <row r="640" spans="1:11" s="24" customFormat="1">
      <c r="A640" s="40"/>
      <c r="B640" s="106"/>
      <c r="C640" s="103"/>
      <c r="D640" s="41"/>
      <c r="E640" s="41"/>
      <c r="F640" s="41"/>
      <c r="G640" s="25"/>
      <c r="H640" s="57"/>
      <c r="I640" s="57"/>
      <c r="K640" s="28"/>
    </row>
    <row r="641" spans="1:11" s="24" customFormat="1">
      <c r="A641" s="40"/>
      <c r="B641" s="106"/>
      <c r="C641" s="103"/>
      <c r="D641" s="41"/>
      <c r="E641" s="41"/>
      <c r="F641" s="41"/>
      <c r="G641" s="25"/>
      <c r="H641" s="57"/>
      <c r="I641" s="57"/>
      <c r="K641" s="28"/>
    </row>
    <row r="642" spans="1:11" s="24" customFormat="1">
      <c r="A642" s="40"/>
      <c r="B642" s="106"/>
      <c r="C642" s="103"/>
      <c r="D642" s="41"/>
      <c r="E642" s="41"/>
      <c r="F642" s="41"/>
      <c r="G642" s="25"/>
      <c r="H642" s="57"/>
      <c r="I642" s="57"/>
      <c r="K642" s="28"/>
    </row>
    <row r="643" spans="1:11" s="24" customFormat="1">
      <c r="A643" s="40"/>
      <c r="B643" s="106"/>
      <c r="C643" s="103"/>
      <c r="D643" s="41"/>
      <c r="E643" s="41"/>
      <c r="F643" s="41"/>
      <c r="G643" s="25"/>
      <c r="H643" s="57"/>
      <c r="I643" s="57"/>
      <c r="K643" s="28"/>
    </row>
    <row r="644" spans="1:11" s="24" customFormat="1">
      <c r="A644" s="40"/>
      <c r="B644" s="106"/>
      <c r="C644" s="103"/>
      <c r="D644" s="41"/>
      <c r="E644" s="41"/>
      <c r="F644" s="41"/>
      <c r="G644" s="25"/>
      <c r="H644" s="57"/>
      <c r="I644" s="57"/>
      <c r="K644" s="28"/>
    </row>
    <row r="645" spans="1:11" s="24" customFormat="1">
      <c r="A645" s="40"/>
      <c r="B645" s="106"/>
      <c r="C645" s="103"/>
      <c r="D645" s="41"/>
      <c r="E645" s="41"/>
      <c r="F645" s="41"/>
      <c r="G645" s="25"/>
      <c r="H645" s="57"/>
      <c r="I645" s="57"/>
      <c r="K645" s="28"/>
    </row>
    <row r="646" spans="1:11" s="24" customFormat="1">
      <c r="A646" s="40"/>
      <c r="B646" s="106"/>
      <c r="C646" s="103"/>
      <c r="D646" s="41"/>
      <c r="E646" s="41"/>
      <c r="F646" s="41"/>
      <c r="G646" s="25"/>
      <c r="H646" s="57"/>
      <c r="I646" s="57"/>
      <c r="K646" s="28"/>
    </row>
    <row r="647" spans="1:11" s="24" customFormat="1">
      <c r="A647" s="40"/>
      <c r="B647" s="106"/>
      <c r="C647" s="103"/>
      <c r="D647" s="41"/>
      <c r="E647" s="41"/>
      <c r="F647" s="41"/>
      <c r="G647" s="25"/>
      <c r="H647" s="57"/>
      <c r="I647" s="57"/>
      <c r="K647" s="28"/>
    </row>
    <row r="648" spans="1:11" s="24" customFormat="1">
      <c r="A648" s="40"/>
      <c r="B648" s="106"/>
      <c r="C648" s="103"/>
      <c r="D648" s="41"/>
      <c r="E648" s="41"/>
      <c r="F648" s="41"/>
      <c r="G648" s="25"/>
      <c r="H648" s="57"/>
      <c r="I648" s="57"/>
      <c r="K648" s="28"/>
    </row>
    <row r="649" spans="1:11" s="24" customFormat="1">
      <c r="A649" s="40"/>
      <c r="B649" s="106"/>
      <c r="C649" s="103"/>
      <c r="D649" s="41"/>
      <c r="E649" s="41"/>
      <c r="F649" s="41"/>
      <c r="G649" s="25"/>
      <c r="H649" s="57"/>
      <c r="I649" s="57"/>
      <c r="K649" s="28"/>
    </row>
    <row r="650" spans="1:11" s="24" customFormat="1">
      <c r="A650" s="40"/>
      <c r="B650" s="106"/>
      <c r="C650" s="103"/>
      <c r="D650" s="41"/>
      <c r="E650" s="41"/>
      <c r="F650" s="41"/>
      <c r="G650" s="25"/>
      <c r="H650" s="57"/>
      <c r="I650" s="57"/>
      <c r="K650" s="28"/>
    </row>
    <row r="651" spans="1:11" s="24" customFormat="1">
      <c r="A651" s="40"/>
      <c r="B651" s="106"/>
      <c r="C651" s="103"/>
      <c r="D651" s="41"/>
      <c r="E651" s="41"/>
      <c r="F651" s="41"/>
      <c r="G651" s="25"/>
      <c r="H651" s="57"/>
      <c r="I651" s="57"/>
      <c r="K651" s="28"/>
    </row>
    <row r="652" spans="1:11" s="24" customFormat="1">
      <c r="A652" s="40"/>
      <c r="B652" s="106"/>
      <c r="C652" s="103"/>
      <c r="D652" s="41"/>
      <c r="E652" s="41"/>
      <c r="F652" s="41"/>
      <c r="G652" s="25"/>
      <c r="H652" s="57"/>
      <c r="I652" s="57"/>
      <c r="K652" s="28"/>
    </row>
    <row r="653" spans="1:11" s="24" customFormat="1">
      <c r="A653" s="40"/>
      <c r="B653" s="106"/>
      <c r="C653" s="103"/>
      <c r="D653" s="41"/>
      <c r="E653" s="41"/>
      <c r="F653" s="41"/>
      <c r="G653" s="25"/>
      <c r="H653" s="57"/>
      <c r="I653" s="57"/>
      <c r="K653" s="28"/>
    </row>
    <row r="654" spans="1:11" s="24" customFormat="1">
      <c r="A654" s="40"/>
      <c r="B654" s="106"/>
      <c r="C654" s="103"/>
      <c r="D654" s="41"/>
      <c r="E654" s="41"/>
      <c r="F654" s="41"/>
      <c r="G654" s="25"/>
      <c r="H654" s="57"/>
      <c r="I654" s="57"/>
      <c r="K654" s="28"/>
    </row>
    <row r="655" spans="1:11" s="24" customFormat="1">
      <c r="A655" s="40"/>
      <c r="B655" s="106"/>
      <c r="C655" s="103"/>
      <c r="D655" s="41"/>
      <c r="E655" s="41"/>
      <c r="F655" s="41"/>
      <c r="G655" s="25"/>
      <c r="H655" s="57"/>
      <c r="I655" s="57"/>
      <c r="K655" s="28"/>
    </row>
    <row r="656" spans="1:11" s="24" customFormat="1">
      <c r="A656" s="40"/>
      <c r="B656" s="106"/>
      <c r="C656" s="103"/>
      <c r="D656" s="41"/>
      <c r="E656" s="41"/>
      <c r="F656" s="41"/>
      <c r="G656" s="25"/>
      <c r="H656" s="57"/>
      <c r="I656" s="57"/>
      <c r="K656" s="28"/>
    </row>
    <row r="657" spans="1:11" s="24" customFormat="1">
      <c r="A657" s="40"/>
      <c r="B657" s="106"/>
      <c r="C657" s="103"/>
      <c r="D657" s="41"/>
      <c r="E657" s="41"/>
      <c r="F657" s="41"/>
      <c r="G657" s="25"/>
      <c r="H657" s="57"/>
      <c r="I657" s="57"/>
      <c r="K657" s="28"/>
    </row>
    <row r="658" spans="1:11" s="24" customFormat="1">
      <c r="A658" s="40"/>
      <c r="B658" s="106"/>
      <c r="C658" s="103"/>
      <c r="D658" s="41"/>
      <c r="E658" s="41"/>
      <c r="F658" s="41"/>
      <c r="G658" s="25"/>
      <c r="H658" s="57"/>
      <c r="I658" s="57"/>
      <c r="K658" s="28"/>
    </row>
    <row r="659" spans="1:11" s="24" customFormat="1">
      <c r="A659" s="40"/>
      <c r="B659" s="106"/>
      <c r="C659" s="103"/>
      <c r="D659" s="41"/>
      <c r="E659" s="41"/>
      <c r="F659" s="41"/>
      <c r="G659" s="25"/>
      <c r="H659" s="57"/>
      <c r="I659" s="57"/>
      <c r="K659" s="28"/>
    </row>
    <row r="660" spans="1:11" s="24" customFormat="1">
      <c r="A660" s="40"/>
      <c r="B660" s="106"/>
      <c r="C660" s="103"/>
      <c r="D660" s="41"/>
      <c r="E660" s="41"/>
      <c r="F660" s="41"/>
      <c r="G660" s="25"/>
      <c r="H660" s="57"/>
      <c r="I660" s="57"/>
      <c r="K660" s="28"/>
    </row>
    <row r="661" spans="1:11" s="24" customFormat="1">
      <c r="A661" s="40"/>
      <c r="B661" s="106"/>
      <c r="C661" s="103"/>
      <c r="D661" s="41"/>
      <c r="E661" s="41"/>
      <c r="F661" s="41"/>
      <c r="G661" s="25"/>
      <c r="H661" s="57"/>
      <c r="I661" s="57"/>
      <c r="K661" s="28"/>
    </row>
    <row r="662" spans="1:11" s="24" customFormat="1">
      <c r="A662" s="40"/>
      <c r="B662" s="106"/>
      <c r="C662" s="103"/>
      <c r="D662" s="41"/>
      <c r="E662" s="41"/>
      <c r="F662" s="41"/>
      <c r="G662" s="25"/>
      <c r="H662" s="57"/>
      <c r="I662" s="57"/>
      <c r="K662" s="28"/>
    </row>
    <row r="663" spans="1:11" s="24" customFormat="1">
      <c r="A663" s="40"/>
      <c r="B663" s="106"/>
      <c r="C663" s="103"/>
      <c r="D663" s="41"/>
      <c r="E663" s="41"/>
      <c r="F663" s="41"/>
      <c r="G663" s="25"/>
      <c r="H663" s="57"/>
      <c r="I663" s="57"/>
      <c r="K663" s="28"/>
    </row>
    <row r="664" spans="1:11" s="24" customFormat="1">
      <c r="A664" s="40"/>
      <c r="B664" s="106"/>
      <c r="C664" s="103"/>
      <c r="D664" s="41"/>
      <c r="E664" s="41"/>
      <c r="F664" s="41"/>
      <c r="G664" s="25"/>
      <c r="H664" s="57"/>
      <c r="I664" s="57"/>
      <c r="K664" s="28"/>
    </row>
    <row r="665" spans="1:11" s="24" customFormat="1">
      <c r="A665" s="40"/>
      <c r="B665" s="106"/>
      <c r="C665" s="103"/>
      <c r="D665" s="41"/>
      <c r="E665" s="41"/>
      <c r="F665" s="41"/>
      <c r="G665" s="25"/>
      <c r="H665" s="57"/>
      <c r="I665" s="57"/>
      <c r="K665" s="28"/>
    </row>
    <row r="666" spans="1:11" s="24" customFormat="1">
      <c r="A666" s="40"/>
      <c r="B666" s="106"/>
      <c r="C666" s="103"/>
      <c r="D666" s="41"/>
      <c r="E666" s="41"/>
      <c r="F666" s="41"/>
      <c r="G666" s="25"/>
      <c r="H666" s="57"/>
      <c r="I666" s="57"/>
      <c r="K666" s="28"/>
    </row>
    <row r="667" spans="1:11" s="24" customFormat="1">
      <c r="A667" s="40"/>
      <c r="B667" s="106"/>
      <c r="C667" s="103"/>
      <c r="D667" s="41"/>
      <c r="E667" s="41"/>
      <c r="F667" s="41"/>
      <c r="G667" s="25"/>
      <c r="H667" s="57"/>
      <c r="I667" s="57"/>
      <c r="K667" s="28"/>
    </row>
    <row r="668" spans="1:11" s="24" customFormat="1">
      <c r="A668" s="40"/>
      <c r="B668" s="106"/>
      <c r="C668" s="103"/>
      <c r="D668" s="41"/>
      <c r="E668" s="41"/>
      <c r="F668" s="41"/>
      <c r="G668" s="25"/>
      <c r="H668" s="57"/>
      <c r="I668" s="57"/>
      <c r="K668" s="28"/>
    </row>
    <row r="669" spans="1:11" s="24" customFormat="1">
      <c r="A669" s="40"/>
      <c r="B669" s="106"/>
      <c r="C669" s="103"/>
      <c r="D669" s="41"/>
      <c r="E669" s="41"/>
      <c r="F669" s="41"/>
      <c r="G669" s="25"/>
      <c r="H669" s="57"/>
      <c r="I669" s="57"/>
      <c r="K669" s="28"/>
    </row>
    <row r="670" spans="1:11" s="24" customFormat="1">
      <c r="A670" s="40"/>
      <c r="B670" s="106"/>
      <c r="C670" s="103"/>
      <c r="D670" s="41"/>
      <c r="E670" s="41"/>
      <c r="F670" s="41"/>
      <c r="G670" s="25"/>
      <c r="H670" s="57"/>
      <c r="I670" s="57"/>
      <c r="K670" s="28"/>
    </row>
    <row r="671" spans="1:11" s="24" customFormat="1">
      <c r="A671" s="40"/>
      <c r="B671" s="106"/>
      <c r="C671" s="103"/>
      <c r="D671" s="41"/>
      <c r="E671" s="41"/>
      <c r="F671" s="41"/>
      <c r="G671" s="25"/>
      <c r="H671" s="57"/>
      <c r="I671" s="57"/>
      <c r="K671" s="28"/>
    </row>
    <row r="672" spans="1:11" s="24" customFormat="1">
      <c r="A672" s="40"/>
      <c r="B672" s="106"/>
      <c r="C672" s="103"/>
      <c r="D672" s="41"/>
      <c r="E672" s="41"/>
      <c r="F672" s="41"/>
      <c r="G672" s="25"/>
      <c r="H672" s="57"/>
      <c r="I672" s="57"/>
      <c r="K672" s="28"/>
    </row>
    <row r="673" spans="1:11" s="24" customFormat="1">
      <c r="A673" s="40"/>
      <c r="B673" s="106"/>
      <c r="C673" s="103"/>
      <c r="D673" s="41"/>
      <c r="E673" s="41"/>
      <c r="F673" s="41"/>
      <c r="G673" s="25"/>
      <c r="H673" s="57"/>
      <c r="I673" s="57"/>
      <c r="K673" s="28"/>
    </row>
    <row r="674" spans="1:11" s="24" customFormat="1">
      <c r="A674" s="40"/>
      <c r="B674" s="106"/>
      <c r="C674" s="103"/>
      <c r="D674" s="41"/>
      <c r="E674" s="41"/>
      <c r="F674" s="41"/>
      <c r="G674" s="25"/>
      <c r="H674" s="57"/>
      <c r="I674" s="57"/>
      <c r="K674" s="28"/>
    </row>
    <row r="675" spans="1:11" s="24" customFormat="1">
      <c r="A675" s="40"/>
      <c r="B675" s="106"/>
      <c r="C675" s="103"/>
      <c r="D675" s="41"/>
      <c r="E675" s="41"/>
      <c r="F675" s="41"/>
      <c r="G675" s="25"/>
      <c r="H675" s="57"/>
      <c r="I675" s="57"/>
      <c r="K675" s="28"/>
    </row>
    <row r="676" spans="1:11" s="24" customFormat="1">
      <c r="A676" s="40"/>
      <c r="B676" s="106"/>
      <c r="C676" s="103"/>
      <c r="D676" s="41"/>
      <c r="E676" s="41"/>
      <c r="F676" s="41"/>
      <c r="G676" s="25"/>
      <c r="H676" s="57"/>
      <c r="I676" s="57"/>
      <c r="K676" s="28"/>
    </row>
    <row r="677" spans="1:11" s="24" customFormat="1">
      <c r="A677" s="40"/>
      <c r="B677" s="106"/>
      <c r="C677" s="103"/>
      <c r="D677" s="41"/>
      <c r="E677" s="41"/>
      <c r="F677" s="41"/>
      <c r="G677" s="25"/>
      <c r="H677" s="57"/>
      <c r="I677" s="57"/>
      <c r="K677" s="28"/>
    </row>
    <row r="678" spans="1:11" s="24" customFormat="1">
      <c r="A678" s="40"/>
      <c r="B678" s="106"/>
      <c r="C678" s="103"/>
      <c r="D678" s="41"/>
      <c r="E678" s="41"/>
      <c r="F678" s="41"/>
      <c r="G678" s="25"/>
      <c r="H678" s="57"/>
      <c r="I678" s="57"/>
      <c r="K678" s="28"/>
    </row>
    <row r="679" spans="1:11" s="24" customFormat="1">
      <c r="A679" s="40"/>
      <c r="B679" s="106"/>
      <c r="C679" s="103"/>
      <c r="D679" s="41"/>
      <c r="E679" s="41"/>
      <c r="F679" s="41"/>
      <c r="G679" s="25"/>
      <c r="H679" s="57"/>
      <c r="I679" s="57"/>
      <c r="K679" s="28"/>
    </row>
    <row r="680" spans="1:11" s="24" customFormat="1">
      <c r="A680" s="40"/>
      <c r="B680" s="106"/>
      <c r="C680" s="103"/>
      <c r="D680" s="41"/>
      <c r="E680" s="41"/>
      <c r="F680" s="41"/>
      <c r="G680" s="25"/>
      <c r="H680" s="57"/>
      <c r="I680" s="57"/>
      <c r="K680" s="28"/>
    </row>
    <row r="681" spans="1:11" s="24" customFormat="1">
      <c r="A681" s="40"/>
      <c r="B681" s="106"/>
      <c r="C681" s="103"/>
      <c r="D681" s="41"/>
      <c r="E681" s="41"/>
      <c r="F681" s="41"/>
      <c r="G681" s="25"/>
      <c r="H681" s="57"/>
      <c r="I681" s="57"/>
      <c r="K681" s="28"/>
    </row>
    <row r="682" spans="1:11" s="24" customFormat="1">
      <c r="A682" s="40"/>
      <c r="B682" s="106"/>
      <c r="C682" s="103"/>
      <c r="D682" s="41"/>
      <c r="E682" s="41"/>
      <c r="F682" s="41"/>
      <c r="G682" s="25"/>
      <c r="H682" s="57"/>
      <c r="I682" s="57"/>
      <c r="K682" s="28"/>
    </row>
    <row r="683" spans="1:11" s="24" customFormat="1">
      <c r="A683" s="40"/>
      <c r="B683" s="106"/>
      <c r="C683" s="103"/>
      <c r="D683" s="41"/>
      <c r="E683" s="41"/>
      <c r="F683" s="41"/>
      <c r="G683" s="25"/>
      <c r="H683" s="57"/>
      <c r="I683" s="57"/>
      <c r="K683" s="28"/>
    </row>
    <row r="684" spans="1:11" s="24" customFormat="1">
      <c r="A684" s="40"/>
      <c r="B684" s="106"/>
      <c r="C684" s="103"/>
      <c r="D684" s="41"/>
      <c r="E684" s="41"/>
      <c r="F684" s="41"/>
      <c r="G684" s="25"/>
      <c r="H684" s="57"/>
      <c r="I684" s="57"/>
      <c r="K684" s="28"/>
    </row>
    <row r="685" spans="1:11" s="24" customFormat="1">
      <c r="A685" s="40"/>
      <c r="B685" s="106"/>
      <c r="C685" s="103"/>
      <c r="D685" s="41"/>
      <c r="E685" s="41"/>
      <c r="F685" s="41"/>
      <c r="G685" s="25"/>
      <c r="H685" s="57"/>
      <c r="I685" s="57"/>
      <c r="K685" s="28"/>
    </row>
    <row r="686" spans="1:11" s="24" customFormat="1">
      <c r="A686" s="40"/>
      <c r="B686" s="106"/>
      <c r="C686" s="103"/>
      <c r="D686" s="41"/>
      <c r="E686" s="41"/>
      <c r="F686" s="41"/>
      <c r="G686" s="25"/>
      <c r="H686" s="57"/>
      <c r="I686" s="57"/>
      <c r="K686" s="28"/>
    </row>
    <row r="687" spans="1:11" s="24" customFormat="1">
      <c r="A687" s="40"/>
      <c r="B687" s="106"/>
      <c r="C687" s="103"/>
      <c r="D687" s="41"/>
      <c r="E687" s="41"/>
      <c r="F687" s="41"/>
      <c r="G687" s="25"/>
      <c r="H687" s="57"/>
      <c r="I687" s="57"/>
      <c r="K687" s="28"/>
    </row>
    <row r="688" spans="1:11" s="24" customFormat="1">
      <c r="A688" s="40"/>
      <c r="B688" s="106"/>
      <c r="C688" s="103"/>
      <c r="D688" s="41"/>
      <c r="E688" s="41"/>
      <c r="F688" s="41"/>
      <c r="G688" s="25"/>
      <c r="H688" s="57"/>
      <c r="I688" s="57"/>
      <c r="K688" s="28"/>
    </row>
    <row r="689" spans="1:11" s="24" customFormat="1">
      <c r="A689" s="40"/>
      <c r="B689" s="106"/>
      <c r="C689" s="103"/>
      <c r="D689" s="41"/>
      <c r="E689" s="41"/>
      <c r="F689" s="41"/>
      <c r="G689" s="25"/>
      <c r="H689" s="57"/>
      <c r="I689" s="57"/>
      <c r="K689" s="28"/>
    </row>
    <row r="690" spans="1:11" s="24" customFormat="1">
      <c r="A690" s="40"/>
      <c r="B690" s="106"/>
      <c r="C690" s="103"/>
      <c r="D690" s="41"/>
      <c r="E690" s="41"/>
      <c r="F690" s="41"/>
      <c r="G690" s="25"/>
      <c r="H690" s="57"/>
      <c r="I690" s="57"/>
      <c r="K690" s="28"/>
    </row>
    <row r="691" spans="1:11" s="24" customFormat="1">
      <c r="A691" s="40"/>
      <c r="B691" s="106"/>
      <c r="C691" s="103"/>
      <c r="D691" s="41"/>
      <c r="E691" s="41"/>
      <c r="F691" s="41"/>
      <c r="G691" s="25"/>
      <c r="H691" s="57"/>
      <c r="I691" s="57"/>
      <c r="K691" s="28"/>
    </row>
    <row r="692" spans="1:11" s="24" customFormat="1">
      <c r="A692" s="40"/>
      <c r="B692" s="106"/>
      <c r="C692" s="103"/>
      <c r="D692" s="41"/>
      <c r="E692" s="41"/>
      <c r="F692" s="41"/>
      <c r="G692" s="25"/>
      <c r="H692" s="57"/>
      <c r="I692" s="57"/>
      <c r="K692" s="28"/>
    </row>
    <row r="693" spans="1:11" s="24" customFormat="1">
      <c r="A693" s="40"/>
      <c r="B693" s="106"/>
      <c r="C693" s="103"/>
      <c r="D693" s="41"/>
      <c r="E693" s="41"/>
      <c r="F693" s="41"/>
      <c r="G693" s="25"/>
      <c r="H693" s="57"/>
      <c r="I693" s="57"/>
      <c r="K693" s="28"/>
    </row>
    <row r="694" spans="1:11" s="24" customFormat="1">
      <c r="A694" s="40"/>
      <c r="B694" s="106"/>
      <c r="C694" s="103"/>
      <c r="D694" s="41"/>
      <c r="E694" s="41"/>
      <c r="F694" s="41"/>
      <c r="G694" s="25"/>
      <c r="H694" s="57"/>
      <c r="I694" s="57"/>
      <c r="K694" s="28"/>
    </row>
    <row r="695" spans="1:11" s="24" customFormat="1">
      <c r="A695" s="40"/>
      <c r="B695" s="106"/>
      <c r="C695" s="103"/>
      <c r="D695" s="41"/>
      <c r="E695" s="41"/>
      <c r="F695" s="41"/>
      <c r="G695" s="25"/>
      <c r="H695" s="57"/>
      <c r="I695" s="57"/>
      <c r="K695" s="28"/>
    </row>
    <row r="696" spans="1:11" s="24" customFormat="1">
      <c r="A696" s="40"/>
      <c r="B696" s="106"/>
      <c r="C696" s="103"/>
      <c r="D696" s="41"/>
      <c r="E696" s="41"/>
      <c r="F696" s="41"/>
      <c r="G696" s="25"/>
      <c r="H696" s="57"/>
      <c r="I696" s="57"/>
      <c r="K696" s="28"/>
    </row>
    <row r="697" spans="1:11" s="24" customFormat="1">
      <c r="A697" s="40"/>
      <c r="B697" s="106"/>
      <c r="C697" s="103"/>
      <c r="D697" s="41"/>
      <c r="E697" s="41"/>
      <c r="F697" s="41"/>
      <c r="G697" s="25"/>
      <c r="H697" s="57"/>
      <c r="I697" s="57"/>
      <c r="K697" s="28"/>
    </row>
    <row r="698" spans="1:11" s="24" customFormat="1">
      <c r="A698" s="40"/>
      <c r="B698" s="106"/>
      <c r="C698" s="103"/>
      <c r="D698" s="41"/>
      <c r="E698" s="41"/>
      <c r="F698" s="41"/>
      <c r="G698" s="25"/>
      <c r="H698" s="57"/>
      <c r="I698" s="57"/>
      <c r="K698" s="28"/>
    </row>
    <row r="699" spans="1:11" s="24" customFormat="1">
      <c r="A699" s="40"/>
      <c r="B699" s="106"/>
      <c r="C699" s="103"/>
      <c r="D699" s="41"/>
      <c r="E699" s="41"/>
      <c r="F699" s="41"/>
      <c r="G699" s="25"/>
      <c r="H699" s="57"/>
      <c r="I699" s="57"/>
      <c r="K699" s="28"/>
    </row>
    <row r="700" spans="1:11" s="24" customFormat="1">
      <c r="A700" s="40"/>
      <c r="B700" s="106"/>
      <c r="C700" s="103"/>
      <c r="D700" s="41"/>
      <c r="E700" s="41"/>
      <c r="F700" s="41"/>
      <c r="G700" s="25"/>
      <c r="H700" s="57"/>
      <c r="I700" s="57"/>
      <c r="K700" s="28"/>
    </row>
    <row r="701" spans="1:11" s="24" customFormat="1">
      <c r="A701" s="40"/>
      <c r="B701" s="106"/>
      <c r="C701" s="103"/>
      <c r="D701" s="41"/>
      <c r="E701" s="41"/>
      <c r="F701" s="41"/>
      <c r="G701" s="25"/>
      <c r="H701" s="57"/>
      <c r="I701" s="57"/>
      <c r="K701" s="28"/>
    </row>
    <row r="702" spans="1:11" s="24" customFormat="1">
      <c r="A702" s="40"/>
      <c r="B702" s="106"/>
      <c r="C702" s="103"/>
      <c r="D702" s="41"/>
      <c r="E702" s="41"/>
      <c r="F702" s="41"/>
      <c r="G702" s="25"/>
      <c r="H702" s="57"/>
      <c r="I702" s="57"/>
      <c r="K702" s="28"/>
    </row>
    <row r="703" spans="1:11" s="24" customFormat="1">
      <c r="A703" s="40"/>
      <c r="B703" s="106"/>
      <c r="C703" s="103"/>
      <c r="D703" s="41"/>
      <c r="E703" s="41"/>
      <c r="F703" s="41"/>
      <c r="G703" s="25"/>
      <c r="H703" s="57"/>
      <c r="I703" s="57"/>
      <c r="K703" s="28"/>
    </row>
    <row r="704" spans="1:11" s="24" customFormat="1">
      <c r="A704" s="40"/>
      <c r="B704" s="106"/>
      <c r="C704" s="103"/>
      <c r="D704" s="41"/>
      <c r="E704" s="41"/>
      <c r="F704" s="41"/>
      <c r="G704" s="25"/>
      <c r="H704" s="57"/>
      <c r="I704" s="57"/>
      <c r="K704" s="28"/>
    </row>
    <row r="705" spans="1:11" s="24" customFormat="1">
      <c r="A705" s="40"/>
      <c r="B705" s="106"/>
      <c r="C705" s="103"/>
      <c r="D705" s="41"/>
      <c r="E705" s="41"/>
      <c r="F705" s="41"/>
      <c r="G705" s="25"/>
      <c r="H705" s="57"/>
      <c r="I705" s="57"/>
      <c r="K705" s="28"/>
    </row>
    <row r="706" spans="1:11" s="24" customFormat="1">
      <c r="A706" s="40"/>
      <c r="B706" s="106"/>
      <c r="C706" s="103"/>
      <c r="D706" s="41"/>
      <c r="E706" s="41"/>
      <c r="F706" s="41"/>
      <c r="G706" s="25"/>
      <c r="H706" s="57"/>
      <c r="I706" s="57"/>
      <c r="K706" s="28"/>
    </row>
    <row r="707" spans="1:11" s="24" customFormat="1">
      <c r="A707" s="40"/>
      <c r="B707" s="106"/>
      <c r="C707" s="103"/>
      <c r="D707" s="41"/>
      <c r="E707" s="41"/>
      <c r="F707" s="41"/>
      <c r="G707" s="25"/>
      <c r="H707" s="57"/>
      <c r="I707" s="57"/>
      <c r="K707" s="28"/>
    </row>
    <row r="708" spans="1:11" s="24" customFormat="1">
      <c r="A708" s="40"/>
      <c r="B708" s="106"/>
      <c r="C708" s="103"/>
      <c r="D708" s="41"/>
      <c r="E708" s="41"/>
      <c r="F708" s="41"/>
      <c r="G708" s="25"/>
      <c r="H708" s="57"/>
      <c r="I708" s="57"/>
      <c r="K708" s="28"/>
    </row>
    <row r="709" spans="1:11" s="24" customFormat="1">
      <c r="A709" s="40"/>
      <c r="B709" s="106"/>
      <c r="C709" s="103"/>
      <c r="D709" s="41"/>
      <c r="E709" s="41"/>
      <c r="F709" s="41"/>
      <c r="G709" s="25"/>
      <c r="H709" s="57"/>
      <c r="I709" s="57"/>
      <c r="K709" s="28"/>
    </row>
    <row r="710" spans="1:11" s="24" customFormat="1">
      <c r="A710" s="40"/>
      <c r="B710" s="106"/>
      <c r="C710" s="103"/>
      <c r="D710" s="41"/>
      <c r="E710" s="41"/>
      <c r="F710" s="41"/>
      <c r="G710" s="25"/>
      <c r="H710" s="57"/>
      <c r="I710" s="57"/>
      <c r="K710" s="28"/>
    </row>
    <row r="711" spans="1:11" s="24" customFormat="1">
      <c r="A711" s="40"/>
      <c r="B711" s="106"/>
      <c r="C711" s="103"/>
      <c r="D711" s="41"/>
      <c r="E711" s="41"/>
      <c r="F711" s="41"/>
      <c r="G711" s="25"/>
      <c r="H711" s="57"/>
      <c r="I711" s="57"/>
      <c r="K711" s="28"/>
    </row>
    <row r="712" spans="1:11" s="24" customFormat="1">
      <c r="A712" s="40"/>
      <c r="B712" s="106"/>
      <c r="C712" s="103"/>
      <c r="D712" s="41"/>
      <c r="E712" s="41"/>
      <c r="F712" s="41"/>
      <c r="G712" s="25"/>
      <c r="H712" s="57"/>
      <c r="I712" s="57"/>
      <c r="K712" s="28"/>
    </row>
    <row r="713" spans="1:11" s="24" customFormat="1">
      <c r="A713" s="40"/>
      <c r="B713" s="106"/>
      <c r="C713" s="103"/>
      <c r="D713" s="41"/>
      <c r="E713" s="41"/>
      <c r="F713" s="41"/>
      <c r="G713" s="25"/>
      <c r="H713" s="57"/>
      <c r="I713" s="57"/>
      <c r="K713" s="28"/>
    </row>
    <row r="714" spans="1:11" s="24" customFormat="1">
      <c r="A714" s="40"/>
      <c r="B714" s="106"/>
      <c r="C714" s="103"/>
      <c r="D714" s="41"/>
      <c r="E714" s="41"/>
      <c r="F714" s="41"/>
      <c r="G714" s="25"/>
      <c r="H714" s="57"/>
      <c r="I714" s="57"/>
      <c r="K714" s="28"/>
    </row>
    <row r="715" spans="1:11" s="24" customFormat="1">
      <c r="A715" s="40"/>
      <c r="B715" s="106"/>
      <c r="C715" s="103"/>
      <c r="D715" s="41"/>
      <c r="E715" s="41"/>
      <c r="F715" s="41"/>
      <c r="G715" s="25"/>
      <c r="H715" s="57"/>
      <c r="I715" s="57"/>
      <c r="K715" s="28"/>
    </row>
    <row r="716" spans="1:11" s="24" customFormat="1">
      <c r="A716" s="40"/>
      <c r="B716" s="106"/>
      <c r="C716" s="103"/>
      <c r="D716" s="41"/>
      <c r="E716" s="41"/>
      <c r="F716" s="41"/>
      <c r="G716" s="25"/>
      <c r="H716" s="57"/>
      <c r="I716" s="57"/>
      <c r="K716" s="28"/>
    </row>
    <row r="717" spans="1:11" s="24" customFormat="1">
      <c r="A717" s="40"/>
      <c r="B717" s="106"/>
      <c r="C717" s="103"/>
      <c r="D717" s="41"/>
      <c r="E717" s="41"/>
      <c r="F717" s="41"/>
      <c r="G717" s="25"/>
      <c r="H717" s="57"/>
      <c r="I717" s="57"/>
      <c r="K717" s="28"/>
    </row>
    <row r="718" spans="1:11" s="24" customFormat="1">
      <c r="A718" s="40"/>
      <c r="B718" s="106"/>
      <c r="C718" s="103"/>
      <c r="D718" s="41"/>
      <c r="E718" s="41"/>
      <c r="F718" s="41"/>
      <c r="G718" s="25"/>
      <c r="H718" s="57"/>
      <c r="I718" s="57"/>
      <c r="K718" s="28"/>
    </row>
    <row r="719" spans="1:11" s="24" customFormat="1">
      <c r="A719" s="40"/>
      <c r="B719" s="106"/>
      <c r="C719" s="103"/>
      <c r="D719" s="41"/>
      <c r="E719" s="41"/>
      <c r="F719" s="41"/>
      <c r="G719" s="25"/>
      <c r="H719" s="57"/>
      <c r="I719" s="57"/>
      <c r="K719" s="28"/>
    </row>
    <row r="720" spans="1:11" s="24" customFormat="1">
      <c r="A720" s="40"/>
      <c r="B720" s="106"/>
      <c r="C720" s="103"/>
      <c r="D720" s="41"/>
      <c r="E720" s="41"/>
      <c r="F720" s="41"/>
      <c r="G720" s="25"/>
      <c r="H720" s="57"/>
      <c r="I720" s="57"/>
      <c r="K720" s="28"/>
    </row>
    <row r="721" spans="1:11" s="24" customFormat="1">
      <c r="A721" s="40"/>
      <c r="B721" s="106"/>
      <c r="C721" s="103"/>
      <c r="D721" s="41"/>
      <c r="E721" s="41"/>
      <c r="F721" s="41"/>
      <c r="G721" s="25"/>
      <c r="H721" s="57"/>
      <c r="I721" s="57"/>
      <c r="K721" s="28"/>
    </row>
    <row r="722" spans="1:11" s="24" customFormat="1">
      <c r="A722" s="40"/>
      <c r="B722" s="106"/>
      <c r="C722" s="103"/>
      <c r="D722" s="41"/>
      <c r="E722" s="41"/>
      <c r="F722" s="41"/>
      <c r="G722" s="25"/>
      <c r="H722" s="57"/>
      <c r="I722" s="57"/>
      <c r="K722" s="28"/>
    </row>
    <row r="723" spans="1:11" s="24" customFormat="1">
      <c r="A723" s="40"/>
      <c r="B723" s="106"/>
      <c r="C723" s="103"/>
      <c r="D723" s="41"/>
      <c r="E723" s="41"/>
      <c r="F723" s="41"/>
      <c r="G723" s="25"/>
      <c r="H723" s="57"/>
      <c r="I723" s="57"/>
      <c r="K723" s="28"/>
    </row>
    <row r="724" spans="1:11" s="24" customFormat="1">
      <c r="A724" s="40"/>
      <c r="B724" s="106"/>
      <c r="C724" s="103"/>
      <c r="D724" s="41"/>
      <c r="E724" s="41"/>
      <c r="F724" s="41"/>
      <c r="G724" s="25"/>
      <c r="H724" s="57"/>
      <c r="I724" s="57"/>
      <c r="K724" s="28"/>
    </row>
    <row r="725" spans="1:11" s="24" customFormat="1">
      <c r="A725" s="40"/>
      <c r="B725" s="106"/>
      <c r="C725" s="103"/>
      <c r="D725" s="41"/>
      <c r="E725" s="41"/>
      <c r="F725" s="41"/>
      <c r="G725" s="25"/>
      <c r="H725" s="57"/>
      <c r="I725" s="57"/>
      <c r="K725" s="28"/>
    </row>
    <row r="726" spans="1:11" s="24" customFormat="1">
      <c r="A726" s="40"/>
      <c r="B726" s="106"/>
      <c r="C726" s="103"/>
      <c r="D726" s="41"/>
      <c r="E726" s="41"/>
      <c r="F726" s="41"/>
      <c r="G726" s="25"/>
      <c r="H726" s="57"/>
      <c r="I726" s="57"/>
      <c r="K726" s="28"/>
    </row>
    <row r="727" spans="1:11" s="24" customFormat="1">
      <c r="A727" s="40"/>
      <c r="B727" s="106"/>
      <c r="C727" s="103"/>
      <c r="D727" s="41"/>
      <c r="E727" s="41"/>
      <c r="F727" s="41"/>
      <c r="G727" s="25"/>
      <c r="H727" s="57"/>
      <c r="I727" s="57"/>
      <c r="K727" s="28"/>
    </row>
    <row r="728" spans="1:11" s="24" customFormat="1">
      <c r="A728" s="40"/>
      <c r="B728" s="106"/>
      <c r="C728" s="103"/>
      <c r="D728" s="41"/>
      <c r="E728" s="41"/>
      <c r="F728" s="41"/>
      <c r="G728" s="25"/>
      <c r="H728" s="57"/>
      <c r="I728" s="57"/>
      <c r="K728" s="28"/>
    </row>
    <row r="729" spans="1:11" s="24" customFormat="1">
      <c r="A729" s="40"/>
      <c r="B729" s="106"/>
      <c r="C729" s="103"/>
      <c r="D729" s="41"/>
      <c r="E729" s="41"/>
      <c r="F729" s="41"/>
      <c r="G729" s="25"/>
      <c r="H729" s="57"/>
      <c r="I729" s="57"/>
      <c r="K729" s="28"/>
    </row>
    <row r="730" spans="1:11" s="24" customFormat="1">
      <c r="A730" s="40"/>
      <c r="B730" s="106"/>
      <c r="C730" s="103"/>
      <c r="D730" s="41"/>
      <c r="E730" s="41"/>
      <c r="F730" s="41"/>
      <c r="G730" s="25"/>
      <c r="H730" s="57"/>
      <c r="I730" s="57"/>
      <c r="K730" s="28"/>
    </row>
    <row r="731" spans="1:11" s="24" customFormat="1">
      <c r="A731" s="40"/>
      <c r="B731" s="106"/>
      <c r="C731" s="103"/>
      <c r="D731" s="41"/>
      <c r="E731" s="41"/>
      <c r="F731" s="41"/>
      <c r="G731" s="25"/>
      <c r="H731" s="57"/>
      <c r="I731" s="57"/>
      <c r="K731" s="28"/>
    </row>
    <row r="732" spans="1:11" s="24" customFormat="1">
      <c r="A732" s="40"/>
      <c r="B732" s="106"/>
      <c r="C732" s="103"/>
      <c r="D732" s="41"/>
      <c r="E732" s="41"/>
      <c r="F732" s="41"/>
      <c r="G732" s="25"/>
      <c r="H732" s="57"/>
      <c r="I732" s="57"/>
      <c r="K732" s="28"/>
    </row>
    <row r="733" spans="1:11" s="24" customFormat="1">
      <c r="A733" s="40"/>
      <c r="B733" s="106"/>
      <c r="C733" s="103"/>
      <c r="D733" s="41"/>
      <c r="E733" s="41"/>
      <c r="F733" s="41"/>
      <c r="G733" s="25"/>
      <c r="H733" s="57"/>
      <c r="I733" s="57"/>
      <c r="K733" s="28"/>
    </row>
    <row r="734" spans="1:11" s="24" customFormat="1">
      <c r="A734" s="40"/>
      <c r="B734" s="106"/>
      <c r="C734" s="103"/>
      <c r="D734" s="41"/>
      <c r="E734" s="41"/>
      <c r="F734" s="41"/>
      <c r="G734" s="25"/>
      <c r="H734" s="57"/>
      <c r="I734" s="57"/>
      <c r="K734" s="28"/>
    </row>
    <row r="735" spans="1:11" s="24" customFormat="1">
      <c r="A735" s="40"/>
      <c r="B735" s="106"/>
      <c r="C735" s="103"/>
      <c r="D735" s="41"/>
      <c r="E735" s="41"/>
      <c r="F735" s="41"/>
      <c r="G735" s="25"/>
      <c r="H735" s="57"/>
      <c r="I735" s="57"/>
      <c r="K735" s="28"/>
    </row>
    <row r="736" spans="1:11" s="24" customFormat="1">
      <c r="A736" s="40"/>
      <c r="B736" s="106"/>
      <c r="C736" s="103"/>
      <c r="D736" s="41"/>
      <c r="E736" s="41"/>
      <c r="F736" s="41"/>
      <c r="G736" s="25"/>
      <c r="H736" s="57"/>
      <c r="I736" s="57"/>
      <c r="K736" s="28"/>
    </row>
    <row r="737" spans="1:11" s="24" customFormat="1">
      <c r="A737" s="40"/>
      <c r="B737" s="106"/>
      <c r="C737" s="103"/>
      <c r="D737" s="41"/>
      <c r="E737" s="41"/>
      <c r="F737" s="41"/>
      <c r="G737" s="25"/>
      <c r="H737" s="57"/>
      <c r="I737" s="57"/>
      <c r="K737" s="28"/>
    </row>
    <row r="738" spans="1:11" s="24" customFormat="1">
      <c r="A738" s="40"/>
      <c r="B738" s="106"/>
      <c r="C738" s="103"/>
      <c r="D738" s="41"/>
      <c r="E738" s="41"/>
      <c r="F738" s="41"/>
      <c r="G738" s="25"/>
      <c r="H738" s="57"/>
      <c r="I738" s="57"/>
      <c r="K738" s="28"/>
    </row>
    <row r="739" spans="1:11" s="24" customFormat="1">
      <c r="A739" s="40"/>
      <c r="B739" s="106"/>
      <c r="C739" s="103"/>
      <c r="D739" s="41"/>
      <c r="E739" s="41"/>
      <c r="F739" s="41"/>
      <c r="G739" s="25"/>
      <c r="H739" s="57"/>
      <c r="I739" s="57"/>
      <c r="K739" s="28"/>
    </row>
    <row r="740" spans="1:11" s="24" customFormat="1">
      <c r="A740" s="40"/>
      <c r="B740" s="106"/>
      <c r="C740" s="103"/>
      <c r="D740" s="41"/>
      <c r="E740" s="41"/>
      <c r="F740" s="41"/>
      <c r="G740" s="25"/>
      <c r="H740" s="57"/>
      <c r="I740" s="57"/>
      <c r="K740" s="28"/>
    </row>
    <row r="741" spans="1:11" s="24" customFormat="1">
      <c r="A741" s="40"/>
      <c r="B741" s="106"/>
      <c r="C741" s="103"/>
      <c r="D741" s="41"/>
      <c r="E741" s="41"/>
      <c r="F741" s="41"/>
      <c r="G741" s="25"/>
      <c r="H741" s="57"/>
      <c r="I741" s="57"/>
      <c r="K741" s="28"/>
    </row>
    <row r="742" spans="1:11" s="24" customFormat="1">
      <c r="A742" s="40"/>
      <c r="B742" s="106"/>
      <c r="C742" s="103"/>
      <c r="D742" s="41"/>
      <c r="E742" s="41"/>
      <c r="F742" s="41"/>
      <c r="G742" s="25"/>
      <c r="H742" s="57"/>
      <c r="I742" s="57"/>
      <c r="K742" s="28"/>
    </row>
    <row r="743" spans="1:11" s="24" customFormat="1">
      <c r="A743" s="40"/>
      <c r="B743" s="106"/>
      <c r="C743" s="103"/>
      <c r="D743" s="41"/>
      <c r="E743" s="41"/>
      <c r="F743" s="41"/>
      <c r="G743" s="25"/>
      <c r="H743" s="57"/>
      <c r="I743" s="57"/>
      <c r="K743" s="28"/>
    </row>
    <row r="744" spans="1:11" s="24" customFormat="1">
      <c r="A744" s="40"/>
      <c r="B744" s="106"/>
      <c r="C744" s="103"/>
      <c r="D744" s="41"/>
      <c r="E744" s="41"/>
      <c r="F744" s="41"/>
      <c r="G744" s="25"/>
      <c r="H744" s="57"/>
      <c r="I744" s="57"/>
      <c r="K744" s="28"/>
    </row>
    <row r="745" spans="1:11" s="24" customFormat="1">
      <c r="A745" s="40"/>
      <c r="B745" s="106"/>
      <c r="C745" s="103"/>
      <c r="D745" s="41"/>
      <c r="E745" s="41"/>
      <c r="F745" s="41"/>
      <c r="G745" s="25"/>
      <c r="H745" s="57"/>
      <c r="I745" s="57"/>
      <c r="K745" s="28"/>
    </row>
    <row r="746" spans="1:11" s="24" customFormat="1">
      <c r="A746" s="40"/>
      <c r="B746" s="106"/>
      <c r="C746" s="103"/>
      <c r="D746" s="41"/>
      <c r="E746" s="41"/>
      <c r="F746" s="41"/>
      <c r="G746" s="25"/>
      <c r="H746" s="57"/>
      <c r="I746" s="57"/>
      <c r="K746" s="28"/>
    </row>
    <row r="747" spans="1:11" s="24" customFormat="1">
      <c r="A747" s="40"/>
      <c r="B747" s="106"/>
      <c r="C747" s="103"/>
      <c r="D747" s="41"/>
      <c r="E747" s="41"/>
      <c r="F747" s="41"/>
      <c r="G747" s="25"/>
      <c r="H747" s="57"/>
      <c r="I747" s="57"/>
      <c r="K747" s="28"/>
    </row>
    <row r="748" spans="1:11" s="24" customFormat="1">
      <c r="A748" s="40"/>
      <c r="B748" s="106"/>
      <c r="C748" s="103"/>
      <c r="D748" s="41"/>
      <c r="E748" s="41"/>
      <c r="F748" s="41"/>
      <c r="G748" s="25"/>
      <c r="H748" s="57"/>
      <c r="I748" s="57"/>
      <c r="K748" s="28"/>
    </row>
    <row r="749" spans="1:11" s="24" customFormat="1">
      <c r="A749" s="40"/>
      <c r="B749" s="106"/>
      <c r="C749" s="103"/>
      <c r="D749" s="41"/>
      <c r="E749" s="41"/>
      <c r="F749" s="41"/>
      <c r="G749" s="25"/>
      <c r="H749" s="57"/>
      <c r="I749" s="57"/>
      <c r="K749" s="28"/>
    </row>
    <row r="750" spans="1:11" s="24" customFormat="1">
      <c r="A750" s="40"/>
      <c r="B750" s="106"/>
      <c r="C750" s="103"/>
      <c r="D750" s="41"/>
      <c r="E750" s="41"/>
      <c r="F750" s="41"/>
      <c r="G750" s="25"/>
      <c r="H750" s="57"/>
      <c r="I750" s="57"/>
      <c r="K750" s="28"/>
    </row>
    <row r="751" spans="1:11" s="24" customFormat="1">
      <c r="A751" s="40"/>
      <c r="B751" s="106"/>
      <c r="C751" s="103"/>
      <c r="D751" s="41"/>
      <c r="E751" s="41"/>
      <c r="F751" s="41"/>
      <c r="G751" s="25"/>
      <c r="H751" s="57"/>
      <c r="I751" s="57"/>
      <c r="K751" s="28"/>
    </row>
    <row r="752" spans="1:11" s="24" customFormat="1">
      <c r="A752" s="40"/>
      <c r="B752" s="106"/>
      <c r="C752" s="103"/>
      <c r="D752" s="41"/>
      <c r="E752" s="41"/>
      <c r="F752" s="41"/>
      <c r="G752" s="25"/>
      <c r="H752" s="57"/>
      <c r="I752" s="57"/>
      <c r="K752" s="28"/>
    </row>
    <row r="753" spans="1:11" s="24" customFormat="1">
      <c r="A753" s="40"/>
      <c r="B753" s="106"/>
      <c r="C753" s="103"/>
      <c r="D753" s="41"/>
      <c r="E753" s="41"/>
      <c r="F753" s="41"/>
      <c r="G753" s="25"/>
      <c r="H753" s="57"/>
      <c r="I753" s="57"/>
      <c r="K753" s="28"/>
    </row>
    <row r="754" spans="1:11" s="24" customFormat="1">
      <c r="A754" s="40"/>
      <c r="B754" s="106"/>
      <c r="C754" s="103"/>
      <c r="D754" s="41"/>
      <c r="E754" s="41"/>
      <c r="F754" s="41"/>
      <c r="G754" s="25"/>
      <c r="H754" s="57"/>
      <c r="I754" s="57"/>
      <c r="K754" s="28"/>
    </row>
    <row r="755" spans="1:11" s="24" customFormat="1">
      <c r="A755" s="40"/>
      <c r="B755" s="106"/>
      <c r="C755" s="103"/>
      <c r="D755" s="41"/>
      <c r="E755" s="41"/>
      <c r="F755" s="41"/>
      <c r="G755" s="25"/>
      <c r="H755" s="57"/>
      <c r="I755" s="57"/>
      <c r="K755" s="28"/>
    </row>
    <row r="756" spans="1:11" s="24" customFormat="1">
      <c r="A756" s="40"/>
      <c r="B756" s="106"/>
      <c r="C756" s="103"/>
      <c r="D756" s="41"/>
      <c r="E756" s="41"/>
      <c r="F756" s="41"/>
      <c r="G756" s="25"/>
      <c r="H756" s="57"/>
      <c r="I756" s="57"/>
      <c r="K756" s="28"/>
    </row>
    <row r="757" spans="1:11" s="24" customFormat="1">
      <c r="A757" s="40"/>
      <c r="B757" s="106"/>
      <c r="C757" s="103"/>
      <c r="D757" s="41"/>
      <c r="E757" s="41"/>
      <c r="F757" s="41"/>
      <c r="G757" s="25"/>
      <c r="H757" s="57"/>
      <c r="I757" s="57"/>
      <c r="K757" s="28"/>
    </row>
    <row r="758" spans="1:11" s="24" customFormat="1">
      <c r="A758" s="40"/>
      <c r="B758" s="106"/>
      <c r="C758" s="103"/>
      <c r="D758" s="41"/>
      <c r="E758" s="41"/>
      <c r="F758" s="41"/>
      <c r="G758" s="25"/>
      <c r="H758" s="57"/>
      <c r="I758" s="57"/>
      <c r="K758" s="28"/>
    </row>
    <row r="759" spans="1:11" s="24" customFormat="1">
      <c r="A759" s="40"/>
      <c r="B759" s="106"/>
      <c r="C759" s="103"/>
      <c r="D759" s="41"/>
      <c r="E759" s="41"/>
      <c r="F759" s="41"/>
      <c r="G759" s="25"/>
      <c r="H759" s="57"/>
      <c r="I759" s="57"/>
      <c r="K759" s="28"/>
    </row>
    <row r="760" spans="1:11" s="24" customFormat="1">
      <c r="A760" s="40"/>
      <c r="B760" s="106"/>
      <c r="C760" s="103"/>
      <c r="D760" s="41"/>
      <c r="E760" s="41"/>
      <c r="F760" s="41"/>
      <c r="G760" s="25"/>
      <c r="H760" s="57"/>
      <c r="I760" s="57"/>
      <c r="K760" s="28"/>
    </row>
    <row r="761" spans="1:11" s="24" customFormat="1">
      <c r="A761" s="40"/>
      <c r="B761" s="106"/>
      <c r="C761" s="103"/>
      <c r="D761" s="41"/>
      <c r="E761" s="41"/>
      <c r="F761" s="41"/>
      <c r="G761" s="25"/>
      <c r="H761" s="57"/>
      <c r="I761" s="57"/>
      <c r="K761" s="28"/>
    </row>
    <row r="762" spans="1:11" s="24" customFormat="1">
      <c r="A762" s="40"/>
      <c r="B762" s="106"/>
      <c r="C762" s="103"/>
      <c r="D762" s="41"/>
      <c r="E762" s="41"/>
      <c r="F762" s="41"/>
      <c r="G762" s="25"/>
      <c r="H762" s="57"/>
      <c r="I762" s="57"/>
      <c r="K762" s="28"/>
    </row>
    <row r="763" spans="1:11" s="24" customFormat="1">
      <c r="A763" s="40"/>
      <c r="B763" s="106"/>
      <c r="C763" s="103"/>
      <c r="D763" s="41"/>
      <c r="E763" s="41"/>
      <c r="F763" s="41"/>
      <c r="G763" s="25"/>
      <c r="H763" s="57"/>
      <c r="I763" s="57"/>
      <c r="K763" s="28"/>
    </row>
    <row r="764" spans="1:11" s="24" customFormat="1">
      <c r="A764" s="40"/>
      <c r="B764" s="106"/>
      <c r="C764" s="103"/>
      <c r="D764" s="41"/>
      <c r="E764" s="41"/>
      <c r="F764" s="41"/>
      <c r="G764" s="25"/>
      <c r="H764" s="57"/>
      <c r="I764" s="57"/>
      <c r="K764" s="28"/>
    </row>
    <row r="765" spans="1:11" s="24" customFormat="1">
      <c r="A765" s="40"/>
      <c r="B765" s="106"/>
      <c r="C765" s="103"/>
      <c r="D765" s="41"/>
      <c r="E765" s="41"/>
      <c r="F765" s="41"/>
      <c r="G765" s="25"/>
      <c r="H765" s="57"/>
      <c r="I765" s="57"/>
      <c r="K765" s="28"/>
    </row>
    <row r="766" spans="1:11" s="24" customFormat="1">
      <c r="A766" s="40"/>
      <c r="B766" s="106"/>
      <c r="C766" s="103"/>
      <c r="D766" s="41"/>
      <c r="E766" s="41"/>
      <c r="F766" s="41"/>
      <c r="G766" s="25"/>
      <c r="H766" s="57"/>
      <c r="I766" s="57"/>
      <c r="K766" s="28"/>
    </row>
    <row r="767" spans="1:11" s="24" customFormat="1">
      <c r="A767" s="40"/>
      <c r="B767" s="106"/>
      <c r="C767" s="103"/>
      <c r="D767" s="41"/>
      <c r="E767" s="41"/>
      <c r="F767" s="41"/>
      <c r="G767" s="25"/>
      <c r="H767" s="57"/>
      <c r="I767" s="57"/>
      <c r="K767" s="28"/>
    </row>
    <row r="768" spans="1:11" s="24" customFormat="1">
      <c r="A768" s="40"/>
      <c r="B768" s="106"/>
      <c r="C768" s="103"/>
      <c r="D768" s="41"/>
      <c r="E768" s="41"/>
      <c r="F768" s="41"/>
      <c r="G768" s="25"/>
      <c r="H768" s="57"/>
      <c r="I768" s="57"/>
      <c r="K768" s="28"/>
    </row>
    <row r="769" spans="1:11" s="24" customFormat="1">
      <c r="A769" s="40"/>
      <c r="B769" s="106"/>
      <c r="C769" s="103"/>
      <c r="D769" s="41"/>
      <c r="E769" s="41"/>
      <c r="F769" s="41"/>
      <c r="G769" s="25"/>
      <c r="H769" s="57"/>
      <c r="I769" s="57"/>
      <c r="K769" s="28"/>
    </row>
    <row r="770" spans="1:11" s="24" customFormat="1">
      <c r="A770" s="40"/>
      <c r="B770" s="106"/>
      <c r="C770" s="103"/>
      <c r="D770" s="41"/>
      <c r="E770" s="41"/>
      <c r="F770" s="41"/>
      <c r="G770" s="25"/>
      <c r="H770" s="57"/>
      <c r="I770" s="57"/>
      <c r="K770" s="28"/>
    </row>
    <row r="771" spans="1:11" s="24" customFormat="1">
      <c r="A771" s="40"/>
      <c r="B771" s="106"/>
      <c r="C771" s="103"/>
      <c r="D771" s="41"/>
      <c r="E771" s="41"/>
      <c r="F771" s="41"/>
      <c r="G771" s="25"/>
      <c r="H771" s="57"/>
      <c r="I771" s="57"/>
      <c r="K771" s="28"/>
    </row>
    <row r="772" spans="1:11" s="24" customFormat="1">
      <c r="A772" s="40"/>
      <c r="B772" s="106"/>
      <c r="C772" s="103"/>
      <c r="D772" s="41"/>
      <c r="E772" s="41"/>
      <c r="F772" s="41"/>
      <c r="G772" s="25"/>
      <c r="H772" s="57"/>
      <c r="I772" s="57"/>
      <c r="K772" s="28"/>
    </row>
    <row r="773" spans="1:11" s="24" customFormat="1">
      <c r="A773" s="40"/>
      <c r="B773" s="106"/>
      <c r="C773" s="103"/>
      <c r="D773" s="41"/>
      <c r="E773" s="41"/>
      <c r="F773" s="41"/>
      <c r="G773" s="25"/>
      <c r="H773" s="57"/>
      <c r="I773" s="57"/>
      <c r="K773" s="28"/>
    </row>
    <row r="774" spans="1:11" s="24" customFormat="1">
      <c r="A774" s="40"/>
      <c r="B774" s="106"/>
      <c r="C774" s="103"/>
      <c r="D774" s="41"/>
      <c r="E774" s="41"/>
      <c r="F774" s="41"/>
      <c r="G774" s="25"/>
      <c r="H774" s="57"/>
      <c r="I774" s="57"/>
      <c r="K774" s="28"/>
    </row>
    <row r="775" spans="1:11" s="24" customFormat="1">
      <c r="A775" s="40"/>
      <c r="B775" s="106"/>
      <c r="C775" s="103"/>
      <c r="D775" s="41"/>
      <c r="E775" s="41"/>
      <c r="F775" s="41"/>
      <c r="G775" s="25"/>
      <c r="H775" s="57"/>
      <c r="I775" s="57"/>
      <c r="K775" s="28"/>
    </row>
    <row r="776" spans="1:11" s="24" customFormat="1">
      <c r="A776" s="40"/>
      <c r="B776" s="106"/>
      <c r="C776" s="103"/>
      <c r="D776" s="41"/>
      <c r="E776" s="41"/>
      <c r="F776" s="41"/>
      <c r="G776" s="25"/>
      <c r="H776" s="57"/>
      <c r="I776" s="57"/>
      <c r="K776" s="28"/>
    </row>
    <row r="777" spans="1:11" s="24" customFormat="1">
      <c r="A777" s="40"/>
      <c r="B777" s="106"/>
      <c r="C777" s="103"/>
      <c r="D777" s="41"/>
      <c r="E777" s="41"/>
      <c r="F777" s="41"/>
      <c r="G777" s="25"/>
      <c r="H777" s="57"/>
      <c r="I777" s="57"/>
      <c r="K777" s="28"/>
    </row>
    <row r="778" spans="1:11" s="24" customFormat="1">
      <c r="A778" s="40"/>
      <c r="B778" s="106"/>
      <c r="C778" s="103"/>
      <c r="D778" s="41"/>
      <c r="E778" s="41"/>
      <c r="F778" s="41"/>
      <c r="G778" s="25"/>
      <c r="H778" s="57"/>
      <c r="I778" s="57"/>
      <c r="K778" s="28"/>
    </row>
    <row r="779" spans="1:11" s="24" customFormat="1">
      <c r="A779" s="40"/>
      <c r="B779" s="106"/>
      <c r="C779" s="103"/>
      <c r="D779" s="41"/>
      <c r="E779" s="41"/>
      <c r="F779" s="41"/>
      <c r="G779" s="25"/>
      <c r="H779" s="57"/>
      <c r="I779" s="57"/>
      <c r="K779" s="28"/>
    </row>
    <row r="780" spans="1:11" s="24" customFormat="1">
      <c r="A780" s="40"/>
      <c r="B780" s="106"/>
      <c r="C780" s="103"/>
      <c r="D780" s="41"/>
      <c r="E780" s="41"/>
      <c r="F780" s="41"/>
      <c r="G780" s="25"/>
      <c r="H780" s="57"/>
      <c r="I780" s="57"/>
      <c r="K780" s="28"/>
    </row>
    <row r="781" spans="1:11" s="24" customFormat="1">
      <c r="A781" s="40"/>
      <c r="B781" s="106"/>
      <c r="C781" s="103"/>
      <c r="D781" s="41"/>
      <c r="E781" s="41"/>
      <c r="F781" s="41"/>
      <c r="G781" s="25"/>
      <c r="H781" s="57"/>
      <c r="I781" s="57"/>
      <c r="K781" s="28"/>
    </row>
    <row r="782" spans="1:11" s="24" customFormat="1">
      <c r="A782" s="40"/>
      <c r="B782" s="106"/>
      <c r="C782" s="103"/>
      <c r="D782" s="41"/>
      <c r="E782" s="41"/>
      <c r="F782" s="41"/>
      <c r="G782" s="25"/>
      <c r="H782" s="57"/>
      <c r="I782" s="57"/>
      <c r="K782" s="28"/>
    </row>
    <row r="783" spans="1:11" s="24" customFormat="1">
      <c r="A783" s="40"/>
      <c r="B783" s="106"/>
      <c r="C783" s="103"/>
      <c r="D783" s="41"/>
      <c r="E783" s="41"/>
      <c r="F783" s="41"/>
      <c r="G783" s="25"/>
      <c r="H783" s="57"/>
      <c r="I783" s="57"/>
      <c r="K783" s="28"/>
    </row>
    <row r="784" spans="1:11" s="24" customFormat="1">
      <c r="A784" s="40"/>
      <c r="B784" s="106"/>
      <c r="C784" s="103"/>
      <c r="D784" s="41"/>
      <c r="E784" s="41"/>
      <c r="F784" s="41"/>
      <c r="G784" s="25"/>
      <c r="H784" s="57"/>
      <c r="I784" s="57"/>
      <c r="K784" s="28"/>
    </row>
    <row r="785" spans="1:11" s="24" customFormat="1">
      <c r="A785" s="40"/>
      <c r="B785" s="106"/>
      <c r="C785" s="103"/>
      <c r="D785" s="41"/>
      <c r="E785" s="41"/>
      <c r="F785" s="41"/>
      <c r="G785" s="25"/>
      <c r="H785" s="57"/>
      <c r="I785" s="57"/>
      <c r="K785" s="28"/>
    </row>
    <row r="786" spans="1:11" s="24" customFormat="1">
      <c r="A786" s="40"/>
      <c r="B786" s="106"/>
      <c r="C786" s="103"/>
      <c r="D786" s="41"/>
      <c r="E786" s="41"/>
      <c r="F786" s="41"/>
      <c r="G786" s="25"/>
      <c r="H786" s="57"/>
      <c r="I786" s="57"/>
      <c r="K786" s="28"/>
    </row>
    <row r="787" spans="1:11" s="24" customFormat="1">
      <c r="A787" s="40"/>
      <c r="B787" s="106"/>
      <c r="C787" s="103"/>
      <c r="D787" s="41"/>
      <c r="E787" s="41"/>
      <c r="F787" s="41"/>
      <c r="G787" s="25"/>
      <c r="H787" s="57"/>
      <c r="I787" s="57"/>
      <c r="K787" s="28"/>
    </row>
    <row r="788" spans="1:11" s="24" customFormat="1">
      <c r="A788" s="40"/>
      <c r="B788" s="106"/>
      <c r="C788" s="103"/>
      <c r="D788" s="41"/>
      <c r="E788" s="41"/>
      <c r="F788" s="41"/>
      <c r="G788" s="25"/>
      <c r="H788" s="57"/>
      <c r="I788" s="57"/>
      <c r="K788" s="28"/>
    </row>
    <row r="789" spans="1:11" s="24" customFormat="1">
      <c r="A789" s="40"/>
      <c r="B789" s="106"/>
      <c r="C789" s="103"/>
      <c r="D789" s="41"/>
      <c r="E789" s="41"/>
      <c r="F789" s="41"/>
      <c r="G789" s="25"/>
      <c r="H789" s="57"/>
      <c r="I789" s="57"/>
      <c r="K789" s="28"/>
    </row>
    <row r="790" spans="1:11" s="24" customFormat="1">
      <c r="A790" s="40"/>
      <c r="B790" s="106"/>
      <c r="C790" s="103"/>
      <c r="D790" s="41"/>
      <c r="E790" s="41"/>
      <c r="F790" s="41"/>
      <c r="G790" s="25"/>
      <c r="H790" s="57"/>
      <c r="I790" s="57"/>
      <c r="K790" s="28"/>
    </row>
    <row r="791" spans="1:11" s="24" customFormat="1">
      <c r="A791" s="40"/>
      <c r="B791" s="106"/>
      <c r="C791" s="103"/>
      <c r="D791" s="41"/>
      <c r="E791" s="41"/>
      <c r="F791" s="41"/>
      <c r="G791" s="25"/>
      <c r="H791" s="57"/>
      <c r="I791" s="57"/>
      <c r="K791" s="28"/>
    </row>
    <row r="792" spans="1:11" s="24" customFormat="1">
      <c r="A792" s="40"/>
      <c r="B792" s="106"/>
      <c r="C792" s="103"/>
      <c r="D792" s="41"/>
      <c r="E792" s="41"/>
      <c r="F792" s="41"/>
      <c r="G792" s="25"/>
      <c r="H792" s="57"/>
      <c r="I792" s="57"/>
      <c r="K792" s="28"/>
    </row>
    <row r="793" spans="1:11" s="24" customFormat="1">
      <c r="A793" s="40"/>
      <c r="B793" s="106"/>
      <c r="C793" s="103"/>
      <c r="D793" s="41"/>
      <c r="E793" s="41"/>
      <c r="F793" s="41"/>
      <c r="G793" s="25"/>
      <c r="H793" s="57"/>
      <c r="I793" s="57"/>
      <c r="K793" s="28"/>
    </row>
    <row r="794" spans="1:11" s="24" customFormat="1">
      <c r="A794" s="40"/>
      <c r="B794" s="106"/>
      <c r="C794" s="103"/>
      <c r="D794" s="41"/>
      <c r="E794" s="41"/>
      <c r="F794" s="41"/>
      <c r="G794" s="25"/>
      <c r="H794" s="57"/>
      <c r="I794" s="57"/>
      <c r="K794" s="28"/>
    </row>
    <row r="795" spans="1:11" s="24" customFormat="1">
      <c r="A795" s="40"/>
      <c r="B795" s="106"/>
      <c r="C795" s="103"/>
      <c r="D795" s="41"/>
      <c r="E795" s="41"/>
      <c r="F795" s="41"/>
      <c r="G795" s="25"/>
      <c r="H795" s="57"/>
      <c r="I795" s="57"/>
      <c r="K795" s="28"/>
    </row>
    <row r="796" spans="1:11" s="24" customFormat="1">
      <c r="A796" s="40"/>
      <c r="B796" s="106"/>
      <c r="C796" s="103"/>
      <c r="D796" s="41"/>
      <c r="E796" s="41"/>
      <c r="F796" s="41"/>
      <c r="G796" s="25"/>
      <c r="H796" s="57"/>
      <c r="I796" s="57"/>
      <c r="K796" s="28"/>
    </row>
    <row r="797" spans="1:11" s="24" customFormat="1">
      <c r="A797" s="40"/>
      <c r="B797" s="106"/>
      <c r="C797" s="103"/>
      <c r="D797" s="41"/>
      <c r="E797" s="41"/>
      <c r="F797" s="41"/>
      <c r="G797" s="25"/>
      <c r="H797" s="57"/>
      <c r="I797" s="57"/>
      <c r="K797" s="28"/>
    </row>
    <row r="798" spans="1:11" s="24" customFormat="1">
      <c r="A798" s="40"/>
      <c r="B798" s="106"/>
      <c r="C798" s="103"/>
      <c r="D798" s="41"/>
      <c r="E798" s="41"/>
      <c r="F798" s="41"/>
      <c r="G798" s="25"/>
      <c r="H798" s="57"/>
      <c r="I798" s="57"/>
      <c r="K798" s="28"/>
    </row>
    <row r="799" spans="1:11" s="24" customFormat="1">
      <c r="A799" s="40"/>
      <c r="B799" s="106"/>
      <c r="C799" s="103"/>
      <c r="D799" s="41"/>
      <c r="E799" s="41"/>
      <c r="F799" s="41"/>
      <c r="G799" s="25"/>
      <c r="H799" s="57"/>
      <c r="I799" s="57"/>
      <c r="K799" s="28"/>
    </row>
    <row r="800" spans="1:11" s="24" customFormat="1">
      <c r="A800" s="40"/>
      <c r="B800" s="106"/>
      <c r="C800" s="103"/>
      <c r="D800" s="41"/>
      <c r="E800" s="41"/>
      <c r="F800" s="41"/>
      <c r="G800" s="25"/>
      <c r="H800" s="57"/>
      <c r="I800" s="57"/>
      <c r="K800" s="28"/>
    </row>
    <row r="801" spans="1:11" s="24" customFormat="1">
      <c r="A801" s="40"/>
      <c r="B801" s="106"/>
      <c r="C801" s="103"/>
      <c r="D801" s="41"/>
      <c r="E801" s="41"/>
      <c r="F801" s="41"/>
      <c r="G801" s="25"/>
      <c r="H801" s="57"/>
      <c r="I801" s="57"/>
      <c r="K801" s="28"/>
    </row>
    <row r="802" spans="1:11" s="24" customFormat="1">
      <c r="A802" s="40"/>
      <c r="B802" s="106"/>
      <c r="C802" s="103"/>
      <c r="D802" s="41"/>
      <c r="E802" s="41"/>
      <c r="F802" s="41"/>
      <c r="G802" s="25"/>
      <c r="H802" s="57"/>
      <c r="I802" s="57"/>
      <c r="K802" s="28"/>
    </row>
    <row r="803" spans="1:11" s="24" customFormat="1">
      <c r="A803" s="40"/>
      <c r="B803" s="106"/>
      <c r="C803" s="103"/>
      <c r="D803" s="41"/>
      <c r="E803" s="41"/>
      <c r="F803" s="41"/>
      <c r="G803" s="25"/>
      <c r="H803" s="57"/>
      <c r="I803" s="57"/>
      <c r="K803" s="28"/>
    </row>
    <row r="804" spans="1:11" s="24" customFormat="1">
      <c r="A804" s="40"/>
      <c r="B804" s="106"/>
      <c r="C804" s="103"/>
      <c r="D804" s="41"/>
      <c r="E804" s="41"/>
      <c r="F804" s="41"/>
      <c r="G804" s="25"/>
      <c r="H804" s="57"/>
      <c r="I804" s="57"/>
      <c r="K804" s="28"/>
    </row>
    <row r="805" spans="1:11" s="24" customFormat="1">
      <c r="A805" s="40"/>
      <c r="B805" s="106"/>
      <c r="C805" s="103"/>
      <c r="D805" s="41"/>
      <c r="E805" s="41"/>
      <c r="F805" s="41"/>
      <c r="G805" s="25"/>
      <c r="H805" s="57"/>
      <c r="I805" s="57"/>
      <c r="K805" s="28"/>
    </row>
    <row r="806" spans="1:11" s="24" customFormat="1">
      <c r="A806" s="40"/>
      <c r="B806" s="106"/>
      <c r="C806" s="103"/>
      <c r="D806" s="41"/>
      <c r="E806" s="41"/>
      <c r="F806" s="41"/>
      <c r="G806" s="25"/>
      <c r="H806" s="57"/>
      <c r="I806" s="57"/>
      <c r="K806" s="28"/>
    </row>
    <row r="807" spans="1:11" s="24" customFormat="1">
      <c r="A807" s="40"/>
      <c r="B807" s="106"/>
      <c r="C807" s="103"/>
      <c r="D807" s="41"/>
      <c r="E807" s="41"/>
      <c r="F807" s="41"/>
      <c r="G807" s="25"/>
      <c r="H807" s="57"/>
      <c r="I807" s="57"/>
      <c r="K807" s="28"/>
    </row>
    <row r="808" spans="1:11" s="24" customFormat="1">
      <c r="A808" s="40"/>
      <c r="B808" s="106"/>
      <c r="C808" s="103"/>
      <c r="D808" s="41"/>
      <c r="E808" s="41"/>
      <c r="F808" s="41"/>
      <c r="G808" s="25"/>
      <c r="H808" s="57"/>
      <c r="I808" s="57"/>
      <c r="K808" s="28"/>
    </row>
    <row r="809" spans="1:11" s="24" customFormat="1">
      <c r="A809" s="40"/>
      <c r="B809" s="106"/>
      <c r="C809" s="103"/>
      <c r="D809" s="41"/>
      <c r="E809" s="41"/>
      <c r="F809" s="41"/>
      <c r="G809" s="25"/>
      <c r="H809" s="57"/>
      <c r="I809" s="57"/>
      <c r="K809" s="28"/>
    </row>
    <row r="810" spans="1:11" s="24" customFormat="1">
      <c r="A810" s="40"/>
      <c r="B810" s="106"/>
      <c r="C810" s="103"/>
      <c r="D810" s="41"/>
      <c r="E810" s="41"/>
      <c r="F810" s="41"/>
      <c r="G810" s="25"/>
      <c r="H810" s="57"/>
      <c r="I810" s="57"/>
      <c r="K810" s="28"/>
    </row>
    <row r="811" spans="1:11" s="24" customFormat="1">
      <c r="A811" s="40"/>
      <c r="B811" s="106"/>
      <c r="C811" s="103"/>
      <c r="D811" s="41"/>
      <c r="E811" s="41"/>
      <c r="F811" s="41"/>
      <c r="G811" s="25"/>
      <c r="H811" s="57"/>
      <c r="I811" s="57"/>
      <c r="K811" s="28"/>
    </row>
    <row r="812" spans="1:11" s="24" customFormat="1">
      <c r="A812" s="40"/>
      <c r="B812" s="106"/>
      <c r="C812" s="103"/>
      <c r="D812" s="41"/>
      <c r="E812" s="41"/>
      <c r="F812" s="41"/>
      <c r="G812" s="25"/>
      <c r="H812" s="57"/>
      <c r="I812" s="57"/>
      <c r="K812" s="28"/>
    </row>
    <row r="813" spans="1:11" s="24" customFormat="1">
      <c r="A813" s="40"/>
      <c r="B813" s="106"/>
      <c r="C813" s="103"/>
      <c r="D813" s="41"/>
      <c r="E813" s="41"/>
      <c r="F813" s="41"/>
      <c r="G813" s="25"/>
      <c r="H813" s="57"/>
      <c r="I813" s="57"/>
      <c r="K813" s="28"/>
    </row>
    <row r="814" spans="1:11" s="24" customFormat="1">
      <c r="A814" s="40"/>
      <c r="B814" s="106"/>
      <c r="C814" s="103"/>
      <c r="D814" s="41"/>
      <c r="E814" s="41"/>
      <c r="F814" s="41"/>
      <c r="G814" s="25"/>
      <c r="H814" s="57"/>
      <c r="I814" s="57"/>
      <c r="K814" s="28"/>
    </row>
    <row r="815" spans="1:11" s="24" customFormat="1">
      <c r="A815" s="40"/>
      <c r="B815" s="106"/>
      <c r="C815" s="103"/>
      <c r="D815" s="41"/>
      <c r="E815" s="41"/>
      <c r="F815" s="41"/>
      <c r="G815" s="25"/>
      <c r="H815" s="57"/>
      <c r="I815" s="57"/>
      <c r="K815" s="28"/>
    </row>
    <row r="816" spans="1:11" s="24" customFormat="1">
      <c r="A816" s="40"/>
      <c r="B816" s="106"/>
      <c r="C816" s="103"/>
      <c r="D816" s="41"/>
      <c r="E816" s="41"/>
      <c r="F816" s="41"/>
      <c r="G816" s="25"/>
      <c r="H816" s="57"/>
      <c r="I816" s="57"/>
      <c r="K816" s="28"/>
    </row>
    <row r="817" spans="1:11" s="24" customFormat="1">
      <c r="A817" s="40"/>
      <c r="B817" s="106"/>
      <c r="C817" s="103"/>
      <c r="D817" s="41"/>
      <c r="E817" s="41"/>
      <c r="F817" s="41"/>
      <c r="G817" s="25"/>
      <c r="H817" s="57"/>
      <c r="I817" s="57"/>
      <c r="K817" s="28"/>
    </row>
    <row r="818" spans="1:11" s="24" customFormat="1">
      <c r="A818" s="40"/>
      <c r="B818" s="106"/>
      <c r="C818" s="103"/>
      <c r="D818" s="41"/>
      <c r="E818" s="41"/>
      <c r="F818" s="41"/>
      <c r="G818" s="25"/>
      <c r="H818" s="57"/>
      <c r="I818" s="57"/>
      <c r="K818" s="28"/>
    </row>
    <row r="819" spans="1:11" s="24" customFormat="1">
      <c r="A819" s="40"/>
      <c r="B819" s="106"/>
      <c r="C819" s="103"/>
      <c r="D819" s="41"/>
      <c r="E819" s="41"/>
      <c r="F819" s="41"/>
      <c r="G819" s="25"/>
      <c r="H819" s="57"/>
      <c r="I819" s="57"/>
      <c r="K819" s="28"/>
    </row>
    <row r="820" spans="1:11" s="24" customFormat="1">
      <c r="A820" s="40"/>
      <c r="B820" s="106"/>
      <c r="C820" s="103"/>
      <c r="D820" s="41"/>
      <c r="E820" s="41"/>
      <c r="F820" s="41"/>
      <c r="G820" s="25"/>
      <c r="H820" s="57"/>
      <c r="I820" s="57"/>
      <c r="K820" s="28"/>
    </row>
    <row r="821" spans="1:11" s="24" customFormat="1">
      <c r="A821" s="40"/>
      <c r="B821" s="106"/>
      <c r="C821" s="103"/>
      <c r="D821" s="41"/>
      <c r="E821" s="41"/>
      <c r="F821" s="41"/>
      <c r="G821" s="25"/>
      <c r="H821" s="57"/>
      <c r="I821" s="57"/>
      <c r="K821" s="28"/>
    </row>
    <row r="822" spans="1:11" s="24" customFormat="1">
      <c r="A822" s="40"/>
      <c r="B822" s="106"/>
      <c r="C822" s="103"/>
      <c r="D822" s="41"/>
      <c r="E822" s="41"/>
      <c r="F822" s="41"/>
      <c r="G822" s="25"/>
      <c r="H822" s="57"/>
      <c r="I822" s="57"/>
      <c r="K822" s="28"/>
    </row>
    <row r="823" spans="1:11" s="24" customFormat="1">
      <c r="A823" s="40"/>
      <c r="B823" s="106"/>
      <c r="C823" s="103"/>
      <c r="D823" s="41"/>
      <c r="E823" s="41"/>
      <c r="F823" s="41"/>
      <c r="G823" s="25"/>
      <c r="H823" s="57"/>
      <c r="I823" s="57"/>
      <c r="K823" s="28"/>
    </row>
    <row r="824" spans="1:11" s="24" customFormat="1">
      <c r="A824" s="40"/>
      <c r="B824" s="106"/>
      <c r="C824" s="103"/>
      <c r="D824" s="41"/>
      <c r="E824" s="41"/>
      <c r="F824" s="41"/>
      <c r="G824" s="25"/>
      <c r="H824" s="57"/>
      <c r="I824" s="57"/>
      <c r="K824" s="28"/>
    </row>
    <row r="825" spans="1:11" s="24" customFormat="1">
      <c r="A825" s="40"/>
      <c r="B825" s="106"/>
      <c r="C825" s="103"/>
      <c r="D825" s="41"/>
      <c r="E825" s="41"/>
      <c r="F825" s="41"/>
      <c r="G825" s="25"/>
      <c r="H825" s="57"/>
      <c r="I825" s="57"/>
      <c r="K825" s="28"/>
    </row>
    <row r="826" spans="1:11" s="24" customFormat="1">
      <c r="A826" s="40"/>
      <c r="B826" s="106"/>
      <c r="C826" s="103"/>
      <c r="D826" s="41"/>
      <c r="E826" s="41"/>
      <c r="F826" s="41"/>
      <c r="G826" s="25"/>
      <c r="H826" s="57"/>
      <c r="I826" s="57"/>
      <c r="K826" s="28"/>
    </row>
    <row r="827" spans="1:11" s="24" customFormat="1">
      <c r="A827" s="40"/>
      <c r="B827" s="106"/>
      <c r="C827" s="103"/>
      <c r="D827" s="41"/>
      <c r="E827" s="41"/>
      <c r="F827" s="41"/>
      <c r="G827" s="25"/>
      <c r="H827" s="57"/>
      <c r="I827" s="57"/>
      <c r="K827" s="28"/>
    </row>
    <row r="828" spans="1:11" s="24" customFormat="1">
      <c r="A828" s="40"/>
      <c r="B828" s="106"/>
      <c r="C828" s="103"/>
      <c r="D828" s="41"/>
      <c r="E828" s="41"/>
      <c r="F828" s="41"/>
      <c r="G828" s="25"/>
      <c r="H828" s="57"/>
      <c r="I828" s="57"/>
      <c r="K828" s="28"/>
    </row>
    <row r="829" spans="1:11" s="24" customFormat="1">
      <c r="A829" s="40"/>
      <c r="B829" s="106"/>
      <c r="C829" s="103"/>
      <c r="D829" s="41"/>
      <c r="E829" s="41"/>
      <c r="F829" s="41"/>
      <c r="G829" s="25"/>
      <c r="H829" s="57"/>
      <c r="I829" s="57"/>
      <c r="K829" s="28"/>
    </row>
    <row r="830" spans="1:11" s="24" customFormat="1">
      <c r="A830" s="40"/>
      <c r="B830" s="106"/>
      <c r="C830" s="103"/>
      <c r="D830" s="41"/>
      <c r="E830" s="41"/>
      <c r="F830" s="41"/>
      <c r="G830" s="25"/>
      <c r="H830" s="57"/>
      <c r="I830" s="57"/>
      <c r="K830" s="28"/>
    </row>
    <row r="831" spans="1:11" s="24" customFormat="1">
      <c r="A831" s="40"/>
      <c r="B831" s="106"/>
      <c r="C831" s="103"/>
      <c r="D831" s="41"/>
      <c r="E831" s="41"/>
      <c r="F831" s="41"/>
      <c r="G831" s="25"/>
      <c r="H831" s="57"/>
      <c r="I831" s="57"/>
      <c r="K831" s="28"/>
    </row>
    <row r="832" spans="1:11" s="24" customFormat="1">
      <c r="A832" s="40"/>
      <c r="B832" s="106"/>
      <c r="C832" s="103"/>
      <c r="D832" s="41"/>
      <c r="E832" s="41"/>
      <c r="F832" s="41"/>
      <c r="G832" s="25"/>
      <c r="H832" s="57"/>
      <c r="I832" s="57"/>
      <c r="K832" s="28"/>
    </row>
    <row r="833" spans="1:11" s="24" customFormat="1">
      <c r="A833" s="40"/>
      <c r="B833" s="106"/>
      <c r="C833" s="103"/>
      <c r="D833" s="41"/>
      <c r="E833" s="41"/>
      <c r="F833" s="41"/>
      <c r="G833" s="25"/>
      <c r="H833" s="57"/>
      <c r="I833" s="57"/>
      <c r="K833" s="28"/>
    </row>
    <row r="834" spans="1:11" s="24" customFormat="1">
      <c r="A834" s="40"/>
      <c r="B834" s="106"/>
      <c r="C834" s="103"/>
      <c r="D834" s="41"/>
      <c r="E834" s="41"/>
      <c r="F834" s="41"/>
      <c r="G834" s="25"/>
      <c r="H834" s="57"/>
      <c r="I834" s="57"/>
      <c r="K834" s="28"/>
    </row>
    <row r="835" spans="1:11" s="24" customFormat="1">
      <c r="A835" s="40"/>
      <c r="B835" s="106"/>
      <c r="C835" s="103"/>
      <c r="D835" s="41"/>
      <c r="E835" s="41"/>
      <c r="F835" s="41"/>
      <c r="G835" s="25"/>
      <c r="H835" s="57"/>
      <c r="I835" s="57"/>
      <c r="K835" s="28"/>
    </row>
    <row r="836" spans="1:11" s="24" customFormat="1">
      <c r="A836" s="40"/>
      <c r="B836" s="106"/>
      <c r="C836" s="103"/>
      <c r="D836" s="41"/>
      <c r="E836" s="41"/>
      <c r="F836" s="41"/>
      <c r="G836" s="25"/>
      <c r="H836" s="57"/>
      <c r="I836" s="57"/>
      <c r="K836" s="28"/>
    </row>
    <row r="837" spans="1:11" s="24" customFormat="1">
      <c r="A837" s="40"/>
      <c r="B837" s="106"/>
      <c r="C837" s="103"/>
      <c r="D837" s="41"/>
      <c r="E837" s="41"/>
      <c r="F837" s="41"/>
      <c r="G837" s="25"/>
      <c r="H837" s="57"/>
      <c r="I837" s="57"/>
      <c r="K837" s="28"/>
    </row>
    <row r="838" spans="1:11" s="24" customFormat="1">
      <c r="A838" s="40"/>
      <c r="B838" s="106"/>
      <c r="C838" s="103"/>
      <c r="D838" s="41"/>
      <c r="E838" s="41"/>
      <c r="F838" s="41"/>
      <c r="G838" s="25"/>
      <c r="H838" s="57"/>
      <c r="I838" s="57"/>
      <c r="K838" s="28"/>
    </row>
    <row r="839" spans="1:11" s="24" customFormat="1">
      <c r="A839" s="40"/>
      <c r="B839" s="106"/>
      <c r="C839" s="103"/>
      <c r="D839" s="41"/>
      <c r="E839" s="41"/>
      <c r="F839" s="41"/>
      <c r="G839" s="25"/>
      <c r="H839" s="57"/>
      <c r="I839" s="57"/>
      <c r="K839" s="28"/>
    </row>
    <row r="840" spans="1:11" s="24" customFormat="1">
      <c r="A840" s="40"/>
      <c r="B840" s="106"/>
      <c r="C840" s="103"/>
      <c r="D840" s="41"/>
      <c r="E840" s="41"/>
      <c r="F840" s="41"/>
      <c r="G840" s="25"/>
      <c r="H840" s="57"/>
      <c r="I840" s="57"/>
      <c r="K840" s="28"/>
    </row>
    <row r="841" spans="1:11" s="24" customFormat="1">
      <c r="A841" s="40"/>
      <c r="B841" s="106"/>
      <c r="C841" s="103"/>
      <c r="D841" s="41"/>
      <c r="E841" s="41"/>
      <c r="F841" s="41"/>
      <c r="G841" s="25"/>
      <c r="H841" s="57"/>
      <c r="I841" s="57"/>
      <c r="K841" s="28"/>
    </row>
    <row r="842" spans="1:11" s="24" customFormat="1">
      <c r="A842" s="40"/>
      <c r="B842" s="106"/>
      <c r="C842" s="103"/>
      <c r="D842" s="41"/>
      <c r="E842" s="41"/>
      <c r="F842" s="41"/>
      <c r="G842" s="25"/>
      <c r="H842" s="57"/>
      <c r="I842" s="57"/>
      <c r="K842" s="28"/>
    </row>
    <row r="843" spans="1:11" s="24" customFormat="1">
      <c r="A843" s="40"/>
      <c r="B843" s="106"/>
      <c r="C843" s="103"/>
      <c r="D843" s="41"/>
      <c r="E843" s="41"/>
      <c r="F843" s="41"/>
      <c r="G843" s="25"/>
      <c r="H843" s="57"/>
      <c r="I843" s="57"/>
      <c r="K843" s="28"/>
    </row>
    <row r="844" spans="1:11" s="24" customFormat="1">
      <c r="A844" s="40"/>
      <c r="B844" s="106"/>
      <c r="C844" s="103"/>
      <c r="D844" s="41"/>
      <c r="E844" s="41"/>
      <c r="F844" s="41"/>
      <c r="G844" s="25"/>
      <c r="H844" s="57"/>
      <c r="I844" s="57"/>
      <c r="K844" s="28"/>
    </row>
    <row r="845" spans="1:11" s="24" customFormat="1">
      <c r="A845" s="40"/>
      <c r="B845" s="106"/>
      <c r="C845" s="103"/>
      <c r="D845" s="41"/>
      <c r="E845" s="41"/>
      <c r="F845" s="41"/>
      <c r="G845" s="25"/>
      <c r="H845" s="57"/>
      <c r="I845" s="57"/>
      <c r="K845" s="28"/>
    </row>
    <row r="846" spans="1:11" s="24" customFormat="1">
      <c r="A846" s="40"/>
      <c r="B846" s="106"/>
      <c r="C846" s="103"/>
      <c r="D846" s="41"/>
      <c r="E846" s="41"/>
      <c r="F846" s="41"/>
      <c r="G846" s="25"/>
      <c r="H846" s="57"/>
      <c r="I846" s="57"/>
      <c r="K846" s="28"/>
    </row>
    <row r="847" spans="1:11" s="24" customFormat="1">
      <c r="A847" s="40"/>
      <c r="B847" s="106"/>
      <c r="C847" s="103"/>
      <c r="D847" s="41"/>
      <c r="E847" s="41"/>
      <c r="F847" s="41"/>
      <c r="G847" s="25"/>
      <c r="H847" s="57"/>
      <c r="I847" s="57"/>
      <c r="K847" s="28"/>
    </row>
    <row r="848" spans="1:11" s="24" customFormat="1">
      <c r="A848" s="40"/>
      <c r="B848" s="106"/>
      <c r="C848" s="103"/>
      <c r="D848" s="41"/>
      <c r="E848" s="41"/>
      <c r="F848" s="41"/>
      <c r="G848" s="25"/>
      <c r="H848" s="57"/>
      <c r="I848" s="57"/>
      <c r="K848" s="28"/>
    </row>
    <row r="849" spans="1:11" s="24" customFormat="1">
      <c r="A849" s="40"/>
      <c r="B849" s="106"/>
      <c r="C849" s="103"/>
      <c r="D849" s="41"/>
      <c r="E849" s="41"/>
      <c r="F849" s="41"/>
      <c r="G849" s="25"/>
      <c r="H849" s="57"/>
      <c r="I849" s="57"/>
      <c r="K849" s="28"/>
    </row>
    <row r="850" spans="1:11" s="24" customFormat="1">
      <c r="A850" s="40"/>
      <c r="B850" s="106"/>
      <c r="C850" s="103"/>
      <c r="D850" s="41"/>
      <c r="E850" s="41"/>
      <c r="F850" s="41"/>
      <c r="G850" s="25"/>
      <c r="H850" s="57"/>
      <c r="I850" s="57"/>
      <c r="K850" s="28"/>
    </row>
    <row r="851" spans="1:11" s="24" customFormat="1">
      <c r="A851" s="40"/>
      <c r="B851" s="106"/>
      <c r="C851" s="103"/>
      <c r="D851" s="41"/>
      <c r="E851" s="41"/>
      <c r="F851" s="41"/>
      <c r="G851" s="25"/>
      <c r="H851" s="57"/>
      <c r="I851" s="57"/>
      <c r="K851" s="28"/>
    </row>
    <row r="852" spans="1:11" s="24" customFormat="1">
      <c r="A852" s="40"/>
      <c r="B852" s="106"/>
      <c r="C852" s="103"/>
      <c r="D852" s="41"/>
      <c r="E852" s="41"/>
      <c r="F852" s="41"/>
      <c r="G852" s="25"/>
      <c r="H852" s="57"/>
      <c r="I852" s="57"/>
      <c r="K852" s="28"/>
    </row>
    <row r="853" spans="1:11" s="24" customFormat="1">
      <c r="A853" s="40"/>
      <c r="B853" s="106"/>
      <c r="C853" s="103"/>
      <c r="D853" s="41"/>
      <c r="E853" s="41"/>
      <c r="F853" s="41"/>
      <c r="G853" s="25"/>
      <c r="H853" s="57"/>
      <c r="I853" s="57"/>
      <c r="K853" s="28"/>
    </row>
    <row r="854" spans="1:11" s="24" customFormat="1">
      <c r="A854" s="40"/>
      <c r="B854" s="106"/>
      <c r="C854" s="103"/>
      <c r="D854" s="41"/>
      <c r="E854" s="41"/>
      <c r="F854" s="41"/>
      <c r="G854" s="25"/>
      <c r="H854" s="57"/>
      <c r="I854" s="57"/>
      <c r="K854" s="28"/>
    </row>
    <row r="855" spans="1:11" s="24" customFormat="1">
      <c r="A855" s="40"/>
      <c r="B855" s="106"/>
      <c r="C855" s="103"/>
      <c r="D855" s="41"/>
      <c r="E855" s="41"/>
      <c r="F855" s="41"/>
      <c r="G855" s="25"/>
      <c r="H855" s="57"/>
      <c r="I855" s="57"/>
      <c r="K855" s="28"/>
    </row>
    <row r="856" spans="1:11" s="24" customFormat="1">
      <c r="A856" s="40"/>
      <c r="B856" s="106"/>
      <c r="C856" s="103"/>
      <c r="D856" s="41"/>
      <c r="E856" s="41"/>
      <c r="F856" s="41"/>
      <c r="G856" s="25"/>
      <c r="H856" s="57"/>
      <c r="I856" s="57"/>
      <c r="K856" s="28"/>
    </row>
    <row r="857" spans="1:11" s="24" customFormat="1">
      <c r="A857" s="40"/>
      <c r="B857" s="106"/>
      <c r="C857" s="103"/>
      <c r="D857" s="41"/>
      <c r="E857" s="41"/>
      <c r="F857" s="41"/>
      <c r="G857" s="25"/>
      <c r="H857" s="57"/>
      <c r="I857" s="57"/>
      <c r="K857" s="28"/>
    </row>
    <row r="858" spans="1:11" s="24" customFormat="1">
      <c r="A858" s="40"/>
      <c r="B858" s="106"/>
      <c r="C858" s="103"/>
      <c r="D858" s="41"/>
      <c r="E858" s="41"/>
      <c r="F858" s="41"/>
      <c r="G858" s="25"/>
      <c r="H858" s="57"/>
      <c r="I858" s="57"/>
      <c r="K858" s="28"/>
    </row>
    <row r="859" spans="1:11" s="24" customFormat="1">
      <c r="A859" s="40"/>
      <c r="B859" s="106"/>
      <c r="C859" s="103"/>
      <c r="D859" s="41"/>
      <c r="E859" s="41"/>
      <c r="F859" s="41"/>
      <c r="G859" s="25"/>
      <c r="H859" s="57"/>
      <c r="I859" s="57"/>
      <c r="K859" s="28"/>
    </row>
    <row r="860" spans="1:11" s="24" customFormat="1">
      <c r="A860" s="40"/>
      <c r="B860" s="106"/>
      <c r="C860" s="103"/>
      <c r="D860" s="41"/>
      <c r="E860" s="41"/>
      <c r="F860" s="41"/>
      <c r="G860" s="25"/>
      <c r="H860" s="57"/>
      <c r="I860" s="57"/>
      <c r="K860" s="28"/>
    </row>
    <row r="861" spans="1:11" s="24" customFormat="1">
      <c r="A861" s="40"/>
      <c r="B861" s="106"/>
      <c r="C861" s="103"/>
      <c r="D861" s="41"/>
      <c r="E861" s="41"/>
      <c r="F861" s="41"/>
      <c r="G861" s="25"/>
      <c r="H861" s="57"/>
      <c r="I861" s="57"/>
      <c r="K861" s="28"/>
    </row>
    <row r="862" spans="1:11" s="24" customFormat="1">
      <c r="A862" s="40"/>
      <c r="B862" s="106"/>
      <c r="C862" s="103"/>
      <c r="D862" s="41"/>
      <c r="E862" s="41"/>
      <c r="F862" s="41"/>
      <c r="G862" s="25"/>
      <c r="H862" s="57"/>
      <c r="I862" s="57"/>
      <c r="K862" s="28"/>
    </row>
    <row r="863" spans="1:11" s="24" customFormat="1">
      <c r="A863" s="40"/>
      <c r="B863" s="106"/>
      <c r="C863" s="103"/>
      <c r="D863" s="41"/>
      <c r="E863" s="41"/>
      <c r="F863" s="41"/>
      <c r="G863" s="25"/>
      <c r="H863" s="57"/>
      <c r="I863" s="57"/>
      <c r="K863" s="28"/>
    </row>
    <row r="864" spans="1:11" s="24" customFormat="1">
      <c r="A864" s="40"/>
      <c r="B864" s="106"/>
      <c r="C864" s="103"/>
      <c r="D864" s="41"/>
      <c r="E864" s="41"/>
      <c r="F864" s="41"/>
      <c r="G864" s="25"/>
      <c r="H864" s="57"/>
      <c r="I864" s="57"/>
      <c r="K864" s="28"/>
    </row>
    <row r="865" spans="1:11" s="24" customFormat="1">
      <c r="A865" s="40"/>
      <c r="B865" s="106"/>
      <c r="C865" s="103"/>
      <c r="D865" s="41"/>
      <c r="E865" s="41"/>
      <c r="F865" s="41"/>
      <c r="G865" s="25"/>
      <c r="H865" s="57"/>
      <c r="I865" s="57"/>
      <c r="K865" s="28"/>
    </row>
    <row r="866" spans="1:11" s="24" customFormat="1">
      <c r="A866" s="40"/>
      <c r="B866" s="106"/>
      <c r="C866" s="103"/>
      <c r="D866" s="41"/>
      <c r="E866" s="41"/>
      <c r="F866" s="41"/>
      <c r="G866" s="25"/>
      <c r="H866" s="57"/>
      <c r="I866" s="57"/>
      <c r="K866" s="28"/>
    </row>
    <row r="867" spans="1:11" s="24" customFormat="1">
      <c r="A867" s="40"/>
      <c r="B867" s="106"/>
      <c r="C867" s="103"/>
      <c r="D867" s="41"/>
      <c r="E867" s="41"/>
      <c r="F867" s="41"/>
      <c r="G867" s="25"/>
      <c r="H867" s="57"/>
      <c r="I867" s="57"/>
      <c r="K867" s="28"/>
    </row>
    <row r="868" spans="1:11" s="24" customFormat="1">
      <c r="A868" s="40"/>
      <c r="B868" s="106"/>
      <c r="C868" s="103"/>
      <c r="D868" s="41"/>
      <c r="E868" s="41"/>
      <c r="F868" s="41"/>
      <c r="G868" s="25"/>
      <c r="H868" s="57"/>
      <c r="I868" s="57"/>
      <c r="K868" s="28"/>
    </row>
    <row r="869" spans="1:11" s="24" customFormat="1">
      <c r="A869" s="40"/>
      <c r="B869" s="106"/>
      <c r="C869" s="103"/>
      <c r="D869" s="41"/>
      <c r="E869" s="41"/>
      <c r="F869" s="41"/>
      <c r="G869" s="25"/>
      <c r="H869" s="57"/>
      <c r="I869" s="57"/>
      <c r="K869" s="28"/>
    </row>
    <row r="870" spans="1:11" s="24" customFormat="1">
      <c r="A870" s="40"/>
      <c r="B870" s="106"/>
      <c r="C870" s="103"/>
      <c r="D870" s="41"/>
      <c r="E870" s="41"/>
      <c r="F870" s="41"/>
      <c r="G870" s="25"/>
      <c r="H870" s="57"/>
      <c r="I870" s="57"/>
      <c r="K870" s="28"/>
    </row>
    <row r="871" spans="1:11" s="24" customFormat="1">
      <c r="A871" s="40"/>
      <c r="B871" s="106"/>
      <c r="C871" s="103"/>
      <c r="D871" s="41"/>
      <c r="E871" s="41"/>
      <c r="F871" s="41"/>
      <c r="G871" s="25"/>
      <c r="H871" s="57"/>
      <c r="I871" s="57"/>
      <c r="K871" s="28"/>
    </row>
    <row r="872" spans="1:11" s="24" customFormat="1">
      <c r="A872" s="40"/>
      <c r="B872" s="106"/>
      <c r="C872" s="103"/>
      <c r="D872" s="41"/>
      <c r="E872" s="41"/>
      <c r="F872" s="41"/>
      <c r="G872" s="25"/>
      <c r="H872" s="57"/>
      <c r="I872" s="57"/>
      <c r="K872" s="28"/>
    </row>
    <row r="873" spans="1:11" s="24" customFormat="1">
      <c r="A873" s="40"/>
      <c r="B873" s="106"/>
      <c r="C873" s="103"/>
      <c r="D873" s="41"/>
      <c r="E873" s="41"/>
      <c r="F873" s="41"/>
      <c r="G873" s="25"/>
      <c r="H873" s="57"/>
      <c r="I873" s="57"/>
      <c r="K873" s="28"/>
    </row>
    <row r="874" spans="1:11" s="24" customFormat="1">
      <c r="A874" s="40"/>
      <c r="B874" s="106"/>
      <c r="C874" s="103"/>
      <c r="D874" s="41"/>
      <c r="E874" s="41"/>
      <c r="F874" s="41"/>
      <c r="G874" s="25"/>
      <c r="H874" s="57"/>
      <c r="I874" s="57"/>
      <c r="K874" s="28"/>
    </row>
    <row r="875" spans="1:11" s="24" customFormat="1">
      <c r="A875" s="40"/>
      <c r="B875" s="106"/>
      <c r="C875" s="103"/>
      <c r="D875" s="41"/>
      <c r="E875" s="41"/>
      <c r="F875" s="41"/>
      <c r="G875" s="25"/>
      <c r="H875" s="57"/>
      <c r="I875" s="57"/>
      <c r="K875" s="28"/>
    </row>
    <row r="876" spans="1:11" s="24" customFormat="1">
      <c r="A876" s="40"/>
      <c r="B876" s="106"/>
      <c r="C876" s="103"/>
      <c r="D876" s="41"/>
      <c r="E876" s="41"/>
      <c r="F876" s="41"/>
      <c r="G876" s="25"/>
      <c r="H876" s="57"/>
      <c r="I876" s="57"/>
      <c r="K876" s="28"/>
    </row>
    <row r="877" spans="1:11" s="24" customFormat="1">
      <c r="A877" s="40"/>
      <c r="B877" s="106"/>
      <c r="C877" s="103"/>
      <c r="D877" s="41"/>
      <c r="E877" s="41"/>
      <c r="F877" s="41"/>
      <c r="G877" s="25"/>
      <c r="H877" s="57"/>
      <c r="I877" s="57"/>
      <c r="K877" s="28"/>
    </row>
    <row r="878" spans="1:11" s="24" customFormat="1">
      <c r="A878" s="40"/>
      <c r="B878" s="106"/>
      <c r="C878" s="103"/>
      <c r="D878" s="41"/>
      <c r="E878" s="41"/>
      <c r="F878" s="41"/>
      <c r="G878" s="25"/>
      <c r="H878" s="57"/>
      <c r="I878" s="57"/>
      <c r="K878" s="28"/>
    </row>
    <row r="879" spans="1:11" s="24" customFormat="1">
      <c r="A879" s="40"/>
      <c r="B879" s="106"/>
      <c r="C879" s="103"/>
      <c r="D879" s="41"/>
      <c r="E879" s="41"/>
      <c r="F879" s="41"/>
      <c r="G879" s="25"/>
      <c r="H879" s="57"/>
      <c r="I879" s="57"/>
      <c r="K879" s="28"/>
    </row>
    <row r="880" spans="1:11" s="24" customFormat="1">
      <c r="A880" s="40"/>
      <c r="B880" s="106"/>
      <c r="C880" s="103"/>
      <c r="D880" s="41"/>
      <c r="E880" s="41"/>
      <c r="F880" s="41"/>
      <c r="G880" s="25"/>
      <c r="H880" s="57"/>
      <c r="I880" s="57"/>
      <c r="K880" s="28"/>
    </row>
    <row r="881" spans="1:11" s="24" customFormat="1">
      <c r="A881" s="40"/>
      <c r="B881" s="106"/>
      <c r="C881" s="103"/>
      <c r="D881" s="41"/>
      <c r="E881" s="41"/>
      <c r="F881" s="41"/>
      <c r="G881" s="25"/>
      <c r="H881" s="57"/>
      <c r="I881" s="57"/>
      <c r="K881" s="28"/>
    </row>
    <row r="882" spans="1:11" s="24" customFormat="1">
      <c r="A882" s="40"/>
      <c r="B882" s="106"/>
      <c r="C882" s="103"/>
      <c r="D882" s="41"/>
      <c r="E882" s="41"/>
      <c r="F882" s="41"/>
      <c r="G882" s="25"/>
      <c r="H882" s="57"/>
      <c r="I882" s="57"/>
      <c r="K882" s="28"/>
    </row>
    <row r="883" spans="1:11" s="24" customFormat="1">
      <c r="A883" s="40"/>
      <c r="B883" s="106"/>
      <c r="C883" s="103"/>
      <c r="D883" s="41"/>
      <c r="E883" s="41"/>
      <c r="F883" s="41"/>
      <c r="G883" s="25"/>
      <c r="H883" s="57"/>
      <c r="I883" s="57"/>
      <c r="K883" s="28"/>
    </row>
    <row r="884" spans="1:11" s="24" customFormat="1">
      <c r="A884" s="40"/>
      <c r="B884" s="106"/>
      <c r="C884" s="103"/>
      <c r="D884" s="41"/>
      <c r="E884" s="41"/>
      <c r="F884" s="41"/>
      <c r="G884" s="25"/>
      <c r="H884" s="57"/>
      <c r="I884" s="57"/>
      <c r="K884" s="28"/>
    </row>
    <row r="885" spans="1:11" s="24" customFormat="1">
      <c r="A885" s="40"/>
      <c r="B885" s="106"/>
      <c r="C885" s="103"/>
      <c r="D885" s="41"/>
      <c r="E885" s="41"/>
      <c r="F885" s="41"/>
      <c r="G885" s="25"/>
      <c r="H885" s="57"/>
      <c r="I885" s="57"/>
      <c r="K885" s="28"/>
    </row>
    <row r="886" spans="1:11" s="24" customFormat="1">
      <c r="A886" s="40"/>
      <c r="B886" s="106"/>
      <c r="C886" s="103"/>
      <c r="D886" s="41"/>
      <c r="E886" s="41"/>
      <c r="F886" s="41"/>
      <c r="G886" s="25"/>
      <c r="H886" s="57"/>
      <c r="I886" s="57"/>
      <c r="K886" s="28"/>
    </row>
    <row r="887" spans="1:11" s="24" customFormat="1">
      <c r="A887" s="40"/>
      <c r="B887" s="106"/>
      <c r="C887" s="103"/>
      <c r="D887" s="41"/>
      <c r="E887" s="41"/>
      <c r="F887" s="41"/>
      <c r="G887" s="25"/>
      <c r="H887" s="57"/>
      <c r="I887" s="57"/>
      <c r="K887" s="28"/>
    </row>
    <row r="888" spans="1:11" s="24" customFormat="1">
      <c r="A888" s="40"/>
      <c r="B888" s="106"/>
      <c r="C888" s="103"/>
      <c r="D888" s="41"/>
      <c r="E888" s="41"/>
      <c r="F888" s="41"/>
      <c r="G888" s="25"/>
      <c r="H888" s="57"/>
      <c r="I888" s="57"/>
      <c r="K888" s="28"/>
    </row>
    <row r="889" spans="1:11" s="24" customFormat="1">
      <c r="A889" s="40"/>
      <c r="B889" s="106"/>
      <c r="C889" s="103"/>
      <c r="D889" s="41"/>
      <c r="E889" s="41"/>
      <c r="F889" s="41"/>
      <c r="G889" s="25"/>
      <c r="H889" s="57"/>
      <c r="I889" s="57"/>
      <c r="K889" s="28"/>
    </row>
    <row r="890" spans="1:11" s="24" customFormat="1">
      <c r="A890" s="40"/>
      <c r="B890" s="106"/>
      <c r="C890" s="103"/>
      <c r="D890" s="41"/>
      <c r="E890" s="41"/>
      <c r="F890" s="41"/>
      <c r="G890" s="25"/>
      <c r="H890" s="57"/>
      <c r="I890" s="57"/>
      <c r="K890" s="28"/>
    </row>
    <row r="891" spans="1:11" s="24" customFormat="1">
      <c r="A891" s="40"/>
      <c r="B891" s="106"/>
      <c r="C891" s="103"/>
      <c r="D891" s="41"/>
      <c r="E891" s="41"/>
      <c r="F891" s="41"/>
      <c r="G891" s="25"/>
      <c r="H891" s="57"/>
      <c r="I891" s="57"/>
      <c r="K891" s="28"/>
    </row>
    <row r="892" spans="1:11" s="24" customFormat="1">
      <c r="A892" s="40"/>
      <c r="B892" s="106"/>
      <c r="C892" s="103"/>
      <c r="D892" s="41"/>
      <c r="E892" s="41"/>
      <c r="F892" s="41"/>
      <c r="G892" s="25"/>
      <c r="H892" s="57"/>
      <c r="I892" s="57"/>
      <c r="K892" s="28"/>
    </row>
    <row r="893" spans="1:11" s="24" customFormat="1">
      <c r="A893" s="40"/>
      <c r="B893" s="106"/>
      <c r="C893" s="103"/>
      <c r="D893" s="41"/>
      <c r="E893" s="41"/>
      <c r="F893" s="41"/>
      <c r="G893" s="25"/>
      <c r="H893" s="57"/>
      <c r="I893" s="57"/>
      <c r="K893" s="28"/>
    </row>
    <row r="894" spans="1:11" s="24" customFormat="1">
      <c r="A894" s="40"/>
      <c r="B894" s="106"/>
      <c r="C894" s="103"/>
      <c r="D894" s="41"/>
      <c r="E894" s="41"/>
      <c r="F894" s="41"/>
      <c r="G894" s="25"/>
      <c r="H894" s="57"/>
      <c r="I894" s="57"/>
      <c r="K894" s="28"/>
    </row>
    <row r="895" spans="1:11" s="24" customFormat="1">
      <c r="A895" s="40"/>
      <c r="B895" s="106"/>
      <c r="C895" s="103"/>
      <c r="D895" s="41"/>
      <c r="E895" s="41"/>
      <c r="F895" s="41"/>
      <c r="G895" s="25"/>
      <c r="H895" s="57"/>
      <c r="I895" s="57"/>
      <c r="K895" s="28"/>
    </row>
    <row r="896" spans="1:11" s="24" customFormat="1">
      <c r="A896" s="40"/>
      <c r="B896" s="106"/>
      <c r="C896" s="103"/>
      <c r="D896" s="41"/>
      <c r="E896" s="41"/>
      <c r="F896" s="41"/>
      <c r="G896" s="25"/>
      <c r="H896" s="57"/>
      <c r="I896" s="57"/>
      <c r="K896" s="28"/>
    </row>
    <row r="897" spans="1:11" s="24" customFormat="1">
      <c r="A897" s="40"/>
      <c r="B897" s="106"/>
      <c r="C897" s="103"/>
      <c r="D897" s="41"/>
      <c r="E897" s="41"/>
      <c r="F897" s="41"/>
      <c r="G897" s="25"/>
      <c r="H897" s="57"/>
      <c r="I897" s="57"/>
      <c r="K897" s="28"/>
    </row>
    <row r="898" spans="1:11" s="24" customFormat="1">
      <c r="A898" s="40"/>
      <c r="B898" s="106"/>
      <c r="C898" s="103"/>
      <c r="D898" s="41"/>
      <c r="E898" s="41"/>
      <c r="F898" s="41"/>
      <c r="G898" s="25"/>
      <c r="H898" s="57"/>
      <c r="I898" s="57"/>
      <c r="K898" s="28"/>
    </row>
    <row r="899" spans="1:11" s="24" customFormat="1">
      <c r="A899" s="40"/>
      <c r="B899" s="106"/>
      <c r="C899" s="103"/>
      <c r="D899" s="41"/>
      <c r="E899" s="41"/>
      <c r="F899" s="41"/>
      <c r="G899" s="25"/>
      <c r="H899" s="57"/>
      <c r="I899" s="57"/>
      <c r="K899" s="28"/>
    </row>
    <row r="900" spans="1:11" s="24" customFormat="1">
      <c r="A900" s="40"/>
      <c r="B900" s="106"/>
      <c r="C900" s="103"/>
      <c r="D900" s="41"/>
      <c r="E900" s="41"/>
      <c r="F900" s="41"/>
      <c r="G900" s="25"/>
      <c r="H900" s="57"/>
      <c r="I900" s="57"/>
      <c r="K900" s="28"/>
    </row>
    <row r="901" spans="1:11" s="24" customFormat="1">
      <c r="A901" s="40"/>
      <c r="B901" s="106"/>
      <c r="C901" s="103"/>
      <c r="D901" s="41"/>
      <c r="E901" s="41"/>
      <c r="F901" s="41"/>
      <c r="G901" s="25"/>
      <c r="H901" s="57"/>
      <c r="I901" s="57"/>
      <c r="K901" s="28"/>
    </row>
    <row r="902" spans="1:11" s="24" customFormat="1">
      <c r="A902" s="40"/>
      <c r="B902" s="106"/>
      <c r="C902" s="103"/>
      <c r="D902" s="41"/>
      <c r="E902" s="41"/>
      <c r="F902" s="41"/>
      <c r="G902" s="25"/>
      <c r="H902" s="57"/>
      <c r="I902" s="57"/>
      <c r="K902" s="28"/>
    </row>
    <row r="903" spans="1:11" s="24" customFormat="1">
      <c r="A903" s="40"/>
      <c r="B903" s="106"/>
      <c r="C903" s="103"/>
      <c r="D903" s="41"/>
      <c r="E903" s="41"/>
      <c r="F903" s="41"/>
      <c r="G903" s="25"/>
      <c r="H903" s="57"/>
      <c r="I903" s="57"/>
      <c r="K903" s="28"/>
    </row>
    <row r="904" spans="1:11" s="24" customFormat="1">
      <c r="A904" s="40"/>
      <c r="B904" s="106"/>
      <c r="C904" s="103"/>
      <c r="D904" s="41"/>
      <c r="E904" s="41"/>
      <c r="F904" s="41"/>
      <c r="G904" s="25"/>
      <c r="H904" s="57"/>
      <c r="I904" s="57"/>
      <c r="K904" s="28"/>
    </row>
    <row r="905" spans="1:11" s="24" customFormat="1">
      <c r="A905" s="40"/>
      <c r="B905" s="106"/>
      <c r="C905" s="103"/>
      <c r="D905" s="41"/>
      <c r="E905" s="41"/>
      <c r="F905" s="41"/>
      <c r="G905" s="25"/>
      <c r="H905" s="57"/>
      <c r="I905" s="57"/>
      <c r="K905" s="28"/>
    </row>
    <row r="906" spans="1:11" s="24" customFormat="1">
      <c r="A906" s="40"/>
      <c r="B906" s="106"/>
      <c r="C906" s="103"/>
      <c r="D906" s="41"/>
      <c r="E906" s="41"/>
      <c r="F906" s="41"/>
      <c r="G906" s="25"/>
      <c r="H906" s="57"/>
      <c r="I906" s="57"/>
      <c r="K906" s="28"/>
    </row>
    <row r="907" spans="1:11" s="24" customFormat="1">
      <c r="A907" s="40"/>
      <c r="B907" s="106"/>
      <c r="C907" s="103"/>
      <c r="D907" s="41"/>
      <c r="E907" s="41"/>
      <c r="F907" s="41"/>
      <c r="G907" s="25"/>
      <c r="H907" s="57"/>
      <c r="I907" s="57"/>
      <c r="K907" s="28"/>
    </row>
    <row r="908" spans="1:11" s="24" customFormat="1">
      <c r="A908" s="40"/>
      <c r="B908" s="106"/>
      <c r="C908" s="103"/>
      <c r="D908" s="41"/>
      <c r="E908" s="41"/>
      <c r="F908" s="41"/>
      <c r="G908" s="25"/>
      <c r="H908" s="57"/>
      <c r="I908" s="57"/>
      <c r="K908" s="28"/>
    </row>
    <row r="909" spans="1:11" s="24" customFormat="1">
      <c r="A909" s="40"/>
      <c r="B909" s="106"/>
      <c r="C909" s="103"/>
      <c r="D909" s="41"/>
      <c r="E909" s="41"/>
      <c r="F909" s="41"/>
      <c r="G909" s="25"/>
      <c r="H909" s="57"/>
      <c r="I909" s="57"/>
      <c r="K909" s="28"/>
    </row>
    <row r="910" spans="1:11" s="24" customFormat="1">
      <c r="A910" s="40"/>
      <c r="B910" s="106"/>
      <c r="C910" s="103"/>
      <c r="D910" s="41"/>
      <c r="E910" s="41"/>
      <c r="F910" s="41"/>
      <c r="G910" s="25"/>
      <c r="H910" s="57"/>
      <c r="I910" s="57"/>
      <c r="K910" s="28"/>
    </row>
    <row r="911" spans="1:11" s="24" customFormat="1">
      <c r="A911" s="40"/>
      <c r="B911" s="106"/>
      <c r="C911" s="103"/>
      <c r="D911" s="41"/>
      <c r="E911" s="41"/>
      <c r="F911" s="41"/>
      <c r="G911" s="25"/>
      <c r="H911" s="57"/>
      <c r="I911" s="57"/>
      <c r="K911" s="28"/>
    </row>
    <row r="912" spans="1:11" s="24" customFormat="1">
      <c r="A912" s="40"/>
      <c r="B912" s="106"/>
      <c r="C912" s="103"/>
      <c r="D912" s="41"/>
      <c r="E912" s="41"/>
      <c r="F912" s="41"/>
      <c r="G912" s="25"/>
      <c r="H912" s="57"/>
      <c r="I912" s="57"/>
      <c r="K912" s="28"/>
    </row>
    <row r="913" spans="1:11" s="24" customFormat="1">
      <c r="A913" s="40"/>
      <c r="B913" s="106"/>
      <c r="C913" s="103"/>
      <c r="D913" s="41"/>
      <c r="E913" s="41"/>
      <c r="F913" s="41"/>
      <c r="G913" s="25"/>
      <c r="H913" s="57"/>
      <c r="I913" s="57"/>
      <c r="K913" s="28"/>
    </row>
    <row r="914" spans="1:11" s="24" customFormat="1">
      <c r="A914" s="40"/>
      <c r="B914" s="106"/>
      <c r="C914" s="103"/>
      <c r="D914" s="41"/>
      <c r="E914" s="41"/>
      <c r="F914" s="41"/>
      <c r="G914" s="25"/>
      <c r="H914" s="57"/>
      <c r="I914" s="57"/>
      <c r="K914" s="28"/>
    </row>
    <row r="915" spans="1:11" s="24" customFormat="1">
      <c r="A915" s="40"/>
      <c r="B915" s="106"/>
      <c r="C915" s="103"/>
      <c r="D915" s="41"/>
      <c r="E915" s="41"/>
      <c r="F915" s="41"/>
      <c r="G915" s="25"/>
      <c r="H915" s="57"/>
      <c r="I915" s="57"/>
      <c r="K915" s="28"/>
    </row>
    <row r="916" spans="1:11" s="24" customFormat="1">
      <c r="A916" s="40"/>
      <c r="B916" s="106"/>
      <c r="C916" s="103"/>
      <c r="D916" s="41"/>
      <c r="E916" s="41"/>
      <c r="F916" s="41"/>
      <c r="G916" s="25"/>
      <c r="H916" s="57"/>
      <c r="I916" s="57"/>
      <c r="K916" s="28"/>
    </row>
    <row r="917" spans="1:11" s="24" customFormat="1">
      <c r="A917" s="40"/>
      <c r="B917" s="106"/>
      <c r="C917" s="103"/>
      <c r="D917" s="41"/>
      <c r="E917" s="41"/>
      <c r="F917" s="41"/>
      <c r="G917" s="25"/>
      <c r="H917" s="57"/>
      <c r="I917" s="57"/>
      <c r="K917" s="28"/>
    </row>
    <row r="918" spans="1:11" s="24" customFormat="1">
      <c r="A918" s="40"/>
      <c r="B918" s="106"/>
      <c r="C918" s="103"/>
      <c r="D918" s="41"/>
      <c r="E918" s="41"/>
      <c r="F918" s="41"/>
      <c r="G918" s="25"/>
      <c r="H918" s="57"/>
      <c r="I918" s="57"/>
      <c r="K918" s="28"/>
    </row>
    <row r="919" spans="1:11" s="24" customFormat="1">
      <c r="A919" s="40"/>
      <c r="B919" s="106"/>
      <c r="C919" s="103"/>
      <c r="D919" s="41"/>
      <c r="E919" s="41"/>
      <c r="F919" s="41"/>
      <c r="G919" s="25"/>
      <c r="H919" s="57"/>
      <c r="I919" s="57"/>
      <c r="K919" s="28"/>
    </row>
    <row r="920" spans="1:11" s="24" customFormat="1">
      <c r="A920" s="40"/>
      <c r="B920" s="106"/>
      <c r="C920" s="103"/>
      <c r="D920" s="41"/>
      <c r="E920" s="41"/>
      <c r="F920" s="41"/>
      <c r="G920" s="25"/>
      <c r="H920" s="57"/>
      <c r="I920" s="57"/>
      <c r="K920" s="28"/>
    </row>
    <row r="921" spans="1:11" s="24" customFormat="1">
      <c r="A921" s="40"/>
      <c r="B921" s="106"/>
      <c r="C921" s="103"/>
      <c r="D921" s="41"/>
      <c r="E921" s="41"/>
      <c r="F921" s="41"/>
      <c r="G921" s="25"/>
      <c r="H921" s="57"/>
      <c r="I921" s="57"/>
      <c r="K921" s="28"/>
    </row>
    <row r="922" spans="1:11" s="24" customFormat="1">
      <c r="A922" s="40"/>
      <c r="B922" s="106"/>
      <c r="C922" s="103"/>
      <c r="D922" s="41"/>
      <c r="E922" s="41"/>
      <c r="F922" s="41"/>
      <c r="G922" s="25"/>
      <c r="H922" s="57"/>
      <c r="I922" s="57"/>
      <c r="K922" s="28"/>
    </row>
    <row r="923" spans="1:11" s="24" customFormat="1">
      <c r="A923" s="40"/>
      <c r="B923" s="106"/>
      <c r="C923" s="103"/>
      <c r="D923" s="41"/>
      <c r="E923" s="41"/>
      <c r="F923" s="41"/>
      <c r="G923" s="25"/>
      <c r="H923" s="57"/>
      <c r="I923" s="57"/>
      <c r="K923" s="28"/>
    </row>
    <row r="924" spans="1:11" s="24" customFormat="1">
      <c r="A924" s="40"/>
      <c r="B924" s="106"/>
      <c r="C924" s="103"/>
      <c r="D924" s="41"/>
      <c r="E924" s="41"/>
      <c r="F924" s="41"/>
      <c r="G924" s="25"/>
      <c r="H924" s="57"/>
      <c r="I924" s="57"/>
      <c r="K924" s="28"/>
    </row>
    <row r="925" spans="1:11" s="24" customFormat="1">
      <c r="A925" s="40"/>
      <c r="B925" s="106"/>
      <c r="C925" s="103"/>
      <c r="D925" s="41"/>
      <c r="E925" s="41"/>
      <c r="F925" s="41"/>
      <c r="G925" s="25"/>
      <c r="H925" s="57"/>
      <c r="I925" s="57"/>
      <c r="K925" s="28"/>
    </row>
    <row r="926" spans="1:11" s="24" customFormat="1">
      <c r="A926" s="40"/>
      <c r="B926" s="106"/>
      <c r="C926" s="103"/>
      <c r="D926" s="41"/>
      <c r="E926" s="41"/>
      <c r="F926" s="41"/>
      <c r="G926" s="25"/>
      <c r="H926" s="57"/>
      <c r="I926" s="57"/>
      <c r="K926" s="28"/>
    </row>
    <row r="927" spans="1:11" s="24" customFormat="1">
      <c r="A927" s="40"/>
      <c r="B927" s="106"/>
      <c r="C927" s="103"/>
      <c r="D927" s="41"/>
      <c r="E927" s="41"/>
      <c r="F927" s="41"/>
      <c r="G927" s="25"/>
      <c r="H927" s="57"/>
      <c r="I927" s="57"/>
      <c r="K927" s="28"/>
    </row>
    <row r="928" spans="1:11" s="24" customFormat="1">
      <c r="A928" s="40"/>
      <c r="B928" s="106"/>
      <c r="C928" s="103"/>
      <c r="D928" s="41"/>
      <c r="E928" s="41"/>
      <c r="F928" s="41"/>
      <c r="G928" s="25"/>
      <c r="H928" s="57"/>
      <c r="I928" s="57"/>
      <c r="K928" s="28"/>
    </row>
    <row r="929" spans="1:11" s="24" customFormat="1">
      <c r="A929" s="40"/>
      <c r="B929" s="106"/>
      <c r="C929" s="103"/>
      <c r="D929" s="41"/>
      <c r="E929" s="41"/>
      <c r="F929" s="41"/>
      <c r="G929" s="25"/>
      <c r="H929" s="57"/>
      <c r="I929" s="57"/>
      <c r="K929" s="28"/>
    </row>
    <row r="930" spans="1:11" s="24" customFormat="1">
      <c r="A930" s="40"/>
      <c r="B930" s="106"/>
      <c r="C930" s="103"/>
      <c r="D930" s="41"/>
      <c r="E930" s="41"/>
      <c r="F930" s="41"/>
      <c r="G930" s="25"/>
      <c r="H930" s="57"/>
      <c r="I930" s="57"/>
      <c r="K930" s="28"/>
    </row>
    <row r="931" spans="1:11" s="24" customFormat="1">
      <c r="A931" s="40"/>
      <c r="B931" s="106"/>
      <c r="C931" s="103"/>
      <c r="D931" s="41"/>
      <c r="E931" s="41"/>
      <c r="F931" s="41"/>
      <c r="G931" s="25"/>
      <c r="H931" s="57"/>
      <c r="I931" s="57"/>
      <c r="K931" s="28"/>
    </row>
    <row r="932" spans="1:11" s="24" customFormat="1">
      <c r="A932" s="40"/>
      <c r="B932" s="106"/>
      <c r="C932" s="103"/>
      <c r="D932" s="41"/>
      <c r="E932" s="41"/>
      <c r="F932" s="41"/>
      <c r="G932" s="25"/>
      <c r="H932" s="57"/>
      <c r="I932" s="57"/>
      <c r="K932" s="28"/>
    </row>
    <row r="933" spans="1:11" s="24" customFormat="1">
      <c r="A933" s="40"/>
      <c r="B933" s="106"/>
      <c r="C933" s="103"/>
      <c r="D933" s="41"/>
      <c r="E933" s="41"/>
      <c r="F933" s="41"/>
      <c r="G933" s="25"/>
      <c r="H933" s="57"/>
      <c r="I933" s="57"/>
      <c r="K933" s="28"/>
    </row>
    <row r="934" spans="1:11" s="24" customFormat="1">
      <c r="A934" s="40"/>
      <c r="B934" s="106"/>
      <c r="C934" s="103"/>
      <c r="D934" s="41"/>
      <c r="E934" s="41"/>
      <c r="F934" s="41"/>
      <c r="G934" s="25"/>
      <c r="H934" s="57"/>
      <c r="I934" s="57"/>
      <c r="K934" s="28"/>
    </row>
    <row r="935" spans="1:11" s="24" customFormat="1">
      <c r="A935" s="40"/>
      <c r="B935" s="106"/>
      <c r="C935" s="103"/>
      <c r="D935" s="41"/>
      <c r="E935" s="41"/>
      <c r="F935" s="41"/>
      <c r="G935" s="25"/>
      <c r="H935" s="57"/>
      <c r="I935" s="57"/>
      <c r="K935" s="28"/>
    </row>
    <row r="936" spans="1:11" s="24" customFormat="1">
      <c r="A936" s="40"/>
      <c r="B936" s="106"/>
      <c r="C936" s="103"/>
      <c r="D936" s="41"/>
      <c r="E936" s="41"/>
      <c r="F936" s="41"/>
      <c r="G936" s="25"/>
      <c r="H936" s="57"/>
      <c r="I936" s="57"/>
      <c r="K936" s="28"/>
    </row>
    <row r="937" spans="1:11" s="24" customFormat="1">
      <c r="A937" s="40"/>
      <c r="B937" s="106"/>
      <c r="C937" s="103"/>
      <c r="D937" s="41"/>
      <c r="E937" s="41"/>
      <c r="F937" s="41"/>
      <c r="G937" s="25"/>
      <c r="H937" s="57"/>
      <c r="I937" s="57"/>
      <c r="K937" s="28"/>
    </row>
    <row r="938" spans="1:11" s="24" customFormat="1">
      <c r="A938" s="40"/>
      <c r="B938" s="106"/>
      <c r="C938" s="103"/>
      <c r="D938" s="41"/>
      <c r="E938" s="41"/>
      <c r="F938" s="41"/>
      <c r="G938" s="25"/>
      <c r="H938" s="57"/>
      <c r="I938" s="57"/>
      <c r="K938" s="28"/>
    </row>
    <row r="939" spans="1:11" s="24" customFormat="1">
      <c r="A939" s="40"/>
      <c r="B939" s="106"/>
      <c r="C939" s="103"/>
      <c r="D939" s="41"/>
      <c r="E939" s="41"/>
      <c r="F939" s="41"/>
      <c r="G939" s="25"/>
      <c r="H939" s="57"/>
      <c r="I939" s="57"/>
      <c r="K939" s="28"/>
    </row>
    <row r="940" spans="1:11" s="24" customFormat="1">
      <c r="A940" s="40"/>
      <c r="B940" s="106"/>
      <c r="C940" s="103"/>
      <c r="D940" s="41"/>
      <c r="E940" s="41"/>
      <c r="F940" s="41"/>
      <c r="G940" s="25"/>
      <c r="H940" s="57"/>
      <c r="I940" s="57"/>
      <c r="K940" s="28"/>
    </row>
    <row r="941" spans="1:11" s="24" customFormat="1">
      <c r="A941" s="40"/>
      <c r="B941" s="106"/>
      <c r="C941" s="103"/>
      <c r="D941" s="41"/>
      <c r="E941" s="41"/>
      <c r="F941" s="41"/>
      <c r="G941" s="25"/>
      <c r="H941" s="57"/>
      <c r="I941" s="57"/>
      <c r="K941" s="28"/>
    </row>
    <row r="942" spans="1:11" s="24" customFormat="1">
      <c r="A942" s="40"/>
      <c r="B942" s="106"/>
      <c r="C942" s="103"/>
      <c r="D942" s="41"/>
      <c r="E942" s="41"/>
      <c r="F942" s="41"/>
      <c r="G942" s="25"/>
      <c r="H942" s="57"/>
      <c r="I942" s="57"/>
      <c r="K942" s="28"/>
    </row>
    <row r="943" spans="1:11" s="24" customFormat="1">
      <c r="A943" s="40"/>
      <c r="B943" s="106"/>
      <c r="C943" s="103"/>
      <c r="D943" s="41"/>
      <c r="E943" s="41"/>
      <c r="F943" s="41"/>
      <c r="G943" s="25"/>
      <c r="H943" s="57"/>
      <c r="I943" s="57"/>
      <c r="K943" s="28"/>
    </row>
    <row r="944" spans="1:11" s="24" customFormat="1">
      <c r="A944" s="40"/>
      <c r="B944" s="106"/>
      <c r="C944" s="103"/>
      <c r="D944" s="41"/>
      <c r="E944" s="41"/>
      <c r="F944" s="41"/>
      <c r="G944" s="25"/>
      <c r="H944" s="57"/>
      <c r="I944" s="57"/>
      <c r="K944" s="28"/>
    </row>
    <row r="945" spans="1:11" s="24" customFormat="1">
      <c r="A945" s="40"/>
      <c r="B945" s="106"/>
      <c r="C945" s="103"/>
      <c r="D945" s="41"/>
      <c r="E945" s="41"/>
      <c r="F945" s="41"/>
      <c r="G945" s="25"/>
      <c r="H945" s="57"/>
      <c r="I945" s="57"/>
      <c r="K945" s="28"/>
    </row>
    <row r="946" spans="1:11" s="24" customFormat="1">
      <c r="A946" s="40"/>
      <c r="B946" s="106"/>
      <c r="C946" s="103"/>
      <c r="D946" s="41"/>
      <c r="E946" s="41"/>
      <c r="F946" s="41"/>
      <c r="G946" s="25"/>
      <c r="H946" s="57"/>
      <c r="I946" s="57"/>
      <c r="K946" s="28"/>
    </row>
    <row r="947" spans="1:11" s="24" customFormat="1">
      <c r="A947" s="40"/>
      <c r="B947" s="106"/>
      <c r="C947" s="103"/>
      <c r="D947" s="41"/>
      <c r="E947" s="41"/>
      <c r="F947" s="41"/>
      <c r="G947" s="25"/>
      <c r="H947" s="57"/>
      <c r="I947" s="57"/>
      <c r="K947" s="28"/>
    </row>
    <row r="948" spans="1:11" s="24" customFormat="1">
      <c r="A948" s="40"/>
      <c r="B948" s="106"/>
      <c r="C948" s="103"/>
      <c r="D948" s="41"/>
      <c r="E948" s="41"/>
      <c r="F948" s="41"/>
      <c r="G948" s="25"/>
      <c r="H948" s="57"/>
      <c r="I948" s="57"/>
      <c r="K948" s="28"/>
    </row>
    <row r="949" spans="1:11" s="24" customFormat="1">
      <c r="A949" s="40"/>
      <c r="B949" s="106"/>
      <c r="C949" s="103"/>
      <c r="D949" s="41"/>
      <c r="E949" s="41"/>
      <c r="F949" s="41"/>
      <c r="G949" s="25"/>
      <c r="H949" s="57"/>
      <c r="I949" s="57"/>
      <c r="K949" s="28"/>
    </row>
    <row r="950" spans="1:11" s="24" customFormat="1">
      <c r="A950" s="40"/>
      <c r="B950" s="106"/>
      <c r="C950" s="103"/>
      <c r="D950" s="41"/>
      <c r="E950" s="41"/>
      <c r="F950" s="41"/>
      <c r="G950" s="25"/>
      <c r="H950" s="57"/>
      <c r="I950" s="57"/>
      <c r="K950" s="28"/>
    </row>
    <row r="951" spans="1:11" s="24" customFormat="1">
      <c r="A951" s="40"/>
      <c r="B951" s="106"/>
      <c r="C951" s="103"/>
      <c r="D951" s="41"/>
      <c r="E951" s="41"/>
      <c r="F951" s="41"/>
      <c r="G951" s="25"/>
      <c r="H951" s="57"/>
      <c r="I951" s="57"/>
      <c r="K951" s="28"/>
    </row>
    <row r="952" spans="1:11" s="24" customFormat="1">
      <c r="A952" s="40"/>
      <c r="B952" s="106"/>
      <c r="C952" s="103"/>
      <c r="D952" s="41"/>
      <c r="E952" s="41"/>
      <c r="F952" s="41"/>
      <c r="G952" s="25"/>
      <c r="H952" s="57"/>
      <c r="I952" s="57"/>
      <c r="K952" s="28"/>
    </row>
    <row r="953" spans="1:11" s="24" customFormat="1">
      <c r="A953" s="40"/>
      <c r="B953" s="106"/>
      <c r="C953" s="103"/>
      <c r="D953" s="41"/>
      <c r="E953" s="41"/>
      <c r="F953" s="41"/>
      <c r="G953" s="25"/>
      <c r="H953" s="57"/>
      <c r="I953" s="57"/>
      <c r="K953" s="28"/>
    </row>
    <row r="954" spans="1:11" s="24" customFormat="1">
      <c r="A954" s="40"/>
      <c r="B954" s="106"/>
      <c r="C954" s="103"/>
      <c r="D954" s="41"/>
      <c r="E954" s="41"/>
      <c r="F954" s="41"/>
      <c r="G954" s="25"/>
      <c r="H954" s="57"/>
      <c r="I954" s="57"/>
      <c r="K954" s="28"/>
    </row>
    <row r="955" spans="1:11" s="24" customFormat="1">
      <c r="A955" s="40"/>
      <c r="B955" s="106"/>
      <c r="C955" s="103"/>
      <c r="D955" s="41"/>
      <c r="E955" s="41"/>
      <c r="F955" s="41"/>
      <c r="G955" s="25"/>
      <c r="H955" s="57"/>
      <c r="I955" s="57"/>
      <c r="K955" s="28"/>
    </row>
    <row r="956" spans="1:11" s="24" customFormat="1">
      <c r="A956" s="40"/>
      <c r="B956" s="106"/>
      <c r="C956" s="103"/>
      <c r="D956" s="41"/>
      <c r="E956" s="41"/>
      <c r="F956" s="41"/>
      <c r="G956" s="25"/>
      <c r="H956" s="57"/>
      <c r="I956" s="57"/>
      <c r="K956" s="28"/>
    </row>
    <row r="957" spans="1:11" s="24" customFormat="1">
      <c r="A957" s="40"/>
      <c r="B957" s="106"/>
      <c r="C957" s="103"/>
      <c r="D957" s="41"/>
      <c r="E957" s="41"/>
      <c r="F957" s="41"/>
      <c r="G957" s="25"/>
      <c r="H957" s="57"/>
      <c r="I957" s="57"/>
      <c r="K957" s="28"/>
    </row>
    <row r="958" spans="1:11" s="24" customFormat="1">
      <c r="A958" s="40"/>
      <c r="B958" s="106"/>
      <c r="C958" s="103"/>
      <c r="D958" s="41"/>
      <c r="E958" s="41"/>
      <c r="F958" s="41"/>
      <c r="G958" s="25"/>
      <c r="H958" s="57"/>
      <c r="I958" s="57"/>
      <c r="K958" s="28"/>
    </row>
    <row r="959" spans="1:11" s="24" customFormat="1">
      <c r="A959" s="40"/>
      <c r="B959" s="106"/>
      <c r="C959" s="103"/>
      <c r="D959" s="41"/>
      <c r="E959" s="41"/>
      <c r="F959" s="41"/>
      <c r="G959" s="25"/>
      <c r="H959" s="57"/>
      <c r="I959" s="57"/>
      <c r="K959" s="28"/>
    </row>
    <row r="960" spans="1:11" s="24" customFormat="1">
      <c r="A960" s="40"/>
      <c r="B960" s="106"/>
      <c r="C960" s="103"/>
      <c r="D960" s="41"/>
      <c r="E960" s="41"/>
      <c r="F960" s="41"/>
      <c r="G960" s="25"/>
      <c r="H960" s="57"/>
      <c r="I960" s="57"/>
      <c r="K960" s="28"/>
    </row>
    <row r="961" spans="1:11" s="24" customFormat="1">
      <c r="A961" s="40"/>
      <c r="B961" s="106"/>
      <c r="C961" s="103"/>
      <c r="D961" s="41"/>
      <c r="E961" s="41"/>
      <c r="F961" s="41"/>
      <c r="G961" s="25"/>
      <c r="H961" s="57"/>
      <c r="I961" s="57"/>
      <c r="K961" s="28"/>
    </row>
    <row r="962" spans="1:11" s="24" customFormat="1">
      <c r="A962" s="40"/>
      <c r="B962" s="106"/>
      <c r="C962" s="103"/>
      <c r="D962" s="41"/>
      <c r="E962" s="41"/>
      <c r="F962" s="41"/>
      <c r="G962" s="25"/>
      <c r="H962" s="57"/>
      <c r="I962" s="57"/>
      <c r="K962" s="28"/>
    </row>
    <row r="963" spans="1:11" s="24" customFormat="1">
      <c r="A963" s="40"/>
      <c r="B963" s="106"/>
      <c r="C963" s="103"/>
      <c r="D963" s="41"/>
      <c r="E963" s="41"/>
      <c r="F963" s="41"/>
      <c r="G963" s="25"/>
      <c r="H963" s="57"/>
      <c r="I963" s="57"/>
      <c r="K963" s="28"/>
    </row>
    <row r="964" spans="1:11" s="24" customFormat="1">
      <c r="A964" s="40"/>
      <c r="B964" s="106"/>
      <c r="C964" s="103"/>
      <c r="D964" s="41"/>
      <c r="E964" s="41"/>
      <c r="F964" s="41"/>
      <c r="G964" s="25"/>
      <c r="H964" s="57"/>
      <c r="I964" s="57"/>
      <c r="K964" s="28"/>
    </row>
    <row r="965" spans="1:11" s="24" customFormat="1">
      <c r="A965" s="40"/>
      <c r="B965" s="106"/>
      <c r="C965" s="103"/>
      <c r="D965" s="41"/>
      <c r="E965" s="41"/>
      <c r="F965" s="41"/>
      <c r="G965" s="25"/>
      <c r="H965" s="57"/>
      <c r="I965" s="57"/>
      <c r="K965" s="28"/>
    </row>
    <row r="966" spans="1:11" s="24" customFormat="1">
      <c r="A966" s="40"/>
      <c r="B966" s="106"/>
      <c r="C966" s="103"/>
      <c r="D966" s="41"/>
      <c r="E966" s="41"/>
      <c r="F966" s="41"/>
      <c r="G966" s="25"/>
      <c r="H966" s="57"/>
      <c r="I966" s="57"/>
      <c r="K966" s="28"/>
    </row>
    <row r="967" spans="1:11" s="24" customFormat="1">
      <c r="A967" s="40"/>
      <c r="B967" s="106"/>
      <c r="C967" s="103"/>
      <c r="D967" s="41"/>
      <c r="E967" s="41"/>
      <c r="F967" s="41"/>
      <c r="G967" s="25"/>
      <c r="H967" s="57"/>
      <c r="I967" s="57"/>
      <c r="K967" s="28"/>
    </row>
    <row r="968" spans="1:11" s="24" customFormat="1">
      <c r="A968" s="40"/>
      <c r="B968" s="106"/>
      <c r="C968" s="103"/>
      <c r="D968" s="41"/>
      <c r="E968" s="41"/>
      <c r="F968" s="41"/>
      <c r="G968" s="25"/>
      <c r="H968" s="57"/>
      <c r="I968" s="57"/>
      <c r="K968" s="28"/>
    </row>
    <row r="969" spans="1:11" s="24" customFormat="1">
      <c r="A969" s="40"/>
      <c r="B969" s="106"/>
      <c r="C969" s="103"/>
      <c r="D969" s="41"/>
      <c r="E969" s="41"/>
      <c r="F969" s="41"/>
      <c r="G969" s="25"/>
      <c r="H969" s="57"/>
      <c r="I969" s="57"/>
      <c r="K969" s="28"/>
    </row>
    <row r="970" spans="1:11" s="24" customFormat="1">
      <c r="A970" s="40"/>
      <c r="B970" s="106"/>
      <c r="C970" s="103"/>
      <c r="D970" s="41"/>
      <c r="E970" s="41"/>
      <c r="F970" s="41"/>
      <c r="G970" s="25"/>
      <c r="H970" s="57"/>
      <c r="I970" s="57"/>
      <c r="K970" s="28"/>
    </row>
    <row r="971" spans="1:11" s="24" customFormat="1">
      <c r="A971" s="40"/>
      <c r="B971" s="106"/>
      <c r="C971" s="103"/>
      <c r="D971" s="41"/>
      <c r="E971" s="41"/>
      <c r="F971" s="41"/>
      <c r="G971" s="25"/>
      <c r="H971" s="57"/>
      <c r="I971" s="57"/>
      <c r="K971" s="28"/>
    </row>
    <row r="972" spans="1:11" s="24" customFormat="1">
      <c r="A972" s="40"/>
      <c r="B972" s="106"/>
      <c r="C972" s="103"/>
      <c r="D972" s="41"/>
      <c r="E972" s="41"/>
      <c r="F972" s="41"/>
      <c r="G972" s="25"/>
      <c r="H972" s="57"/>
      <c r="I972" s="57"/>
      <c r="K972" s="28"/>
    </row>
    <row r="973" spans="1:11" s="24" customFormat="1">
      <c r="A973" s="40"/>
      <c r="B973" s="106"/>
      <c r="C973" s="103"/>
      <c r="D973" s="41"/>
      <c r="E973" s="41"/>
      <c r="F973" s="41"/>
      <c r="G973" s="25"/>
      <c r="H973" s="57"/>
      <c r="I973" s="57"/>
      <c r="K973" s="28"/>
    </row>
    <row r="974" spans="1:11" s="24" customFormat="1">
      <c r="A974" s="40"/>
      <c r="B974" s="106"/>
      <c r="C974" s="103"/>
      <c r="D974" s="41"/>
      <c r="E974" s="41"/>
      <c r="F974" s="41"/>
      <c r="G974" s="25"/>
      <c r="H974" s="57"/>
      <c r="I974" s="57"/>
      <c r="K974" s="28"/>
    </row>
    <row r="975" spans="1:11" s="24" customFormat="1">
      <c r="A975" s="40"/>
      <c r="B975" s="106"/>
      <c r="C975" s="103"/>
      <c r="D975" s="41"/>
      <c r="E975" s="41"/>
      <c r="F975" s="41"/>
      <c r="G975" s="25"/>
      <c r="H975" s="57"/>
      <c r="I975" s="57"/>
      <c r="K975" s="28"/>
    </row>
    <row r="976" spans="1:11" s="24" customFormat="1">
      <c r="A976" s="40"/>
      <c r="B976" s="106"/>
      <c r="C976" s="103"/>
      <c r="D976" s="41"/>
      <c r="E976" s="41"/>
      <c r="F976" s="41"/>
      <c r="G976" s="25"/>
      <c r="H976" s="57"/>
      <c r="I976" s="57"/>
      <c r="K976" s="28"/>
    </row>
    <row r="977" spans="1:11" s="24" customFormat="1">
      <c r="A977" s="40"/>
      <c r="B977" s="106"/>
      <c r="C977" s="103"/>
      <c r="D977" s="41"/>
      <c r="E977" s="41"/>
      <c r="F977" s="41"/>
      <c r="G977" s="25"/>
      <c r="H977" s="57"/>
      <c r="I977" s="57"/>
      <c r="K977" s="28"/>
    </row>
    <row r="978" spans="1:11" s="24" customFormat="1">
      <c r="A978" s="40"/>
      <c r="B978" s="106"/>
      <c r="C978" s="103"/>
      <c r="D978" s="41"/>
      <c r="E978" s="41"/>
      <c r="F978" s="41"/>
      <c r="G978" s="25"/>
      <c r="H978" s="57"/>
      <c r="I978" s="57"/>
      <c r="K978" s="28"/>
    </row>
    <row r="979" spans="1:11" s="24" customFormat="1">
      <c r="A979" s="40"/>
      <c r="B979" s="106"/>
      <c r="C979" s="103"/>
      <c r="D979" s="41"/>
      <c r="E979" s="41"/>
      <c r="F979" s="41"/>
      <c r="G979" s="25"/>
      <c r="H979" s="57"/>
      <c r="I979" s="57"/>
      <c r="K979" s="28"/>
    </row>
    <row r="980" spans="1:11" s="24" customFormat="1">
      <c r="A980" s="40"/>
      <c r="B980" s="106"/>
      <c r="C980" s="103"/>
      <c r="D980" s="41"/>
      <c r="E980" s="41"/>
      <c r="F980" s="41"/>
      <c r="G980" s="25"/>
      <c r="H980" s="57"/>
      <c r="I980" s="57"/>
      <c r="K980" s="28"/>
    </row>
    <row r="981" spans="1:11" s="24" customFormat="1">
      <c r="A981" s="40"/>
      <c r="B981" s="106"/>
      <c r="C981" s="103"/>
      <c r="D981" s="41"/>
      <c r="E981" s="41"/>
      <c r="F981" s="41"/>
      <c r="G981" s="25"/>
      <c r="H981" s="57"/>
      <c r="I981" s="57"/>
      <c r="K981" s="28"/>
    </row>
    <row r="982" spans="1:11" s="24" customFormat="1">
      <c r="A982" s="40"/>
      <c r="B982" s="106"/>
      <c r="C982" s="103"/>
      <c r="D982" s="41"/>
      <c r="E982" s="41"/>
      <c r="F982" s="41"/>
      <c r="G982" s="25"/>
      <c r="H982" s="57"/>
      <c r="I982" s="57"/>
      <c r="K982" s="28"/>
    </row>
    <row r="983" spans="1:11" s="24" customFormat="1">
      <c r="A983" s="40"/>
      <c r="B983" s="106"/>
      <c r="C983" s="103"/>
      <c r="D983" s="41"/>
      <c r="E983" s="41"/>
      <c r="F983" s="41"/>
      <c r="G983" s="25"/>
      <c r="H983" s="57"/>
      <c r="I983" s="57"/>
      <c r="K983" s="28"/>
    </row>
    <row r="984" spans="1:11" s="24" customFormat="1">
      <c r="A984" s="40"/>
      <c r="B984" s="106"/>
      <c r="C984" s="103"/>
      <c r="D984" s="41"/>
      <c r="E984" s="41"/>
      <c r="F984" s="41"/>
      <c r="G984" s="25"/>
      <c r="H984" s="57"/>
      <c r="I984" s="57"/>
      <c r="K984" s="28"/>
    </row>
    <row r="985" spans="1:11" s="24" customFormat="1">
      <c r="A985" s="40"/>
      <c r="B985" s="106"/>
      <c r="C985" s="103"/>
      <c r="D985" s="41"/>
      <c r="E985" s="41"/>
      <c r="F985" s="41"/>
      <c r="G985" s="25"/>
      <c r="H985" s="57"/>
      <c r="I985" s="57"/>
      <c r="K985" s="28"/>
    </row>
    <row r="986" spans="1:11" s="24" customFormat="1">
      <c r="A986" s="40"/>
      <c r="B986" s="106"/>
      <c r="C986" s="103"/>
      <c r="D986" s="41"/>
      <c r="E986" s="41"/>
      <c r="F986" s="41"/>
      <c r="G986" s="25"/>
      <c r="H986" s="57"/>
      <c r="I986" s="57"/>
      <c r="K986" s="28"/>
    </row>
    <row r="987" spans="1:11" s="24" customFormat="1">
      <c r="A987" s="40"/>
      <c r="B987" s="106"/>
      <c r="C987" s="103"/>
      <c r="D987" s="41"/>
      <c r="E987" s="41"/>
      <c r="F987" s="41"/>
      <c r="G987" s="25"/>
      <c r="H987" s="57"/>
      <c r="I987" s="57"/>
      <c r="K987" s="28"/>
    </row>
    <row r="988" spans="1:11" s="24" customFormat="1">
      <c r="A988" s="40"/>
      <c r="B988" s="106"/>
      <c r="C988" s="103"/>
      <c r="D988" s="41"/>
      <c r="E988" s="41"/>
      <c r="F988" s="41"/>
      <c r="G988" s="25"/>
      <c r="H988" s="57"/>
      <c r="I988" s="57"/>
      <c r="K988" s="28"/>
    </row>
    <row r="989" spans="1:11" s="24" customFormat="1">
      <c r="A989" s="40"/>
      <c r="B989" s="106"/>
      <c r="C989" s="103"/>
      <c r="D989" s="41"/>
      <c r="E989" s="41"/>
      <c r="F989" s="41"/>
      <c r="G989" s="25"/>
      <c r="H989" s="57"/>
      <c r="I989" s="57"/>
      <c r="K989" s="28"/>
    </row>
    <row r="990" spans="1:11" s="24" customFormat="1">
      <c r="A990" s="40"/>
      <c r="B990" s="106"/>
      <c r="C990" s="103"/>
      <c r="D990" s="41"/>
      <c r="E990" s="41"/>
      <c r="F990" s="41"/>
      <c r="G990" s="25"/>
      <c r="H990" s="57"/>
      <c r="I990" s="57"/>
      <c r="K990" s="28"/>
    </row>
    <row r="991" spans="1:11" s="24" customFormat="1">
      <c r="A991" s="40"/>
      <c r="B991" s="106"/>
      <c r="C991" s="103"/>
      <c r="D991" s="41"/>
      <c r="E991" s="41"/>
      <c r="F991" s="41"/>
      <c r="G991" s="25"/>
      <c r="H991" s="57"/>
      <c r="I991" s="57"/>
      <c r="K991" s="28"/>
    </row>
    <row r="992" spans="1:11" s="24" customFormat="1">
      <c r="A992" s="40"/>
      <c r="B992" s="106"/>
      <c r="C992" s="103"/>
      <c r="D992" s="41"/>
      <c r="E992" s="41"/>
      <c r="F992" s="41"/>
      <c r="G992" s="25"/>
      <c r="H992" s="57"/>
      <c r="I992" s="57"/>
      <c r="K992" s="28"/>
    </row>
    <row r="993" spans="1:11" s="24" customFormat="1">
      <c r="A993" s="40"/>
      <c r="B993" s="106"/>
      <c r="C993" s="103"/>
      <c r="D993" s="41"/>
      <c r="E993" s="41"/>
      <c r="F993" s="41"/>
      <c r="G993" s="25"/>
      <c r="H993" s="57"/>
      <c r="I993" s="57"/>
      <c r="K993" s="28"/>
    </row>
    <row r="994" spans="1:11" s="24" customFormat="1">
      <c r="A994" s="40"/>
      <c r="B994" s="106"/>
      <c r="C994" s="103"/>
      <c r="D994" s="41"/>
      <c r="E994" s="41"/>
      <c r="F994" s="41"/>
      <c r="G994" s="25"/>
      <c r="H994" s="57"/>
      <c r="I994" s="57"/>
      <c r="K994" s="28"/>
    </row>
    <row r="995" spans="1:11" s="24" customFormat="1">
      <c r="A995" s="40"/>
      <c r="B995" s="106"/>
      <c r="C995" s="103"/>
      <c r="D995" s="41"/>
      <c r="E995" s="41"/>
      <c r="F995" s="41"/>
      <c r="G995" s="25"/>
      <c r="H995" s="57"/>
      <c r="I995" s="57"/>
      <c r="K995" s="28"/>
    </row>
    <row r="996" spans="1:11" s="24" customFormat="1">
      <c r="A996" s="40"/>
      <c r="B996" s="106"/>
      <c r="C996" s="103"/>
      <c r="D996" s="41"/>
      <c r="E996" s="41"/>
      <c r="F996" s="41"/>
      <c r="G996" s="25"/>
      <c r="H996" s="57"/>
      <c r="I996" s="57"/>
      <c r="K996" s="28"/>
    </row>
    <row r="997" spans="1:11" s="24" customFormat="1">
      <c r="A997" s="40"/>
      <c r="B997" s="106"/>
      <c r="C997" s="103"/>
      <c r="D997" s="41"/>
      <c r="E997" s="41"/>
      <c r="F997" s="41"/>
      <c r="G997" s="25"/>
      <c r="H997" s="57"/>
      <c r="I997" s="57"/>
      <c r="K997" s="28"/>
    </row>
    <row r="998" spans="1:11" s="24" customFormat="1">
      <c r="A998" s="40"/>
      <c r="B998" s="106"/>
      <c r="C998" s="103"/>
      <c r="D998" s="41"/>
      <c r="E998" s="41"/>
      <c r="F998" s="41"/>
      <c r="G998" s="25"/>
      <c r="H998" s="57"/>
      <c r="I998" s="57"/>
      <c r="K998" s="28"/>
    </row>
    <row r="999" spans="1:11" s="24" customFormat="1">
      <c r="A999" s="40"/>
      <c r="B999" s="106"/>
      <c r="C999" s="103"/>
      <c r="D999" s="41"/>
      <c r="E999" s="41"/>
      <c r="F999" s="41"/>
      <c r="G999" s="25"/>
      <c r="H999" s="57"/>
      <c r="I999" s="57"/>
      <c r="K999" s="28"/>
    </row>
    <row r="1000" spans="1:11" s="24" customFormat="1">
      <c r="A1000" s="40"/>
      <c r="B1000" s="106"/>
      <c r="C1000" s="103"/>
      <c r="D1000" s="41"/>
      <c r="E1000" s="41"/>
      <c r="F1000" s="41"/>
      <c r="G1000" s="25"/>
      <c r="H1000" s="57"/>
      <c r="I1000" s="57"/>
      <c r="K1000" s="28"/>
    </row>
    <row r="1001" spans="1:11" s="24" customFormat="1">
      <c r="A1001" s="40"/>
      <c r="B1001" s="106"/>
      <c r="C1001" s="103"/>
      <c r="D1001" s="41"/>
      <c r="E1001" s="41"/>
      <c r="F1001" s="41"/>
      <c r="G1001" s="25"/>
      <c r="H1001" s="57"/>
      <c r="I1001" s="57"/>
      <c r="K1001" s="28"/>
    </row>
    <row r="1002" spans="1:11" s="24" customFormat="1">
      <c r="A1002" s="40"/>
      <c r="B1002" s="106"/>
      <c r="C1002" s="103"/>
      <c r="D1002" s="41"/>
      <c r="E1002" s="41"/>
      <c r="F1002" s="41"/>
      <c r="G1002" s="25"/>
      <c r="H1002" s="57"/>
      <c r="I1002" s="57"/>
      <c r="K1002" s="28"/>
    </row>
    <row r="1003" spans="1:11" s="24" customFormat="1">
      <c r="A1003" s="40"/>
      <c r="B1003" s="106"/>
      <c r="C1003" s="103"/>
      <c r="D1003" s="41"/>
      <c r="E1003" s="41"/>
      <c r="F1003" s="41"/>
      <c r="G1003" s="25"/>
      <c r="H1003" s="57"/>
      <c r="I1003" s="57"/>
      <c r="K1003" s="28"/>
    </row>
    <row r="1004" spans="1:11" s="24" customFormat="1">
      <c r="A1004" s="40"/>
      <c r="B1004" s="106"/>
      <c r="C1004" s="103"/>
      <c r="D1004" s="41"/>
      <c r="E1004" s="41"/>
      <c r="F1004" s="41"/>
      <c r="G1004" s="25"/>
      <c r="H1004" s="57"/>
      <c r="I1004" s="57"/>
      <c r="K1004" s="28"/>
    </row>
    <row r="1005" spans="1:11" s="24" customFormat="1">
      <c r="A1005" s="40"/>
      <c r="B1005" s="106"/>
      <c r="C1005" s="103"/>
      <c r="D1005" s="41"/>
      <c r="E1005" s="41"/>
      <c r="F1005" s="41"/>
      <c r="G1005" s="25"/>
      <c r="H1005" s="57"/>
      <c r="I1005" s="57"/>
      <c r="K1005" s="28"/>
    </row>
    <row r="1006" spans="1:11" s="24" customFormat="1">
      <c r="A1006" s="40"/>
      <c r="B1006" s="106"/>
      <c r="C1006" s="103"/>
      <c r="D1006" s="41"/>
      <c r="E1006" s="41"/>
      <c r="F1006" s="41"/>
      <c r="G1006" s="25"/>
      <c r="H1006" s="57"/>
      <c r="I1006" s="57"/>
      <c r="K1006" s="28"/>
    </row>
    <row r="1007" spans="1:11" s="24" customFormat="1">
      <c r="A1007" s="40"/>
      <c r="B1007" s="106"/>
      <c r="C1007" s="103"/>
      <c r="D1007" s="41"/>
      <c r="E1007" s="41"/>
      <c r="F1007" s="41"/>
      <c r="G1007" s="25"/>
      <c r="H1007" s="57"/>
      <c r="I1007" s="57"/>
      <c r="K1007" s="28"/>
    </row>
    <row r="1008" spans="1:11" s="24" customFormat="1">
      <c r="A1008" s="40"/>
      <c r="B1008" s="106"/>
      <c r="C1008" s="103"/>
      <c r="D1008" s="41"/>
      <c r="E1008" s="41"/>
      <c r="F1008" s="41"/>
      <c r="G1008" s="25"/>
      <c r="H1008" s="57"/>
      <c r="I1008" s="57"/>
      <c r="K1008" s="28"/>
    </row>
    <row r="1009" spans="1:11" s="24" customFormat="1">
      <c r="A1009" s="40"/>
      <c r="B1009" s="106"/>
      <c r="C1009" s="103"/>
      <c r="D1009" s="41"/>
      <c r="E1009" s="41"/>
      <c r="F1009" s="41"/>
      <c r="G1009" s="25"/>
      <c r="H1009" s="57"/>
      <c r="I1009" s="57"/>
      <c r="K1009" s="28"/>
    </row>
    <row r="1010" spans="1:11" s="24" customFormat="1">
      <c r="A1010" s="40"/>
      <c r="B1010" s="106"/>
      <c r="C1010" s="103"/>
      <c r="D1010" s="41"/>
      <c r="E1010" s="41"/>
      <c r="F1010" s="41"/>
      <c r="G1010" s="25"/>
      <c r="H1010" s="57"/>
      <c r="I1010" s="57"/>
      <c r="K1010" s="28"/>
    </row>
    <row r="1011" spans="1:11" s="24" customFormat="1">
      <c r="A1011" s="40"/>
      <c r="B1011" s="106"/>
      <c r="C1011" s="103"/>
      <c r="D1011" s="41"/>
      <c r="E1011" s="41"/>
      <c r="F1011" s="41"/>
      <c r="G1011" s="25"/>
      <c r="H1011" s="57"/>
      <c r="I1011" s="57"/>
      <c r="K1011" s="28"/>
    </row>
    <row r="1012" spans="1:11" s="24" customFormat="1">
      <c r="A1012" s="40"/>
      <c r="B1012" s="106"/>
      <c r="C1012" s="103"/>
      <c r="D1012" s="41"/>
      <c r="E1012" s="41"/>
      <c r="F1012" s="41"/>
      <c r="G1012" s="25"/>
      <c r="H1012" s="57"/>
      <c r="I1012" s="57"/>
      <c r="K1012" s="28"/>
    </row>
    <row r="1013" spans="1:11" s="24" customFormat="1">
      <c r="A1013" s="40"/>
      <c r="B1013" s="106"/>
      <c r="C1013" s="103"/>
      <c r="D1013" s="41"/>
      <c r="E1013" s="41"/>
      <c r="F1013" s="41"/>
      <c r="G1013" s="25"/>
      <c r="H1013" s="57"/>
      <c r="I1013" s="57"/>
      <c r="K1013" s="28"/>
    </row>
    <row r="1014" spans="1:11" s="24" customFormat="1">
      <c r="A1014" s="40"/>
      <c r="B1014" s="106"/>
      <c r="C1014" s="103"/>
      <c r="D1014" s="41"/>
      <c r="E1014" s="41"/>
      <c r="F1014" s="41"/>
      <c r="G1014" s="25"/>
      <c r="H1014" s="57"/>
      <c r="I1014" s="57"/>
      <c r="K1014" s="28"/>
    </row>
    <row r="1015" spans="1:11" s="24" customFormat="1">
      <c r="A1015" s="40"/>
      <c r="B1015" s="106"/>
      <c r="C1015" s="103"/>
      <c r="D1015" s="41"/>
      <c r="E1015" s="41"/>
      <c r="F1015" s="41"/>
      <c r="G1015" s="25"/>
      <c r="H1015" s="57"/>
      <c r="I1015" s="57"/>
      <c r="K1015" s="28"/>
    </row>
    <row r="1016" spans="1:11" s="24" customFormat="1">
      <c r="A1016" s="40"/>
      <c r="B1016" s="106"/>
      <c r="C1016" s="103"/>
      <c r="D1016" s="41"/>
      <c r="E1016" s="41"/>
      <c r="F1016" s="41"/>
      <c r="G1016" s="25"/>
      <c r="H1016" s="57"/>
      <c r="I1016" s="57"/>
      <c r="K1016" s="28"/>
    </row>
    <row r="1017" spans="1:11" s="24" customFormat="1">
      <c r="A1017" s="40"/>
      <c r="B1017" s="106"/>
      <c r="C1017" s="103"/>
      <c r="D1017" s="41"/>
      <c r="E1017" s="41"/>
      <c r="F1017" s="41"/>
      <c r="G1017" s="25"/>
      <c r="H1017" s="57"/>
      <c r="I1017" s="57"/>
      <c r="K1017" s="28"/>
    </row>
    <row r="1018" spans="1:11" s="24" customFormat="1">
      <c r="A1018" s="40"/>
      <c r="B1018" s="106"/>
      <c r="C1018" s="103"/>
      <c r="D1018" s="41"/>
      <c r="E1018" s="41"/>
      <c r="F1018" s="41"/>
      <c r="G1018" s="25"/>
      <c r="H1018" s="57"/>
      <c r="I1018" s="57"/>
      <c r="K1018" s="28"/>
    </row>
    <row r="1019" spans="1:11" s="24" customFormat="1">
      <c r="A1019" s="40"/>
      <c r="B1019" s="106"/>
      <c r="C1019" s="103"/>
      <c r="D1019" s="41"/>
      <c r="E1019" s="41"/>
      <c r="F1019" s="41"/>
      <c r="G1019" s="25"/>
      <c r="H1019" s="57"/>
      <c r="I1019" s="57"/>
      <c r="K1019" s="28"/>
    </row>
    <row r="1020" spans="1:11" s="24" customFormat="1">
      <c r="A1020" s="40"/>
      <c r="B1020" s="106"/>
      <c r="C1020" s="103"/>
      <c r="D1020" s="41"/>
      <c r="E1020" s="41"/>
      <c r="F1020" s="41"/>
      <c r="G1020" s="25"/>
      <c r="H1020" s="57"/>
      <c r="I1020" s="57"/>
      <c r="K1020" s="28"/>
    </row>
    <row r="1021" spans="1:11" s="24" customFormat="1">
      <c r="A1021" s="40"/>
      <c r="B1021" s="106"/>
      <c r="C1021" s="103"/>
      <c r="D1021" s="41"/>
      <c r="E1021" s="41"/>
      <c r="F1021" s="41"/>
      <c r="G1021" s="25"/>
      <c r="H1021" s="57"/>
      <c r="I1021" s="57"/>
      <c r="K1021" s="28"/>
    </row>
    <row r="1022" spans="1:11" s="24" customFormat="1">
      <c r="A1022" s="40"/>
      <c r="B1022" s="106"/>
      <c r="C1022" s="103"/>
      <c r="D1022" s="41"/>
      <c r="E1022" s="41"/>
      <c r="F1022" s="41"/>
      <c r="G1022" s="25"/>
      <c r="H1022" s="57"/>
      <c r="I1022" s="57"/>
      <c r="K1022" s="28"/>
    </row>
    <row r="1023" spans="1:11" s="24" customFormat="1">
      <c r="A1023" s="40"/>
      <c r="B1023" s="106"/>
      <c r="C1023" s="103"/>
      <c r="D1023" s="41"/>
      <c r="E1023" s="41"/>
      <c r="F1023" s="41"/>
      <c r="G1023" s="25"/>
      <c r="H1023" s="57"/>
      <c r="I1023" s="57"/>
      <c r="K1023" s="28"/>
    </row>
    <row r="1024" spans="1:11" s="24" customFormat="1">
      <c r="A1024" s="40"/>
      <c r="B1024" s="106"/>
      <c r="C1024" s="103"/>
      <c r="D1024" s="41"/>
      <c r="E1024" s="41"/>
      <c r="F1024" s="41"/>
      <c r="G1024" s="25"/>
      <c r="H1024" s="57"/>
      <c r="I1024" s="57"/>
      <c r="K1024" s="28"/>
    </row>
    <row r="1025" spans="1:11" s="24" customFormat="1">
      <c r="A1025" s="40"/>
      <c r="B1025" s="106"/>
      <c r="C1025" s="103"/>
      <c r="D1025" s="41"/>
      <c r="E1025" s="41"/>
      <c r="F1025" s="41"/>
      <c r="G1025" s="25"/>
      <c r="H1025" s="57"/>
      <c r="I1025" s="57"/>
      <c r="K1025" s="28"/>
    </row>
    <row r="1026" spans="1:11" s="24" customFormat="1">
      <c r="A1026" s="40"/>
      <c r="B1026" s="106"/>
      <c r="C1026" s="103"/>
      <c r="D1026" s="41"/>
      <c r="E1026" s="41"/>
      <c r="F1026" s="41"/>
      <c r="G1026" s="25"/>
      <c r="H1026" s="57"/>
      <c r="I1026" s="57"/>
      <c r="K1026" s="28"/>
    </row>
    <row r="1027" spans="1:11" s="24" customFormat="1">
      <c r="A1027" s="40"/>
      <c r="B1027" s="106"/>
      <c r="C1027" s="103"/>
      <c r="D1027" s="41"/>
      <c r="E1027" s="41"/>
      <c r="F1027" s="41"/>
      <c r="G1027" s="25"/>
      <c r="H1027" s="57"/>
      <c r="I1027" s="57"/>
      <c r="K1027" s="28"/>
    </row>
    <row r="1028" spans="1:11" s="24" customFormat="1">
      <c r="A1028" s="40"/>
      <c r="B1028" s="106"/>
      <c r="C1028" s="103"/>
      <c r="D1028" s="41"/>
      <c r="E1028" s="41"/>
      <c r="F1028" s="41"/>
      <c r="G1028" s="25"/>
      <c r="H1028" s="57"/>
      <c r="I1028" s="57"/>
      <c r="K1028" s="28"/>
    </row>
    <row r="1029" spans="1:11" s="24" customFormat="1">
      <c r="A1029" s="40"/>
      <c r="B1029" s="106"/>
      <c r="C1029" s="103"/>
      <c r="D1029" s="41"/>
      <c r="E1029" s="41"/>
      <c r="F1029" s="41"/>
      <c r="G1029" s="25"/>
      <c r="H1029" s="57"/>
      <c r="I1029" s="57"/>
      <c r="K1029" s="28"/>
    </row>
    <row r="1030" spans="1:11" s="24" customFormat="1">
      <c r="A1030" s="40"/>
      <c r="B1030" s="106"/>
      <c r="C1030" s="103"/>
      <c r="D1030" s="41"/>
      <c r="E1030" s="41"/>
      <c r="F1030" s="41"/>
      <c r="G1030" s="25"/>
      <c r="H1030" s="57"/>
      <c r="I1030" s="57"/>
      <c r="K1030" s="28"/>
    </row>
    <row r="1031" spans="1:11" s="24" customFormat="1">
      <c r="A1031" s="40"/>
      <c r="B1031" s="106"/>
      <c r="C1031" s="103"/>
      <c r="D1031" s="41"/>
      <c r="E1031" s="41"/>
      <c r="F1031" s="41"/>
      <c r="G1031" s="25"/>
      <c r="H1031" s="57"/>
      <c r="I1031" s="57"/>
      <c r="K1031" s="28"/>
    </row>
    <row r="1032" spans="1:11" s="24" customFormat="1">
      <c r="A1032" s="40"/>
      <c r="B1032" s="106"/>
      <c r="C1032" s="103"/>
      <c r="D1032" s="41"/>
      <c r="E1032" s="41"/>
      <c r="F1032" s="41"/>
      <c r="G1032" s="25"/>
      <c r="H1032" s="57"/>
      <c r="I1032" s="57"/>
      <c r="K1032" s="28"/>
    </row>
    <row r="1033" spans="1:11" s="24" customFormat="1">
      <c r="A1033" s="40"/>
      <c r="B1033" s="106"/>
      <c r="C1033" s="103"/>
      <c r="D1033" s="41"/>
      <c r="E1033" s="41"/>
      <c r="F1033" s="41"/>
      <c r="G1033" s="25"/>
      <c r="H1033" s="57"/>
      <c r="I1033" s="57"/>
      <c r="K1033" s="28"/>
    </row>
    <row r="1034" spans="1:11" s="24" customFormat="1">
      <c r="A1034" s="40"/>
      <c r="B1034" s="106"/>
      <c r="C1034" s="103"/>
      <c r="D1034" s="41"/>
      <c r="E1034" s="41"/>
      <c r="F1034" s="41"/>
      <c r="G1034" s="25"/>
      <c r="H1034" s="57"/>
      <c r="I1034" s="57"/>
      <c r="K1034" s="28"/>
    </row>
    <row r="1035" spans="1:11" s="24" customFormat="1">
      <c r="A1035" s="40"/>
      <c r="B1035" s="106"/>
      <c r="C1035" s="103"/>
      <c r="D1035" s="41"/>
      <c r="E1035" s="41"/>
      <c r="F1035" s="41"/>
      <c r="G1035" s="25"/>
      <c r="H1035" s="57"/>
      <c r="I1035" s="57"/>
      <c r="K1035" s="28"/>
    </row>
    <row r="1036" spans="1:11" s="24" customFormat="1">
      <c r="A1036" s="40"/>
      <c r="B1036" s="106"/>
      <c r="C1036" s="103"/>
      <c r="D1036" s="41"/>
      <c r="E1036" s="41"/>
      <c r="F1036" s="41"/>
      <c r="G1036" s="25"/>
      <c r="H1036" s="57"/>
      <c r="I1036" s="57"/>
      <c r="K1036" s="28"/>
    </row>
    <row r="1037" spans="1:11" s="24" customFormat="1">
      <c r="A1037" s="40"/>
      <c r="B1037" s="106"/>
      <c r="C1037" s="103"/>
      <c r="D1037" s="41"/>
      <c r="E1037" s="41"/>
      <c r="F1037" s="41"/>
      <c r="G1037" s="25"/>
      <c r="H1037" s="57"/>
      <c r="I1037" s="57"/>
      <c r="K1037" s="28"/>
    </row>
    <row r="1038" spans="1:11" s="24" customFormat="1">
      <c r="A1038" s="40"/>
      <c r="B1038" s="106"/>
      <c r="C1038" s="103"/>
      <c r="D1038" s="41"/>
      <c r="E1038" s="41"/>
      <c r="F1038" s="41"/>
      <c r="G1038" s="25"/>
      <c r="H1038" s="57"/>
      <c r="I1038" s="57"/>
      <c r="K1038" s="28"/>
    </row>
    <row r="1039" spans="1:11" s="24" customFormat="1">
      <c r="A1039" s="40"/>
      <c r="B1039" s="106"/>
      <c r="C1039" s="103"/>
      <c r="D1039" s="41"/>
      <c r="E1039" s="41"/>
      <c r="F1039" s="41"/>
      <c r="G1039" s="25"/>
      <c r="H1039" s="57"/>
      <c r="I1039" s="57"/>
      <c r="K1039" s="28"/>
    </row>
    <row r="1040" spans="1:11" s="24" customFormat="1">
      <c r="A1040" s="40"/>
      <c r="B1040" s="106"/>
      <c r="C1040" s="103"/>
      <c r="D1040" s="41"/>
      <c r="E1040" s="41"/>
      <c r="F1040" s="41"/>
      <c r="G1040" s="25"/>
      <c r="H1040" s="57"/>
      <c r="I1040" s="57"/>
      <c r="K1040" s="28"/>
    </row>
    <row r="1041" spans="1:11" s="24" customFormat="1">
      <c r="A1041" s="40"/>
      <c r="B1041" s="106"/>
      <c r="C1041" s="103"/>
      <c r="D1041" s="41"/>
      <c r="E1041" s="41"/>
      <c r="F1041" s="41"/>
      <c r="G1041" s="25"/>
      <c r="H1041" s="57"/>
      <c r="I1041" s="57"/>
      <c r="K1041" s="28"/>
    </row>
    <row r="1042" spans="1:11" s="24" customFormat="1">
      <c r="A1042" s="40"/>
      <c r="B1042" s="106"/>
      <c r="C1042" s="103"/>
      <c r="D1042" s="41"/>
      <c r="E1042" s="41"/>
      <c r="F1042" s="41"/>
      <c r="G1042" s="25"/>
      <c r="H1042" s="57"/>
      <c r="I1042" s="57"/>
      <c r="K1042" s="28"/>
    </row>
    <row r="1043" spans="1:11" s="24" customFormat="1">
      <c r="A1043" s="40"/>
      <c r="B1043" s="106"/>
      <c r="C1043" s="103"/>
      <c r="D1043" s="41"/>
      <c r="E1043" s="41"/>
      <c r="F1043" s="41"/>
      <c r="G1043" s="25"/>
      <c r="H1043" s="57"/>
      <c r="I1043" s="57"/>
      <c r="K1043" s="28"/>
    </row>
    <row r="1044" spans="1:11" s="24" customFormat="1">
      <c r="A1044" s="40"/>
      <c r="B1044" s="106"/>
      <c r="C1044" s="103"/>
      <c r="D1044" s="41"/>
      <c r="E1044" s="41"/>
      <c r="F1044" s="41"/>
      <c r="G1044" s="25"/>
      <c r="H1044" s="57"/>
      <c r="I1044" s="57"/>
      <c r="K1044" s="28"/>
    </row>
    <row r="1045" spans="1:11" s="24" customFormat="1">
      <c r="A1045" s="40"/>
      <c r="B1045" s="106"/>
      <c r="C1045" s="103"/>
      <c r="D1045" s="41"/>
      <c r="E1045" s="41"/>
      <c r="F1045" s="41"/>
      <c r="G1045" s="25"/>
      <c r="H1045" s="57"/>
      <c r="I1045" s="57"/>
      <c r="K1045" s="28"/>
    </row>
    <row r="1046" spans="1:11" s="24" customFormat="1">
      <c r="A1046" s="40"/>
      <c r="B1046" s="106"/>
      <c r="C1046" s="103"/>
      <c r="D1046" s="41"/>
      <c r="E1046" s="41"/>
      <c r="F1046" s="41"/>
      <c r="G1046" s="25"/>
      <c r="H1046" s="57"/>
      <c r="I1046" s="57"/>
      <c r="K1046" s="28"/>
    </row>
    <row r="1047" spans="1:11" s="24" customFormat="1">
      <c r="A1047" s="40"/>
      <c r="B1047" s="106"/>
      <c r="C1047" s="103"/>
      <c r="D1047" s="41"/>
      <c r="E1047" s="41"/>
      <c r="F1047" s="41"/>
      <c r="G1047" s="25"/>
      <c r="H1047" s="57"/>
      <c r="I1047" s="57"/>
      <c r="K1047" s="28"/>
    </row>
    <row r="1048" spans="1:11" s="24" customFormat="1">
      <c r="A1048" s="40"/>
      <c r="B1048" s="106"/>
      <c r="C1048" s="103"/>
      <c r="D1048" s="41"/>
      <c r="E1048" s="41"/>
      <c r="F1048" s="41"/>
      <c r="G1048" s="25"/>
      <c r="H1048" s="57"/>
      <c r="I1048" s="57"/>
      <c r="K1048" s="28"/>
    </row>
    <row r="1049" spans="1:11" s="24" customFormat="1">
      <c r="A1049" s="40"/>
      <c r="B1049" s="106"/>
      <c r="C1049" s="103"/>
      <c r="D1049" s="41"/>
      <c r="E1049" s="41"/>
      <c r="F1049" s="41"/>
      <c r="G1049" s="25"/>
      <c r="H1049" s="57"/>
      <c r="I1049" s="57"/>
      <c r="K1049" s="28"/>
    </row>
    <row r="1050" spans="1:11" s="24" customFormat="1">
      <c r="A1050" s="40"/>
      <c r="B1050" s="106"/>
      <c r="C1050" s="103"/>
      <c r="D1050" s="41"/>
      <c r="E1050" s="41"/>
      <c r="F1050" s="41"/>
      <c r="G1050" s="25"/>
      <c r="H1050" s="57"/>
      <c r="I1050" s="57"/>
      <c r="K1050" s="28"/>
    </row>
    <row r="1051" spans="1:11" s="24" customFormat="1">
      <c r="A1051" s="40"/>
      <c r="B1051" s="106"/>
      <c r="C1051" s="103"/>
      <c r="D1051" s="41"/>
      <c r="E1051" s="41"/>
      <c r="F1051" s="41"/>
      <c r="G1051" s="25"/>
      <c r="H1051" s="57"/>
      <c r="I1051" s="57"/>
      <c r="K1051" s="28"/>
    </row>
    <row r="1052" spans="1:11" s="24" customFormat="1">
      <c r="A1052" s="40"/>
      <c r="B1052" s="106"/>
      <c r="C1052" s="103"/>
      <c r="D1052" s="41"/>
      <c r="E1052" s="41"/>
      <c r="F1052" s="41"/>
      <c r="G1052" s="25"/>
      <c r="H1052" s="57"/>
      <c r="I1052" s="57"/>
      <c r="K1052" s="28"/>
    </row>
    <row r="1053" spans="1:11" s="24" customFormat="1">
      <c r="A1053" s="40"/>
      <c r="B1053" s="106"/>
      <c r="C1053" s="103"/>
      <c r="D1053" s="41"/>
      <c r="E1053" s="41"/>
      <c r="F1053" s="41"/>
      <c r="G1053" s="25"/>
      <c r="H1053" s="57"/>
      <c r="I1053" s="57"/>
      <c r="K1053" s="28"/>
    </row>
    <row r="1054" spans="1:11" s="24" customFormat="1">
      <c r="A1054" s="40"/>
      <c r="B1054" s="106"/>
      <c r="C1054" s="103"/>
      <c r="D1054" s="41"/>
      <c r="E1054" s="41"/>
      <c r="F1054" s="41"/>
      <c r="G1054" s="25"/>
      <c r="H1054" s="57"/>
      <c r="I1054" s="57"/>
      <c r="K1054" s="28"/>
    </row>
    <row r="1055" spans="1:11" s="24" customFormat="1">
      <c r="A1055" s="40"/>
      <c r="B1055" s="106"/>
      <c r="C1055" s="103"/>
      <c r="D1055" s="41"/>
      <c r="E1055" s="41"/>
      <c r="F1055" s="41"/>
      <c r="G1055" s="25"/>
      <c r="H1055" s="57"/>
      <c r="I1055" s="57"/>
      <c r="K1055" s="28"/>
    </row>
    <row r="1056" spans="1:11" s="24" customFormat="1">
      <c r="A1056" s="40"/>
      <c r="B1056" s="106"/>
      <c r="C1056" s="103"/>
      <c r="D1056" s="41"/>
      <c r="E1056" s="41"/>
      <c r="F1056" s="41"/>
      <c r="G1056" s="25"/>
      <c r="H1056" s="57"/>
      <c r="I1056" s="57"/>
      <c r="K1056" s="28"/>
    </row>
    <row r="1057" spans="1:11" s="24" customFormat="1">
      <c r="A1057" s="40"/>
      <c r="B1057" s="106"/>
      <c r="C1057" s="103"/>
      <c r="D1057" s="41"/>
      <c r="E1057" s="41"/>
      <c r="F1057" s="41"/>
      <c r="G1057" s="25"/>
      <c r="H1057" s="57"/>
      <c r="I1057" s="57"/>
      <c r="K1057" s="28"/>
    </row>
    <row r="1058" spans="1:11" s="24" customFormat="1">
      <c r="A1058" s="40"/>
      <c r="B1058" s="106"/>
      <c r="C1058" s="103"/>
      <c r="D1058" s="41"/>
      <c r="E1058" s="41"/>
      <c r="F1058" s="41"/>
      <c r="G1058" s="25"/>
      <c r="H1058" s="57"/>
      <c r="I1058" s="57"/>
      <c r="K1058" s="28"/>
    </row>
    <row r="1059" spans="1:11" s="24" customFormat="1">
      <c r="A1059" s="40"/>
      <c r="B1059" s="106"/>
      <c r="C1059" s="103"/>
      <c r="D1059" s="41"/>
      <c r="E1059" s="41"/>
      <c r="F1059" s="41"/>
      <c r="G1059" s="25"/>
      <c r="H1059" s="57"/>
      <c r="I1059" s="57"/>
      <c r="K1059" s="28"/>
    </row>
    <row r="1060" spans="1:11" s="24" customFormat="1">
      <c r="A1060" s="40"/>
      <c r="B1060" s="106"/>
      <c r="C1060" s="103"/>
      <c r="D1060" s="41"/>
      <c r="E1060" s="41"/>
      <c r="F1060" s="41"/>
      <c r="G1060" s="25"/>
      <c r="H1060" s="57"/>
      <c r="I1060" s="57"/>
      <c r="K1060" s="28"/>
    </row>
    <row r="1061" spans="1:11" s="24" customFormat="1">
      <c r="A1061" s="40"/>
      <c r="B1061" s="106"/>
      <c r="C1061" s="103"/>
      <c r="D1061" s="41"/>
      <c r="E1061" s="41"/>
      <c r="F1061" s="41"/>
      <c r="G1061" s="25"/>
      <c r="H1061" s="57"/>
      <c r="I1061" s="57"/>
      <c r="K1061" s="28"/>
    </row>
    <row r="1062" spans="1:11" s="24" customFormat="1">
      <c r="A1062" s="40"/>
      <c r="B1062" s="106"/>
      <c r="C1062" s="103"/>
      <c r="D1062" s="41"/>
      <c r="E1062" s="41"/>
      <c r="F1062" s="41"/>
      <c r="G1062" s="25"/>
      <c r="H1062" s="57"/>
      <c r="I1062" s="57"/>
      <c r="K1062" s="28"/>
    </row>
    <row r="1063" spans="1:11" s="24" customFormat="1">
      <c r="A1063" s="40"/>
      <c r="B1063" s="106"/>
      <c r="C1063" s="103"/>
      <c r="D1063" s="41"/>
      <c r="E1063" s="41"/>
      <c r="F1063" s="41"/>
      <c r="G1063" s="25"/>
      <c r="H1063" s="57"/>
      <c r="I1063" s="57"/>
      <c r="K1063" s="28"/>
    </row>
    <row r="1064" spans="1:11" s="24" customFormat="1">
      <c r="A1064" s="40"/>
      <c r="B1064" s="106"/>
      <c r="C1064" s="103"/>
      <c r="D1064" s="41"/>
      <c r="E1064" s="41"/>
      <c r="F1064" s="41"/>
      <c r="G1064" s="25"/>
      <c r="H1064" s="57"/>
      <c r="I1064" s="57"/>
      <c r="K1064" s="28"/>
    </row>
    <row r="1065" spans="1:11" s="24" customFormat="1">
      <c r="A1065" s="40"/>
      <c r="B1065" s="106"/>
      <c r="C1065" s="103"/>
      <c r="D1065" s="41"/>
      <c r="E1065" s="41"/>
      <c r="F1065" s="41"/>
      <c r="G1065" s="25"/>
      <c r="H1065" s="57"/>
      <c r="I1065" s="57"/>
      <c r="K1065" s="28"/>
    </row>
    <row r="1066" spans="1:11" s="24" customFormat="1">
      <c r="A1066" s="40"/>
      <c r="B1066" s="106"/>
      <c r="C1066" s="103"/>
      <c r="D1066" s="41"/>
      <c r="E1066" s="41"/>
      <c r="F1066" s="41"/>
      <c r="G1066" s="25"/>
      <c r="H1066" s="57"/>
      <c r="I1066" s="57"/>
      <c r="K1066" s="28"/>
    </row>
    <row r="1067" spans="1:11" s="24" customFormat="1">
      <c r="A1067" s="40"/>
      <c r="B1067" s="106"/>
      <c r="C1067" s="103"/>
      <c r="D1067" s="41"/>
      <c r="E1067" s="41"/>
      <c r="F1067" s="41"/>
      <c r="G1067" s="25"/>
      <c r="H1067" s="57"/>
      <c r="I1067" s="57"/>
      <c r="K1067" s="28"/>
    </row>
    <row r="1068" spans="1:11" s="24" customFormat="1">
      <c r="A1068" s="40"/>
      <c r="B1068" s="106"/>
      <c r="C1068" s="103"/>
      <c r="D1068" s="41"/>
      <c r="E1068" s="41"/>
      <c r="F1068" s="41"/>
      <c r="G1068" s="25"/>
      <c r="H1068" s="57"/>
      <c r="I1068" s="57"/>
      <c r="K1068" s="28"/>
    </row>
    <row r="1069" spans="1:11" s="24" customFormat="1">
      <c r="A1069" s="40"/>
      <c r="B1069" s="106"/>
      <c r="C1069" s="103"/>
      <c r="D1069" s="41"/>
      <c r="E1069" s="41"/>
      <c r="F1069" s="41"/>
      <c r="G1069" s="25"/>
      <c r="H1069" s="57"/>
      <c r="I1069" s="57"/>
      <c r="K1069" s="28"/>
    </row>
    <row r="1070" spans="1:11" s="24" customFormat="1">
      <c r="A1070" s="40"/>
      <c r="B1070" s="106"/>
      <c r="C1070" s="103"/>
      <c r="D1070" s="41"/>
      <c r="E1070" s="41"/>
      <c r="F1070" s="41"/>
      <c r="G1070" s="25"/>
      <c r="H1070" s="57"/>
      <c r="I1070" s="57"/>
      <c r="K1070" s="28"/>
    </row>
    <row r="1071" spans="1:11" s="24" customFormat="1">
      <c r="A1071" s="40"/>
      <c r="B1071" s="106"/>
      <c r="C1071" s="103"/>
      <c r="D1071" s="41"/>
      <c r="E1071" s="41"/>
      <c r="F1071" s="41"/>
      <c r="G1071" s="25"/>
      <c r="H1071" s="57"/>
      <c r="I1071" s="57"/>
      <c r="K1071" s="28"/>
    </row>
    <row r="1072" spans="1:11" s="24" customFormat="1">
      <c r="A1072" s="40"/>
      <c r="B1072" s="106"/>
      <c r="C1072" s="103"/>
      <c r="D1072" s="41"/>
      <c r="E1072" s="41"/>
      <c r="F1072" s="41"/>
      <c r="G1072" s="25"/>
      <c r="H1072" s="57"/>
      <c r="I1072" s="57"/>
      <c r="K1072" s="28"/>
    </row>
    <row r="1073" spans="1:11" s="24" customFormat="1">
      <c r="A1073" s="40"/>
      <c r="B1073" s="106"/>
      <c r="C1073" s="103"/>
      <c r="D1073" s="41"/>
      <c r="E1073" s="41"/>
      <c r="F1073" s="41"/>
      <c r="G1073" s="25"/>
      <c r="H1073" s="57"/>
      <c r="I1073" s="57"/>
      <c r="K1073" s="28"/>
    </row>
    <row r="1074" spans="1:11" s="24" customFormat="1">
      <c r="A1074" s="40"/>
      <c r="B1074" s="106"/>
      <c r="C1074" s="103"/>
      <c r="D1074" s="41"/>
      <c r="E1074" s="41"/>
      <c r="F1074" s="41"/>
      <c r="G1074" s="25"/>
      <c r="H1074" s="57"/>
      <c r="I1074" s="57"/>
      <c r="K1074" s="28"/>
    </row>
    <row r="1075" spans="1:11" s="24" customFormat="1">
      <c r="A1075" s="40"/>
      <c r="B1075" s="106"/>
      <c r="C1075" s="103"/>
      <c r="D1075" s="41"/>
      <c r="E1075" s="41"/>
      <c r="F1075" s="41"/>
      <c r="G1075" s="25"/>
      <c r="H1075" s="57"/>
      <c r="I1075" s="57"/>
      <c r="K1075" s="28"/>
    </row>
    <row r="1076" spans="1:11" s="24" customFormat="1">
      <c r="A1076" s="40"/>
      <c r="B1076" s="106"/>
      <c r="C1076" s="103"/>
      <c r="D1076" s="41"/>
      <c r="E1076" s="41"/>
      <c r="F1076" s="41"/>
      <c r="G1076" s="25"/>
      <c r="H1076" s="57"/>
      <c r="I1076" s="57"/>
      <c r="K1076" s="28"/>
    </row>
    <row r="1077" spans="1:11" s="24" customFormat="1">
      <c r="A1077" s="40"/>
      <c r="B1077" s="106"/>
      <c r="C1077" s="103"/>
      <c r="D1077" s="41"/>
      <c r="E1077" s="41"/>
      <c r="F1077" s="41"/>
      <c r="G1077" s="25"/>
      <c r="H1077" s="57"/>
      <c r="I1077" s="57"/>
      <c r="K1077" s="28"/>
    </row>
    <row r="1078" spans="1:11" s="24" customFormat="1">
      <c r="A1078" s="40"/>
      <c r="B1078" s="106"/>
      <c r="C1078" s="103"/>
      <c r="D1078" s="41"/>
      <c r="E1078" s="41"/>
      <c r="F1078" s="41"/>
      <c r="G1078" s="25"/>
      <c r="H1078" s="57"/>
      <c r="I1078" s="57"/>
      <c r="K1078" s="28"/>
    </row>
    <row r="1079" spans="1:11" s="24" customFormat="1">
      <c r="A1079" s="40"/>
      <c r="B1079" s="106"/>
      <c r="C1079" s="103"/>
      <c r="D1079" s="41"/>
      <c r="E1079" s="41"/>
      <c r="F1079" s="41"/>
      <c r="G1079" s="25"/>
      <c r="H1079" s="57"/>
      <c r="I1079" s="57"/>
      <c r="K1079" s="28"/>
    </row>
    <row r="1080" spans="1:11" s="24" customFormat="1">
      <c r="A1080" s="40"/>
      <c r="B1080" s="106"/>
      <c r="C1080" s="103"/>
      <c r="D1080" s="41"/>
      <c r="E1080" s="41"/>
      <c r="F1080" s="41"/>
      <c r="G1080" s="25"/>
      <c r="H1080" s="57"/>
      <c r="I1080" s="57"/>
      <c r="K1080" s="28"/>
    </row>
    <row r="1081" spans="1:11" s="24" customFormat="1">
      <c r="A1081" s="40"/>
      <c r="B1081" s="106"/>
      <c r="C1081" s="103"/>
      <c r="D1081" s="41"/>
      <c r="E1081" s="41"/>
      <c r="F1081" s="41"/>
      <c r="G1081" s="25"/>
      <c r="H1081" s="57"/>
      <c r="I1081" s="57"/>
      <c r="K1081" s="28"/>
    </row>
    <row r="1082" spans="1:11" s="24" customFormat="1">
      <c r="A1082" s="40"/>
      <c r="B1082" s="106"/>
      <c r="C1082" s="103"/>
      <c r="D1082" s="41"/>
      <c r="E1082" s="41"/>
      <c r="F1082" s="41"/>
      <c r="G1082" s="25"/>
      <c r="H1082" s="57"/>
      <c r="I1082" s="57"/>
      <c r="K1082" s="28"/>
    </row>
    <row r="1083" spans="1:11" s="24" customFormat="1">
      <c r="A1083" s="40"/>
      <c r="B1083" s="106"/>
      <c r="C1083" s="103"/>
      <c r="D1083" s="41"/>
      <c r="E1083" s="41"/>
      <c r="F1083" s="41"/>
      <c r="G1083" s="25"/>
      <c r="H1083" s="57"/>
      <c r="I1083" s="57"/>
      <c r="K1083" s="28"/>
    </row>
    <row r="1084" spans="1:11" s="24" customFormat="1">
      <c r="A1084" s="40"/>
      <c r="B1084" s="106"/>
      <c r="C1084" s="103"/>
      <c r="D1084" s="41"/>
      <c r="E1084" s="41"/>
      <c r="F1084" s="41"/>
      <c r="G1084" s="25"/>
      <c r="H1084" s="57"/>
      <c r="I1084" s="57"/>
      <c r="K1084" s="28"/>
    </row>
    <row r="1085" spans="1:11" s="24" customFormat="1">
      <c r="A1085" s="40"/>
      <c r="B1085" s="106"/>
      <c r="C1085" s="103"/>
      <c r="D1085" s="41"/>
      <c r="E1085" s="41"/>
      <c r="F1085" s="41"/>
      <c r="G1085" s="25"/>
      <c r="H1085" s="57"/>
      <c r="I1085" s="57"/>
      <c r="K1085" s="28"/>
    </row>
    <row r="1086" spans="1:11" s="24" customFormat="1">
      <c r="A1086" s="40"/>
      <c r="B1086" s="106"/>
      <c r="C1086" s="103"/>
      <c r="D1086" s="41"/>
      <c r="E1086" s="41"/>
      <c r="F1086" s="41"/>
      <c r="G1086" s="25"/>
      <c r="H1086" s="57"/>
      <c r="I1086" s="57"/>
      <c r="K1086" s="28"/>
    </row>
    <row r="1087" spans="1:11" s="24" customFormat="1">
      <c r="A1087" s="40"/>
      <c r="B1087" s="106"/>
      <c r="C1087" s="103"/>
      <c r="D1087" s="41"/>
      <c r="E1087" s="41"/>
      <c r="F1087" s="41"/>
      <c r="G1087" s="25"/>
      <c r="H1087" s="57"/>
      <c r="I1087" s="57"/>
      <c r="K1087" s="28"/>
    </row>
    <row r="1088" spans="1:11" s="24" customFormat="1">
      <c r="A1088" s="40"/>
      <c r="B1088" s="106"/>
      <c r="C1088" s="103"/>
      <c r="D1088" s="41"/>
      <c r="E1088" s="41"/>
      <c r="F1088" s="41"/>
      <c r="G1088" s="25"/>
      <c r="H1088" s="57"/>
      <c r="I1088" s="57"/>
      <c r="K1088" s="28"/>
    </row>
    <row r="1089" spans="1:11" s="24" customFormat="1">
      <c r="A1089" s="40"/>
      <c r="B1089" s="106"/>
      <c r="C1089" s="103"/>
      <c r="D1089" s="41"/>
      <c r="E1089" s="41"/>
      <c r="F1089" s="41"/>
      <c r="G1089" s="25"/>
      <c r="H1089" s="57"/>
      <c r="I1089" s="57"/>
      <c r="K1089" s="28"/>
    </row>
    <row r="1090" spans="1:11" s="24" customFormat="1">
      <c r="A1090" s="40"/>
      <c r="B1090" s="106"/>
      <c r="C1090" s="103"/>
      <c r="D1090" s="41"/>
      <c r="E1090" s="41"/>
      <c r="F1090" s="41"/>
      <c r="G1090" s="25"/>
      <c r="H1090" s="57"/>
      <c r="I1090" s="57"/>
      <c r="K1090" s="28"/>
    </row>
    <row r="1091" spans="1:11" s="24" customFormat="1">
      <c r="A1091" s="40"/>
      <c r="B1091" s="106"/>
      <c r="C1091" s="103"/>
      <c r="D1091" s="41"/>
      <c r="E1091" s="41"/>
      <c r="F1091" s="41"/>
      <c r="G1091" s="25"/>
      <c r="H1091" s="57"/>
      <c r="I1091" s="57"/>
      <c r="K1091" s="28"/>
    </row>
    <row r="1092" spans="1:11" s="24" customFormat="1">
      <c r="A1092" s="40"/>
      <c r="B1092" s="106"/>
      <c r="C1092" s="103"/>
      <c r="D1092" s="41"/>
      <c r="E1092" s="41"/>
      <c r="F1092" s="41"/>
      <c r="G1092" s="25"/>
      <c r="H1092" s="57"/>
      <c r="I1092" s="57"/>
      <c r="K1092" s="28"/>
    </row>
    <row r="1093" spans="1:11" s="24" customFormat="1">
      <c r="A1093" s="40"/>
      <c r="B1093" s="106"/>
      <c r="C1093" s="103"/>
      <c r="D1093" s="41"/>
      <c r="E1093" s="41"/>
      <c r="F1093" s="41"/>
      <c r="G1093" s="25"/>
      <c r="H1093" s="57"/>
      <c r="I1093" s="57"/>
      <c r="K1093" s="28"/>
    </row>
    <row r="1094" spans="1:11" s="24" customFormat="1">
      <c r="A1094" s="40"/>
      <c r="B1094" s="106"/>
      <c r="C1094" s="103"/>
      <c r="D1094" s="41"/>
      <c r="E1094" s="41"/>
      <c r="F1094" s="41"/>
      <c r="G1094" s="25"/>
      <c r="H1094" s="57"/>
      <c r="I1094" s="57"/>
      <c r="K1094" s="28"/>
    </row>
    <row r="1095" spans="1:11" s="24" customFormat="1">
      <c r="A1095" s="40"/>
      <c r="B1095" s="106"/>
      <c r="C1095" s="103"/>
      <c r="D1095" s="41"/>
      <c r="E1095" s="41"/>
      <c r="F1095" s="41"/>
      <c r="G1095" s="25"/>
      <c r="H1095" s="57"/>
      <c r="I1095" s="57"/>
      <c r="K1095" s="28"/>
    </row>
    <row r="1096" spans="1:11" s="24" customFormat="1">
      <c r="A1096" s="40"/>
      <c r="B1096" s="106"/>
      <c r="C1096" s="103"/>
      <c r="D1096" s="41"/>
      <c r="E1096" s="41"/>
      <c r="F1096" s="41"/>
      <c r="G1096" s="25"/>
      <c r="H1096" s="57"/>
      <c r="I1096" s="57"/>
      <c r="K1096" s="28"/>
    </row>
    <row r="1097" spans="1:11" s="24" customFormat="1">
      <c r="A1097" s="40"/>
      <c r="B1097" s="106"/>
      <c r="C1097" s="103"/>
      <c r="D1097" s="41"/>
      <c r="E1097" s="41"/>
      <c r="F1097" s="41"/>
      <c r="G1097" s="25"/>
      <c r="H1097" s="57"/>
      <c r="I1097" s="57"/>
      <c r="K1097" s="28"/>
    </row>
    <row r="1098" spans="1:11" s="24" customFormat="1">
      <c r="A1098" s="40"/>
      <c r="B1098" s="106"/>
      <c r="C1098" s="103"/>
      <c r="D1098" s="41"/>
      <c r="E1098" s="41"/>
      <c r="F1098" s="41"/>
      <c r="G1098" s="25"/>
      <c r="H1098" s="57"/>
      <c r="I1098" s="57"/>
      <c r="K1098" s="28"/>
    </row>
    <row r="1099" spans="1:11" s="24" customFormat="1">
      <c r="A1099" s="40"/>
      <c r="B1099" s="106"/>
      <c r="C1099" s="103"/>
      <c r="D1099" s="41"/>
      <c r="E1099" s="41"/>
      <c r="F1099" s="41"/>
      <c r="G1099" s="25"/>
      <c r="H1099" s="57"/>
      <c r="I1099" s="57"/>
      <c r="K1099" s="28"/>
    </row>
    <row r="1100" spans="1:11" s="24" customFormat="1">
      <c r="A1100" s="40"/>
      <c r="B1100" s="106"/>
      <c r="C1100" s="103"/>
      <c r="D1100" s="41"/>
      <c r="E1100" s="41"/>
      <c r="F1100" s="41"/>
      <c r="G1100" s="25"/>
      <c r="H1100" s="57"/>
      <c r="I1100" s="57"/>
      <c r="K1100" s="28"/>
    </row>
    <row r="1101" spans="1:11" s="24" customFormat="1">
      <c r="A1101" s="40"/>
      <c r="B1101" s="106"/>
      <c r="C1101" s="103"/>
      <c r="D1101" s="41"/>
      <c r="E1101" s="41"/>
      <c r="F1101" s="41"/>
      <c r="G1101" s="25"/>
      <c r="H1101" s="57"/>
      <c r="I1101" s="57"/>
      <c r="K1101" s="28"/>
    </row>
    <row r="1102" spans="1:11" s="24" customFormat="1">
      <c r="A1102" s="40"/>
      <c r="B1102" s="106"/>
      <c r="C1102" s="103"/>
      <c r="D1102" s="41"/>
      <c r="E1102" s="41"/>
      <c r="F1102" s="41"/>
      <c r="G1102" s="25"/>
      <c r="H1102" s="57"/>
      <c r="I1102" s="57"/>
      <c r="K1102" s="28"/>
    </row>
    <row r="1103" spans="1:11" s="24" customFormat="1">
      <c r="A1103" s="40"/>
      <c r="B1103" s="106"/>
      <c r="C1103" s="103"/>
      <c r="D1103" s="41"/>
      <c r="E1103" s="41"/>
      <c r="F1103" s="41"/>
      <c r="G1103" s="25"/>
      <c r="H1103" s="57"/>
      <c r="I1103" s="57"/>
      <c r="K1103" s="28"/>
    </row>
    <row r="1104" spans="1:11" s="24" customFormat="1">
      <c r="A1104" s="40"/>
      <c r="B1104" s="106"/>
      <c r="C1104" s="103"/>
      <c r="D1104" s="41"/>
      <c r="E1104" s="41"/>
      <c r="F1104" s="41"/>
      <c r="G1104" s="25"/>
      <c r="H1104" s="57"/>
      <c r="I1104" s="57"/>
      <c r="K1104" s="28"/>
    </row>
    <row r="1105" spans="1:11" s="24" customFormat="1">
      <c r="A1105" s="40"/>
      <c r="B1105" s="106"/>
      <c r="C1105" s="103"/>
      <c r="D1105" s="41"/>
      <c r="E1105" s="41"/>
      <c r="F1105" s="41"/>
      <c r="G1105" s="25"/>
      <c r="H1105" s="57"/>
      <c r="I1105" s="57"/>
      <c r="K1105" s="28"/>
    </row>
    <row r="1106" spans="1:11" s="24" customFormat="1">
      <c r="A1106" s="40"/>
      <c r="B1106" s="106"/>
      <c r="C1106" s="103"/>
      <c r="D1106" s="41"/>
      <c r="E1106" s="41"/>
      <c r="F1106" s="41"/>
      <c r="G1106" s="25"/>
      <c r="H1106" s="57"/>
      <c r="I1106" s="57"/>
      <c r="K1106" s="28"/>
    </row>
    <row r="1107" spans="1:11" s="24" customFormat="1">
      <c r="A1107" s="40"/>
      <c r="B1107" s="106"/>
      <c r="C1107" s="103"/>
      <c r="D1107" s="41"/>
      <c r="E1107" s="41"/>
      <c r="F1107" s="41"/>
      <c r="G1107" s="25"/>
      <c r="H1107" s="57"/>
      <c r="I1107" s="57"/>
      <c r="K1107" s="28"/>
    </row>
    <row r="1108" spans="1:11" s="24" customFormat="1">
      <c r="A1108" s="40"/>
      <c r="B1108" s="106"/>
      <c r="C1108" s="103"/>
      <c r="D1108" s="41"/>
      <c r="E1108" s="41"/>
      <c r="F1108" s="41"/>
      <c r="G1108" s="25"/>
      <c r="H1108" s="57"/>
      <c r="I1108" s="57"/>
      <c r="K1108" s="28"/>
    </row>
    <row r="1109" spans="1:11" s="24" customFormat="1">
      <c r="A1109" s="40"/>
      <c r="B1109" s="106"/>
      <c r="C1109" s="103"/>
      <c r="D1109" s="41"/>
      <c r="E1109" s="41"/>
      <c r="F1109" s="41"/>
      <c r="G1109" s="25"/>
      <c r="H1109" s="57"/>
      <c r="I1109" s="57"/>
      <c r="K1109" s="28"/>
    </row>
    <row r="1110" spans="1:11" s="24" customFormat="1">
      <c r="A1110" s="40"/>
      <c r="B1110" s="106"/>
      <c r="C1110" s="103"/>
      <c r="D1110" s="41"/>
      <c r="E1110" s="41"/>
      <c r="F1110" s="41"/>
      <c r="G1110" s="25"/>
      <c r="H1110" s="57"/>
      <c r="I1110" s="57"/>
      <c r="K1110" s="28"/>
    </row>
    <row r="1111" spans="1:11" s="24" customFormat="1">
      <c r="A1111" s="40"/>
      <c r="B1111" s="106"/>
      <c r="C1111" s="103"/>
      <c r="D1111" s="41"/>
      <c r="E1111" s="41"/>
      <c r="F1111" s="41"/>
      <c r="G1111" s="25"/>
      <c r="H1111" s="57"/>
      <c r="I1111" s="57"/>
      <c r="K1111" s="28"/>
    </row>
    <row r="1112" spans="1:11" s="24" customFormat="1">
      <c r="A1112" s="40"/>
      <c r="B1112" s="106"/>
      <c r="C1112" s="103"/>
      <c r="D1112" s="41"/>
      <c r="E1112" s="41"/>
      <c r="F1112" s="41"/>
      <c r="G1112" s="25"/>
      <c r="H1112" s="57"/>
      <c r="I1112" s="57"/>
      <c r="K1112" s="28"/>
    </row>
    <row r="1113" spans="1:11" s="24" customFormat="1">
      <c r="A1113" s="40"/>
      <c r="B1113" s="106"/>
      <c r="C1113" s="103"/>
      <c r="D1113" s="41"/>
      <c r="E1113" s="41"/>
      <c r="F1113" s="41"/>
      <c r="G1113" s="25"/>
      <c r="H1113" s="57"/>
      <c r="I1113" s="57"/>
      <c r="K1113" s="28"/>
    </row>
    <row r="1114" spans="1:11" s="24" customFormat="1">
      <c r="A1114" s="40"/>
      <c r="B1114" s="106"/>
      <c r="C1114" s="103"/>
      <c r="D1114" s="41"/>
      <c r="E1114" s="41"/>
      <c r="F1114" s="41"/>
      <c r="G1114" s="25"/>
      <c r="H1114" s="57"/>
      <c r="I1114" s="57"/>
      <c r="K1114" s="28"/>
    </row>
    <row r="1115" spans="1:11" s="24" customFormat="1">
      <c r="A1115" s="40"/>
      <c r="B1115" s="106"/>
      <c r="C1115" s="103"/>
      <c r="D1115" s="41"/>
      <c r="E1115" s="41"/>
      <c r="F1115" s="41"/>
      <c r="G1115" s="25"/>
      <c r="H1115" s="57"/>
      <c r="I1115" s="57"/>
      <c r="K1115" s="28"/>
    </row>
    <row r="1116" spans="1:11" s="24" customFormat="1">
      <c r="A1116" s="40"/>
      <c r="B1116" s="106"/>
      <c r="C1116" s="103"/>
      <c r="D1116" s="41"/>
      <c r="E1116" s="41"/>
      <c r="F1116" s="41"/>
      <c r="G1116" s="25"/>
      <c r="H1116" s="57"/>
      <c r="I1116" s="57"/>
      <c r="K1116" s="28"/>
    </row>
    <row r="1117" spans="1:11" s="24" customFormat="1">
      <c r="A1117" s="40"/>
      <c r="B1117" s="106"/>
      <c r="C1117" s="103"/>
      <c r="D1117" s="41"/>
      <c r="E1117" s="41"/>
      <c r="F1117" s="41"/>
      <c r="G1117" s="25"/>
      <c r="H1117" s="57"/>
      <c r="I1117" s="57"/>
      <c r="K1117" s="28"/>
    </row>
    <row r="1118" spans="1:11" s="24" customFormat="1">
      <c r="A1118" s="40"/>
      <c r="B1118" s="106"/>
      <c r="C1118" s="103"/>
      <c r="D1118" s="41"/>
      <c r="E1118" s="41"/>
      <c r="F1118" s="41"/>
      <c r="G1118" s="25"/>
      <c r="H1118" s="57"/>
      <c r="I1118" s="57"/>
      <c r="K1118" s="28"/>
    </row>
    <row r="1119" spans="1:11" s="24" customFormat="1">
      <c r="A1119" s="40"/>
      <c r="B1119" s="106"/>
      <c r="C1119" s="103"/>
      <c r="D1119" s="41"/>
      <c r="E1119" s="41"/>
      <c r="F1119" s="41"/>
      <c r="G1119" s="25"/>
      <c r="H1119" s="57"/>
      <c r="I1119" s="57"/>
      <c r="K1119" s="28"/>
    </row>
    <row r="1120" spans="1:11" s="24" customFormat="1">
      <c r="A1120" s="40"/>
      <c r="B1120" s="106"/>
      <c r="C1120" s="103"/>
      <c r="D1120" s="41"/>
      <c r="E1120" s="41"/>
      <c r="F1120" s="41"/>
      <c r="G1120" s="25"/>
      <c r="H1120" s="57"/>
      <c r="I1120" s="57"/>
      <c r="K1120" s="28"/>
    </row>
    <row r="1121" spans="1:11" s="24" customFormat="1">
      <c r="A1121" s="40"/>
      <c r="B1121" s="106"/>
      <c r="C1121" s="103"/>
      <c r="D1121" s="41"/>
      <c r="E1121" s="41"/>
      <c r="F1121" s="41"/>
      <c r="G1121" s="25"/>
      <c r="H1121" s="57"/>
      <c r="I1121" s="57"/>
      <c r="K1121" s="28"/>
    </row>
    <row r="1122" spans="1:11" s="24" customFormat="1">
      <c r="A1122" s="40"/>
      <c r="B1122" s="106"/>
      <c r="C1122" s="103"/>
      <c r="D1122" s="41"/>
      <c r="E1122" s="41"/>
      <c r="F1122" s="41"/>
      <c r="G1122" s="25"/>
      <c r="H1122" s="57"/>
      <c r="I1122" s="57"/>
      <c r="K1122" s="28"/>
    </row>
    <row r="1123" spans="1:11" s="24" customFormat="1">
      <c r="A1123" s="40"/>
      <c r="B1123" s="106"/>
      <c r="C1123" s="103"/>
      <c r="D1123" s="41"/>
      <c r="E1123" s="41"/>
      <c r="F1123" s="41"/>
      <c r="G1123" s="25"/>
      <c r="H1123" s="57"/>
      <c r="I1123" s="57"/>
      <c r="K1123" s="28"/>
    </row>
    <row r="1124" spans="1:11" s="24" customFormat="1">
      <c r="A1124" s="40"/>
      <c r="B1124" s="106"/>
      <c r="C1124" s="103"/>
      <c r="D1124" s="41"/>
      <c r="E1124" s="41"/>
      <c r="F1124" s="41"/>
      <c r="G1124" s="25"/>
      <c r="H1124" s="57"/>
      <c r="I1124" s="57"/>
      <c r="K1124" s="28"/>
    </row>
    <row r="1125" spans="1:11" s="24" customFormat="1">
      <c r="A1125" s="40"/>
      <c r="B1125" s="106"/>
      <c r="C1125" s="103"/>
      <c r="D1125" s="41"/>
      <c r="E1125" s="41"/>
      <c r="F1125" s="41"/>
      <c r="G1125" s="25"/>
      <c r="H1125" s="57"/>
      <c r="I1125" s="57"/>
      <c r="K1125" s="28"/>
    </row>
    <row r="1126" spans="1:11" s="24" customFormat="1">
      <c r="A1126" s="40"/>
      <c r="B1126" s="106"/>
      <c r="C1126" s="103"/>
      <c r="D1126" s="41"/>
      <c r="E1126" s="41"/>
      <c r="F1126" s="41"/>
      <c r="G1126" s="25"/>
      <c r="H1126" s="57"/>
      <c r="I1126" s="57"/>
      <c r="K1126" s="28"/>
    </row>
    <row r="1127" spans="1:11" s="24" customFormat="1">
      <c r="A1127" s="40"/>
      <c r="B1127" s="106"/>
      <c r="C1127" s="103"/>
      <c r="D1127" s="41"/>
      <c r="E1127" s="41"/>
      <c r="F1127" s="41"/>
      <c r="G1127" s="25"/>
      <c r="H1127" s="57"/>
      <c r="I1127" s="57"/>
      <c r="K1127" s="28"/>
    </row>
    <row r="1128" spans="1:11" s="24" customFormat="1">
      <c r="A1128" s="40"/>
      <c r="B1128" s="106"/>
      <c r="C1128" s="103"/>
      <c r="D1128" s="41"/>
      <c r="E1128" s="41"/>
      <c r="F1128" s="41"/>
      <c r="G1128" s="25"/>
      <c r="H1128" s="57"/>
      <c r="I1128" s="57"/>
      <c r="K1128" s="28"/>
    </row>
    <row r="1129" spans="1:11" s="24" customFormat="1">
      <c r="A1129" s="40"/>
      <c r="B1129" s="106"/>
      <c r="C1129" s="103"/>
      <c r="D1129" s="41"/>
      <c r="E1129" s="41"/>
      <c r="F1129" s="41"/>
      <c r="G1129" s="25"/>
      <c r="H1129" s="57"/>
      <c r="I1129" s="57"/>
      <c r="K1129" s="28"/>
    </row>
    <row r="1130" spans="1:11" s="24" customFormat="1">
      <c r="A1130" s="40"/>
      <c r="B1130" s="106"/>
      <c r="C1130" s="103"/>
      <c r="D1130" s="41"/>
      <c r="E1130" s="41"/>
      <c r="F1130" s="41"/>
      <c r="G1130" s="25"/>
      <c r="H1130" s="57"/>
      <c r="I1130" s="57"/>
      <c r="K1130" s="28"/>
    </row>
    <row r="1131" spans="1:11" s="24" customFormat="1">
      <c r="A1131" s="40"/>
      <c r="B1131" s="106"/>
      <c r="C1131" s="103"/>
      <c r="D1131" s="41"/>
      <c r="E1131" s="41"/>
      <c r="F1131" s="41"/>
      <c r="G1131" s="25"/>
      <c r="H1131" s="57"/>
      <c r="I1131" s="57"/>
      <c r="K1131" s="28"/>
    </row>
    <row r="1132" spans="1:11" s="24" customFormat="1">
      <c r="A1132" s="40"/>
      <c r="B1132" s="106"/>
      <c r="C1132" s="103"/>
      <c r="D1132" s="41"/>
      <c r="E1132" s="41"/>
      <c r="F1132" s="41"/>
      <c r="G1132" s="25"/>
      <c r="H1132" s="57"/>
      <c r="I1132" s="57"/>
      <c r="K1132" s="28"/>
    </row>
    <row r="1133" spans="1:11" s="24" customFormat="1">
      <c r="A1133" s="40"/>
      <c r="B1133" s="106"/>
      <c r="C1133" s="103"/>
      <c r="D1133" s="41"/>
      <c r="E1133" s="41"/>
      <c r="F1133" s="41"/>
      <c r="G1133" s="25"/>
      <c r="H1133" s="57"/>
      <c r="I1133" s="57"/>
      <c r="K1133" s="28"/>
    </row>
    <row r="1134" spans="1:11" s="24" customFormat="1">
      <c r="A1134" s="40"/>
      <c r="B1134" s="106"/>
      <c r="C1134" s="103"/>
      <c r="D1134" s="41"/>
      <c r="E1134" s="41"/>
      <c r="F1134" s="41"/>
      <c r="G1134" s="25"/>
      <c r="H1134" s="57"/>
      <c r="I1134" s="57"/>
      <c r="K1134" s="28"/>
    </row>
    <row r="1135" spans="1:11" s="24" customFormat="1">
      <c r="A1135" s="40"/>
      <c r="B1135" s="106"/>
      <c r="C1135" s="103"/>
      <c r="D1135" s="41"/>
      <c r="E1135" s="41"/>
      <c r="F1135" s="41"/>
      <c r="G1135" s="25"/>
      <c r="H1135" s="57"/>
      <c r="I1135" s="57"/>
      <c r="K1135" s="28"/>
    </row>
    <row r="1136" spans="1:11" s="24" customFormat="1">
      <c r="A1136" s="40"/>
      <c r="B1136" s="106"/>
      <c r="C1136" s="103"/>
      <c r="D1136" s="41"/>
      <c r="E1136" s="41"/>
      <c r="F1136" s="41"/>
      <c r="G1136" s="25"/>
      <c r="H1136" s="57"/>
      <c r="I1136" s="57"/>
      <c r="K1136" s="28"/>
    </row>
    <row r="1137" spans="1:11" s="24" customFormat="1">
      <c r="A1137" s="40"/>
      <c r="B1137" s="106"/>
      <c r="C1137" s="103"/>
      <c r="D1137" s="41"/>
      <c r="E1137" s="41"/>
      <c r="F1137" s="41"/>
      <c r="G1137" s="25"/>
      <c r="H1137" s="57"/>
      <c r="I1137" s="57"/>
      <c r="K1137" s="28"/>
    </row>
    <row r="1138" spans="1:11" s="24" customFormat="1">
      <c r="A1138" s="40"/>
      <c r="B1138" s="106"/>
      <c r="C1138" s="103"/>
      <c r="D1138" s="41"/>
      <c r="E1138" s="41"/>
      <c r="F1138" s="41"/>
      <c r="G1138" s="25"/>
      <c r="H1138" s="57"/>
      <c r="I1138" s="57"/>
      <c r="K1138" s="28"/>
    </row>
    <row r="1139" spans="1:11" s="24" customFormat="1">
      <c r="A1139" s="40"/>
      <c r="B1139" s="106"/>
      <c r="C1139" s="103"/>
      <c r="D1139" s="41"/>
      <c r="E1139" s="41"/>
      <c r="F1139" s="41"/>
      <c r="G1139" s="25"/>
      <c r="H1139" s="57"/>
      <c r="I1139" s="57"/>
      <c r="K1139" s="28"/>
    </row>
    <row r="1140" spans="1:11" s="24" customFormat="1">
      <c r="A1140" s="40"/>
      <c r="B1140" s="106"/>
      <c r="C1140" s="103"/>
      <c r="D1140" s="41"/>
      <c r="E1140" s="41"/>
      <c r="F1140" s="41"/>
      <c r="G1140" s="25"/>
      <c r="H1140" s="57"/>
      <c r="I1140" s="57"/>
      <c r="K1140" s="28"/>
    </row>
    <row r="1141" spans="1:11" s="24" customFormat="1">
      <c r="A1141" s="40"/>
      <c r="B1141" s="106"/>
      <c r="C1141" s="103"/>
      <c r="D1141" s="41"/>
      <c r="E1141" s="41"/>
      <c r="F1141" s="41"/>
      <c r="G1141" s="25"/>
      <c r="H1141" s="57"/>
      <c r="I1141" s="57"/>
      <c r="K1141" s="28"/>
    </row>
    <row r="1142" spans="1:11" s="24" customFormat="1">
      <c r="A1142" s="40"/>
      <c r="B1142" s="106"/>
      <c r="C1142" s="103"/>
      <c r="D1142" s="41"/>
      <c r="E1142" s="41"/>
      <c r="F1142" s="41"/>
      <c r="G1142" s="25"/>
      <c r="H1142" s="57"/>
      <c r="I1142" s="57"/>
      <c r="K1142" s="28"/>
    </row>
    <row r="1143" spans="1:11" s="24" customFormat="1">
      <c r="A1143" s="40"/>
      <c r="B1143" s="106"/>
      <c r="C1143" s="103"/>
      <c r="D1143" s="41"/>
      <c r="E1143" s="41"/>
      <c r="F1143" s="41"/>
      <c r="G1143" s="25"/>
      <c r="H1143" s="57"/>
      <c r="I1143" s="57"/>
      <c r="K1143" s="28"/>
    </row>
    <row r="1144" spans="1:11" s="24" customFormat="1">
      <c r="A1144" s="40"/>
      <c r="B1144" s="106"/>
      <c r="C1144" s="103"/>
      <c r="D1144" s="41"/>
      <c r="E1144" s="41"/>
      <c r="F1144" s="41"/>
      <c r="G1144" s="25"/>
      <c r="H1144" s="57"/>
      <c r="I1144" s="57"/>
      <c r="K1144" s="28"/>
    </row>
    <row r="1145" spans="1:11" s="24" customFormat="1">
      <c r="A1145" s="40"/>
      <c r="B1145" s="106"/>
      <c r="C1145" s="103"/>
      <c r="D1145" s="41"/>
      <c r="E1145" s="41"/>
      <c r="F1145" s="41"/>
      <c r="G1145" s="25"/>
      <c r="H1145" s="57"/>
      <c r="I1145" s="57"/>
      <c r="K1145" s="28"/>
    </row>
    <row r="1146" spans="1:11" s="24" customFormat="1">
      <c r="A1146" s="40"/>
      <c r="B1146" s="106"/>
      <c r="C1146" s="103"/>
      <c r="D1146" s="41"/>
      <c r="E1146" s="41"/>
      <c r="F1146" s="41"/>
      <c r="G1146" s="25"/>
      <c r="H1146" s="57"/>
      <c r="I1146" s="57"/>
      <c r="K1146" s="28"/>
    </row>
    <row r="1147" spans="1:11" s="24" customFormat="1">
      <c r="A1147" s="40"/>
      <c r="B1147" s="106"/>
      <c r="C1147" s="103"/>
      <c r="D1147" s="41"/>
      <c r="E1147" s="41"/>
      <c r="F1147" s="41"/>
      <c r="G1147" s="25"/>
      <c r="H1147" s="57"/>
      <c r="I1147" s="57"/>
      <c r="K1147" s="28"/>
    </row>
    <row r="1148" spans="1:11" s="24" customFormat="1">
      <c r="A1148" s="40"/>
      <c r="B1148" s="106"/>
      <c r="C1148" s="103"/>
      <c r="D1148" s="41"/>
      <c r="E1148" s="41"/>
      <c r="F1148" s="41"/>
      <c r="G1148" s="25"/>
      <c r="H1148" s="57"/>
      <c r="I1148" s="57"/>
      <c r="K1148" s="28"/>
    </row>
    <row r="1149" spans="1:11" s="24" customFormat="1">
      <c r="A1149" s="40"/>
      <c r="B1149" s="106"/>
      <c r="C1149" s="103"/>
      <c r="D1149" s="41"/>
      <c r="E1149" s="41"/>
      <c r="F1149" s="41"/>
      <c r="G1149" s="25"/>
      <c r="H1149" s="57"/>
      <c r="I1149" s="57"/>
      <c r="K1149" s="28"/>
    </row>
    <row r="1150" spans="1:11" s="24" customFormat="1">
      <c r="A1150" s="40"/>
      <c r="B1150" s="106"/>
      <c r="C1150" s="103"/>
      <c r="D1150" s="41"/>
      <c r="E1150" s="41"/>
      <c r="F1150" s="41"/>
      <c r="G1150" s="25"/>
      <c r="H1150" s="57"/>
      <c r="I1150" s="57"/>
      <c r="K1150" s="28"/>
    </row>
    <row r="1151" spans="1:11" s="24" customFormat="1">
      <c r="A1151" s="40"/>
      <c r="B1151" s="106"/>
      <c r="C1151" s="103"/>
      <c r="D1151" s="41"/>
      <c r="E1151" s="41"/>
      <c r="F1151" s="41"/>
      <c r="G1151" s="25"/>
      <c r="H1151" s="57"/>
      <c r="I1151" s="57"/>
      <c r="K1151" s="28"/>
    </row>
    <row r="1152" spans="1:11" s="24" customFormat="1">
      <c r="A1152" s="40"/>
      <c r="B1152" s="106"/>
      <c r="C1152" s="103"/>
      <c r="D1152" s="41"/>
      <c r="E1152" s="41"/>
      <c r="F1152" s="41"/>
      <c r="G1152" s="25"/>
      <c r="H1152" s="57"/>
      <c r="I1152" s="57"/>
      <c r="K1152" s="28"/>
    </row>
    <row r="1153" spans="1:11" s="24" customFormat="1">
      <c r="A1153" s="40"/>
      <c r="B1153" s="106"/>
      <c r="C1153" s="103"/>
      <c r="D1153" s="41"/>
      <c r="E1153" s="41"/>
      <c r="F1153" s="41"/>
      <c r="G1153" s="25"/>
      <c r="H1153" s="57"/>
      <c r="I1153" s="57"/>
      <c r="K1153" s="28"/>
    </row>
    <row r="1154" spans="1:11" s="24" customFormat="1">
      <c r="A1154" s="40"/>
      <c r="B1154" s="106"/>
      <c r="C1154" s="103"/>
      <c r="D1154" s="41"/>
      <c r="E1154" s="41"/>
      <c r="F1154" s="41"/>
      <c r="G1154" s="25"/>
      <c r="H1154" s="57"/>
      <c r="I1154" s="57"/>
      <c r="K1154" s="28"/>
    </row>
    <row r="1155" spans="1:11" s="24" customFormat="1">
      <c r="A1155" s="40"/>
      <c r="B1155" s="106"/>
      <c r="C1155" s="103"/>
      <c r="D1155" s="41"/>
      <c r="E1155" s="41"/>
      <c r="F1155" s="41"/>
      <c r="G1155" s="25"/>
      <c r="H1155" s="57"/>
      <c r="I1155" s="57"/>
      <c r="K1155" s="28"/>
    </row>
    <row r="1156" spans="1:11" s="24" customFormat="1">
      <c r="A1156" s="40"/>
      <c r="B1156" s="106"/>
      <c r="C1156" s="103"/>
      <c r="D1156" s="41"/>
      <c r="E1156" s="41"/>
      <c r="F1156" s="41"/>
      <c r="G1156" s="25"/>
      <c r="H1156" s="57"/>
      <c r="I1156" s="57"/>
      <c r="K1156" s="28"/>
    </row>
    <row r="1157" spans="1:11" s="24" customFormat="1">
      <c r="A1157" s="40"/>
      <c r="B1157" s="106"/>
      <c r="C1157" s="103"/>
      <c r="D1157" s="41"/>
      <c r="E1157" s="41"/>
      <c r="F1157" s="41"/>
      <c r="G1157" s="25"/>
      <c r="H1157" s="57"/>
      <c r="I1157" s="57"/>
      <c r="K1157" s="28"/>
    </row>
    <row r="1158" spans="1:11" s="24" customFormat="1">
      <c r="A1158" s="40"/>
      <c r="B1158" s="106"/>
      <c r="C1158" s="103"/>
      <c r="D1158" s="41"/>
      <c r="E1158" s="41"/>
      <c r="F1158" s="41"/>
      <c r="G1158" s="25"/>
      <c r="H1158" s="57"/>
      <c r="I1158" s="57"/>
      <c r="K1158" s="28"/>
    </row>
    <row r="1159" spans="1:11" s="24" customFormat="1">
      <c r="A1159" s="40"/>
      <c r="B1159" s="106"/>
      <c r="C1159" s="103"/>
      <c r="D1159" s="41"/>
      <c r="E1159" s="41"/>
      <c r="F1159" s="41"/>
      <c r="G1159" s="25"/>
      <c r="H1159" s="57"/>
      <c r="I1159" s="57"/>
      <c r="K1159" s="28"/>
    </row>
    <row r="1160" spans="1:11" s="24" customFormat="1">
      <c r="A1160" s="40"/>
      <c r="B1160" s="106"/>
      <c r="C1160" s="103"/>
      <c r="D1160" s="41"/>
      <c r="E1160" s="41"/>
      <c r="F1160" s="41"/>
      <c r="G1160" s="25"/>
      <c r="H1160" s="57"/>
      <c r="I1160" s="57"/>
      <c r="K1160" s="28"/>
    </row>
    <row r="1161" spans="1:11" s="24" customFormat="1">
      <c r="A1161" s="40"/>
      <c r="B1161" s="106"/>
      <c r="C1161" s="103"/>
      <c r="D1161" s="41"/>
      <c r="E1161" s="41"/>
      <c r="F1161" s="41"/>
      <c r="G1161" s="25"/>
      <c r="H1161" s="57"/>
      <c r="I1161" s="57"/>
      <c r="K1161" s="28"/>
    </row>
    <row r="1162" spans="1:11" s="24" customFormat="1">
      <c r="A1162" s="40"/>
      <c r="B1162" s="106"/>
      <c r="C1162" s="103"/>
      <c r="D1162" s="41"/>
      <c r="E1162" s="41"/>
      <c r="F1162" s="41"/>
      <c r="G1162" s="25"/>
      <c r="H1162" s="57"/>
      <c r="I1162" s="57"/>
      <c r="K1162" s="28"/>
    </row>
    <row r="1163" spans="1:11" s="24" customFormat="1">
      <c r="A1163" s="40"/>
      <c r="B1163" s="106"/>
      <c r="C1163" s="103"/>
      <c r="D1163" s="41"/>
      <c r="E1163" s="41"/>
      <c r="F1163" s="41"/>
      <c r="G1163" s="25"/>
      <c r="H1163" s="57"/>
      <c r="I1163" s="57"/>
      <c r="K1163" s="28"/>
    </row>
    <row r="1164" spans="1:11" s="24" customFormat="1">
      <c r="A1164" s="40"/>
      <c r="B1164" s="106"/>
      <c r="C1164" s="103"/>
      <c r="D1164" s="41"/>
      <c r="E1164" s="41"/>
      <c r="F1164" s="41"/>
      <c r="G1164" s="25"/>
      <c r="H1164" s="57"/>
      <c r="I1164" s="57"/>
      <c r="K1164" s="28"/>
    </row>
    <row r="1165" spans="1:11" s="24" customFormat="1">
      <c r="A1165" s="40"/>
      <c r="B1165" s="106"/>
      <c r="C1165" s="103"/>
      <c r="D1165" s="41"/>
      <c r="E1165" s="41"/>
      <c r="F1165" s="41"/>
      <c r="G1165" s="25"/>
      <c r="H1165" s="57"/>
      <c r="I1165" s="57"/>
      <c r="K1165" s="28"/>
    </row>
    <row r="1166" spans="1:11" s="24" customFormat="1">
      <c r="A1166" s="40"/>
      <c r="B1166" s="106"/>
      <c r="C1166" s="103"/>
      <c r="D1166" s="41"/>
      <c r="E1166" s="41"/>
      <c r="F1166" s="41"/>
      <c r="G1166" s="25"/>
      <c r="H1166" s="57"/>
      <c r="I1166" s="57"/>
      <c r="K1166" s="28"/>
    </row>
    <row r="1167" spans="1:11" s="24" customFormat="1">
      <c r="A1167" s="40"/>
      <c r="B1167" s="106"/>
      <c r="C1167" s="103"/>
      <c r="D1167" s="41"/>
      <c r="E1167" s="41"/>
      <c r="F1167" s="41"/>
      <c r="G1167" s="25"/>
      <c r="H1167" s="57"/>
      <c r="I1167" s="57"/>
      <c r="K1167" s="28"/>
    </row>
    <row r="1168" spans="1:11" s="24" customFormat="1">
      <c r="A1168" s="40"/>
      <c r="B1168" s="106"/>
      <c r="C1168" s="103"/>
      <c r="D1168" s="41"/>
      <c r="E1168" s="41"/>
      <c r="F1168" s="41"/>
      <c r="G1168" s="25"/>
      <c r="H1168" s="57"/>
      <c r="I1168" s="57"/>
      <c r="K1168" s="28"/>
    </row>
    <row r="1169" spans="1:11" s="24" customFormat="1">
      <c r="A1169" s="40"/>
      <c r="B1169" s="106"/>
      <c r="C1169" s="103"/>
      <c r="D1169" s="41"/>
      <c r="E1169" s="41"/>
      <c r="F1169" s="41"/>
      <c r="G1169" s="25"/>
      <c r="H1169" s="57"/>
      <c r="I1169" s="57"/>
      <c r="K1169" s="28"/>
    </row>
    <row r="1170" spans="1:11" s="24" customFormat="1">
      <c r="A1170" s="40"/>
      <c r="B1170" s="106"/>
      <c r="C1170" s="103"/>
      <c r="D1170" s="41"/>
      <c r="E1170" s="41"/>
      <c r="F1170" s="41"/>
      <c r="G1170" s="25"/>
      <c r="H1170" s="57"/>
      <c r="I1170" s="57"/>
      <c r="K1170" s="28"/>
    </row>
    <row r="1171" spans="1:11" s="24" customFormat="1">
      <c r="A1171" s="40"/>
      <c r="B1171" s="106"/>
      <c r="C1171" s="103"/>
      <c r="D1171" s="41"/>
      <c r="E1171" s="41"/>
      <c r="F1171" s="41"/>
      <c r="G1171" s="25"/>
      <c r="H1171" s="57"/>
      <c r="I1171" s="57"/>
      <c r="K1171" s="28"/>
    </row>
    <row r="1172" spans="1:11" s="24" customFormat="1">
      <c r="A1172" s="40"/>
      <c r="B1172" s="106"/>
      <c r="C1172" s="103"/>
      <c r="D1172" s="41"/>
      <c r="E1172" s="41"/>
      <c r="F1172" s="41"/>
      <c r="G1172" s="25"/>
      <c r="H1172" s="57"/>
      <c r="I1172" s="57"/>
      <c r="K1172" s="28"/>
    </row>
    <row r="1173" spans="1:11" s="24" customFormat="1">
      <c r="A1173" s="40"/>
      <c r="B1173" s="106"/>
      <c r="C1173" s="103"/>
      <c r="D1173" s="41"/>
      <c r="E1173" s="41"/>
      <c r="F1173" s="41"/>
      <c r="G1173" s="25"/>
      <c r="H1173" s="57"/>
      <c r="I1173" s="57"/>
      <c r="K1173" s="28"/>
    </row>
    <row r="1174" spans="1:11" s="24" customFormat="1">
      <c r="A1174" s="40"/>
      <c r="B1174" s="106"/>
      <c r="C1174" s="103"/>
      <c r="D1174" s="41"/>
      <c r="E1174" s="41"/>
      <c r="F1174" s="41"/>
      <c r="G1174" s="25"/>
      <c r="H1174" s="57"/>
      <c r="I1174" s="57"/>
      <c r="K1174" s="28"/>
    </row>
    <row r="1175" spans="1:11" s="24" customFormat="1">
      <c r="A1175" s="40"/>
      <c r="B1175" s="106"/>
      <c r="C1175" s="103"/>
      <c r="D1175" s="41"/>
      <c r="E1175" s="41"/>
      <c r="F1175" s="41"/>
      <c r="G1175" s="25"/>
      <c r="H1175" s="57"/>
      <c r="I1175" s="57"/>
      <c r="K1175" s="28"/>
    </row>
    <row r="1176" spans="1:11" s="24" customFormat="1">
      <c r="A1176" s="40"/>
      <c r="B1176" s="106"/>
      <c r="C1176" s="103"/>
      <c r="D1176" s="41"/>
      <c r="E1176" s="41"/>
      <c r="F1176" s="41"/>
      <c r="G1176" s="25"/>
      <c r="H1176" s="57"/>
      <c r="I1176" s="57"/>
      <c r="K1176" s="28"/>
    </row>
    <row r="1177" spans="1:11" s="24" customFormat="1">
      <c r="A1177" s="40"/>
      <c r="B1177" s="106"/>
      <c r="C1177" s="103"/>
      <c r="D1177" s="41"/>
      <c r="E1177" s="41"/>
      <c r="F1177" s="41"/>
      <c r="G1177" s="25"/>
      <c r="H1177" s="57"/>
      <c r="I1177" s="57"/>
      <c r="K1177" s="28"/>
    </row>
    <row r="1178" spans="1:11" s="24" customFormat="1">
      <c r="A1178" s="40"/>
      <c r="B1178" s="106"/>
      <c r="C1178" s="103"/>
      <c r="D1178" s="41"/>
      <c r="E1178" s="41"/>
      <c r="F1178" s="41"/>
      <c r="G1178" s="25"/>
      <c r="H1178" s="57"/>
      <c r="I1178" s="57"/>
      <c r="K1178" s="28"/>
    </row>
    <row r="1179" spans="1:11" s="24" customFormat="1">
      <c r="A1179" s="40"/>
      <c r="B1179" s="106"/>
      <c r="C1179" s="103"/>
      <c r="D1179" s="41"/>
      <c r="E1179" s="41"/>
      <c r="F1179" s="41"/>
      <c r="G1179" s="25"/>
      <c r="H1179" s="57"/>
      <c r="I1179" s="57"/>
      <c r="K1179" s="28"/>
    </row>
    <row r="1180" spans="1:11" s="24" customFormat="1">
      <c r="A1180" s="40"/>
      <c r="B1180" s="106"/>
      <c r="C1180" s="103"/>
      <c r="D1180" s="41"/>
      <c r="E1180" s="41"/>
      <c r="F1180" s="41"/>
      <c r="G1180" s="25"/>
      <c r="H1180" s="57"/>
      <c r="I1180" s="57"/>
      <c r="K1180" s="28"/>
    </row>
    <row r="1181" spans="1:11" s="24" customFormat="1">
      <c r="A1181" s="40"/>
      <c r="B1181" s="106"/>
      <c r="C1181" s="103"/>
      <c r="D1181" s="41"/>
      <c r="E1181" s="41"/>
      <c r="F1181" s="41"/>
      <c r="G1181" s="25"/>
      <c r="H1181" s="57"/>
      <c r="I1181" s="57"/>
      <c r="K1181" s="28"/>
    </row>
    <row r="1182" spans="1:11" s="24" customFormat="1">
      <c r="A1182" s="40"/>
      <c r="B1182" s="106"/>
      <c r="C1182" s="103"/>
      <c r="D1182" s="41"/>
      <c r="E1182" s="41"/>
      <c r="F1182" s="41"/>
      <c r="G1182" s="25"/>
      <c r="H1182" s="57"/>
      <c r="I1182" s="57"/>
      <c r="K1182" s="28"/>
    </row>
    <row r="1183" spans="1:11" s="24" customFormat="1">
      <c r="A1183" s="40"/>
      <c r="B1183" s="106"/>
      <c r="C1183" s="103"/>
      <c r="D1183" s="41"/>
      <c r="E1183" s="41"/>
      <c r="F1183" s="41"/>
      <c r="G1183" s="25"/>
      <c r="H1183" s="57"/>
      <c r="I1183" s="57"/>
      <c r="K1183" s="28"/>
    </row>
    <row r="1184" spans="1:11" s="24" customFormat="1">
      <c r="A1184" s="40"/>
      <c r="B1184" s="106"/>
      <c r="C1184" s="103"/>
      <c r="D1184" s="41"/>
      <c r="E1184" s="41"/>
      <c r="F1184" s="41"/>
      <c r="G1184" s="25"/>
      <c r="H1184" s="57"/>
      <c r="I1184" s="57"/>
      <c r="K1184" s="28"/>
    </row>
    <row r="1185" spans="1:11" s="24" customFormat="1">
      <c r="A1185" s="40"/>
      <c r="B1185" s="106"/>
      <c r="C1185" s="103"/>
      <c r="D1185" s="41"/>
      <c r="E1185" s="41"/>
      <c r="F1185" s="41"/>
      <c r="G1185" s="25"/>
      <c r="H1185" s="57"/>
      <c r="I1185" s="57"/>
      <c r="K1185" s="28"/>
    </row>
    <row r="1186" spans="1:11" s="24" customFormat="1">
      <c r="A1186" s="40"/>
      <c r="B1186" s="106"/>
      <c r="C1186" s="103"/>
      <c r="D1186" s="41"/>
      <c r="E1186" s="41"/>
      <c r="F1186" s="41"/>
      <c r="G1186" s="25"/>
      <c r="H1186" s="57"/>
      <c r="I1186" s="57"/>
      <c r="K1186" s="28"/>
    </row>
    <row r="1187" spans="1:11" s="24" customFormat="1">
      <c r="A1187" s="40"/>
      <c r="B1187" s="106"/>
      <c r="C1187" s="103"/>
      <c r="D1187" s="41"/>
      <c r="E1187" s="41"/>
      <c r="F1187" s="41"/>
      <c r="G1187" s="25"/>
      <c r="H1187" s="57"/>
      <c r="I1187" s="57"/>
      <c r="K1187" s="28"/>
    </row>
    <row r="1188" spans="1:11" s="24" customFormat="1">
      <c r="A1188" s="40"/>
      <c r="B1188" s="106"/>
      <c r="C1188" s="103"/>
      <c r="D1188" s="41"/>
      <c r="E1188" s="41"/>
      <c r="F1188" s="41"/>
      <c r="G1188" s="25"/>
      <c r="H1188" s="57"/>
      <c r="I1188" s="57"/>
      <c r="K1188" s="28"/>
    </row>
    <row r="1189" spans="1:11" s="24" customFormat="1">
      <c r="A1189" s="40"/>
      <c r="B1189" s="106"/>
      <c r="C1189" s="103"/>
      <c r="D1189" s="41"/>
      <c r="E1189" s="41"/>
      <c r="F1189" s="41"/>
      <c r="G1189" s="25"/>
      <c r="H1189" s="57"/>
      <c r="I1189" s="57"/>
      <c r="K1189" s="28"/>
    </row>
    <row r="1190" spans="1:11" s="24" customFormat="1">
      <c r="A1190" s="40"/>
      <c r="B1190" s="106"/>
      <c r="C1190" s="103"/>
      <c r="D1190" s="41"/>
      <c r="E1190" s="41"/>
      <c r="F1190" s="41"/>
      <c r="G1190" s="25"/>
      <c r="H1190" s="57"/>
      <c r="I1190" s="57"/>
      <c r="K1190" s="28"/>
    </row>
    <row r="1191" spans="1:11" s="24" customFormat="1">
      <c r="A1191" s="40"/>
      <c r="B1191" s="106"/>
      <c r="C1191" s="103"/>
      <c r="D1191" s="41"/>
      <c r="E1191" s="41"/>
      <c r="F1191" s="41"/>
      <c r="G1191" s="25"/>
      <c r="H1191" s="57"/>
      <c r="I1191" s="57"/>
      <c r="K1191" s="28"/>
    </row>
    <row r="1192" spans="1:11" s="24" customFormat="1">
      <c r="A1192" s="40"/>
      <c r="B1192" s="106"/>
      <c r="C1192" s="103"/>
      <c r="D1192" s="41"/>
      <c r="E1192" s="41"/>
      <c r="F1192" s="41"/>
      <c r="G1192" s="25"/>
      <c r="H1192" s="57"/>
      <c r="I1192" s="57"/>
      <c r="K1192" s="28"/>
    </row>
    <row r="1193" spans="1:11" s="24" customFormat="1">
      <c r="A1193" s="40"/>
      <c r="B1193" s="106"/>
      <c r="C1193" s="103"/>
      <c r="D1193" s="41"/>
      <c r="E1193" s="41"/>
      <c r="F1193" s="41"/>
      <c r="G1193" s="25"/>
      <c r="H1193" s="57"/>
      <c r="I1193" s="57"/>
      <c r="K1193" s="28"/>
    </row>
    <row r="1194" spans="1:11" s="24" customFormat="1">
      <c r="A1194" s="40"/>
      <c r="B1194" s="106"/>
      <c r="C1194" s="103"/>
      <c r="D1194" s="41"/>
      <c r="E1194" s="41"/>
      <c r="F1194" s="41"/>
      <c r="G1194" s="25"/>
      <c r="H1194" s="57"/>
      <c r="I1194" s="57"/>
      <c r="K1194" s="28"/>
    </row>
    <row r="1195" spans="1:11" s="24" customFormat="1">
      <c r="A1195" s="40"/>
      <c r="B1195" s="106"/>
      <c r="C1195" s="103"/>
      <c r="D1195" s="41"/>
      <c r="E1195" s="41"/>
      <c r="F1195" s="41"/>
      <c r="G1195" s="25"/>
      <c r="H1195" s="57"/>
      <c r="I1195" s="57"/>
      <c r="K1195" s="28"/>
    </row>
    <row r="1196" spans="1:11" s="24" customFormat="1">
      <c r="A1196" s="40"/>
      <c r="B1196" s="106"/>
      <c r="C1196" s="103"/>
      <c r="D1196" s="41"/>
      <c r="E1196" s="41"/>
      <c r="F1196" s="41"/>
      <c r="G1196" s="25"/>
      <c r="H1196" s="57"/>
      <c r="I1196" s="57"/>
      <c r="K1196" s="28"/>
    </row>
    <row r="1197" spans="1:11" s="24" customFormat="1">
      <c r="A1197" s="40"/>
      <c r="B1197" s="106"/>
      <c r="C1197" s="103"/>
      <c r="D1197" s="41"/>
      <c r="E1197" s="41"/>
      <c r="F1197" s="41"/>
      <c r="G1197" s="25"/>
      <c r="H1197" s="57"/>
      <c r="I1197" s="57"/>
      <c r="K1197" s="28"/>
    </row>
    <row r="1198" spans="1:11" s="24" customFormat="1">
      <c r="A1198" s="40"/>
      <c r="B1198" s="106"/>
      <c r="C1198" s="103"/>
      <c r="D1198" s="41"/>
      <c r="E1198" s="41"/>
      <c r="F1198" s="41"/>
      <c r="G1198" s="25"/>
      <c r="H1198" s="57"/>
      <c r="I1198" s="57"/>
      <c r="K1198" s="28"/>
    </row>
    <row r="1199" spans="1:11" s="24" customFormat="1">
      <c r="A1199" s="40"/>
      <c r="B1199" s="106"/>
      <c r="C1199" s="103"/>
      <c r="D1199" s="41"/>
      <c r="E1199" s="41"/>
      <c r="F1199" s="41"/>
      <c r="G1199" s="25"/>
      <c r="H1199" s="57"/>
      <c r="I1199" s="57"/>
      <c r="K1199" s="28"/>
    </row>
    <row r="1200" spans="1:11" s="24" customFormat="1">
      <c r="A1200" s="40"/>
      <c r="B1200" s="106"/>
      <c r="C1200" s="103"/>
      <c r="D1200" s="41"/>
      <c r="E1200" s="41"/>
      <c r="F1200" s="41"/>
      <c r="G1200" s="25"/>
      <c r="H1200" s="57"/>
      <c r="I1200" s="57"/>
      <c r="K1200" s="28"/>
    </row>
    <row r="1201" spans="1:11" s="24" customFormat="1">
      <c r="A1201" s="40"/>
      <c r="B1201" s="106"/>
      <c r="C1201" s="103"/>
      <c r="D1201" s="41"/>
      <c r="E1201" s="41"/>
      <c r="F1201" s="41"/>
      <c r="G1201" s="25"/>
      <c r="H1201" s="57"/>
      <c r="I1201" s="57"/>
      <c r="K1201" s="28"/>
    </row>
    <row r="1202" spans="1:11" s="24" customFormat="1">
      <c r="A1202" s="40"/>
      <c r="B1202" s="106"/>
      <c r="C1202" s="103"/>
      <c r="D1202" s="41"/>
      <c r="E1202" s="41"/>
      <c r="F1202" s="41"/>
      <c r="G1202" s="25"/>
      <c r="H1202" s="57"/>
      <c r="I1202" s="57"/>
      <c r="K1202" s="28"/>
    </row>
    <row r="1203" spans="1:11" s="24" customFormat="1">
      <c r="A1203" s="40"/>
      <c r="B1203" s="106"/>
      <c r="C1203" s="103"/>
      <c r="D1203" s="41"/>
      <c r="E1203" s="41"/>
      <c r="F1203" s="41"/>
      <c r="G1203" s="25"/>
      <c r="H1203" s="57"/>
      <c r="I1203" s="57"/>
      <c r="K1203" s="28"/>
    </row>
    <row r="1204" spans="1:11" s="24" customFormat="1">
      <c r="A1204" s="40"/>
      <c r="B1204" s="106"/>
      <c r="C1204" s="103"/>
      <c r="D1204" s="41"/>
      <c r="E1204" s="41"/>
      <c r="F1204" s="41"/>
      <c r="G1204" s="25"/>
      <c r="H1204" s="57"/>
      <c r="I1204" s="57"/>
      <c r="K1204" s="28"/>
    </row>
    <row r="1205" spans="1:11" s="24" customFormat="1">
      <c r="A1205" s="40"/>
      <c r="B1205" s="106"/>
      <c r="C1205" s="103"/>
      <c r="D1205" s="41"/>
      <c r="E1205" s="41"/>
      <c r="F1205" s="41"/>
      <c r="G1205" s="25"/>
      <c r="H1205" s="57"/>
      <c r="I1205" s="57"/>
      <c r="K1205" s="28"/>
    </row>
    <row r="1206" spans="1:11" s="24" customFormat="1">
      <c r="A1206" s="40"/>
      <c r="B1206" s="106"/>
      <c r="C1206" s="103"/>
      <c r="D1206" s="41"/>
      <c r="E1206" s="41"/>
      <c r="F1206" s="41"/>
      <c r="G1206" s="25"/>
      <c r="H1206" s="57"/>
      <c r="I1206" s="57"/>
      <c r="K1206" s="28"/>
    </row>
    <row r="1207" spans="1:11" s="24" customFormat="1">
      <c r="A1207" s="40"/>
      <c r="B1207" s="106"/>
      <c r="C1207" s="103"/>
      <c r="D1207" s="41"/>
      <c r="E1207" s="41"/>
      <c r="F1207" s="41"/>
      <c r="G1207" s="25"/>
      <c r="H1207" s="57"/>
      <c r="I1207" s="57"/>
      <c r="K1207" s="28"/>
    </row>
    <row r="1208" spans="1:11" s="24" customFormat="1">
      <c r="A1208" s="40"/>
      <c r="B1208" s="106"/>
      <c r="C1208" s="103"/>
      <c r="D1208" s="41"/>
      <c r="E1208" s="41"/>
      <c r="F1208" s="41"/>
      <c r="G1208" s="25"/>
      <c r="H1208" s="57"/>
      <c r="I1208" s="57"/>
      <c r="K1208" s="28"/>
    </row>
    <row r="1209" spans="1:11" s="24" customFormat="1">
      <c r="A1209" s="40"/>
      <c r="B1209" s="106"/>
      <c r="C1209" s="103"/>
      <c r="D1209" s="41"/>
      <c r="E1209" s="41"/>
      <c r="F1209" s="41"/>
      <c r="G1209" s="25"/>
      <c r="H1209" s="57"/>
      <c r="I1209" s="57"/>
      <c r="K1209" s="28"/>
    </row>
    <row r="1210" spans="1:11" s="24" customFormat="1">
      <c r="A1210" s="40"/>
      <c r="B1210" s="106"/>
      <c r="C1210" s="103"/>
      <c r="D1210" s="41"/>
      <c r="E1210" s="41"/>
      <c r="F1210" s="41"/>
      <c r="G1210" s="25"/>
      <c r="H1210" s="57"/>
      <c r="I1210" s="57"/>
      <c r="K1210" s="28"/>
    </row>
    <row r="1211" spans="1:11" s="24" customFormat="1">
      <c r="A1211" s="40"/>
      <c r="B1211" s="106"/>
      <c r="C1211" s="103"/>
      <c r="D1211" s="41"/>
      <c r="E1211" s="41"/>
      <c r="F1211" s="41"/>
      <c r="G1211" s="25"/>
      <c r="H1211" s="57"/>
      <c r="I1211" s="57"/>
      <c r="K1211" s="28"/>
    </row>
    <row r="1212" spans="1:11" s="24" customFormat="1">
      <c r="A1212" s="40"/>
      <c r="B1212" s="106"/>
      <c r="C1212" s="103"/>
      <c r="D1212" s="41"/>
      <c r="E1212" s="41"/>
      <c r="F1212" s="41"/>
      <c r="G1212" s="25"/>
      <c r="H1212" s="57"/>
      <c r="I1212" s="57"/>
      <c r="K1212" s="28"/>
    </row>
    <row r="1213" spans="1:11" s="24" customFormat="1">
      <c r="A1213" s="40"/>
      <c r="B1213" s="106"/>
      <c r="C1213" s="103"/>
      <c r="D1213" s="41"/>
      <c r="E1213" s="41"/>
      <c r="F1213" s="41"/>
      <c r="G1213" s="25"/>
      <c r="H1213" s="57"/>
      <c r="I1213" s="57"/>
      <c r="K1213" s="28"/>
    </row>
    <row r="1214" spans="1:11" s="24" customFormat="1">
      <c r="A1214" s="40"/>
      <c r="B1214" s="106"/>
      <c r="C1214" s="103"/>
      <c r="D1214" s="41"/>
      <c r="E1214" s="41"/>
      <c r="F1214" s="41"/>
      <c r="G1214" s="25"/>
      <c r="H1214" s="57"/>
      <c r="I1214" s="57"/>
      <c r="K1214" s="28"/>
    </row>
    <row r="1215" spans="1:11" s="24" customFormat="1">
      <c r="A1215" s="40"/>
      <c r="B1215" s="106"/>
      <c r="C1215" s="103"/>
      <c r="D1215" s="41"/>
      <c r="E1215" s="41"/>
      <c r="F1215" s="41"/>
      <c r="G1215" s="25"/>
      <c r="H1215" s="57"/>
      <c r="I1215" s="57"/>
      <c r="K1215" s="28"/>
    </row>
    <row r="1216" spans="1:11" s="24" customFormat="1">
      <c r="A1216" s="40"/>
      <c r="B1216" s="106"/>
      <c r="C1216" s="103"/>
      <c r="D1216" s="41"/>
      <c r="E1216" s="41"/>
      <c r="F1216" s="41"/>
      <c r="G1216" s="25"/>
      <c r="H1216" s="57"/>
      <c r="I1216" s="57"/>
      <c r="K1216" s="28"/>
    </row>
    <row r="1217" spans="1:11" s="24" customFormat="1">
      <c r="A1217" s="40"/>
      <c r="B1217" s="106"/>
      <c r="C1217" s="103"/>
      <c r="D1217" s="41"/>
      <c r="E1217" s="41"/>
      <c r="F1217" s="41"/>
      <c r="G1217" s="25"/>
      <c r="H1217" s="57"/>
      <c r="I1217" s="57"/>
      <c r="K1217" s="28"/>
    </row>
    <row r="1218" spans="1:11" s="24" customFormat="1">
      <c r="A1218" s="40"/>
      <c r="B1218" s="106"/>
      <c r="C1218" s="103"/>
      <c r="D1218" s="41"/>
      <c r="E1218" s="41"/>
      <c r="F1218" s="41"/>
      <c r="G1218" s="25"/>
      <c r="H1218" s="57"/>
      <c r="I1218" s="57"/>
      <c r="K1218" s="28"/>
    </row>
    <row r="1219" spans="1:11" s="24" customFormat="1">
      <c r="A1219" s="40"/>
      <c r="B1219" s="106"/>
      <c r="C1219" s="103"/>
      <c r="D1219" s="41"/>
      <c r="E1219" s="41"/>
      <c r="F1219" s="41"/>
      <c r="G1219" s="25"/>
      <c r="H1219" s="57"/>
      <c r="I1219" s="57"/>
      <c r="K1219" s="28"/>
    </row>
    <row r="1220" spans="1:11" s="24" customFormat="1">
      <c r="A1220" s="40"/>
      <c r="B1220" s="106"/>
      <c r="C1220" s="103"/>
      <c r="D1220" s="41"/>
      <c r="E1220" s="41"/>
      <c r="F1220" s="41"/>
      <c r="G1220" s="25"/>
      <c r="H1220" s="57"/>
      <c r="I1220" s="57"/>
      <c r="K1220" s="28"/>
    </row>
    <row r="1221" spans="1:11" s="24" customFormat="1">
      <c r="A1221" s="40"/>
      <c r="B1221" s="106"/>
      <c r="C1221" s="103"/>
      <c r="D1221" s="41"/>
      <c r="E1221" s="41"/>
      <c r="F1221" s="41"/>
      <c r="G1221" s="25"/>
      <c r="H1221" s="57"/>
      <c r="I1221" s="57"/>
      <c r="K1221" s="28"/>
    </row>
    <row r="1222" spans="1:11" s="24" customFormat="1">
      <c r="A1222" s="40"/>
      <c r="B1222" s="106"/>
      <c r="C1222" s="103"/>
      <c r="D1222" s="41"/>
      <c r="E1222" s="41"/>
      <c r="F1222" s="41"/>
      <c r="G1222" s="25"/>
      <c r="H1222" s="57"/>
      <c r="I1222" s="57"/>
      <c r="K1222" s="28"/>
    </row>
    <row r="1223" spans="1:11" s="24" customFormat="1">
      <c r="A1223" s="40"/>
      <c r="B1223" s="106"/>
      <c r="C1223" s="103"/>
      <c r="D1223" s="41"/>
      <c r="E1223" s="41"/>
      <c r="F1223" s="41"/>
      <c r="G1223" s="25"/>
      <c r="H1223" s="57"/>
      <c r="I1223" s="57"/>
      <c r="K1223" s="28"/>
    </row>
    <row r="1224" spans="1:11" s="24" customFormat="1">
      <c r="A1224" s="40"/>
      <c r="B1224" s="106"/>
      <c r="C1224" s="103"/>
      <c r="D1224" s="41"/>
      <c r="E1224" s="41"/>
      <c r="F1224" s="41"/>
      <c r="G1224" s="25"/>
      <c r="H1224" s="57"/>
      <c r="I1224" s="57"/>
      <c r="K1224" s="28"/>
    </row>
    <row r="1225" spans="1:11" s="24" customFormat="1">
      <c r="A1225" s="40"/>
      <c r="B1225" s="106"/>
      <c r="C1225" s="103"/>
      <c r="D1225" s="41"/>
      <c r="E1225" s="41"/>
      <c r="F1225" s="41"/>
      <c r="G1225" s="25"/>
      <c r="H1225" s="57"/>
      <c r="I1225" s="57"/>
      <c r="K1225" s="28"/>
    </row>
    <row r="1226" spans="1:11" s="24" customFormat="1">
      <c r="A1226" s="40"/>
      <c r="B1226" s="106"/>
      <c r="C1226" s="103"/>
      <c r="D1226" s="41"/>
      <c r="E1226" s="41"/>
      <c r="F1226" s="41"/>
      <c r="G1226" s="25"/>
      <c r="H1226" s="57"/>
      <c r="I1226" s="57"/>
      <c r="K1226" s="28"/>
    </row>
    <row r="1227" spans="1:11" s="24" customFormat="1">
      <c r="A1227" s="40"/>
      <c r="B1227" s="106"/>
      <c r="C1227" s="103"/>
      <c r="D1227" s="41"/>
      <c r="E1227" s="41"/>
      <c r="F1227" s="41"/>
      <c r="G1227" s="25"/>
      <c r="H1227" s="57"/>
      <c r="I1227" s="57"/>
      <c r="K1227" s="28"/>
    </row>
    <row r="1228" spans="1:11" s="24" customFormat="1">
      <c r="A1228" s="40"/>
      <c r="B1228" s="106"/>
      <c r="C1228" s="103"/>
      <c r="D1228" s="41"/>
      <c r="E1228" s="41"/>
      <c r="F1228" s="41"/>
      <c r="G1228" s="25"/>
      <c r="H1228" s="57"/>
      <c r="I1228" s="57"/>
      <c r="K1228" s="28"/>
    </row>
    <row r="1229" spans="1:11" s="24" customFormat="1">
      <c r="A1229" s="40"/>
      <c r="B1229" s="106"/>
      <c r="C1229" s="103"/>
      <c r="D1229" s="41"/>
      <c r="E1229" s="41"/>
      <c r="F1229" s="41"/>
      <c r="G1229" s="25"/>
      <c r="H1229" s="57"/>
      <c r="I1229" s="57"/>
      <c r="K1229" s="28"/>
    </row>
    <row r="1230" spans="1:11" s="24" customFormat="1">
      <c r="A1230" s="40"/>
      <c r="B1230" s="106"/>
      <c r="C1230" s="103"/>
      <c r="D1230" s="41"/>
      <c r="E1230" s="41"/>
      <c r="F1230" s="41"/>
      <c r="G1230" s="25"/>
      <c r="H1230" s="57"/>
      <c r="I1230" s="57"/>
      <c r="K1230" s="28"/>
    </row>
    <row r="1231" spans="1:11" s="24" customFormat="1">
      <c r="A1231" s="40"/>
      <c r="B1231" s="106"/>
      <c r="C1231" s="103"/>
      <c r="D1231" s="41"/>
      <c r="E1231" s="41"/>
      <c r="F1231" s="41"/>
      <c r="G1231" s="25"/>
      <c r="H1231" s="57"/>
      <c r="I1231" s="57"/>
      <c r="K1231" s="28"/>
    </row>
    <row r="1232" spans="1:11" s="24" customFormat="1">
      <c r="A1232" s="40"/>
      <c r="B1232" s="106"/>
      <c r="C1232" s="103"/>
      <c r="D1232" s="41"/>
      <c r="E1232" s="41"/>
      <c r="F1232" s="41"/>
      <c r="G1232" s="25"/>
      <c r="H1232" s="57"/>
      <c r="I1232" s="57"/>
      <c r="K1232" s="28"/>
    </row>
    <row r="1233" spans="1:11" s="24" customFormat="1">
      <c r="A1233" s="40"/>
      <c r="B1233" s="106"/>
      <c r="C1233" s="103"/>
      <c r="D1233" s="41"/>
      <c r="E1233" s="41"/>
      <c r="F1233" s="41"/>
      <c r="G1233" s="25"/>
      <c r="H1233" s="57"/>
      <c r="I1233" s="57"/>
      <c r="K1233" s="28"/>
    </row>
    <row r="1234" spans="1:11" s="24" customFormat="1">
      <c r="A1234" s="40"/>
      <c r="B1234" s="106"/>
      <c r="C1234" s="103"/>
      <c r="D1234" s="41"/>
      <c r="E1234" s="41"/>
      <c r="F1234" s="41"/>
      <c r="G1234" s="25"/>
      <c r="H1234" s="57"/>
      <c r="I1234" s="57"/>
      <c r="K1234" s="28"/>
    </row>
    <row r="1235" spans="1:11" s="24" customFormat="1">
      <c r="A1235" s="40"/>
      <c r="B1235" s="106"/>
      <c r="C1235" s="103"/>
      <c r="D1235" s="41"/>
      <c r="E1235" s="41"/>
      <c r="F1235" s="41"/>
      <c r="G1235" s="25"/>
      <c r="H1235" s="57"/>
      <c r="I1235" s="57"/>
      <c r="K1235" s="28"/>
    </row>
    <row r="1236" spans="1:11" s="24" customFormat="1">
      <c r="A1236" s="40"/>
      <c r="B1236" s="106"/>
      <c r="C1236" s="103"/>
      <c r="D1236" s="41"/>
      <c r="E1236" s="41"/>
      <c r="F1236" s="41"/>
      <c r="G1236" s="25"/>
      <c r="H1236" s="57"/>
      <c r="I1236" s="57"/>
      <c r="K1236" s="28"/>
    </row>
    <row r="1237" spans="1:11" s="24" customFormat="1">
      <c r="A1237" s="40"/>
      <c r="B1237" s="106"/>
      <c r="C1237" s="103"/>
      <c r="D1237" s="41"/>
      <c r="E1237" s="41"/>
      <c r="F1237" s="41"/>
      <c r="G1237" s="25"/>
      <c r="H1237" s="57"/>
      <c r="I1237" s="57"/>
      <c r="K1237" s="28"/>
    </row>
    <row r="1238" spans="1:11" s="24" customFormat="1">
      <c r="A1238" s="40"/>
      <c r="B1238" s="106"/>
      <c r="C1238" s="103"/>
      <c r="D1238" s="41"/>
      <c r="E1238" s="41"/>
      <c r="F1238" s="41"/>
      <c r="G1238" s="25"/>
      <c r="H1238" s="57"/>
      <c r="I1238" s="57"/>
      <c r="K1238" s="28"/>
    </row>
    <row r="1239" spans="1:11" s="24" customFormat="1">
      <c r="A1239" s="40"/>
      <c r="B1239" s="106"/>
      <c r="C1239" s="103"/>
      <c r="D1239" s="41"/>
      <c r="E1239" s="41"/>
      <c r="F1239" s="41"/>
      <c r="G1239" s="25"/>
      <c r="H1239" s="57"/>
      <c r="I1239" s="57"/>
      <c r="K1239" s="28"/>
    </row>
    <row r="1240" spans="1:11" s="24" customFormat="1">
      <c r="A1240" s="40"/>
      <c r="B1240" s="106"/>
      <c r="C1240" s="103"/>
      <c r="D1240" s="41"/>
      <c r="E1240" s="41"/>
      <c r="F1240" s="41"/>
      <c r="G1240" s="25"/>
      <c r="H1240" s="57"/>
      <c r="I1240" s="57"/>
      <c r="K1240" s="28"/>
    </row>
    <row r="1241" spans="1:11" s="24" customFormat="1">
      <c r="A1241" s="40"/>
      <c r="B1241" s="106"/>
      <c r="C1241" s="103"/>
      <c r="D1241" s="41"/>
      <c r="E1241" s="41"/>
      <c r="F1241" s="41"/>
      <c r="G1241" s="25"/>
      <c r="H1241" s="57"/>
      <c r="I1241" s="57"/>
      <c r="K1241" s="28"/>
    </row>
    <row r="1242" spans="1:11" s="24" customFormat="1">
      <c r="A1242" s="40"/>
      <c r="B1242" s="106"/>
      <c r="C1242" s="103"/>
      <c r="D1242" s="41"/>
      <c r="E1242" s="41"/>
      <c r="F1242" s="41"/>
      <c r="G1242" s="25"/>
      <c r="H1242" s="57"/>
      <c r="I1242" s="57"/>
      <c r="K1242" s="28"/>
    </row>
    <row r="1243" spans="1:11" s="24" customFormat="1">
      <c r="A1243" s="40"/>
      <c r="B1243" s="106"/>
      <c r="C1243" s="103"/>
      <c r="D1243" s="41"/>
      <c r="E1243" s="41"/>
      <c r="F1243" s="41"/>
      <c r="G1243" s="25"/>
      <c r="H1243" s="57"/>
      <c r="I1243" s="57"/>
      <c r="K1243" s="28"/>
    </row>
    <row r="1244" spans="1:11" s="24" customFormat="1">
      <c r="A1244" s="40"/>
      <c r="B1244" s="106"/>
      <c r="C1244" s="103"/>
      <c r="D1244" s="41"/>
      <c r="E1244" s="41"/>
      <c r="F1244" s="41"/>
      <c r="G1244" s="25"/>
      <c r="H1244" s="57"/>
      <c r="I1244" s="57"/>
      <c r="K1244" s="28"/>
    </row>
    <row r="1245" spans="1:11" s="24" customFormat="1">
      <c r="A1245" s="40"/>
      <c r="B1245" s="106"/>
      <c r="C1245" s="103"/>
      <c r="D1245" s="41"/>
      <c r="E1245" s="41"/>
      <c r="F1245" s="41"/>
      <c r="G1245" s="25"/>
      <c r="H1245" s="57"/>
      <c r="I1245" s="57"/>
      <c r="K1245" s="28"/>
    </row>
    <row r="1246" spans="1:11" s="24" customFormat="1">
      <c r="A1246" s="40"/>
      <c r="B1246" s="106"/>
      <c r="C1246" s="103"/>
      <c r="D1246" s="41"/>
      <c r="E1246" s="41"/>
      <c r="F1246" s="41"/>
      <c r="G1246" s="25"/>
      <c r="H1246" s="57"/>
      <c r="I1246" s="57"/>
      <c r="K1246" s="28"/>
    </row>
    <row r="1247" spans="1:11" s="24" customFormat="1">
      <c r="A1247" s="40"/>
      <c r="B1247" s="106"/>
      <c r="C1247" s="103"/>
      <c r="D1247" s="41"/>
      <c r="E1247" s="41"/>
      <c r="F1247" s="41"/>
      <c r="G1247" s="25"/>
      <c r="H1247" s="57"/>
      <c r="I1247" s="57"/>
      <c r="K1247" s="28"/>
    </row>
    <row r="1248" spans="1:11" s="24" customFormat="1">
      <c r="A1248" s="40"/>
      <c r="B1248" s="106"/>
      <c r="C1248" s="103"/>
      <c r="D1248" s="41"/>
      <c r="E1248" s="41"/>
      <c r="F1248" s="41"/>
      <c r="G1248" s="25"/>
      <c r="H1248" s="57"/>
      <c r="I1248" s="57"/>
      <c r="K1248" s="28"/>
    </row>
    <row r="1249" spans="1:11" s="24" customFormat="1">
      <c r="A1249" s="40"/>
      <c r="B1249" s="106"/>
      <c r="C1249" s="103"/>
      <c r="D1249" s="41"/>
      <c r="E1249" s="41"/>
      <c r="F1249" s="41"/>
      <c r="G1249" s="25"/>
      <c r="H1249" s="57"/>
      <c r="I1249" s="57"/>
      <c r="K1249" s="28"/>
    </row>
    <row r="1250" spans="1:11" s="24" customFormat="1">
      <c r="A1250" s="40"/>
      <c r="B1250" s="106"/>
      <c r="C1250" s="103"/>
      <c r="D1250" s="41"/>
      <c r="E1250" s="41"/>
      <c r="F1250" s="41"/>
      <c r="G1250" s="25"/>
      <c r="H1250" s="57"/>
      <c r="I1250" s="57"/>
      <c r="K1250" s="28"/>
    </row>
    <row r="1251" spans="1:11" s="24" customFormat="1">
      <c r="A1251" s="40"/>
      <c r="B1251" s="106"/>
      <c r="C1251" s="103"/>
      <c r="D1251" s="41"/>
      <c r="E1251" s="41"/>
      <c r="F1251" s="41"/>
      <c r="G1251" s="25"/>
      <c r="H1251" s="57"/>
      <c r="I1251" s="57"/>
      <c r="K1251" s="28"/>
    </row>
    <row r="1252" spans="1:11" s="24" customFormat="1">
      <c r="A1252" s="40"/>
      <c r="B1252" s="106"/>
      <c r="C1252" s="103"/>
      <c r="D1252" s="41"/>
      <c r="E1252" s="41"/>
      <c r="F1252" s="41"/>
      <c r="G1252" s="25"/>
      <c r="H1252" s="57"/>
      <c r="I1252" s="57"/>
      <c r="K1252" s="28"/>
    </row>
    <row r="1253" spans="1:11" s="24" customFormat="1">
      <c r="A1253" s="40"/>
      <c r="B1253" s="106"/>
      <c r="C1253" s="103"/>
      <c r="D1253" s="41"/>
      <c r="E1253" s="41"/>
      <c r="F1253" s="41"/>
      <c r="G1253" s="25"/>
      <c r="H1253" s="57"/>
      <c r="I1253" s="57"/>
      <c r="K1253" s="28"/>
    </row>
    <row r="1254" spans="1:11" s="24" customFormat="1">
      <c r="A1254" s="40"/>
      <c r="B1254" s="106"/>
      <c r="C1254" s="103"/>
      <c r="D1254" s="41"/>
      <c r="E1254" s="41"/>
      <c r="F1254" s="41"/>
      <c r="G1254" s="25"/>
      <c r="H1254" s="57"/>
      <c r="I1254" s="57"/>
      <c r="K1254" s="28"/>
    </row>
    <row r="1255" spans="1:11" s="24" customFormat="1">
      <c r="A1255" s="40"/>
      <c r="B1255" s="106"/>
      <c r="C1255" s="103"/>
      <c r="D1255" s="41"/>
      <c r="E1255" s="41"/>
      <c r="F1255" s="41"/>
      <c r="G1255" s="25"/>
      <c r="H1255" s="57"/>
      <c r="I1255" s="57"/>
      <c r="K1255" s="28"/>
    </row>
    <row r="1256" spans="1:11" s="24" customFormat="1">
      <c r="A1256" s="40"/>
      <c r="B1256" s="106"/>
      <c r="C1256" s="103"/>
      <c r="D1256" s="41"/>
      <c r="E1256" s="41"/>
      <c r="F1256" s="41"/>
      <c r="G1256" s="25"/>
      <c r="H1256" s="57"/>
      <c r="I1256" s="57"/>
      <c r="K1256" s="28"/>
    </row>
    <row r="1257" spans="1:11" s="24" customFormat="1">
      <c r="A1257" s="40"/>
      <c r="B1257" s="106"/>
      <c r="C1257" s="103"/>
      <c r="D1257" s="41"/>
      <c r="E1257" s="41"/>
      <c r="F1257" s="41"/>
      <c r="G1257" s="25"/>
      <c r="H1257" s="57"/>
      <c r="I1257" s="57"/>
      <c r="K1257" s="28"/>
    </row>
    <row r="1258" spans="1:11" s="24" customFormat="1">
      <c r="A1258" s="40"/>
      <c r="B1258" s="106"/>
      <c r="C1258" s="103"/>
      <c r="D1258" s="41"/>
      <c r="E1258" s="41"/>
      <c r="F1258" s="41"/>
      <c r="G1258" s="25"/>
      <c r="H1258" s="57"/>
      <c r="I1258" s="57"/>
      <c r="K1258" s="28"/>
    </row>
    <row r="1259" spans="1:11" s="24" customFormat="1">
      <c r="A1259" s="40"/>
      <c r="B1259" s="106"/>
      <c r="C1259" s="103"/>
      <c r="D1259" s="41"/>
      <c r="E1259" s="41"/>
      <c r="F1259" s="41"/>
      <c r="G1259" s="25"/>
      <c r="H1259" s="57"/>
      <c r="I1259" s="57"/>
      <c r="K1259" s="28"/>
    </row>
    <row r="1260" spans="1:11" s="24" customFormat="1">
      <c r="A1260" s="40"/>
      <c r="B1260" s="106"/>
      <c r="C1260" s="103"/>
      <c r="D1260" s="41"/>
      <c r="E1260" s="41"/>
      <c r="F1260" s="41"/>
      <c r="G1260" s="25"/>
      <c r="H1260" s="57"/>
      <c r="I1260" s="57"/>
      <c r="K1260" s="28"/>
    </row>
    <row r="1261" spans="1:11" s="24" customFormat="1">
      <c r="A1261" s="40"/>
      <c r="B1261" s="106"/>
      <c r="C1261" s="103"/>
      <c r="D1261" s="41"/>
      <c r="E1261" s="41"/>
      <c r="F1261" s="41"/>
      <c r="G1261" s="25"/>
      <c r="H1261" s="57"/>
      <c r="I1261" s="57"/>
      <c r="K1261" s="28"/>
    </row>
    <row r="1262" spans="1:11" s="24" customFormat="1">
      <c r="A1262" s="40"/>
      <c r="B1262" s="106"/>
      <c r="C1262" s="103"/>
      <c r="D1262" s="41"/>
      <c r="E1262" s="41"/>
      <c r="F1262" s="41"/>
      <c r="G1262" s="25"/>
      <c r="H1262" s="57"/>
      <c r="I1262" s="57"/>
      <c r="K1262" s="28"/>
    </row>
    <row r="1263" spans="1:11" s="24" customFormat="1">
      <c r="A1263" s="40"/>
      <c r="B1263" s="106"/>
      <c r="C1263" s="103"/>
      <c r="D1263" s="41"/>
      <c r="E1263" s="41"/>
      <c r="F1263" s="41"/>
      <c r="G1263" s="25"/>
      <c r="H1263" s="57"/>
      <c r="I1263" s="57"/>
      <c r="K1263" s="28"/>
    </row>
    <row r="1264" spans="1:11" s="24" customFormat="1">
      <c r="A1264" s="40"/>
      <c r="B1264" s="106"/>
      <c r="C1264" s="103"/>
      <c r="D1264" s="41"/>
      <c r="E1264" s="41"/>
      <c r="F1264" s="41"/>
      <c r="G1264" s="25"/>
      <c r="H1264" s="57"/>
      <c r="I1264" s="57"/>
      <c r="K1264" s="28"/>
    </row>
    <row r="1265" spans="1:11" s="24" customFormat="1">
      <c r="A1265" s="40"/>
      <c r="B1265" s="106"/>
      <c r="C1265" s="103"/>
      <c r="D1265" s="41"/>
      <c r="E1265" s="41"/>
      <c r="F1265" s="41"/>
      <c r="G1265" s="25"/>
      <c r="H1265" s="57"/>
      <c r="I1265" s="57"/>
      <c r="K1265" s="28"/>
    </row>
    <row r="1266" spans="1:11" s="24" customFormat="1">
      <c r="A1266" s="40"/>
      <c r="B1266" s="106"/>
      <c r="C1266" s="103"/>
      <c r="D1266" s="41"/>
      <c r="E1266" s="41"/>
      <c r="F1266" s="41"/>
      <c r="G1266" s="25"/>
      <c r="H1266" s="57"/>
      <c r="I1266" s="57"/>
      <c r="K1266" s="28"/>
    </row>
    <row r="1267" spans="1:11" s="24" customFormat="1">
      <c r="A1267" s="40"/>
      <c r="B1267" s="106"/>
      <c r="C1267" s="103"/>
      <c r="D1267" s="41"/>
      <c r="E1267" s="41"/>
      <c r="F1267" s="41"/>
      <c r="G1267" s="25"/>
      <c r="H1267" s="57"/>
      <c r="I1267" s="57"/>
      <c r="K1267" s="28"/>
    </row>
    <row r="1268" spans="1:11" s="24" customFormat="1">
      <c r="A1268" s="40"/>
      <c r="B1268" s="106"/>
      <c r="C1268" s="103"/>
      <c r="D1268" s="41"/>
      <c r="E1268" s="41"/>
      <c r="F1268" s="41"/>
      <c r="G1268" s="25"/>
      <c r="H1268" s="57"/>
      <c r="I1268" s="57"/>
      <c r="K1268" s="28"/>
    </row>
    <row r="1269" spans="1:11" s="24" customFormat="1">
      <c r="A1269" s="40"/>
      <c r="B1269" s="106"/>
      <c r="C1269" s="103"/>
      <c r="D1269" s="41"/>
      <c r="E1269" s="41"/>
      <c r="F1269" s="41"/>
      <c r="G1269" s="25"/>
      <c r="H1269" s="57"/>
      <c r="I1269" s="57"/>
      <c r="K1269" s="28"/>
    </row>
    <row r="1270" spans="1:11" s="24" customFormat="1">
      <c r="A1270" s="40"/>
      <c r="B1270" s="106"/>
      <c r="C1270" s="103"/>
      <c r="D1270" s="41"/>
      <c r="E1270" s="41"/>
      <c r="F1270" s="41"/>
      <c r="G1270" s="25"/>
      <c r="H1270" s="57"/>
      <c r="I1270" s="57"/>
      <c r="K1270" s="28"/>
    </row>
    <row r="1271" spans="1:11" s="24" customFormat="1">
      <c r="A1271" s="40"/>
      <c r="B1271" s="106"/>
      <c r="C1271" s="103"/>
      <c r="D1271" s="41"/>
      <c r="E1271" s="41"/>
      <c r="F1271" s="41"/>
      <c r="G1271" s="25"/>
      <c r="H1271" s="57"/>
      <c r="I1271" s="57"/>
      <c r="K1271" s="28"/>
    </row>
    <row r="1272" spans="1:11" s="24" customFormat="1">
      <c r="A1272" s="40"/>
      <c r="B1272" s="106"/>
      <c r="C1272" s="103"/>
      <c r="D1272" s="41"/>
      <c r="E1272" s="41"/>
      <c r="F1272" s="41"/>
      <c r="G1272" s="25"/>
      <c r="H1272" s="57"/>
      <c r="I1272" s="57"/>
      <c r="K1272" s="28"/>
    </row>
    <row r="1273" spans="1:11" s="24" customFormat="1">
      <c r="A1273" s="40"/>
      <c r="B1273" s="106"/>
      <c r="C1273" s="103"/>
      <c r="D1273" s="41"/>
      <c r="E1273" s="41"/>
      <c r="F1273" s="41"/>
      <c r="G1273" s="25"/>
      <c r="H1273" s="57"/>
      <c r="I1273" s="57"/>
      <c r="K1273" s="28"/>
    </row>
    <row r="1274" spans="1:11" s="24" customFormat="1">
      <c r="A1274" s="40"/>
      <c r="B1274" s="106"/>
      <c r="C1274" s="103"/>
      <c r="D1274" s="41"/>
      <c r="E1274" s="41"/>
      <c r="F1274" s="41"/>
      <c r="G1274" s="25"/>
      <c r="H1274" s="57"/>
      <c r="I1274" s="57"/>
      <c r="K1274" s="28"/>
    </row>
    <row r="1275" spans="1:11" s="24" customFormat="1">
      <c r="A1275" s="40"/>
      <c r="B1275" s="106"/>
      <c r="C1275" s="103"/>
      <c r="D1275" s="41"/>
      <c r="E1275" s="41"/>
      <c r="F1275" s="41"/>
      <c r="G1275" s="25"/>
      <c r="H1275" s="57"/>
      <c r="I1275" s="57"/>
      <c r="K1275" s="28"/>
    </row>
    <row r="1276" spans="1:11" s="24" customFormat="1">
      <c r="A1276" s="40"/>
      <c r="B1276" s="106"/>
      <c r="C1276" s="103"/>
      <c r="D1276" s="41"/>
      <c r="E1276" s="41"/>
      <c r="F1276" s="41"/>
      <c r="G1276" s="25"/>
      <c r="H1276" s="57"/>
      <c r="I1276" s="57"/>
      <c r="K1276" s="28"/>
    </row>
    <row r="1277" spans="1:11" s="24" customFormat="1">
      <c r="A1277" s="40"/>
      <c r="B1277" s="106"/>
      <c r="C1277" s="103"/>
      <c r="D1277" s="41"/>
      <c r="E1277" s="41"/>
      <c r="F1277" s="41"/>
      <c r="G1277" s="25"/>
      <c r="H1277" s="57"/>
      <c r="I1277" s="57"/>
      <c r="K1277" s="28"/>
    </row>
    <row r="1278" spans="1:11" s="24" customFormat="1">
      <c r="A1278" s="40"/>
      <c r="B1278" s="106"/>
      <c r="C1278" s="103"/>
      <c r="D1278" s="41"/>
      <c r="E1278" s="41"/>
      <c r="F1278" s="41"/>
      <c r="G1278" s="25"/>
      <c r="H1278" s="57"/>
      <c r="I1278" s="57"/>
      <c r="K1278" s="28"/>
    </row>
    <row r="1279" spans="1:11" s="24" customFormat="1">
      <c r="A1279" s="40"/>
      <c r="B1279" s="106"/>
      <c r="C1279" s="103"/>
      <c r="D1279" s="41"/>
      <c r="E1279" s="41"/>
      <c r="F1279" s="41"/>
      <c r="G1279" s="25"/>
      <c r="H1279" s="57"/>
      <c r="I1279" s="57"/>
      <c r="K1279" s="28"/>
    </row>
    <row r="1280" spans="1:11" s="24" customFormat="1">
      <c r="A1280" s="40"/>
      <c r="B1280" s="106"/>
      <c r="C1280" s="103"/>
      <c r="D1280" s="41"/>
      <c r="E1280" s="41"/>
      <c r="F1280" s="41"/>
      <c r="G1280" s="25"/>
      <c r="H1280" s="57"/>
      <c r="I1280" s="57"/>
      <c r="K1280" s="28"/>
    </row>
    <row r="1281" spans="1:11" s="24" customFormat="1">
      <c r="A1281" s="40"/>
      <c r="B1281" s="106"/>
      <c r="C1281" s="103"/>
      <c r="D1281" s="41"/>
      <c r="E1281" s="41"/>
      <c r="F1281" s="41"/>
      <c r="G1281" s="25"/>
      <c r="H1281" s="57"/>
      <c r="I1281" s="57"/>
      <c r="K1281" s="28"/>
    </row>
    <row r="1282" spans="1:11" s="24" customFormat="1">
      <c r="A1282" s="40"/>
      <c r="B1282" s="106"/>
      <c r="C1282" s="103"/>
      <c r="D1282" s="41"/>
      <c r="E1282" s="41"/>
      <c r="F1282" s="41"/>
      <c r="G1282" s="25"/>
      <c r="H1282" s="57"/>
      <c r="I1282" s="57"/>
      <c r="K1282" s="28"/>
    </row>
    <row r="1283" spans="1:11" s="24" customFormat="1">
      <c r="A1283" s="40"/>
      <c r="B1283" s="106"/>
      <c r="C1283" s="103"/>
      <c r="D1283" s="41"/>
      <c r="E1283" s="41"/>
      <c r="F1283" s="41"/>
      <c r="G1283" s="25"/>
      <c r="H1283" s="57"/>
      <c r="I1283" s="57"/>
      <c r="K1283" s="28"/>
    </row>
    <row r="1284" spans="1:11" s="24" customFormat="1">
      <c r="A1284" s="40"/>
      <c r="B1284" s="106"/>
      <c r="C1284" s="103"/>
      <c r="D1284" s="41"/>
      <c r="E1284" s="41"/>
      <c r="F1284" s="41"/>
      <c r="G1284" s="25"/>
      <c r="H1284" s="57"/>
      <c r="I1284" s="57"/>
      <c r="K1284" s="28"/>
    </row>
    <row r="1285" spans="1:11" s="24" customFormat="1">
      <c r="A1285" s="40"/>
      <c r="B1285" s="106"/>
      <c r="C1285" s="103"/>
      <c r="D1285" s="41"/>
      <c r="E1285" s="41"/>
      <c r="F1285" s="41"/>
      <c r="G1285" s="25"/>
      <c r="H1285" s="57"/>
      <c r="I1285" s="57"/>
      <c r="K1285" s="28"/>
    </row>
    <row r="1286" spans="1:11" s="24" customFormat="1">
      <c r="A1286" s="40"/>
      <c r="B1286" s="106"/>
      <c r="C1286" s="103"/>
      <c r="D1286" s="41"/>
      <c r="E1286" s="41"/>
      <c r="F1286" s="41"/>
      <c r="G1286" s="25"/>
      <c r="H1286" s="57"/>
      <c r="I1286" s="57"/>
      <c r="K1286" s="28"/>
    </row>
    <row r="1287" spans="1:11" s="24" customFormat="1">
      <c r="A1287" s="40"/>
      <c r="B1287" s="106"/>
      <c r="C1287" s="103"/>
      <c r="D1287" s="41"/>
      <c r="E1287" s="41"/>
      <c r="F1287" s="41"/>
      <c r="G1287" s="25"/>
      <c r="H1287" s="57"/>
      <c r="I1287" s="57"/>
      <c r="K1287" s="28"/>
    </row>
    <row r="1288" spans="1:11" s="24" customFormat="1">
      <c r="A1288" s="40"/>
      <c r="B1288" s="106"/>
      <c r="C1288" s="103"/>
      <c r="D1288" s="41"/>
      <c r="E1288" s="41"/>
      <c r="F1288" s="41"/>
      <c r="G1288" s="25"/>
      <c r="H1288" s="57"/>
      <c r="I1288" s="57"/>
      <c r="K1288" s="28"/>
    </row>
    <row r="1289" spans="1:11" s="24" customFormat="1">
      <c r="A1289" s="40"/>
      <c r="B1289" s="106"/>
      <c r="C1289" s="103"/>
      <c r="D1289" s="41"/>
      <c r="E1289" s="41"/>
      <c r="F1289" s="41"/>
      <c r="G1289" s="25"/>
      <c r="H1289" s="57"/>
      <c r="I1289" s="57"/>
      <c r="K1289" s="28"/>
    </row>
    <row r="1290" spans="1:11" s="24" customFormat="1">
      <c r="A1290" s="40"/>
      <c r="B1290" s="106"/>
      <c r="C1290" s="103"/>
      <c r="D1290" s="41"/>
      <c r="E1290" s="41"/>
      <c r="F1290" s="41"/>
      <c r="G1290" s="25"/>
      <c r="H1290" s="57"/>
      <c r="I1290" s="57"/>
      <c r="K1290" s="28"/>
    </row>
    <row r="1291" spans="1:11" s="24" customFormat="1">
      <c r="A1291" s="40"/>
      <c r="B1291" s="106"/>
      <c r="C1291" s="103"/>
      <c r="D1291" s="41"/>
      <c r="E1291" s="41"/>
      <c r="F1291" s="41"/>
      <c r="G1291" s="25"/>
      <c r="H1291" s="57"/>
      <c r="I1291" s="57"/>
      <c r="K1291" s="28"/>
    </row>
    <row r="1292" spans="1:11" s="24" customFormat="1">
      <c r="A1292" s="40"/>
      <c r="B1292" s="106"/>
      <c r="C1292" s="103"/>
      <c r="D1292" s="41"/>
      <c r="E1292" s="41"/>
      <c r="F1292" s="41"/>
      <c r="G1292" s="25"/>
      <c r="H1292" s="57"/>
      <c r="I1292" s="57"/>
      <c r="K1292" s="28"/>
    </row>
    <row r="1293" spans="1:11" s="24" customFormat="1">
      <c r="A1293" s="40"/>
      <c r="B1293" s="106"/>
      <c r="C1293" s="103"/>
      <c r="D1293" s="41"/>
      <c r="E1293" s="41"/>
      <c r="F1293" s="41"/>
      <c r="G1293" s="25"/>
      <c r="H1293" s="57"/>
      <c r="I1293" s="57"/>
      <c r="K1293" s="28"/>
    </row>
    <row r="1294" spans="1:11" s="24" customFormat="1">
      <c r="A1294" s="40"/>
      <c r="B1294" s="106"/>
      <c r="C1294" s="103"/>
      <c r="D1294" s="41"/>
      <c r="E1294" s="41"/>
      <c r="F1294" s="41"/>
      <c r="G1294" s="25"/>
      <c r="H1294" s="57"/>
      <c r="I1294" s="57"/>
      <c r="K1294" s="28"/>
    </row>
    <row r="1295" spans="1:11" s="24" customFormat="1">
      <c r="A1295" s="40"/>
      <c r="B1295" s="106"/>
      <c r="C1295" s="103"/>
      <c r="D1295" s="41"/>
      <c r="E1295" s="41"/>
      <c r="F1295" s="41"/>
      <c r="G1295" s="25"/>
      <c r="H1295" s="57"/>
      <c r="I1295" s="57"/>
      <c r="K1295" s="28"/>
    </row>
    <row r="1296" spans="1:11" s="24" customFormat="1">
      <c r="A1296" s="40"/>
      <c r="B1296" s="106"/>
      <c r="C1296" s="103"/>
      <c r="D1296" s="41"/>
      <c r="E1296" s="41"/>
      <c r="F1296" s="41"/>
      <c r="G1296" s="25"/>
      <c r="H1296" s="57"/>
      <c r="I1296" s="57"/>
      <c r="K1296" s="28"/>
    </row>
    <row r="1297" spans="1:11" s="24" customFormat="1">
      <c r="A1297" s="40"/>
      <c r="B1297" s="106"/>
      <c r="C1297" s="103"/>
      <c r="D1297" s="41"/>
      <c r="E1297" s="41"/>
      <c r="F1297" s="41"/>
      <c r="G1297" s="25"/>
      <c r="H1297" s="57"/>
      <c r="I1297" s="57"/>
      <c r="K1297" s="28"/>
    </row>
    <row r="1298" spans="1:11" s="24" customFormat="1">
      <c r="A1298" s="40"/>
      <c r="B1298" s="106"/>
      <c r="C1298" s="103"/>
      <c r="D1298" s="41"/>
      <c r="E1298" s="41"/>
      <c r="F1298" s="41"/>
      <c r="G1298" s="25"/>
      <c r="H1298" s="57"/>
      <c r="I1298" s="57"/>
      <c r="K1298" s="28"/>
    </row>
    <row r="1299" spans="1:11" s="24" customFormat="1">
      <c r="A1299" s="40"/>
      <c r="B1299" s="106"/>
      <c r="C1299" s="103"/>
      <c r="D1299" s="41"/>
      <c r="E1299" s="41"/>
      <c r="F1299" s="41"/>
      <c r="G1299" s="25"/>
      <c r="H1299" s="57"/>
      <c r="I1299" s="57"/>
      <c r="K1299" s="28"/>
    </row>
    <row r="1300" spans="1:11" s="24" customFormat="1">
      <c r="A1300" s="40"/>
      <c r="B1300" s="106"/>
      <c r="C1300" s="103"/>
      <c r="D1300" s="41"/>
      <c r="E1300" s="41"/>
      <c r="F1300" s="41"/>
      <c r="G1300" s="25"/>
      <c r="H1300" s="57"/>
      <c r="I1300" s="57"/>
      <c r="K1300" s="28"/>
    </row>
    <row r="1301" spans="1:11" s="24" customFormat="1">
      <c r="A1301" s="40"/>
      <c r="B1301" s="106"/>
      <c r="C1301" s="103"/>
      <c r="D1301" s="41"/>
      <c r="E1301" s="41"/>
      <c r="F1301" s="41"/>
      <c r="G1301" s="25"/>
      <c r="H1301" s="57"/>
      <c r="I1301" s="57"/>
      <c r="K1301" s="28"/>
    </row>
    <row r="1302" spans="1:11" s="24" customFormat="1">
      <c r="A1302" s="40"/>
      <c r="B1302" s="106"/>
      <c r="C1302" s="103"/>
      <c r="D1302" s="41"/>
      <c r="E1302" s="41"/>
      <c r="F1302" s="41"/>
      <c r="G1302" s="25"/>
      <c r="H1302" s="57"/>
      <c r="I1302" s="57"/>
      <c r="K1302" s="28"/>
    </row>
    <row r="1303" spans="1:11" s="24" customFormat="1">
      <c r="A1303" s="40"/>
      <c r="B1303" s="106"/>
      <c r="C1303" s="103"/>
      <c r="D1303" s="41"/>
      <c r="E1303" s="41"/>
      <c r="F1303" s="41"/>
      <c r="G1303" s="25"/>
      <c r="H1303" s="57"/>
      <c r="I1303" s="57"/>
      <c r="K1303" s="28"/>
    </row>
    <row r="1304" spans="1:11" s="24" customFormat="1">
      <c r="A1304" s="40"/>
      <c r="B1304" s="106"/>
      <c r="C1304" s="103"/>
      <c r="D1304" s="41"/>
      <c r="E1304" s="41"/>
      <c r="F1304" s="41"/>
      <c r="G1304" s="25"/>
      <c r="H1304" s="57"/>
      <c r="I1304" s="57"/>
      <c r="K1304" s="28"/>
    </row>
    <row r="1305" spans="1:11" s="24" customFormat="1">
      <c r="A1305" s="40"/>
      <c r="B1305" s="106"/>
      <c r="C1305" s="103"/>
      <c r="D1305" s="41"/>
      <c r="E1305" s="41"/>
      <c r="F1305" s="41"/>
      <c r="G1305" s="25"/>
      <c r="H1305" s="57"/>
      <c r="I1305" s="57"/>
      <c r="K1305" s="28"/>
    </row>
    <row r="1306" spans="1:11" s="24" customFormat="1">
      <c r="A1306" s="40"/>
      <c r="B1306" s="106"/>
      <c r="C1306" s="103"/>
      <c r="D1306" s="41"/>
      <c r="E1306" s="41"/>
      <c r="F1306" s="41"/>
      <c r="G1306" s="25"/>
      <c r="H1306" s="57"/>
      <c r="I1306" s="57"/>
      <c r="K1306" s="28"/>
    </row>
    <row r="1307" spans="1:11" s="24" customFormat="1">
      <c r="A1307" s="40"/>
      <c r="B1307" s="106"/>
      <c r="C1307" s="103"/>
      <c r="D1307" s="41"/>
      <c r="E1307" s="41"/>
      <c r="F1307" s="41"/>
      <c r="G1307" s="25"/>
      <c r="H1307" s="57"/>
      <c r="I1307" s="57"/>
      <c r="K1307" s="28"/>
    </row>
    <row r="1308" spans="1:11" s="24" customFormat="1">
      <c r="A1308" s="40"/>
      <c r="B1308" s="106"/>
      <c r="C1308" s="103"/>
      <c r="D1308" s="41"/>
      <c r="E1308" s="41"/>
      <c r="F1308" s="41"/>
      <c r="G1308" s="25"/>
      <c r="H1308" s="57"/>
      <c r="I1308" s="57"/>
      <c r="K1308" s="28"/>
    </row>
    <row r="1309" spans="1:11" s="24" customFormat="1">
      <c r="A1309" s="40"/>
      <c r="B1309" s="106"/>
      <c r="C1309" s="103"/>
      <c r="D1309" s="41"/>
      <c r="E1309" s="41"/>
      <c r="F1309" s="41"/>
      <c r="G1309" s="25"/>
      <c r="H1309" s="57"/>
      <c r="I1309" s="57"/>
      <c r="K1309" s="28"/>
    </row>
    <row r="1310" spans="1:11" s="24" customFormat="1">
      <c r="A1310" s="40"/>
      <c r="B1310" s="106"/>
      <c r="C1310" s="103"/>
      <c r="D1310" s="41"/>
      <c r="E1310" s="41"/>
      <c r="F1310" s="41"/>
      <c r="G1310" s="25"/>
      <c r="H1310" s="57"/>
      <c r="I1310" s="57"/>
      <c r="K1310" s="28"/>
    </row>
    <row r="1311" spans="1:11" s="24" customFormat="1">
      <c r="A1311" s="40"/>
      <c r="B1311" s="106"/>
      <c r="C1311" s="103"/>
      <c r="D1311" s="41"/>
      <c r="E1311" s="41"/>
      <c r="F1311" s="41"/>
      <c r="G1311" s="25"/>
      <c r="H1311" s="57"/>
      <c r="I1311" s="57"/>
      <c r="K1311" s="28"/>
    </row>
    <row r="1312" spans="1:11" s="24" customFormat="1">
      <c r="A1312" s="40"/>
      <c r="B1312" s="106"/>
      <c r="C1312" s="103"/>
      <c r="D1312" s="41"/>
      <c r="E1312" s="41"/>
      <c r="F1312" s="41"/>
      <c r="G1312" s="25"/>
      <c r="H1312" s="57"/>
      <c r="I1312" s="57"/>
      <c r="K1312" s="28"/>
    </row>
    <row r="1313" spans="1:11" s="24" customFormat="1">
      <c r="A1313" s="40"/>
      <c r="B1313" s="106"/>
      <c r="C1313" s="103"/>
      <c r="D1313" s="41"/>
      <c r="E1313" s="41"/>
      <c r="F1313" s="41"/>
      <c r="G1313" s="25"/>
      <c r="H1313" s="57"/>
      <c r="I1313" s="57"/>
      <c r="K1313" s="28"/>
    </row>
    <row r="1314" spans="1:11" s="24" customFormat="1">
      <c r="A1314" s="40"/>
      <c r="B1314" s="106"/>
      <c r="C1314" s="103"/>
      <c r="D1314" s="41"/>
      <c r="E1314" s="41"/>
      <c r="F1314" s="41"/>
      <c r="G1314" s="25"/>
      <c r="H1314" s="57"/>
      <c r="I1314" s="57"/>
      <c r="K1314" s="28"/>
    </row>
    <row r="1315" spans="1:11" s="24" customFormat="1">
      <c r="A1315" s="40"/>
      <c r="B1315" s="106"/>
      <c r="C1315" s="103"/>
      <c r="D1315" s="41"/>
      <c r="E1315" s="41"/>
      <c r="F1315" s="41"/>
      <c r="G1315" s="25"/>
      <c r="H1315" s="57"/>
      <c r="I1315" s="57"/>
      <c r="K1315" s="28"/>
    </row>
    <row r="1316" spans="1:11" s="24" customFormat="1">
      <c r="A1316" s="40"/>
      <c r="B1316" s="106"/>
      <c r="C1316" s="103"/>
      <c r="D1316" s="41"/>
      <c r="E1316" s="41"/>
      <c r="F1316" s="41"/>
      <c r="G1316" s="25"/>
      <c r="H1316" s="57"/>
      <c r="I1316" s="57"/>
      <c r="K1316" s="28"/>
    </row>
    <row r="1317" spans="1:11" s="24" customFormat="1">
      <c r="A1317" s="40"/>
      <c r="B1317" s="106"/>
      <c r="C1317" s="103"/>
      <c r="D1317" s="41"/>
      <c r="E1317" s="41"/>
      <c r="F1317" s="41"/>
      <c r="G1317" s="25"/>
      <c r="H1317" s="57"/>
      <c r="I1317" s="57"/>
      <c r="K1317" s="28"/>
    </row>
    <row r="1318" spans="1:11" s="24" customFormat="1">
      <c r="A1318" s="40"/>
      <c r="B1318" s="106"/>
      <c r="C1318" s="103"/>
      <c r="D1318" s="41"/>
      <c r="E1318" s="41"/>
      <c r="F1318" s="41"/>
      <c r="G1318" s="25"/>
      <c r="H1318" s="57"/>
      <c r="I1318" s="57"/>
      <c r="K1318" s="28"/>
    </row>
    <row r="1319" spans="1:11" s="24" customFormat="1">
      <c r="A1319" s="40"/>
      <c r="B1319" s="106"/>
      <c r="C1319" s="103"/>
      <c r="D1319" s="41"/>
      <c r="E1319" s="41"/>
      <c r="F1319" s="41"/>
      <c r="G1319" s="25"/>
      <c r="H1319" s="57"/>
      <c r="I1319" s="57"/>
      <c r="K1319" s="28"/>
    </row>
    <row r="1320" spans="1:11" s="24" customFormat="1">
      <c r="A1320" s="40"/>
      <c r="B1320" s="106"/>
      <c r="C1320" s="103"/>
      <c r="D1320" s="41"/>
      <c r="E1320" s="41"/>
      <c r="F1320" s="41"/>
      <c r="G1320" s="25"/>
      <c r="H1320" s="57"/>
      <c r="I1320" s="57"/>
      <c r="K1320" s="28"/>
    </row>
    <row r="1321" spans="1:11" s="24" customFormat="1">
      <c r="A1321" s="40"/>
      <c r="B1321" s="106"/>
      <c r="C1321" s="103"/>
      <c r="D1321" s="41"/>
      <c r="E1321" s="41"/>
      <c r="F1321" s="41"/>
      <c r="G1321" s="25"/>
      <c r="H1321" s="57"/>
      <c r="I1321" s="57"/>
      <c r="K1321" s="28"/>
    </row>
    <row r="1322" spans="1:11" s="24" customFormat="1">
      <c r="A1322" s="40"/>
      <c r="B1322" s="106"/>
      <c r="C1322" s="103"/>
      <c r="D1322" s="41"/>
      <c r="E1322" s="41"/>
      <c r="F1322" s="41"/>
      <c r="G1322" s="25"/>
      <c r="H1322" s="57"/>
      <c r="I1322" s="57"/>
      <c r="K1322" s="28"/>
    </row>
    <row r="1323" spans="1:11" s="24" customFormat="1">
      <c r="A1323" s="40"/>
      <c r="B1323" s="106"/>
      <c r="C1323" s="103"/>
      <c r="D1323" s="41"/>
      <c r="E1323" s="41"/>
      <c r="F1323" s="41"/>
      <c r="G1323" s="25"/>
      <c r="H1323" s="57"/>
      <c r="I1323" s="57"/>
      <c r="K1323" s="28"/>
    </row>
    <row r="1324" spans="1:11" s="24" customFormat="1">
      <c r="A1324" s="40"/>
      <c r="B1324" s="106"/>
      <c r="C1324" s="103"/>
      <c r="D1324" s="41"/>
      <c r="E1324" s="41"/>
      <c r="F1324" s="41"/>
      <c r="G1324" s="25"/>
      <c r="H1324" s="57"/>
      <c r="I1324" s="57"/>
      <c r="K1324" s="28"/>
    </row>
    <row r="1325" spans="1:11" s="24" customFormat="1">
      <c r="A1325" s="40"/>
      <c r="B1325" s="106"/>
      <c r="C1325" s="103"/>
      <c r="D1325" s="41"/>
      <c r="E1325" s="41"/>
      <c r="F1325" s="41"/>
      <c r="G1325" s="25"/>
      <c r="H1325" s="57"/>
      <c r="I1325" s="57"/>
      <c r="K1325" s="28"/>
    </row>
    <row r="1326" spans="1:11" s="24" customFormat="1">
      <c r="A1326" s="40"/>
      <c r="B1326" s="106"/>
      <c r="C1326" s="103"/>
      <c r="D1326" s="41"/>
      <c r="E1326" s="41"/>
      <c r="F1326" s="41"/>
      <c r="G1326" s="25"/>
      <c r="H1326" s="57"/>
      <c r="I1326" s="57"/>
      <c r="K1326" s="28"/>
    </row>
    <row r="1327" spans="1:11" s="24" customFormat="1">
      <c r="A1327" s="40"/>
      <c r="B1327" s="106"/>
      <c r="C1327" s="103"/>
      <c r="D1327" s="41"/>
      <c r="E1327" s="41"/>
      <c r="F1327" s="41"/>
      <c r="G1327" s="25"/>
      <c r="H1327" s="57"/>
      <c r="I1327" s="57"/>
      <c r="K1327" s="28"/>
    </row>
    <row r="1328" spans="1:11" s="24" customFormat="1">
      <c r="A1328" s="40"/>
      <c r="B1328" s="106"/>
      <c r="C1328" s="103"/>
      <c r="D1328" s="41"/>
      <c r="E1328" s="41"/>
      <c r="F1328" s="41"/>
      <c r="G1328" s="25"/>
      <c r="H1328" s="57"/>
      <c r="I1328" s="57"/>
      <c r="K1328" s="28"/>
    </row>
    <row r="1329" spans="1:11" s="24" customFormat="1">
      <c r="A1329" s="40"/>
      <c r="B1329" s="106"/>
      <c r="C1329" s="103"/>
      <c r="D1329" s="41"/>
      <c r="E1329" s="41"/>
      <c r="F1329" s="41"/>
      <c r="G1329" s="25"/>
      <c r="H1329" s="57"/>
      <c r="I1329" s="57"/>
      <c r="K1329" s="28"/>
    </row>
    <row r="1330" spans="1:11" s="24" customFormat="1">
      <c r="A1330" s="40"/>
      <c r="B1330" s="106"/>
      <c r="C1330" s="103"/>
      <c r="D1330" s="41"/>
      <c r="E1330" s="41"/>
      <c r="F1330" s="41"/>
      <c r="G1330" s="25"/>
      <c r="H1330" s="57"/>
      <c r="I1330" s="57"/>
      <c r="K1330" s="28"/>
    </row>
    <row r="1331" spans="1:11" s="24" customFormat="1">
      <c r="A1331" s="40"/>
      <c r="B1331" s="106"/>
      <c r="C1331" s="103"/>
      <c r="D1331" s="41"/>
      <c r="E1331" s="41"/>
      <c r="F1331" s="41"/>
      <c r="G1331" s="25"/>
      <c r="H1331" s="57"/>
      <c r="I1331" s="57"/>
      <c r="K1331" s="28"/>
    </row>
    <row r="1332" spans="1:11" s="24" customFormat="1">
      <c r="A1332" s="40"/>
      <c r="B1332" s="106"/>
      <c r="C1332" s="103"/>
      <c r="D1332" s="41"/>
      <c r="E1332" s="41"/>
      <c r="F1332" s="41"/>
      <c r="G1332" s="25"/>
      <c r="H1332" s="57"/>
      <c r="I1332" s="57"/>
      <c r="K1332" s="28"/>
    </row>
    <row r="1333" spans="1:11" s="24" customFormat="1">
      <c r="A1333" s="40"/>
      <c r="B1333" s="106"/>
      <c r="C1333" s="103"/>
      <c r="D1333" s="41"/>
      <c r="E1333" s="41"/>
      <c r="F1333" s="41"/>
      <c r="G1333" s="25"/>
      <c r="H1333" s="57"/>
      <c r="I1333" s="57"/>
      <c r="K1333" s="28"/>
    </row>
    <row r="1334" spans="1:11" s="24" customFormat="1">
      <c r="A1334" s="40"/>
      <c r="B1334" s="106"/>
      <c r="C1334" s="103"/>
      <c r="D1334" s="41"/>
      <c r="E1334" s="41"/>
      <c r="F1334" s="41"/>
      <c r="G1334" s="25"/>
      <c r="H1334" s="57"/>
      <c r="I1334" s="57"/>
      <c r="K1334" s="28"/>
    </row>
    <row r="1335" spans="1:11" s="24" customFormat="1">
      <c r="A1335" s="40"/>
      <c r="B1335" s="106"/>
      <c r="C1335" s="103"/>
      <c r="D1335" s="41"/>
      <c r="E1335" s="41"/>
      <c r="F1335" s="41"/>
      <c r="G1335" s="25"/>
      <c r="H1335" s="57"/>
      <c r="I1335" s="57"/>
      <c r="K1335" s="28"/>
    </row>
    <row r="1336" spans="1:11" s="24" customFormat="1">
      <c r="A1336" s="40"/>
      <c r="B1336" s="106"/>
      <c r="C1336" s="103"/>
      <c r="D1336" s="41"/>
      <c r="E1336" s="41"/>
      <c r="F1336" s="41"/>
      <c r="G1336" s="25"/>
      <c r="H1336" s="57"/>
      <c r="I1336" s="57"/>
      <c r="K1336" s="28"/>
    </row>
    <row r="1337" spans="1:11" s="24" customFormat="1">
      <c r="A1337" s="40"/>
      <c r="B1337" s="106"/>
      <c r="C1337" s="103"/>
      <c r="D1337" s="41"/>
      <c r="E1337" s="41"/>
      <c r="F1337" s="41"/>
      <c r="G1337" s="25"/>
      <c r="H1337" s="57"/>
      <c r="I1337" s="57"/>
      <c r="K1337" s="28"/>
    </row>
    <row r="1338" spans="1:11" s="24" customFormat="1">
      <c r="A1338" s="40"/>
      <c r="B1338" s="106"/>
      <c r="C1338" s="103"/>
      <c r="D1338" s="41"/>
      <c r="E1338" s="41"/>
      <c r="F1338" s="41"/>
      <c r="G1338" s="25"/>
      <c r="H1338" s="57"/>
      <c r="I1338" s="57"/>
      <c r="K1338" s="28"/>
    </row>
    <row r="1339" spans="1:11" s="24" customFormat="1">
      <c r="A1339" s="40"/>
      <c r="B1339" s="106"/>
      <c r="C1339" s="103"/>
      <c r="D1339" s="41"/>
      <c r="E1339" s="41"/>
      <c r="F1339" s="41"/>
      <c r="G1339" s="25"/>
      <c r="H1339" s="57"/>
      <c r="I1339" s="57"/>
      <c r="K1339" s="28"/>
    </row>
    <row r="1340" spans="1:11" s="24" customFormat="1">
      <c r="A1340" s="40"/>
      <c r="B1340" s="106"/>
      <c r="C1340" s="103"/>
      <c r="D1340" s="41"/>
      <c r="E1340" s="41"/>
      <c r="F1340" s="41"/>
      <c r="G1340" s="25"/>
      <c r="H1340" s="57"/>
      <c r="I1340" s="57"/>
      <c r="K1340" s="28"/>
    </row>
    <row r="1341" spans="1:11" s="24" customFormat="1">
      <c r="A1341" s="40"/>
      <c r="B1341" s="106"/>
      <c r="C1341" s="103"/>
      <c r="D1341" s="41"/>
      <c r="E1341" s="41"/>
      <c r="F1341" s="41"/>
      <c r="G1341" s="25"/>
      <c r="H1341" s="57"/>
      <c r="I1341" s="57"/>
      <c r="K1341" s="28"/>
    </row>
    <row r="1342" spans="1:11" s="24" customFormat="1">
      <c r="A1342" s="40"/>
      <c r="B1342" s="106"/>
      <c r="C1342" s="103"/>
      <c r="D1342" s="41"/>
      <c r="E1342" s="41"/>
      <c r="F1342" s="41"/>
      <c r="G1342" s="25"/>
      <c r="H1342" s="57"/>
      <c r="I1342" s="57"/>
      <c r="K1342" s="28"/>
    </row>
    <row r="1343" spans="1:11" s="24" customFormat="1">
      <c r="A1343" s="40"/>
      <c r="B1343" s="106"/>
      <c r="C1343" s="103"/>
      <c r="D1343" s="41"/>
      <c r="E1343" s="41"/>
      <c r="F1343" s="41"/>
      <c r="G1343" s="25"/>
      <c r="H1343" s="57"/>
      <c r="I1343" s="57"/>
      <c r="K1343" s="28"/>
    </row>
    <row r="1344" spans="1:11" s="24" customFormat="1">
      <c r="A1344" s="40"/>
      <c r="B1344" s="106"/>
      <c r="C1344" s="103"/>
      <c r="D1344" s="41"/>
      <c r="E1344" s="41"/>
      <c r="F1344" s="41"/>
      <c r="G1344" s="25"/>
      <c r="H1344" s="57"/>
      <c r="I1344" s="57"/>
      <c r="K1344" s="28"/>
    </row>
    <row r="1345" spans="1:11" s="24" customFormat="1">
      <c r="A1345" s="40"/>
      <c r="B1345" s="106"/>
      <c r="C1345" s="103"/>
      <c r="D1345" s="41"/>
      <c r="E1345" s="41"/>
      <c r="F1345" s="41"/>
      <c r="G1345" s="25"/>
      <c r="H1345" s="57"/>
      <c r="I1345" s="57"/>
      <c r="K1345" s="28"/>
    </row>
    <row r="1346" spans="1:11" s="24" customFormat="1">
      <c r="A1346" s="40"/>
      <c r="B1346" s="106"/>
      <c r="C1346" s="103"/>
      <c r="D1346" s="41"/>
      <c r="E1346" s="41"/>
      <c r="F1346" s="41"/>
      <c r="G1346" s="25"/>
      <c r="H1346" s="57"/>
      <c r="I1346" s="57"/>
      <c r="K1346" s="28"/>
    </row>
    <row r="1347" spans="1:11" s="24" customFormat="1">
      <c r="A1347" s="40"/>
      <c r="B1347" s="106"/>
      <c r="C1347" s="103"/>
      <c r="D1347" s="41"/>
      <c r="E1347" s="41"/>
      <c r="F1347" s="41"/>
      <c r="G1347" s="25"/>
      <c r="H1347" s="57"/>
      <c r="I1347" s="57"/>
      <c r="K1347" s="28"/>
    </row>
    <row r="1348" spans="1:11" s="24" customFormat="1">
      <c r="A1348" s="40"/>
      <c r="B1348" s="106"/>
      <c r="C1348" s="103"/>
      <c r="D1348" s="41"/>
      <c r="E1348" s="41"/>
      <c r="F1348" s="41"/>
      <c r="G1348" s="25"/>
      <c r="H1348" s="57"/>
      <c r="I1348" s="57"/>
      <c r="K1348" s="28"/>
    </row>
    <row r="1349" spans="1:11" s="24" customFormat="1">
      <c r="A1349" s="40"/>
      <c r="B1349" s="106"/>
      <c r="C1349" s="103"/>
      <c r="D1349" s="41"/>
      <c r="E1349" s="41"/>
      <c r="F1349" s="41"/>
      <c r="G1349" s="25"/>
      <c r="H1349" s="57"/>
      <c r="I1349" s="57"/>
      <c r="K1349" s="28"/>
    </row>
    <row r="1350" spans="1:11" s="24" customFormat="1">
      <c r="A1350" s="40"/>
      <c r="B1350" s="106"/>
      <c r="C1350" s="103"/>
      <c r="D1350" s="41"/>
      <c r="E1350" s="41"/>
      <c r="F1350" s="41"/>
      <c r="G1350" s="25"/>
      <c r="H1350" s="57"/>
      <c r="I1350" s="57"/>
      <c r="K1350" s="28"/>
    </row>
    <row r="1351" spans="1:11" s="24" customFormat="1">
      <c r="A1351" s="40"/>
      <c r="B1351" s="106"/>
      <c r="C1351" s="103"/>
      <c r="D1351" s="41"/>
      <c r="E1351" s="41"/>
      <c r="F1351" s="41"/>
      <c r="G1351" s="25"/>
      <c r="H1351" s="57"/>
      <c r="I1351" s="57"/>
      <c r="K1351" s="28"/>
    </row>
    <row r="1352" spans="1:11" s="24" customFormat="1">
      <c r="A1352" s="40"/>
      <c r="B1352" s="106"/>
      <c r="C1352" s="103"/>
      <c r="D1352" s="41"/>
      <c r="E1352" s="41"/>
      <c r="F1352" s="41"/>
      <c r="G1352" s="25"/>
      <c r="H1352" s="57"/>
      <c r="I1352" s="57"/>
      <c r="K1352" s="28"/>
    </row>
    <row r="1353" spans="1:11" s="24" customFormat="1">
      <c r="A1353" s="40"/>
      <c r="B1353" s="106"/>
      <c r="C1353" s="103"/>
      <c r="D1353" s="41"/>
      <c r="E1353" s="41"/>
      <c r="F1353" s="41"/>
      <c r="G1353" s="25"/>
      <c r="H1353" s="57"/>
      <c r="I1353" s="57"/>
      <c r="K1353" s="28"/>
    </row>
    <row r="1354" spans="1:11" s="24" customFormat="1">
      <c r="A1354" s="40"/>
      <c r="B1354" s="106"/>
      <c r="C1354" s="103"/>
      <c r="D1354" s="41"/>
      <c r="E1354" s="41"/>
      <c r="F1354" s="41"/>
      <c r="G1354" s="25"/>
      <c r="H1354" s="57"/>
      <c r="I1354" s="57"/>
      <c r="K1354" s="28"/>
    </row>
    <row r="1355" spans="1:11" s="24" customFormat="1">
      <c r="A1355" s="40"/>
      <c r="B1355" s="106"/>
      <c r="C1355" s="103"/>
      <c r="D1355" s="41"/>
      <c r="E1355" s="41"/>
      <c r="F1355" s="41"/>
      <c r="G1355" s="25"/>
      <c r="H1355" s="57"/>
      <c r="I1355" s="57"/>
      <c r="K1355" s="28"/>
    </row>
    <row r="1356" spans="1:11" s="24" customFormat="1">
      <c r="A1356" s="40"/>
      <c r="B1356" s="106"/>
      <c r="C1356" s="103"/>
      <c r="D1356" s="41"/>
      <c r="E1356" s="41"/>
      <c r="F1356" s="41"/>
      <c r="G1356" s="25"/>
      <c r="H1356" s="57"/>
      <c r="I1356" s="57"/>
      <c r="K1356" s="28"/>
    </row>
    <row r="1357" spans="1:11" s="24" customFormat="1">
      <c r="A1357" s="40"/>
      <c r="B1357" s="106"/>
      <c r="C1357" s="103"/>
      <c r="D1357" s="41"/>
      <c r="E1357" s="41"/>
      <c r="F1357" s="41"/>
      <c r="G1357" s="25"/>
      <c r="H1357" s="57"/>
      <c r="I1357" s="57"/>
      <c r="K1357" s="28"/>
    </row>
    <row r="1358" spans="1:11" s="24" customFormat="1">
      <c r="A1358" s="40"/>
      <c r="B1358" s="106"/>
      <c r="C1358" s="103"/>
      <c r="D1358" s="41"/>
      <c r="E1358" s="41"/>
      <c r="F1358" s="41"/>
      <c r="G1358" s="25"/>
      <c r="H1358" s="57"/>
      <c r="I1358" s="57"/>
      <c r="K1358" s="28"/>
    </row>
    <row r="1359" spans="1:11" s="24" customFormat="1">
      <c r="A1359" s="40"/>
      <c r="B1359" s="106"/>
      <c r="C1359" s="103"/>
      <c r="D1359" s="41"/>
      <c r="E1359" s="41"/>
      <c r="F1359" s="41"/>
      <c r="G1359" s="25"/>
      <c r="H1359" s="57"/>
      <c r="I1359" s="57"/>
      <c r="K1359" s="28"/>
    </row>
    <row r="1360" spans="1:11" s="24" customFormat="1">
      <c r="A1360" s="40"/>
      <c r="B1360" s="106"/>
      <c r="C1360" s="103"/>
      <c r="D1360" s="41"/>
      <c r="E1360" s="41"/>
      <c r="F1360" s="41"/>
      <c r="G1360" s="25"/>
      <c r="H1360" s="57"/>
      <c r="I1360" s="57"/>
      <c r="K1360" s="28"/>
    </row>
    <row r="1361" spans="1:11" s="24" customFormat="1">
      <c r="A1361" s="40"/>
      <c r="B1361" s="106"/>
      <c r="C1361" s="103"/>
      <c r="D1361" s="41"/>
      <c r="E1361" s="41"/>
      <c r="F1361" s="41"/>
      <c r="G1361" s="25"/>
      <c r="H1361" s="57"/>
      <c r="I1361" s="57"/>
      <c r="K1361" s="28"/>
    </row>
    <row r="1362" spans="1:11" s="24" customFormat="1">
      <c r="A1362" s="40"/>
      <c r="B1362" s="106"/>
      <c r="C1362" s="103"/>
      <c r="D1362" s="41"/>
      <c r="E1362" s="41"/>
      <c r="F1362" s="41"/>
      <c r="G1362" s="25"/>
      <c r="H1362" s="57"/>
      <c r="I1362" s="57"/>
      <c r="K1362" s="28"/>
    </row>
    <row r="1363" spans="1:11" s="24" customFormat="1">
      <c r="A1363" s="40"/>
      <c r="B1363" s="106"/>
      <c r="C1363" s="103"/>
      <c r="D1363" s="41"/>
      <c r="E1363" s="41"/>
      <c r="F1363" s="41"/>
      <c r="G1363" s="25"/>
      <c r="H1363" s="57"/>
      <c r="I1363" s="57"/>
      <c r="K1363" s="28"/>
    </row>
    <row r="1364" spans="1:11" s="24" customFormat="1">
      <c r="A1364" s="40"/>
      <c r="B1364" s="106"/>
      <c r="C1364" s="103"/>
      <c r="D1364" s="41"/>
      <c r="E1364" s="41"/>
      <c r="F1364" s="41"/>
      <c r="G1364" s="25"/>
      <c r="H1364" s="57"/>
      <c r="I1364" s="57"/>
      <c r="K1364" s="28"/>
    </row>
    <row r="1365" spans="1:11" s="24" customFormat="1">
      <c r="A1365" s="40"/>
      <c r="B1365" s="106"/>
      <c r="C1365" s="103"/>
      <c r="D1365" s="41"/>
      <c r="E1365" s="41"/>
      <c r="F1365" s="41"/>
      <c r="G1365" s="25"/>
      <c r="H1365" s="57"/>
      <c r="I1365" s="57"/>
      <c r="K1365" s="28"/>
    </row>
    <row r="1366" spans="1:11" s="24" customFormat="1">
      <c r="A1366" s="40"/>
      <c r="B1366" s="106"/>
      <c r="C1366" s="103"/>
      <c r="D1366" s="41"/>
      <c r="E1366" s="41"/>
      <c r="F1366" s="41"/>
      <c r="G1366" s="25"/>
      <c r="H1366" s="57"/>
      <c r="I1366" s="57"/>
      <c r="K1366" s="28"/>
    </row>
    <row r="1367" spans="1:11" s="24" customFormat="1">
      <c r="A1367" s="40"/>
      <c r="B1367" s="106"/>
      <c r="C1367" s="103"/>
      <c r="D1367" s="41"/>
      <c r="E1367" s="41"/>
      <c r="F1367" s="41"/>
      <c r="G1367" s="25"/>
      <c r="H1367" s="57"/>
      <c r="I1367" s="57"/>
      <c r="K1367" s="28"/>
    </row>
    <row r="1368" spans="1:11" s="24" customFormat="1">
      <c r="A1368" s="40"/>
      <c r="B1368" s="106"/>
      <c r="C1368" s="103"/>
      <c r="D1368" s="41"/>
      <c r="E1368" s="41"/>
      <c r="F1368" s="41"/>
      <c r="G1368" s="25"/>
      <c r="H1368" s="57"/>
      <c r="I1368" s="57"/>
      <c r="K1368" s="28"/>
    </row>
    <row r="1369" spans="1:11" s="24" customFormat="1">
      <c r="A1369" s="40"/>
      <c r="B1369" s="106"/>
      <c r="C1369" s="103"/>
      <c r="D1369" s="41"/>
      <c r="E1369" s="41"/>
      <c r="F1369" s="41"/>
      <c r="G1369" s="25"/>
      <c r="H1369" s="57"/>
      <c r="I1369" s="57"/>
      <c r="K1369" s="28"/>
    </row>
    <row r="1370" spans="1:11" s="24" customFormat="1">
      <c r="A1370" s="40"/>
      <c r="B1370" s="106"/>
      <c r="C1370" s="103"/>
      <c r="D1370" s="41"/>
      <c r="E1370" s="41"/>
      <c r="F1370" s="41"/>
      <c r="G1370" s="25"/>
      <c r="H1370" s="57"/>
      <c r="I1370" s="57"/>
      <c r="K1370" s="28"/>
    </row>
    <row r="1371" spans="1:11" s="24" customFormat="1">
      <c r="A1371" s="40"/>
      <c r="B1371" s="106"/>
      <c r="C1371" s="103"/>
      <c r="D1371" s="41"/>
      <c r="E1371" s="41"/>
      <c r="F1371" s="41"/>
      <c r="G1371" s="25"/>
      <c r="H1371" s="57"/>
      <c r="I1371" s="57"/>
      <c r="K1371" s="28"/>
    </row>
    <row r="1372" spans="1:11" s="24" customFormat="1">
      <c r="A1372" s="40"/>
      <c r="B1372" s="106"/>
      <c r="C1372" s="103"/>
      <c r="D1372" s="41"/>
      <c r="E1372" s="41"/>
      <c r="F1372" s="41"/>
      <c r="G1372" s="25"/>
      <c r="H1372" s="57"/>
      <c r="I1372" s="57"/>
      <c r="K1372" s="28"/>
    </row>
    <row r="1373" spans="1:11" s="24" customFormat="1">
      <c r="A1373" s="40"/>
      <c r="B1373" s="106"/>
      <c r="C1373" s="103"/>
      <c r="D1373" s="41"/>
      <c r="E1373" s="41"/>
      <c r="F1373" s="41"/>
      <c r="G1373" s="25"/>
      <c r="H1373" s="57"/>
      <c r="I1373" s="57"/>
      <c r="K1373" s="28"/>
    </row>
    <row r="1374" spans="1:11" s="24" customFormat="1">
      <c r="A1374" s="40"/>
      <c r="B1374" s="106"/>
      <c r="C1374" s="103"/>
      <c r="D1374" s="41"/>
      <c r="E1374" s="41"/>
      <c r="F1374" s="41"/>
      <c r="G1374" s="25"/>
      <c r="H1374" s="57"/>
      <c r="I1374" s="57"/>
      <c r="K1374" s="28"/>
    </row>
    <row r="1375" spans="1:11" s="24" customFormat="1">
      <c r="A1375" s="40"/>
      <c r="B1375" s="106"/>
      <c r="C1375" s="103"/>
      <c r="D1375" s="41"/>
      <c r="E1375" s="41"/>
      <c r="F1375" s="41"/>
      <c r="G1375" s="25"/>
      <c r="H1375" s="57"/>
      <c r="I1375" s="57"/>
      <c r="K1375" s="28"/>
    </row>
    <row r="1376" spans="1:11" s="24" customFormat="1">
      <c r="A1376" s="40"/>
      <c r="B1376" s="106"/>
      <c r="C1376" s="103"/>
      <c r="D1376" s="41"/>
      <c r="E1376" s="41"/>
      <c r="F1376" s="41"/>
      <c r="G1376" s="25"/>
      <c r="H1376" s="57"/>
      <c r="I1376" s="57"/>
      <c r="K1376" s="28"/>
    </row>
    <row r="1377" spans="1:11" s="24" customFormat="1">
      <c r="A1377" s="40"/>
      <c r="B1377" s="106"/>
      <c r="C1377" s="103"/>
      <c r="D1377" s="41"/>
      <c r="E1377" s="41"/>
      <c r="F1377" s="41"/>
      <c r="G1377" s="25"/>
      <c r="H1377" s="57"/>
      <c r="I1377" s="57"/>
      <c r="K1377" s="28"/>
    </row>
    <row r="1378" spans="1:11" s="24" customFormat="1">
      <c r="A1378" s="40"/>
      <c r="B1378" s="106"/>
      <c r="C1378" s="103"/>
      <c r="D1378" s="41"/>
      <c r="E1378" s="41"/>
      <c r="F1378" s="41"/>
      <c r="G1378" s="25"/>
      <c r="H1378" s="57"/>
      <c r="I1378" s="57"/>
      <c r="K1378" s="28"/>
    </row>
    <row r="1379" spans="1:11" s="24" customFormat="1">
      <c r="A1379" s="40"/>
      <c r="B1379" s="106"/>
      <c r="C1379" s="103"/>
      <c r="D1379" s="41"/>
      <c r="E1379" s="41"/>
      <c r="F1379" s="41"/>
      <c r="G1379" s="25"/>
      <c r="H1379" s="57"/>
      <c r="I1379" s="57"/>
      <c r="K1379" s="28"/>
    </row>
    <row r="1380" spans="1:11" s="24" customFormat="1">
      <c r="A1380" s="40"/>
      <c r="B1380" s="106"/>
      <c r="C1380" s="103"/>
      <c r="D1380" s="41"/>
      <c r="E1380" s="41"/>
      <c r="F1380" s="41"/>
      <c r="G1380" s="25"/>
      <c r="H1380" s="57"/>
      <c r="I1380" s="57"/>
      <c r="K1380" s="28"/>
    </row>
    <row r="1381" spans="1:11" s="24" customFormat="1">
      <c r="A1381" s="40"/>
      <c r="B1381" s="106"/>
      <c r="C1381" s="103"/>
      <c r="D1381" s="41"/>
      <c r="E1381" s="41"/>
      <c r="F1381" s="41"/>
      <c r="G1381" s="25"/>
      <c r="H1381" s="57"/>
      <c r="I1381" s="57"/>
      <c r="K1381" s="28"/>
    </row>
    <row r="1382" spans="1:11" s="24" customFormat="1">
      <c r="A1382" s="40"/>
      <c r="B1382" s="106"/>
      <c r="C1382" s="103"/>
      <c r="D1382" s="41"/>
      <c r="E1382" s="41"/>
      <c r="F1382" s="41"/>
      <c r="G1382" s="25"/>
      <c r="H1382" s="57"/>
      <c r="I1382" s="57"/>
      <c r="K1382" s="28"/>
    </row>
    <row r="1383" spans="1:11" s="24" customFormat="1">
      <c r="A1383" s="40"/>
      <c r="B1383" s="106"/>
      <c r="C1383" s="103"/>
      <c r="D1383" s="41"/>
      <c r="E1383" s="41"/>
      <c r="F1383" s="41"/>
      <c r="G1383" s="25"/>
      <c r="H1383" s="57"/>
      <c r="I1383" s="57"/>
      <c r="K1383" s="28"/>
    </row>
    <row r="1384" spans="1:11" s="24" customFormat="1">
      <c r="A1384" s="40"/>
      <c r="B1384" s="106"/>
      <c r="C1384" s="103"/>
      <c r="D1384" s="41"/>
      <c r="E1384" s="41"/>
      <c r="F1384" s="41"/>
      <c r="G1384" s="25"/>
      <c r="H1384" s="57"/>
      <c r="I1384" s="57"/>
      <c r="K1384" s="28"/>
    </row>
    <row r="1385" spans="1:11" s="24" customFormat="1">
      <c r="A1385" s="40"/>
      <c r="B1385" s="106"/>
      <c r="C1385" s="103"/>
      <c r="D1385" s="41"/>
      <c r="E1385" s="41"/>
      <c r="F1385" s="41"/>
      <c r="G1385" s="25"/>
      <c r="H1385" s="57"/>
      <c r="I1385" s="57"/>
      <c r="K1385" s="28"/>
    </row>
    <row r="1386" spans="1:11" s="24" customFormat="1">
      <c r="A1386" s="40"/>
      <c r="B1386" s="106"/>
      <c r="C1386" s="103"/>
      <c r="D1386" s="41"/>
      <c r="E1386" s="41"/>
      <c r="F1386" s="41"/>
      <c r="G1386" s="25"/>
      <c r="H1386" s="57"/>
      <c r="I1386" s="57"/>
      <c r="K1386" s="28"/>
    </row>
    <row r="1387" spans="1:11" s="24" customFormat="1">
      <c r="A1387" s="40"/>
      <c r="B1387" s="106"/>
      <c r="C1387" s="103"/>
      <c r="D1387" s="41"/>
      <c r="E1387" s="41"/>
      <c r="F1387" s="41"/>
      <c r="G1387" s="25"/>
      <c r="H1387" s="57"/>
      <c r="I1387" s="57"/>
      <c r="K1387" s="28"/>
    </row>
    <row r="1388" spans="1:11" s="24" customFormat="1">
      <c r="A1388" s="40"/>
      <c r="B1388" s="106"/>
      <c r="C1388" s="103"/>
      <c r="D1388" s="41"/>
      <c r="E1388" s="41"/>
      <c r="F1388" s="41"/>
      <c r="G1388" s="25"/>
      <c r="H1388" s="57"/>
      <c r="I1388" s="57"/>
      <c r="K1388" s="28"/>
    </row>
    <row r="1389" spans="1:11" s="24" customFormat="1">
      <c r="A1389" s="40"/>
      <c r="B1389" s="106"/>
      <c r="C1389" s="103"/>
      <c r="D1389" s="41"/>
      <c r="E1389" s="41"/>
      <c r="F1389" s="41"/>
      <c r="G1389" s="25"/>
      <c r="H1389" s="57"/>
      <c r="I1389" s="57"/>
      <c r="K1389" s="28"/>
    </row>
    <row r="1390" spans="1:11" s="24" customFormat="1">
      <c r="A1390" s="40"/>
      <c r="B1390" s="106"/>
      <c r="C1390" s="103"/>
      <c r="D1390" s="41"/>
      <c r="E1390" s="41"/>
      <c r="F1390" s="41"/>
      <c r="G1390" s="25"/>
      <c r="H1390" s="57"/>
      <c r="I1390" s="57"/>
      <c r="K1390" s="28"/>
    </row>
    <row r="1391" spans="1:11" s="24" customFormat="1">
      <c r="A1391" s="40"/>
      <c r="B1391" s="106"/>
      <c r="C1391" s="103"/>
      <c r="D1391" s="41"/>
      <c r="E1391" s="41"/>
      <c r="F1391" s="41"/>
      <c r="G1391" s="25"/>
      <c r="H1391" s="57"/>
      <c r="I1391" s="57"/>
      <c r="K1391" s="28"/>
    </row>
    <row r="1392" spans="1:11" s="24" customFormat="1">
      <c r="A1392" s="40"/>
      <c r="B1392" s="106"/>
      <c r="C1392" s="103"/>
      <c r="D1392" s="41"/>
      <c r="E1392" s="41"/>
      <c r="F1392" s="41"/>
      <c r="G1392" s="25"/>
      <c r="H1392" s="57"/>
      <c r="I1392" s="57"/>
      <c r="K1392" s="28"/>
    </row>
    <row r="1393" spans="1:11" s="24" customFormat="1">
      <c r="A1393" s="40"/>
      <c r="B1393" s="106"/>
      <c r="C1393" s="103"/>
      <c r="D1393" s="41"/>
      <c r="E1393" s="41"/>
      <c r="F1393" s="41"/>
      <c r="G1393" s="25"/>
      <c r="H1393" s="57"/>
      <c r="I1393" s="57"/>
      <c r="K1393" s="28"/>
    </row>
    <row r="1394" spans="1:11" s="24" customFormat="1">
      <c r="A1394" s="40"/>
      <c r="B1394" s="106"/>
      <c r="C1394" s="103"/>
      <c r="D1394" s="41"/>
      <c r="E1394" s="41"/>
      <c r="F1394" s="41"/>
      <c r="G1394" s="25"/>
      <c r="H1394" s="57"/>
      <c r="I1394" s="57"/>
      <c r="K1394" s="28"/>
    </row>
    <row r="1395" spans="1:11" s="24" customFormat="1">
      <c r="A1395" s="40"/>
      <c r="B1395" s="106"/>
      <c r="C1395" s="103"/>
      <c r="D1395" s="41"/>
      <c r="E1395" s="41"/>
      <c r="F1395" s="41"/>
      <c r="G1395" s="25"/>
      <c r="H1395" s="57"/>
      <c r="I1395" s="57"/>
      <c r="K1395" s="28"/>
    </row>
    <row r="1396" spans="1:11" s="24" customFormat="1">
      <c r="A1396" s="40"/>
      <c r="B1396" s="106"/>
      <c r="C1396" s="103"/>
      <c r="D1396" s="41"/>
      <c r="E1396" s="41"/>
      <c r="F1396" s="41"/>
      <c r="G1396" s="25"/>
      <c r="H1396" s="57"/>
      <c r="I1396" s="57"/>
      <c r="K1396" s="28"/>
    </row>
    <row r="1397" spans="1:11" s="24" customFormat="1">
      <c r="A1397" s="40"/>
      <c r="B1397" s="106"/>
      <c r="C1397" s="103"/>
      <c r="D1397" s="41"/>
      <c r="E1397" s="41"/>
      <c r="F1397" s="41"/>
      <c r="G1397" s="25"/>
      <c r="H1397" s="57"/>
      <c r="I1397" s="57"/>
      <c r="K1397" s="28"/>
    </row>
    <row r="1398" spans="1:11" s="24" customFormat="1">
      <c r="A1398" s="40"/>
      <c r="B1398" s="106"/>
      <c r="C1398" s="103"/>
      <c r="D1398" s="41"/>
      <c r="E1398" s="41"/>
      <c r="F1398" s="41"/>
      <c r="G1398" s="25"/>
      <c r="H1398" s="57"/>
      <c r="I1398" s="57"/>
      <c r="K1398" s="28"/>
    </row>
    <row r="1399" spans="1:11" s="24" customFormat="1">
      <c r="A1399" s="40"/>
      <c r="B1399" s="106"/>
      <c r="C1399" s="103"/>
      <c r="D1399" s="41"/>
      <c r="E1399" s="41"/>
      <c r="F1399" s="41"/>
      <c r="G1399" s="25"/>
      <c r="H1399" s="57"/>
      <c r="I1399" s="57"/>
      <c r="K1399" s="28"/>
    </row>
    <row r="1400" spans="1:11" s="24" customFormat="1">
      <c r="A1400" s="40"/>
      <c r="B1400" s="106"/>
      <c r="C1400" s="103"/>
      <c r="D1400" s="41"/>
      <c r="E1400" s="41"/>
      <c r="F1400" s="41"/>
      <c r="G1400" s="25"/>
      <c r="H1400" s="57"/>
      <c r="I1400" s="57"/>
      <c r="K1400" s="28"/>
    </row>
    <row r="1401" spans="1:11" s="24" customFormat="1">
      <c r="A1401" s="40"/>
      <c r="B1401" s="106"/>
      <c r="C1401" s="103"/>
      <c r="D1401" s="41"/>
      <c r="E1401" s="41"/>
      <c r="F1401" s="41"/>
      <c r="G1401" s="25"/>
      <c r="H1401" s="57"/>
      <c r="I1401" s="57"/>
      <c r="K1401" s="28"/>
    </row>
    <row r="1402" spans="1:11" s="24" customFormat="1">
      <c r="A1402" s="40"/>
      <c r="B1402" s="106"/>
      <c r="C1402" s="103"/>
      <c r="D1402" s="41"/>
      <c r="E1402" s="41"/>
      <c r="F1402" s="41"/>
      <c r="G1402" s="25"/>
      <c r="H1402" s="57"/>
      <c r="I1402" s="57"/>
      <c r="K1402" s="28"/>
    </row>
    <row r="1403" spans="1:11" s="24" customFormat="1">
      <c r="A1403" s="40"/>
      <c r="B1403" s="106"/>
      <c r="C1403" s="103"/>
      <c r="D1403" s="41"/>
      <c r="E1403" s="41"/>
      <c r="F1403" s="41"/>
      <c r="G1403" s="25"/>
      <c r="H1403" s="57"/>
      <c r="I1403" s="57"/>
      <c r="K1403" s="28"/>
    </row>
    <row r="1404" spans="1:11" s="24" customFormat="1">
      <c r="A1404" s="40"/>
      <c r="B1404" s="106"/>
      <c r="C1404" s="103"/>
      <c r="D1404" s="41"/>
      <c r="E1404" s="41"/>
      <c r="F1404" s="41"/>
      <c r="G1404" s="25"/>
      <c r="H1404" s="57"/>
      <c r="I1404" s="57"/>
      <c r="K1404" s="28"/>
    </row>
    <row r="1405" spans="1:11" s="24" customFormat="1">
      <c r="A1405" s="40"/>
      <c r="B1405" s="106"/>
      <c r="C1405" s="103"/>
      <c r="D1405" s="41"/>
      <c r="E1405" s="41"/>
      <c r="F1405" s="41"/>
      <c r="G1405" s="25"/>
      <c r="H1405" s="57"/>
      <c r="I1405" s="57"/>
      <c r="K1405" s="28"/>
    </row>
    <row r="1406" spans="1:11" s="24" customFormat="1">
      <c r="A1406" s="40"/>
      <c r="B1406" s="106"/>
      <c r="C1406" s="103"/>
      <c r="D1406" s="41"/>
      <c r="E1406" s="41"/>
      <c r="F1406" s="41"/>
      <c r="G1406" s="25"/>
      <c r="H1406" s="57"/>
      <c r="I1406" s="57"/>
      <c r="K1406" s="28"/>
    </row>
    <row r="1407" spans="1:11" s="24" customFormat="1">
      <c r="A1407" s="40"/>
      <c r="B1407" s="106"/>
      <c r="C1407" s="103"/>
      <c r="D1407" s="41"/>
      <c r="E1407" s="41"/>
      <c r="F1407" s="41"/>
      <c r="G1407" s="25"/>
      <c r="H1407" s="57"/>
      <c r="I1407" s="57"/>
      <c r="K1407" s="28"/>
    </row>
    <row r="1408" spans="1:11" s="24" customFormat="1">
      <c r="A1408" s="40"/>
      <c r="B1408" s="106"/>
      <c r="C1408" s="103"/>
      <c r="D1408" s="41"/>
      <c r="E1408" s="41"/>
      <c r="F1408" s="41"/>
      <c r="G1408" s="25"/>
      <c r="H1408" s="57"/>
      <c r="I1408" s="57"/>
      <c r="K1408" s="28"/>
    </row>
    <row r="1409" spans="1:11" s="24" customFormat="1">
      <c r="A1409" s="40"/>
      <c r="B1409" s="106"/>
      <c r="C1409" s="103"/>
      <c r="D1409" s="41"/>
      <c r="E1409" s="41"/>
      <c r="F1409" s="41"/>
      <c r="G1409" s="25"/>
      <c r="H1409" s="57"/>
      <c r="I1409" s="57"/>
      <c r="K1409" s="28"/>
    </row>
    <row r="1410" spans="1:11" s="24" customFormat="1">
      <c r="A1410" s="40"/>
      <c r="B1410" s="106"/>
      <c r="C1410" s="103"/>
      <c r="D1410" s="41"/>
      <c r="E1410" s="41"/>
      <c r="F1410" s="41"/>
      <c r="G1410" s="25"/>
      <c r="H1410" s="57"/>
      <c r="I1410" s="57"/>
      <c r="K1410" s="28"/>
    </row>
    <row r="1411" spans="1:11" s="24" customFormat="1">
      <c r="A1411" s="40"/>
      <c r="B1411" s="106"/>
      <c r="C1411" s="103"/>
      <c r="D1411" s="41"/>
      <c r="E1411" s="41"/>
      <c r="F1411" s="41"/>
      <c r="G1411" s="25"/>
      <c r="H1411" s="57"/>
      <c r="I1411" s="57"/>
      <c r="K1411" s="28"/>
    </row>
    <row r="1412" spans="1:11" s="24" customFormat="1">
      <c r="A1412" s="40"/>
      <c r="B1412" s="106"/>
      <c r="C1412" s="103"/>
      <c r="D1412" s="41"/>
      <c r="E1412" s="41"/>
      <c r="F1412" s="41"/>
      <c r="G1412" s="25"/>
      <c r="H1412" s="57"/>
      <c r="I1412" s="57"/>
      <c r="K1412" s="28"/>
    </row>
    <row r="1413" spans="1:11" s="24" customFormat="1">
      <c r="A1413" s="40"/>
      <c r="B1413" s="106"/>
      <c r="C1413" s="103"/>
      <c r="D1413" s="41"/>
      <c r="E1413" s="41"/>
      <c r="F1413" s="41"/>
      <c r="G1413" s="25"/>
      <c r="H1413" s="57"/>
      <c r="I1413" s="57"/>
      <c r="K1413" s="28"/>
    </row>
    <row r="1414" spans="1:11" s="24" customFormat="1">
      <c r="A1414" s="40"/>
      <c r="B1414" s="106"/>
      <c r="C1414" s="103"/>
      <c r="D1414" s="41"/>
      <c r="E1414" s="41"/>
      <c r="F1414" s="41"/>
      <c r="G1414" s="25"/>
      <c r="H1414" s="57"/>
      <c r="I1414" s="57"/>
      <c r="K1414" s="28"/>
    </row>
    <row r="1415" spans="1:11" s="24" customFormat="1">
      <c r="A1415" s="40"/>
      <c r="B1415" s="106"/>
      <c r="C1415" s="103"/>
      <c r="D1415" s="41"/>
      <c r="E1415" s="41"/>
      <c r="F1415" s="41"/>
      <c r="G1415" s="25"/>
      <c r="H1415" s="57"/>
      <c r="I1415" s="57"/>
      <c r="K1415" s="28"/>
    </row>
    <row r="1416" spans="1:11" s="24" customFormat="1">
      <c r="A1416" s="40"/>
      <c r="B1416" s="106"/>
      <c r="C1416" s="103"/>
      <c r="D1416" s="41"/>
      <c r="E1416" s="41"/>
      <c r="F1416" s="41"/>
      <c r="G1416" s="25"/>
      <c r="H1416" s="57"/>
      <c r="I1416" s="57"/>
      <c r="K1416" s="28"/>
    </row>
    <row r="1417" spans="1:11" s="24" customFormat="1">
      <c r="A1417" s="40"/>
      <c r="B1417" s="106"/>
      <c r="C1417" s="103"/>
      <c r="D1417" s="41"/>
      <c r="E1417" s="41"/>
      <c r="F1417" s="41"/>
      <c r="G1417" s="25"/>
      <c r="H1417" s="57"/>
      <c r="I1417" s="57"/>
      <c r="K1417" s="28"/>
    </row>
    <row r="1418" spans="1:11" s="24" customFormat="1">
      <c r="A1418" s="40"/>
      <c r="B1418" s="106"/>
      <c r="C1418" s="103"/>
      <c r="D1418" s="41"/>
      <c r="E1418" s="41"/>
      <c r="F1418" s="41"/>
      <c r="G1418" s="25"/>
      <c r="H1418" s="57"/>
      <c r="I1418" s="57"/>
      <c r="K1418" s="28"/>
    </row>
    <row r="1419" spans="1:11" s="24" customFormat="1">
      <c r="A1419" s="40"/>
      <c r="B1419" s="106"/>
      <c r="C1419" s="103"/>
      <c r="D1419" s="41"/>
      <c r="E1419" s="41"/>
      <c r="F1419" s="41"/>
      <c r="G1419" s="25"/>
      <c r="H1419" s="57"/>
      <c r="I1419" s="57"/>
      <c r="K1419" s="28"/>
    </row>
    <row r="1420" spans="1:11" s="24" customFormat="1">
      <c r="A1420" s="40"/>
      <c r="B1420" s="106"/>
      <c r="C1420" s="103"/>
      <c r="D1420" s="41"/>
      <c r="E1420" s="41"/>
      <c r="F1420" s="41"/>
      <c r="G1420" s="25"/>
      <c r="H1420" s="57"/>
      <c r="I1420" s="57"/>
      <c r="K1420" s="28"/>
    </row>
    <row r="1421" spans="1:11" s="24" customFormat="1">
      <c r="A1421" s="40"/>
      <c r="B1421" s="106"/>
      <c r="C1421" s="103"/>
      <c r="D1421" s="41"/>
      <c r="E1421" s="41"/>
      <c r="F1421" s="41"/>
      <c r="G1421" s="25"/>
      <c r="H1421" s="57"/>
      <c r="I1421" s="57"/>
      <c r="K1421" s="28"/>
    </row>
    <row r="1422" spans="1:11" s="24" customFormat="1">
      <c r="A1422" s="40"/>
      <c r="B1422" s="106"/>
      <c r="C1422" s="103"/>
      <c r="D1422" s="41"/>
      <c r="E1422" s="41"/>
      <c r="F1422" s="41"/>
      <c r="G1422" s="25"/>
      <c r="H1422" s="57"/>
      <c r="I1422" s="57"/>
      <c r="K1422" s="28"/>
    </row>
    <row r="1423" spans="1:11" s="24" customFormat="1">
      <c r="A1423" s="40"/>
      <c r="B1423" s="106"/>
      <c r="C1423" s="103"/>
      <c r="D1423" s="41"/>
      <c r="E1423" s="41"/>
      <c r="F1423" s="41"/>
      <c r="G1423" s="25"/>
      <c r="H1423" s="57"/>
      <c r="I1423" s="57"/>
      <c r="K1423" s="28"/>
    </row>
    <row r="1424" spans="1:11" s="24" customFormat="1">
      <c r="A1424" s="40"/>
      <c r="B1424" s="106"/>
      <c r="C1424" s="103"/>
      <c r="D1424" s="41"/>
      <c r="E1424" s="41"/>
      <c r="F1424" s="41"/>
      <c r="G1424" s="25"/>
      <c r="H1424" s="57"/>
      <c r="I1424" s="57"/>
      <c r="K1424" s="28"/>
    </row>
    <row r="1425" spans="1:11" s="24" customFormat="1">
      <c r="A1425" s="40"/>
      <c r="B1425" s="106"/>
      <c r="C1425" s="103"/>
      <c r="D1425" s="41"/>
      <c r="E1425" s="41"/>
      <c r="F1425" s="41"/>
      <c r="G1425" s="25"/>
      <c r="H1425" s="57"/>
      <c r="I1425" s="57"/>
      <c r="K1425" s="28"/>
    </row>
    <row r="1426" spans="1:11" s="24" customFormat="1">
      <c r="A1426" s="40"/>
      <c r="B1426" s="106"/>
      <c r="C1426" s="103"/>
      <c r="D1426" s="41"/>
      <c r="E1426" s="41"/>
      <c r="F1426" s="41"/>
      <c r="G1426" s="25"/>
      <c r="H1426" s="57"/>
      <c r="I1426" s="57"/>
      <c r="K1426" s="28"/>
    </row>
    <row r="1427" spans="1:11" s="24" customFormat="1">
      <c r="A1427" s="40"/>
      <c r="B1427" s="106"/>
      <c r="C1427" s="103"/>
      <c r="D1427" s="41"/>
      <c r="E1427" s="41"/>
      <c r="F1427" s="41"/>
      <c r="G1427" s="25"/>
      <c r="H1427" s="57"/>
      <c r="I1427" s="57"/>
      <c r="K1427" s="28"/>
    </row>
    <row r="1428" spans="1:11" s="24" customFormat="1">
      <c r="A1428" s="40"/>
      <c r="B1428" s="106"/>
      <c r="C1428" s="103"/>
      <c r="D1428" s="41"/>
      <c r="E1428" s="41"/>
      <c r="F1428" s="41"/>
      <c r="G1428" s="25"/>
      <c r="H1428" s="57"/>
      <c r="I1428" s="57"/>
      <c r="K1428" s="28"/>
    </row>
    <row r="1429" spans="1:11" s="24" customFormat="1">
      <c r="A1429" s="40"/>
      <c r="B1429" s="106"/>
      <c r="C1429" s="103"/>
      <c r="D1429" s="41"/>
      <c r="E1429" s="41"/>
      <c r="F1429" s="41"/>
      <c r="G1429" s="25"/>
      <c r="H1429" s="57"/>
      <c r="I1429" s="57"/>
      <c r="K1429" s="28"/>
    </row>
    <row r="1430" spans="1:11" s="24" customFormat="1">
      <c r="A1430" s="40"/>
      <c r="B1430" s="106"/>
      <c r="C1430" s="103"/>
      <c r="D1430" s="41"/>
      <c r="E1430" s="41"/>
      <c r="F1430" s="41"/>
      <c r="G1430" s="25"/>
      <c r="H1430" s="57"/>
      <c r="I1430" s="57"/>
      <c r="K1430" s="28"/>
    </row>
    <row r="1431" spans="1:11" s="24" customFormat="1">
      <c r="A1431" s="40"/>
      <c r="B1431" s="106"/>
      <c r="C1431" s="103"/>
      <c r="D1431" s="41"/>
      <c r="E1431" s="41"/>
      <c r="F1431" s="41"/>
      <c r="G1431" s="25"/>
      <c r="H1431" s="57"/>
      <c r="I1431" s="57"/>
      <c r="K1431" s="28"/>
    </row>
    <row r="1432" spans="1:11" s="24" customFormat="1">
      <c r="A1432" s="40"/>
      <c r="B1432" s="106"/>
      <c r="C1432" s="103"/>
      <c r="D1432" s="41"/>
      <c r="E1432" s="41"/>
      <c r="F1432" s="41"/>
      <c r="G1432" s="25"/>
      <c r="H1432" s="57"/>
      <c r="I1432" s="57"/>
      <c r="K1432" s="28"/>
    </row>
    <row r="1433" spans="1:11" s="24" customFormat="1">
      <c r="A1433" s="40"/>
      <c r="B1433" s="106"/>
      <c r="C1433" s="103"/>
      <c r="D1433" s="41"/>
      <c r="E1433" s="41"/>
      <c r="F1433" s="41"/>
      <c r="G1433" s="25"/>
      <c r="H1433" s="57"/>
      <c r="I1433" s="57"/>
      <c r="K1433" s="28"/>
    </row>
    <row r="1434" spans="1:11" s="24" customFormat="1">
      <c r="A1434" s="40"/>
      <c r="B1434" s="106"/>
      <c r="C1434" s="103"/>
      <c r="D1434" s="41"/>
      <c r="E1434" s="41"/>
      <c r="F1434" s="41"/>
      <c r="G1434" s="25"/>
      <c r="H1434" s="57"/>
      <c r="I1434" s="57"/>
      <c r="K1434" s="28"/>
    </row>
    <row r="1435" spans="1:11" s="24" customFormat="1">
      <c r="A1435" s="40"/>
      <c r="B1435" s="106"/>
      <c r="C1435" s="103"/>
      <c r="D1435" s="41"/>
      <c r="E1435" s="41"/>
      <c r="F1435" s="41"/>
      <c r="G1435" s="25"/>
      <c r="H1435" s="57"/>
      <c r="I1435" s="57"/>
      <c r="K1435" s="28"/>
    </row>
    <row r="1436" spans="1:11" s="24" customFormat="1">
      <c r="A1436" s="40"/>
      <c r="B1436" s="106"/>
      <c r="C1436" s="103"/>
      <c r="D1436" s="41"/>
      <c r="E1436" s="41"/>
      <c r="F1436" s="41"/>
      <c r="G1436" s="25"/>
      <c r="H1436" s="57"/>
      <c r="I1436" s="57"/>
      <c r="K1436" s="28"/>
    </row>
    <row r="1437" spans="1:11" s="24" customFormat="1">
      <c r="A1437" s="40"/>
      <c r="B1437" s="106"/>
      <c r="C1437" s="103"/>
      <c r="D1437" s="41"/>
      <c r="E1437" s="41"/>
      <c r="F1437" s="41"/>
      <c r="G1437" s="25"/>
      <c r="H1437" s="57"/>
      <c r="I1437" s="57"/>
      <c r="K1437" s="28"/>
    </row>
    <row r="1438" spans="1:11" s="24" customFormat="1">
      <c r="A1438" s="40"/>
      <c r="B1438" s="106"/>
      <c r="C1438" s="103"/>
      <c r="D1438" s="41"/>
      <c r="E1438" s="41"/>
      <c r="F1438" s="41"/>
      <c r="G1438" s="25"/>
      <c r="H1438" s="57"/>
      <c r="I1438" s="57"/>
      <c r="K1438" s="28"/>
    </row>
    <row r="1439" spans="1:11" s="24" customFormat="1">
      <c r="A1439" s="40"/>
      <c r="B1439" s="106"/>
      <c r="C1439" s="103"/>
      <c r="D1439" s="41"/>
      <c r="E1439" s="41"/>
      <c r="F1439" s="41"/>
      <c r="G1439" s="25"/>
      <c r="H1439" s="57"/>
      <c r="I1439" s="57"/>
      <c r="K1439" s="28"/>
    </row>
    <row r="1440" spans="1:11" s="24" customFormat="1">
      <c r="A1440" s="40"/>
      <c r="B1440" s="106"/>
      <c r="C1440" s="103"/>
      <c r="D1440" s="41"/>
      <c r="E1440" s="41"/>
      <c r="F1440" s="41"/>
      <c r="G1440" s="25"/>
      <c r="H1440" s="57"/>
      <c r="I1440" s="57"/>
      <c r="K1440" s="28"/>
    </row>
    <row r="1441" spans="1:11" s="24" customFormat="1">
      <c r="A1441" s="40"/>
      <c r="B1441" s="106"/>
      <c r="C1441" s="103"/>
      <c r="D1441" s="41"/>
      <c r="E1441" s="41"/>
      <c r="F1441" s="41"/>
      <c r="G1441" s="25"/>
      <c r="H1441" s="57"/>
      <c r="I1441" s="57"/>
      <c r="K1441" s="28"/>
    </row>
    <row r="1442" spans="1:11" s="24" customFormat="1">
      <c r="A1442" s="40"/>
      <c r="B1442" s="106"/>
      <c r="C1442" s="103"/>
      <c r="D1442" s="41"/>
      <c r="E1442" s="41"/>
      <c r="F1442" s="41"/>
      <c r="G1442" s="25"/>
      <c r="H1442" s="57"/>
      <c r="I1442" s="57"/>
      <c r="K1442" s="28"/>
    </row>
    <row r="1443" spans="1:11" s="24" customFormat="1">
      <c r="A1443" s="40"/>
      <c r="B1443" s="106"/>
      <c r="C1443" s="103"/>
      <c r="D1443" s="41"/>
      <c r="E1443" s="41"/>
      <c r="F1443" s="41"/>
      <c r="G1443" s="25"/>
      <c r="H1443" s="57"/>
      <c r="I1443" s="57"/>
      <c r="K1443" s="28"/>
    </row>
    <row r="1444" spans="1:11" s="24" customFormat="1">
      <c r="A1444" s="40"/>
      <c r="B1444" s="106"/>
      <c r="C1444" s="103"/>
      <c r="D1444" s="41"/>
      <c r="E1444" s="41"/>
      <c r="F1444" s="41"/>
      <c r="G1444" s="25"/>
      <c r="H1444" s="57"/>
      <c r="I1444" s="57"/>
      <c r="K1444" s="28"/>
    </row>
    <row r="1445" spans="1:11" s="24" customFormat="1">
      <c r="A1445" s="40"/>
      <c r="B1445" s="106"/>
      <c r="C1445" s="103"/>
      <c r="D1445" s="41"/>
      <c r="E1445" s="41"/>
      <c r="F1445" s="41"/>
      <c r="G1445" s="25"/>
      <c r="H1445" s="57"/>
      <c r="I1445" s="57"/>
      <c r="K1445" s="28"/>
    </row>
    <row r="1446" spans="1:11" s="24" customFormat="1">
      <c r="A1446" s="40"/>
      <c r="B1446" s="106"/>
      <c r="C1446" s="103"/>
      <c r="D1446" s="41"/>
      <c r="E1446" s="41"/>
      <c r="F1446" s="41"/>
      <c r="G1446" s="25"/>
      <c r="H1446" s="57"/>
      <c r="I1446" s="57"/>
      <c r="K1446" s="28"/>
    </row>
    <row r="1447" spans="1:11" s="24" customFormat="1">
      <c r="A1447" s="40"/>
      <c r="B1447" s="106"/>
      <c r="C1447" s="103"/>
      <c r="D1447" s="41"/>
      <c r="E1447" s="41"/>
      <c r="F1447" s="41"/>
      <c r="G1447" s="25"/>
      <c r="H1447" s="57"/>
      <c r="I1447" s="57"/>
      <c r="K1447" s="28"/>
    </row>
    <row r="1448" spans="1:11" s="24" customFormat="1">
      <c r="A1448" s="40"/>
      <c r="B1448" s="106"/>
      <c r="C1448" s="103"/>
      <c r="D1448" s="41"/>
      <c r="E1448" s="41"/>
      <c r="F1448" s="41"/>
      <c r="G1448" s="25"/>
      <c r="H1448" s="57"/>
      <c r="I1448" s="57"/>
      <c r="K1448" s="28"/>
    </row>
    <row r="1449" spans="1:11" s="24" customFormat="1">
      <c r="A1449" s="40"/>
      <c r="B1449" s="106"/>
      <c r="C1449" s="103"/>
      <c r="D1449" s="41"/>
      <c r="E1449" s="41"/>
      <c r="F1449" s="41"/>
      <c r="G1449" s="25"/>
      <c r="H1449" s="57"/>
      <c r="I1449" s="57"/>
      <c r="K1449" s="28"/>
    </row>
    <row r="1450" spans="1:11" s="24" customFormat="1">
      <c r="A1450" s="40"/>
      <c r="B1450" s="106"/>
      <c r="C1450" s="103"/>
      <c r="D1450" s="41"/>
      <c r="E1450" s="41"/>
      <c r="F1450" s="41"/>
      <c r="G1450" s="25"/>
      <c r="H1450" s="57"/>
      <c r="I1450" s="57"/>
      <c r="K1450" s="28"/>
    </row>
    <row r="1451" spans="1:11" s="24" customFormat="1">
      <c r="A1451" s="40"/>
      <c r="B1451" s="106"/>
      <c r="C1451" s="103"/>
      <c r="D1451" s="41"/>
      <c r="E1451" s="41"/>
      <c r="F1451" s="41"/>
      <c r="G1451" s="25"/>
      <c r="H1451" s="57"/>
      <c r="I1451" s="57"/>
      <c r="K1451" s="28"/>
    </row>
    <row r="1452" spans="1:11" s="24" customFormat="1">
      <c r="A1452" s="40"/>
      <c r="B1452" s="106"/>
      <c r="C1452" s="103"/>
      <c r="D1452" s="41"/>
      <c r="E1452" s="41"/>
      <c r="F1452" s="41"/>
      <c r="G1452" s="25"/>
      <c r="H1452" s="57"/>
      <c r="I1452" s="57"/>
      <c r="K1452" s="28"/>
    </row>
    <row r="1453" spans="1:11" s="24" customFormat="1">
      <c r="A1453" s="40"/>
      <c r="B1453" s="106"/>
      <c r="C1453" s="103"/>
      <c r="D1453" s="41"/>
      <c r="E1453" s="41"/>
      <c r="F1453" s="41"/>
      <c r="G1453" s="25"/>
      <c r="H1453" s="57"/>
      <c r="I1453" s="57"/>
      <c r="K1453" s="28"/>
    </row>
    <row r="1454" spans="1:11" s="24" customFormat="1">
      <c r="A1454" s="40"/>
      <c r="B1454" s="106"/>
      <c r="C1454" s="103"/>
      <c r="D1454" s="41"/>
      <c r="E1454" s="41"/>
      <c r="F1454" s="41"/>
      <c r="G1454" s="25"/>
      <c r="H1454" s="57"/>
      <c r="I1454" s="57"/>
      <c r="K1454" s="28"/>
    </row>
    <row r="1455" spans="1:11" s="24" customFormat="1">
      <c r="A1455" s="40"/>
      <c r="B1455" s="106"/>
      <c r="C1455" s="103"/>
      <c r="D1455" s="41"/>
      <c r="E1455" s="41"/>
      <c r="F1455" s="41"/>
      <c r="G1455" s="25"/>
      <c r="H1455" s="57"/>
      <c r="I1455" s="57"/>
      <c r="K1455" s="28"/>
    </row>
    <row r="1456" spans="1:11" s="24" customFormat="1">
      <c r="A1456" s="40"/>
      <c r="B1456" s="106"/>
      <c r="C1456" s="103"/>
      <c r="D1456" s="41"/>
      <c r="E1456" s="41"/>
      <c r="F1456" s="41"/>
      <c r="G1456" s="25"/>
      <c r="H1456" s="57"/>
      <c r="I1456" s="57"/>
      <c r="K1456" s="28"/>
    </row>
    <row r="1457" spans="1:11" s="24" customFormat="1">
      <c r="A1457" s="40"/>
      <c r="B1457" s="106"/>
      <c r="C1457" s="103"/>
      <c r="D1457" s="41"/>
      <c r="E1457" s="41"/>
      <c r="F1457" s="41"/>
      <c r="G1457" s="25"/>
      <c r="H1457" s="57"/>
      <c r="I1457" s="57"/>
      <c r="K1457" s="28"/>
    </row>
    <row r="1458" spans="1:11" s="24" customFormat="1">
      <c r="A1458" s="40"/>
      <c r="B1458" s="106"/>
      <c r="C1458" s="103"/>
      <c r="D1458" s="41"/>
      <c r="E1458" s="41"/>
      <c r="F1458" s="41"/>
      <c r="G1458" s="25"/>
      <c r="H1458" s="57"/>
      <c r="I1458" s="57"/>
      <c r="K1458" s="28"/>
    </row>
    <row r="1459" spans="1:11" s="24" customFormat="1">
      <c r="A1459" s="40"/>
      <c r="B1459" s="106"/>
      <c r="C1459" s="103"/>
      <c r="D1459" s="41"/>
      <c r="E1459" s="41"/>
      <c r="F1459" s="41"/>
      <c r="G1459" s="25"/>
      <c r="H1459" s="57"/>
      <c r="I1459" s="57"/>
      <c r="K1459" s="28"/>
    </row>
    <row r="1460" spans="1:11" s="24" customFormat="1">
      <c r="A1460" s="40"/>
      <c r="B1460" s="106"/>
      <c r="C1460" s="103"/>
      <c r="D1460" s="41"/>
      <c r="E1460" s="41"/>
      <c r="F1460" s="41"/>
      <c r="G1460" s="25"/>
      <c r="H1460" s="57"/>
      <c r="I1460" s="57"/>
      <c r="K1460" s="28"/>
    </row>
    <row r="1461" spans="1:11" s="24" customFormat="1">
      <c r="A1461" s="40"/>
      <c r="B1461" s="106"/>
      <c r="C1461" s="103"/>
      <c r="D1461" s="41"/>
      <c r="E1461" s="41"/>
      <c r="F1461" s="41"/>
      <c r="G1461" s="25"/>
      <c r="H1461" s="57"/>
      <c r="I1461" s="57"/>
      <c r="K1461" s="28"/>
    </row>
    <row r="1462" spans="1:11" s="24" customFormat="1">
      <c r="A1462" s="40"/>
      <c r="B1462" s="106"/>
      <c r="C1462" s="103"/>
      <c r="D1462" s="41"/>
      <c r="E1462" s="41"/>
      <c r="F1462" s="41"/>
      <c r="G1462" s="25"/>
      <c r="H1462" s="57"/>
      <c r="I1462" s="57"/>
      <c r="K1462" s="28"/>
    </row>
    <row r="1463" spans="1:11" s="24" customFormat="1">
      <c r="A1463" s="40"/>
      <c r="B1463" s="106"/>
      <c r="C1463" s="103"/>
      <c r="D1463" s="41"/>
      <c r="E1463" s="41"/>
      <c r="F1463" s="41"/>
      <c r="G1463" s="25"/>
      <c r="H1463" s="57"/>
      <c r="I1463" s="57"/>
      <c r="K1463" s="28"/>
    </row>
    <row r="1464" spans="1:11" s="24" customFormat="1">
      <c r="A1464" s="40"/>
      <c r="B1464" s="106"/>
      <c r="C1464" s="103"/>
      <c r="D1464" s="41"/>
      <c r="E1464" s="41"/>
      <c r="F1464" s="41"/>
      <c r="G1464" s="25"/>
      <c r="H1464" s="57"/>
      <c r="I1464" s="57"/>
      <c r="K1464" s="28"/>
    </row>
    <row r="1465" spans="1:11" s="24" customFormat="1">
      <c r="A1465" s="40"/>
      <c r="B1465" s="106"/>
      <c r="C1465" s="103"/>
      <c r="D1465" s="41"/>
      <c r="E1465" s="41"/>
      <c r="F1465" s="41"/>
      <c r="G1465" s="25"/>
      <c r="H1465" s="57"/>
      <c r="I1465" s="57"/>
      <c r="K1465" s="28"/>
    </row>
    <row r="1466" spans="1:11" s="24" customFormat="1">
      <c r="A1466" s="40"/>
      <c r="B1466" s="106"/>
      <c r="C1466" s="103"/>
      <c r="D1466" s="41"/>
      <c r="E1466" s="41"/>
      <c r="F1466" s="41"/>
      <c r="G1466" s="25"/>
      <c r="H1466" s="57"/>
      <c r="I1466" s="57"/>
      <c r="K1466" s="28"/>
    </row>
    <row r="1467" spans="1:11" s="24" customFormat="1">
      <c r="A1467" s="40"/>
      <c r="B1467" s="106"/>
      <c r="C1467" s="103"/>
      <c r="D1467" s="41"/>
      <c r="E1467" s="41"/>
      <c r="F1467" s="41"/>
      <c r="G1467" s="25"/>
      <c r="H1467" s="57"/>
      <c r="I1467" s="57"/>
      <c r="K1467" s="28"/>
    </row>
    <row r="1468" spans="1:11" s="24" customFormat="1">
      <c r="A1468" s="40"/>
      <c r="B1468" s="106"/>
      <c r="C1468" s="103"/>
      <c r="D1468" s="41"/>
      <c r="E1468" s="41"/>
      <c r="F1468" s="41"/>
      <c r="G1468" s="25"/>
      <c r="H1468" s="57"/>
      <c r="I1468" s="57"/>
      <c r="K1468" s="28"/>
    </row>
    <row r="1469" spans="1:11" s="24" customFormat="1">
      <c r="A1469" s="40"/>
      <c r="B1469" s="106"/>
      <c r="C1469" s="103"/>
      <c r="D1469" s="41"/>
      <c r="E1469" s="41"/>
      <c r="F1469" s="41"/>
      <c r="G1469" s="25"/>
      <c r="H1469" s="57"/>
      <c r="I1469" s="57"/>
      <c r="K1469" s="28"/>
    </row>
    <row r="1470" spans="1:11" s="24" customFormat="1">
      <c r="A1470" s="40"/>
      <c r="B1470" s="106"/>
      <c r="C1470" s="103"/>
      <c r="D1470" s="41"/>
      <c r="E1470" s="41"/>
      <c r="F1470" s="41"/>
      <c r="G1470" s="25"/>
      <c r="H1470" s="57"/>
      <c r="I1470" s="57"/>
      <c r="K1470" s="28"/>
    </row>
    <row r="1471" spans="1:11" s="24" customFormat="1">
      <c r="A1471" s="40"/>
      <c r="B1471" s="106"/>
      <c r="C1471" s="103"/>
      <c r="D1471" s="41"/>
      <c r="E1471" s="41"/>
      <c r="F1471" s="41"/>
      <c r="G1471" s="25"/>
      <c r="H1471" s="57"/>
      <c r="I1471" s="57"/>
      <c r="K1471" s="28"/>
    </row>
    <row r="1472" spans="1:11" s="24" customFormat="1">
      <c r="A1472" s="40"/>
      <c r="B1472" s="106"/>
      <c r="C1472" s="103"/>
      <c r="D1472" s="41"/>
      <c r="E1472" s="41"/>
      <c r="F1472" s="41"/>
      <c r="G1472" s="25"/>
      <c r="H1472" s="57"/>
      <c r="I1472" s="57"/>
      <c r="K1472" s="28"/>
    </row>
    <row r="1473" spans="1:11" s="24" customFormat="1">
      <c r="A1473" s="40"/>
      <c r="B1473" s="106"/>
      <c r="C1473" s="103"/>
      <c r="D1473" s="41"/>
      <c r="E1473" s="41"/>
      <c r="F1473" s="41"/>
      <c r="G1473" s="25"/>
      <c r="H1473" s="57"/>
      <c r="I1473" s="57"/>
      <c r="K1473" s="28"/>
    </row>
    <row r="1474" spans="1:11" s="24" customFormat="1">
      <c r="A1474" s="40"/>
      <c r="B1474" s="106"/>
      <c r="C1474" s="103"/>
      <c r="D1474" s="41"/>
      <c r="E1474" s="41"/>
      <c r="F1474" s="41"/>
      <c r="G1474" s="25"/>
      <c r="H1474" s="57"/>
      <c r="I1474" s="57"/>
      <c r="K1474" s="28"/>
    </row>
    <row r="1475" spans="1:11" s="24" customFormat="1">
      <c r="A1475" s="40"/>
      <c r="B1475" s="106"/>
      <c r="C1475" s="103"/>
      <c r="D1475" s="41"/>
      <c r="E1475" s="41"/>
      <c r="F1475" s="41"/>
      <c r="G1475" s="25"/>
      <c r="H1475" s="57"/>
      <c r="I1475" s="57"/>
      <c r="K1475" s="28"/>
    </row>
    <row r="1476" spans="1:11" s="24" customFormat="1">
      <c r="A1476" s="40"/>
      <c r="B1476" s="106"/>
      <c r="C1476" s="103"/>
      <c r="D1476" s="41"/>
      <c r="E1476" s="41"/>
      <c r="F1476" s="41"/>
      <c r="G1476" s="25"/>
      <c r="H1476" s="57"/>
      <c r="I1476" s="57"/>
      <c r="K1476" s="28"/>
    </row>
    <row r="1477" spans="1:11" s="24" customFormat="1">
      <c r="A1477" s="40"/>
      <c r="B1477" s="106"/>
      <c r="C1477" s="103"/>
      <c r="D1477" s="41"/>
      <c r="E1477" s="41"/>
      <c r="F1477" s="41"/>
      <c r="G1477" s="25"/>
      <c r="H1477" s="57"/>
      <c r="I1477" s="57"/>
      <c r="K1477" s="28"/>
    </row>
    <row r="1478" spans="1:11" s="24" customFormat="1">
      <c r="A1478" s="40"/>
      <c r="B1478" s="106"/>
      <c r="C1478" s="103"/>
      <c r="D1478" s="41"/>
      <c r="E1478" s="41"/>
      <c r="F1478" s="41"/>
      <c r="G1478" s="25"/>
      <c r="H1478" s="57"/>
      <c r="I1478" s="57"/>
      <c r="K1478" s="28"/>
    </row>
    <row r="1479" spans="1:11" s="24" customFormat="1">
      <c r="A1479" s="40"/>
      <c r="B1479" s="106"/>
      <c r="C1479" s="103"/>
      <c r="D1479" s="41"/>
      <c r="E1479" s="41"/>
      <c r="F1479" s="41"/>
      <c r="G1479" s="25"/>
      <c r="H1479" s="57"/>
      <c r="I1479" s="57"/>
      <c r="K1479" s="28"/>
    </row>
    <row r="1480" spans="1:11" s="24" customFormat="1">
      <c r="A1480" s="40"/>
      <c r="B1480" s="106"/>
      <c r="C1480" s="103"/>
      <c r="D1480" s="41"/>
      <c r="E1480" s="41"/>
      <c r="F1480" s="41"/>
      <c r="G1480" s="25"/>
      <c r="H1480" s="57"/>
      <c r="I1480" s="57"/>
      <c r="K1480" s="28"/>
    </row>
    <row r="1481" spans="1:11" s="24" customFormat="1">
      <c r="A1481" s="40"/>
      <c r="B1481" s="106"/>
      <c r="C1481" s="103"/>
      <c r="D1481" s="41"/>
      <c r="E1481" s="41"/>
      <c r="F1481" s="41"/>
      <c r="G1481" s="25"/>
      <c r="H1481" s="57"/>
      <c r="I1481" s="57"/>
      <c r="K1481" s="28"/>
    </row>
    <row r="1482" spans="1:11" s="24" customFormat="1">
      <c r="A1482" s="40"/>
      <c r="B1482" s="106"/>
      <c r="C1482" s="103"/>
      <c r="D1482" s="41"/>
      <c r="E1482" s="41"/>
      <c r="F1482" s="41"/>
      <c r="G1482" s="25"/>
      <c r="H1482" s="57"/>
      <c r="I1482" s="57"/>
      <c r="K1482" s="28"/>
    </row>
    <row r="1483" spans="1:11" s="24" customFormat="1">
      <c r="A1483" s="40"/>
      <c r="B1483" s="106"/>
      <c r="C1483" s="103"/>
      <c r="D1483" s="41"/>
      <c r="E1483" s="41"/>
      <c r="F1483" s="41"/>
      <c r="G1483" s="25"/>
      <c r="H1483" s="57"/>
      <c r="I1483" s="57"/>
      <c r="K1483" s="28"/>
    </row>
    <row r="1484" spans="1:11" s="24" customFormat="1">
      <c r="A1484" s="40"/>
      <c r="B1484" s="106"/>
      <c r="C1484" s="103"/>
      <c r="D1484" s="41"/>
      <c r="E1484" s="41"/>
      <c r="F1484" s="41"/>
      <c r="G1484" s="25"/>
      <c r="H1484" s="57"/>
      <c r="I1484" s="57"/>
      <c r="K1484" s="28"/>
    </row>
    <row r="1485" spans="1:11" s="24" customFormat="1">
      <c r="A1485" s="40"/>
      <c r="B1485" s="106"/>
      <c r="C1485" s="103"/>
      <c r="D1485" s="41"/>
      <c r="E1485" s="41"/>
      <c r="F1485" s="41"/>
      <c r="G1485" s="25"/>
      <c r="H1485" s="57"/>
      <c r="I1485" s="57"/>
      <c r="K1485" s="28"/>
    </row>
    <row r="1486" spans="1:11" s="24" customFormat="1">
      <c r="A1486" s="40"/>
      <c r="B1486" s="106"/>
      <c r="C1486" s="103"/>
      <c r="D1486" s="41"/>
      <c r="E1486" s="41"/>
      <c r="F1486" s="41"/>
      <c r="G1486" s="25"/>
      <c r="H1486" s="57"/>
      <c r="I1486" s="57"/>
      <c r="K1486" s="28"/>
    </row>
    <row r="1487" spans="1:11" s="24" customFormat="1">
      <c r="A1487" s="40"/>
      <c r="B1487" s="106"/>
      <c r="C1487" s="103"/>
      <c r="D1487" s="41"/>
      <c r="E1487" s="41"/>
      <c r="F1487" s="41"/>
      <c r="G1487" s="25"/>
      <c r="H1487" s="57"/>
      <c r="I1487" s="57"/>
      <c r="K1487" s="28"/>
    </row>
    <row r="1488" spans="1:11" s="24" customFormat="1">
      <c r="A1488" s="40"/>
      <c r="B1488" s="106"/>
      <c r="C1488" s="103"/>
      <c r="D1488" s="41"/>
      <c r="E1488" s="41"/>
      <c r="F1488" s="41"/>
      <c r="G1488" s="25"/>
      <c r="H1488" s="57"/>
      <c r="I1488" s="57"/>
      <c r="K1488" s="28"/>
    </row>
    <row r="1489" spans="1:11" s="24" customFormat="1">
      <c r="A1489" s="40"/>
      <c r="B1489" s="106"/>
      <c r="C1489" s="103"/>
      <c r="D1489" s="41"/>
      <c r="E1489" s="41"/>
      <c r="F1489" s="41"/>
      <c r="G1489" s="25"/>
      <c r="H1489" s="57"/>
      <c r="I1489" s="57"/>
      <c r="K1489" s="28"/>
    </row>
    <row r="1490" spans="1:11" s="24" customFormat="1">
      <c r="A1490" s="40"/>
      <c r="B1490" s="106"/>
      <c r="C1490" s="103"/>
      <c r="D1490" s="41"/>
      <c r="E1490" s="41"/>
      <c r="F1490" s="41"/>
      <c r="G1490" s="25"/>
      <c r="H1490" s="57"/>
      <c r="I1490" s="57"/>
      <c r="K1490" s="28"/>
    </row>
    <row r="1491" spans="1:11" s="24" customFormat="1">
      <c r="A1491" s="40"/>
      <c r="B1491" s="106"/>
      <c r="C1491" s="103"/>
      <c r="D1491" s="41"/>
      <c r="E1491" s="41"/>
      <c r="F1491" s="41"/>
      <c r="G1491" s="25"/>
      <c r="H1491" s="57"/>
      <c r="I1491" s="57"/>
      <c r="K1491" s="28"/>
    </row>
    <row r="1492" spans="1:11" s="24" customFormat="1">
      <c r="A1492" s="40"/>
      <c r="B1492" s="106"/>
      <c r="C1492" s="103"/>
      <c r="D1492" s="41"/>
      <c r="E1492" s="41"/>
      <c r="F1492" s="41"/>
      <c r="G1492" s="25"/>
      <c r="H1492" s="57"/>
      <c r="I1492" s="57"/>
      <c r="K1492" s="28"/>
    </row>
    <row r="1493" spans="1:11" s="24" customFormat="1">
      <c r="A1493" s="40"/>
      <c r="B1493" s="106"/>
      <c r="C1493" s="103"/>
      <c r="D1493" s="41"/>
      <c r="E1493" s="41"/>
      <c r="F1493" s="41"/>
      <c r="G1493" s="25"/>
      <c r="H1493" s="57"/>
      <c r="I1493" s="57"/>
      <c r="K1493" s="28"/>
    </row>
    <row r="1494" spans="1:11" s="24" customFormat="1">
      <c r="A1494" s="40"/>
      <c r="B1494" s="106"/>
      <c r="C1494" s="103"/>
      <c r="D1494" s="41"/>
      <c r="E1494" s="41"/>
      <c r="F1494" s="41"/>
      <c r="G1494" s="25"/>
      <c r="H1494" s="57"/>
      <c r="I1494" s="57"/>
      <c r="K1494" s="28"/>
    </row>
    <row r="1495" spans="1:11" s="24" customFormat="1">
      <c r="A1495" s="40"/>
      <c r="B1495" s="106"/>
      <c r="C1495" s="103"/>
      <c r="D1495" s="41"/>
      <c r="E1495" s="41"/>
      <c r="F1495" s="41"/>
      <c r="G1495" s="25"/>
      <c r="H1495" s="57"/>
      <c r="I1495" s="57"/>
      <c r="K1495" s="28"/>
    </row>
    <row r="1496" spans="1:11" s="24" customFormat="1">
      <c r="A1496" s="40"/>
      <c r="B1496" s="106"/>
      <c r="C1496" s="103"/>
      <c r="D1496" s="41"/>
      <c r="E1496" s="41"/>
      <c r="F1496" s="41"/>
      <c r="G1496" s="25"/>
      <c r="H1496" s="57"/>
      <c r="I1496" s="57"/>
      <c r="K1496" s="28"/>
    </row>
    <row r="1497" spans="1:11" s="24" customFormat="1">
      <c r="A1497" s="40"/>
      <c r="B1497" s="106"/>
      <c r="C1497" s="103"/>
      <c r="D1497" s="41"/>
      <c r="E1497" s="41"/>
      <c r="F1497" s="41"/>
      <c r="G1497" s="25"/>
      <c r="H1497" s="57"/>
      <c r="I1497" s="57"/>
      <c r="K1497" s="28"/>
    </row>
    <row r="1498" spans="1:11" s="24" customFormat="1">
      <c r="A1498" s="40"/>
      <c r="B1498" s="106"/>
      <c r="C1498" s="103"/>
      <c r="D1498" s="41"/>
      <c r="E1498" s="41"/>
      <c r="F1498" s="41"/>
      <c r="G1498" s="25"/>
      <c r="H1498" s="57"/>
      <c r="I1498" s="57"/>
      <c r="K1498" s="28"/>
    </row>
    <row r="1499" spans="1:11" s="24" customFormat="1">
      <c r="A1499" s="40"/>
      <c r="B1499" s="106"/>
      <c r="C1499" s="103"/>
      <c r="D1499" s="41"/>
      <c r="E1499" s="41"/>
      <c r="F1499" s="41"/>
      <c r="G1499" s="25"/>
      <c r="H1499" s="57"/>
      <c r="I1499" s="57"/>
      <c r="K1499" s="28"/>
    </row>
    <row r="1500" spans="1:11" s="24" customFormat="1">
      <c r="A1500" s="40"/>
      <c r="B1500" s="106"/>
      <c r="C1500" s="103"/>
      <c r="D1500" s="41"/>
      <c r="E1500" s="41"/>
      <c r="F1500" s="41"/>
      <c r="G1500" s="25"/>
      <c r="H1500" s="57"/>
      <c r="I1500" s="57"/>
      <c r="K1500" s="28"/>
    </row>
    <row r="1501" spans="1:11" s="24" customFormat="1">
      <c r="A1501" s="40"/>
      <c r="B1501" s="106"/>
      <c r="C1501" s="103"/>
      <c r="D1501" s="41"/>
      <c r="E1501" s="41"/>
      <c r="F1501" s="41"/>
      <c r="G1501" s="25"/>
      <c r="H1501" s="57"/>
      <c r="I1501" s="57"/>
      <c r="K1501" s="28"/>
    </row>
    <row r="1502" spans="1:11" s="24" customFormat="1">
      <c r="A1502" s="40"/>
      <c r="B1502" s="106"/>
      <c r="C1502" s="103"/>
      <c r="D1502" s="41"/>
      <c r="E1502" s="41"/>
      <c r="F1502" s="41"/>
      <c r="G1502" s="25"/>
      <c r="H1502" s="57"/>
      <c r="I1502" s="57"/>
      <c r="K1502" s="28"/>
    </row>
    <row r="1503" spans="1:11" s="24" customFormat="1">
      <c r="A1503" s="40"/>
      <c r="B1503" s="106"/>
      <c r="C1503" s="103"/>
      <c r="D1503" s="41"/>
      <c r="E1503" s="41"/>
      <c r="F1503" s="41"/>
      <c r="G1503" s="25"/>
      <c r="H1503" s="57"/>
      <c r="I1503" s="57"/>
      <c r="K1503" s="28"/>
    </row>
    <row r="1504" spans="1:11" s="24" customFormat="1">
      <c r="A1504" s="40"/>
      <c r="B1504" s="106"/>
      <c r="C1504" s="103"/>
      <c r="D1504" s="41"/>
      <c r="E1504" s="41"/>
      <c r="F1504" s="41"/>
      <c r="G1504" s="25"/>
      <c r="H1504" s="57"/>
      <c r="I1504" s="57"/>
      <c r="K1504" s="28"/>
    </row>
    <row r="1505" spans="1:11" s="24" customFormat="1">
      <c r="A1505" s="40"/>
      <c r="B1505" s="106"/>
      <c r="C1505" s="103"/>
      <c r="D1505" s="41"/>
      <c r="E1505" s="41"/>
      <c r="F1505" s="41"/>
      <c r="G1505" s="25"/>
      <c r="H1505" s="57"/>
      <c r="I1505" s="57"/>
      <c r="K1505" s="28"/>
    </row>
    <row r="1506" spans="1:11" s="24" customFormat="1">
      <c r="A1506" s="40"/>
      <c r="B1506" s="106"/>
      <c r="C1506" s="103"/>
      <c r="D1506" s="41"/>
      <c r="E1506" s="41"/>
      <c r="F1506" s="41"/>
      <c r="G1506" s="25"/>
      <c r="H1506" s="57"/>
      <c r="I1506" s="57"/>
      <c r="K1506" s="28"/>
    </row>
    <row r="1507" spans="1:11" s="24" customFormat="1">
      <c r="A1507" s="40"/>
      <c r="B1507" s="106"/>
      <c r="C1507" s="103"/>
      <c r="D1507" s="41"/>
      <c r="E1507" s="41"/>
      <c r="F1507" s="41"/>
      <c r="G1507" s="25"/>
      <c r="H1507" s="57"/>
      <c r="I1507" s="57"/>
      <c r="K1507" s="28"/>
    </row>
    <row r="1508" spans="1:11" s="24" customFormat="1">
      <c r="A1508" s="40"/>
      <c r="B1508" s="106"/>
      <c r="C1508" s="103"/>
      <c r="D1508" s="41"/>
      <c r="E1508" s="41"/>
      <c r="F1508" s="41"/>
      <c r="G1508" s="25"/>
      <c r="H1508" s="57"/>
      <c r="I1508" s="57"/>
      <c r="K1508" s="28"/>
    </row>
    <row r="1509" spans="1:11" s="24" customFormat="1">
      <c r="A1509" s="40"/>
      <c r="B1509" s="106"/>
      <c r="C1509" s="103"/>
      <c r="D1509" s="41"/>
      <c r="E1509" s="41"/>
      <c r="F1509" s="41"/>
      <c r="G1509" s="25"/>
      <c r="H1509" s="57"/>
      <c r="I1509" s="57"/>
      <c r="K1509" s="28"/>
    </row>
    <row r="1510" spans="1:11" s="24" customFormat="1">
      <c r="A1510" s="40"/>
      <c r="B1510" s="106"/>
      <c r="C1510" s="103"/>
      <c r="D1510" s="41"/>
      <c r="E1510" s="41"/>
      <c r="F1510" s="41"/>
      <c r="G1510" s="25"/>
      <c r="H1510" s="57"/>
      <c r="I1510" s="57"/>
      <c r="K1510" s="28"/>
    </row>
    <row r="1511" spans="1:11" s="24" customFormat="1">
      <c r="A1511" s="40"/>
      <c r="B1511" s="106"/>
      <c r="C1511" s="103"/>
      <c r="D1511" s="41"/>
      <c r="E1511" s="41"/>
      <c r="F1511" s="41"/>
      <c r="G1511" s="25"/>
      <c r="H1511" s="57"/>
      <c r="I1511" s="57"/>
      <c r="K1511" s="28"/>
    </row>
    <row r="1512" spans="1:11" s="24" customFormat="1">
      <c r="A1512" s="40"/>
      <c r="B1512" s="106"/>
      <c r="C1512" s="103"/>
      <c r="D1512" s="41"/>
      <c r="E1512" s="41"/>
      <c r="F1512" s="41"/>
      <c r="G1512" s="25"/>
      <c r="H1512" s="57"/>
      <c r="I1512" s="57"/>
      <c r="K1512" s="28"/>
    </row>
    <row r="1513" spans="1:11" s="24" customFormat="1">
      <c r="A1513" s="40"/>
      <c r="B1513" s="106"/>
      <c r="C1513" s="103"/>
      <c r="D1513" s="41"/>
      <c r="E1513" s="41"/>
      <c r="F1513" s="41"/>
      <c r="G1513" s="25"/>
      <c r="H1513" s="57"/>
      <c r="I1513" s="57"/>
      <c r="K1513" s="28"/>
    </row>
    <row r="1514" spans="1:11" s="24" customFormat="1">
      <c r="A1514" s="40"/>
      <c r="B1514" s="106"/>
      <c r="C1514" s="103"/>
      <c r="D1514" s="41"/>
      <c r="E1514" s="41"/>
      <c r="F1514" s="41"/>
      <c r="G1514" s="25"/>
      <c r="H1514" s="57"/>
      <c r="I1514" s="57"/>
      <c r="K1514" s="28"/>
    </row>
    <row r="1515" spans="1:11" s="24" customFormat="1">
      <c r="A1515" s="40"/>
      <c r="B1515" s="106"/>
      <c r="C1515" s="103"/>
      <c r="D1515" s="41"/>
      <c r="E1515" s="41"/>
      <c r="F1515" s="41"/>
      <c r="G1515" s="25"/>
      <c r="H1515" s="57"/>
      <c r="I1515" s="57"/>
      <c r="K1515" s="28"/>
    </row>
    <row r="1516" spans="1:11" s="24" customFormat="1">
      <c r="A1516" s="40"/>
      <c r="B1516" s="106"/>
      <c r="C1516" s="103"/>
      <c r="D1516" s="41"/>
      <c r="E1516" s="41"/>
      <c r="F1516" s="41"/>
      <c r="G1516" s="25"/>
      <c r="H1516" s="57"/>
      <c r="I1516" s="57"/>
      <c r="K1516" s="28"/>
    </row>
    <row r="1517" spans="1:11" s="24" customFormat="1">
      <c r="A1517" s="40"/>
      <c r="B1517" s="106"/>
      <c r="C1517" s="103"/>
      <c r="D1517" s="41"/>
      <c r="E1517" s="41"/>
      <c r="F1517" s="41"/>
      <c r="G1517" s="25"/>
      <c r="H1517" s="57"/>
      <c r="I1517" s="57"/>
      <c r="K1517" s="28"/>
    </row>
    <row r="1518" spans="1:11" s="24" customFormat="1">
      <c r="A1518" s="40"/>
      <c r="B1518" s="106"/>
      <c r="C1518" s="103"/>
      <c r="D1518" s="41"/>
      <c r="E1518" s="41"/>
      <c r="F1518" s="41"/>
      <c r="G1518" s="25"/>
      <c r="H1518" s="57"/>
      <c r="I1518" s="57"/>
      <c r="K1518" s="28"/>
    </row>
    <row r="1519" spans="1:11" s="24" customFormat="1">
      <c r="A1519" s="40"/>
      <c r="B1519" s="106"/>
      <c r="C1519" s="103"/>
      <c r="D1519" s="41"/>
      <c r="E1519" s="41"/>
      <c r="F1519" s="41"/>
      <c r="G1519" s="25"/>
      <c r="H1519" s="57"/>
      <c r="I1519" s="57"/>
      <c r="K1519" s="28"/>
    </row>
    <row r="1520" spans="1:11" s="24" customFormat="1">
      <c r="A1520" s="40"/>
      <c r="B1520" s="106"/>
      <c r="C1520" s="103"/>
      <c r="D1520" s="41"/>
      <c r="E1520" s="41"/>
      <c r="F1520" s="41"/>
      <c r="G1520" s="25"/>
      <c r="H1520" s="57"/>
      <c r="I1520" s="57"/>
      <c r="K1520" s="28"/>
    </row>
    <row r="1521" spans="1:11" s="24" customFormat="1">
      <c r="A1521" s="40"/>
      <c r="B1521" s="106"/>
      <c r="C1521" s="103"/>
      <c r="D1521" s="41"/>
      <c r="E1521" s="41"/>
      <c r="F1521" s="41"/>
      <c r="G1521" s="25"/>
      <c r="H1521" s="57"/>
      <c r="I1521" s="57"/>
      <c r="K1521" s="28"/>
    </row>
    <row r="1522" spans="1:11" s="24" customFormat="1">
      <c r="A1522" s="40"/>
      <c r="B1522" s="106"/>
      <c r="C1522" s="103"/>
      <c r="D1522" s="41"/>
      <c r="E1522" s="41"/>
      <c r="F1522" s="41"/>
      <c r="G1522" s="25"/>
      <c r="H1522" s="57"/>
      <c r="I1522" s="57"/>
      <c r="K1522" s="28"/>
    </row>
    <row r="1523" spans="1:11" s="24" customFormat="1">
      <c r="A1523" s="40"/>
      <c r="B1523" s="106"/>
      <c r="C1523" s="103"/>
      <c r="D1523" s="41"/>
      <c r="E1523" s="41"/>
      <c r="F1523" s="41"/>
      <c r="G1523" s="25"/>
      <c r="H1523" s="57"/>
      <c r="I1523" s="57"/>
      <c r="K1523" s="28"/>
    </row>
    <row r="1524" spans="1:11" s="24" customFormat="1">
      <c r="A1524" s="40"/>
      <c r="B1524" s="106"/>
      <c r="C1524" s="103"/>
      <c r="D1524" s="41"/>
      <c r="E1524" s="41"/>
      <c r="F1524" s="41"/>
      <c r="G1524" s="25"/>
      <c r="H1524" s="57"/>
      <c r="I1524" s="57"/>
      <c r="K1524" s="28"/>
    </row>
    <row r="1525" spans="1:11" s="24" customFormat="1">
      <c r="A1525" s="40"/>
      <c r="B1525" s="106"/>
      <c r="C1525" s="103"/>
      <c r="D1525" s="41"/>
      <c r="E1525" s="41"/>
      <c r="F1525" s="41"/>
      <c r="G1525" s="25"/>
      <c r="H1525" s="57"/>
      <c r="I1525" s="57"/>
      <c r="K1525" s="28"/>
    </row>
    <row r="1526" spans="1:11" s="24" customFormat="1">
      <c r="A1526" s="40"/>
      <c r="B1526" s="106"/>
      <c r="C1526" s="103"/>
      <c r="D1526" s="41"/>
      <c r="E1526" s="41"/>
      <c r="F1526" s="41"/>
      <c r="G1526" s="25"/>
      <c r="H1526" s="57"/>
      <c r="I1526" s="57"/>
      <c r="K1526" s="28"/>
    </row>
    <row r="1527" spans="1:11" s="24" customFormat="1">
      <c r="A1527" s="40"/>
      <c r="B1527" s="106"/>
      <c r="C1527" s="103"/>
      <c r="D1527" s="41"/>
      <c r="E1527" s="41"/>
      <c r="F1527" s="41"/>
      <c r="G1527" s="25"/>
      <c r="H1527" s="57"/>
      <c r="I1527" s="57"/>
      <c r="K1527" s="28"/>
    </row>
    <row r="1528" spans="1:11" s="24" customFormat="1">
      <c r="A1528" s="40"/>
      <c r="B1528" s="106"/>
      <c r="C1528" s="103"/>
      <c r="D1528" s="41"/>
      <c r="E1528" s="41"/>
      <c r="F1528" s="41"/>
      <c r="G1528" s="25"/>
      <c r="H1528" s="57"/>
      <c r="I1528" s="57"/>
      <c r="K1528" s="28"/>
    </row>
    <row r="1529" spans="1:11" s="24" customFormat="1">
      <c r="A1529" s="40"/>
      <c r="B1529" s="106"/>
      <c r="C1529" s="103"/>
      <c r="D1529" s="41"/>
      <c r="E1529" s="41"/>
      <c r="F1529" s="41"/>
      <c r="G1529" s="25"/>
      <c r="H1529" s="57"/>
      <c r="I1529" s="57"/>
      <c r="K1529" s="28"/>
    </row>
    <row r="1530" spans="1:11" s="24" customFormat="1">
      <c r="A1530" s="40"/>
      <c r="B1530" s="106"/>
      <c r="C1530" s="103"/>
      <c r="D1530" s="41"/>
      <c r="E1530" s="41"/>
      <c r="F1530" s="41"/>
      <c r="G1530" s="25"/>
      <c r="H1530" s="57"/>
      <c r="I1530" s="57"/>
      <c r="K1530" s="28"/>
    </row>
    <row r="1531" spans="1:11" s="24" customFormat="1">
      <c r="A1531" s="40"/>
      <c r="B1531" s="106"/>
      <c r="C1531" s="103"/>
      <c r="D1531" s="41"/>
      <c r="E1531" s="41"/>
      <c r="F1531" s="41"/>
      <c r="G1531" s="25"/>
      <c r="H1531" s="57"/>
      <c r="I1531" s="57"/>
      <c r="K1531" s="28"/>
    </row>
    <row r="1532" spans="1:11" s="24" customFormat="1">
      <c r="A1532" s="40"/>
      <c r="B1532" s="106"/>
      <c r="C1532" s="103"/>
      <c r="D1532" s="41"/>
      <c r="E1532" s="41"/>
      <c r="F1532" s="41"/>
      <c r="G1532" s="25"/>
      <c r="H1532" s="57"/>
      <c r="I1532" s="57"/>
      <c r="K1532" s="28"/>
    </row>
    <row r="1533" spans="1:11" s="24" customFormat="1">
      <c r="A1533" s="40"/>
      <c r="B1533" s="106"/>
      <c r="C1533" s="103"/>
      <c r="D1533" s="41"/>
      <c r="E1533" s="41"/>
      <c r="F1533" s="41"/>
      <c r="G1533" s="25"/>
      <c r="H1533" s="57"/>
      <c r="I1533" s="57"/>
      <c r="K1533" s="28"/>
    </row>
    <row r="1534" spans="1:11" s="24" customFormat="1">
      <c r="A1534" s="40"/>
      <c r="B1534" s="106"/>
      <c r="C1534" s="103"/>
      <c r="D1534" s="41"/>
      <c r="E1534" s="41"/>
      <c r="F1534" s="41"/>
      <c r="G1534" s="25"/>
      <c r="H1534" s="57"/>
      <c r="I1534" s="57"/>
      <c r="K1534" s="28"/>
    </row>
    <row r="1535" spans="1:11" s="24" customFormat="1">
      <c r="A1535" s="40"/>
      <c r="B1535" s="106"/>
      <c r="C1535" s="103"/>
      <c r="D1535" s="41"/>
      <c r="E1535" s="41"/>
      <c r="F1535" s="41"/>
      <c r="G1535" s="25"/>
      <c r="H1535" s="57"/>
      <c r="I1535" s="57"/>
      <c r="K1535" s="28"/>
    </row>
    <row r="1536" spans="1:11" s="24" customFormat="1">
      <c r="A1536" s="40"/>
      <c r="B1536" s="106"/>
      <c r="C1536" s="103"/>
      <c r="D1536" s="41"/>
      <c r="E1536" s="41"/>
      <c r="F1536" s="41"/>
      <c r="G1536" s="25"/>
      <c r="H1536" s="57"/>
      <c r="I1536" s="57"/>
      <c r="K1536" s="28"/>
    </row>
    <row r="1537" spans="1:11" s="24" customFormat="1">
      <c r="A1537" s="40"/>
      <c r="B1537" s="106"/>
      <c r="C1537" s="103"/>
      <c r="D1537" s="41"/>
      <c r="E1537" s="41"/>
      <c r="F1537" s="41"/>
      <c r="G1537" s="25"/>
      <c r="H1537" s="57"/>
      <c r="I1537" s="57"/>
      <c r="K1537" s="28"/>
    </row>
    <row r="1538" spans="1:11" s="24" customFormat="1">
      <c r="A1538" s="40"/>
      <c r="B1538" s="106"/>
      <c r="C1538" s="103"/>
      <c r="D1538" s="41"/>
      <c r="E1538" s="41"/>
      <c r="F1538" s="41"/>
      <c r="G1538" s="25"/>
      <c r="H1538" s="57"/>
      <c r="I1538" s="57"/>
      <c r="K1538" s="28"/>
    </row>
    <row r="1539" spans="1:11" s="24" customFormat="1">
      <c r="A1539" s="40"/>
      <c r="B1539" s="106"/>
      <c r="C1539" s="103"/>
      <c r="D1539" s="41"/>
      <c r="E1539" s="41"/>
      <c r="F1539" s="41"/>
      <c r="G1539" s="25"/>
      <c r="H1539" s="57"/>
      <c r="I1539" s="57"/>
      <c r="K1539" s="28"/>
    </row>
    <row r="1540" spans="1:11" s="24" customFormat="1">
      <c r="A1540" s="40"/>
      <c r="B1540" s="106"/>
      <c r="C1540" s="103"/>
      <c r="D1540" s="41"/>
      <c r="E1540" s="41"/>
      <c r="F1540" s="41"/>
      <c r="G1540" s="25"/>
      <c r="H1540" s="57"/>
      <c r="I1540" s="57"/>
      <c r="K1540" s="28"/>
    </row>
    <row r="1541" spans="1:11" s="24" customFormat="1">
      <c r="A1541" s="40"/>
      <c r="B1541" s="106"/>
      <c r="C1541" s="103"/>
      <c r="D1541" s="41"/>
      <c r="E1541" s="41"/>
      <c r="F1541" s="41"/>
      <c r="G1541" s="25"/>
      <c r="H1541" s="57"/>
      <c r="I1541" s="57"/>
      <c r="K1541" s="28"/>
    </row>
    <row r="1542" spans="1:11" s="24" customFormat="1">
      <c r="A1542" s="40"/>
      <c r="B1542" s="106"/>
      <c r="C1542" s="103"/>
      <c r="D1542" s="41"/>
      <c r="E1542" s="41"/>
      <c r="F1542" s="41"/>
      <c r="G1542" s="25"/>
      <c r="H1542" s="57"/>
      <c r="I1542" s="57"/>
      <c r="K1542" s="28"/>
    </row>
    <row r="1543" spans="1:11" s="24" customFormat="1">
      <c r="A1543" s="40"/>
      <c r="B1543" s="106"/>
      <c r="C1543" s="103"/>
      <c r="D1543" s="41"/>
      <c r="E1543" s="41"/>
      <c r="F1543" s="41"/>
      <c r="G1543" s="25"/>
      <c r="H1543" s="57"/>
      <c r="I1543" s="57"/>
      <c r="K1543" s="28"/>
    </row>
    <row r="1544" spans="1:11" s="24" customFormat="1">
      <c r="A1544" s="40"/>
      <c r="B1544" s="106"/>
      <c r="C1544" s="103"/>
      <c r="D1544" s="41"/>
      <c r="E1544" s="41"/>
      <c r="F1544" s="41"/>
      <c r="G1544" s="25"/>
      <c r="H1544" s="57"/>
      <c r="I1544" s="57"/>
      <c r="K1544" s="28"/>
    </row>
    <row r="1545" spans="1:11" s="24" customFormat="1">
      <c r="A1545" s="40"/>
      <c r="B1545" s="106"/>
      <c r="C1545" s="103"/>
      <c r="D1545" s="41"/>
      <c r="E1545" s="41"/>
      <c r="F1545" s="41"/>
      <c r="G1545" s="25"/>
      <c r="H1545" s="57"/>
      <c r="I1545" s="57"/>
      <c r="K1545" s="28"/>
    </row>
    <row r="1546" spans="1:11" s="24" customFormat="1">
      <c r="A1546" s="40"/>
      <c r="B1546" s="106"/>
      <c r="C1546" s="103"/>
      <c r="D1546" s="41"/>
      <c r="E1546" s="41"/>
      <c r="F1546" s="41"/>
      <c r="G1546" s="25"/>
      <c r="H1546" s="57"/>
      <c r="I1546" s="57"/>
      <c r="K1546" s="28"/>
    </row>
    <row r="1547" spans="1:11" s="24" customFormat="1">
      <c r="A1547" s="40"/>
      <c r="B1547" s="106"/>
      <c r="C1547" s="103"/>
      <c r="D1547" s="41"/>
      <c r="E1547" s="41"/>
      <c r="F1547" s="41"/>
      <c r="G1547" s="25"/>
      <c r="H1547" s="57"/>
      <c r="I1547" s="57"/>
      <c r="K1547" s="28"/>
    </row>
    <row r="1548" spans="1:11" s="24" customFormat="1">
      <c r="A1548" s="40"/>
      <c r="B1548" s="106"/>
      <c r="C1548" s="103"/>
      <c r="D1548" s="41"/>
      <c r="E1548" s="41"/>
      <c r="F1548" s="41"/>
      <c r="G1548" s="25"/>
      <c r="H1548" s="57"/>
      <c r="I1548" s="57"/>
      <c r="K1548" s="28"/>
    </row>
    <row r="1549" spans="1:11" s="24" customFormat="1">
      <c r="A1549" s="40"/>
      <c r="B1549" s="106"/>
      <c r="C1549" s="103"/>
      <c r="D1549" s="41"/>
      <c r="E1549" s="41"/>
      <c r="F1549" s="41"/>
      <c r="G1549" s="25"/>
      <c r="H1549" s="57"/>
      <c r="I1549" s="57"/>
      <c r="K1549" s="28"/>
    </row>
    <row r="1550" spans="1:11" s="24" customFormat="1">
      <c r="A1550" s="40"/>
      <c r="B1550" s="106"/>
      <c r="C1550" s="103"/>
      <c r="D1550" s="41"/>
      <c r="E1550" s="41"/>
      <c r="F1550" s="41"/>
      <c r="G1550" s="25"/>
      <c r="H1550" s="57"/>
      <c r="I1550" s="57"/>
      <c r="K1550" s="28"/>
    </row>
    <row r="1551" spans="1:11" s="24" customFormat="1">
      <c r="A1551" s="40"/>
      <c r="B1551" s="106"/>
      <c r="C1551" s="103"/>
      <c r="D1551" s="41"/>
      <c r="E1551" s="41"/>
      <c r="F1551" s="41"/>
      <c r="G1551" s="25"/>
      <c r="H1551" s="57"/>
      <c r="I1551" s="57"/>
      <c r="K1551" s="28"/>
    </row>
    <row r="1552" spans="1:11" s="24" customFormat="1">
      <c r="A1552" s="40"/>
      <c r="B1552" s="106"/>
      <c r="C1552" s="103"/>
      <c r="D1552" s="41"/>
      <c r="E1552" s="41"/>
      <c r="F1552" s="41"/>
      <c r="G1552" s="25"/>
      <c r="H1552" s="57"/>
      <c r="I1552" s="57"/>
      <c r="K1552" s="28"/>
    </row>
    <row r="1553" spans="1:11" s="24" customFormat="1">
      <c r="A1553" s="40"/>
      <c r="B1553" s="106"/>
      <c r="C1553" s="103"/>
      <c r="D1553" s="41"/>
      <c r="E1553" s="41"/>
      <c r="F1553" s="41"/>
      <c r="G1553" s="25"/>
      <c r="H1553" s="57"/>
      <c r="I1553" s="57"/>
      <c r="K1553" s="28"/>
    </row>
    <row r="1554" spans="1:11" s="24" customFormat="1">
      <c r="A1554" s="40"/>
      <c r="B1554" s="106"/>
      <c r="C1554" s="103"/>
      <c r="D1554" s="41"/>
      <c r="E1554" s="41"/>
      <c r="F1554" s="41"/>
      <c r="G1554" s="25"/>
      <c r="H1554" s="57"/>
      <c r="I1554" s="57"/>
      <c r="K1554" s="28"/>
    </row>
    <row r="1555" spans="1:11" s="24" customFormat="1">
      <c r="A1555" s="40"/>
      <c r="B1555" s="106"/>
      <c r="C1555" s="103"/>
      <c r="D1555" s="41"/>
      <c r="E1555" s="41"/>
      <c r="F1555" s="41"/>
      <c r="G1555" s="25"/>
      <c r="H1555" s="57"/>
      <c r="I1555" s="57"/>
      <c r="K1555" s="28"/>
    </row>
    <row r="1556" spans="1:11" s="24" customFormat="1">
      <c r="A1556" s="40"/>
      <c r="B1556" s="106"/>
      <c r="C1556" s="103"/>
      <c r="D1556" s="41"/>
      <c r="E1556" s="41"/>
      <c r="F1556" s="41"/>
      <c r="G1556" s="25"/>
      <c r="H1556" s="57"/>
      <c r="I1556" s="57"/>
      <c r="K1556" s="28"/>
    </row>
    <row r="1557" spans="1:11" s="24" customFormat="1">
      <c r="A1557" s="40"/>
      <c r="B1557" s="106"/>
      <c r="C1557" s="103"/>
      <c r="D1557" s="41"/>
      <c r="E1557" s="41"/>
      <c r="F1557" s="41"/>
      <c r="G1557" s="25"/>
      <c r="H1557" s="57"/>
      <c r="I1557" s="57"/>
      <c r="K1557" s="28"/>
    </row>
    <row r="1558" spans="1:11" s="24" customFormat="1">
      <c r="A1558" s="40"/>
      <c r="B1558" s="106"/>
      <c r="C1558" s="103"/>
      <c r="D1558" s="41"/>
      <c r="E1558" s="41"/>
      <c r="F1558" s="41"/>
      <c r="G1558" s="25"/>
      <c r="H1558" s="57"/>
      <c r="I1558" s="57"/>
      <c r="K1558" s="28"/>
    </row>
    <row r="1559" spans="1:11" s="24" customFormat="1">
      <c r="A1559" s="40"/>
      <c r="B1559" s="106"/>
      <c r="C1559" s="103"/>
      <c r="D1559" s="41"/>
      <c r="E1559" s="41"/>
      <c r="F1559" s="41"/>
      <c r="G1559" s="25"/>
      <c r="H1559" s="57"/>
      <c r="I1559" s="57"/>
      <c r="K1559" s="28"/>
    </row>
    <row r="1560" spans="1:11" s="24" customFormat="1">
      <c r="A1560" s="40"/>
      <c r="B1560" s="106"/>
      <c r="C1560" s="103"/>
      <c r="D1560" s="41"/>
      <c r="E1560" s="41"/>
      <c r="F1560" s="41"/>
      <c r="G1560" s="25"/>
      <c r="H1560" s="57"/>
      <c r="I1560" s="57"/>
      <c r="K1560" s="28"/>
    </row>
    <row r="1561" spans="1:11" s="24" customFormat="1">
      <c r="A1561" s="40"/>
      <c r="B1561" s="106"/>
      <c r="C1561" s="103"/>
      <c r="D1561" s="41"/>
      <c r="E1561" s="41"/>
      <c r="F1561" s="41"/>
      <c r="G1561" s="25"/>
      <c r="H1561" s="57"/>
      <c r="I1561" s="57"/>
      <c r="K1561" s="28"/>
    </row>
    <row r="1562" spans="1:11" s="24" customFormat="1">
      <c r="A1562" s="40"/>
      <c r="B1562" s="106"/>
      <c r="C1562" s="103"/>
      <c r="D1562" s="41"/>
      <c r="E1562" s="41"/>
      <c r="F1562" s="41"/>
      <c r="G1562" s="25"/>
      <c r="H1562" s="57"/>
      <c r="I1562" s="57"/>
      <c r="K1562" s="28"/>
    </row>
    <row r="1563" spans="1:11" s="24" customFormat="1">
      <c r="A1563" s="40"/>
      <c r="B1563" s="106"/>
      <c r="C1563" s="103"/>
      <c r="D1563" s="41"/>
      <c r="E1563" s="41"/>
      <c r="F1563" s="41"/>
      <c r="G1563" s="25"/>
      <c r="H1563" s="57"/>
      <c r="I1563" s="57"/>
      <c r="K1563" s="28"/>
    </row>
    <row r="1564" spans="1:11" s="24" customFormat="1">
      <c r="A1564" s="40"/>
      <c r="B1564" s="106"/>
      <c r="C1564" s="103"/>
      <c r="D1564" s="41"/>
      <c r="E1564" s="41"/>
      <c r="F1564" s="41"/>
      <c r="G1564" s="25"/>
      <c r="H1564" s="57"/>
      <c r="I1564" s="57"/>
      <c r="K1564" s="28"/>
    </row>
    <row r="1565" spans="1:11" s="24" customFormat="1">
      <c r="A1565" s="40"/>
      <c r="B1565" s="106"/>
      <c r="C1565" s="103"/>
      <c r="D1565" s="41"/>
      <c r="E1565" s="41"/>
      <c r="F1565" s="41"/>
      <c r="G1565" s="25"/>
      <c r="H1565" s="57"/>
      <c r="I1565" s="57"/>
      <c r="K1565" s="28"/>
    </row>
    <row r="1566" spans="1:11" s="24" customFormat="1">
      <c r="A1566" s="40"/>
      <c r="B1566" s="106"/>
      <c r="C1566" s="103"/>
      <c r="D1566" s="41"/>
      <c r="E1566" s="41"/>
      <c r="F1566" s="41"/>
      <c r="G1566" s="25"/>
      <c r="H1566" s="57"/>
      <c r="I1566" s="57"/>
      <c r="K1566" s="28"/>
    </row>
    <row r="1567" spans="1:11" s="24" customFormat="1">
      <c r="A1567" s="40"/>
      <c r="B1567" s="106"/>
      <c r="C1567" s="103"/>
      <c r="D1567" s="41"/>
      <c r="E1567" s="41"/>
      <c r="F1567" s="41"/>
      <c r="G1567" s="25"/>
      <c r="H1567" s="57"/>
      <c r="I1567" s="57"/>
      <c r="K1567" s="28"/>
    </row>
    <row r="1568" spans="1:11" s="24" customFormat="1">
      <c r="A1568" s="40"/>
      <c r="B1568" s="106"/>
      <c r="C1568" s="103"/>
      <c r="D1568" s="41"/>
      <c r="E1568" s="41"/>
      <c r="F1568" s="41"/>
      <c r="G1568" s="25"/>
      <c r="H1568" s="57"/>
      <c r="I1568" s="57"/>
      <c r="K1568" s="28"/>
    </row>
    <row r="1569" spans="1:11" s="24" customFormat="1">
      <c r="A1569" s="40"/>
      <c r="B1569" s="106"/>
      <c r="C1569" s="103"/>
      <c r="D1569" s="41"/>
      <c r="E1569" s="41"/>
      <c r="F1569" s="41"/>
      <c r="G1569" s="25"/>
      <c r="H1569" s="57"/>
      <c r="I1569" s="57"/>
      <c r="K1569" s="28"/>
    </row>
    <row r="1570" spans="1:11" s="24" customFormat="1">
      <c r="A1570" s="40"/>
      <c r="B1570" s="106"/>
      <c r="C1570" s="103"/>
      <c r="D1570" s="41"/>
      <c r="E1570" s="41"/>
      <c r="F1570" s="41"/>
      <c r="G1570" s="25"/>
      <c r="H1570" s="57"/>
      <c r="I1570" s="57"/>
      <c r="K1570" s="28"/>
    </row>
    <row r="1571" spans="1:11" s="24" customFormat="1">
      <c r="A1571" s="40"/>
      <c r="B1571" s="106"/>
      <c r="C1571" s="103"/>
      <c r="D1571" s="41"/>
      <c r="E1571" s="41"/>
      <c r="F1571" s="41"/>
      <c r="G1571" s="25"/>
      <c r="H1571" s="57"/>
      <c r="I1571" s="57"/>
      <c r="K1571" s="28"/>
    </row>
    <row r="1572" spans="1:11" s="24" customFormat="1">
      <c r="A1572" s="40"/>
      <c r="B1572" s="106"/>
      <c r="C1572" s="103"/>
      <c r="D1572" s="41"/>
      <c r="E1572" s="41"/>
      <c r="F1572" s="41"/>
      <c r="G1572" s="25"/>
      <c r="H1572" s="57"/>
      <c r="I1572" s="57"/>
      <c r="K1572" s="28"/>
    </row>
    <row r="1573" spans="1:11" s="24" customFormat="1">
      <c r="A1573" s="40"/>
      <c r="B1573" s="106"/>
      <c r="C1573" s="103"/>
      <c r="D1573" s="41"/>
      <c r="E1573" s="41"/>
      <c r="F1573" s="41"/>
      <c r="G1573" s="25"/>
      <c r="H1573" s="57"/>
      <c r="I1573" s="57"/>
      <c r="K1573" s="28"/>
    </row>
    <row r="1574" spans="1:11" s="24" customFormat="1">
      <c r="A1574" s="40"/>
      <c r="B1574" s="106"/>
      <c r="C1574" s="103"/>
      <c r="D1574" s="41"/>
      <c r="E1574" s="41"/>
      <c r="F1574" s="41"/>
      <c r="G1574" s="25"/>
      <c r="H1574" s="57"/>
      <c r="I1574" s="57"/>
      <c r="K1574" s="28"/>
    </row>
    <row r="1575" spans="1:11" s="24" customFormat="1">
      <c r="A1575" s="40"/>
      <c r="B1575" s="106"/>
      <c r="C1575" s="103"/>
      <c r="D1575" s="41"/>
      <c r="E1575" s="41"/>
      <c r="F1575" s="41"/>
      <c r="G1575" s="25"/>
      <c r="H1575" s="57"/>
      <c r="I1575" s="57"/>
      <c r="K1575" s="28"/>
    </row>
    <row r="1576" spans="1:11" s="24" customFormat="1">
      <c r="A1576" s="40"/>
      <c r="B1576" s="106"/>
      <c r="C1576" s="103"/>
      <c r="D1576" s="41"/>
      <c r="E1576" s="41"/>
      <c r="F1576" s="41"/>
      <c r="G1576" s="25"/>
      <c r="H1576" s="57"/>
      <c r="I1576" s="57"/>
      <c r="K1576" s="28"/>
    </row>
    <row r="1577" spans="1:11" s="24" customFormat="1">
      <c r="A1577" s="40"/>
      <c r="B1577" s="106"/>
      <c r="C1577" s="103"/>
      <c r="D1577" s="41"/>
      <c r="E1577" s="41"/>
      <c r="F1577" s="41"/>
      <c r="G1577" s="25"/>
      <c r="H1577" s="57"/>
      <c r="I1577" s="57"/>
      <c r="K1577" s="28"/>
    </row>
    <row r="1578" spans="1:11" s="24" customFormat="1">
      <c r="A1578" s="40"/>
      <c r="B1578" s="106"/>
      <c r="C1578" s="103"/>
      <c r="D1578" s="41"/>
      <c r="E1578" s="41"/>
      <c r="F1578" s="41"/>
      <c r="G1578" s="25"/>
      <c r="H1578" s="57"/>
      <c r="I1578" s="57"/>
      <c r="K1578" s="28"/>
    </row>
    <row r="1579" spans="1:11" s="24" customFormat="1">
      <c r="A1579" s="40"/>
      <c r="B1579" s="106"/>
      <c r="C1579" s="103"/>
      <c r="D1579" s="41"/>
      <c r="E1579" s="41"/>
      <c r="F1579" s="41"/>
      <c r="G1579" s="25"/>
      <c r="H1579" s="57"/>
      <c r="I1579" s="57"/>
      <c r="K1579" s="28"/>
    </row>
    <row r="1580" spans="1:11" s="24" customFormat="1">
      <c r="A1580" s="40"/>
      <c r="B1580" s="106"/>
      <c r="C1580" s="103"/>
      <c r="D1580" s="41"/>
      <c r="E1580" s="41"/>
      <c r="F1580" s="41"/>
      <c r="G1580" s="25"/>
      <c r="H1580" s="57"/>
      <c r="I1580" s="57"/>
      <c r="K1580" s="28"/>
    </row>
    <row r="1581" spans="1:11" s="24" customFormat="1">
      <c r="A1581" s="40"/>
      <c r="B1581" s="106"/>
      <c r="C1581" s="103"/>
      <c r="D1581" s="41"/>
      <c r="E1581" s="41"/>
      <c r="F1581" s="41"/>
      <c r="G1581" s="25"/>
      <c r="H1581" s="57"/>
      <c r="I1581" s="57"/>
      <c r="K1581" s="28"/>
    </row>
    <row r="1582" spans="1:11" s="24" customFormat="1">
      <c r="A1582" s="40"/>
      <c r="B1582" s="106"/>
      <c r="C1582" s="103"/>
      <c r="D1582" s="41"/>
      <c r="E1582" s="41"/>
      <c r="F1582" s="41"/>
      <c r="G1582" s="25"/>
      <c r="H1582" s="57"/>
      <c r="I1582" s="57"/>
      <c r="K1582" s="28"/>
    </row>
    <row r="1583" spans="1:11" s="24" customFormat="1">
      <c r="A1583" s="40"/>
      <c r="B1583" s="106"/>
      <c r="C1583" s="103"/>
      <c r="D1583" s="41"/>
      <c r="E1583" s="41"/>
      <c r="F1583" s="41"/>
      <c r="G1583" s="25"/>
      <c r="H1583" s="57"/>
      <c r="I1583" s="57"/>
      <c r="K1583" s="28"/>
    </row>
    <row r="1584" spans="1:11" s="24" customFormat="1">
      <c r="A1584" s="40"/>
      <c r="B1584" s="106"/>
      <c r="C1584" s="103"/>
      <c r="D1584" s="41"/>
      <c r="E1584" s="41"/>
      <c r="F1584" s="41"/>
      <c r="G1584" s="25"/>
      <c r="H1584" s="57"/>
      <c r="I1584" s="57"/>
      <c r="K1584" s="28"/>
    </row>
    <row r="1585" spans="1:11" s="24" customFormat="1">
      <c r="A1585" s="40"/>
      <c r="B1585" s="106"/>
      <c r="C1585" s="103"/>
      <c r="D1585" s="41"/>
      <c r="E1585" s="41"/>
      <c r="F1585" s="41"/>
      <c r="G1585" s="25"/>
      <c r="H1585" s="57"/>
      <c r="I1585" s="57"/>
      <c r="K1585" s="28"/>
    </row>
    <row r="1586" spans="1:11" s="24" customFormat="1">
      <c r="A1586" s="40"/>
      <c r="B1586" s="106"/>
      <c r="C1586" s="103"/>
      <c r="D1586" s="41"/>
      <c r="E1586" s="41"/>
      <c r="F1586" s="41"/>
      <c r="G1586" s="25"/>
      <c r="H1586" s="57"/>
      <c r="I1586" s="57"/>
      <c r="K1586" s="28"/>
    </row>
    <row r="1587" spans="1:11" s="24" customFormat="1">
      <c r="A1587" s="40"/>
      <c r="B1587" s="106"/>
      <c r="C1587" s="103"/>
      <c r="D1587" s="41"/>
      <c r="E1587" s="41"/>
      <c r="F1587" s="41"/>
      <c r="G1587" s="25"/>
      <c r="H1587" s="57"/>
      <c r="I1587" s="57"/>
      <c r="K1587" s="28"/>
    </row>
    <row r="1588" spans="1:11" s="24" customFormat="1">
      <c r="A1588" s="40"/>
      <c r="B1588" s="106"/>
      <c r="C1588" s="103"/>
      <c r="D1588" s="41"/>
      <c r="E1588" s="41"/>
      <c r="F1588" s="41"/>
      <c r="G1588" s="25"/>
      <c r="H1588" s="57"/>
      <c r="I1588" s="57"/>
      <c r="K1588" s="28"/>
    </row>
    <row r="1589" spans="1:11" s="24" customFormat="1">
      <c r="A1589" s="40"/>
      <c r="B1589" s="106"/>
      <c r="C1589" s="103"/>
      <c r="D1589" s="41"/>
      <c r="E1589" s="41"/>
      <c r="F1589" s="41"/>
      <c r="G1589" s="25"/>
      <c r="H1589" s="57"/>
      <c r="I1589" s="57"/>
      <c r="K1589" s="28"/>
    </row>
    <row r="1590" spans="1:11" s="24" customFormat="1">
      <c r="A1590" s="40"/>
      <c r="B1590" s="106"/>
      <c r="C1590" s="103"/>
      <c r="D1590" s="41"/>
      <c r="E1590" s="41"/>
      <c r="F1590" s="41"/>
      <c r="G1590" s="25"/>
      <c r="H1590" s="57"/>
      <c r="I1590" s="57"/>
      <c r="K1590" s="28"/>
    </row>
    <row r="1591" spans="1:11" s="24" customFormat="1">
      <c r="A1591" s="40"/>
      <c r="B1591" s="106"/>
      <c r="C1591" s="103"/>
      <c r="D1591" s="41"/>
      <c r="E1591" s="41"/>
      <c r="F1591" s="41"/>
      <c r="G1591" s="25"/>
      <c r="H1591" s="57"/>
      <c r="I1591" s="57"/>
      <c r="K1591" s="28"/>
    </row>
    <row r="1592" spans="1:11" s="24" customFormat="1">
      <c r="A1592" s="40"/>
      <c r="B1592" s="106"/>
      <c r="C1592" s="103"/>
      <c r="D1592" s="41"/>
      <c r="E1592" s="41"/>
      <c r="F1592" s="41"/>
      <c r="G1592" s="25"/>
      <c r="H1592" s="57"/>
      <c r="I1592" s="57"/>
      <c r="K1592" s="28"/>
    </row>
    <row r="1593" spans="1:11" s="24" customFormat="1">
      <c r="A1593" s="40"/>
      <c r="B1593" s="106"/>
      <c r="C1593" s="103"/>
      <c r="D1593" s="41"/>
      <c r="E1593" s="41"/>
      <c r="F1593" s="41"/>
      <c r="G1593" s="25"/>
      <c r="H1593" s="57"/>
      <c r="I1593" s="57"/>
      <c r="K1593" s="28"/>
    </row>
    <row r="1594" spans="1:11" s="24" customFormat="1">
      <c r="A1594" s="40"/>
      <c r="B1594" s="106"/>
      <c r="C1594" s="103"/>
      <c r="D1594" s="41"/>
      <c r="E1594" s="41"/>
      <c r="F1594" s="41"/>
      <c r="G1594" s="25"/>
      <c r="H1594" s="57"/>
      <c r="I1594" s="57"/>
      <c r="K1594" s="28"/>
    </row>
    <row r="1595" spans="1:11" s="24" customFormat="1">
      <c r="A1595" s="40"/>
      <c r="B1595" s="106"/>
      <c r="C1595" s="103"/>
      <c r="D1595" s="41"/>
      <c r="E1595" s="41"/>
      <c r="F1595" s="41"/>
      <c r="G1595" s="25"/>
      <c r="H1595" s="57"/>
      <c r="I1595" s="57"/>
      <c r="K1595" s="28"/>
    </row>
    <row r="1596" spans="1:11" s="24" customFormat="1">
      <c r="A1596" s="40"/>
      <c r="B1596" s="106"/>
      <c r="C1596" s="103"/>
      <c r="D1596" s="41"/>
      <c r="E1596" s="41"/>
      <c r="F1596" s="41"/>
      <c r="G1596" s="25"/>
      <c r="H1596" s="57"/>
      <c r="I1596" s="57"/>
      <c r="K1596" s="28"/>
    </row>
    <row r="1597" spans="1:11" s="24" customFormat="1">
      <c r="A1597" s="40"/>
      <c r="B1597" s="106"/>
      <c r="C1597" s="103"/>
      <c r="D1597" s="41"/>
      <c r="E1597" s="41"/>
      <c r="F1597" s="41"/>
      <c r="G1597" s="25"/>
      <c r="H1597" s="57"/>
      <c r="I1597" s="57"/>
      <c r="K1597" s="28"/>
    </row>
    <row r="1598" spans="1:11" s="24" customFormat="1">
      <c r="A1598" s="40"/>
      <c r="B1598" s="106"/>
      <c r="C1598" s="103"/>
      <c r="D1598" s="41"/>
      <c r="E1598" s="41"/>
      <c r="F1598" s="41"/>
      <c r="G1598" s="25"/>
      <c r="H1598" s="57"/>
      <c r="I1598" s="57"/>
      <c r="K1598" s="28"/>
    </row>
    <row r="1599" spans="1:11" s="24" customFormat="1">
      <c r="A1599" s="40"/>
      <c r="B1599" s="106"/>
      <c r="C1599" s="103"/>
      <c r="D1599" s="41"/>
      <c r="E1599" s="41"/>
      <c r="F1599" s="41"/>
      <c r="G1599" s="25"/>
      <c r="H1599" s="57"/>
      <c r="I1599" s="57"/>
      <c r="K1599" s="28"/>
    </row>
    <row r="1600" spans="1:11" s="24" customFormat="1">
      <c r="A1600" s="40"/>
      <c r="B1600" s="106"/>
      <c r="C1600" s="103"/>
      <c r="D1600" s="41"/>
      <c r="E1600" s="41"/>
      <c r="F1600" s="41"/>
      <c r="G1600" s="25"/>
      <c r="H1600" s="57"/>
      <c r="I1600" s="57"/>
      <c r="K1600" s="28"/>
    </row>
    <row r="1601" spans="1:11" s="24" customFormat="1">
      <c r="A1601" s="40"/>
      <c r="B1601" s="106"/>
      <c r="C1601" s="103"/>
      <c r="D1601" s="41"/>
      <c r="E1601" s="41"/>
      <c r="F1601" s="41"/>
      <c r="G1601" s="25"/>
      <c r="H1601" s="57"/>
      <c r="I1601" s="57"/>
      <c r="K1601" s="28"/>
    </row>
    <row r="1602" spans="1:11" s="24" customFormat="1">
      <c r="A1602" s="40"/>
      <c r="B1602" s="106"/>
      <c r="C1602" s="103"/>
      <c r="D1602" s="41"/>
      <c r="E1602" s="41"/>
      <c r="F1602" s="41"/>
      <c r="G1602" s="25"/>
      <c r="H1602" s="57"/>
      <c r="I1602" s="57"/>
      <c r="K1602" s="28"/>
    </row>
    <row r="1603" spans="1:11" s="24" customFormat="1">
      <c r="A1603" s="40"/>
      <c r="B1603" s="106"/>
      <c r="C1603" s="103"/>
      <c r="D1603" s="41"/>
      <c r="E1603" s="41"/>
      <c r="F1603" s="41"/>
      <c r="G1603" s="25"/>
      <c r="H1603" s="57"/>
      <c r="I1603" s="57"/>
      <c r="K1603" s="28"/>
    </row>
    <row r="1604" spans="1:11" s="24" customFormat="1">
      <c r="A1604" s="40"/>
      <c r="B1604" s="106"/>
      <c r="C1604" s="103"/>
      <c r="D1604" s="41"/>
      <c r="E1604" s="41"/>
      <c r="F1604" s="41"/>
      <c r="G1604" s="25"/>
      <c r="H1604" s="57"/>
      <c r="I1604" s="57"/>
      <c r="K1604" s="28"/>
    </row>
    <row r="1605" spans="1:11" s="24" customFormat="1">
      <c r="A1605" s="40"/>
      <c r="B1605" s="106"/>
      <c r="C1605" s="103"/>
      <c r="D1605" s="41"/>
      <c r="E1605" s="41"/>
      <c r="F1605" s="41"/>
      <c r="G1605" s="25"/>
      <c r="H1605" s="57"/>
      <c r="I1605" s="57"/>
      <c r="K1605" s="28"/>
    </row>
    <row r="1606" spans="1:11" s="24" customFormat="1">
      <c r="A1606" s="40"/>
      <c r="B1606" s="106"/>
      <c r="C1606" s="103"/>
      <c r="D1606" s="41"/>
      <c r="E1606" s="41"/>
      <c r="F1606" s="41"/>
      <c r="G1606" s="25"/>
      <c r="H1606" s="57"/>
      <c r="I1606" s="57"/>
      <c r="K1606" s="28"/>
    </row>
    <row r="1607" spans="1:11" s="24" customFormat="1">
      <c r="A1607" s="40"/>
      <c r="B1607" s="106"/>
      <c r="C1607" s="103"/>
      <c r="D1607" s="41"/>
      <c r="E1607" s="41"/>
      <c r="F1607" s="41"/>
      <c r="G1607" s="25"/>
      <c r="H1607" s="57"/>
      <c r="I1607" s="57"/>
      <c r="K1607" s="28"/>
    </row>
    <row r="1608" spans="1:11" s="24" customFormat="1">
      <c r="A1608" s="40"/>
      <c r="B1608" s="106"/>
      <c r="C1608" s="103"/>
      <c r="D1608" s="41"/>
      <c r="E1608" s="41"/>
      <c r="F1608" s="41"/>
      <c r="G1608" s="25"/>
      <c r="H1608" s="57"/>
      <c r="I1608" s="57"/>
      <c r="K1608" s="28"/>
    </row>
    <row r="1609" spans="1:11" s="24" customFormat="1">
      <c r="A1609" s="40"/>
      <c r="B1609" s="106"/>
      <c r="C1609" s="103"/>
      <c r="D1609" s="41"/>
      <c r="E1609" s="41"/>
      <c r="F1609" s="41"/>
      <c r="G1609" s="25"/>
      <c r="H1609" s="57"/>
      <c r="I1609" s="57"/>
      <c r="K1609" s="28"/>
    </row>
    <row r="1610" spans="1:11" s="24" customFormat="1">
      <c r="A1610" s="40"/>
      <c r="B1610" s="106"/>
      <c r="C1610" s="103"/>
      <c r="D1610" s="41"/>
      <c r="E1610" s="41"/>
      <c r="F1610" s="41"/>
      <c r="G1610" s="25"/>
      <c r="H1610" s="57"/>
      <c r="I1610" s="57"/>
      <c r="K1610" s="28"/>
    </row>
    <row r="1611" spans="1:11" s="24" customFormat="1">
      <c r="A1611" s="40"/>
      <c r="B1611" s="106"/>
      <c r="C1611" s="103"/>
      <c r="D1611" s="41"/>
      <c r="E1611" s="41"/>
      <c r="F1611" s="41"/>
      <c r="G1611" s="25"/>
      <c r="H1611" s="57"/>
      <c r="I1611" s="57"/>
      <c r="K1611" s="28"/>
    </row>
    <row r="1612" spans="1:11" s="24" customFormat="1">
      <c r="A1612" s="40"/>
      <c r="B1612" s="106"/>
      <c r="C1612" s="103"/>
      <c r="D1612" s="41"/>
      <c r="E1612" s="41"/>
      <c r="F1612" s="41"/>
      <c r="G1612" s="25"/>
      <c r="H1612" s="57"/>
      <c r="I1612" s="57"/>
      <c r="K1612" s="28"/>
    </row>
    <row r="1613" spans="1:11" s="24" customFormat="1">
      <c r="A1613" s="40"/>
      <c r="B1613" s="106"/>
      <c r="C1613" s="103"/>
      <c r="D1613" s="41"/>
      <c r="E1613" s="41"/>
      <c r="F1613" s="41"/>
      <c r="G1613" s="25"/>
      <c r="H1613" s="57"/>
      <c r="I1613" s="57"/>
      <c r="K1613" s="28"/>
    </row>
    <row r="1614" spans="1:11" s="24" customFormat="1">
      <c r="A1614" s="40"/>
      <c r="B1614" s="106"/>
      <c r="C1614" s="103"/>
      <c r="D1614" s="41"/>
      <c r="E1614" s="41"/>
      <c r="F1614" s="41"/>
      <c r="G1614" s="25"/>
      <c r="H1614" s="57"/>
      <c r="I1614" s="57"/>
      <c r="K1614" s="28"/>
    </row>
    <row r="1615" spans="1:11" s="24" customFormat="1">
      <c r="A1615" s="40"/>
      <c r="B1615" s="106"/>
      <c r="C1615" s="103"/>
      <c r="D1615" s="41"/>
      <c r="E1615" s="41"/>
      <c r="F1615" s="41"/>
      <c r="G1615" s="25"/>
      <c r="H1615" s="57"/>
      <c r="I1615" s="57"/>
      <c r="K1615" s="28"/>
    </row>
    <row r="1616" spans="1:11" s="24" customFormat="1">
      <c r="A1616" s="40"/>
      <c r="B1616" s="106"/>
      <c r="C1616" s="103"/>
      <c r="D1616" s="41"/>
      <c r="E1616" s="41"/>
      <c r="F1616" s="41"/>
      <c r="G1616" s="25"/>
      <c r="H1616" s="57"/>
      <c r="I1616" s="57"/>
      <c r="K1616" s="28"/>
    </row>
    <row r="1617" spans="1:11" s="24" customFormat="1">
      <c r="A1617" s="40"/>
      <c r="B1617" s="106"/>
      <c r="C1617" s="103"/>
      <c r="D1617" s="41"/>
      <c r="E1617" s="41"/>
      <c r="F1617" s="41"/>
      <c r="G1617" s="25"/>
      <c r="H1617" s="57"/>
      <c r="I1617" s="57"/>
      <c r="K1617" s="28"/>
    </row>
    <row r="1618" spans="1:11" s="24" customFormat="1">
      <c r="A1618" s="40"/>
      <c r="B1618" s="106"/>
      <c r="C1618" s="103"/>
      <c r="D1618" s="41"/>
      <c r="E1618" s="41"/>
      <c r="F1618" s="41"/>
      <c r="G1618" s="25"/>
      <c r="H1618" s="57"/>
      <c r="I1618" s="57"/>
      <c r="K1618" s="28"/>
    </row>
    <row r="1619" spans="1:11" s="24" customFormat="1">
      <c r="A1619" s="40"/>
      <c r="B1619" s="106"/>
      <c r="C1619" s="103"/>
      <c r="D1619" s="41"/>
      <c r="E1619" s="41"/>
      <c r="F1619" s="41"/>
      <c r="G1619" s="25"/>
      <c r="H1619" s="57"/>
      <c r="I1619" s="57"/>
      <c r="K1619" s="28"/>
    </row>
    <row r="1620" spans="1:11" s="24" customFormat="1">
      <c r="A1620" s="40"/>
      <c r="B1620" s="106"/>
      <c r="C1620" s="103"/>
      <c r="D1620" s="41"/>
      <c r="E1620" s="41"/>
      <c r="F1620" s="41"/>
      <c r="G1620" s="25"/>
      <c r="H1620" s="57"/>
      <c r="I1620" s="57"/>
      <c r="K1620" s="28"/>
    </row>
    <row r="1621" spans="1:11" s="24" customFormat="1">
      <c r="A1621" s="40"/>
      <c r="B1621" s="106"/>
      <c r="C1621" s="103"/>
      <c r="D1621" s="41"/>
      <c r="E1621" s="41"/>
      <c r="F1621" s="41"/>
      <c r="G1621" s="25"/>
      <c r="H1621" s="57"/>
      <c r="I1621" s="57"/>
      <c r="K1621" s="28"/>
    </row>
    <row r="1622" spans="1:11" s="24" customFormat="1">
      <c r="A1622" s="40"/>
      <c r="B1622" s="106"/>
      <c r="C1622" s="103"/>
      <c r="D1622" s="41"/>
      <c r="E1622" s="41"/>
      <c r="F1622" s="41"/>
      <c r="G1622" s="25"/>
      <c r="H1622" s="57"/>
      <c r="I1622" s="57"/>
      <c r="K1622" s="28"/>
    </row>
    <row r="1623" spans="1:11" s="24" customFormat="1">
      <c r="A1623" s="40"/>
      <c r="B1623" s="106"/>
      <c r="C1623" s="103"/>
      <c r="D1623" s="41"/>
      <c r="E1623" s="41"/>
      <c r="F1623" s="41"/>
      <c r="G1623" s="25"/>
      <c r="H1623" s="57"/>
      <c r="I1623" s="57"/>
      <c r="K1623" s="28"/>
    </row>
    <row r="1624" spans="1:11" s="24" customFormat="1">
      <c r="A1624" s="40"/>
      <c r="B1624" s="106"/>
      <c r="C1624" s="103"/>
      <c r="D1624" s="41"/>
      <c r="E1624" s="41"/>
      <c r="F1624" s="41"/>
      <c r="G1624" s="25"/>
      <c r="H1624" s="57"/>
      <c r="I1624" s="57"/>
      <c r="K1624" s="28"/>
    </row>
    <row r="1625" spans="1:11" s="24" customFormat="1">
      <c r="A1625" s="40"/>
      <c r="B1625" s="106"/>
      <c r="C1625" s="103"/>
      <c r="D1625" s="41"/>
      <c r="E1625" s="41"/>
      <c r="F1625" s="41"/>
      <c r="G1625" s="25"/>
      <c r="H1625" s="57"/>
      <c r="I1625" s="57"/>
      <c r="K1625" s="28"/>
    </row>
    <row r="1626" spans="1:11" s="24" customFormat="1">
      <c r="A1626" s="40"/>
      <c r="B1626" s="106"/>
      <c r="C1626" s="103"/>
      <c r="D1626" s="41"/>
      <c r="E1626" s="41"/>
      <c r="F1626" s="41"/>
      <c r="G1626" s="25"/>
      <c r="H1626" s="57"/>
      <c r="I1626" s="57"/>
      <c r="K1626" s="28"/>
    </row>
    <row r="1627" spans="1:11" s="24" customFormat="1">
      <c r="A1627" s="40"/>
      <c r="B1627" s="106"/>
      <c r="C1627" s="103"/>
      <c r="D1627" s="41"/>
      <c r="E1627" s="41"/>
      <c r="F1627" s="41"/>
      <c r="G1627" s="25"/>
      <c r="H1627" s="57"/>
      <c r="I1627" s="57"/>
      <c r="K1627" s="28"/>
    </row>
    <row r="1628" spans="1:11" s="24" customFormat="1">
      <c r="A1628" s="40"/>
      <c r="B1628" s="106"/>
      <c r="C1628" s="103"/>
      <c r="D1628" s="41"/>
      <c r="E1628" s="41"/>
      <c r="F1628" s="41"/>
      <c r="G1628" s="25"/>
      <c r="H1628" s="57"/>
      <c r="I1628" s="57"/>
      <c r="K1628" s="28"/>
    </row>
    <row r="1629" spans="1:11" s="24" customFormat="1">
      <c r="A1629" s="40"/>
      <c r="B1629" s="106"/>
      <c r="C1629" s="103"/>
      <c r="D1629" s="41"/>
      <c r="E1629" s="41"/>
      <c r="F1629" s="41"/>
      <c r="G1629" s="25"/>
      <c r="H1629" s="57"/>
      <c r="I1629" s="57"/>
      <c r="K1629" s="28"/>
    </row>
    <row r="1630" spans="1:11" s="24" customFormat="1">
      <c r="A1630" s="40"/>
      <c r="B1630" s="106"/>
      <c r="C1630" s="103"/>
      <c r="D1630" s="41"/>
      <c r="E1630" s="41"/>
      <c r="F1630" s="41"/>
      <c r="G1630" s="25"/>
      <c r="H1630" s="57"/>
      <c r="I1630" s="57"/>
      <c r="K1630" s="28"/>
    </row>
    <row r="1631" spans="1:11" s="24" customFormat="1">
      <c r="A1631" s="40"/>
      <c r="B1631" s="106"/>
      <c r="C1631" s="103"/>
      <c r="D1631" s="41"/>
      <c r="E1631" s="41"/>
      <c r="F1631" s="41"/>
      <c r="G1631" s="25"/>
      <c r="H1631" s="57"/>
      <c r="I1631" s="57"/>
      <c r="K1631" s="28"/>
    </row>
    <row r="1632" spans="1:11" s="24" customFormat="1">
      <c r="A1632" s="40"/>
      <c r="B1632" s="106"/>
      <c r="C1632" s="103"/>
      <c r="D1632" s="41"/>
      <c r="E1632" s="41"/>
      <c r="F1632" s="41"/>
      <c r="G1632" s="25"/>
      <c r="H1632" s="57"/>
      <c r="I1632" s="57"/>
      <c r="K1632" s="28"/>
    </row>
    <row r="1633" spans="1:11" s="24" customFormat="1">
      <c r="A1633" s="40"/>
      <c r="B1633" s="106"/>
      <c r="C1633" s="103"/>
      <c r="D1633" s="41"/>
      <c r="E1633" s="41"/>
      <c r="F1633" s="41"/>
      <c r="G1633" s="25"/>
      <c r="H1633" s="57"/>
      <c r="I1633" s="57"/>
      <c r="K1633" s="28"/>
    </row>
    <row r="1634" spans="1:11" s="24" customFormat="1">
      <c r="A1634" s="40"/>
      <c r="B1634" s="106"/>
      <c r="C1634" s="103"/>
      <c r="D1634" s="41"/>
      <c r="E1634" s="41"/>
      <c r="F1634" s="41"/>
      <c r="G1634" s="25"/>
      <c r="H1634" s="57"/>
      <c r="I1634" s="57"/>
      <c r="K1634" s="28"/>
    </row>
    <row r="1635" spans="1:11" s="24" customFormat="1">
      <c r="A1635" s="40"/>
      <c r="B1635" s="106"/>
      <c r="C1635" s="103"/>
      <c r="D1635" s="41"/>
      <c r="E1635" s="41"/>
      <c r="F1635" s="41"/>
      <c r="G1635" s="25"/>
      <c r="H1635" s="57"/>
      <c r="I1635" s="57"/>
      <c r="K1635" s="28"/>
    </row>
    <row r="1636" spans="1:11" s="24" customFormat="1">
      <c r="A1636" s="40"/>
      <c r="B1636" s="106"/>
      <c r="C1636" s="103"/>
      <c r="D1636" s="41"/>
      <c r="E1636" s="41"/>
      <c r="F1636" s="41"/>
      <c r="G1636" s="25"/>
      <c r="H1636" s="57"/>
      <c r="I1636" s="57"/>
      <c r="K1636" s="28"/>
    </row>
    <row r="1637" spans="1:11" s="24" customFormat="1">
      <c r="A1637" s="40"/>
      <c r="B1637" s="106"/>
      <c r="C1637" s="103"/>
      <c r="D1637" s="41"/>
      <c r="E1637" s="41"/>
      <c r="F1637" s="41"/>
      <c r="G1637" s="25"/>
      <c r="H1637" s="57"/>
      <c r="I1637" s="57"/>
      <c r="K1637" s="28"/>
    </row>
    <row r="1638" spans="1:11" s="24" customFormat="1">
      <c r="A1638" s="40"/>
      <c r="B1638" s="106"/>
      <c r="C1638" s="103"/>
      <c r="D1638" s="41"/>
      <c r="E1638" s="41"/>
      <c r="F1638" s="41"/>
      <c r="G1638" s="25"/>
      <c r="H1638" s="57"/>
      <c r="I1638" s="57"/>
      <c r="K1638" s="28"/>
    </row>
    <row r="1639" spans="1:11" s="24" customFormat="1">
      <c r="A1639" s="40"/>
      <c r="B1639" s="106"/>
      <c r="C1639" s="103"/>
      <c r="D1639" s="41"/>
      <c r="E1639" s="41"/>
      <c r="F1639" s="41"/>
      <c r="G1639" s="25"/>
      <c r="H1639" s="57"/>
      <c r="I1639" s="57"/>
      <c r="K1639" s="28"/>
    </row>
    <row r="1640" spans="1:11" s="24" customFormat="1">
      <c r="A1640" s="40"/>
      <c r="B1640" s="106"/>
      <c r="C1640" s="103"/>
      <c r="D1640" s="41"/>
      <c r="E1640" s="41"/>
      <c r="F1640" s="41"/>
      <c r="G1640" s="25"/>
      <c r="H1640" s="57"/>
      <c r="I1640" s="57"/>
      <c r="K1640" s="28"/>
    </row>
    <row r="1641" spans="1:11" s="24" customFormat="1">
      <c r="A1641" s="40"/>
      <c r="B1641" s="106"/>
      <c r="C1641" s="103"/>
      <c r="D1641" s="41"/>
      <c r="E1641" s="41"/>
      <c r="F1641" s="41"/>
      <c r="G1641" s="25"/>
      <c r="H1641" s="57"/>
      <c r="I1641" s="57"/>
      <c r="K1641" s="28"/>
    </row>
    <row r="1642" spans="1:11" s="24" customFormat="1">
      <c r="A1642" s="40"/>
      <c r="B1642" s="106"/>
      <c r="C1642" s="103"/>
      <c r="D1642" s="41"/>
      <c r="E1642" s="41"/>
      <c r="F1642" s="41"/>
      <c r="G1642" s="25"/>
      <c r="H1642" s="57"/>
      <c r="I1642" s="57"/>
      <c r="K1642" s="28"/>
    </row>
    <row r="1643" spans="1:11" s="24" customFormat="1">
      <c r="A1643" s="40"/>
      <c r="B1643" s="106"/>
      <c r="C1643" s="103"/>
      <c r="D1643" s="41"/>
      <c r="E1643" s="41"/>
      <c r="F1643" s="41"/>
      <c r="G1643" s="25"/>
      <c r="H1643" s="57"/>
      <c r="I1643" s="57"/>
      <c r="K1643" s="28"/>
    </row>
    <row r="1644" spans="1:11" s="24" customFormat="1">
      <c r="A1644" s="40"/>
      <c r="B1644" s="106"/>
      <c r="C1644" s="103"/>
      <c r="D1644" s="41"/>
      <c r="E1644" s="41"/>
      <c r="F1644" s="41"/>
      <c r="G1644" s="25"/>
      <c r="H1644" s="57"/>
      <c r="I1644" s="57"/>
      <c r="K1644" s="28"/>
    </row>
    <row r="1645" spans="1:11" s="24" customFormat="1">
      <c r="A1645" s="40"/>
      <c r="B1645" s="106"/>
      <c r="C1645" s="103"/>
      <c r="D1645" s="41"/>
      <c r="E1645" s="41"/>
      <c r="F1645" s="41"/>
      <c r="G1645" s="25"/>
      <c r="H1645" s="57"/>
      <c r="I1645" s="57"/>
      <c r="K1645" s="28"/>
    </row>
    <row r="1646" spans="1:11" s="24" customFormat="1">
      <c r="A1646" s="40"/>
      <c r="B1646" s="106"/>
      <c r="C1646" s="103"/>
      <c r="D1646" s="41"/>
      <c r="E1646" s="41"/>
      <c r="F1646" s="41"/>
      <c r="G1646" s="25"/>
      <c r="H1646" s="57"/>
      <c r="I1646" s="57"/>
      <c r="K1646" s="28"/>
    </row>
    <row r="1647" spans="1:11" s="24" customFormat="1">
      <c r="A1647" s="40"/>
      <c r="B1647" s="106"/>
      <c r="C1647" s="103"/>
      <c r="D1647" s="41"/>
      <c r="E1647" s="41"/>
      <c r="F1647" s="41"/>
      <c r="G1647" s="25"/>
      <c r="H1647" s="57"/>
      <c r="I1647" s="57"/>
      <c r="K1647" s="28"/>
    </row>
    <row r="1648" spans="1:11" s="24" customFormat="1">
      <c r="A1648" s="40"/>
      <c r="B1648" s="106"/>
      <c r="C1648" s="103"/>
      <c r="D1648" s="41"/>
      <c r="E1648" s="41"/>
      <c r="F1648" s="41"/>
      <c r="G1648" s="25"/>
      <c r="H1648" s="57"/>
      <c r="I1648" s="57"/>
      <c r="K1648" s="28"/>
    </row>
    <row r="1649" spans="1:11" s="24" customFormat="1">
      <c r="A1649" s="40"/>
      <c r="B1649" s="106"/>
      <c r="C1649" s="103"/>
      <c r="D1649" s="41"/>
      <c r="E1649" s="41"/>
      <c r="F1649" s="41"/>
      <c r="G1649" s="25"/>
      <c r="H1649" s="57"/>
      <c r="I1649" s="57"/>
      <c r="K1649" s="28"/>
    </row>
    <row r="1650" spans="1:11" s="24" customFormat="1">
      <c r="A1650" s="40"/>
      <c r="B1650" s="106"/>
      <c r="C1650" s="103"/>
      <c r="D1650" s="41"/>
      <c r="E1650" s="41"/>
      <c r="F1650" s="41"/>
      <c r="G1650" s="25"/>
      <c r="H1650" s="57"/>
      <c r="I1650" s="57"/>
      <c r="K1650" s="28"/>
    </row>
    <row r="1651" spans="1:11" s="24" customFormat="1">
      <c r="A1651" s="40"/>
      <c r="B1651" s="106"/>
      <c r="C1651" s="103"/>
      <c r="D1651" s="41"/>
      <c r="E1651" s="41"/>
      <c r="F1651" s="41"/>
      <c r="G1651" s="25"/>
      <c r="H1651" s="57"/>
      <c r="I1651" s="57"/>
      <c r="K1651" s="28"/>
    </row>
    <row r="1652" spans="1:11" s="24" customFormat="1">
      <c r="A1652" s="40"/>
      <c r="B1652" s="106"/>
      <c r="C1652" s="103"/>
      <c r="D1652" s="41"/>
      <c r="E1652" s="41"/>
      <c r="F1652" s="41"/>
      <c r="G1652" s="25"/>
      <c r="H1652" s="57"/>
      <c r="I1652" s="57"/>
      <c r="K1652" s="28"/>
    </row>
    <row r="1653" spans="1:11" s="24" customFormat="1">
      <c r="A1653" s="40"/>
      <c r="B1653" s="106"/>
      <c r="C1653" s="103"/>
      <c r="D1653" s="41"/>
      <c r="E1653" s="41"/>
      <c r="F1653" s="41"/>
      <c r="G1653" s="25"/>
      <c r="H1653" s="57"/>
      <c r="I1653" s="57"/>
      <c r="K1653" s="28"/>
    </row>
    <row r="1654" spans="1:11" s="24" customFormat="1">
      <c r="A1654" s="40"/>
      <c r="B1654" s="106"/>
      <c r="C1654" s="103"/>
      <c r="D1654" s="41"/>
      <c r="E1654" s="41"/>
      <c r="F1654" s="41"/>
      <c r="G1654" s="25"/>
      <c r="H1654" s="57"/>
      <c r="I1654" s="57"/>
      <c r="K1654" s="28"/>
    </row>
    <row r="1655" spans="1:11" s="24" customFormat="1">
      <c r="A1655" s="40"/>
      <c r="B1655" s="106"/>
      <c r="C1655" s="103"/>
      <c r="D1655" s="41"/>
      <c r="E1655" s="41"/>
      <c r="F1655" s="41"/>
      <c r="G1655" s="25"/>
      <c r="H1655" s="57"/>
      <c r="I1655" s="57"/>
      <c r="K1655" s="28"/>
    </row>
    <row r="1656" spans="1:11" s="24" customFormat="1">
      <c r="A1656" s="40"/>
      <c r="B1656" s="106"/>
      <c r="C1656" s="103"/>
      <c r="D1656" s="41"/>
      <c r="E1656" s="41"/>
      <c r="F1656" s="41"/>
      <c r="G1656" s="25"/>
      <c r="H1656" s="57"/>
      <c r="I1656" s="57"/>
      <c r="K1656" s="28"/>
    </row>
    <row r="1657" spans="1:11" s="24" customFormat="1">
      <c r="A1657" s="40"/>
      <c r="B1657" s="106"/>
      <c r="C1657" s="103"/>
      <c r="D1657" s="41"/>
      <c r="E1657" s="41"/>
      <c r="F1657" s="41"/>
      <c r="G1657" s="25"/>
      <c r="H1657" s="57"/>
      <c r="I1657" s="57"/>
      <c r="K1657" s="28"/>
    </row>
    <row r="1658" spans="1:11" s="24" customFormat="1">
      <c r="A1658" s="40"/>
      <c r="B1658" s="106"/>
      <c r="C1658" s="103"/>
      <c r="D1658" s="41"/>
      <c r="E1658" s="41"/>
      <c r="F1658" s="41"/>
      <c r="G1658" s="25"/>
      <c r="H1658" s="57"/>
      <c r="I1658" s="57"/>
      <c r="K1658" s="28"/>
    </row>
    <row r="1659" spans="1:11" s="24" customFormat="1">
      <c r="A1659" s="40"/>
      <c r="B1659" s="106"/>
      <c r="C1659" s="103"/>
      <c r="D1659" s="41"/>
      <c r="E1659" s="41"/>
      <c r="F1659" s="41"/>
      <c r="G1659" s="25"/>
      <c r="H1659" s="57"/>
      <c r="I1659" s="57"/>
      <c r="K1659" s="28"/>
    </row>
    <row r="1660" spans="1:11" s="24" customFormat="1">
      <c r="A1660" s="40"/>
      <c r="B1660" s="106"/>
      <c r="C1660" s="103"/>
      <c r="D1660" s="41"/>
      <c r="E1660" s="41"/>
      <c r="F1660" s="41"/>
      <c r="G1660" s="25"/>
      <c r="H1660" s="57"/>
      <c r="I1660" s="57"/>
      <c r="K1660" s="28"/>
    </row>
    <row r="1661" spans="1:11" s="24" customFormat="1">
      <c r="A1661" s="40"/>
      <c r="B1661" s="106"/>
      <c r="C1661" s="103"/>
      <c r="D1661" s="41"/>
      <c r="E1661" s="41"/>
      <c r="F1661" s="41"/>
      <c r="G1661" s="25"/>
      <c r="H1661" s="57"/>
      <c r="I1661" s="57"/>
      <c r="K1661" s="28"/>
    </row>
    <row r="1662" spans="1:11" s="24" customFormat="1">
      <c r="A1662" s="40"/>
      <c r="B1662" s="106"/>
      <c r="C1662" s="103"/>
      <c r="D1662" s="41"/>
      <c r="E1662" s="41"/>
      <c r="F1662" s="41"/>
      <c r="G1662" s="25"/>
      <c r="H1662" s="57"/>
      <c r="I1662" s="57"/>
      <c r="K1662" s="28"/>
    </row>
    <row r="1663" spans="1:11" s="24" customFormat="1">
      <c r="A1663" s="40"/>
      <c r="B1663" s="106"/>
      <c r="C1663" s="103"/>
      <c r="D1663" s="41"/>
      <c r="E1663" s="41"/>
      <c r="F1663" s="41"/>
      <c r="G1663" s="25"/>
      <c r="H1663" s="57"/>
      <c r="I1663" s="57"/>
      <c r="K1663" s="28"/>
    </row>
    <row r="1664" spans="1:11" s="24" customFormat="1">
      <c r="A1664" s="40"/>
      <c r="B1664" s="106"/>
      <c r="C1664" s="103"/>
      <c r="D1664" s="41"/>
      <c r="E1664" s="41"/>
      <c r="F1664" s="41"/>
      <c r="G1664" s="25"/>
      <c r="H1664" s="57"/>
      <c r="I1664" s="57"/>
      <c r="K1664" s="28"/>
    </row>
    <row r="1665" spans="1:11" s="24" customFormat="1">
      <c r="A1665" s="40"/>
      <c r="B1665" s="106"/>
      <c r="C1665" s="103"/>
      <c r="D1665" s="41"/>
      <c r="E1665" s="41"/>
      <c r="F1665" s="41"/>
      <c r="G1665" s="25"/>
      <c r="H1665" s="57"/>
      <c r="I1665" s="57"/>
      <c r="K1665" s="28"/>
    </row>
    <row r="1666" spans="1:11" s="24" customFormat="1">
      <c r="A1666" s="40"/>
      <c r="B1666" s="106"/>
      <c r="C1666" s="103"/>
      <c r="D1666" s="41"/>
      <c r="E1666" s="41"/>
      <c r="F1666" s="41"/>
      <c r="G1666" s="25"/>
      <c r="H1666" s="57"/>
      <c r="I1666" s="57"/>
      <c r="K1666" s="28"/>
    </row>
    <row r="1667" spans="1:11" s="24" customFormat="1">
      <c r="A1667" s="40"/>
      <c r="B1667" s="106"/>
      <c r="C1667" s="103"/>
      <c r="D1667" s="41"/>
      <c r="E1667" s="41"/>
      <c r="F1667" s="41"/>
      <c r="G1667" s="25"/>
      <c r="H1667" s="57"/>
      <c r="I1667" s="57"/>
      <c r="K1667" s="28"/>
    </row>
    <row r="1668" spans="1:11" s="24" customFormat="1">
      <c r="A1668" s="40"/>
      <c r="B1668" s="106"/>
      <c r="C1668" s="103"/>
      <c r="D1668" s="41"/>
      <c r="E1668" s="41"/>
      <c r="F1668" s="41"/>
      <c r="G1668" s="25"/>
      <c r="H1668" s="57"/>
      <c r="I1668" s="57"/>
      <c r="K1668" s="28"/>
    </row>
    <row r="1669" spans="1:11" s="24" customFormat="1">
      <c r="A1669" s="40"/>
      <c r="B1669" s="106"/>
      <c r="C1669" s="103"/>
      <c r="D1669" s="41"/>
      <c r="E1669" s="41"/>
      <c r="F1669" s="41"/>
      <c r="G1669" s="25"/>
      <c r="H1669" s="57"/>
      <c r="I1669" s="57"/>
      <c r="K1669" s="28"/>
    </row>
    <row r="1670" spans="1:11" s="24" customFormat="1">
      <c r="A1670" s="40"/>
      <c r="B1670" s="106"/>
      <c r="C1670" s="103"/>
      <c r="D1670" s="41"/>
      <c r="E1670" s="41"/>
      <c r="F1670" s="41"/>
      <c r="G1670" s="25"/>
      <c r="H1670" s="57"/>
      <c r="I1670" s="57"/>
      <c r="K1670" s="28"/>
    </row>
    <row r="1671" spans="1:11" s="24" customFormat="1">
      <c r="A1671" s="40"/>
      <c r="B1671" s="106"/>
      <c r="C1671" s="103"/>
      <c r="D1671" s="41"/>
      <c r="E1671" s="41"/>
      <c r="F1671" s="41"/>
      <c r="G1671" s="25"/>
      <c r="H1671" s="57"/>
      <c r="I1671" s="57"/>
      <c r="K1671" s="28"/>
    </row>
    <row r="1672" spans="1:11" s="24" customFormat="1">
      <c r="A1672" s="40"/>
      <c r="B1672" s="106"/>
      <c r="C1672" s="103"/>
      <c r="D1672" s="41"/>
      <c r="E1672" s="41"/>
      <c r="F1672" s="41"/>
      <c r="G1672" s="25"/>
      <c r="H1672" s="57"/>
      <c r="I1672" s="57"/>
      <c r="K1672" s="28"/>
    </row>
    <row r="1673" spans="1:11" s="24" customFormat="1">
      <c r="A1673" s="40"/>
      <c r="B1673" s="106"/>
      <c r="C1673" s="103"/>
      <c r="D1673" s="41"/>
      <c r="E1673" s="41"/>
      <c r="F1673" s="41"/>
      <c r="G1673" s="25"/>
      <c r="H1673" s="57"/>
      <c r="I1673" s="57"/>
      <c r="K1673" s="28"/>
    </row>
    <row r="1674" spans="1:11" s="24" customFormat="1">
      <c r="A1674" s="40"/>
      <c r="B1674" s="106"/>
      <c r="C1674" s="103"/>
      <c r="D1674" s="41"/>
      <c r="E1674" s="41"/>
      <c r="F1674" s="41"/>
      <c r="G1674" s="25"/>
      <c r="H1674" s="57"/>
      <c r="I1674" s="57"/>
      <c r="K1674" s="28"/>
    </row>
    <row r="1675" spans="1:11" s="24" customFormat="1">
      <c r="A1675" s="40"/>
      <c r="B1675" s="106"/>
      <c r="C1675" s="103"/>
      <c r="D1675" s="41"/>
      <c r="E1675" s="41"/>
      <c r="F1675" s="41"/>
      <c r="G1675" s="25"/>
      <c r="H1675" s="57"/>
      <c r="I1675" s="57"/>
      <c r="K1675" s="28"/>
    </row>
    <row r="1676" spans="1:11" s="24" customFormat="1">
      <c r="A1676" s="40"/>
      <c r="B1676" s="106"/>
      <c r="C1676" s="103"/>
      <c r="D1676" s="41"/>
      <c r="E1676" s="41"/>
      <c r="F1676" s="41"/>
      <c r="G1676" s="25"/>
      <c r="H1676" s="57"/>
      <c r="I1676" s="57"/>
      <c r="K1676" s="28"/>
    </row>
    <row r="1677" spans="1:11" s="24" customFormat="1">
      <c r="A1677" s="40"/>
      <c r="B1677" s="106"/>
      <c r="C1677" s="103"/>
      <c r="D1677" s="41"/>
      <c r="E1677" s="41"/>
      <c r="F1677" s="41"/>
      <c r="G1677" s="25"/>
      <c r="H1677" s="57"/>
      <c r="I1677" s="57"/>
      <c r="K1677" s="28"/>
    </row>
    <row r="1678" spans="1:11" s="24" customFormat="1">
      <c r="A1678" s="40"/>
      <c r="B1678" s="106"/>
      <c r="C1678" s="103"/>
      <c r="D1678" s="41"/>
      <c r="E1678" s="41"/>
      <c r="F1678" s="41"/>
      <c r="G1678" s="25"/>
      <c r="H1678" s="57"/>
      <c r="I1678" s="57"/>
      <c r="K1678" s="28"/>
    </row>
    <row r="1679" spans="1:11" s="24" customFormat="1">
      <c r="A1679" s="40"/>
      <c r="B1679" s="106"/>
      <c r="C1679" s="103"/>
      <c r="D1679" s="41"/>
      <c r="E1679" s="41"/>
      <c r="F1679" s="41"/>
      <c r="G1679" s="25"/>
      <c r="H1679" s="57"/>
      <c r="I1679" s="57"/>
      <c r="K1679" s="28"/>
    </row>
    <row r="1680" spans="1:11" s="24" customFormat="1">
      <c r="A1680" s="40"/>
      <c r="B1680" s="106"/>
      <c r="C1680" s="103"/>
      <c r="D1680" s="41"/>
      <c r="E1680" s="41"/>
      <c r="F1680" s="41"/>
      <c r="G1680" s="25"/>
      <c r="H1680" s="57"/>
      <c r="I1680" s="57"/>
      <c r="K1680" s="28"/>
    </row>
    <row r="1681" spans="1:11" s="24" customFormat="1">
      <c r="A1681" s="40"/>
      <c r="B1681" s="106"/>
      <c r="C1681" s="103"/>
      <c r="D1681" s="41"/>
      <c r="E1681" s="41"/>
      <c r="F1681" s="41"/>
      <c r="G1681" s="25"/>
      <c r="H1681" s="57"/>
      <c r="I1681" s="57"/>
      <c r="K1681" s="28"/>
    </row>
    <row r="1682" spans="1:11" s="24" customFormat="1">
      <c r="A1682" s="40"/>
      <c r="B1682" s="106"/>
      <c r="C1682" s="103"/>
      <c r="D1682" s="41"/>
      <c r="E1682" s="41"/>
      <c r="F1682" s="41"/>
      <c r="G1682" s="25"/>
      <c r="H1682" s="57"/>
      <c r="I1682" s="57"/>
      <c r="K1682" s="28"/>
    </row>
    <row r="1683" spans="1:11" s="24" customFormat="1">
      <c r="A1683" s="40"/>
      <c r="B1683" s="106"/>
      <c r="C1683" s="103"/>
      <c r="D1683" s="41"/>
      <c r="E1683" s="41"/>
      <c r="F1683" s="41"/>
      <c r="G1683" s="25"/>
      <c r="H1683" s="57"/>
      <c r="I1683" s="57"/>
      <c r="K1683" s="28"/>
    </row>
    <row r="1684" spans="1:11" s="24" customFormat="1">
      <c r="A1684" s="40"/>
      <c r="B1684" s="106"/>
      <c r="C1684" s="103"/>
      <c r="D1684" s="41"/>
      <c r="E1684" s="41"/>
      <c r="F1684" s="41"/>
      <c r="G1684" s="25"/>
      <c r="H1684" s="57"/>
      <c r="I1684" s="57"/>
      <c r="K1684" s="28"/>
    </row>
    <row r="1685" spans="1:11" s="24" customFormat="1">
      <c r="A1685" s="40"/>
      <c r="B1685" s="106"/>
      <c r="C1685" s="103"/>
      <c r="D1685" s="41"/>
      <c r="E1685" s="41"/>
      <c r="F1685" s="41"/>
      <c r="G1685" s="25"/>
      <c r="H1685" s="57"/>
      <c r="I1685" s="57"/>
      <c r="K1685" s="28"/>
    </row>
    <row r="1686" spans="1:11" s="24" customFormat="1">
      <c r="A1686" s="40"/>
      <c r="B1686" s="106"/>
      <c r="C1686" s="103"/>
      <c r="D1686" s="41"/>
      <c r="E1686" s="41"/>
      <c r="F1686" s="41"/>
      <c r="G1686" s="25"/>
      <c r="H1686" s="57"/>
      <c r="I1686" s="57"/>
      <c r="K1686" s="28"/>
    </row>
    <row r="1687" spans="1:11" s="24" customFormat="1">
      <c r="A1687" s="40"/>
      <c r="B1687" s="106"/>
      <c r="C1687" s="103"/>
      <c r="D1687" s="41"/>
      <c r="E1687" s="41"/>
      <c r="F1687" s="41"/>
      <c r="G1687" s="25"/>
      <c r="H1687" s="57"/>
      <c r="I1687" s="57"/>
      <c r="K1687" s="28"/>
    </row>
    <row r="1688" spans="1:11" s="24" customFormat="1">
      <c r="A1688" s="40"/>
      <c r="B1688" s="106"/>
      <c r="C1688" s="103"/>
      <c r="D1688" s="41"/>
      <c r="E1688" s="41"/>
      <c r="F1688" s="41"/>
      <c r="G1688" s="25"/>
      <c r="H1688" s="57"/>
      <c r="I1688" s="57"/>
      <c r="K1688" s="28"/>
    </row>
    <row r="1689" spans="1:11" s="24" customFormat="1">
      <c r="A1689" s="40"/>
      <c r="B1689" s="106"/>
      <c r="C1689" s="103"/>
      <c r="D1689" s="41"/>
      <c r="E1689" s="41"/>
      <c r="F1689" s="41"/>
      <c r="G1689" s="25"/>
      <c r="H1689" s="57"/>
      <c r="I1689" s="57"/>
      <c r="K1689" s="28"/>
    </row>
    <row r="1690" spans="1:11" s="24" customFormat="1">
      <c r="A1690" s="40"/>
      <c r="B1690" s="106"/>
      <c r="C1690" s="103"/>
      <c r="D1690" s="41"/>
      <c r="E1690" s="41"/>
      <c r="F1690" s="41"/>
      <c r="G1690" s="25"/>
      <c r="H1690" s="57"/>
      <c r="I1690" s="57"/>
      <c r="K1690" s="28"/>
    </row>
    <row r="1691" spans="1:11" s="24" customFormat="1">
      <c r="A1691" s="40"/>
      <c r="B1691" s="106"/>
      <c r="C1691" s="103"/>
      <c r="D1691" s="41"/>
      <c r="E1691" s="41"/>
      <c r="F1691" s="41"/>
      <c r="G1691" s="25"/>
      <c r="H1691" s="57"/>
      <c r="I1691" s="57"/>
      <c r="K1691" s="28"/>
    </row>
    <row r="1692" spans="1:11" s="24" customFormat="1">
      <c r="A1692" s="40"/>
      <c r="B1692" s="106"/>
      <c r="C1692" s="103"/>
      <c r="D1692" s="41"/>
      <c r="E1692" s="41"/>
      <c r="F1692" s="41"/>
      <c r="G1692" s="25"/>
      <c r="H1692" s="57"/>
      <c r="I1692" s="57"/>
      <c r="K1692" s="28"/>
    </row>
    <row r="1693" spans="1:11" s="24" customFormat="1">
      <c r="A1693" s="40"/>
      <c r="B1693" s="106"/>
      <c r="C1693" s="103"/>
      <c r="D1693" s="41"/>
      <c r="E1693" s="41"/>
      <c r="F1693" s="41"/>
      <c r="G1693" s="25"/>
      <c r="H1693" s="57"/>
      <c r="I1693" s="57"/>
      <c r="K1693" s="28"/>
    </row>
    <row r="1694" spans="1:11" s="24" customFormat="1">
      <c r="A1694" s="40"/>
      <c r="B1694" s="106"/>
      <c r="C1694" s="103"/>
      <c r="D1694" s="41"/>
      <c r="E1694" s="41"/>
      <c r="F1694" s="41"/>
      <c r="G1694" s="25"/>
      <c r="H1694" s="57"/>
      <c r="I1694" s="57"/>
      <c r="K1694" s="28"/>
    </row>
    <row r="1695" spans="1:11" s="24" customFormat="1">
      <c r="A1695" s="40"/>
      <c r="B1695" s="106"/>
      <c r="C1695" s="103"/>
      <c r="D1695" s="41"/>
      <c r="E1695" s="41"/>
      <c r="F1695" s="41"/>
      <c r="G1695" s="25"/>
      <c r="H1695" s="57"/>
      <c r="I1695" s="57"/>
      <c r="K1695" s="28"/>
    </row>
    <row r="1696" spans="1:11" s="24" customFormat="1">
      <c r="A1696" s="40"/>
      <c r="B1696" s="106"/>
      <c r="C1696" s="103"/>
      <c r="D1696" s="41"/>
      <c r="E1696" s="41"/>
      <c r="F1696" s="41"/>
      <c r="G1696" s="25"/>
      <c r="H1696" s="57"/>
      <c r="I1696" s="57"/>
      <c r="K1696" s="28"/>
    </row>
    <row r="1697" spans="1:11" s="24" customFormat="1">
      <c r="A1697" s="40"/>
      <c r="B1697" s="106"/>
      <c r="C1697" s="103"/>
      <c r="D1697" s="41"/>
      <c r="E1697" s="41"/>
      <c r="F1697" s="41"/>
      <c r="G1697" s="25"/>
      <c r="H1697" s="57"/>
      <c r="I1697" s="57"/>
      <c r="K1697" s="28"/>
    </row>
    <row r="1698" spans="1:11" s="24" customFormat="1">
      <c r="A1698" s="40"/>
      <c r="B1698" s="106"/>
      <c r="C1698" s="103"/>
      <c r="D1698" s="41"/>
      <c r="E1698" s="41"/>
      <c r="F1698" s="41"/>
      <c r="G1698" s="25"/>
      <c r="H1698" s="57"/>
      <c r="I1698" s="57"/>
      <c r="K1698" s="28"/>
    </row>
    <row r="1699" spans="1:11" s="24" customFormat="1">
      <c r="A1699" s="40"/>
      <c r="B1699" s="106"/>
      <c r="C1699" s="103"/>
      <c r="D1699" s="41"/>
      <c r="E1699" s="41"/>
      <c r="F1699" s="41"/>
      <c r="G1699" s="25"/>
      <c r="H1699" s="57"/>
      <c r="I1699" s="57"/>
      <c r="K1699" s="28"/>
    </row>
    <row r="1700" spans="1:11" s="24" customFormat="1">
      <c r="A1700" s="40"/>
      <c r="B1700" s="106"/>
      <c r="C1700" s="103"/>
      <c r="D1700" s="41"/>
      <c r="E1700" s="41"/>
      <c r="F1700" s="41"/>
      <c r="G1700" s="25"/>
      <c r="H1700" s="57"/>
      <c r="I1700" s="57"/>
      <c r="K1700" s="28"/>
    </row>
    <row r="1701" spans="1:11" s="24" customFormat="1">
      <c r="A1701" s="40"/>
      <c r="B1701" s="106"/>
      <c r="C1701" s="103"/>
      <c r="D1701" s="41"/>
      <c r="E1701" s="41"/>
      <c r="F1701" s="41"/>
      <c r="G1701" s="25"/>
      <c r="H1701" s="57"/>
      <c r="I1701" s="57"/>
      <c r="K1701" s="28"/>
    </row>
    <row r="1702" spans="1:11" s="24" customFormat="1">
      <c r="A1702" s="40"/>
      <c r="B1702" s="106"/>
      <c r="C1702" s="103"/>
      <c r="D1702" s="41"/>
      <c r="E1702" s="41"/>
      <c r="F1702" s="41"/>
      <c r="G1702" s="25"/>
      <c r="H1702" s="57"/>
      <c r="I1702" s="57"/>
      <c r="K1702" s="28"/>
    </row>
    <row r="1703" spans="1:11" s="24" customFormat="1">
      <c r="A1703" s="40"/>
      <c r="B1703" s="106"/>
      <c r="C1703" s="103"/>
      <c r="D1703" s="41"/>
      <c r="E1703" s="41"/>
      <c r="F1703" s="41"/>
      <c r="G1703" s="25"/>
      <c r="H1703" s="57"/>
      <c r="I1703" s="57"/>
      <c r="K1703" s="28"/>
    </row>
    <row r="1704" spans="1:11" s="24" customFormat="1">
      <c r="A1704" s="40"/>
      <c r="B1704" s="106"/>
      <c r="C1704" s="103"/>
      <c r="D1704" s="41"/>
      <c r="E1704" s="41"/>
      <c r="F1704" s="41"/>
      <c r="G1704" s="25"/>
      <c r="H1704" s="57"/>
      <c r="I1704" s="57"/>
      <c r="K1704" s="28"/>
    </row>
    <row r="1705" spans="1:11" s="24" customFormat="1">
      <c r="A1705" s="40"/>
      <c r="B1705" s="106"/>
      <c r="C1705" s="103"/>
      <c r="D1705" s="41"/>
      <c r="E1705" s="41"/>
      <c r="F1705" s="41"/>
      <c r="G1705" s="25"/>
      <c r="H1705" s="57"/>
      <c r="I1705" s="57"/>
      <c r="K1705" s="28"/>
    </row>
    <row r="1706" spans="1:11" s="24" customFormat="1">
      <c r="A1706" s="40"/>
      <c r="B1706" s="106"/>
      <c r="C1706" s="103"/>
      <c r="D1706" s="41"/>
      <c r="E1706" s="41"/>
      <c r="F1706" s="41"/>
      <c r="G1706" s="25"/>
      <c r="H1706" s="57"/>
      <c r="I1706" s="57"/>
      <c r="K1706" s="28"/>
    </row>
    <row r="1707" spans="1:11" s="24" customFormat="1">
      <c r="A1707" s="40"/>
      <c r="B1707" s="106"/>
      <c r="C1707" s="103"/>
      <c r="D1707" s="41"/>
      <c r="E1707" s="41"/>
      <c r="F1707" s="41"/>
      <c r="G1707" s="25"/>
      <c r="H1707" s="57"/>
      <c r="I1707" s="57"/>
      <c r="K1707" s="28"/>
    </row>
    <row r="1708" spans="1:11" s="24" customFormat="1">
      <c r="A1708" s="40"/>
      <c r="B1708" s="106"/>
      <c r="C1708" s="103"/>
      <c r="D1708" s="41"/>
      <c r="E1708" s="41"/>
      <c r="F1708" s="41"/>
      <c r="G1708" s="25"/>
      <c r="H1708" s="57"/>
      <c r="I1708" s="57"/>
      <c r="K1708" s="28"/>
    </row>
    <row r="1709" spans="1:11" s="24" customFormat="1">
      <c r="A1709" s="40"/>
      <c r="B1709" s="106"/>
      <c r="C1709" s="103"/>
      <c r="D1709" s="41"/>
      <c r="E1709" s="41"/>
      <c r="F1709" s="41"/>
      <c r="G1709" s="25"/>
      <c r="H1709" s="57"/>
      <c r="I1709" s="57"/>
      <c r="K1709" s="28"/>
    </row>
    <row r="1710" spans="1:11" s="24" customFormat="1">
      <c r="A1710" s="40"/>
      <c r="B1710" s="106"/>
      <c r="C1710" s="103"/>
      <c r="D1710" s="41"/>
      <c r="E1710" s="41"/>
      <c r="F1710" s="41"/>
      <c r="G1710" s="25"/>
      <c r="H1710" s="57"/>
      <c r="I1710" s="57"/>
      <c r="K1710" s="28"/>
    </row>
    <row r="1711" spans="1:11" s="24" customFormat="1">
      <c r="A1711" s="40"/>
      <c r="B1711" s="106"/>
      <c r="C1711" s="103"/>
      <c r="D1711" s="41"/>
      <c r="E1711" s="41"/>
      <c r="F1711" s="41"/>
      <c r="G1711" s="25"/>
      <c r="H1711" s="57"/>
      <c r="I1711" s="57"/>
      <c r="K1711" s="28"/>
    </row>
    <row r="1712" spans="1:11" s="24" customFormat="1">
      <c r="A1712" s="40"/>
      <c r="B1712" s="106"/>
      <c r="C1712" s="103"/>
      <c r="D1712" s="41"/>
      <c r="E1712" s="41"/>
      <c r="F1712" s="41"/>
      <c r="G1712" s="25"/>
      <c r="H1712" s="57"/>
      <c r="I1712" s="57"/>
      <c r="K1712" s="28"/>
    </row>
    <row r="1713" spans="1:11" s="24" customFormat="1">
      <c r="A1713" s="40"/>
      <c r="B1713" s="106"/>
      <c r="C1713" s="103"/>
      <c r="D1713" s="41"/>
      <c r="E1713" s="41"/>
      <c r="F1713" s="41"/>
      <c r="G1713" s="25"/>
      <c r="H1713" s="57"/>
      <c r="I1713" s="57"/>
      <c r="K1713" s="28"/>
    </row>
    <row r="1714" spans="1:11" s="24" customFormat="1">
      <c r="A1714" s="40"/>
      <c r="B1714" s="106"/>
      <c r="C1714" s="103"/>
      <c r="D1714" s="41"/>
      <c r="E1714" s="41"/>
      <c r="F1714" s="41"/>
      <c r="G1714" s="25"/>
      <c r="H1714" s="57"/>
      <c r="I1714" s="57"/>
      <c r="K1714" s="28"/>
    </row>
    <row r="1715" spans="1:11" s="24" customFormat="1">
      <c r="A1715" s="40"/>
      <c r="B1715" s="106"/>
      <c r="C1715" s="103"/>
      <c r="D1715" s="41"/>
      <c r="E1715" s="41"/>
      <c r="F1715" s="41"/>
      <c r="G1715" s="25"/>
      <c r="H1715" s="57"/>
      <c r="I1715" s="57"/>
      <c r="K1715" s="28"/>
    </row>
    <row r="1716" spans="1:11" s="24" customFormat="1">
      <c r="A1716" s="40"/>
      <c r="B1716" s="106"/>
      <c r="C1716" s="103"/>
      <c r="D1716" s="41"/>
      <c r="E1716" s="41"/>
      <c r="F1716" s="41"/>
      <c r="G1716" s="25"/>
      <c r="H1716" s="57"/>
      <c r="I1716" s="57"/>
      <c r="K1716" s="28"/>
    </row>
    <row r="1717" spans="1:11" s="24" customFormat="1">
      <c r="A1717" s="40"/>
      <c r="B1717" s="106"/>
      <c r="C1717" s="103"/>
      <c r="D1717" s="41"/>
      <c r="E1717" s="41"/>
      <c r="F1717" s="41"/>
      <c r="G1717" s="25"/>
      <c r="H1717" s="57"/>
      <c r="I1717" s="57"/>
      <c r="K1717" s="28"/>
    </row>
    <row r="1718" spans="1:11" s="24" customFormat="1">
      <c r="A1718" s="40"/>
      <c r="B1718" s="106"/>
      <c r="C1718" s="103"/>
      <c r="D1718" s="41"/>
      <c r="E1718" s="41"/>
      <c r="F1718" s="41"/>
      <c r="G1718" s="25"/>
      <c r="H1718" s="57"/>
      <c r="I1718" s="57"/>
      <c r="K1718" s="28"/>
    </row>
    <row r="1719" spans="1:11" s="24" customFormat="1">
      <c r="A1719" s="40"/>
      <c r="B1719" s="106"/>
      <c r="C1719" s="103"/>
      <c r="D1719" s="41"/>
      <c r="E1719" s="41"/>
      <c r="F1719" s="41"/>
      <c r="G1719" s="25"/>
      <c r="H1719" s="57"/>
      <c r="I1719" s="57"/>
      <c r="K1719" s="28"/>
    </row>
    <row r="1720" spans="1:11" s="24" customFormat="1">
      <c r="A1720" s="40"/>
      <c r="B1720" s="106"/>
      <c r="C1720" s="103"/>
      <c r="D1720" s="41"/>
      <c r="E1720" s="41"/>
      <c r="F1720" s="41"/>
      <c r="G1720" s="25"/>
      <c r="H1720" s="57"/>
      <c r="I1720" s="57"/>
      <c r="K1720" s="28"/>
    </row>
    <row r="1721" spans="1:11" s="24" customFormat="1">
      <c r="A1721" s="40"/>
      <c r="B1721" s="106"/>
      <c r="C1721" s="103"/>
      <c r="D1721" s="41"/>
      <c r="E1721" s="41"/>
      <c r="F1721" s="41"/>
      <c r="G1721" s="25"/>
      <c r="H1721" s="57"/>
      <c r="I1721" s="57"/>
      <c r="K1721" s="28"/>
    </row>
    <row r="1722" spans="1:11" s="24" customFormat="1">
      <c r="A1722" s="40"/>
      <c r="B1722" s="106"/>
      <c r="C1722" s="103"/>
      <c r="D1722" s="41"/>
      <c r="E1722" s="41"/>
      <c r="F1722" s="41"/>
      <c r="G1722" s="25"/>
      <c r="H1722" s="57"/>
      <c r="I1722" s="57"/>
      <c r="K1722" s="28"/>
    </row>
    <row r="1723" spans="1:11" s="24" customFormat="1">
      <c r="A1723" s="40"/>
      <c r="B1723" s="106"/>
      <c r="C1723" s="103"/>
      <c r="D1723" s="41"/>
      <c r="E1723" s="41"/>
      <c r="F1723" s="41"/>
      <c r="G1723" s="25"/>
      <c r="H1723" s="57"/>
      <c r="I1723" s="57"/>
      <c r="K1723" s="28"/>
    </row>
    <row r="1724" spans="1:11" s="24" customFormat="1">
      <c r="A1724" s="40"/>
      <c r="B1724" s="106"/>
      <c r="C1724" s="103"/>
      <c r="D1724" s="41"/>
      <c r="E1724" s="41"/>
      <c r="F1724" s="41"/>
      <c r="G1724" s="25"/>
      <c r="H1724" s="57"/>
      <c r="I1724" s="57"/>
      <c r="K1724" s="28"/>
    </row>
    <row r="1725" spans="1:11" s="24" customFormat="1">
      <c r="A1725" s="40"/>
      <c r="B1725" s="106"/>
      <c r="C1725" s="103"/>
      <c r="D1725" s="41"/>
      <c r="E1725" s="41"/>
      <c r="F1725" s="41"/>
      <c r="G1725" s="25"/>
      <c r="H1725" s="57"/>
      <c r="I1725" s="57"/>
      <c r="K1725" s="28"/>
    </row>
    <row r="1726" spans="1:11" s="24" customFormat="1">
      <c r="A1726" s="40"/>
      <c r="B1726" s="106"/>
      <c r="C1726" s="103"/>
      <c r="D1726" s="41"/>
      <c r="E1726" s="41"/>
      <c r="F1726" s="41"/>
      <c r="G1726" s="25"/>
      <c r="H1726" s="57"/>
      <c r="I1726" s="57"/>
      <c r="K1726" s="28"/>
    </row>
    <row r="1727" spans="1:11" s="24" customFormat="1">
      <c r="A1727" s="40"/>
      <c r="B1727" s="106"/>
      <c r="C1727" s="103"/>
      <c r="D1727" s="41"/>
      <c r="E1727" s="41"/>
      <c r="F1727" s="41"/>
      <c r="G1727" s="25"/>
      <c r="H1727" s="57"/>
      <c r="I1727" s="57"/>
      <c r="K1727" s="28"/>
    </row>
    <row r="1728" spans="1:11" s="24" customFormat="1">
      <c r="A1728" s="40"/>
      <c r="B1728" s="106"/>
      <c r="C1728" s="103"/>
      <c r="D1728" s="41"/>
      <c r="E1728" s="41"/>
      <c r="F1728" s="41"/>
      <c r="G1728" s="25"/>
      <c r="H1728" s="57"/>
      <c r="I1728" s="57"/>
      <c r="K1728" s="28"/>
    </row>
    <row r="1729" spans="1:11" s="24" customFormat="1">
      <c r="A1729" s="40"/>
      <c r="B1729" s="106"/>
      <c r="C1729" s="103"/>
      <c r="D1729" s="41"/>
      <c r="E1729" s="41"/>
      <c r="F1729" s="41"/>
      <c r="G1729" s="25"/>
      <c r="H1729" s="57"/>
      <c r="I1729" s="57"/>
      <c r="K1729" s="28"/>
    </row>
    <row r="1730" spans="1:11" s="24" customFormat="1">
      <c r="A1730" s="40"/>
      <c r="B1730" s="106"/>
      <c r="C1730" s="103"/>
      <c r="D1730" s="41"/>
      <c r="E1730" s="41"/>
      <c r="F1730" s="41"/>
      <c r="G1730" s="25"/>
      <c r="H1730" s="57"/>
      <c r="I1730" s="57"/>
      <c r="K1730" s="28"/>
    </row>
    <row r="1731" spans="1:11" s="24" customFormat="1">
      <c r="A1731" s="40"/>
      <c r="B1731" s="106"/>
      <c r="C1731" s="103"/>
      <c r="D1731" s="41"/>
      <c r="E1731" s="41"/>
      <c r="F1731" s="41"/>
      <c r="G1731" s="25"/>
      <c r="H1731" s="57"/>
      <c r="I1731" s="57"/>
      <c r="K1731" s="28"/>
    </row>
    <row r="1732" spans="1:11" s="24" customFormat="1">
      <c r="A1732" s="40"/>
      <c r="B1732" s="106"/>
      <c r="C1732" s="103"/>
      <c r="D1732" s="41"/>
      <c r="E1732" s="41"/>
      <c r="F1732" s="41"/>
      <c r="G1732" s="25"/>
      <c r="H1732" s="57"/>
      <c r="I1732" s="57"/>
      <c r="K1732" s="28"/>
    </row>
    <row r="1733" spans="1:11" s="24" customFormat="1">
      <c r="A1733" s="40"/>
      <c r="B1733" s="106"/>
      <c r="C1733" s="103"/>
      <c r="D1733" s="41"/>
      <c r="E1733" s="41"/>
      <c r="F1733" s="41"/>
      <c r="G1733" s="25"/>
      <c r="H1733" s="57"/>
      <c r="I1733" s="57"/>
      <c r="K1733" s="28"/>
    </row>
    <row r="1734" spans="1:11" s="24" customFormat="1">
      <c r="A1734" s="40"/>
      <c r="B1734" s="106"/>
      <c r="C1734" s="103"/>
      <c r="D1734" s="41"/>
      <c r="E1734" s="41"/>
      <c r="F1734" s="41"/>
      <c r="G1734" s="25"/>
      <c r="H1734" s="57"/>
      <c r="I1734" s="57"/>
      <c r="K1734" s="28"/>
    </row>
    <row r="1735" spans="1:11" s="24" customFormat="1">
      <c r="A1735" s="40"/>
      <c r="B1735" s="106"/>
      <c r="C1735" s="103"/>
      <c r="D1735" s="41"/>
      <c r="E1735" s="41"/>
      <c r="F1735" s="41"/>
      <c r="G1735" s="25"/>
      <c r="H1735" s="57"/>
      <c r="I1735" s="57"/>
      <c r="K1735" s="28"/>
    </row>
    <row r="1736" spans="1:11" s="24" customFormat="1">
      <c r="A1736" s="40"/>
      <c r="B1736" s="106"/>
      <c r="C1736" s="103"/>
      <c r="D1736" s="41"/>
      <c r="E1736" s="41"/>
      <c r="F1736" s="41"/>
      <c r="G1736" s="25"/>
      <c r="H1736" s="57"/>
      <c r="I1736" s="57"/>
      <c r="K1736" s="28"/>
    </row>
    <row r="1737" spans="1:11" s="24" customFormat="1">
      <c r="A1737" s="40"/>
      <c r="B1737" s="106"/>
      <c r="C1737" s="103"/>
      <c r="D1737" s="41"/>
      <c r="E1737" s="41"/>
      <c r="F1737" s="41"/>
      <c r="G1737" s="25"/>
      <c r="H1737" s="57"/>
      <c r="I1737" s="57"/>
      <c r="K1737" s="28"/>
    </row>
    <row r="1738" spans="1:11" s="24" customFormat="1">
      <c r="A1738" s="40"/>
      <c r="B1738" s="106"/>
      <c r="C1738" s="103"/>
      <c r="D1738" s="41"/>
      <c r="E1738" s="41"/>
      <c r="F1738" s="41"/>
      <c r="G1738" s="25"/>
      <c r="H1738" s="57"/>
      <c r="I1738" s="57"/>
      <c r="K1738" s="28"/>
    </row>
    <row r="1739" spans="1:11" s="24" customFormat="1">
      <c r="A1739" s="40"/>
      <c r="B1739" s="106"/>
      <c r="C1739" s="103"/>
      <c r="D1739" s="41"/>
      <c r="E1739" s="41"/>
      <c r="F1739" s="41"/>
      <c r="G1739" s="25"/>
      <c r="H1739" s="57"/>
      <c r="I1739" s="57"/>
      <c r="K1739" s="28"/>
    </row>
    <row r="1740" spans="1:11" s="24" customFormat="1">
      <c r="A1740" s="40"/>
      <c r="B1740" s="106"/>
      <c r="C1740" s="103"/>
      <c r="D1740" s="41"/>
      <c r="E1740" s="41"/>
      <c r="F1740" s="41"/>
      <c r="G1740" s="25"/>
      <c r="H1740" s="57"/>
      <c r="I1740" s="57"/>
      <c r="K1740" s="28"/>
    </row>
    <row r="1741" spans="1:11" s="24" customFormat="1">
      <c r="A1741" s="40"/>
      <c r="B1741" s="106"/>
      <c r="C1741" s="103"/>
      <c r="D1741" s="41"/>
      <c r="E1741" s="41"/>
      <c r="F1741" s="41"/>
      <c r="G1741" s="25"/>
      <c r="H1741" s="57"/>
      <c r="I1741" s="57"/>
      <c r="K1741" s="28"/>
    </row>
    <row r="1742" spans="1:11" s="24" customFormat="1">
      <c r="A1742" s="40"/>
      <c r="B1742" s="106"/>
      <c r="C1742" s="103"/>
      <c r="D1742" s="41"/>
      <c r="E1742" s="41"/>
      <c r="F1742" s="41"/>
      <c r="G1742" s="25"/>
      <c r="H1742" s="57"/>
      <c r="I1742" s="57"/>
      <c r="K1742" s="28"/>
    </row>
    <row r="1743" spans="1:11" s="24" customFormat="1">
      <c r="A1743" s="40"/>
      <c r="B1743" s="106"/>
      <c r="C1743" s="103"/>
      <c r="D1743" s="41"/>
      <c r="E1743" s="41"/>
      <c r="F1743" s="41"/>
      <c r="G1743" s="25"/>
      <c r="H1743" s="57"/>
      <c r="I1743" s="57"/>
      <c r="K1743" s="28"/>
    </row>
    <row r="1744" spans="1:11" s="24" customFormat="1">
      <c r="A1744" s="40"/>
      <c r="B1744" s="106"/>
      <c r="C1744" s="103"/>
      <c r="D1744" s="41"/>
      <c r="E1744" s="41"/>
      <c r="F1744" s="41"/>
      <c r="G1744" s="25"/>
      <c r="H1744" s="57"/>
      <c r="I1744" s="57"/>
      <c r="K1744" s="28"/>
    </row>
    <row r="1745" spans="1:11" s="24" customFormat="1">
      <c r="A1745" s="40"/>
      <c r="B1745" s="106"/>
      <c r="C1745" s="103"/>
      <c r="D1745" s="41"/>
      <c r="E1745" s="41"/>
      <c r="F1745" s="41"/>
      <c r="G1745" s="25"/>
      <c r="H1745" s="57"/>
      <c r="I1745" s="57"/>
      <c r="K1745" s="28"/>
    </row>
    <row r="1746" spans="1:11" s="24" customFormat="1">
      <c r="A1746" s="40"/>
      <c r="B1746" s="106"/>
      <c r="C1746" s="103"/>
      <c r="D1746" s="41"/>
      <c r="E1746" s="41"/>
      <c r="F1746" s="41"/>
      <c r="G1746" s="25"/>
      <c r="H1746" s="57"/>
      <c r="I1746" s="57"/>
      <c r="K1746" s="28"/>
    </row>
    <row r="1747" spans="1:11" s="24" customFormat="1">
      <c r="A1747" s="40"/>
      <c r="B1747" s="106"/>
      <c r="C1747" s="103"/>
      <c r="D1747" s="41"/>
      <c r="E1747" s="41"/>
      <c r="F1747" s="41"/>
      <c r="G1747" s="25"/>
      <c r="H1747" s="57"/>
      <c r="I1747" s="57"/>
      <c r="K1747" s="28"/>
    </row>
    <row r="1748" spans="1:11" s="24" customFormat="1">
      <c r="A1748" s="40"/>
      <c r="B1748" s="106"/>
      <c r="C1748" s="103"/>
      <c r="D1748" s="41"/>
      <c r="E1748" s="41"/>
      <c r="F1748" s="41"/>
      <c r="G1748" s="25"/>
      <c r="H1748" s="57"/>
      <c r="I1748" s="57"/>
      <c r="K1748" s="28"/>
    </row>
    <row r="1749" spans="1:11" s="24" customFormat="1">
      <c r="A1749" s="40"/>
      <c r="B1749" s="106"/>
      <c r="C1749" s="103"/>
      <c r="D1749" s="41"/>
      <c r="E1749" s="41"/>
      <c r="F1749" s="41"/>
      <c r="G1749" s="25"/>
      <c r="H1749" s="57"/>
      <c r="I1749" s="57"/>
      <c r="K1749" s="28"/>
    </row>
    <row r="1750" spans="1:11" s="24" customFormat="1">
      <c r="A1750" s="40"/>
      <c r="B1750" s="106"/>
      <c r="C1750" s="103"/>
      <c r="D1750" s="41"/>
      <c r="E1750" s="41"/>
      <c r="F1750" s="41"/>
      <c r="G1750" s="25"/>
      <c r="H1750" s="57"/>
      <c r="I1750" s="57"/>
      <c r="K1750" s="28"/>
    </row>
    <row r="1751" spans="1:11" s="24" customFormat="1">
      <c r="A1751" s="40"/>
      <c r="B1751" s="106"/>
      <c r="C1751" s="103"/>
      <c r="D1751" s="41"/>
      <c r="E1751" s="41"/>
      <c r="F1751" s="41"/>
      <c r="G1751" s="25"/>
      <c r="H1751" s="57"/>
      <c r="I1751" s="57"/>
      <c r="K1751" s="28"/>
    </row>
    <row r="1752" spans="1:11" s="24" customFormat="1">
      <c r="A1752" s="40"/>
      <c r="B1752" s="106"/>
      <c r="C1752" s="103"/>
      <c r="D1752" s="41"/>
      <c r="E1752" s="41"/>
      <c r="F1752" s="41"/>
      <c r="G1752" s="25"/>
      <c r="H1752" s="57"/>
      <c r="I1752" s="57"/>
      <c r="K1752" s="28"/>
    </row>
    <row r="1753" spans="1:11" s="24" customFormat="1">
      <c r="A1753" s="40"/>
      <c r="B1753" s="106"/>
      <c r="C1753" s="103"/>
      <c r="D1753" s="41"/>
      <c r="E1753" s="41"/>
      <c r="F1753" s="41"/>
      <c r="G1753" s="25"/>
      <c r="H1753" s="57"/>
      <c r="I1753" s="57"/>
      <c r="K1753" s="28"/>
    </row>
    <row r="1754" spans="1:11" s="24" customFormat="1">
      <c r="A1754" s="40"/>
      <c r="B1754" s="106"/>
      <c r="C1754" s="103"/>
      <c r="D1754" s="41"/>
      <c r="E1754" s="41"/>
      <c r="F1754" s="41"/>
      <c r="G1754" s="25"/>
      <c r="H1754" s="57"/>
      <c r="I1754" s="57"/>
      <c r="K1754" s="28"/>
    </row>
    <row r="1755" spans="1:11" s="24" customFormat="1">
      <c r="A1755" s="40"/>
      <c r="B1755" s="106"/>
      <c r="C1755" s="103"/>
      <c r="D1755" s="41"/>
      <c r="E1755" s="41"/>
      <c r="F1755" s="41"/>
      <c r="G1755" s="25"/>
      <c r="H1755" s="57"/>
      <c r="I1755" s="57"/>
      <c r="K1755" s="28"/>
    </row>
    <row r="1756" spans="1:11" s="24" customFormat="1">
      <c r="A1756" s="40"/>
      <c r="B1756" s="106"/>
      <c r="C1756" s="103"/>
      <c r="D1756" s="41"/>
      <c r="E1756" s="41"/>
      <c r="F1756" s="41"/>
      <c r="G1756" s="25"/>
      <c r="H1756" s="57"/>
      <c r="I1756" s="57"/>
      <c r="K1756" s="28"/>
    </row>
    <row r="1757" spans="1:11" s="24" customFormat="1">
      <c r="A1757" s="40"/>
      <c r="B1757" s="106"/>
      <c r="C1757" s="103"/>
      <c r="D1757" s="41"/>
      <c r="E1757" s="41"/>
      <c r="F1757" s="41"/>
      <c r="G1757" s="25"/>
      <c r="H1757" s="57"/>
      <c r="I1757" s="57"/>
      <c r="K1757" s="28"/>
    </row>
    <row r="1758" spans="1:11" s="24" customFormat="1">
      <c r="A1758" s="40"/>
      <c r="B1758" s="106"/>
      <c r="C1758" s="103"/>
      <c r="D1758" s="41"/>
      <c r="E1758" s="41"/>
      <c r="F1758" s="41"/>
      <c r="G1758" s="25"/>
      <c r="H1758" s="57"/>
      <c r="I1758" s="57"/>
      <c r="K1758" s="28"/>
    </row>
    <row r="1759" spans="1:11" s="24" customFormat="1">
      <c r="A1759" s="40"/>
      <c r="B1759" s="106"/>
      <c r="C1759" s="103"/>
      <c r="D1759" s="41"/>
      <c r="E1759" s="41"/>
      <c r="F1759" s="41"/>
      <c r="G1759" s="25"/>
      <c r="H1759" s="57"/>
      <c r="I1759" s="57"/>
      <c r="K1759" s="28"/>
    </row>
    <row r="1760" spans="1:11" s="24" customFormat="1">
      <c r="A1760" s="40"/>
      <c r="B1760" s="106"/>
      <c r="C1760" s="103"/>
      <c r="D1760" s="41"/>
      <c r="E1760" s="41"/>
      <c r="F1760" s="41"/>
      <c r="G1760" s="25"/>
      <c r="H1760" s="57"/>
      <c r="I1760" s="57"/>
      <c r="K1760" s="28"/>
    </row>
    <row r="1761" spans="1:11" s="24" customFormat="1">
      <c r="A1761" s="40"/>
      <c r="B1761" s="106"/>
      <c r="C1761" s="103"/>
      <c r="D1761" s="41"/>
      <c r="E1761" s="41"/>
      <c r="F1761" s="41"/>
      <c r="G1761" s="25"/>
      <c r="H1761" s="57"/>
      <c r="I1761" s="57"/>
      <c r="K1761" s="28"/>
    </row>
    <row r="1762" spans="1:11" s="24" customFormat="1">
      <c r="A1762" s="40"/>
      <c r="B1762" s="106"/>
      <c r="C1762" s="103"/>
      <c r="D1762" s="41"/>
      <c r="E1762" s="41"/>
      <c r="F1762" s="41"/>
      <c r="G1762" s="25"/>
      <c r="H1762" s="57"/>
      <c r="I1762" s="57"/>
      <c r="K1762" s="28"/>
    </row>
    <row r="1763" spans="1:11" s="24" customFormat="1">
      <c r="A1763" s="40"/>
      <c r="B1763" s="106"/>
      <c r="C1763" s="103"/>
      <c r="D1763" s="41"/>
      <c r="E1763" s="41"/>
      <c r="F1763" s="41"/>
      <c r="G1763" s="25"/>
      <c r="H1763" s="57"/>
      <c r="I1763" s="57"/>
      <c r="K1763" s="28"/>
    </row>
    <row r="1764" spans="1:11" s="24" customFormat="1">
      <c r="A1764" s="40"/>
      <c r="B1764" s="106"/>
      <c r="C1764" s="103"/>
      <c r="D1764" s="41"/>
      <c r="E1764" s="41"/>
      <c r="F1764" s="41"/>
      <c r="G1764" s="25"/>
      <c r="H1764" s="57"/>
      <c r="I1764" s="57"/>
      <c r="K1764" s="28"/>
    </row>
    <row r="1765" spans="1:11" s="24" customFormat="1">
      <c r="A1765" s="40"/>
      <c r="B1765" s="106"/>
      <c r="C1765" s="103"/>
      <c r="D1765" s="41"/>
      <c r="E1765" s="41"/>
      <c r="F1765" s="41"/>
      <c r="G1765" s="25"/>
      <c r="H1765" s="57"/>
      <c r="I1765" s="57"/>
      <c r="K1765" s="28"/>
    </row>
    <row r="1766" spans="1:11" s="24" customFormat="1">
      <c r="A1766" s="40"/>
      <c r="B1766" s="106"/>
      <c r="C1766" s="103"/>
      <c r="D1766" s="41"/>
      <c r="E1766" s="41"/>
      <c r="F1766" s="41"/>
      <c r="G1766" s="25"/>
      <c r="H1766" s="57"/>
      <c r="I1766" s="57"/>
      <c r="K1766" s="28"/>
    </row>
    <row r="1767" spans="1:11" s="24" customFormat="1">
      <c r="A1767" s="40"/>
      <c r="B1767" s="106"/>
      <c r="C1767" s="103"/>
      <c r="D1767" s="41"/>
      <c r="E1767" s="41"/>
      <c r="F1767" s="41"/>
      <c r="G1767" s="25"/>
      <c r="H1767" s="57"/>
      <c r="I1767" s="57"/>
      <c r="K1767" s="28"/>
    </row>
    <row r="1768" spans="1:11" s="24" customFormat="1">
      <c r="A1768" s="40"/>
      <c r="B1768" s="106"/>
      <c r="C1768" s="103"/>
      <c r="D1768" s="41"/>
      <c r="E1768" s="41"/>
      <c r="F1768" s="41"/>
      <c r="G1768" s="25"/>
      <c r="H1768" s="57"/>
      <c r="I1768" s="57"/>
      <c r="K1768" s="28"/>
    </row>
    <row r="1769" spans="1:11" s="24" customFormat="1">
      <c r="A1769" s="40"/>
      <c r="B1769" s="106"/>
      <c r="C1769" s="103"/>
      <c r="D1769" s="41"/>
      <c r="E1769" s="41"/>
      <c r="F1769" s="41"/>
      <c r="G1769" s="25"/>
      <c r="H1769" s="57"/>
      <c r="I1769" s="57"/>
      <c r="K1769" s="28"/>
    </row>
    <row r="1770" spans="1:11" s="24" customFormat="1">
      <c r="A1770" s="40"/>
      <c r="B1770" s="106"/>
      <c r="C1770" s="103"/>
      <c r="D1770" s="41"/>
      <c r="E1770" s="41"/>
      <c r="F1770" s="41"/>
      <c r="G1770" s="25"/>
      <c r="H1770" s="57"/>
      <c r="I1770" s="57"/>
      <c r="K1770" s="28"/>
    </row>
    <row r="1771" spans="1:11" s="24" customFormat="1">
      <c r="A1771" s="40"/>
      <c r="B1771" s="106"/>
      <c r="C1771" s="103"/>
      <c r="D1771" s="41"/>
      <c r="E1771" s="41"/>
      <c r="F1771" s="41"/>
      <c r="G1771" s="25"/>
      <c r="H1771" s="57"/>
      <c r="I1771" s="57"/>
      <c r="K1771" s="28"/>
    </row>
    <row r="1772" spans="1:11" s="24" customFormat="1">
      <c r="A1772" s="40"/>
      <c r="B1772" s="106"/>
      <c r="C1772" s="103"/>
      <c r="D1772" s="41"/>
      <c r="E1772" s="41"/>
      <c r="F1772" s="41"/>
      <c r="G1772" s="25"/>
      <c r="H1772" s="57"/>
      <c r="I1772" s="57"/>
      <c r="K1772" s="28"/>
    </row>
    <row r="1773" spans="1:11" s="24" customFormat="1">
      <c r="A1773" s="40"/>
      <c r="B1773" s="106"/>
      <c r="C1773" s="103"/>
      <c r="D1773" s="41"/>
      <c r="E1773" s="41"/>
      <c r="F1773" s="41"/>
      <c r="G1773" s="25"/>
      <c r="H1773" s="57"/>
      <c r="I1773" s="57"/>
      <c r="K1773" s="28"/>
    </row>
    <row r="1774" spans="1:11" s="24" customFormat="1">
      <c r="A1774" s="40"/>
      <c r="B1774" s="106"/>
      <c r="C1774" s="103"/>
      <c r="D1774" s="41"/>
      <c r="E1774" s="41"/>
      <c r="F1774" s="41"/>
      <c r="G1774" s="25"/>
      <c r="H1774" s="57"/>
      <c r="I1774" s="57"/>
      <c r="K1774" s="28"/>
    </row>
    <row r="1775" spans="1:11" s="24" customFormat="1">
      <c r="A1775" s="40"/>
      <c r="B1775" s="106"/>
      <c r="C1775" s="103"/>
      <c r="D1775" s="41"/>
      <c r="E1775" s="41"/>
      <c r="F1775" s="41"/>
      <c r="G1775" s="25"/>
      <c r="H1775" s="57"/>
      <c r="I1775" s="57"/>
      <c r="K1775" s="28"/>
    </row>
    <row r="1776" spans="1:11" s="24" customFormat="1">
      <c r="A1776" s="40"/>
      <c r="B1776" s="106"/>
      <c r="C1776" s="103"/>
      <c r="D1776" s="41"/>
      <c r="E1776" s="41"/>
      <c r="F1776" s="41"/>
      <c r="G1776" s="25"/>
      <c r="H1776" s="57"/>
      <c r="I1776" s="57"/>
      <c r="K1776" s="28"/>
    </row>
    <row r="1777" spans="1:11" s="24" customFormat="1">
      <c r="A1777" s="40"/>
      <c r="B1777" s="106"/>
      <c r="C1777" s="103"/>
      <c r="D1777" s="41"/>
      <c r="E1777" s="41"/>
      <c r="F1777" s="41"/>
      <c r="G1777" s="25"/>
      <c r="H1777" s="57"/>
      <c r="I1777" s="57"/>
      <c r="K1777" s="28"/>
    </row>
    <row r="1778" spans="1:11" s="24" customFormat="1">
      <c r="A1778" s="40"/>
      <c r="B1778" s="106"/>
      <c r="C1778" s="103"/>
      <c r="D1778" s="41"/>
      <c r="E1778" s="41"/>
      <c r="F1778" s="41"/>
      <c r="G1778" s="25"/>
      <c r="H1778" s="57"/>
      <c r="I1778" s="57"/>
      <c r="K1778" s="28"/>
    </row>
    <row r="1779" spans="1:11" s="24" customFormat="1">
      <c r="A1779" s="40"/>
      <c r="B1779" s="106"/>
      <c r="C1779" s="103"/>
      <c r="D1779" s="41"/>
      <c r="E1779" s="41"/>
      <c r="F1779" s="41"/>
      <c r="G1779" s="25"/>
      <c r="H1779" s="57"/>
      <c r="I1779" s="57"/>
      <c r="K1779" s="28"/>
    </row>
    <row r="1780" spans="1:11" s="24" customFormat="1">
      <c r="A1780" s="40"/>
      <c r="B1780" s="106"/>
      <c r="C1780" s="103"/>
      <c r="D1780" s="41"/>
      <c r="E1780" s="41"/>
      <c r="F1780" s="41"/>
      <c r="G1780" s="25"/>
      <c r="H1780" s="57"/>
      <c r="I1780" s="57"/>
      <c r="K1780" s="28"/>
    </row>
    <row r="1781" spans="1:11" s="24" customFormat="1">
      <c r="A1781" s="40"/>
      <c r="B1781" s="106"/>
      <c r="C1781" s="103"/>
      <c r="D1781" s="41"/>
      <c r="E1781" s="41"/>
      <c r="F1781" s="41"/>
      <c r="G1781" s="25"/>
      <c r="H1781" s="57"/>
      <c r="I1781" s="57"/>
      <c r="K1781" s="28"/>
    </row>
    <row r="1782" spans="1:11" s="24" customFormat="1">
      <c r="A1782" s="40"/>
      <c r="B1782" s="106"/>
      <c r="C1782" s="103"/>
      <c r="D1782" s="41"/>
      <c r="E1782" s="41"/>
      <c r="F1782" s="41"/>
      <c r="G1782" s="25"/>
      <c r="H1782" s="57"/>
      <c r="I1782" s="57"/>
      <c r="K1782" s="28"/>
    </row>
    <row r="1783" spans="1:11" s="24" customFormat="1">
      <c r="A1783" s="40"/>
      <c r="B1783" s="106"/>
      <c r="C1783" s="103"/>
      <c r="D1783" s="41"/>
      <c r="E1783" s="41"/>
      <c r="F1783" s="41"/>
      <c r="G1783" s="25"/>
      <c r="H1783" s="57"/>
      <c r="I1783" s="57"/>
      <c r="K1783" s="28"/>
    </row>
    <row r="1784" spans="1:11" s="24" customFormat="1">
      <c r="A1784" s="40"/>
      <c r="B1784" s="106"/>
      <c r="C1784" s="103"/>
      <c r="D1784" s="41"/>
      <c r="E1784" s="41"/>
      <c r="F1784" s="41"/>
      <c r="G1784" s="25"/>
      <c r="H1784" s="57"/>
      <c r="I1784" s="57"/>
      <c r="K1784" s="28"/>
    </row>
    <row r="1785" spans="1:11" s="24" customFormat="1">
      <c r="A1785" s="40"/>
      <c r="B1785" s="106"/>
      <c r="C1785" s="103"/>
      <c r="D1785" s="41"/>
      <c r="E1785" s="41"/>
      <c r="F1785" s="41"/>
      <c r="G1785" s="25"/>
      <c r="H1785" s="57"/>
      <c r="I1785" s="57"/>
      <c r="K1785" s="28"/>
    </row>
    <row r="1786" spans="1:11" s="24" customFormat="1">
      <c r="A1786" s="40"/>
      <c r="B1786" s="106"/>
      <c r="C1786" s="103"/>
      <c r="D1786" s="41"/>
      <c r="E1786" s="41"/>
      <c r="F1786" s="41"/>
      <c r="G1786" s="25"/>
      <c r="H1786" s="57"/>
      <c r="I1786" s="57"/>
      <c r="K1786" s="28"/>
    </row>
    <row r="1787" spans="1:11" s="24" customFormat="1">
      <c r="A1787" s="40"/>
      <c r="B1787" s="106"/>
      <c r="C1787" s="103"/>
      <c r="D1787" s="41"/>
      <c r="E1787" s="41"/>
      <c r="F1787" s="41"/>
      <c r="G1787" s="25"/>
      <c r="H1787" s="57"/>
      <c r="I1787" s="57"/>
      <c r="K1787" s="28"/>
    </row>
    <row r="1788" spans="1:11" s="24" customFormat="1">
      <c r="A1788" s="40"/>
      <c r="B1788" s="106"/>
      <c r="C1788" s="103"/>
      <c r="D1788" s="41"/>
      <c r="E1788" s="41"/>
      <c r="F1788" s="41"/>
      <c r="G1788" s="25"/>
      <c r="H1788" s="57"/>
      <c r="I1788" s="57"/>
      <c r="K1788" s="28"/>
    </row>
    <row r="1789" spans="1:11" s="24" customFormat="1">
      <c r="A1789" s="40"/>
      <c r="B1789" s="106"/>
      <c r="C1789" s="103"/>
      <c r="D1789" s="41"/>
      <c r="E1789" s="41"/>
      <c r="F1789" s="41"/>
      <c r="G1789" s="25"/>
      <c r="H1789" s="57"/>
      <c r="I1789" s="57"/>
      <c r="K1789" s="28"/>
    </row>
    <row r="1790" spans="1:11" s="24" customFormat="1">
      <c r="A1790" s="40"/>
      <c r="B1790" s="106"/>
      <c r="C1790" s="103"/>
      <c r="D1790" s="41"/>
      <c r="E1790" s="41"/>
      <c r="F1790" s="41"/>
      <c r="G1790" s="25"/>
      <c r="H1790" s="57"/>
      <c r="I1790" s="57"/>
      <c r="K1790" s="28"/>
    </row>
    <row r="1791" spans="1:11" s="24" customFormat="1">
      <c r="A1791" s="40"/>
      <c r="B1791" s="106"/>
      <c r="C1791" s="103"/>
      <c r="D1791" s="41"/>
      <c r="E1791" s="41"/>
      <c r="F1791" s="41"/>
      <c r="G1791" s="25"/>
      <c r="H1791" s="57"/>
      <c r="I1791" s="57"/>
      <c r="K1791" s="28"/>
    </row>
    <row r="1792" spans="1:11" s="24" customFormat="1">
      <c r="A1792" s="40"/>
      <c r="B1792" s="106"/>
      <c r="C1792" s="103"/>
      <c r="D1792" s="41"/>
      <c r="E1792" s="41"/>
      <c r="F1792" s="41"/>
      <c r="G1792" s="25"/>
      <c r="H1792" s="57"/>
      <c r="I1792" s="57"/>
      <c r="K1792" s="28"/>
    </row>
    <row r="1793" spans="1:11" s="24" customFormat="1">
      <c r="A1793" s="40"/>
      <c r="B1793" s="106"/>
      <c r="C1793" s="103"/>
      <c r="D1793" s="41"/>
      <c r="E1793" s="41"/>
      <c r="F1793" s="41"/>
      <c r="G1793" s="25"/>
      <c r="H1793" s="57"/>
      <c r="I1793" s="57"/>
      <c r="K1793" s="28"/>
    </row>
    <row r="1794" spans="1:11" s="24" customFormat="1">
      <c r="A1794" s="40"/>
      <c r="B1794" s="106"/>
      <c r="C1794" s="103"/>
      <c r="D1794" s="41"/>
      <c r="E1794" s="41"/>
      <c r="F1794" s="41"/>
      <c r="G1794" s="25"/>
      <c r="H1794" s="57"/>
      <c r="I1794" s="57"/>
      <c r="K1794" s="28"/>
    </row>
    <row r="1795" spans="1:11" s="24" customFormat="1">
      <c r="A1795" s="40"/>
      <c r="B1795" s="106"/>
      <c r="C1795" s="103"/>
      <c r="D1795" s="41"/>
      <c r="E1795" s="41"/>
      <c r="F1795" s="41"/>
      <c r="G1795" s="25"/>
      <c r="H1795" s="57"/>
      <c r="I1795" s="57"/>
      <c r="K1795" s="28"/>
    </row>
    <row r="1796" spans="1:11" s="24" customFormat="1">
      <c r="A1796" s="40"/>
      <c r="B1796" s="106"/>
      <c r="C1796" s="103"/>
      <c r="D1796" s="41"/>
      <c r="E1796" s="41"/>
      <c r="F1796" s="41"/>
      <c r="G1796" s="25"/>
      <c r="H1796" s="57"/>
      <c r="I1796" s="57"/>
      <c r="K1796" s="28"/>
    </row>
    <row r="1797" spans="1:11" s="24" customFormat="1">
      <c r="A1797" s="40"/>
      <c r="B1797" s="106"/>
      <c r="C1797" s="103"/>
      <c r="D1797" s="41"/>
      <c r="E1797" s="41"/>
      <c r="F1797" s="41"/>
      <c r="G1797" s="25"/>
      <c r="H1797" s="57"/>
      <c r="I1797" s="57"/>
      <c r="K1797" s="28"/>
    </row>
    <row r="1798" spans="1:11" s="24" customFormat="1">
      <c r="A1798" s="40"/>
      <c r="B1798" s="106"/>
      <c r="C1798" s="103"/>
      <c r="D1798" s="41"/>
      <c r="E1798" s="41"/>
      <c r="F1798" s="41"/>
      <c r="G1798" s="25"/>
      <c r="H1798" s="57"/>
      <c r="I1798" s="57"/>
      <c r="K1798" s="28"/>
    </row>
    <row r="1799" spans="1:11" s="24" customFormat="1">
      <c r="A1799" s="40"/>
      <c r="B1799" s="106"/>
      <c r="C1799" s="103"/>
      <c r="D1799" s="41"/>
      <c r="E1799" s="41"/>
      <c r="F1799" s="41"/>
      <c r="G1799" s="25"/>
      <c r="H1799" s="57"/>
      <c r="I1799" s="57"/>
      <c r="K1799" s="28"/>
    </row>
    <row r="1800" spans="1:11" s="24" customFormat="1">
      <c r="A1800" s="40"/>
      <c r="B1800" s="106"/>
      <c r="C1800" s="103"/>
      <c r="D1800" s="41"/>
      <c r="E1800" s="41"/>
      <c r="F1800" s="41"/>
      <c r="G1800" s="25"/>
      <c r="H1800" s="57"/>
      <c r="I1800" s="57"/>
      <c r="K1800" s="28"/>
    </row>
    <row r="1801" spans="1:11" s="24" customFormat="1">
      <c r="A1801" s="40"/>
      <c r="B1801" s="106"/>
      <c r="C1801" s="103"/>
      <c r="D1801" s="41"/>
      <c r="E1801" s="41"/>
      <c r="F1801" s="41"/>
      <c r="G1801" s="25"/>
      <c r="H1801" s="57"/>
      <c r="I1801" s="57"/>
      <c r="K1801" s="28"/>
    </row>
    <row r="1802" spans="1:11" s="24" customFormat="1">
      <c r="A1802" s="40"/>
      <c r="B1802" s="106"/>
      <c r="C1802" s="103"/>
      <c r="D1802" s="41"/>
      <c r="E1802" s="41"/>
      <c r="F1802" s="41"/>
      <c r="G1802" s="25"/>
      <c r="H1802" s="57"/>
      <c r="I1802" s="57"/>
      <c r="K1802" s="28"/>
    </row>
    <row r="1803" spans="1:11" s="24" customFormat="1">
      <c r="A1803" s="40"/>
      <c r="B1803" s="106"/>
      <c r="C1803" s="103"/>
      <c r="D1803" s="41"/>
      <c r="E1803" s="41"/>
      <c r="F1803" s="41"/>
      <c r="G1803" s="25"/>
      <c r="H1803" s="57"/>
      <c r="I1803" s="57"/>
      <c r="K1803" s="28"/>
    </row>
    <row r="1804" spans="1:11" s="24" customFormat="1">
      <c r="A1804" s="40"/>
      <c r="B1804" s="106"/>
      <c r="C1804" s="103"/>
      <c r="D1804" s="41"/>
      <c r="E1804" s="41"/>
      <c r="F1804" s="41"/>
      <c r="G1804" s="25"/>
      <c r="H1804" s="57"/>
      <c r="I1804" s="57"/>
      <c r="K1804" s="28"/>
    </row>
    <row r="1805" spans="1:11" s="24" customFormat="1">
      <c r="A1805" s="40"/>
      <c r="B1805" s="106"/>
      <c r="C1805" s="103"/>
      <c r="D1805" s="41"/>
      <c r="E1805" s="41"/>
      <c r="F1805" s="41"/>
      <c r="G1805" s="25"/>
      <c r="H1805" s="57"/>
      <c r="I1805" s="57"/>
      <c r="K1805" s="28"/>
    </row>
    <row r="1806" spans="1:11" s="24" customFormat="1">
      <c r="A1806" s="40"/>
      <c r="B1806" s="106"/>
      <c r="C1806" s="103"/>
      <c r="D1806" s="41"/>
      <c r="E1806" s="41"/>
      <c r="F1806" s="41"/>
      <c r="G1806" s="25"/>
      <c r="H1806" s="57"/>
      <c r="I1806" s="57"/>
      <c r="K1806" s="28"/>
    </row>
    <row r="1807" spans="1:11" s="24" customFormat="1">
      <c r="A1807" s="40"/>
      <c r="B1807" s="106"/>
      <c r="C1807" s="103"/>
      <c r="D1807" s="41"/>
      <c r="E1807" s="41"/>
      <c r="F1807" s="41"/>
      <c r="G1807" s="25"/>
      <c r="H1807" s="57"/>
      <c r="I1807" s="57"/>
      <c r="K1807" s="28"/>
    </row>
    <row r="1808" spans="1:11" s="24" customFormat="1">
      <c r="A1808" s="40"/>
      <c r="B1808" s="106"/>
      <c r="C1808" s="103"/>
      <c r="D1808" s="41"/>
      <c r="E1808" s="41"/>
      <c r="F1808" s="41"/>
      <c r="G1808" s="25"/>
      <c r="H1808" s="57"/>
      <c r="I1808" s="57"/>
      <c r="K1808" s="28"/>
    </row>
    <row r="1809" spans="1:11" s="24" customFormat="1">
      <c r="A1809" s="40"/>
      <c r="B1809" s="106"/>
      <c r="C1809" s="103"/>
      <c r="D1809" s="41"/>
      <c r="E1809" s="41"/>
      <c r="F1809" s="41"/>
      <c r="G1809" s="25"/>
      <c r="H1809" s="57"/>
      <c r="I1809" s="57"/>
      <c r="K1809" s="28"/>
    </row>
    <row r="1810" spans="1:11" s="24" customFormat="1">
      <c r="A1810" s="40"/>
      <c r="B1810" s="106"/>
      <c r="C1810" s="103"/>
      <c r="D1810" s="41"/>
      <c r="E1810" s="41"/>
      <c r="F1810" s="41"/>
      <c r="G1810" s="25"/>
      <c r="H1810" s="57"/>
      <c r="I1810" s="57"/>
      <c r="K1810" s="28"/>
    </row>
    <row r="1811" spans="1:11" s="24" customFormat="1">
      <c r="A1811" s="40"/>
      <c r="B1811" s="106"/>
      <c r="C1811" s="103"/>
      <c r="D1811" s="41"/>
      <c r="E1811" s="41"/>
      <c r="F1811" s="41"/>
      <c r="G1811" s="25"/>
      <c r="H1811" s="57"/>
      <c r="I1811" s="57"/>
      <c r="K1811" s="28"/>
    </row>
    <row r="1812" spans="1:11" s="24" customFormat="1">
      <c r="A1812" s="40"/>
      <c r="B1812" s="106"/>
      <c r="C1812" s="103"/>
      <c r="D1812" s="41"/>
      <c r="E1812" s="41"/>
      <c r="F1812" s="41"/>
      <c r="G1812" s="25"/>
      <c r="H1812" s="57"/>
      <c r="I1812" s="57"/>
      <c r="K1812" s="28"/>
    </row>
    <row r="1813" spans="1:11" s="24" customFormat="1">
      <c r="A1813" s="40"/>
      <c r="B1813" s="106"/>
      <c r="C1813" s="103"/>
      <c r="D1813" s="41"/>
      <c r="E1813" s="41"/>
      <c r="F1813" s="41"/>
      <c r="G1813" s="25"/>
      <c r="H1813" s="57"/>
      <c r="I1813" s="57"/>
      <c r="K1813" s="28"/>
    </row>
    <row r="1814" spans="1:11" s="24" customFormat="1">
      <c r="A1814" s="40"/>
      <c r="B1814" s="106"/>
      <c r="C1814" s="103"/>
      <c r="D1814" s="41"/>
      <c r="E1814" s="41"/>
      <c r="F1814" s="41"/>
      <c r="G1814" s="25"/>
      <c r="H1814" s="57"/>
      <c r="I1814" s="57"/>
      <c r="K1814" s="28"/>
    </row>
    <row r="1815" spans="1:11" s="24" customFormat="1">
      <c r="A1815" s="40"/>
      <c r="B1815" s="106"/>
      <c r="C1815" s="103"/>
      <c r="D1815" s="41"/>
      <c r="E1815" s="41"/>
      <c r="F1815" s="41"/>
      <c r="G1815" s="25"/>
      <c r="H1815" s="57"/>
      <c r="I1815" s="57"/>
      <c r="K1815" s="28"/>
    </row>
    <row r="1816" spans="1:11" s="24" customFormat="1">
      <c r="A1816" s="40"/>
      <c r="B1816" s="106"/>
      <c r="C1816" s="103"/>
      <c r="D1816" s="41"/>
      <c r="E1816" s="41"/>
      <c r="F1816" s="41"/>
      <c r="G1816" s="25"/>
      <c r="H1816" s="57"/>
      <c r="I1816" s="57"/>
      <c r="K1816" s="28"/>
    </row>
    <row r="1817" spans="1:11" s="24" customFormat="1">
      <c r="A1817" s="40"/>
      <c r="B1817" s="106"/>
      <c r="C1817" s="103"/>
      <c r="D1817" s="41"/>
      <c r="E1817" s="41"/>
      <c r="F1817" s="41"/>
      <c r="G1817" s="25"/>
      <c r="H1817" s="57"/>
      <c r="I1817" s="57"/>
      <c r="K1817" s="28"/>
    </row>
    <row r="1818" spans="1:11" s="24" customFormat="1">
      <c r="A1818" s="40"/>
      <c r="B1818" s="106"/>
      <c r="C1818" s="103"/>
      <c r="D1818" s="41"/>
      <c r="E1818" s="41"/>
      <c r="F1818" s="41"/>
      <c r="G1818" s="25"/>
      <c r="H1818" s="57"/>
      <c r="I1818" s="57"/>
      <c r="K1818" s="28"/>
    </row>
    <row r="1819" spans="1:11" s="24" customFormat="1">
      <c r="A1819" s="40"/>
      <c r="B1819" s="106"/>
      <c r="C1819" s="103"/>
      <c r="D1819" s="41"/>
      <c r="E1819" s="41"/>
      <c r="F1819" s="41"/>
      <c r="G1819" s="25"/>
      <c r="H1819" s="57"/>
      <c r="I1819" s="57"/>
      <c r="K1819" s="28"/>
    </row>
    <row r="1820" spans="1:11" s="24" customFormat="1">
      <c r="A1820" s="40"/>
      <c r="B1820" s="106"/>
      <c r="C1820" s="103"/>
      <c r="D1820" s="41"/>
      <c r="E1820" s="41"/>
      <c r="F1820" s="41"/>
      <c r="G1820" s="25"/>
      <c r="H1820" s="57"/>
      <c r="I1820" s="57"/>
      <c r="K1820" s="28"/>
    </row>
    <row r="1821" spans="1:11" s="24" customFormat="1">
      <c r="A1821" s="40"/>
      <c r="B1821" s="106"/>
      <c r="C1821" s="103"/>
      <c r="D1821" s="41"/>
      <c r="E1821" s="41"/>
      <c r="F1821" s="41"/>
      <c r="G1821" s="25"/>
      <c r="H1821" s="57"/>
      <c r="I1821" s="57"/>
      <c r="K1821" s="28"/>
    </row>
    <row r="1822" spans="1:11" s="24" customFormat="1">
      <c r="A1822" s="40"/>
      <c r="B1822" s="106"/>
      <c r="C1822" s="103"/>
      <c r="D1822" s="41"/>
      <c r="E1822" s="41"/>
      <c r="F1822" s="41"/>
      <c r="G1822" s="25"/>
      <c r="H1822" s="57"/>
      <c r="I1822" s="57"/>
      <c r="K1822" s="28"/>
    </row>
    <row r="1823" spans="1:11" s="24" customFormat="1">
      <c r="A1823" s="40"/>
      <c r="B1823" s="106"/>
      <c r="C1823" s="103"/>
      <c r="D1823" s="41"/>
      <c r="E1823" s="41"/>
      <c r="F1823" s="41"/>
      <c r="G1823" s="25"/>
      <c r="H1823" s="57"/>
      <c r="I1823" s="57"/>
      <c r="K1823" s="28"/>
    </row>
    <row r="1824" spans="1:11" s="24" customFormat="1">
      <c r="A1824" s="40"/>
      <c r="B1824" s="106"/>
      <c r="C1824" s="103"/>
      <c r="D1824" s="41"/>
      <c r="E1824" s="41"/>
      <c r="F1824" s="41"/>
      <c r="G1824" s="25"/>
      <c r="H1824" s="57"/>
      <c r="I1824" s="57"/>
      <c r="K1824" s="28"/>
    </row>
    <row r="1825" spans="1:11" s="24" customFormat="1">
      <c r="A1825" s="40"/>
      <c r="B1825" s="106"/>
      <c r="C1825" s="103"/>
      <c r="D1825" s="41"/>
      <c r="E1825" s="41"/>
      <c r="F1825" s="41"/>
      <c r="G1825" s="25"/>
      <c r="H1825" s="57"/>
      <c r="I1825" s="57"/>
      <c r="K1825" s="28"/>
    </row>
    <row r="1826" spans="1:11" s="24" customFormat="1">
      <c r="A1826" s="40"/>
      <c r="B1826" s="106"/>
      <c r="C1826" s="103"/>
      <c r="D1826" s="41"/>
      <c r="E1826" s="41"/>
      <c r="F1826" s="41"/>
      <c r="G1826" s="25"/>
      <c r="H1826" s="57"/>
      <c r="I1826" s="57"/>
      <c r="K1826" s="28"/>
    </row>
    <row r="1827" spans="1:11" s="24" customFormat="1">
      <c r="A1827" s="40"/>
      <c r="B1827" s="106"/>
      <c r="C1827" s="103"/>
      <c r="D1827" s="41"/>
      <c r="E1827" s="41"/>
      <c r="F1827" s="41"/>
      <c r="G1827" s="25"/>
      <c r="H1827" s="57"/>
      <c r="I1827" s="57"/>
      <c r="K1827" s="28"/>
    </row>
    <row r="1828" spans="1:11" s="24" customFormat="1">
      <c r="A1828" s="40"/>
      <c r="B1828" s="106"/>
      <c r="C1828" s="103"/>
      <c r="D1828" s="41"/>
      <c r="E1828" s="41"/>
      <c r="F1828" s="41"/>
      <c r="G1828" s="25"/>
      <c r="H1828" s="57"/>
      <c r="I1828" s="57"/>
      <c r="K1828" s="28"/>
    </row>
    <row r="1829" spans="1:11" s="24" customFormat="1">
      <c r="A1829" s="40"/>
      <c r="B1829" s="106"/>
      <c r="C1829" s="103"/>
      <c r="D1829" s="41"/>
      <c r="E1829" s="41"/>
      <c r="F1829" s="41"/>
      <c r="G1829" s="25"/>
      <c r="H1829" s="57"/>
      <c r="I1829" s="57"/>
      <c r="K1829" s="28"/>
    </row>
    <row r="1830" spans="1:11" s="24" customFormat="1">
      <c r="A1830" s="40"/>
      <c r="B1830" s="106"/>
      <c r="C1830" s="103"/>
      <c r="D1830" s="41"/>
      <c r="E1830" s="41"/>
      <c r="F1830" s="41"/>
      <c r="G1830" s="25"/>
      <c r="H1830" s="57"/>
      <c r="I1830" s="57"/>
      <c r="K1830" s="28"/>
    </row>
    <row r="1831" spans="1:11" s="24" customFormat="1">
      <c r="A1831" s="40"/>
      <c r="B1831" s="106"/>
      <c r="C1831" s="103"/>
      <c r="D1831" s="41"/>
      <c r="E1831" s="41"/>
      <c r="F1831" s="41"/>
      <c r="G1831" s="25"/>
      <c r="H1831" s="57"/>
      <c r="I1831" s="57"/>
      <c r="K1831" s="28"/>
    </row>
    <row r="1832" spans="1:11" s="24" customFormat="1">
      <c r="A1832" s="40"/>
      <c r="B1832" s="106"/>
      <c r="C1832" s="103"/>
      <c r="D1832" s="41"/>
      <c r="E1832" s="41"/>
      <c r="F1832" s="41"/>
      <c r="G1832" s="25"/>
      <c r="H1832" s="57"/>
      <c r="I1832" s="57"/>
      <c r="K1832" s="28"/>
    </row>
    <row r="1833" spans="1:11" s="24" customFormat="1">
      <c r="A1833" s="40"/>
      <c r="B1833" s="106"/>
      <c r="C1833" s="103"/>
      <c r="D1833" s="41"/>
      <c r="E1833" s="41"/>
      <c r="F1833" s="41"/>
      <c r="G1833" s="25"/>
      <c r="H1833" s="57"/>
      <c r="I1833" s="57"/>
      <c r="K1833" s="28"/>
    </row>
    <row r="1834" spans="1:11" s="24" customFormat="1">
      <c r="A1834" s="40"/>
      <c r="B1834" s="106"/>
      <c r="C1834" s="103"/>
      <c r="D1834" s="41"/>
      <c r="E1834" s="41"/>
      <c r="F1834" s="41"/>
      <c r="G1834" s="25"/>
      <c r="H1834" s="57"/>
      <c r="I1834" s="57"/>
      <c r="K1834" s="28"/>
    </row>
    <row r="1835" spans="1:11" s="24" customFormat="1">
      <c r="A1835" s="40"/>
      <c r="B1835" s="106"/>
      <c r="C1835" s="103"/>
      <c r="D1835" s="41"/>
      <c r="E1835" s="41"/>
      <c r="F1835" s="41"/>
      <c r="G1835" s="25"/>
      <c r="H1835" s="57"/>
      <c r="I1835" s="57"/>
      <c r="K1835" s="28"/>
    </row>
    <row r="1836" spans="1:11" s="24" customFormat="1">
      <c r="A1836" s="40"/>
      <c r="B1836" s="106"/>
      <c r="C1836" s="103"/>
      <c r="D1836" s="41"/>
      <c r="E1836" s="41"/>
      <c r="F1836" s="41"/>
      <c r="G1836" s="25"/>
      <c r="H1836" s="57"/>
      <c r="I1836" s="57"/>
      <c r="K1836" s="28"/>
    </row>
    <row r="1837" spans="1:11" s="24" customFormat="1">
      <c r="A1837" s="40"/>
      <c r="B1837" s="106"/>
      <c r="C1837" s="103"/>
      <c r="D1837" s="41"/>
      <c r="E1837" s="41"/>
      <c r="F1837" s="41"/>
      <c r="G1837" s="25"/>
      <c r="H1837" s="57"/>
      <c r="I1837" s="57"/>
      <c r="K1837" s="28"/>
    </row>
    <row r="1838" spans="1:11" s="24" customFormat="1">
      <c r="A1838" s="40"/>
      <c r="B1838" s="106"/>
      <c r="C1838" s="103"/>
      <c r="D1838" s="41"/>
      <c r="E1838" s="41"/>
      <c r="F1838" s="41"/>
      <c r="G1838" s="25"/>
      <c r="H1838" s="57"/>
      <c r="I1838" s="57"/>
      <c r="K1838" s="28"/>
    </row>
    <row r="1839" spans="1:11" s="24" customFormat="1">
      <c r="A1839" s="40"/>
      <c r="B1839" s="106"/>
      <c r="C1839" s="103"/>
      <c r="D1839" s="41"/>
      <c r="E1839" s="41"/>
      <c r="F1839" s="41"/>
      <c r="G1839" s="25"/>
      <c r="H1839" s="57"/>
      <c r="I1839" s="57"/>
      <c r="K1839" s="28"/>
    </row>
    <row r="1840" spans="1:11" s="24" customFormat="1">
      <c r="A1840" s="40"/>
      <c r="B1840" s="106"/>
      <c r="C1840" s="103"/>
      <c r="D1840" s="41"/>
      <c r="E1840" s="41"/>
      <c r="F1840" s="41"/>
      <c r="G1840" s="25"/>
      <c r="H1840" s="57"/>
      <c r="I1840" s="57"/>
      <c r="K1840" s="28"/>
    </row>
    <row r="1841" spans="1:11" s="24" customFormat="1">
      <c r="A1841" s="40"/>
      <c r="B1841" s="106"/>
      <c r="C1841" s="103"/>
      <c r="D1841" s="41"/>
      <c r="E1841" s="41"/>
      <c r="F1841" s="41"/>
      <c r="G1841" s="25"/>
      <c r="H1841" s="57"/>
      <c r="I1841" s="57"/>
      <c r="K1841" s="28"/>
    </row>
    <row r="1842" spans="1:11" s="24" customFormat="1">
      <c r="A1842" s="40"/>
      <c r="B1842" s="106"/>
      <c r="C1842" s="103"/>
      <c r="D1842" s="41"/>
      <c r="E1842" s="41"/>
      <c r="F1842" s="41"/>
      <c r="G1842" s="25"/>
      <c r="H1842" s="57"/>
      <c r="I1842" s="57"/>
      <c r="K1842" s="28"/>
    </row>
    <row r="1843" spans="1:11" s="24" customFormat="1">
      <c r="A1843" s="40"/>
      <c r="B1843" s="106"/>
      <c r="C1843" s="103"/>
      <c r="D1843" s="41"/>
      <c r="E1843" s="41"/>
      <c r="F1843" s="41"/>
      <c r="G1843" s="25"/>
      <c r="H1843" s="57"/>
      <c r="I1843" s="57"/>
      <c r="K1843" s="28"/>
    </row>
    <row r="1844" spans="1:11" s="24" customFormat="1">
      <c r="A1844" s="40"/>
      <c r="B1844" s="106"/>
      <c r="C1844" s="103"/>
      <c r="D1844" s="41"/>
      <c r="E1844" s="41"/>
      <c r="F1844" s="41"/>
      <c r="G1844" s="25"/>
      <c r="H1844" s="57"/>
      <c r="I1844" s="57"/>
      <c r="K1844" s="28"/>
    </row>
    <row r="1845" spans="1:11" s="24" customFormat="1">
      <c r="A1845" s="40"/>
      <c r="B1845" s="106"/>
      <c r="C1845" s="103"/>
      <c r="D1845" s="41"/>
      <c r="E1845" s="41"/>
      <c r="F1845" s="41"/>
      <c r="G1845" s="25"/>
      <c r="H1845" s="57"/>
      <c r="I1845" s="57"/>
      <c r="K1845" s="28"/>
    </row>
    <row r="1846" spans="1:11" s="24" customFormat="1">
      <c r="A1846" s="40"/>
      <c r="B1846" s="106"/>
      <c r="C1846" s="103"/>
      <c r="D1846" s="41"/>
      <c r="E1846" s="41"/>
      <c r="F1846" s="41"/>
      <c r="G1846" s="25"/>
      <c r="H1846" s="57"/>
      <c r="I1846" s="57"/>
      <c r="K1846" s="28"/>
    </row>
    <row r="1847" spans="1:11" s="24" customFormat="1">
      <c r="A1847" s="40"/>
      <c r="B1847" s="106"/>
      <c r="C1847" s="103"/>
      <c r="D1847" s="41"/>
      <c r="E1847" s="41"/>
      <c r="F1847" s="41"/>
      <c r="G1847" s="25"/>
      <c r="H1847" s="57"/>
      <c r="I1847" s="57"/>
      <c r="K1847" s="28"/>
    </row>
    <row r="1848" spans="1:11" s="24" customFormat="1">
      <c r="A1848" s="40"/>
      <c r="B1848" s="106"/>
      <c r="C1848" s="103"/>
      <c r="D1848" s="41"/>
      <c r="E1848" s="41"/>
      <c r="F1848" s="41"/>
      <c r="G1848" s="25"/>
      <c r="H1848" s="57"/>
      <c r="I1848" s="57"/>
      <c r="K1848" s="28"/>
    </row>
    <row r="1849" spans="1:11" s="24" customFormat="1">
      <c r="A1849" s="40"/>
      <c r="B1849" s="106"/>
      <c r="C1849" s="103"/>
      <c r="D1849" s="41"/>
      <c r="E1849" s="41"/>
      <c r="F1849" s="41"/>
      <c r="G1849" s="25"/>
      <c r="H1849" s="57"/>
      <c r="I1849" s="57"/>
      <c r="K1849" s="28"/>
    </row>
    <row r="1850" spans="1:11" s="24" customFormat="1">
      <c r="A1850" s="40"/>
      <c r="B1850" s="106"/>
      <c r="C1850" s="103"/>
      <c r="D1850" s="41"/>
      <c r="E1850" s="41"/>
      <c r="F1850" s="41"/>
      <c r="G1850" s="25"/>
      <c r="H1850" s="57"/>
      <c r="I1850" s="57"/>
      <c r="K1850" s="28"/>
    </row>
    <row r="1851" spans="1:11" s="24" customFormat="1">
      <c r="A1851" s="40"/>
      <c r="B1851" s="106"/>
      <c r="C1851" s="103"/>
      <c r="D1851" s="41"/>
      <c r="E1851" s="41"/>
      <c r="F1851" s="41"/>
      <c r="G1851" s="25"/>
      <c r="H1851" s="57"/>
      <c r="I1851" s="57"/>
      <c r="K1851" s="28"/>
    </row>
    <row r="1852" spans="1:11" s="24" customFormat="1">
      <c r="A1852" s="40"/>
      <c r="B1852" s="106"/>
      <c r="C1852" s="103"/>
      <c r="D1852" s="41"/>
      <c r="E1852" s="41"/>
      <c r="F1852" s="41"/>
      <c r="G1852" s="25"/>
      <c r="H1852" s="57"/>
      <c r="I1852" s="57"/>
      <c r="K1852" s="28"/>
    </row>
    <row r="1853" spans="1:11" s="24" customFormat="1">
      <c r="A1853" s="40"/>
      <c r="B1853" s="106"/>
      <c r="C1853" s="103"/>
      <c r="D1853" s="41"/>
      <c r="E1853" s="41"/>
      <c r="F1853" s="41"/>
      <c r="G1853" s="25"/>
      <c r="H1853" s="57"/>
      <c r="I1853" s="57"/>
      <c r="K1853" s="28"/>
    </row>
    <row r="1854" spans="1:11" s="24" customFormat="1">
      <c r="A1854" s="40"/>
      <c r="B1854" s="106"/>
      <c r="C1854" s="103"/>
      <c r="D1854" s="41"/>
      <c r="E1854" s="41"/>
      <c r="F1854" s="41"/>
      <c r="G1854" s="25"/>
      <c r="H1854" s="57"/>
      <c r="I1854" s="57"/>
      <c r="K1854" s="28"/>
    </row>
    <row r="1855" spans="1:11" s="24" customFormat="1">
      <c r="A1855" s="40"/>
      <c r="B1855" s="106"/>
      <c r="C1855" s="103"/>
      <c r="D1855" s="41"/>
      <c r="E1855" s="41"/>
      <c r="F1855" s="41"/>
      <c r="G1855" s="25"/>
      <c r="H1855" s="57"/>
      <c r="I1855" s="57"/>
      <c r="K1855" s="28"/>
    </row>
    <row r="1856" spans="1:11" s="24" customFormat="1">
      <c r="A1856" s="40"/>
      <c r="B1856" s="106"/>
      <c r="C1856" s="103"/>
      <c r="D1856" s="41"/>
      <c r="E1856" s="41"/>
      <c r="F1856" s="41"/>
      <c r="G1856" s="25"/>
      <c r="H1856" s="57"/>
      <c r="I1856" s="57"/>
      <c r="K1856" s="28"/>
    </row>
    <row r="1857" spans="1:11" s="24" customFormat="1">
      <c r="A1857" s="40"/>
      <c r="B1857" s="106"/>
      <c r="C1857" s="103"/>
      <c r="D1857" s="41"/>
      <c r="E1857" s="41"/>
      <c r="F1857" s="41"/>
      <c r="G1857" s="25"/>
      <c r="H1857" s="57"/>
      <c r="I1857" s="57"/>
      <c r="K1857" s="28"/>
    </row>
    <row r="1858" spans="1:11" s="24" customFormat="1">
      <c r="A1858" s="40"/>
      <c r="B1858" s="106"/>
      <c r="C1858" s="103"/>
      <c r="D1858" s="41"/>
      <c r="E1858" s="41"/>
      <c r="F1858" s="41"/>
      <c r="G1858" s="25"/>
      <c r="H1858" s="57"/>
      <c r="I1858" s="57"/>
      <c r="K1858" s="28"/>
    </row>
    <row r="1859" spans="1:11" s="24" customFormat="1">
      <c r="A1859" s="40"/>
      <c r="B1859" s="106"/>
      <c r="C1859" s="103"/>
      <c r="D1859" s="41"/>
      <c r="E1859" s="41"/>
      <c r="F1859" s="41"/>
      <c r="G1859" s="25"/>
      <c r="H1859" s="57"/>
      <c r="I1859" s="57"/>
      <c r="K1859" s="28"/>
    </row>
    <row r="1860" spans="1:11" s="24" customFormat="1">
      <c r="A1860" s="40"/>
      <c r="B1860" s="106"/>
      <c r="C1860" s="103"/>
      <c r="D1860" s="41"/>
      <c r="E1860" s="41"/>
      <c r="F1860" s="41"/>
      <c r="G1860" s="25"/>
      <c r="H1860" s="57"/>
      <c r="I1860" s="57"/>
      <c r="K1860" s="28"/>
    </row>
    <row r="1861" spans="1:11" s="24" customFormat="1">
      <c r="A1861" s="40"/>
      <c r="B1861" s="106"/>
      <c r="C1861" s="103"/>
      <c r="D1861" s="41"/>
      <c r="E1861" s="41"/>
      <c r="F1861" s="41"/>
      <c r="G1861" s="25"/>
      <c r="H1861" s="57"/>
      <c r="I1861" s="57"/>
      <c r="K1861" s="28"/>
    </row>
    <row r="1862" spans="1:11" s="24" customFormat="1">
      <c r="A1862" s="40"/>
      <c r="B1862" s="106"/>
      <c r="C1862" s="103"/>
      <c r="D1862" s="41"/>
      <c r="E1862" s="41"/>
      <c r="F1862" s="41"/>
      <c r="G1862" s="25"/>
      <c r="H1862" s="57"/>
      <c r="I1862" s="57"/>
      <c r="K1862" s="28"/>
    </row>
    <row r="1863" spans="1:11" s="24" customFormat="1">
      <c r="A1863" s="40"/>
      <c r="B1863" s="106"/>
      <c r="C1863" s="103"/>
      <c r="D1863" s="41"/>
      <c r="E1863" s="41"/>
      <c r="F1863" s="41"/>
      <c r="G1863" s="25"/>
      <c r="H1863" s="57"/>
      <c r="I1863" s="57"/>
      <c r="K1863" s="28"/>
    </row>
    <row r="1864" spans="1:11" s="24" customFormat="1">
      <c r="A1864" s="40"/>
      <c r="B1864" s="106"/>
      <c r="C1864" s="103"/>
      <c r="D1864" s="41"/>
      <c r="E1864" s="41"/>
      <c r="F1864" s="41"/>
      <c r="G1864" s="25"/>
      <c r="H1864" s="57"/>
      <c r="I1864" s="57"/>
      <c r="K1864" s="28"/>
    </row>
    <row r="1865" spans="1:11" s="24" customFormat="1">
      <c r="A1865" s="40"/>
      <c r="B1865" s="106"/>
      <c r="C1865" s="103"/>
      <c r="D1865" s="41"/>
      <c r="E1865" s="41"/>
      <c r="F1865" s="41"/>
      <c r="G1865" s="25"/>
      <c r="H1865" s="57"/>
      <c r="I1865" s="57"/>
      <c r="K1865" s="28"/>
    </row>
    <row r="1866" spans="1:11" s="24" customFormat="1">
      <c r="A1866" s="40"/>
      <c r="B1866" s="106"/>
      <c r="C1866" s="103"/>
      <c r="D1866" s="41"/>
      <c r="E1866" s="41"/>
      <c r="F1866" s="41"/>
      <c r="G1866" s="25"/>
      <c r="H1866" s="57"/>
      <c r="I1866" s="57"/>
      <c r="K1866" s="28"/>
    </row>
    <row r="1867" spans="1:11" s="24" customFormat="1">
      <c r="A1867" s="40"/>
      <c r="B1867" s="106"/>
      <c r="C1867" s="103"/>
      <c r="D1867" s="41"/>
      <c r="E1867" s="41"/>
      <c r="F1867" s="41"/>
      <c r="G1867" s="25"/>
      <c r="H1867" s="57"/>
      <c r="I1867" s="57"/>
      <c r="K1867" s="28"/>
    </row>
    <row r="1868" spans="1:11" s="24" customFormat="1">
      <c r="A1868" s="40"/>
      <c r="B1868" s="106"/>
      <c r="C1868" s="103"/>
      <c r="D1868" s="41"/>
      <c r="E1868" s="41"/>
      <c r="F1868" s="41"/>
      <c r="G1868" s="25"/>
      <c r="H1868" s="57"/>
      <c r="I1868" s="57"/>
      <c r="K1868" s="28"/>
    </row>
    <row r="1869" spans="1:11" s="24" customFormat="1">
      <c r="A1869" s="40"/>
      <c r="B1869" s="106"/>
      <c r="C1869" s="103"/>
      <c r="D1869" s="41"/>
      <c r="E1869" s="41"/>
      <c r="F1869" s="41"/>
      <c r="G1869" s="25"/>
      <c r="H1869" s="57"/>
      <c r="I1869" s="57"/>
      <c r="K1869" s="28"/>
    </row>
    <row r="1870" spans="1:11" s="24" customFormat="1">
      <c r="A1870" s="40"/>
      <c r="B1870" s="106"/>
      <c r="C1870" s="103"/>
      <c r="D1870" s="41"/>
      <c r="E1870" s="41"/>
      <c r="F1870" s="41"/>
      <c r="G1870" s="25"/>
      <c r="H1870" s="57"/>
      <c r="I1870" s="57"/>
      <c r="K1870" s="28"/>
    </row>
    <row r="1871" spans="1:11" s="24" customFormat="1">
      <c r="A1871" s="40"/>
      <c r="B1871" s="106"/>
      <c r="C1871" s="103"/>
      <c r="D1871" s="41"/>
      <c r="E1871" s="41"/>
      <c r="F1871" s="41"/>
      <c r="G1871" s="25"/>
      <c r="H1871" s="57"/>
      <c r="I1871" s="57"/>
      <c r="K1871" s="28"/>
    </row>
    <row r="1872" spans="1:11" s="24" customFormat="1">
      <c r="A1872" s="40"/>
      <c r="B1872" s="106"/>
      <c r="C1872" s="103"/>
      <c r="D1872" s="41"/>
      <c r="E1872" s="41"/>
      <c r="F1872" s="41"/>
      <c r="G1872" s="25"/>
      <c r="H1872" s="57"/>
      <c r="I1872" s="57"/>
      <c r="K1872" s="28"/>
    </row>
    <row r="1873" spans="1:11" s="24" customFormat="1">
      <c r="A1873" s="40"/>
      <c r="B1873" s="106"/>
      <c r="C1873" s="103"/>
      <c r="D1873" s="41"/>
      <c r="E1873" s="41"/>
      <c r="F1873" s="41"/>
      <c r="G1873" s="25"/>
      <c r="H1873" s="57"/>
      <c r="I1873" s="57"/>
      <c r="K1873" s="28"/>
    </row>
    <row r="1874" spans="1:11" s="24" customFormat="1">
      <c r="A1874" s="40"/>
      <c r="B1874" s="106"/>
      <c r="C1874" s="103"/>
      <c r="D1874" s="41"/>
      <c r="E1874" s="41"/>
      <c r="F1874" s="41"/>
      <c r="G1874" s="25"/>
      <c r="H1874" s="57"/>
      <c r="I1874" s="57"/>
      <c r="K1874" s="28"/>
    </row>
    <row r="1875" spans="1:11" s="24" customFormat="1">
      <c r="A1875" s="40"/>
      <c r="B1875" s="106"/>
      <c r="C1875" s="103"/>
      <c r="D1875" s="41"/>
      <c r="E1875" s="41"/>
      <c r="F1875" s="41"/>
      <c r="G1875" s="25"/>
      <c r="H1875" s="57"/>
      <c r="I1875" s="57"/>
      <c r="K1875" s="28"/>
    </row>
    <row r="1876" spans="1:11" s="24" customFormat="1">
      <c r="A1876" s="40"/>
      <c r="B1876" s="106"/>
      <c r="C1876" s="103"/>
      <c r="D1876" s="41"/>
      <c r="E1876" s="41"/>
      <c r="F1876" s="41"/>
      <c r="G1876" s="25"/>
      <c r="H1876" s="57"/>
      <c r="I1876" s="57"/>
      <c r="K1876" s="28"/>
    </row>
    <row r="1877" spans="1:11" s="24" customFormat="1">
      <c r="A1877" s="40"/>
      <c r="B1877" s="106"/>
      <c r="C1877" s="103"/>
      <c r="D1877" s="41"/>
      <c r="E1877" s="41"/>
      <c r="F1877" s="41"/>
      <c r="G1877" s="25"/>
      <c r="H1877" s="57"/>
      <c r="I1877" s="57"/>
      <c r="K1877" s="28"/>
    </row>
    <row r="1878" spans="1:11" s="24" customFormat="1">
      <c r="A1878" s="40"/>
      <c r="B1878" s="106"/>
      <c r="C1878" s="103"/>
      <c r="D1878" s="41"/>
      <c r="E1878" s="41"/>
      <c r="F1878" s="41"/>
      <c r="G1878" s="25"/>
      <c r="H1878" s="57"/>
      <c r="I1878" s="57"/>
      <c r="K1878" s="28"/>
    </row>
    <row r="1879" spans="1:11" s="24" customFormat="1">
      <c r="A1879" s="40"/>
      <c r="B1879" s="106"/>
      <c r="C1879" s="103"/>
      <c r="D1879" s="41"/>
      <c r="E1879" s="41"/>
      <c r="F1879" s="41"/>
      <c r="G1879" s="25"/>
      <c r="H1879" s="57"/>
      <c r="I1879" s="57"/>
      <c r="K1879" s="28"/>
    </row>
    <row r="1880" spans="1:11" s="24" customFormat="1">
      <c r="A1880" s="40"/>
      <c r="B1880" s="106"/>
      <c r="C1880" s="103"/>
      <c r="D1880" s="41"/>
      <c r="E1880" s="41"/>
      <c r="F1880" s="41"/>
      <c r="G1880" s="25"/>
      <c r="H1880" s="57"/>
      <c r="I1880" s="57"/>
      <c r="K1880" s="28"/>
    </row>
    <row r="1881" spans="1:11" s="24" customFormat="1">
      <c r="A1881" s="40"/>
      <c r="B1881" s="106"/>
      <c r="C1881" s="103"/>
      <c r="D1881" s="41"/>
      <c r="E1881" s="41"/>
      <c r="F1881" s="41"/>
      <c r="G1881" s="25"/>
      <c r="H1881" s="57"/>
      <c r="I1881" s="57"/>
      <c r="K1881" s="28"/>
    </row>
    <row r="1882" spans="1:11" s="24" customFormat="1">
      <c r="A1882" s="40"/>
      <c r="B1882" s="106"/>
      <c r="C1882" s="103"/>
      <c r="D1882" s="41"/>
      <c r="E1882" s="41"/>
      <c r="F1882" s="41"/>
      <c r="G1882" s="25"/>
      <c r="H1882" s="57"/>
      <c r="I1882" s="57"/>
      <c r="K1882" s="28"/>
    </row>
    <row r="1883" spans="1:11" s="24" customFormat="1">
      <c r="A1883" s="40"/>
      <c r="B1883" s="106"/>
      <c r="C1883" s="103"/>
      <c r="D1883" s="41"/>
      <c r="E1883" s="41"/>
      <c r="F1883" s="41"/>
      <c r="G1883" s="25"/>
      <c r="H1883" s="57"/>
      <c r="I1883" s="57"/>
      <c r="K1883" s="28"/>
    </row>
    <row r="1884" spans="1:11" s="24" customFormat="1">
      <c r="A1884" s="40"/>
      <c r="B1884" s="106"/>
      <c r="C1884" s="103"/>
      <c r="D1884" s="41"/>
      <c r="E1884" s="41"/>
      <c r="F1884" s="41"/>
      <c r="G1884" s="25"/>
      <c r="H1884" s="57"/>
      <c r="I1884" s="57"/>
      <c r="K1884" s="28"/>
    </row>
    <row r="1885" spans="1:11" s="24" customFormat="1">
      <c r="A1885" s="40"/>
      <c r="B1885" s="106"/>
      <c r="C1885" s="103"/>
      <c r="D1885" s="41"/>
      <c r="E1885" s="41"/>
      <c r="F1885" s="41"/>
      <c r="G1885" s="25"/>
      <c r="H1885" s="57"/>
      <c r="I1885" s="57"/>
      <c r="K1885" s="28"/>
    </row>
    <row r="1886" spans="1:11" s="24" customFormat="1">
      <c r="A1886" s="40"/>
      <c r="B1886" s="106"/>
      <c r="C1886" s="103"/>
      <c r="D1886" s="41"/>
      <c r="E1886" s="41"/>
      <c r="F1886" s="41"/>
      <c r="G1886" s="25"/>
      <c r="H1886" s="57"/>
      <c r="I1886" s="57"/>
      <c r="K1886" s="28"/>
    </row>
    <row r="1887" spans="1:11" s="24" customFormat="1">
      <c r="A1887" s="40"/>
      <c r="B1887" s="106"/>
      <c r="C1887" s="103"/>
      <c r="D1887" s="41"/>
      <c r="E1887" s="41"/>
      <c r="F1887" s="41"/>
      <c r="G1887" s="25"/>
      <c r="H1887" s="57"/>
      <c r="I1887" s="57"/>
      <c r="K1887" s="28"/>
    </row>
    <row r="1888" spans="1:11" s="24" customFormat="1">
      <c r="A1888" s="40"/>
      <c r="B1888" s="106"/>
      <c r="C1888" s="103"/>
      <c r="D1888" s="41"/>
      <c r="E1888" s="41"/>
      <c r="F1888" s="41"/>
      <c r="G1888" s="25"/>
      <c r="H1888" s="57"/>
      <c r="I1888" s="57"/>
      <c r="K1888" s="28"/>
    </row>
    <row r="1889" spans="1:11" s="24" customFormat="1">
      <c r="A1889" s="40"/>
      <c r="B1889" s="106"/>
      <c r="C1889" s="103"/>
      <c r="D1889" s="41"/>
      <c r="E1889" s="41"/>
      <c r="F1889" s="41"/>
      <c r="G1889" s="25"/>
      <c r="H1889" s="57"/>
      <c r="I1889" s="57"/>
      <c r="K1889" s="28"/>
    </row>
    <row r="1890" spans="1:11" s="24" customFormat="1">
      <c r="A1890" s="40"/>
      <c r="B1890" s="106"/>
      <c r="C1890" s="103"/>
      <c r="D1890" s="41"/>
      <c r="E1890" s="41"/>
      <c r="F1890" s="41"/>
      <c r="G1890" s="25"/>
      <c r="H1890" s="57"/>
      <c r="I1890" s="57"/>
      <c r="K1890" s="28"/>
    </row>
    <row r="1891" spans="1:11" s="24" customFormat="1">
      <c r="A1891" s="40"/>
      <c r="B1891" s="106"/>
      <c r="C1891" s="103"/>
      <c r="D1891" s="41"/>
      <c r="E1891" s="41"/>
      <c r="F1891" s="41"/>
      <c r="G1891" s="25"/>
      <c r="H1891" s="57"/>
      <c r="I1891" s="57"/>
      <c r="K1891" s="28"/>
    </row>
    <row r="1892" spans="1:11" s="24" customFormat="1">
      <c r="A1892" s="40"/>
      <c r="B1892" s="106"/>
      <c r="C1892" s="103"/>
      <c r="D1892" s="41"/>
      <c r="E1892" s="41"/>
      <c r="F1892" s="41"/>
      <c r="G1892" s="25"/>
      <c r="H1892" s="57"/>
      <c r="I1892" s="57"/>
      <c r="K1892" s="28"/>
    </row>
    <row r="1893" spans="1:11" s="24" customFormat="1">
      <c r="A1893" s="40"/>
      <c r="B1893" s="106"/>
      <c r="C1893" s="103"/>
      <c r="D1893" s="41"/>
      <c r="E1893" s="41"/>
      <c r="F1893" s="41"/>
      <c r="G1893" s="25"/>
      <c r="H1893" s="57"/>
      <c r="I1893" s="57"/>
      <c r="K1893" s="28"/>
    </row>
    <row r="1894" spans="1:11" s="24" customFormat="1">
      <c r="A1894" s="40"/>
      <c r="B1894" s="106"/>
      <c r="C1894" s="103"/>
      <c r="D1894" s="41"/>
      <c r="E1894" s="41"/>
      <c r="F1894" s="41"/>
      <c r="G1894" s="25"/>
      <c r="H1894" s="57"/>
      <c r="I1894" s="57"/>
      <c r="K1894" s="28"/>
    </row>
    <row r="1895" spans="1:11" s="24" customFormat="1">
      <c r="A1895" s="40"/>
      <c r="B1895" s="106"/>
      <c r="C1895" s="103"/>
      <c r="D1895" s="41"/>
      <c r="E1895" s="41"/>
      <c r="F1895" s="41"/>
      <c r="G1895" s="25"/>
      <c r="H1895" s="57"/>
      <c r="I1895" s="57"/>
      <c r="K1895" s="28"/>
    </row>
    <row r="1896" spans="1:11" s="24" customFormat="1">
      <c r="A1896" s="40"/>
      <c r="B1896" s="106"/>
      <c r="C1896" s="103"/>
      <c r="D1896" s="41"/>
      <c r="E1896" s="41"/>
      <c r="F1896" s="41"/>
      <c r="G1896" s="25"/>
      <c r="H1896" s="57"/>
      <c r="I1896" s="57"/>
      <c r="K1896" s="28"/>
    </row>
    <row r="1897" spans="1:11" s="24" customFormat="1">
      <c r="A1897" s="40"/>
      <c r="B1897" s="106"/>
      <c r="C1897" s="103"/>
      <c r="D1897" s="41"/>
      <c r="E1897" s="41"/>
      <c r="F1897" s="41"/>
      <c r="G1897" s="25"/>
      <c r="H1897" s="57"/>
      <c r="I1897" s="57"/>
      <c r="K1897" s="28"/>
    </row>
    <row r="1898" spans="1:11" s="24" customFormat="1">
      <c r="A1898" s="40"/>
      <c r="B1898" s="106"/>
      <c r="C1898" s="103"/>
      <c r="D1898" s="41"/>
      <c r="E1898" s="41"/>
      <c r="F1898" s="41"/>
      <c r="G1898" s="25"/>
      <c r="H1898" s="57"/>
      <c r="I1898" s="57"/>
      <c r="K1898" s="28"/>
    </row>
    <row r="1899" spans="1:11" s="24" customFormat="1">
      <c r="A1899" s="40"/>
      <c r="B1899" s="106"/>
      <c r="C1899" s="103"/>
      <c r="D1899" s="41"/>
      <c r="E1899" s="41"/>
      <c r="F1899" s="41"/>
      <c r="G1899" s="25"/>
      <c r="H1899" s="57"/>
      <c r="I1899" s="57"/>
      <c r="K1899" s="28"/>
    </row>
    <row r="1900" spans="1:11" s="24" customFormat="1">
      <c r="A1900" s="40"/>
      <c r="B1900" s="106"/>
      <c r="C1900" s="103"/>
      <c r="D1900" s="41"/>
      <c r="E1900" s="41"/>
      <c r="F1900" s="41"/>
      <c r="G1900" s="25"/>
      <c r="H1900" s="57"/>
      <c r="I1900" s="57"/>
      <c r="K1900" s="28"/>
    </row>
    <row r="1901" spans="1:11" s="24" customFormat="1">
      <c r="A1901" s="40"/>
      <c r="B1901" s="106"/>
      <c r="C1901" s="103"/>
      <c r="D1901" s="41"/>
      <c r="E1901" s="41"/>
      <c r="F1901" s="41"/>
      <c r="G1901" s="25"/>
      <c r="H1901" s="57"/>
      <c r="I1901" s="57"/>
      <c r="K1901" s="28"/>
    </row>
    <row r="1902" spans="1:11" s="24" customFormat="1">
      <c r="A1902" s="40"/>
      <c r="B1902" s="106"/>
      <c r="C1902" s="103"/>
      <c r="D1902" s="41"/>
      <c r="E1902" s="41"/>
      <c r="F1902" s="41"/>
      <c r="G1902" s="25"/>
      <c r="H1902" s="57"/>
      <c r="I1902" s="57"/>
      <c r="K1902" s="28"/>
    </row>
    <row r="1903" spans="1:11" s="24" customFormat="1">
      <c r="A1903" s="40"/>
      <c r="B1903" s="106"/>
      <c r="C1903" s="103"/>
      <c r="D1903" s="41"/>
      <c r="E1903" s="41"/>
      <c r="F1903" s="41"/>
      <c r="G1903" s="25"/>
      <c r="H1903" s="57"/>
      <c r="I1903" s="57"/>
      <c r="K1903" s="28"/>
    </row>
    <row r="1904" spans="1:11" s="24" customFormat="1">
      <c r="A1904" s="40"/>
      <c r="B1904" s="106"/>
      <c r="C1904" s="103"/>
      <c r="D1904" s="41"/>
      <c r="E1904" s="41"/>
      <c r="F1904" s="41"/>
      <c r="G1904" s="25"/>
      <c r="H1904" s="57"/>
      <c r="I1904" s="57"/>
      <c r="K1904" s="28"/>
    </row>
    <row r="1905" spans="1:11" s="24" customFormat="1">
      <c r="A1905" s="40"/>
      <c r="B1905" s="106"/>
      <c r="C1905" s="103"/>
      <c r="D1905" s="41"/>
      <c r="E1905" s="41"/>
      <c r="F1905" s="41"/>
      <c r="G1905" s="25"/>
      <c r="H1905" s="57"/>
      <c r="I1905" s="57"/>
      <c r="K1905" s="28"/>
    </row>
    <row r="1906" spans="1:11" s="24" customFormat="1">
      <c r="A1906" s="40"/>
      <c r="B1906" s="106"/>
      <c r="C1906" s="103"/>
      <c r="D1906" s="41"/>
      <c r="E1906" s="41"/>
      <c r="F1906" s="41"/>
      <c r="G1906" s="25"/>
      <c r="H1906" s="57"/>
      <c r="I1906" s="57"/>
      <c r="K1906" s="28"/>
    </row>
    <row r="1907" spans="1:11" s="24" customFormat="1">
      <c r="A1907" s="40"/>
      <c r="B1907" s="106"/>
      <c r="C1907" s="103"/>
      <c r="D1907" s="41"/>
      <c r="E1907" s="41"/>
      <c r="F1907" s="41"/>
      <c r="G1907" s="25"/>
      <c r="H1907" s="57"/>
      <c r="I1907" s="57"/>
      <c r="K1907" s="28"/>
    </row>
    <row r="1908" spans="1:11" s="24" customFormat="1">
      <c r="A1908" s="40"/>
      <c r="B1908" s="106"/>
      <c r="C1908" s="103"/>
      <c r="D1908" s="41"/>
      <c r="E1908" s="41"/>
      <c r="F1908" s="41"/>
      <c r="G1908" s="25"/>
      <c r="H1908" s="57"/>
      <c r="I1908" s="57"/>
      <c r="K1908" s="28"/>
    </row>
    <row r="1909" spans="1:11" s="24" customFormat="1">
      <c r="A1909" s="40"/>
      <c r="B1909" s="106"/>
      <c r="C1909" s="103"/>
      <c r="D1909" s="41"/>
      <c r="E1909" s="41"/>
      <c r="F1909" s="41"/>
      <c r="G1909" s="25"/>
      <c r="H1909" s="57"/>
      <c r="I1909" s="57"/>
      <c r="K1909" s="28"/>
    </row>
    <row r="1910" spans="1:11" s="24" customFormat="1">
      <c r="A1910" s="40"/>
      <c r="B1910" s="106"/>
      <c r="C1910" s="103"/>
      <c r="D1910" s="41"/>
      <c r="E1910" s="41"/>
      <c r="F1910" s="41"/>
      <c r="G1910" s="25"/>
      <c r="H1910" s="57"/>
      <c r="I1910" s="57"/>
      <c r="K1910" s="28"/>
    </row>
    <row r="1911" spans="1:11" s="24" customFormat="1">
      <c r="A1911" s="40"/>
      <c r="B1911" s="106"/>
      <c r="C1911" s="103"/>
      <c r="D1911" s="41"/>
      <c r="E1911" s="41"/>
      <c r="F1911" s="41"/>
      <c r="G1911" s="25"/>
      <c r="H1911" s="57"/>
      <c r="I1911" s="57"/>
      <c r="K1911" s="28"/>
    </row>
    <row r="1912" spans="1:11" s="24" customFormat="1">
      <c r="A1912" s="40"/>
      <c r="B1912" s="106"/>
      <c r="C1912" s="103"/>
      <c r="D1912" s="41"/>
      <c r="E1912" s="41"/>
      <c r="F1912" s="41"/>
      <c r="G1912" s="25"/>
      <c r="H1912" s="57"/>
      <c r="I1912" s="57"/>
      <c r="K1912" s="28"/>
    </row>
    <row r="1913" spans="1:11" s="24" customFormat="1">
      <c r="A1913" s="40"/>
      <c r="B1913" s="106"/>
      <c r="C1913" s="103"/>
      <c r="D1913" s="41"/>
      <c r="E1913" s="41"/>
      <c r="F1913" s="41"/>
      <c r="G1913" s="25"/>
      <c r="H1913" s="57"/>
      <c r="I1913" s="57"/>
      <c r="K1913" s="28"/>
    </row>
    <row r="1914" spans="1:11" s="24" customFormat="1">
      <c r="A1914" s="40"/>
      <c r="B1914" s="106"/>
      <c r="C1914" s="103"/>
      <c r="D1914" s="41"/>
      <c r="E1914" s="41"/>
      <c r="F1914" s="41"/>
      <c r="G1914" s="25"/>
      <c r="H1914" s="57"/>
      <c r="I1914" s="57"/>
      <c r="K1914" s="28"/>
    </row>
    <row r="1915" spans="1:11" s="24" customFormat="1">
      <c r="A1915" s="40"/>
      <c r="B1915" s="106"/>
      <c r="C1915" s="103"/>
      <c r="D1915" s="41"/>
      <c r="E1915" s="41"/>
      <c r="F1915" s="41"/>
      <c r="G1915" s="25"/>
      <c r="H1915" s="57"/>
      <c r="I1915" s="57"/>
      <c r="K1915" s="28"/>
    </row>
    <row r="1916" spans="1:11" s="24" customFormat="1">
      <c r="A1916" s="40"/>
      <c r="B1916" s="106"/>
      <c r="C1916" s="103"/>
      <c r="D1916" s="41"/>
      <c r="E1916" s="41"/>
      <c r="F1916" s="41"/>
      <c r="G1916" s="25"/>
      <c r="H1916" s="57"/>
      <c r="I1916" s="57"/>
      <c r="K1916" s="28"/>
    </row>
    <row r="1917" spans="1:11" s="24" customFormat="1">
      <c r="A1917" s="40"/>
      <c r="B1917" s="106"/>
      <c r="C1917" s="103"/>
      <c r="D1917" s="41"/>
      <c r="E1917" s="41"/>
      <c r="F1917" s="41"/>
      <c r="G1917" s="25"/>
      <c r="H1917" s="57"/>
      <c r="I1917" s="57"/>
      <c r="K1917" s="28"/>
    </row>
    <row r="1918" spans="1:11" s="24" customFormat="1">
      <c r="A1918" s="40"/>
      <c r="B1918" s="106"/>
      <c r="C1918" s="103"/>
      <c r="D1918" s="41"/>
      <c r="E1918" s="41"/>
      <c r="F1918" s="41"/>
      <c r="G1918" s="25"/>
      <c r="H1918" s="57"/>
      <c r="I1918" s="57"/>
      <c r="K1918" s="28"/>
    </row>
    <row r="1919" spans="1:11" s="24" customFormat="1">
      <c r="A1919" s="40"/>
      <c r="B1919" s="106"/>
      <c r="C1919" s="103"/>
      <c r="D1919" s="41"/>
      <c r="E1919" s="41"/>
      <c r="F1919" s="41"/>
      <c r="G1919" s="25"/>
      <c r="H1919" s="57"/>
      <c r="I1919" s="57"/>
      <c r="K1919" s="28"/>
    </row>
    <row r="1920" spans="1:11" s="24" customFormat="1">
      <c r="A1920" s="40"/>
      <c r="B1920" s="106"/>
      <c r="C1920" s="103"/>
      <c r="D1920" s="41"/>
      <c r="E1920" s="41"/>
      <c r="F1920" s="41"/>
      <c r="G1920" s="25"/>
      <c r="H1920" s="57"/>
      <c r="I1920" s="57"/>
      <c r="K1920" s="28"/>
    </row>
    <row r="1921" spans="1:11" s="24" customFormat="1">
      <c r="A1921" s="40"/>
      <c r="B1921" s="106"/>
      <c r="C1921" s="103"/>
      <c r="D1921" s="41"/>
      <c r="E1921" s="41"/>
      <c r="F1921" s="41"/>
      <c r="G1921" s="25"/>
      <c r="H1921" s="57"/>
      <c r="I1921" s="57"/>
      <c r="K1921" s="28"/>
    </row>
    <row r="1922" spans="1:11" s="24" customFormat="1">
      <c r="A1922" s="40"/>
      <c r="B1922" s="106"/>
      <c r="C1922" s="103"/>
      <c r="D1922" s="41"/>
      <c r="E1922" s="41"/>
      <c r="F1922" s="41"/>
      <c r="G1922" s="25"/>
      <c r="H1922" s="57"/>
      <c r="I1922" s="57"/>
      <c r="K1922" s="28"/>
    </row>
    <row r="1923" spans="1:11" s="24" customFormat="1">
      <c r="A1923" s="40"/>
      <c r="B1923" s="106"/>
      <c r="C1923" s="103"/>
      <c r="D1923" s="41"/>
      <c r="E1923" s="41"/>
      <c r="F1923" s="41"/>
      <c r="G1923" s="25"/>
      <c r="H1923" s="57"/>
      <c r="I1923" s="57"/>
      <c r="K1923" s="28"/>
    </row>
    <row r="1924" spans="1:11" s="24" customFormat="1">
      <c r="A1924" s="40"/>
      <c r="B1924" s="106"/>
      <c r="C1924" s="103"/>
      <c r="D1924" s="41"/>
      <c r="E1924" s="41"/>
      <c r="F1924" s="41"/>
      <c r="G1924" s="25"/>
      <c r="H1924" s="57"/>
      <c r="I1924" s="57"/>
      <c r="K1924" s="28"/>
    </row>
    <row r="1925" spans="1:11" s="24" customFormat="1">
      <c r="A1925" s="40"/>
      <c r="B1925" s="106"/>
      <c r="C1925" s="103"/>
      <c r="D1925" s="41"/>
      <c r="E1925" s="41"/>
      <c r="F1925" s="41"/>
      <c r="G1925" s="25"/>
      <c r="H1925" s="57"/>
      <c r="I1925" s="57"/>
      <c r="K1925" s="28"/>
    </row>
    <row r="1926" spans="1:11" s="24" customFormat="1">
      <c r="A1926" s="40"/>
      <c r="B1926" s="106"/>
      <c r="C1926" s="103"/>
      <c r="D1926" s="41"/>
      <c r="E1926" s="41"/>
      <c r="F1926" s="41"/>
      <c r="G1926" s="25"/>
      <c r="H1926" s="57"/>
      <c r="I1926" s="57"/>
      <c r="K1926" s="28"/>
    </row>
    <row r="1927" spans="1:11" s="24" customFormat="1">
      <c r="A1927" s="40"/>
      <c r="B1927" s="106"/>
      <c r="C1927" s="103"/>
      <c r="D1927" s="41"/>
      <c r="E1927" s="41"/>
      <c r="F1927" s="41"/>
      <c r="G1927" s="25"/>
      <c r="H1927" s="57"/>
      <c r="I1927" s="57"/>
      <c r="K1927" s="28"/>
    </row>
    <row r="1928" spans="1:11" s="24" customFormat="1">
      <c r="A1928" s="40"/>
      <c r="B1928" s="106"/>
      <c r="C1928" s="103"/>
      <c r="D1928" s="41"/>
      <c r="E1928" s="41"/>
      <c r="F1928" s="41"/>
      <c r="G1928" s="25"/>
      <c r="H1928" s="57"/>
      <c r="I1928" s="57"/>
      <c r="K1928" s="28"/>
    </row>
    <row r="1929" spans="1:11" s="24" customFormat="1">
      <c r="A1929" s="40"/>
      <c r="B1929" s="106"/>
      <c r="C1929" s="103"/>
      <c r="D1929" s="41"/>
      <c r="E1929" s="41"/>
      <c r="F1929" s="41"/>
      <c r="G1929" s="25"/>
      <c r="H1929" s="57"/>
      <c r="I1929" s="57"/>
      <c r="K1929" s="28"/>
    </row>
    <row r="1930" spans="1:11" s="24" customFormat="1">
      <c r="A1930" s="40"/>
      <c r="B1930" s="106"/>
      <c r="C1930" s="103"/>
      <c r="D1930" s="41"/>
      <c r="E1930" s="41"/>
      <c r="F1930" s="41"/>
      <c r="G1930" s="25"/>
      <c r="H1930" s="57"/>
      <c r="I1930" s="57"/>
      <c r="K1930" s="28"/>
    </row>
    <row r="1931" spans="1:11" s="24" customFormat="1">
      <c r="A1931" s="40"/>
      <c r="B1931" s="106"/>
      <c r="C1931" s="103"/>
      <c r="D1931" s="41"/>
      <c r="E1931" s="41"/>
      <c r="F1931" s="41"/>
      <c r="G1931" s="25"/>
      <c r="H1931" s="57"/>
      <c r="I1931" s="57"/>
      <c r="K1931" s="28"/>
    </row>
    <row r="1932" spans="1:11" s="24" customFormat="1">
      <c r="A1932" s="40"/>
      <c r="B1932" s="106"/>
      <c r="C1932" s="103"/>
      <c r="D1932" s="41"/>
      <c r="E1932" s="41"/>
      <c r="F1932" s="41"/>
      <c r="G1932" s="25"/>
      <c r="H1932" s="57"/>
      <c r="I1932" s="57"/>
      <c r="K1932" s="28"/>
    </row>
    <row r="1933" spans="1:11" s="24" customFormat="1">
      <c r="A1933" s="40"/>
      <c r="B1933" s="106"/>
      <c r="C1933" s="103"/>
      <c r="D1933" s="41"/>
      <c r="E1933" s="41"/>
      <c r="F1933" s="41"/>
      <c r="G1933" s="25"/>
      <c r="H1933" s="57"/>
      <c r="I1933" s="57"/>
      <c r="K1933" s="28"/>
    </row>
    <row r="1934" spans="1:11" s="24" customFormat="1">
      <c r="A1934" s="40"/>
      <c r="B1934" s="106"/>
      <c r="C1934" s="103"/>
      <c r="D1934" s="41"/>
      <c r="E1934" s="41"/>
      <c r="F1934" s="41"/>
      <c r="G1934" s="25"/>
      <c r="H1934" s="57"/>
      <c r="I1934" s="57"/>
      <c r="K1934" s="28"/>
    </row>
    <row r="1935" spans="1:11" s="24" customFormat="1">
      <c r="A1935" s="40"/>
      <c r="B1935" s="106"/>
      <c r="C1935" s="103"/>
      <c r="D1935" s="41"/>
      <c r="E1935" s="41"/>
      <c r="F1935" s="41"/>
      <c r="G1935" s="25"/>
      <c r="H1935" s="57"/>
      <c r="I1935" s="57"/>
      <c r="K1935" s="28"/>
    </row>
    <row r="1936" spans="1:11" s="24" customFormat="1">
      <c r="A1936" s="40"/>
      <c r="B1936" s="106"/>
      <c r="C1936" s="103"/>
      <c r="D1936" s="41"/>
      <c r="E1936" s="41"/>
      <c r="F1936" s="41"/>
      <c r="G1936" s="25"/>
      <c r="H1936" s="57"/>
      <c r="I1936" s="57"/>
      <c r="K1936" s="28"/>
    </row>
    <row r="1937" spans="1:11" s="24" customFormat="1">
      <c r="A1937" s="40"/>
      <c r="B1937" s="106"/>
      <c r="C1937" s="103"/>
      <c r="D1937" s="41"/>
      <c r="E1937" s="41"/>
      <c r="F1937" s="41"/>
      <c r="G1937" s="25"/>
      <c r="H1937" s="57"/>
      <c r="I1937" s="57"/>
      <c r="K1937" s="28"/>
    </row>
    <row r="1938" spans="1:11" s="24" customFormat="1">
      <c r="A1938" s="40"/>
      <c r="B1938" s="106"/>
      <c r="C1938" s="103"/>
      <c r="D1938" s="41"/>
      <c r="E1938" s="41"/>
      <c r="F1938" s="41"/>
      <c r="G1938" s="25"/>
      <c r="H1938" s="57"/>
      <c r="I1938" s="57"/>
      <c r="K1938" s="28"/>
    </row>
    <row r="1939" spans="1:11" s="24" customFormat="1">
      <c r="A1939" s="40"/>
      <c r="B1939" s="106"/>
      <c r="C1939" s="103"/>
      <c r="D1939" s="41"/>
      <c r="E1939" s="41"/>
      <c r="F1939" s="41"/>
      <c r="G1939" s="25"/>
      <c r="H1939" s="57"/>
      <c r="I1939" s="57"/>
      <c r="K1939" s="28"/>
    </row>
    <row r="1940" spans="1:11" s="24" customFormat="1">
      <c r="A1940" s="40"/>
      <c r="B1940" s="106"/>
      <c r="C1940" s="103"/>
      <c r="D1940" s="41"/>
      <c r="E1940" s="41"/>
      <c r="F1940" s="41"/>
      <c r="G1940" s="25"/>
      <c r="H1940" s="57"/>
      <c r="I1940" s="57"/>
      <c r="K1940" s="28"/>
    </row>
    <row r="1941" spans="1:11" s="24" customFormat="1">
      <c r="A1941" s="40"/>
      <c r="B1941" s="106"/>
      <c r="C1941" s="103"/>
      <c r="D1941" s="41"/>
      <c r="E1941" s="41"/>
      <c r="F1941" s="41"/>
      <c r="G1941" s="25"/>
      <c r="H1941" s="57"/>
      <c r="I1941" s="57"/>
      <c r="K1941" s="28"/>
    </row>
    <row r="1942" spans="1:11" s="24" customFormat="1">
      <c r="A1942" s="40"/>
      <c r="B1942" s="106"/>
      <c r="C1942" s="103"/>
      <c r="D1942" s="41"/>
      <c r="E1942" s="41"/>
      <c r="F1942" s="41"/>
      <c r="G1942" s="25"/>
      <c r="H1942" s="57"/>
      <c r="I1942" s="57"/>
      <c r="K1942" s="28"/>
    </row>
    <row r="1943" spans="1:11" s="24" customFormat="1">
      <c r="A1943" s="40"/>
      <c r="B1943" s="106"/>
      <c r="C1943" s="103"/>
      <c r="D1943" s="41"/>
      <c r="E1943" s="41"/>
      <c r="F1943" s="41"/>
      <c r="G1943" s="25"/>
      <c r="H1943" s="57"/>
      <c r="I1943" s="57"/>
      <c r="K1943" s="28"/>
    </row>
    <row r="1944" spans="1:11" s="24" customFormat="1">
      <c r="A1944" s="40"/>
      <c r="B1944" s="106"/>
      <c r="C1944" s="103"/>
      <c r="D1944" s="41"/>
      <c r="E1944" s="41"/>
      <c r="F1944" s="41"/>
      <c r="G1944" s="25"/>
      <c r="H1944" s="57"/>
      <c r="I1944" s="57"/>
      <c r="K1944" s="28"/>
    </row>
    <row r="1945" spans="1:11" s="24" customFormat="1">
      <c r="A1945" s="40"/>
      <c r="B1945" s="106"/>
      <c r="C1945" s="103"/>
      <c r="D1945" s="41"/>
      <c r="E1945" s="41"/>
      <c r="F1945" s="41"/>
      <c r="G1945" s="25"/>
      <c r="H1945" s="57"/>
      <c r="I1945" s="57"/>
      <c r="K1945" s="28"/>
    </row>
    <row r="1946" spans="1:11" s="24" customFormat="1">
      <c r="A1946" s="40"/>
      <c r="B1946" s="106"/>
      <c r="C1946" s="103"/>
      <c r="D1946" s="41"/>
      <c r="E1946" s="41"/>
      <c r="F1946" s="41"/>
      <c r="G1946" s="25"/>
      <c r="H1946" s="57"/>
      <c r="I1946" s="57"/>
      <c r="K1946" s="28"/>
    </row>
    <row r="1947" spans="1:11" s="24" customFormat="1">
      <c r="A1947" s="40"/>
      <c r="B1947" s="106"/>
      <c r="C1947" s="103"/>
      <c r="D1947" s="41"/>
      <c r="E1947" s="41"/>
      <c r="F1947" s="41"/>
      <c r="G1947" s="25"/>
      <c r="H1947" s="57"/>
      <c r="I1947" s="57"/>
      <c r="K1947" s="28"/>
    </row>
    <row r="1948" spans="1:11" s="24" customFormat="1">
      <c r="A1948" s="40"/>
      <c r="B1948" s="106"/>
      <c r="C1948" s="103"/>
      <c r="D1948" s="41"/>
      <c r="E1948" s="41"/>
      <c r="F1948" s="41"/>
      <c r="G1948" s="25"/>
      <c r="H1948" s="57"/>
      <c r="I1948" s="57"/>
      <c r="K1948" s="28"/>
    </row>
    <row r="1949" spans="1:11" s="24" customFormat="1">
      <c r="A1949" s="40"/>
      <c r="B1949" s="106"/>
      <c r="C1949" s="103"/>
      <c r="D1949" s="41"/>
      <c r="E1949" s="41"/>
      <c r="F1949" s="41"/>
      <c r="G1949" s="25"/>
      <c r="H1949" s="57"/>
      <c r="I1949" s="57"/>
      <c r="K1949" s="28"/>
    </row>
    <row r="1950" spans="1:11" s="24" customFormat="1">
      <c r="A1950" s="40"/>
      <c r="B1950" s="106"/>
      <c r="C1950" s="103"/>
      <c r="D1950" s="41"/>
      <c r="E1950" s="41"/>
      <c r="F1950" s="41"/>
      <c r="G1950" s="25"/>
      <c r="H1950" s="57"/>
      <c r="I1950" s="57"/>
      <c r="K1950" s="28"/>
    </row>
    <row r="1951" spans="1:11" s="24" customFormat="1">
      <c r="A1951" s="40"/>
      <c r="B1951" s="106"/>
      <c r="C1951" s="103"/>
      <c r="D1951" s="41"/>
      <c r="E1951" s="41"/>
      <c r="F1951" s="41"/>
      <c r="G1951" s="25"/>
      <c r="H1951" s="57"/>
      <c r="I1951" s="57"/>
      <c r="K1951" s="28"/>
    </row>
    <row r="1952" spans="1:11" s="24" customFormat="1">
      <c r="A1952" s="40"/>
      <c r="B1952" s="106"/>
      <c r="C1952" s="103"/>
      <c r="D1952" s="41"/>
      <c r="E1952" s="41"/>
      <c r="F1952" s="41"/>
      <c r="G1952" s="25"/>
      <c r="H1952" s="57"/>
      <c r="I1952" s="57"/>
      <c r="K1952" s="28"/>
    </row>
    <row r="1953" spans="1:11" s="24" customFormat="1">
      <c r="A1953" s="40"/>
      <c r="B1953" s="106"/>
      <c r="C1953" s="103"/>
      <c r="D1953" s="41"/>
      <c r="E1953" s="41"/>
      <c r="F1953" s="41"/>
      <c r="G1953" s="25"/>
      <c r="H1953" s="57"/>
      <c r="I1953" s="57"/>
      <c r="K1953" s="28"/>
    </row>
    <row r="1954" spans="1:11" s="24" customFormat="1">
      <c r="A1954" s="40"/>
      <c r="B1954" s="106"/>
      <c r="C1954" s="103"/>
      <c r="D1954" s="41"/>
      <c r="E1954" s="41"/>
      <c r="F1954" s="41"/>
      <c r="G1954" s="25"/>
      <c r="H1954" s="57"/>
      <c r="I1954" s="57"/>
      <c r="K1954" s="28"/>
    </row>
    <row r="1955" spans="1:11" s="24" customFormat="1">
      <c r="A1955" s="40"/>
      <c r="B1955" s="106"/>
      <c r="C1955" s="103"/>
      <c r="D1955" s="41"/>
      <c r="E1955" s="41"/>
      <c r="F1955" s="41"/>
      <c r="G1955" s="25"/>
      <c r="H1955" s="57"/>
      <c r="I1955" s="57"/>
      <c r="K1955" s="28"/>
    </row>
    <row r="1956" spans="1:11" s="24" customFormat="1">
      <c r="A1956" s="40"/>
      <c r="B1956" s="106"/>
      <c r="C1956" s="103"/>
      <c r="D1956" s="41"/>
      <c r="E1956" s="41"/>
      <c r="F1956" s="41"/>
      <c r="G1956" s="25"/>
      <c r="H1956" s="57"/>
      <c r="I1956" s="57"/>
      <c r="K1956" s="28"/>
    </row>
    <row r="1957" spans="1:11" s="24" customFormat="1">
      <c r="A1957" s="40"/>
      <c r="B1957" s="106"/>
      <c r="C1957" s="103"/>
      <c r="D1957" s="41"/>
      <c r="E1957" s="41"/>
      <c r="F1957" s="41"/>
      <c r="G1957" s="25"/>
      <c r="H1957" s="57"/>
      <c r="I1957" s="57"/>
      <c r="K1957" s="28"/>
    </row>
    <row r="1958" spans="1:11" s="24" customFormat="1">
      <c r="A1958" s="40"/>
      <c r="B1958" s="106"/>
      <c r="C1958" s="103"/>
      <c r="D1958" s="41"/>
      <c r="E1958" s="41"/>
      <c r="F1958" s="41"/>
      <c r="G1958" s="25"/>
      <c r="H1958" s="57"/>
      <c r="I1958" s="57"/>
      <c r="K1958" s="28"/>
    </row>
    <row r="1959" spans="1:11" s="24" customFormat="1">
      <c r="A1959" s="40"/>
      <c r="B1959" s="106"/>
      <c r="C1959" s="103"/>
      <c r="D1959" s="41"/>
      <c r="E1959" s="41"/>
      <c r="F1959" s="41"/>
      <c r="G1959" s="25"/>
      <c r="H1959" s="57"/>
      <c r="I1959" s="57"/>
      <c r="K1959" s="28"/>
    </row>
    <row r="1960" spans="1:11" s="24" customFormat="1">
      <c r="A1960" s="40"/>
      <c r="B1960" s="106"/>
      <c r="C1960" s="103"/>
      <c r="D1960" s="41"/>
      <c r="E1960" s="41"/>
      <c r="F1960" s="41"/>
      <c r="G1960" s="25"/>
      <c r="H1960" s="57"/>
      <c r="I1960" s="57"/>
      <c r="K1960" s="28"/>
    </row>
    <row r="1961" spans="1:11" s="24" customFormat="1">
      <c r="A1961" s="40"/>
      <c r="B1961" s="106"/>
      <c r="C1961" s="103"/>
      <c r="D1961" s="41"/>
      <c r="E1961" s="41"/>
      <c r="F1961" s="41"/>
      <c r="G1961" s="25"/>
      <c r="H1961" s="57"/>
      <c r="I1961" s="57"/>
      <c r="K1961" s="28"/>
    </row>
    <row r="1962" spans="1:11" s="24" customFormat="1">
      <c r="A1962" s="40"/>
      <c r="B1962" s="106"/>
      <c r="C1962" s="103"/>
      <c r="D1962" s="41"/>
      <c r="E1962" s="41"/>
      <c r="F1962" s="41"/>
      <c r="G1962" s="25"/>
      <c r="H1962" s="57"/>
      <c r="I1962" s="57"/>
      <c r="K1962" s="28"/>
    </row>
    <row r="1963" spans="1:11" s="24" customFormat="1">
      <c r="A1963" s="40"/>
      <c r="B1963" s="106"/>
      <c r="C1963" s="103"/>
      <c r="D1963" s="41"/>
      <c r="E1963" s="41"/>
      <c r="F1963" s="41"/>
      <c r="G1963" s="25"/>
      <c r="H1963" s="57"/>
      <c r="I1963" s="57"/>
      <c r="K1963" s="28"/>
    </row>
    <row r="1964" spans="1:11" s="24" customFormat="1">
      <c r="A1964" s="40"/>
      <c r="B1964" s="106"/>
      <c r="C1964" s="103"/>
      <c r="D1964" s="41"/>
      <c r="E1964" s="41"/>
      <c r="F1964" s="41"/>
      <c r="G1964" s="25"/>
      <c r="H1964" s="57"/>
      <c r="I1964" s="57"/>
      <c r="K1964" s="28"/>
    </row>
    <row r="1965" spans="1:11" s="24" customFormat="1">
      <c r="A1965" s="40"/>
      <c r="B1965" s="106"/>
      <c r="C1965" s="103"/>
      <c r="D1965" s="41"/>
      <c r="E1965" s="41"/>
      <c r="F1965" s="41"/>
      <c r="G1965" s="25"/>
      <c r="H1965" s="57"/>
      <c r="I1965" s="57"/>
      <c r="K1965" s="28"/>
    </row>
    <row r="1966" spans="1:11" s="24" customFormat="1">
      <c r="A1966" s="40"/>
      <c r="B1966" s="106"/>
      <c r="C1966" s="103"/>
      <c r="D1966" s="41"/>
      <c r="E1966" s="41"/>
      <c r="F1966" s="41"/>
      <c r="G1966" s="25"/>
      <c r="H1966" s="57"/>
      <c r="I1966" s="57"/>
      <c r="K1966" s="28"/>
    </row>
    <row r="1967" spans="1:11" s="24" customFormat="1">
      <c r="A1967" s="40"/>
      <c r="B1967" s="106"/>
      <c r="C1967" s="103"/>
      <c r="D1967" s="41"/>
      <c r="E1967" s="41"/>
      <c r="F1967" s="41"/>
      <c r="G1967" s="25"/>
      <c r="H1967" s="57"/>
      <c r="I1967" s="57"/>
      <c r="K1967" s="28"/>
    </row>
    <row r="1968" spans="1:11" s="24" customFormat="1">
      <c r="A1968" s="40"/>
      <c r="B1968" s="106"/>
      <c r="C1968" s="103"/>
      <c r="D1968" s="41"/>
      <c r="E1968" s="41"/>
      <c r="F1968" s="41"/>
      <c r="G1968" s="25"/>
      <c r="H1968" s="57"/>
      <c r="I1968" s="57"/>
      <c r="K1968" s="28"/>
    </row>
    <row r="1969" spans="1:11" s="24" customFormat="1">
      <c r="A1969" s="40"/>
      <c r="B1969" s="106"/>
      <c r="C1969" s="103"/>
      <c r="D1969" s="41"/>
      <c r="E1969" s="41"/>
      <c r="F1969" s="41"/>
      <c r="G1969" s="25"/>
      <c r="H1969" s="57"/>
      <c r="I1969" s="57"/>
      <c r="K1969" s="28"/>
    </row>
    <row r="1970" spans="1:11" s="24" customFormat="1">
      <c r="A1970" s="40"/>
      <c r="B1970" s="106"/>
      <c r="C1970" s="103"/>
      <c r="D1970" s="41"/>
      <c r="E1970" s="41"/>
      <c r="F1970" s="41"/>
      <c r="G1970" s="25"/>
      <c r="H1970" s="57"/>
      <c r="I1970" s="57"/>
      <c r="K1970" s="28"/>
    </row>
    <row r="1971" spans="1:11" s="24" customFormat="1">
      <c r="A1971" s="40"/>
      <c r="B1971" s="106"/>
      <c r="C1971" s="103"/>
      <c r="D1971" s="41"/>
      <c r="E1971" s="41"/>
      <c r="F1971" s="41"/>
      <c r="G1971" s="25"/>
      <c r="H1971" s="57"/>
      <c r="I1971" s="57"/>
      <c r="K1971" s="28"/>
    </row>
    <row r="1972" spans="1:11" s="24" customFormat="1">
      <c r="A1972" s="40"/>
      <c r="B1972" s="106"/>
      <c r="C1972" s="103"/>
      <c r="D1972" s="41"/>
      <c r="E1972" s="41"/>
      <c r="F1972" s="41"/>
      <c r="G1972" s="25"/>
      <c r="H1972" s="57"/>
      <c r="I1972" s="57"/>
      <c r="K1972" s="28"/>
    </row>
    <row r="1973" spans="1:11" s="24" customFormat="1">
      <c r="A1973" s="40"/>
      <c r="B1973" s="106"/>
      <c r="C1973" s="103"/>
      <c r="D1973" s="41"/>
      <c r="E1973" s="41"/>
      <c r="F1973" s="41"/>
      <c r="G1973" s="25"/>
      <c r="H1973" s="57"/>
      <c r="I1973" s="57"/>
      <c r="K1973" s="28"/>
    </row>
    <row r="1974" spans="1:11" s="24" customFormat="1">
      <c r="A1974" s="40"/>
      <c r="B1974" s="106"/>
      <c r="C1974" s="103"/>
      <c r="D1974" s="41"/>
      <c r="E1974" s="41"/>
      <c r="F1974" s="41"/>
      <c r="G1974" s="25"/>
      <c r="H1974" s="57"/>
      <c r="I1974" s="57"/>
      <c r="K1974" s="28"/>
    </row>
    <row r="1975" spans="1:11" s="24" customFormat="1">
      <c r="A1975" s="40"/>
      <c r="B1975" s="106"/>
      <c r="C1975" s="103"/>
      <c r="D1975" s="41"/>
      <c r="E1975" s="41"/>
      <c r="F1975" s="41"/>
      <c r="G1975" s="25"/>
      <c r="H1975" s="57"/>
      <c r="I1975" s="57"/>
      <c r="K1975" s="28"/>
    </row>
    <row r="1976" spans="1:11" s="24" customFormat="1">
      <c r="A1976" s="40"/>
      <c r="B1976" s="106"/>
      <c r="C1976" s="103"/>
      <c r="D1976" s="41"/>
      <c r="E1976" s="41"/>
      <c r="F1976" s="41"/>
      <c r="G1976" s="25"/>
      <c r="H1976" s="57"/>
      <c r="I1976" s="57"/>
      <c r="K1976" s="28"/>
    </row>
    <row r="1977" spans="1:11" s="24" customFormat="1">
      <c r="A1977" s="40"/>
      <c r="B1977" s="106"/>
      <c r="C1977" s="103"/>
      <c r="D1977" s="41"/>
      <c r="E1977" s="41"/>
      <c r="F1977" s="41"/>
      <c r="G1977" s="25"/>
      <c r="H1977" s="57"/>
      <c r="I1977" s="57"/>
      <c r="K1977" s="28"/>
    </row>
    <row r="1978" spans="1:11" s="24" customFormat="1">
      <c r="A1978" s="40"/>
      <c r="B1978" s="106"/>
      <c r="C1978" s="103"/>
      <c r="D1978" s="41"/>
      <c r="E1978" s="41"/>
      <c r="F1978" s="41"/>
      <c r="G1978" s="25"/>
      <c r="H1978" s="57"/>
      <c r="I1978" s="57"/>
      <c r="K1978" s="28"/>
    </row>
    <row r="1979" spans="1:11" s="24" customFormat="1">
      <c r="A1979" s="40"/>
      <c r="B1979" s="106"/>
      <c r="C1979" s="103"/>
      <c r="D1979" s="41"/>
      <c r="E1979" s="41"/>
      <c r="F1979" s="41"/>
      <c r="G1979" s="25"/>
      <c r="H1979" s="57"/>
      <c r="I1979" s="57"/>
      <c r="K1979" s="28"/>
    </row>
    <row r="1980" spans="1:11" s="24" customFormat="1">
      <c r="A1980" s="40"/>
      <c r="B1980" s="106"/>
      <c r="C1980" s="103"/>
      <c r="D1980" s="41"/>
      <c r="E1980" s="41"/>
      <c r="F1980" s="41"/>
      <c r="G1980" s="25"/>
      <c r="H1980" s="57"/>
      <c r="I1980" s="57"/>
      <c r="K1980" s="28"/>
    </row>
    <row r="1981" spans="1:11" s="24" customFormat="1">
      <c r="A1981" s="40"/>
      <c r="B1981" s="106"/>
      <c r="C1981" s="103"/>
      <c r="D1981" s="41"/>
      <c r="E1981" s="41"/>
      <c r="F1981" s="41"/>
      <c r="G1981" s="25"/>
      <c r="H1981" s="57"/>
      <c r="I1981" s="57"/>
      <c r="K1981" s="28"/>
    </row>
    <row r="1982" spans="1:11" s="24" customFormat="1">
      <c r="A1982" s="40"/>
      <c r="B1982" s="106"/>
      <c r="C1982" s="103"/>
      <c r="D1982" s="41"/>
      <c r="E1982" s="41"/>
      <c r="F1982" s="41"/>
      <c r="G1982" s="25"/>
      <c r="H1982" s="57"/>
      <c r="I1982" s="57"/>
      <c r="K1982" s="28"/>
    </row>
    <row r="1983" spans="1:11" s="24" customFormat="1">
      <c r="A1983" s="40"/>
      <c r="B1983" s="106"/>
      <c r="C1983" s="103"/>
      <c r="D1983" s="41"/>
      <c r="E1983" s="41"/>
      <c r="F1983" s="41"/>
      <c r="G1983" s="25"/>
      <c r="H1983" s="57"/>
      <c r="I1983" s="57"/>
      <c r="K1983" s="28"/>
    </row>
    <row r="1984" spans="1:11" s="24" customFormat="1">
      <c r="A1984" s="40"/>
      <c r="B1984" s="106"/>
      <c r="C1984" s="103"/>
      <c r="D1984" s="41"/>
      <c r="E1984" s="41"/>
      <c r="F1984" s="41"/>
      <c r="G1984" s="25"/>
      <c r="H1984" s="57"/>
      <c r="I1984" s="57"/>
      <c r="K1984" s="28"/>
    </row>
    <row r="1985" spans="1:11" s="24" customFormat="1">
      <c r="A1985" s="40"/>
      <c r="B1985" s="106"/>
      <c r="C1985" s="103"/>
      <c r="D1985" s="41"/>
      <c r="E1985" s="41"/>
      <c r="F1985" s="41"/>
      <c r="G1985" s="25"/>
      <c r="H1985" s="57"/>
      <c r="I1985" s="57"/>
      <c r="K1985" s="28"/>
    </row>
    <row r="1986" spans="1:11" s="24" customFormat="1">
      <c r="A1986" s="40"/>
      <c r="B1986" s="106"/>
      <c r="C1986" s="103"/>
      <c r="D1986" s="41"/>
      <c r="E1986" s="41"/>
      <c r="F1986" s="41"/>
      <c r="G1986" s="25"/>
      <c r="H1986" s="57"/>
      <c r="I1986" s="57"/>
      <c r="K1986" s="28"/>
    </row>
    <row r="1987" spans="1:11" s="24" customFormat="1">
      <c r="A1987" s="40"/>
      <c r="B1987" s="106"/>
      <c r="C1987" s="103"/>
      <c r="D1987" s="41"/>
      <c r="E1987" s="41"/>
      <c r="F1987" s="41"/>
      <c r="G1987" s="25"/>
      <c r="H1987" s="57"/>
      <c r="I1987" s="57"/>
      <c r="K1987" s="28"/>
    </row>
    <row r="1988" spans="1:11" s="24" customFormat="1">
      <c r="A1988" s="40"/>
      <c r="B1988" s="106"/>
      <c r="C1988" s="103"/>
      <c r="D1988" s="41"/>
      <c r="E1988" s="41"/>
      <c r="F1988" s="41"/>
      <c r="G1988" s="25"/>
      <c r="H1988" s="57"/>
      <c r="I1988" s="57"/>
      <c r="K1988" s="28"/>
    </row>
    <row r="1989" spans="1:11" s="24" customFormat="1">
      <c r="A1989" s="40"/>
      <c r="B1989" s="106"/>
      <c r="C1989" s="103"/>
      <c r="D1989" s="41"/>
      <c r="E1989" s="41"/>
      <c r="F1989" s="41"/>
      <c r="G1989" s="25"/>
      <c r="H1989" s="57"/>
      <c r="I1989" s="57"/>
      <c r="K1989" s="28"/>
    </row>
    <row r="1990" spans="1:11" s="24" customFormat="1">
      <c r="A1990" s="40"/>
      <c r="B1990" s="106"/>
      <c r="C1990" s="103"/>
      <c r="D1990" s="41"/>
      <c r="E1990" s="41"/>
      <c r="F1990" s="41"/>
      <c r="G1990" s="25"/>
      <c r="H1990" s="57"/>
      <c r="I1990" s="57"/>
      <c r="K1990" s="28"/>
    </row>
    <row r="1991" spans="1:11" s="24" customFormat="1">
      <c r="A1991" s="40"/>
      <c r="B1991" s="106"/>
      <c r="C1991" s="103"/>
      <c r="D1991" s="41"/>
      <c r="E1991" s="41"/>
      <c r="F1991" s="41"/>
      <c r="G1991" s="25"/>
      <c r="H1991" s="57"/>
      <c r="I1991" s="57"/>
      <c r="K1991" s="28"/>
    </row>
    <row r="1992" spans="1:11" s="24" customFormat="1">
      <c r="A1992" s="40"/>
      <c r="B1992" s="106"/>
      <c r="C1992" s="103"/>
      <c r="D1992" s="41"/>
      <c r="E1992" s="41"/>
      <c r="F1992" s="41"/>
      <c r="G1992" s="25"/>
      <c r="H1992" s="57"/>
      <c r="I1992" s="57"/>
      <c r="K1992" s="28"/>
    </row>
    <row r="1993" spans="1:11" s="24" customFormat="1">
      <c r="A1993" s="40"/>
      <c r="B1993" s="106"/>
      <c r="C1993" s="103"/>
      <c r="D1993" s="41"/>
      <c r="E1993" s="41"/>
      <c r="F1993" s="41"/>
      <c r="G1993" s="25"/>
      <c r="H1993" s="57"/>
      <c r="I1993" s="57"/>
      <c r="K1993" s="28"/>
    </row>
    <row r="1994" spans="1:11" s="24" customFormat="1">
      <c r="A1994" s="40"/>
      <c r="B1994" s="106"/>
      <c r="C1994" s="103"/>
      <c r="D1994" s="41"/>
      <c r="E1994" s="41"/>
      <c r="F1994" s="41"/>
      <c r="G1994" s="25"/>
      <c r="H1994" s="57"/>
      <c r="I1994" s="57"/>
      <c r="K1994" s="28"/>
    </row>
    <row r="1995" spans="1:11" s="24" customFormat="1">
      <c r="A1995" s="40"/>
      <c r="B1995" s="106"/>
      <c r="C1995" s="103"/>
      <c r="D1995" s="41"/>
      <c r="E1995" s="41"/>
      <c r="F1995" s="41"/>
      <c r="G1995" s="25"/>
      <c r="H1995" s="57"/>
      <c r="I1995" s="57"/>
      <c r="K1995" s="28"/>
    </row>
  </sheetData>
  <sortState xmlns:xlrd2="http://schemas.microsoft.com/office/spreadsheetml/2017/richdata2" ref="A2:I54">
    <sortCondition ref="H2:H54"/>
  </sortState>
  <conditionalFormatting sqref="G1:G3">
    <cfRule type="containsText" dxfId="1259" priority="1" operator="containsText" text="DA PAGARE">
      <formula>NOT(ISERROR(SEARCH("DA PAGARE",G1)))</formula>
    </cfRule>
  </conditionalFormatting>
  <conditionalFormatting sqref="G2:G3">
    <cfRule type="containsText" dxfId="1258" priority="2" operator="containsText" text="SCADUTA">
      <formula>NOT(ISERROR(SEARCH("SCADUTA",G2)))</formula>
    </cfRule>
    <cfRule type="containsText" dxfId="1257" priority="3" operator="containsText" text="DA SALDARE">
      <formula>NOT(ISERROR(SEARCH("DA SALDARE",G2)))</formula>
    </cfRule>
    <cfRule type="containsText" dxfId="1256" priority="4" operator="containsText" text="PAGATA">
      <formula>NOT(ISERROR(SEARCH("PAGATA",G2)))</formula>
    </cfRule>
  </conditionalFormatting>
  <conditionalFormatting sqref="G4:G14">
    <cfRule type="containsText" dxfId="1255" priority="40" operator="containsText" text="PAGATA">
      <formula>NOT(ISERROR(SEARCH("PAGATA",G4)))</formula>
    </cfRule>
    <cfRule type="containsText" dxfId="1254" priority="39" operator="containsText" text="DA SALDARE">
      <formula>NOT(ISERROR(SEARCH("DA SALDARE",G4)))</formula>
    </cfRule>
    <cfRule type="containsText" dxfId="1253" priority="38" operator="containsText" text="SCADUTA">
      <formula>NOT(ISERROR(SEARCH("SCADUTA",G4)))</formula>
    </cfRule>
    <cfRule type="containsText" dxfId="1252" priority="37" operator="containsText" text="DA PAGARE">
      <formula>NOT(ISERROR(SEARCH("DA PAGARE",G4)))</formula>
    </cfRule>
  </conditionalFormatting>
  <conditionalFormatting sqref="G8">
    <cfRule type="containsText" dxfId="1251" priority="27" operator="containsText" text="DA SALDARE">
      <formula>NOT(ISERROR(SEARCH("DA SALDARE",G8)))</formula>
    </cfRule>
    <cfRule type="containsText" dxfId="1250" priority="25" operator="containsText" text="DA PAGARE">
      <formula>NOT(ISERROR(SEARCH("DA PAGARE",G8)))</formula>
    </cfRule>
    <cfRule type="containsText" dxfId="1249" priority="26" operator="containsText" text="SCADUTA">
      <formula>NOT(ISERROR(SEARCH("SCADUTA",G8)))</formula>
    </cfRule>
    <cfRule type="containsText" dxfId="1248" priority="28" operator="containsText" text="PAGATA">
      <formula>NOT(ISERROR(SEARCH("PAGATA",G8)))</formula>
    </cfRule>
  </conditionalFormatting>
  <conditionalFormatting sqref="G9:G17">
    <cfRule type="containsText" dxfId="1247" priority="61" operator="containsText" text="DA PAGARE">
      <formula>NOT(ISERROR(SEARCH("DA PAGARE",G9)))</formula>
    </cfRule>
    <cfRule type="containsText" dxfId="1246" priority="62" operator="containsText" text="SCADUTA">
      <formula>NOT(ISERROR(SEARCH("SCADUTA",G9)))</formula>
    </cfRule>
    <cfRule type="containsText" dxfId="1245" priority="63" operator="containsText" text="DA SALDARE">
      <formula>NOT(ISERROR(SEARCH("DA SALDARE",G9)))</formula>
    </cfRule>
    <cfRule type="containsText" dxfId="1244" priority="64" operator="containsText" text="PAGATA">
      <formula>NOT(ISERROR(SEARCH("PAGATA",G9)))</formula>
    </cfRule>
  </conditionalFormatting>
  <conditionalFormatting sqref="G15:G24">
    <cfRule type="containsText" dxfId="1243" priority="81" operator="containsText" text="DA PAGARE">
      <formula>NOT(ISERROR(SEARCH("DA PAGARE",G15)))</formula>
    </cfRule>
    <cfRule type="containsText" dxfId="1242" priority="82" operator="containsText" text="SCADUTA">
      <formula>NOT(ISERROR(SEARCH("SCADUTA",G15)))</formula>
    </cfRule>
    <cfRule type="containsText" dxfId="1241" priority="83" operator="containsText" text="DA SALDARE">
      <formula>NOT(ISERROR(SEARCH("DA SALDARE",G15)))</formula>
    </cfRule>
    <cfRule type="containsText" dxfId="1240" priority="84" operator="containsText" text="PAGATA">
      <formula>NOT(ISERROR(SEARCH("PAGATA",G15)))</formula>
    </cfRule>
  </conditionalFormatting>
  <conditionalFormatting sqref="G19:G54">
    <cfRule type="containsText" dxfId="1239" priority="22" operator="containsText" text="SCADUTA">
      <formula>NOT(ISERROR(SEARCH("SCADUTA",G19)))</formula>
    </cfRule>
    <cfRule type="containsText" dxfId="1238" priority="23" operator="containsText" text="DA SALDARE">
      <formula>NOT(ISERROR(SEARCH("DA SALDARE",G19)))</formula>
    </cfRule>
    <cfRule type="containsText" dxfId="1237" priority="24" operator="containsText" text="PAGATA">
      <formula>NOT(ISERROR(SEARCH("PAGATA",G19)))</formula>
    </cfRule>
  </conditionalFormatting>
  <conditionalFormatting sqref="G19:G1048576">
    <cfRule type="containsText" dxfId="1236" priority="21" operator="containsText" text="DA PAGARE">
      <formula>NOT(ISERROR(SEARCH("DA PAGARE",G19)))</formula>
    </cfRule>
  </conditionalFormatting>
  <conditionalFormatting sqref="G29:G41">
    <cfRule type="containsText" dxfId="1235" priority="8" operator="containsText" text="PAGATA">
      <formula>NOT(ISERROR(SEARCH("PAGATA",G29)))</formula>
    </cfRule>
    <cfRule type="containsText" dxfId="1234" priority="7" operator="containsText" text="DA SALDARE">
      <formula>NOT(ISERROR(SEARCH("DA SALDARE",G29)))</formula>
    </cfRule>
    <cfRule type="containsText" dxfId="1233" priority="6" operator="containsText" text="SCADUTA">
      <formula>NOT(ISERROR(SEARCH("SCADUTA",G29)))</formula>
    </cfRule>
    <cfRule type="containsText" dxfId="1232" priority="5" operator="containsText" text="DA PAGARE">
      <formula>NOT(ISERROR(SEARCH("DA PAGARE",G29)))</formula>
    </cfRule>
  </conditionalFormatting>
  <conditionalFormatting sqref="H1">
    <cfRule type="containsText" dxfId="1231" priority="217" operator="containsText" text="DA PAGARE">
      <formula>NOT(ISERROR(SEARCH("DA PAGARE",H1)))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B17E-2258-5642-BD6D-21BDD76C8CBA}">
  <sheetPr>
    <tabColor rgb="FF92D050"/>
  </sheetPr>
  <dimension ref="A1:CJ24428"/>
  <sheetViews>
    <sheetView zoomScaleNormal="100" workbookViewId="0">
      <pane ySplit="6" topLeftCell="A2572" activePane="bottomLeft" state="frozen"/>
      <selection activeCell="E1" sqref="E1"/>
      <selection pane="bottomLeft" activeCell="D2590" sqref="D2590"/>
    </sheetView>
  </sheetViews>
  <sheetFormatPr baseColWidth="10" defaultColWidth="10.83203125" defaultRowHeight="17" customHeight="1"/>
  <cols>
    <col min="1" max="1" width="1.83203125" style="234" customWidth="1"/>
    <col min="2" max="2" width="10.6640625" style="271" customWidth="1"/>
    <col min="3" max="3" width="24.33203125" style="449" customWidth="1"/>
    <col min="4" max="4" width="47.1640625" style="240" customWidth="1"/>
    <col min="5" max="5" width="22.1640625" style="269" customWidth="1"/>
    <col min="6" max="6" width="22.1640625" style="270" customWidth="1"/>
    <col min="7" max="7" width="41.33203125" style="234" customWidth="1"/>
    <col min="8" max="8" width="38.83203125" style="238" customWidth="1"/>
    <col min="9" max="9" width="12.33203125" style="237" customWidth="1"/>
    <col min="10" max="11" width="20.6640625" style="232" customWidth="1"/>
    <col min="12" max="12" width="11.6640625" style="232" bestFit="1" customWidth="1"/>
    <col min="13" max="88" width="10.83203125" style="232"/>
    <col min="89" max="16384" width="10.83203125" style="240"/>
  </cols>
  <sheetData>
    <row r="1" spans="1:88" s="232" customFormat="1" ht="1" customHeight="1">
      <c r="A1" s="234"/>
      <c r="B1" s="233"/>
      <c r="C1" s="238"/>
      <c r="E1" s="235">
        <f>SUM(E8:E2885)</f>
        <v>536410.59000000032</v>
      </c>
      <c r="F1" s="236">
        <f>SUM(F8:F2885)</f>
        <v>560741.62857142929</v>
      </c>
      <c r="G1" s="237">
        <f>E1-F1</f>
        <v>-24331.038571428973</v>
      </c>
      <c r="H1" s="238"/>
      <c r="I1" s="237"/>
    </row>
    <row r="2" spans="1:88" ht="42" customHeight="1">
      <c r="B2" s="941" t="s">
        <v>134</v>
      </c>
      <c r="C2" s="941"/>
      <c r="D2" s="941"/>
      <c r="E2" s="941"/>
      <c r="F2" s="941"/>
      <c r="G2" s="941"/>
      <c r="H2" s="941"/>
      <c r="I2" s="243"/>
    </row>
    <row r="3" spans="1:88" s="232" customFormat="1" ht="16" customHeight="1">
      <c r="A3" s="234"/>
      <c r="B3" s="942" t="s">
        <v>128</v>
      </c>
      <c r="C3" s="942"/>
      <c r="D3" s="241">
        <v>115560.07</v>
      </c>
      <c r="E3" s="943" t="s">
        <v>501</v>
      </c>
      <c r="F3" s="944"/>
      <c r="G3" s="944"/>
      <c r="H3" s="944"/>
      <c r="I3" s="243"/>
      <c r="K3" s="243"/>
    </row>
    <row r="4" spans="1:88" s="232" customFormat="1" ht="19" customHeight="1">
      <c r="A4" s="234"/>
      <c r="B4" s="942" t="s">
        <v>301</v>
      </c>
      <c r="C4" s="942"/>
      <c r="D4" s="241">
        <f>D3+SUM(E7:E7859)-SUM(F7:F7859)</f>
        <v>91194.031428571092</v>
      </c>
      <c r="E4" s="943"/>
      <c r="F4" s="944"/>
      <c r="G4" s="944"/>
      <c r="H4" s="944"/>
      <c r="I4" s="243"/>
      <c r="K4" s="243"/>
    </row>
    <row r="5" spans="1:88" s="232" customFormat="1" ht="39" customHeight="1">
      <c r="A5" s="234"/>
      <c r="B5" s="942"/>
      <c r="C5" s="942"/>
      <c r="D5" s="275"/>
      <c r="E5" s="275"/>
      <c r="F5" s="275"/>
      <c r="G5" s="275"/>
      <c r="H5" s="276"/>
      <c r="I5" s="244"/>
    </row>
    <row r="6" spans="1:88" s="252" customFormat="1" ht="17" customHeight="1">
      <c r="A6" s="242"/>
      <c r="B6" s="245" t="s">
        <v>291</v>
      </c>
      <c r="C6" s="277" t="s">
        <v>302</v>
      </c>
      <c r="D6" s="246" t="s">
        <v>303</v>
      </c>
      <c r="E6" s="247" t="s">
        <v>304</v>
      </c>
      <c r="F6" s="248" t="s">
        <v>305</v>
      </c>
      <c r="G6" s="249" t="s">
        <v>503</v>
      </c>
      <c r="H6" s="250" t="s">
        <v>292</v>
      </c>
      <c r="I6" s="251" t="s">
        <v>504</v>
      </c>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2"/>
      <c r="BT6" s="242"/>
      <c r="BU6" s="242"/>
      <c r="BV6" s="242"/>
      <c r="BW6" s="242"/>
      <c r="BX6" s="242"/>
      <c r="BY6" s="242"/>
      <c r="BZ6" s="242"/>
      <c r="CA6" s="242"/>
      <c r="CB6" s="242"/>
      <c r="CC6" s="242"/>
      <c r="CD6" s="242"/>
      <c r="CE6" s="242"/>
      <c r="CF6" s="242"/>
      <c r="CG6" s="242"/>
      <c r="CH6" s="242"/>
      <c r="CI6" s="242"/>
      <c r="CJ6" s="242"/>
    </row>
    <row r="7" spans="1:88" s="252" customFormat="1" ht="17" customHeight="1">
      <c r="A7" s="940"/>
      <c r="B7" s="253">
        <v>45659</v>
      </c>
      <c r="C7" s="263" t="s">
        <v>117</v>
      </c>
      <c r="D7" s="261" t="s">
        <v>505</v>
      </c>
      <c r="E7" s="256"/>
      <c r="F7" s="257">
        <v>35</v>
      </c>
      <c r="G7" s="258" t="s">
        <v>139</v>
      </c>
      <c r="H7" s="250"/>
      <c r="I7" s="541">
        <f>D3+E7-F7</f>
        <v>115525.07</v>
      </c>
      <c r="J7" s="242"/>
      <c r="K7" s="242"/>
      <c r="L7" s="242"/>
      <c r="M7" s="242"/>
      <c r="N7" s="242"/>
      <c r="O7" s="242"/>
      <c r="P7" s="242"/>
      <c r="Q7" s="242"/>
      <c r="R7" s="242"/>
      <c r="S7" s="242"/>
      <c r="T7" s="242"/>
      <c r="U7" s="242"/>
      <c r="V7" s="242"/>
      <c r="W7" s="242"/>
      <c r="X7" s="242"/>
      <c r="Y7" s="242"/>
      <c r="Z7" s="242"/>
      <c r="AA7" s="242"/>
      <c r="AB7" s="242"/>
      <c r="AC7" s="242"/>
      <c r="AD7" s="242"/>
      <c r="AE7" s="242"/>
      <c r="AF7" s="242"/>
      <c r="AG7" s="242"/>
      <c r="AH7" s="242"/>
      <c r="AI7" s="242"/>
      <c r="AJ7" s="242"/>
      <c r="AK7" s="242"/>
      <c r="AL7" s="242"/>
      <c r="AM7" s="242"/>
      <c r="AN7" s="242"/>
      <c r="AO7" s="242"/>
      <c r="AP7" s="242"/>
      <c r="AQ7" s="242"/>
      <c r="AR7" s="242"/>
      <c r="AS7" s="242"/>
      <c r="AT7" s="242"/>
      <c r="AU7" s="242"/>
      <c r="AV7" s="242"/>
      <c r="AW7" s="242"/>
      <c r="AX7" s="242"/>
      <c r="AY7" s="242"/>
      <c r="AZ7" s="242"/>
      <c r="BA7" s="242"/>
      <c r="BB7" s="242"/>
      <c r="BC7" s="242"/>
      <c r="BD7" s="242"/>
      <c r="BE7" s="242"/>
      <c r="BF7" s="242"/>
      <c r="BG7" s="242"/>
      <c r="BH7" s="242"/>
      <c r="BI7" s="242"/>
      <c r="BJ7" s="242"/>
      <c r="BK7" s="242"/>
      <c r="BL7" s="242"/>
      <c r="BM7" s="242"/>
      <c r="BN7" s="242"/>
      <c r="BO7" s="242"/>
      <c r="BP7" s="242"/>
      <c r="BQ7" s="242"/>
      <c r="BR7" s="242"/>
      <c r="BS7" s="242"/>
      <c r="BT7" s="242"/>
      <c r="BU7" s="242"/>
      <c r="BV7" s="242"/>
      <c r="BW7" s="242"/>
      <c r="BX7" s="242"/>
      <c r="BY7" s="242"/>
      <c r="BZ7" s="242"/>
      <c r="CA7" s="242"/>
      <c r="CB7" s="242"/>
      <c r="CC7" s="242"/>
      <c r="CD7" s="242"/>
      <c r="CE7" s="242"/>
      <c r="CF7" s="242"/>
      <c r="CG7" s="242"/>
      <c r="CH7" s="242"/>
      <c r="CI7" s="242"/>
      <c r="CJ7" s="242"/>
    </row>
    <row r="8" spans="1:88" ht="17" customHeight="1">
      <c r="A8" s="940"/>
      <c r="B8" s="253">
        <v>45659</v>
      </c>
      <c r="C8" s="263" t="s">
        <v>117</v>
      </c>
      <c r="D8" s="261" t="s">
        <v>506</v>
      </c>
      <c r="E8" s="256"/>
      <c r="F8" s="257">
        <v>25</v>
      </c>
      <c r="G8" s="258" t="s">
        <v>249</v>
      </c>
      <c r="H8" s="259"/>
      <c r="I8" s="541">
        <f>I7+E8-F8</f>
        <v>115500.07</v>
      </c>
      <c r="K8" s="243"/>
    </row>
    <row r="9" spans="1:88" ht="17" customHeight="1">
      <c r="A9" s="940"/>
      <c r="B9" s="253">
        <v>45659</v>
      </c>
      <c r="C9" s="263" t="s">
        <v>117</v>
      </c>
      <c r="D9" s="261" t="s">
        <v>507</v>
      </c>
      <c r="E9" s="256"/>
      <c r="F9" s="257">
        <v>8.1999999999999993</v>
      </c>
      <c r="G9" s="258" t="s">
        <v>199</v>
      </c>
      <c r="H9" s="259"/>
      <c r="I9" s="541">
        <f t="shared" ref="I9:I72" si="0">I8+E9-F9</f>
        <v>115491.87000000001</v>
      </c>
      <c r="K9" s="243"/>
    </row>
    <row r="10" spans="1:88" ht="17" customHeight="1">
      <c r="A10" s="940"/>
      <c r="B10" s="253">
        <v>45659</v>
      </c>
      <c r="C10" s="263" t="s">
        <v>283</v>
      </c>
      <c r="D10" s="255" t="s">
        <v>283</v>
      </c>
      <c r="E10" s="256">
        <f>1058.2-E11</f>
        <v>965.5</v>
      </c>
      <c r="F10" s="257"/>
      <c r="G10" s="258" t="s">
        <v>190</v>
      </c>
      <c r="H10" s="259"/>
      <c r="I10" s="541">
        <f t="shared" si="0"/>
        <v>116457.37000000001</v>
      </c>
      <c r="K10" s="243"/>
    </row>
    <row r="11" spans="1:88" ht="17" customHeight="1">
      <c r="A11" s="940"/>
      <c r="B11" s="253">
        <v>45659</v>
      </c>
      <c r="C11" s="263" t="s">
        <v>283</v>
      </c>
      <c r="D11" s="255" t="s">
        <v>508</v>
      </c>
      <c r="E11" s="256">
        <v>92.7</v>
      </c>
      <c r="F11" s="257"/>
      <c r="G11" s="258" t="s">
        <v>276</v>
      </c>
      <c r="H11" s="259"/>
      <c r="I11" s="541">
        <f t="shared" si="0"/>
        <v>116550.07</v>
      </c>
      <c r="K11" s="243"/>
    </row>
    <row r="12" spans="1:88" ht="17" customHeight="1">
      <c r="A12" s="940"/>
      <c r="B12" s="253">
        <v>45660</v>
      </c>
      <c r="C12" s="263" t="s">
        <v>117</v>
      </c>
      <c r="D12" s="255" t="s">
        <v>306</v>
      </c>
      <c r="E12" s="256"/>
      <c r="F12" s="257">
        <v>790.35</v>
      </c>
      <c r="G12" s="258" t="s">
        <v>194</v>
      </c>
      <c r="H12" s="259"/>
      <c r="I12" s="541">
        <f t="shared" si="0"/>
        <v>115759.72</v>
      </c>
      <c r="K12" s="243"/>
    </row>
    <row r="13" spans="1:88" ht="17" customHeight="1">
      <c r="A13" s="940"/>
      <c r="B13" s="253">
        <v>45660</v>
      </c>
      <c r="C13" s="263" t="s">
        <v>117</v>
      </c>
      <c r="D13" s="255" t="s">
        <v>509</v>
      </c>
      <c r="E13" s="256"/>
      <c r="F13" s="257">
        <v>1.4</v>
      </c>
      <c r="G13" s="258" t="s">
        <v>194</v>
      </c>
      <c r="H13" s="259"/>
      <c r="I13" s="541">
        <f t="shared" si="0"/>
        <v>115758.32</v>
      </c>
      <c r="K13" s="243"/>
    </row>
    <row r="14" spans="1:88" ht="17" customHeight="1">
      <c r="A14" s="940"/>
      <c r="B14" s="253">
        <v>45660</v>
      </c>
      <c r="C14" s="263" t="s">
        <v>117</v>
      </c>
      <c r="D14" s="261" t="s">
        <v>506</v>
      </c>
      <c r="E14" s="256"/>
      <c r="F14" s="257">
        <v>20</v>
      </c>
      <c r="G14" s="258" t="s">
        <v>249</v>
      </c>
      <c r="H14" s="259"/>
      <c r="I14" s="541">
        <f t="shared" si="0"/>
        <v>115738.32</v>
      </c>
      <c r="K14" s="243"/>
    </row>
    <row r="15" spans="1:88" ht="17" customHeight="1">
      <c r="A15" s="940"/>
      <c r="B15" s="253">
        <v>45660</v>
      </c>
      <c r="C15" s="263" t="s">
        <v>117</v>
      </c>
      <c r="D15" s="261" t="s">
        <v>510</v>
      </c>
      <c r="E15" s="256"/>
      <c r="F15" s="257">
        <v>80</v>
      </c>
      <c r="G15" s="258" t="s">
        <v>234</v>
      </c>
      <c r="H15" s="259"/>
      <c r="I15" s="541">
        <f t="shared" si="0"/>
        <v>115658.32</v>
      </c>
      <c r="K15" s="243"/>
    </row>
    <row r="16" spans="1:88" ht="17" customHeight="1">
      <c r="A16" s="940"/>
      <c r="B16" s="253">
        <v>45660</v>
      </c>
      <c r="C16" s="265" t="s">
        <v>511</v>
      </c>
      <c r="D16" s="261" t="s">
        <v>512</v>
      </c>
      <c r="E16" s="256"/>
      <c r="F16" s="257">
        <f>46-1.77</f>
        <v>44.23</v>
      </c>
      <c r="G16" s="258" t="s">
        <v>199</v>
      </c>
      <c r="H16" s="259"/>
      <c r="I16" s="541">
        <f t="shared" si="0"/>
        <v>115614.09000000001</v>
      </c>
      <c r="K16" s="243"/>
    </row>
    <row r="17" spans="1:11" ht="17" customHeight="1">
      <c r="A17" s="940"/>
      <c r="B17" s="253">
        <v>45660</v>
      </c>
      <c r="C17" s="265" t="s">
        <v>511</v>
      </c>
      <c r="D17" s="261" t="s">
        <v>512</v>
      </c>
      <c r="E17" s="256"/>
      <c r="F17" s="257">
        <v>1.77</v>
      </c>
      <c r="G17" s="258" t="s">
        <v>274</v>
      </c>
      <c r="H17" s="259"/>
      <c r="I17" s="541">
        <f t="shared" si="0"/>
        <v>115612.32</v>
      </c>
      <c r="K17" s="243"/>
    </row>
    <row r="18" spans="1:11" ht="17" customHeight="1">
      <c r="A18" s="940"/>
      <c r="B18" s="253">
        <v>45660</v>
      </c>
      <c r="C18" s="263" t="s">
        <v>513</v>
      </c>
      <c r="D18" s="261" t="s">
        <v>514</v>
      </c>
      <c r="E18" s="256"/>
      <c r="F18" s="257">
        <v>145</v>
      </c>
      <c r="G18" s="258" t="s">
        <v>248</v>
      </c>
      <c r="H18" s="259"/>
      <c r="I18" s="541">
        <f t="shared" si="0"/>
        <v>115467.32</v>
      </c>
      <c r="K18" s="243"/>
    </row>
    <row r="19" spans="1:11" ht="17" customHeight="1">
      <c r="A19" s="940"/>
      <c r="B19" s="253">
        <v>45660</v>
      </c>
      <c r="C19" s="263" t="s">
        <v>283</v>
      </c>
      <c r="D19" s="255" t="s">
        <v>283</v>
      </c>
      <c r="E19" s="256">
        <f>886-E20</f>
        <v>721.31</v>
      </c>
      <c r="F19" s="257"/>
      <c r="G19" s="258" t="s">
        <v>190</v>
      </c>
      <c r="H19" s="259"/>
      <c r="I19" s="541">
        <f t="shared" si="0"/>
        <v>116188.63</v>
      </c>
    </row>
    <row r="20" spans="1:11" ht="17" customHeight="1">
      <c r="A20" s="940"/>
      <c r="B20" s="253">
        <v>45660</v>
      </c>
      <c r="C20" s="263" t="s">
        <v>283</v>
      </c>
      <c r="D20" s="255" t="s">
        <v>508</v>
      </c>
      <c r="E20" s="256">
        <v>164.69</v>
      </c>
      <c r="F20" s="257"/>
      <c r="G20" s="258" t="s">
        <v>276</v>
      </c>
      <c r="H20" s="259"/>
      <c r="I20" s="541">
        <f t="shared" si="0"/>
        <v>116353.32</v>
      </c>
      <c r="K20" s="243"/>
    </row>
    <row r="21" spans="1:11" ht="17" customHeight="1">
      <c r="A21" s="940"/>
      <c r="B21" s="253">
        <v>45661</v>
      </c>
      <c r="C21" s="263" t="s">
        <v>117</v>
      </c>
      <c r="D21" s="255" t="s">
        <v>515</v>
      </c>
      <c r="E21" s="256"/>
      <c r="F21" s="257">
        <v>76.47</v>
      </c>
      <c r="G21" s="258" t="s">
        <v>199</v>
      </c>
      <c r="H21" s="259"/>
      <c r="I21" s="541">
        <f t="shared" si="0"/>
        <v>116276.85</v>
      </c>
    </row>
    <row r="22" spans="1:11" ht="17" customHeight="1">
      <c r="A22" s="940"/>
      <c r="B22" s="253">
        <v>45661</v>
      </c>
      <c r="C22" s="263" t="s">
        <v>117</v>
      </c>
      <c r="D22" s="255" t="s">
        <v>516</v>
      </c>
      <c r="E22" s="256"/>
      <c r="F22" s="257">
        <v>124</v>
      </c>
      <c r="G22" s="258" t="s">
        <v>201</v>
      </c>
      <c r="H22" s="259"/>
      <c r="I22" s="541">
        <f t="shared" si="0"/>
        <v>116152.85</v>
      </c>
    </row>
    <row r="23" spans="1:11" ht="17" customHeight="1">
      <c r="A23" s="940"/>
      <c r="B23" s="253">
        <v>45661</v>
      </c>
      <c r="C23" s="263" t="s">
        <v>117</v>
      </c>
      <c r="D23" s="255" t="s">
        <v>517</v>
      </c>
      <c r="E23" s="256"/>
      <c r="F23" s="257">
        <v>80</v>
      </c>
      <c r="G23" s="258" t="s">
        <v>234</v>
      </c>
      <c r="H23" s="259"/>
      <c r="I23" s="541">
        <f t="shared" si="0"/>
        <v>116072.85</v>
      </c>
    </row>
    <row r="24" spans="1:11" ht="17" customHeight="1">
      <c r="A24" s="940"/>
      <c r="B24" s="253">
        <v>45661</v>
      </c>
      <c r="C24" s="263" t="s">
        <v>117</v>
      </c>
      <c r="D24" s="255" t="s">
        <v>518</v>
      </c>
      <c r="E24" s="256"/>
      <c r="F24" s="257">
        <v>8</v>
      </c>
      <c r="G24" s="258" t="s">
        <v>199</v>
      </c>
      <c r="H24" s="259"/>
      <c r="I24" s="541">
        <f t="shared" si="0"/>
        <v>116064.85</v>
      </c>
    </row>
    <row r="25" spans="1:11" ht="17" customHeight="1">
      <c r="A25" s="940"/>
      <c r="B25" s="253">
        <v>45661</v>
      </c>
      <c r="C25" s="263" t="s">
        <v>283</v>
      </c>
      <c r="D25" s="255" t="s">
        <v>283</v>
      </c>
      <c r="E25" s="256">
        <f>938-E26</f>
        <v>782.45</v>
      </c>
      <c r="F25" s="257"/>
      <c r="G25" s="258" t="s">
        <v>190</v>
      </c>
      <c r="H25" s="259"/>
      <c r="I25" s="541">
        <f t="shared" si="0"/>
        <v>116847.3</v>
      </c>
      <c r="K25" s="243"/>
    </row>
    <row r="26" spans="1:11" ht="17" customHeight="1">
      <c r="A26" s="940"/>
      <c r="B26" s="253">
        <v>45661</v>
      </c>
      <c r="C26" s="263" t="s">
        <v>283</v>
      </c>
      <c r="D26" s="255" t="s">
        <v>508</v>
      </c>
      <c r="E26" s="256">
        <v>155.55000000000001</v>
      </c>
      <c r="F26" s="257"/>
      <c r="G26" s="258" t="s">
        <v>276</v>
      </c>
      <c r="H26" s="259"/>
      <c r="I26" s="541">
        <f t="shared" si="0"/>
        <v>117002.85</v>
      </c>
      <c r="K26" s="243"/>
    </row>
    <row r="27" spans="1:11" ht="17" customHeight="1">
      <c r="A27" s="940"/>
      <c r="B27" s="253">
        <v>45662</v>
      </c>
      <c r="C27" s="263" t="s">
        <v>513</v>
      </c>
      <c r="D27" s="261" t="s">
        <v>514</v>
      </c>
      <c r="E27" s="256"/>
      <c r="F27" s="257">
        <v>145</v>
      </c>
      <c r="G27" s="258" t="s">
        <v>248</v>
      </c>
      <c r="H27" s="259"/>
      <c r="I27" s="541">
        <f t="shared" si="0"/>
        <v>116857.85</v>
      </c>
      <c r="K27" s="243"/>
    </row>
    <row r="28" spans="1:11" ht="17" customHeight="1">
      <c r="A28" s="940"/>
      <c r="B28" s="253">
        <v>45662</v>
      </c>
      <c r="C28" s="263" t="s">
        <v>117</v>
      </c>
      <c r="D28" s="255" t="s">
        <v>517</v>
      </c>
      <c r="E28" s="256"/>
      <c r="F28" s="257">
        <v>80</v>
      </c>
      <c r="G28" s="258" t="s">
        <v>234</v>
      </c>
      <c r="H28" s="259"/>
      <c r="I28" s="541">
        <f t="shared" si="0"/>
        <v>116777.85</v>
      </c>
    </row>
    <row r="29" spans="1:11" ht="17" customHeight="1">
      <c r="A29" s="940"/>
      <c r="B29" s="253">
        <v>45662</v>
      </c>
      <c r="C29" s="263" t="s">
        <v>117</v>
      </c>
      <c r="D29" s="261" t="s">
        <v>506</v>
      </c>
      <c r="E29" s="256"/>
      <c r="F29" s="257">
        <v>20</v>
      </c>
      <c r="G29" s="258" t="s">
        <v>249</v>
      </c>
      <c r="H29" s="259"/>
      <c r="I29" s="541">
        <f t="shared" si="0"/>
        <v>116757.85</v>
      </c>
    </row>
    <row r="30" spans="1:11" ht="17" customHeight="1">
      <c r="A30" s="940"/>
      <c r="B30" s="253">
        <v>45662</v>
      </c>
      <c r="C30" s="263" t="s">
        <v>117</v>
      </c>
      <c r="D30" s="261" t="s">
        <v>519</v>
      </c>
      <c r="E30" s="256"/>
      <c r="F30" s="257">
        <v>79</v>
      </c>
      <c r="G30" s="258" t="s">
        <v>202</v>
      </c>
      <c r="H30" s="259"/>
      <c r="I30" s="541">
        <f t="shared" si="0"/>
        <v>116678.85</v>
      </c>
    </row>
    <row r="31" spans="1:11" ht="17" customHeight="1">
      <c r="A31" s="940"/>
      <c r="B31" s="253">
        <v>45662</v>
      </c>
      <c r="C31" s="263" t="s">
        <v>286</v>
      </c>
      <c r="D31" s="261" t="s">
        <v>520</v>
      </c>
      <c r="E31" s="256"/>
      <c r="F31" s="257">
        <v>100</v>
      </c>
      <c r="G31" s="258" t="s">
        <v>139</v>
      </c>
      <c r="H31" s="259"/>
      <c r="I31" s="541">
        <f t="shared" si="0"/>
        <v>116578.85</v>
      </c>
    </row>
    <row r="32" spans="1:11" ht="17" customHeight="1">
      <c r="A32" s="940"/>
      <c r="B32" s="253">
        <v>45662</v>
      </c>
      <c r="C32" s="263" t="s">
        <v>283</v>
      </c>
      <c r="D32" s="255" t="s">
        <v>283</v>
      </c>
      <c r="E32" s="256">
        <f>1485.4-E33</f>
        <v>1376.23</v>
      </c>
      <c r="F32" s="257"/>
      <c r="G32" s="258" t="s">
        <v>190</v>
      </c>
      <c r="H32" s="259"/>
      <c r="I32" s="541">
        <f t="shared" si="0"/>
        <v>117955.08</v>
      </c>
    </row>
    <row r="33" spans="1:11" ht="17" customHeight="1">
      <c r="A33" s="940"/>
      <c r="B33" s="253">
        <v>45662</v>
      </c>
      <c r="C33" s="263" t="s">
        <v>283</v>
      </c>
      <c r="D33" s="255" t="s">
        <v>508</v>
      </c>
      <c r="E33" s="256">
        <v>109.17</v>
      </c>
      <c r="F33" s="257"/>
      <c r="G33" s="258" t="s">
        <v>276</v>
      </c>
      <c r="H33" s="259"/>
      <c r="I33" s="541">
        <f t="shared" si="0"/>
        <v>118064.25</v>
      </c>
    </row>
    <row r="34" spans="1:11" ht="17" customHeight="1">
      <c r="A34" s="940"/>
      <c r="B34" s="253">
        <v>45663</v>
      </c>
      <c r="C34" s="263" t="s">
        <v>286</v>
      </c>
      <c r="D34" s="261" t="s">
        <v>520</v>
      </c>
      <c r="E34" s="256"/>
      <c r="F34" s="257">
        <v>200</v>
      </c>
      <c r="G34" s="258" t="s">
        <v>139</v>
      </c>
      <c r="H34" s="259"/>
      <c r="I34" s="541">
        <f t="shared" si="0"/>
        <v>117864.25</v>
      </c>
    </row>
    <row r="35" spans="1:11" ht="17" customHeight="1">
      <c r="A35" s="940"/>
      <c r="B35" s="253">
        <v>45663</v>
      </c>
      <c r="C35" s="263" t="s">
        <v>513</v>
      </c>
      <c r="D35" s="261" t="s">
        <v>514</v>
      </c>
      <c r="E35" s="256"/>
      <c r="F35" s="257">
        <v>75</v>
      </c>
      <c r="G35" s="258" t="s">
        <v>248</v>
      </c>
      <c r="H35" s="259"/>
      <c r="I35" s="541">
        <f t="shared" si="0"/>
        <v>117789.25</v>
      </c>
      <c r="K35" s="243"/>
    </row>
    <row r="36" spans="1:11" ht="17" customHeight="1">
      <c r="A36" s="940"/>
      <c r="B36" s="253">
        <v>45663</v>
      </c>
      <c r="C36" s="263" t="s">
        <v>117</v>
      </c>
      <c r="D36" s="261" t="s">
        <v>506</v>
      </c>
      <c r="E36" s="256"/>
      <c r="F36" s="257">
        <v>25</v>
      </c>
      <c r="G36" s="258" t="s">
        <v>521</v>
      </c>
      <c r="H36" s="259"/>
      <c r="I36" s="541">
        <f t="shared" si="0"/>
        <v>117764.25</v>
      </c>
      <c r="K36" s="243"/>
    </row>
    <row r="37" spans="1:11" ht="17" customHeight="1">
      <c r="A37" s="940"/>
      <c r="B37" s="253">
        <v>45663</v>
      </c>
      <c r="C37" s="263" t="s">
        <v>117</v>
      </c>
      <c r="D37" s="261" t="s">
        <v>522</v>
      </c>
      <c r="E37" s="256"/>
      <c r="F37" s="257">
        <v>150</v>
      </c>
      <c r="G37" s="258" t="s">
        <v>218</v>
      </c>
      <c r="H37" s="540" t="s">
        <v>502</v>
      </c>
      <c r="I37" s="541">
        <f t="shared" si="0"/>
        <v>117614.25</v>
      </c>
      <c r="K37" s="243"/>
    </row>
    <row r="38" spans="1:11" ht="17" customHeight="1">
      <c r="A38" s="940"/>
      <c r="B38" s="253">
        <v>45663</v>
      </c>
      <c r="C38" s="263" t="s">
        <v>117</v>
      </c>
      <c r="D38" s="261" t="s">
        <v>523</v>
      </c>
      <c r="E38" s="256"/>
      <c r="F38" s="257">
        <v>60</v>
      </c>
      <c r="G38" s="258" t="s">
        <v>218</v>
      </c>
      <c r="H38" s="540" t="s">
        <v>502</v>
      </c>
      <c r="I38" s="541">
        <f t="shared" si="0"/>
        <v>117554.25</v>
      </c>
      <c r="K38" s="243"/>
    </row>
    <row r="39" spans="1:11" ht="17" customHeight="1">
      <c r="A39" s="940"/>
      <c r="B39" s="253">
        <v>45663</v>
      </c>
      <c r="C39" s="263" t="s">
        <v>117</v>
      </c>
      <c r="D39" s="261" t="s">
        <v>524</v>
      </c>
      <c r="E39" s="256"/>
      <c r="F39" s="257">
        <v>50</v>
      </c>
      <c r="G39" s="258" t="s">
        <v>227</v>
      </c>
      <c r="H39" s="259"/>
      <c r="I39" s="541">
        <f t="shared" si="0"/>
        <v>117504.25</v>
      </c>
      <c r="K39" s="243"/>
    </row>
    <row r="40" spans="1:11" ht="17" customHeight="1">
      <c r="A40" s="940"/>
      <c r="B40" s="253">
        <v>45663</v>
      </c>
      <c r="C40" s="263" t="s">
        <v>117</v>
      </c>
      <c r="D40" s="261" t="s">
        <v>525</v>
      </c>
      <c r="E40" s="256"/>
      <c r="F40" s="257">
        <v>100</v>
      </c>
      <c r="G40" s="258" t="s">
        <v>229</v>
      </c>
      <c r="H40" s="259"/>
      <c r="I40" s="541">
        <f t="shared" si="0"/>
        <v>117404.25</v>
      </c>
      <c r="K40" s="243"/>
    </row>
    <row r="41" spans="1:11" ht="17" customHeight="1">
      <c r="A41" s="940"/>
      <c r="B41" s="253">
        <v>45663</v>
      </c>
      <c r="C41" s="263" t="s">
        <v>117</v>
      </c>
      <c r="D41" s="261" t="s">
        <v>526</v>
      </c>
      <c r="E41" s="256"/>
      <c r="F41" s="257">
        <v>50</v>
      </c>
      <c r="G41" s="258" t="s">
        <v>229</v>
      </c>
      <c r="H41" s="259"/>
      <c r="I41" s="541">
        <f t="shared" si="0"/>
        <v>117354.25</v>
      </c>
      <c r="K41" s="243"/>
    </row>
    <row r="42" spans="1:11" ht="17" customHeight="1">
      <c r="A42" s="940"/>
      <c r="B42" s="253">
        <v>45663</v>
      </c>
      <c r="C42" s="263" t="s">
        <v>117</v>
      </c>
      <c r="D42" s="261" t="s">
        <v>527</v>
      </c>
      <c r="E42" s="256"/>
      <c r="F42" s="257">
        <v>250</v>
      </c>
      <c r="G42" s="258" t="s">
        <v>233</v>
      </c>
      <c r="H42" s="259"/>
      <c r="I42" s="541">
        <f t="shared" si="0"/>
        <v>117104.25</v>
      </c>
      <c r="K42" s="243"/>
    </row>
    <row r="43" spans="1:11" ht="17" customHeight="1">
      <c r="A43" s="940"/>
      <c r="B43" s="253">
        <v>45663</v>
      </c>
      <c r="C43" s="263" t="s">
        <v>117</v>
      </c>
      <c r="D43" s="261" t="s">
        <v>528</v>
      </c>
      <c r="E43" s="256"/>
      <c r="F43" s="257">
        <v>150</v>
      </c>
      <c r="G43" s="258" t="s">
        <v>233</v>
      </c>
      <c r="H43" s="259"/>
      <c r="I43" s="541">
        <f t="shared" si="0"/>
        <v>116954.25</v>
      </c>
      <c r="K43" s="243"/>
    </row>
    <row r="44" spans="1:11" ht="17" customHeight="1">
      <c r="A44" s="940"/>
      <c r="B44" s="253">
        <v>45663</v>
      </c>
      <c r="C44" s="263" t="s">
        <v>117</v>
      </c>
      <c r="D44" s="261" t="s">
        <v>529</v>
      </c>
      <c r="E44" s="256"/>
      <c r="F44" s="257">
        <v>70</v>
      </c>
      <c r="G44" s="258" t="s">
        <v>233</v>
      </c>
      <c r="H44" s="259"/>
      <c r="I44" s="541">
        <f t="shared" si="0"/>
        <v>116884.25</v>
      </c>
      <c r="K44" s="243"/>
    </row>
    <row r="45" spans="1:11" ht="17" customHeight="1">
      <c r="A45" s="940"/>
      <c r="B45" s="253">
        <v>45663</v>
      </c>
      <c r="C45" s="263" t="s">
        <v>117</v>
      </c>
      <c r="D45" s="261" t="s">
        <v>530</v>
      </c>
      <c r="E45" s="256"/>
      <c r="F45" s="257">
        <v>370</v>
      </c>
      <c r="G45" s="258" t="s">
        <v>229</v>
      </c>
      <c r="H45" s="259"/>
      <c r="I45" s="541">
        <f t="shared" si="0"/>
        <v>116514.25</v>
      </c>
      <c r="K45" s="243"/>
    </row>
    <row r="46" spans="1:11" ht="17" customHeight="1">
      <c r="A46" s="940"/>
      <c r="B46" s="253">
        <v>45663</v>
      </c>
      <c r="C46" s="263" t="s">
        <v>117</v>
      </c>
      <c r="D46" s="261" t="s">
        <v>531</v>
      </c>
      <c r="E46" s="256"/>
      <c r="F46" s="257">
        <v>50</v>
      </c>
      <c r="G46" s="258" t="s">
        <v>229</v>
      </c>
      <c r="H46" s="259"/>
      <c r="I46" s="541">
        <f t="shared" si="0"/>
        <v>116464.25</v>
      </c>
      <c r="K46" s="243"/>
    </row>
    <row r="47" spans="1:11" ht="17" customHeight="1">
      <c r="A47" s="940"/>
      <c r="B47" s="253">
        <v>45663</v>
      </c>
      <c r="C47" s="263" t="s">
        <v>117</v>
      </c>
      <c r="D47" s="261" t="s">
        <v>532</v>
      </c>
      <c r="E47" s="256"/>
      <c r="F47" s="257">
        <v>400</v>
      </c>
      <c r="G47" s="258" t="s">
        <v>231</v>
      </c>
      <c r="H47" s="259"/>
      <c r="I47" s="541">
        <f t="shared" si="0"/>
        <v>116064.25</v>
      </c>
      <c r="K47" s="243"/>
    </row>
    <row r="48" spans="1:11" ht="17" customHeight="1">
      <c r="A48" s="940"/>
      <c r="B48" s="253">
        <v>45663</v>
      </c>
      <c r="C48" s="263" t="s">
        <v>117</v>
      </c>
      <c r="D48" s="261" t="s">
        <v>533</v>
      </c>
      <c r="E48" s="256"/>
      <c r="F48" s="257">
        <v>300</v>
      </c>
      <c r="G48" s="258" t="s">
        <v>230</v>
      </c>
      <c r="H48" s="259"/>
      <c r="I48" s="541">
        <f t="shared" si="0"/>
        <v>115764.25</v>
      </c>
      <c r="K48" s="243"/>
    </row>
    <row r="49" spans="1:11" ht="17" customHeight="1">
      <c r="A49" s="940"/>
      <c r="B49" s="253">
        <v>45663</v>
      </c>
      <c r="C49" s="263" t="s">
        <v>117</v>
      </c>
      <c r="D49" s="261" t="s">
        <v>510</v>
      </c>
      <c r="E49" s="256"/>
      <c r="F49" s="257">
        <v>130</v>
      </c>
      <c r="G49" s="258" t="s">
        <v>230</v>
      </c>
      <c r="H49" s="259"/>
      <c r="I49" s="541">
        <f t="shared" si="0"/>
        <v>115634.25</v>
      </c>
      <c r="K49" s="243"/>
    </row>
    <row r="50" spans="1:11" ht="17" customHeight="1">
      <c r="A50" s="940"/>
      <c r="B50" s="253">
        <v>45663</v>
      </c>
      <c r="C50" s="263" t="s">
        <v>513</v>
      </c>
      <c r="D50" s="255" t="s">
        <v>534</v>
      </c>
      <c r="E50" s="256"/>
      <c r="F50" s="257">
        <v>36</v>
      </c>
      <c r="G50" s="258" t="s">
        <v>245</v>
      </c>
      <c r="H50" s="259"/>
      <c r="I50" s="541">
        <f t="shared" si="0"/>
        <v>115598.25</v>
      </c>
      <c r="K50" s="243"/>
    </row>
    <row r="51" spans="1:11" ht="17" customHeight="1">
      <c r="A51" s="940"/>
      <c r="B51" s="253">
        <v>45663</v>
      </c>
      <c r="C51" s="263" t="s">
        <v>513</v>
      </c>
      <c r="D51" s="255" t="s">
        <v>534</v>
      </c>
      <c r="E51" s="256"/>
      <c r="F51" s="257">
        <v>13.64</v>
      </c>
      <c r="G51" s="258" t="s">
        <v>250</v>
      </c>
      <c r="H51" s="259"/>
      <c r="I51" s="541">
        <f t="shared" si="0"/>
        <v>115584.61</v>
      </c>
      <c r="K51" s="243"/>
    </row>
    <row r="52" spans="1:11" ht="17" customHeight="1">
      <c r="A52" s="940"/>
      <c r="B52" s="253">
        <v>45663</v>
      </c>
      <c r="C52" s="263" t="s">
        <v>513</v>
      </c>
      <c r="D52" s="255" t="s">
        <v>535</v>
      </c>
      <c r="E52" s="256">
        <v>36</v>
      </c>
      <c r="F52" s="257"/>
      <c r="G52" s="258"/>
      <c r="H52" s="259" t="s">
        <v>536</v>
      </c>
      <c r="I52" s="541">
        <f t="shared" si="0"/>
        <v>115620.61</v>
      </c>
      <c r="K52" s="243"/>
    </row>
    <row r="53" spans="1:11" ht="17" customHeight="1">
      <c r="A53" s="940"/>
      <c r="B53" s="253">
        <v>45663</v>
      </c>
      <c r="C53" s="263" t="s">
        <v>513</v>
      </c>
      <c r="D53" s="255" t="s">
        <v>535</v>
      </c>
      <c r="E53" s="256">
        <v>13.64</v>
      </c>
      <c r="F53" s="257"/>
      <c r="G53" s="258"/>
      <c r="H53" s="259" t="s">
        <v>536</v>
      </c>
      <c r="I53" s="541">
        <f t="shared" si="0"/>
        <v>115634.25</v>
      </c>
      <c r="K53" s="243"/>
    </row>
    <row r="54" spans="1:11" ht="17" customHeight="1">
      <c r="A54" s="940"/>
      <c r="B54" s="253">
        <v>45663</v>
      </c>
      <c r="C54" s="263" t="s">
        <v>513</v>
      </c>
      <c r="D54" s="255" t="s">
        <v>537</v>
      </c>
      <c r="E54" s="256"/>
      <c r="F54" s="257">
        <v>80</v>
      </c>
      <c r="G54" s="258" t="s">
        <v>227</v>
      </c>
      <c r="H54" s="259"/>
      <c r="I54" s="541">
        <f t="shared" si="0"/>
        <v>115554.25</v>
      </c>
      <c r="K54" s="243"/>
    </row>
    <row r="55" spans="1:11" ht="17" customHeight="1">
      <c r="A55" s="940"/>
      <c r="B55" s="253">
        <v>45663</v>
      </c>
      <c r="C55" s="263" t="s">
        <v>513</v>
      </c>
      <c r="D55" s="261" t="s">
        <v>538</v>
      </c>
      <c r="E55" s="256"/>
      <c r="F55" s="257">
        <v>30</v>
      </c>
      <c r="G55" s="258" t="s">
        <v>227</v>
      </c>
      <c r="H55" s="259"/>
      <c r="I55" s="541">
        <f t="shared" si="0"/>
        <v>115524.25</v>
      </c>
      <c r="K55" s="243"/>
    </row>
    <row r="56" spans="1:11" ht="17" customHeight="1">
      <c r="A56" s="940"/>
      <c r="B56" s="253">
        <v>45663</v>
      </c>
      <c r="C56" s="263" t="s">
        <v>513</v>
      </c>
      <c r="D56" s="255" t="s">
        <v>30</v>
      </c>
      <c r="E56" s="256"/>
      <c r="F56" s="257">
        <f>36*4</f>
        <v>144</v>
      </c>
      <c r="G56" s="258"/>
      <c r="H56" s="259" t="s">
        <v>539</v>
      </c>
      <c r="I56" s="541">
        <f t="shared" si="0"/>
        <v>115380.25</v>
      </c>
      <c r="K56" s="243"/>
    </row>
    <row r="57" spans="1:11" ht="17" customHeight="1">
      <c r="A57" s="940"/>
      <c r="B57" s="253">
        <v>45663</v>
      </c>
      <c r="C57" s="263" t="s">
        <v>513</v>
      </c>
      <c r="D57" s="255" t="s">
        <v>30</v>
      </c>
      <c r="E57" s="256"/>
      <c r="F57" s="257">
        <f>13.64*4</f>
        <v>54.56</v>
      </c>
      <c r="G57" s="258"/>
      <c r="H57" s="259" t="s">
        <v>539</v>
      </c>
      <c r="I57" s="541">
        <f t="shared" si="0"/>
        <v>115325.69</v>
      </c>
      <c r="K57" s="243"/>
    </row>
    <row r="58" spans="1:11" ht="17" customHeight="1">
      <c r="A58" s="940"/>
      <c r="B58" s="253">
        <v>45663</v>
      </c>
      <c r="C58" s="263" t="s">
        <v>513</v>
      </c>
      <c r="D58" s="255" t="s">
        <v>535</v>
      </c>
      <c r="E58" s="256">
        <v>144</v>
      </c>
      <c r="F58" s="257"/>
      <c r="G58" s="258"/>
      <c r="H58" s="259" t="s">
        <v>539</v>
      </c>
      <c r="I58" s="541">
        <f t="shared" si="0"/>
        <v>115469.69</v>
      </c>
      <c r="K58" s="243"/>
    </row>
    <row r="59" spans="1:11" ht="17" customHeight="1">
      <c r="A59" s="940"/>
      <c r="B59" s="253">
        <v>45663</v>
      </c>
      <c r="C59" s="263" t="s">
        <v>513</v>
      </c>
      <c r="D59" s="255" t="s">
        <v>535</v>
      </c>
      <c r="E59" s="256">
        <v>54.56</v>
      </c>
      <c r="F59" s="257"/>
      <c r="G59" s="258"/>
      <c r="H59" s="259" t="s">
        <v>539</v>
      </c>
      <c r="I59" s="541">
        <f t="shared" si="0"/>
        <v>115524.25</v>
      </c>
      <c r="K59" s="243"/>
    </row>
    <row r="60" spans="1:11" ht="17" customHeight="1">
      <c r="A60" s="940"/>
      <c r="B60" s="253">
        <v>45663</v>
      </c>
      <c r="C60" s="263" t="s">
        <v>283</v>
      </c>
      <c r="D60" s="255" t="s">
        <v>283</v>
      </c>
      <c r="E60" s="256">
        <f>1516.8+350+977+490-E61</f>
        <v>3224.63</v>
      </c>
      <c r="F60" s="257"/>
      <c r="G60" s="258" t="s">
        <v>190</v>
      </c>
      <c r="H60" s="259"/>
      <c r="I60" s="541">
        <f t="shared" si="0"/>
        <v>118748.88</v>
      </c>
      <c r="K60" s="243"/>
    </row>
    <row r="61" spans="1:11" ht="17" customHeight="1">
      <c r="A61" s="940"/>
      <c r="B61" s="253">
        <v>45663</v>
      </c>
      <c r="C61" s="263" t="s">
        <v>283</v>
      </c>
      <c r="D61" s="255" t="s">
        <v>508</v>
      </c>
      <c r="E61" s="256">
        <v>109.17</v>
      </c>
      <c r="F61" s="257"/>
      <c r="G61" s="258" t="s">
        <v>276</v>
      </c>
      <c r="H61" s="259"/>
      <c r="I61" s="541">
        <f t="shared" si="0"/>
        <v>118858.05</v>
      </c>
      <c r="K61" s="243"/>
    </row>
    <row r="62" spans="1:11" ht="17" customHeight="1">
      <c r="A62" s="940"/>
      <c r="B62" s="253">
        <v>45667</v>
      </c>
      <c r="C62" s="263" t="s">
        <v>540</v>
      </c>
      <c r="D62" s="261" t="s">
        <v>512</v>
      </c>
      <c r="E62" s="256"/>
      <c r="F62" s="257">
        <v>35.380000000000003</v>
      </c>
      <c r="G62" s="258" t="s">
        <v>199</v>
      </c>
      <c r="H62" s="259"/>
      <c r="I62" s="541">
        <f t="shared" si="0"/>
        <v>118822.67</v>
      </c>
      <c r="K62" s="243"/>
    </row>
    <row r="63" spans="1:11" ht="17" customHeight="1">
      <c r="A63" s="940"/>
      <c r="B63" s="253">
        <v>45667</v>
      </c>
      <c r="C63" s="263" t="s">
        <v>540</v>
      </c>
      <c r="D63" s="261" t="s">
        <v>512</v>
      </c>
      <c r="E63" s="256"/>
      <c r="F63" s="257">
        <v>1.42</v>
      </c>
      <c r="G63" s="258" t="s">
        <v>274</v>
      </c>
      <c r="H63" s="259"/>
      <c r="I63" s="541">
        <f t="shared" si="0"/>
        <v>118821.25</v>
      </c>
      <c r="K63" s="243"/>
    </row>
    <row r="64" spans="1:11" ht="17" customHeight="1">
      <c r="A64" s="940"/>
      <c r="B64" s="253">
        <v>45667</v>
      </c>
      <c r="C64" s="263" t="s">
        <v>117</v>
      </c>
      <c r="D64" s="261" t="s">
        <v>510</v>
      </c>
      <c r="E64" s="256"/>
      <c r="F64" s="257">
        <v>80</v>
      </c>
      <c r="G64" s="258" t="s">
        <v>234</v>
      </c>
      <c r="H64" s="259"/>
      <c r="I64" s="541">
        <f t="shared" si="0"/>
        <v>118741.25</v>
      </c>
      <c r="K64" s="243"/>
    </row>
    <row r="65" spans="1:11" ht="17" customHeight="1">
      <c r="A65" s="940"/>
      <c r="B65" s="253">
        <v>45667</v>
      </c>
      <c r="C65" s="263" t="s">
        <v>286</v>
      </c>
      <c r="D65" s="261" t="s">
        <v>520</v>
      </c>
      <c r="E65" s="256"/>
      <c r="F65" s="257">
        <v>50</v>
      </c>
      <c r="G65" s="258" t="s">
        <v>139</v>
      </c>
      <c r="H65" s="259"/>
      <c r="I65" s="541">
        <f t="shared" si="0"/>
        <v>118691.25</v>
      </c>
      <c r="K65" s="243"/>
    </row>
    <row r="66" spans="1:11" ht="17" customHeight="1">
      <c r="A66" s="940"/>
      <c r="B66" s="253">
        <v>45667</v>
      </c>
      <c r="C66" s="263" t="s">
        <v>283</v>
      </c>
      <c r="D66" s="255" t="s">
        <v>283</v>
      </c>
      <c r="E66" s="256">
        <f>863.3+80-E67</f>
        <v>720.89</v>
      </c>
      <c r="F66" s="257"/>
      <c r="G66" s="258" t="s">
        <v>190</v>
      </c>
      <c r="H66" s="259"/>
      <c r="I66" s="541">
        <f t="shared" si="0"/>
        <v>119412.14</v>
      </c>
      <c r="K66" s="243"/>
    </row>
    <row r="67" spans="1:11" ht="17" customHeight="1">
      <c r="A67" s="940"/>
      <c r="B67" s="253">
        <v>45667</v>
      </c>
      <c r="C67" s="263" t="s">
        <v>283</v>
      </c>
      <c r="D67" s="255" t="s">
        <v>508</v>
      </c>
      <c r="E67" s="256">
        <v>222.41</v>
      </c>
      <c r="F67" s="257"/>
      <c r="G67" s="258" t="s">
        <v>276</v>
      </c>
      <c r="H67" s="259"/>
      <c r="I67" s="541">
        <f t="shared" si="0"/>
        <v>119634.55</v>
      </c>
      <c r="K67" s="243"/>
    </row>
    <row r="68" spans="1:11" ht="17" customHeight="1">
      <c r="A68" s="940"/>
      <c r="B68" s="253">
        <v>45667</v>
      </c>
      <c r="C68" s="263" t="s">
        <v>541</v>
      </c>
      <c r="D68" s="261" t="s">
        <v>542</v>
      </c>
      <c r="E68" s="256"/>
      <c r="F68" s="257">
        <v>7000</v>
      </c>
      <c r="G68" s="258" t="s">
        <v>277</v>
      </c>
      <c r="H68" s="259"/>
      <c r="I68" s="541">
        <f t="shared" si="0"/>
        <v>112634.55</v>
      </c>
      <c r="K68" s="243"/>
    </row>
    <row r="69" spans="1:11" ht="17" customHeight="1">
      <c r="A69" s="940"/>
      <c r="B69" s="253">
        <v>45668</v>
      </c>
      <c r="C69" s="263" t="s">
        <v>117</v>
      </c>
      <c r="D69" s="261" t="s">
        <v>543</v>
      </c>
      <c r="E69" s="256"/>
      <c r="F69" s="257">
        <v>80</v>
      </c>
      <c r="G69" s="258" t="s">
        <v>234</v>
      </c>
      <c r="H69" s="264"/>
      <c r="I69" s="541">
        <f t="shared" si="0"/>
        <v>112554.55</v>
      </c>
      <c r="K69" s="243"/>
    </row>
    <row r="70" spans="1:11" ht="17" customHeight="1">
      <c r="A70" s="940"/>
      <c r="B70" s="253">
        <v>45668</v>
      </c>
      <c r="C70" s="263" t="s">
        <v>286</v>
      </c>
      <c r="D70" s="261" t="s">
        <v>520</v>
      </c>
      <c r="E70" s="256"/>
      <c r="F70" s="257">
        <v>140</v>
      </c>
      <c r="G70" s="258" t="s">
        <v>139</v>
      </c>
      <c r="H70" s="259"/>
      <c r="I70" s="541">
        <f t="shared" si="0"/>
        <v>112414.55</v>
      </c>
      <c r="K70" s="243"/>
    </row>
    <row r="71" spans="1:11" ht="17" customHeight="1">
      <c r="A71" s="940"/>
      <c r="B71" s="253">
        <v>45668</v>
      </c>
      <c r="C71" s="263" t="s">
        <v>283</v>
      </c>
      <c r="D71" s="255" t="s">
        <v>283</v>
      </c>
      <c r="E71" s="256">
        <f>1720-E72</f>
        <v>1542.51</v>
      </c>
      <c r="F71" s="257"/>
      <c r="G71" s="258" t="s">
        <v>190</v>
      </c>
      <c r="H71" s="259"/>
      <c r="I71" s="541">
        <f t="shared" si="0"/>
        <v>113957.06</v>
      </c>
      <c r="K71" s="243"/>
    </row>
    <row r="72" spans="1:11" ht="17" customHeight="1">
      <c r="A72" s="940"/>
      <c r="B72" s="253">
        <v>45668</v>
      </c>
      <c r="C72" s="263" t="s">
        <v>283</v>
      </c>
      <c r="D72" s="255" t="s">
        <v>508</v>
      </c>
      <c r="E72" s="256">
        <v>177.49</v>
      </c>
      <c r="F72" s="257"/>
      <c r="G72" s="258" t="s">
        <v>276</v>
      </c>
      <c r="H72" s="259"/>
      <c r="I72" s="541">
        <f t="shared" si="0"/>
        <v>114134.55</v>
      </c>
      <c r="K72" s="243"/>
    </row>
    <row r="73" spans="1:11" ht="17" customHeight="1">
      <c r="A73" s="940"/>
      <c r="B73" s="253">
        <v>45669</v>
      </c>
      <c r="C73" s="263">
        <v>9</v>
      </c>
      <c r="D73" s="261" t="s">
        <v>544</v>
      </c>
      <c r="E73" s="256"/>
      <c r="F73" s="257">
        <f>160-29.66</f>
        <v>130.34</v>
      </c>
      <c r="G73" s="258" t="s">
        <v>202</v>
      </c>
      <c r="H73" s="259"/>
      <c r="I73" s="541">
        <f t="shared" ref="I73:I136" si="1">I72+E73-F73</f>
        <v>114004.21</v>
      </c>
      <c r="K73" s="243"/>
    </row>
    <row r="74" spans="1:11" ht="17" customHeight="1">
      <c r="A74" s="940"/>
      <c r="B74" s="253">
        <v>45669</v>
      </c>
      <c r="C74" s="263">
        <v>9</v>
      </c>
      <c r="D74" s="261" t="s">
        <v>544</v>
      </c>
      <c r="E74" s="256"/>
      <c r="F74" s="257">
        <v>29.66</v>
      </c>
      <c r="G74" s="258" t="s">
        <v>274</v>
      </c>
      <c r="H74" s="259"/>
      <c r="I74" s="541">
        <f t="shared" si="1"/>
        <v>113974.55</v>
      </c>
      <c r="K74" s="243"/>
    </row>
    <row r="75" spans="1:11" ht="17" customHeight="1">
      <c r="A75" s="940"/>
      <c r="B75" s="253">
        <v>45669</v>
      </c>
      <c r="C75" s="263" t="s">
        <v>286</v>
      </c>
      <c r="D75" s="261" t="s">
        <v>520</v>
      </c>
      <c r="E75" s="256"/>
      <c r="F75" s="257">
        <v>40</v>
      </c>
      <c r="G75" s="258" t="s">
        <v>139</v>
      </c>
      <c r="H75" s="259"/>
      <c r="I75" s="541">
        <f t="shared" si="1"/>
        <v>113934.55</v>
      </c>
      <c r="K75" s="243"/>
    </row>
    <row r="76" spans="1:11" ht="17" customHeight="1">
      <c r="A76" s="940"/>
      <c r="B76" s="253">
        <v>45669</v>
      </c>
      <c r="C76" s="263" t="s">
        <v>117</v>
      </c>
      <c r="D76" s="261" t="s">
        <v>545</v>
      </c>
      <c r="E76" s="256"/>
      <c r="F76" s="257">
        <v>300</v>
      </c>
      <c r="G76" s="258" t="s">
        <v>208</v>
      </c>
      <c r="H76" s="259"/>
      <c r="I76" s="541">
        <f t="shared" si="1"/>
        <v>113634.55</v>
      </c>
      <c r="K76" s="243"/>
    </row>
    <row r="77" spans="1:11" ht="17" customHeight="1">
      <c r="A77" s="940"/>
      <c r="B77" s="253">
        <v>45669</v>
      </c>
      <c r="C77" s="263" t="s">
        <v>283</v>
      </c>
      <c r="D77" s="255" t="s">
        <v>283</v>
      </c>
      <c r="E77" s="256">
        <f>985+200-E78</f>
        <v>1077.27</v>
      </c>
      <c r="F77" s="257"/>
      <c r="G77" s="258" t="s">
        <v>190</v>
      </c>
      <c r="H77" s="259" t="s">
        <v>546</v>
      </c>
      <c r="I77" s="541">
        <f t="shared" si="1"/>
        <v>114711.82</v>
      </c>
      <c r="K77" s="243"/>
    </row>
    <row r="78" spans="1:11" ht="17" customHeight="1">
      <c r="A78" s="940"/>
      <c r="B78" s="253">
        <v>45669</v>
      </c>
      <c r="C78" s="263" t="s">
        <v>283</v>
      </c>
      <c r="D78" s="255" t="s">
        <v>508</v>
      </c>
      <c r="E78" s="256">
        <v>107.73</v>
      </c>
      <c r="F78" s="257"/>
      <c r="G78" s="258" t="s">
        <v>276</v>
      </c>
      <c r="H78" s="264"/>
      <c r="I78" s="541">
        <f t="shared" si="1"/>
        <v>114819.55</v>
      </c>
      <c r="K78" s="243"/>
    </row>
    <row r="79" spans="1:11" ht="17" customHeight="1">
      <c r="A79" s="940"/>
      <c r="B79" s="253">
        <v>45671</v>
      </c>
      <c r="C79" s="263" t="s">
        <v>283</v>
      </c>
      <c r="D79" s="255" t="s">
        <v>283</v>
      </c>
      <c r="E79" s="256">
        <v>200</v>
      </c>
      <c r="F79" s="257"/>
      <c r="G79" s="258" t="s">
        <v>190</v>
      </c>
      <c r="H79" s="259" t="s">
        <v>547</v>
      </c>
      <c r="I79" s="541">
        <f t="shared" si="1"/>
        <v>115019.55</v>
      </c>
      <c r="K79" s="243"/>
    </row>
    <row r="80" spans="1:11" ht="17" customHeight="1">
      <c r="A80" s="940"/>
      <c r="B80" s="253">
        <v>45671</v>
      </c>
      <c r="C80" s="263" t="s">
        <v>283</v>
      </c>
      <c r="D80" s="255" t="s">
        <v>283</v>
      </c>
      <c r="E80" s="256">
        <v>700</v>
      </c>
      <c r="F80" s="257"/>
      <c r="G80" s="258" t="s">
        <v>190</v>
      </c>
      <c r="H80" s="259" t="s">
        <v>548</v>
      </c>
      <c r="I80" s="541">
        <f t="shared" si="1"/>
        <v>115719.55</v>
      </c>
      <c r="K80" s="243"/>
    </row>
    <row r="81" spans="1:11" ht="17" customHeight="1">
      <c r="A81" s="940"/>
      <c r="B81" s="253">
        <v>45671</v>
      </c>
      <c r="C81" s="263" t="s">
        <v>117</v>
      </c>
      <c r="D81" s="261" t="s">
        <v>507</v>
      </c>
      <c r="E81" s="256"/>
      <c r="F81" s="257">
        <v>7.95</v>
      </c>
      <c r="G81" s="258" t="s">
        <v>199</v>
      </c>
      <c r="H81" s="264"/>
      <c r="I81" s="541">
        <f t="shared" si="1"/>
        <v>115711.6</v>
      </c>
      <c r="K81" s="243"/>
    </row>
    <row r="82" spans="1:11" ht="17" customHeight="1">
      <c r="A82" s="940"/>
      <c r="B82" s="253">
        <v>45671</v>
      </c>
      <c r="C82" s="263" t="s">
        <v>283</v>
      </c>
      <c r="D82" s="255" t="s">
        <v>283</v>
      </c>
      <c r="E82" s="256">
        <f>255-E83</f>
        <v>203.87</v>
      </c>
      <c r="F82" s="257"/>
      <c r="G82" s="258" t="s">
        <v>190</v>
      </c>
      <c r="H82" s="259"/>
      <c r="I82" s="541">
        <f t="shared" si="1"/>
        <v>115915.47</v>
      </c>
      <c r="K82" s="243"/>
    </row>
    <row r="83" spans="1:11" ht="17" customHeight="1">
      <c r="A83" s="940"/>
      <c r="B83" s="253">
        <v>45671</v>
      </c>
      <c r="C83" s="263" t="s">
        <v>283</v>
      </c>
      <c r="D83" s="255" t="s">
        <v>508</v>
      </c>
      <c r="E83" s="256">
        <v>51.13</v>
      </c>
      <c r="F83" s="257"/>
      <c r="G83" s="258" t="s">
        <v>276</v>
      </c>
      <c r="H83" s="264"/>
      <c r="I83" s="541">
        <f t="shared" si="1"/>
        <v>115966.6</v>
      </c>
      <c r="K83" s="243"/>
    </row>
    <row r="84" spans="1:11" ht="17" customHeight="1">
      <c r="A84" s="940"/>
      <c r="B84" s="253">
        <v>45671</v>
      </c>
      <c r="C84" s="263" t="s">
        <v>541</v>
      </c>
      <c r="D84" s="261" t="s">
        <v>542</v>
      </c>
      <c r="E84" s="256"/>
      <c r="F84" s="257">
        <v>4000</v>
      </c>
      <c r="G84" s="258" t="s">
        <v>277</v>
      </c>
      <c r="H84" s="259"/>
      <c r="I84" s="541">
        <f t="shared" si="1"/>
        <v>111966.6</v>
      </c>
      <c r="K84" s="243"/>
    </row>
    <row r="85" spans="1:11" ht="17" customHeight="1">
      <c r="A85" s="940"/>
      <c r="B85" s="253">
        <v>45671</v>
      </c>
      <c r="C85" s="263" t="s">
        <v>541</v>
      </c>
      <c r="D85" s="261" t="s">
        <v>542</v>
      </c>
      <c r="E85" s="256"/>
      <c r="F85" s="257">
        <v>5000</v>
      </c>
      <c r="G85" s="258" t="s">
        <v>277</v>
      </c>
      <c r="H85" s="259"/>
      <c r="I85" s="541">
        <f t="shared" si="1"/>
        <v>106966.6</v>
      </c>
      <c r="K85" s="243"/>
    </row>
    <row r="86" spans="1:11" ht="17" customHeight="1">
      <c r="A86" s="940"/>
      <c r="B86" s="253">
        <v>45672</v>
      </c>
      <c r="C86" s="263" t="s">
        <v>117</v>
      </c>
      <c r="D86" s="261" t="s">
        <v>549</v>
      </c>
      <c r="E86" s="256"/>
      <c r="F86" s="257">
        <v>27.3</v>
      </c>
      <c r="G86" s="258" t="s">
        <v>256</v>
      </c>
      <c r="H86" s="259"/>
      <c r="I86" s="541">
        <f t="shared" si="1"/>
        <v>106939.3</v>
      </c>
      <c r="K86" s="243"/>
    </row>
    <row r="87" spans="1:11" ht="17" customHeight="1">
      <c r="A87" s="940"/>
      <c r="B87" s="253">
        <v>45672</v>
      </c>
      <c r="C87" s="263" t="s">
        <v>286</v>
      </c>
      <c r="D87" s="261" t="s">
        <v>520</v>
      </c>
      <c r="E87" s="256"/>
      <c r="F87" s="257">
        <v>20</v>
      </c>
      <c r="G87" s="258" t="s">
        <v>139</v>
      </c>
      <c r="H87" s="259"/>
      <c r="I87" s="541">
        <f t="shared" si="1"/>
        <v>106919.3</v>
      </c>
      <c r="K87" s="243"/>
    </row>
    <row r="88" spans="1:11" ht="17" customHeight="1">
      <c r="A88" s="940"/>
      <c r="B88" s="253">
        <v>45672</v>
      </c>
      <c r="C88" s="263" t="s">
        <v>117</v>
      </c>
      <c r="D88" s="261" t="s">
        <v>550</v>
      </c>
      <c r="E88" s="256"/>
      <c r="F88" s="257">
        <v>80</v>
      </c>
      <c r="G88" s="258" t="s">
        <v>194</v>
      </c>
      <c r="H88" s="259" t="s">
        <v>551</v>
      </c>
      <c r="I88" s="541">
        <f t="shared" si="1"/>
        <v>106839.3</v>
      </c>
      <c r="K88" s="243"/>
    </row>
    <row r="89" spans="1:11" ht="17" customHeight="1">
      <c r="A89" s="940"/>
      <c r="B89" s="253">
        <v>45672</v>
      </c>
      <c r="C89" s="263" t="s">
        <v>117</v>
      </c>
      <c r="D89" s="261" t="s">
        <v>550</v>
      </c>
      <c r="E89" s="256"/>
      <c r="F89" s="257">
        <v>3620</v>
      </c>
      <c r="G89" s="258" t="s">
        <v>194</v>
      </c>
      <c r="H89" s="259" t="s">
        <v>552</v>
      </c>
      <c r="I89" s="541">
        <f t="shared" si="1"/>
        <v>103219.3</v>
      </c>
      <c r="K89" s="243"/>
    </row>
    <row r="90" spans="1:11" ht="17" customHeight="1">
      <c r="A90" s="940"/>
      <c r="B90" s="253">
        <v>45672</v>
      </c>
      <c r="C90" s="263" t="s">
        <v>283</v>
      </c>
      <c r="D90" s="255" t="s">
        <v>283</v>
      </c>
      <c r="E90" s="256">
        <f>448.3-E91</f>
        <v>408.21000000000004</v>
      </c>
      <c r="F90" s="257"/>
      <c r="G90" s="258" t="s">
        <v>190</v>
      </c>
      <c r="H90" s="259"/>
      <c r="I90" s="541">
        <f t="shared" si="1"/>
        <v>103627.51000000001</v>
      </c>
      <c r="K90" s="243"/>
    </row>
    <row r="91" spans="1:11" ht="17" customHeight="1">
      <c r="A91" s="940"/>
      <c r="B91" s="253">
        <v>45672</v>
      </c>
      <c r="C91" s="263" t="s">
        <v>283</v>
      </c>
      <c r="D91" s="255" t="s">
        <v>508</v>
      </c>
      <c r="E91" s="256">
        <v>40.090000000000003</v>
      </c>
      <c r="F91" s="257"/>
      <c r="G91" s="258" t="s">
        <v>276</v>
      </c>
      <c r="H91" s="264"/>
      <c r="I91" s="541">
        <f t="shared" si="1"/>
        <v>103667.6</v>
      </c>
      <c r="K91" s="243"/>
    </row>
    <row r="92" spans="1:11" ht="17" customHeight="1">
      <c r="A92" s="940"/>
      <c r="B92" s="253">
        <v>45673</v>
      </c>
      <c r="C92" s="263" t="s">
        <v>286</v>
      </c>
      <c r="D92" s="255" t="s">
        <v>520</v>
      </c>
      <c r="E92" s="256"/>
      <c r="F92" s="257">
        <v>35</v>
      </c>
      <c r="G92" s="258" t="s">
        <v>139</v>
      </c>
      <c r="H92" s="259"/>
      <c r="I92" s="541">
        <f t="shared" si="1"/>
        <v>103632.6</v>
      </c>
      <c r="K92" s="243"/>
    </row>
    <row r="93" spans="1:11" ht="17" customHeight="1">
      <c r="A93" s="940"/>
      <c r="B93" s="253">
        <v>45673</v>
      </c>
      <c r="C93" s="263" t="s">
        <v>283</v>
      </c>
      <c r="D93" s="255" t="s">
        <v>283</v>
      </c>
      <c r="E93" s="256">
        <f>877.3-E94</f>
        <v>837.20999999999992</v>
      </c>
      <c r="F93" s="257"/>
      <c r="G93" s="258" t="s">
        <v>190</v>
      </c>
      <c r="H93" s="259"/>
      <c r="I93" s="541">
        <f t="shared" si="1"/>
        <v>104469.81000000001</v>
      </c>
      <c r="K93" s="243"/>
    </row>
    <row r="94" spans="1:11" ht="17" customHeight="1">
      <c r="A94" s="940"/>
      <c r="B94" s="253">
        <v>45673</v>
      </c>
      <c r="C94" s="263" t="s">
        <v>283</v>
      </c>
      <c r="D94" s="255" t="s">
        <v>508</v>
      </c>
      <c r="E94" s="256">
        <v>40.090000000000003</v>
      </c>
      <c r="F94" s="257"/>
      <c r="G94" s="258" t="s">
        <v>276</v>
      </c>
      <c r="H94" s="264"/>
      <c r="I94" s="541">
        <f t="shared" si="1"/>
        <v>104509.90000000001</v>
      </c>
      <c r="K94" s="243"/>
    </row>
    <row r="95" spans="1:11" ht="17" customHeight="1">
      <c r="A95" s="940"/>
      <c r="B95" s="253">
        <v>45673</v>
      </c>
      <c r="C95" s="263" t="s">
        <v>117</v>
      </c>
      <c r="D95" s="255" t="s">
        <v>553</v>
      </c>
      <c r="E95" s="256">
        <v>10100</v>
      </c>
      <c r="F95" s="257"/>
      <c r="G95" s="258"/>
      <c r="H95" s="264" t="s">
        <v>554</v>
      </c>
      <c r="I95" s="541">
        <f t="shared" si="1"/>
        <v>114609.90000000001</v>
      </c>
      <c r="K95" s="243"/>
    </row>
    <row r="96" spans="1:11" ht="17" customHeight="1">
      <c r="A96" s="940"/>
      <c r="B96" s="253">
        <v>45673</v>
      </c>
      <c r="C96" s="263" t="s">
        <v>117</v>
      </c>
      <c r="D96" s="261" t="s">
        <v>555</v>
      </c>
      <c r="E96" s="256">
        <v>425</v>
      </c>
      <c r="F96" s="257"/>
      <c r="G96" s="258"/>
      <c r="H96" s="264" t="s">
        <v>554</v>
      </c>
      <c r="I96" s="541">
        <f t="shared" si="1"/>
        <v>115034.90000000001</v>
      </c>
      <c r="K96" s="243"/>
    </row>
    <row r="97" spans="1:11" ht="17" customHeight="1">
      <c r="A97" s="940"/>
      <c r="B97" s="253">
        <v>45674</v>
      </c>
      <c r="C97" s="263" t="s">
        <v>117</v>
      </c>
      <c r="D97" s="255" t="s">
        <v>556</v>
      </c>
      <c r="E97" s="256">
        <v>2500</v>
      </c>
      <c r="F97" s="257"/>
      <c r="G97" s="258"/>
      <c r="H97" s="264" t="s">
        <v>554</v>
      </c>
      <c r="I97" s="541">
        <f t="shared" si="1"/>
        <v>117534.90000000001</v>
      </c>
      <c r="K97" s="243"/>
    </row>
    <row r="98" spans="1:11" ht="17" customHeight="1">
      <c r="A98" s="940"/>
      <c r="B98" s="253">
        <v>45674</v>
      </c>
      <c r="C98" s="263" t="s">
        <v>117</v>
      </c>
      <c r="D98" s="261" t="s">
        <v>306</v>
      </c>
      <c r="E98" s="256"/>
      <c r="F98" s="257">
        <v>1339.05</v>
      </c>
      <c r="G98" s="258" t="s">
        <v>194</v>
      </c>
      <c r="H98" s="259"/>
      <c r="I98" s="541">
        <f t="shared" si="1"/>
        <v>116195.85</v>
      </c>
      <c r="K98" s="243"/>
    </row>
    <row r="99" spans="1:11" ht="17" customHeight="1">
      <c r="A99" s="940"/>
      <c r="B99" s="253">
        <v>45674</v>
      </c>
      <c r="C99" s="263" t="s">
        <v>117</v>
      </c>
      <c r="D99" s="261" t="s">
        <v>306</v>
      </c>
      <c r="E99" s="256"/>
      <c r="F99" s="257">
        <v>223.85</v>
      </c>
      <c r="G99" s="258" t="s">
        <v>194</v>
      </c>
      <c r="H99" s="259"/>
      <c r="I99" s="541">
        <f t="shared" si="1"/>
        <v>115972</v>
      </c>
      <c r="K99" s="243"/>
    </row>
    <row r="100" spans="1:11" ht="17" customHeight="1">
      <c r="A100" s="940"/>
      <c r="B100" s="253">
        <v>45674</v>
      </c>
      <c r="C100" s="263" t="s">
        <v>286</v>
      </c>
      <c r="D100" s="255" t="s">
        <v>520</v>
      </c>
      <c r="E100" s="256"/>
      <c r="F100" s="257">
        <v>200</v>
      </c>
      <c r="G100" s="258" t="s">
        <v>139</v>
      </c>
      <c r="H100" s="259"/>
      <c r="I100" s="541">
        <f t="shared" si="1"/>
        <v>115772</v>
      </c>
      <c r="K100" s="243"/>
    </row>
    <row r="101" spans="1:11" ht="17" customHeight="1">
      <c r="A101" s="940"/>
      <c r="B101" s="253">
        <v>45657</v>
      </c>
      <c r="C101" s="263" t="s">
        <v>513</v>
      </c>
      <c r="D101" s="255" t="s">
        <v>557</v>
      </c>
      <c r="E101" s="256"/>
      <c r="F101" s="257">
        <v>90</v>
      </c>
      <c r="G101" s="258"/>
      <c r="H101" s="264" t="s">
        <v>554</v>
      </c>
      <c r="I101" s="541">
        <f t="shared" si="1"/>
        <v>115682</v>
      </c>
      <c r="K101" s="243"/>
    </row>
    <row r="102" spans="1:11" ht="17" customHeight="1">
      <c r="A102" s="940"/>
      <c r="B102" s="253">
        <v>45657</v>
      </c>
      <c r="C102" s="263" t="s">
        <v>513</v>
      </c>
      <c r="D102" s="255" t="s">
        <v>25</v>
      </c>
      <c r="E102" s="256"/>
      <c r="F102" s="257">
        <v>365</v>
      </c>
      <c r="G102" s="258"/>
      <c r="H102" s="264" t="s">
        <v>554</v>
      </c>
      <c r="I102" s="541">
        <f t="shared" si="1"/>
        <v>115317</v>
      </c>
      <c r="K102" s="243"/>
    </row>
    <row r="103" spans="1:11" ht="17" customHeight="1">
      <c r="A103" s="940"/>
      <c r="B103" s="253">
        <v>45657</v>
      </c>
      <c r="C103" s="263" t="s">
        <v>513</v>
      </c>
      <c r="D103" s="255" t="s">
        <v>558</v>
      </c>
      <c r="E103" s="256"/>
      <c r="F103" s="257">
        <v>355</v>
      </c>
      <c r="G103" s="258"/>
      <c r="H103" s="264" t="s">
        <v>554</v>
      </c>
      <c r="I103" s="541">
        <f t="shared" si="1"/>
        <v>114962</v>
      </c>
      <c r="K103" s="243"/>
    </row>
    <row r="104" spans="1:11" ht="17" customHeight="1">
      <c r="A104" s="940"/>
      <c r="B104" s="253">
        <v>45657</v>
      </c>
      <c r="C104" s="263" t="s">
        <v>513</v>
      </c>
      <c r="D104" s="255" t="s">
        <v>559</v>
      </c>
      <c r="E104" s="256"/>
      <c r="F104" s="257">
        <v>1480</v>
      </c>
      <c r="G104" s="258"/>
      <c r="H104" s="264" t="s">
        <v>554</v>
      </c>
      <c r="I104" s="541">
        <f t="shared" si="1"/>
        <v>113482</v>
      </c>
      <c r="K104" s="243"/>
    </row>
    <row r="105" spans="1:11" ht="17" customHeight="1">
      <c r="A105" s="940"/>
      <c r="B105" s="253">
        <v>45657</v>
      </c>
      <c r="C105" s="263" t="s">
        <v>513</v>
      </c>
      <c r="D105" s="261" t="s">
        <v>29</v>
      </c>
      <c r="E105" s="256"/>
      <c r="F105" s="257">
        <v>320</v>
      </c>
      <c r="G105" s="258"/>
      <c r="H105" s="264" t="s">
        <v>554</v>
      </c>
      <c r="I105" s="541">
        <f t="shared" si="1"/>
        <v>113162</v>
      </c>
      <c r="K105" s="243"/>
    </row>
    <row r="106" spans="1:11" ht="17" customHeight="1">
      <c r="A106" s="940"/>
      <c r="B106" s="253">
        <v>45657</v>
      </c>
      <c r="C106" s="263" t="s">
        <v>513</v>
      </c>
      <c r="D106" s="255" t="s">
        <v>28</v>
      </c>
      <c r="E106" s="256"/>
      <c r="F106" s="257">
        <v>1440</v>
      </c>
      <c r="G106" s="258"/>
      <c r="H106" s="264" t="s">
        <v>554</v>
      </c>
      <c r="I106" s="541">
        <f t="shared" si="1"/>
        <v>111722</v>
      </c>
      <c r="K106" s="243"/>
    </row>
    <row r="107" spans="1:11" ht="17" customHeight="1">
      <c r="A107" s="940"/>
      <c r="B107" s="253">
        <v>45657</v>
      </c>
      <c r="C107" s="263" t="s">
        <v>513</v>
      </c>
      <c r="D107" s="255" t="s">
        <v>560</v>
      </c>
      <c r="E107" s="256"/>
      <c r="F107" s="257">
        <v>650</v>
      </c>
      <c r="G107" s="258"/>
      <c r="H107" s="264" t="s">
        <v>554</v>
      </c>
      <c r="I107" s="541">
        <f t="shared" si="1"/>
        <v>111072</v>
      </c>
      <c r="K107" s="243"/>
    </row>
    <row r="108" spans="1:11" ht="17" customHeight="1">
      <c r="A108" s="940"/>
      <c r="B108" s="253">
        <v>45657</v>
      </c>
      <c r="C108" s="263" t="s">
        <v>513</v>
      </c>
      <c r="D108" s="255" t="s">
        <v>534</v>
      </c>
      <c r="E108" s="256"/>
      <c r="F108" s="257">
        <v>390</v>
      </c>
      <c r="G108" s="258"/>
      <c r="H108" s="264" t="s">
        <v>554</v>
      </c>
      <c r="I108" s="541">
        <f t="shared" si="1"/>
        <v>110682</v>
      </c>
      <c r="K108" s="243"/>
    </row>
    <row r="109" spans="1:11" ht="17" customHeight="1">
      <c r="A109" s="940"/>
      <c r="B109" s="253">
        <v>45657</v>
      </c>
      <c r="C109" s="263" t="s">
        <v>513</v>
      </c>
      <c r="D109" s="255" t="s">
        <v>561</v>
      </c>
      <c r="E109" s="256"/>
      <c r="F109" s="257">
        <v>435</v>
      </c>
      <c r="G109" s="258"/>
      <c r="H109" s="264" t="s">
        <v>554</v>
      </c>
      <c r="I109" s="541">
        <f t="shared" si="1"/>
        <v>110247</v>
      </c>
      <c r="K109" s="243"/>
    </row>
    <row r="110" spans="1:11" ht="17" customHeight="1">
      <c r="A110" s="940"/>
      <c r="B110" s="253">
        <v>45657</v>
      </c>
      <c r="C110" s="263" t="s">
        <v>513</v>
      </c>
      <c r="D110" s="255" t="s">
        <v>562</v>
      </c>
      <c r="E110" s="256"/>
      <c r="F110" s="257">
        <v>90</v>
      </c>
      <c r="G110" s="258"/>
      <c r="H110" s="264" t="s">
        <v>554</v>
      </c>
      <c r="I110" s="541">
        <f t="shared" si="1"/>
        <v>110157</v>
      </c>
      <c r="K110" s="243"/>
    </row>
    <row r="111" spans="1:11" ht="17" customHeight="1">
      <c r="A111" s="940"/>
      <c r="B111" s="253">
        <v>45657</v>
      </c>
      <c r="C111" s="263" t="s">
        <v>513</v>
      </c>
      <c r="D111" s="255" t="s">
        <v>563</v>
      </c>
      <c r="E111" s="256"/>
      <c r="F111" s="257">
        <v>400</v>
      </c>
      <c r="G111" s="258"/>
      <c r="H111" s="264" t="s">
        <v>554</v>
      </c>
      <c r="I111" s="541">
        <f t="shared" si="1"/>
        <v>109757</v>
      </c>
      <c r="K111" s="243"/>
    </row>
    <row r="112" spans="1:11" ht="17" customHeight="1">
      <c r="A112" s="940"/>
      <c r="B112" s="253">
        <v>45674</v>
      </c>
      <c r="C112" s="263" t="s">
        <v>541</v>
      </c>
      <c r="D112" s="261" t="s">
        <v>542</v>
      </c>
      <c r="E112" s="256"/>
      <c r="F112" s="257">
        <v>5675</v>
      </c>
      <c r="G112" s="258" t="s">
        <v>277</v>
      </c>
      <c r="H112" s="259"/>
      <c r="I112" s="541">
        <f t="shared" si="1"/>
        <v>104082</v>
      </c>
      <c r="K112" s="243"/>
    </row>
    <row r="113" spans="1:11" ht="17" customHeight="1">
      <c r="A113" s="940"/>
      <c r="B113" s="253">
        <v>45674</v>
      </c>
      <c r="C113" s="263" t="s">
        <v>117</v>
      </c>
      <c r="D113" s="261" t="s">
        <v>564</v>
      </c>
      <c r="E113" s="256"/>
      <c r="F113" s="257">
        <v>25</v>
      </c>
      <c r="G113" s="258" t="s">
        <v>218</v>
      </c>
      <c r="H113" s="259"/>
      <c r="I113" s="541">
        <f t="shared" si="1"/>
        <v>104057</v>
      </c>
      <c r="K113" s="243"/>
    </row>
    <row r="114" spans="1:11" ht="17" customHeight="1">
      <c r="A114" s="940"/>
      <c r="B114" s="253">
        <v>45674</v>
      </c>
      <c r="C114" s="263" t="s">
        <v>513</v>
      </c>
      <c r="D114" s="255" t="s">
        <v>514</v>
      </c>
      <c r="E114" s="256"/>
      <c r="F114" s="257">
        <v>72</v>
      </c>
      <c r="G114" s="258" t="s">
        <v>248</v>
      </c>
      <c r="H114" s="264"/>
      <c r="I114" s="541">
        <f t="shared" si="1"/>
        <v>103985</v>
      </c>
      <c r="K114" s="243"/>
    </row>
    <row r="115" spans="1:11" ht="17" customHeight="1">
      <c r="A115" s="940"/>
      <c r="B115" s="253">
        <v>45674</v>
      </c>
      <c r="C115" s="263" t="s">
        <v>283</v>
      </c>
      <c r="D115" s="255" t="s">
        <v>283</v>
      </c>
      <c r="E115" s="256">
        <f>1031-E116</f>
        <v>919.97</v>
      </c>
      <c r="F115" s="257"/>
      <c r="G115" s="258" t="s">
        <v>190</v>
      </c>
      <c r="H115" s="259"/>
      <c r="I115" s="541">
        <f t="shared" si="1"/>
        <v>104904.97</v>
      </c>
      <c r="K115" s="243"/>
    </row>
    <row r="116" spans="1:11" ht="17" customHeight="1">
      <c r="A116" s="940"/>
      <c r="B116" s="253">
        <v>45674</v>
      </c>
      <c r="C116" s="263" t="s">
        <v>283</v>
      </c>
      <c r="D116" s="255" t="s">
        <v>508</v>
      </c>
      <c r="E116" s="256">
        <v>111.03</v>
      </c>
      <c r="F116" s="257"/>
      <c r="G116" s="258" t="s">
        <v>276</v>
      </c>
      <c r="H116" s="259"/>
      <c r="I116" s="541">
        <f t="shared" si="1"/>
        <v>105016</v>
      </c>
      <c r="K116" s="243"/>
    </row>
    <row r="117" spans="1:11" ht="17" customHeight="1">
      <c r="A117" s="940"/>
      <c r="B117" s="253">
        <v>45675</v>
      </c>
      <c r="C117" s="263" t="s">
        <v>513</v>
      </c>
      <c r="D117" s="255" t="s">
        <v>514</v>
      </c>
      <c r="E117" s="256"/>
      <c r="F117" s="257">
        <v>72</v>
      </c>
      <c r="G117" s="258" t="s">
        <v>248</v>
      </c>
      <c r="H117" s="259"/>
      <c r="I117" s="541">
        <f t="shared" si="1"/>
        <v>104944</v>
      </c>
      <c r="K117" s="243"/>
    </row>
    <row r="118" spans="1:11" ht="17" customHeight="1">
      <c r="A118" s="940"/>
      <c r="B118" s="253">
        <v>45675</v>
      </c>
      <c r="C118" s="263" t="s">
        <v>286</v>
      </c>
      <c r="D118" s="255" t="s">
        <v>520</v>
      </c>
      <c r="E118" s="256"/>
      <c r="F118" s="257">
        <v>50</v>
      </c>
      <c r="G118" s="258" t="s">
        <v>139</v>
      </c>
      <c r="H118" s="259"/>
      <c r="I118" s="541">
        <f t="shared" si="1"/>
        <v>104894</v>
      </c>
      <c r="K118" s="243"/>
    </row>
    <row r="119" spans="1:11" ht="17" customHeight="1">
      <c r="A119" s="940"/>
      <c r="B119" s="253">
        <v>45675</v>
      </c>
      <c r="C119" s="263" t="s">
        <v>117</v>
      </c>
      <c r="D119" s="261" t="s">
        <v>543</v>
      </c>
      <c r="E119" s="256"/>
      <c r="F119" s="257">
        <v>80</v>
      </c>
      <c r="G119" s="258" t="s">
        <v>234</v>
      </c>
      <c r="H119" s="259"/>
      <c r="I119" s="541">
        <f t="shared" si="1"/>
        <v>104814</v>
      </c>
      <c r="K119" s="243"/>
    </row>
    <row r="120" spans="1:11" ht="17" customHeight="1">
      <c r="A120" s="940"/>
      <c r="B120" s="253">
        <v>45675</v>
      </c>
      <c r="C120" s="263" t="s">
        <v>283</v>
      </c>
      <c r="D120" s="255" t="s">
        <v>283</v>
      </c>
      <c r="E120" s="256">
        <v>400</v>
      </c>
      <c r="F120" s="257"/>
      <c r="G120" s="258" t="s">
        <v>190</v>
      </c>
      <c r="H120" s="259" t="s">
        <v>565</v>
      </c>
      <c r="I120" s="541">
        <f t="shared" si="1"/>
        <v>105214</v>
      </c>
      <c r="K120" s="243"/>
    </row>
    <row r="121" spans="1:11" ht="17" customHeight="1">
      <c r="A121" s="940"/>
      <c r="B121" s="253">
        <v>45675</v>
      </c>
      <c r="C121" s="263" t="s">
        <v>283</v>
      </c>
      <c r="D121" s="255" t="s">
        <v>283</v>
      </c>
      <c r="E121" s="256">
        <f>792-E122</f>
        <v>561.45000000000005</v>
      </c>
      <c r="F121" s="257"/>
      <c r="G121" s="258" t="s">
        <v>190</v>
      </c>
      <c r="H121" s="259"/>
      <c r="I121" s="541">
        <f t="shared" si="1"/>
        <v>105775.45</v>
      </c>
      <c r="K121" s="243"/>
    </row>
    <row r="122" spans="1:11" ht="17" customHeight="1">
      <c r="A122" s="940"/>
      <c r="B122" s="253">
        <v>45675</v>
      </c>
      <c r="C122" s="263" t="s">
        <v>283</v>
      </c>
      <c r="D122" s="255" t="s">
        <v>508</v>
      </c>
      <c r="E122" s="256">
        <v>230.55</v>
      </c>
      <c r="F122" s="257"/>
      <c r="G122" s="258" t="s">
        <v>276</v>
      </c>
      <c r="H122" s="259"/>
      <c r="I122" s="541">
        <f t="shared" si="1"/>
        <v>106006</v>
      </c>
      <c r="K122" s="243"/>
    </row>
    <row r="123" spans="1:11" ht="17" customHeight="1">
      <c r="A123" s="940"/>
      <c r="B123" s="253">
        <v>45676</v>
      </c>
      <c r="C123" s="263" t="s">
        <v>286</v>
      </c>
      <c r="D123" s="255" t="s">
        <v>520</v>
      </c>
      <c r="E123" s="256"/>
      <c r="F123" s="257">
        <v>5500</v>
      </c>
      <c r="G123" s="258" t="s">
        <v>139</v>
      </c>
      <c r="H123" s="259"/>
      <c r="I123" s="541">
        <f t="shared" si="1"/>
        <v>100506</v>
      </c>
      <c r="K123" s="243"/>
    </row>
    <row r="124" spans="1:11" ht="17" customHeight="1">
      <c r="A124" s="940"/>
      <c r="B124" s="253">
        <v>45676</v>
      </c>
      <c r="C124" s="263" t="s">
        <v>513</v>
      </c>
      <c r="D124" s="255" t="s">
        <v>514</v>
      </c>
      <c r="E124" s="256"/>
      <c r="F124" s="257">
        <v>72</v>
      </c>
      <c r="G124" s="258" t="s">
        <v>248</v>
      </c>
      <c r="H124" s="259"/>
      <c r="I124" s="541">
        <f t="shared" si="1"/>
        <v>100434</v>
      </c>
      <c r="K124" s="243"/>
    </row>
    <row r="125" spans="1:11" ht="17" customHeight="1">
      <c r="A125" s="940"/>
      <c r="B125" s="253">
        <v>45676</v>
      </c>
      <c r="C125" s="263" t="s">
        <v>117</v>
      </c>
      <c r="D125" s="255" t="s">
        <v>526</v>
      </c>
      <c r="E125" s="256"/>
      <c r="F125" s="257">
        <v>100</v>
      </c>
      <c r="G125" s="258" t="s">
        <v>229</v>
      </c>
      <c r="H125" s="259"/>
      <c r="I125" s="541">
        <f t="shared" si="1"/>
        <v>100334</v>
      </c>
      <c r="K125" s="243"/>
    </row>
    <row r="126" spans="1:11" ht="17" customHeight="1">
      <c r="A126" s="940"/>
      <c r="B126" s="253">
        <v>45676</v>
      </c>
      <c r="C126" s="263" t="s">
        <v>117</v>
      </c>
      <c r="D126" s="261" t="s">
        <v>525</v>
      </c>
      <c r="E126" s="256"/>
      <c r="F126" s="257">
        <v>100</v>
      </c>
      <c r="G126" s="258" t="s">
        <v>229</v>
      </c>
      <c r="H126" s="259"/>
      <c r="I126" s="541">
        <f t="shared" si="1"/>
        <v>100234</v>
      </c>
      <c r="K126" s="243"/>
    </row>
    <row r="127" spans="1:11" ht="17" customHeight="1">
      <c r="A127" s="940"/>
      <c r="B127" s="253">
        <v>45676</v>
      </c>
      <c r="C127" s="263" t="s">
        <v>117</v>
      </c>
      <c r="D127" s="261" t="s">
        <v>531</v>
      </c>
      <c r="E127" s="256"/>
      <c r="F127" s="257">
        <v>50</v>
      </c>
      <c r="G127" s="258" t="s">
        <v>229</v>
      </c>
      <c r="H127" s="259"/>
      <c r="I127" s="541">
        <f t="shared" si="1"/>
        <v>100184</v>
      </c>
      <c r="K127" s="243"/>
    </row>
    <row r="128" spans="1:11" ht="17" customHeight="1">
      <c r="A128" s="940"/>
      <c r="B128" s="253">
        <v>45676</v>
      </c>
      <c r="C128" s="263" t="s">
        <v>117</v>
      </c>
      <c r="D128" s="255" t="s">
        <v>566</v>
      </c>
      <c r="E128" s="256"/>
      <c r="F128" s="257">
        <v>90</v>
      </c>
      <c r="G128" s="258" t="s">
        <v>229</v>
      </c>
      <c r="H128" s="259"/>
      <c r="I128" s="541">
        <f t="shared" si="1"/>
        <v>100094</v>
      </c>
      <c r="K128" s="243"/>
    </row>
    <row r="129" spans="1:11" ht="17" customHeight="1">
      <c r="A129" s="940"/>
      <c r="B129" s="253">
        <v>45676</v>
      </c>
      <c r="C129" s="263" t="s">
        <v>117</v>
      </c>
      <c r="D129" s="255" t="s">
        <v>527</v>
      </c>
      <c r="E129" s="256"/>
      <c r="F129" s="257">
        <v>110</v>
      </c>
      <c r="G129" s="258" t="s">
        <v>233</v>
      </c>
      <c r="H129" s="259"/>
      <c r="I129" s="541">
        <f t="shared" si="1"/>
        <v>99984</v>
      </c>
      <c r="K129" s="243"/>
    </row>
    <row r="130" spans="1:11" ht="17" customHeight="1">
      <c r="A130" s="940"/>
      <c r="B130" s="253">
        <v>45676</v>
      </c>
      <c r="C130" s="263" t="s">
        <v>117</v>
      </c>
      <c r="D130" s="255" t="s">
        <v>528</v>
      </c>
      <c r="E130" s="256"/>
      <c r="F130" s="257">
        <v>150</v>
      </c>
      <c r="G130" s="258" t="s">
        <v>233</v>
      </c>
      <c r="H130" s="259"/>
      <c r="I130" s="541">
        <f t="shared" si="1"/>
        <v>99834</v>
      </c>
      <c r="K130" s="243"/>
    </row>
    <row r="131" spans="1:11" ht="17" customHeight="1">
      <c r="A131" s="940"/>
      <c r="B131" s="253">
        <v>45676</v>
      </c>
      <c r="C131" s="263" t="s">
        <v>117</v>
      </c>
      <c r="D131" s="255" t="s">
        <v>530</v>
      </c>
      <c r="E131" s="256"/>
      <c r="F131" s="257">
        <v>520</v>
      </c>
      <c r="G131" s="258" t="s">
        <v>229</v>
      </c>
      <c r="H131" s="259"/>
      <c r="I131" s="541">
        <f t="shared" si="1"/>
        <v>99314</v>
      </c>
      <c r="K131" s="243"/>
    </row>
    <row r="132" spans="1:11" ht="17" customHeight="1">
      <c r="A132" s="940"/>
      <c r="B132" s="253">
        <v>45676</v>
      </c>
      <c r="C132" s="263" t="s">
        <v>513</v>
      </c>
      <c r="D132" s="255" t="s">
        <v>567</v>
      </c>
      <c r="E132" s="256"/>
      <c r="F132" s="257">
        <v>130</v>
      </c>
      <c r="G132" s="258" t="s">
        <v>227</v>
      </c>
      <c r="H132" s="259"/>
      <c r="I132" s="541">
        <f t="shared" si="1"/>
        <v>99184</v>
      </c>
      <c r="K132" s="243"/>
    </row>
    <row r="133" spans="1:11" ht="17" customHeight="1">
      <c r="A133" s="940"/>
      <c r="B133" s="253">
        <v>45676</v>
      </c>
      <c r="C133" s="263" t="s">
        <v>513</v>
      </c>
      <c r="D133" s="255" t="s">
        <v>534</v>
      </c>
      <c r="E133" s="256"/>
      <c r="F133" s="257">
        <v>36</v>
      </c>
      <c r="G133" s="258" t="s">
        <v>245</v>
      </c>
      <c r="H133" s="259"/>
      <c r="I133" s="541">
        <f t="shared" si="1"/>
        <v>99148</v>
      </c>
      <c r="K133" s="243"/>
    </row>
    <row r="134" spans="1:11" ht="17" customHeight="1">
      <c r="A134" s="940"/>
      <c r="B134" s="253">
        <v>45676</v>
      </c>
      <c r="C134" s="263" t="s">
        <v>513</v>
      </c>
      <c r="D134" s="255" t="s">
        <v>534</v>
      </c>
      <c r="E134" s="256"/>
      <c r="F134" s="257">
        <v>13.64</v>
      </c>
      <c r="G134" s="258" t="s">
        <v>250</v>
      </c>
      <c r="H134" s="259"/>
      <c r="I134" s="541">
        <f t="shared" si="1"/>
        <v>99134.36</v>
      </c>
      <c r="K134" s="243"/>
    </row>
    <row r="135" spans="1:11" ht="17" customHeight="1">
      <c r="A135" s="940"/>
      <c r="B135" s="253">
        <v>45676</v>
      </c>
      <c r="C135" s="263" t="s">
        <v>513</v>
      </c>
      <c r="D135" s="255" t="s">
        <v>535</v>
      </c>
      <c r="E135" s="256">
        <v>36</v>
      </c>
      <c r="F135" s="257"/>
      <c r="G135" s="258"/>
      <c r="H135" s="259" t="s">
        <v>536</v>
      </c>
      <c r="I135" s="541">
        <f t="shared" si="1"/>
        <v>99170.36</v>
      </c>
      <c r="K135" s="243"/>
    </row>
    <row r="136" spans="1:11" ht="17" customHeight="1">
      <c r="A136" s="940"/>
      <c r="B136" s="253">
        <v>45676</v>
      </c>
      <c r="C136" s="263" t="s">
        <v>513</v>
      </c>
      <c r="D136" s="255" t="s">
        <v>535</v>
      </c>
      <c r="E136" s="256">
        <v>13.64</v>
      </c>
      <c r="F136" s="257"/>
      <c r="G136" s="258"/>
      <c r="H136" s="259" t="s">
        <v>536</v>
      </c>
      <c r="I136" s="541">
        <f t="shared" si="1"/>
        <v>99184</v>
      </c>
      <c r="K136" s="243"/>
    </row>
    <row r="137" spans="1:11" ht="17" customHeight="1">
      <c r="A137" s="940"/>
      <c r="B137" s="253">
        <v>45676</v>
      </c>
      <c r="C137" s="263" t="s">
        <v>513</v>
      </c>
      <c r="D137" s="255" t="s">
        <v>537</v>
      </c>
      <c r="E137" s="256"/>
      <c r="F137" s="257">
        <v>40</v>
      </c>
      <c r="G137" s="258" t="s">
        <v>227</v>
      </c>
      <c r="H137" s="259"/>
      <c r="I137" s="541">
        <f t="shared" ref="I137:I200" si="2">I136+E137-F137</f>
        <v>99144</v>
      </c>
      <c r="K137" s="243"/>
    </row>
    <row r="138" spans="1:11" ht="17" customHeight="1">
      <c r="A138" s="940"/>
      <c r="B138" s="253">
        <v>45676</v>
      </c>
      <c r="C138" s="263" t="s">
        <v>117</v>
      </c>
      <c r="D138" s="255" t="s">
        <v>568</v>
      </c>
      <c r="E138" s="256"/>
      <c r="F138" s="257">
        <v>100</v>
      </c>
      <c r="G138" s="258" t="s">
        <v>230</v>
      </c>
      <c r="H138" s="259"/>
      <c r="I138" s="541">
        <f t="shared" si="2"/>
        <v>99044</v>
      </c>
      <c r="K138" s="243"/>
    </row>
    <row r="139" spans="1:11" ht="17" customHeight="1">
      <c r="A139" s="940"/>
      <c r="B139" s="253">
        <v>45676</v>
      </c>
      <c r="C139" s="263" t="s">
        <v>117</v>
      </c>
      <c r="D139" s="255" t="s">
        <v>533</v>
      </c>
      <c r="E139" s="256"/>
      <c r="F139" s="257">
        <f>250-17.6</f>
        <v>232.4</v>
      </c>
      <c r="G139" s="258" t="s">
        <v>230</v>
      </c>
      <c r="H139" s="259"/>
      <c r="I139" s="541">
        <f t="shared" si="2"/>
        <v>98811.6</v>
      </c>
      <c r="K139" s="243"/>
    </row>
    <row r="140" spans="1:11" ht="17" customHeight="1">
      <c r="A140" s="940"/>
      <c r="B140" s="253">
        <v>45676</v>
      </c>
      <c r="C140" s="263" t="s">
        <v>569</v>
      </c>
      <c r="D140" s="255" t="s">
        <v>570</v>
      </c>
      <c r="E140" s="256"/>
      <c r="F140" s="257">
        <v>17.600000000000001</v>
      </c>
      <c r="G140" s="258" t="s">
        <v>274</v>
      </c>
      <c r="H140" s="259"/>
      <c r="I140" s="541">
        <f t="shared" si="2"/>
        <v>98794</v>
      </c>
      <c r="K140" s="243"/>
    </row>
    <row r="141" spans="1:11" ht="17" customHeight="1">
      <c r="A141" s="940"/>
      <c r="B141" s="253">
        <v>45676</v>
      </c>
      <c r="C141" s="263" t="s">
        <v>117</v>
      </c>
      <c r="D141" s="255" t="s">
        <v>529</v>
      </c>
      <c r="E141" s="256"/>
      <c r="F141" s="257">
        <v>70</v>
      </c>
      <c r="G141" s="258" t="s">
        <v>233</v>
      </c>
      <c r="H141" s="259"/>
      <c r="I141" s="541">
        <f t="shared" si="2"/>
        <v>98724</v>
      </c>
      <c r="K141" s="243"/>
    </row>
    <row r="142" spans="1:11" ht="17" customHeight="1">
      <c r="A142" s="940"/>
      <c r="B142" s="253">
        <v>45676</v>
      </c>
      <c r="C142" s="263" t="s">
        <v>117</v>
      </c>
      <c r="D142" s="255" t="s">
        <v>524</v>
      </c>
      <c r="E142" s="256"/>
      <c r="F142" s="257">
        <v>50</v>
      </c>
      <c r="G142" s="258" t="s">
        <v>227</v>
      </c>
      <c r="H142" s="259"/>
      <c r="I142" s="541">
        <f t="shared" si="2"/>
        <v>98674</v>
      </c>
      <c r="K142" s="243"/>
    </row>
    <row r="143" spans="1:11" ht="17" customHeight="1">
      <c r="A143" s="940"/>
      <c r="B143" s="253">
        <v>45676</v>
      </c>
      <c r="C143" s="263" t="s">
        <v>117</v>
      </c>
      <c r="D143" s="261" t="s">
        <v>532</v>
      </c>
      <c r="E143" s="256"/>
      <c r="F143" s="257">
        <v>380</v>
      </c>
      <c r="G143" s="258" t="s">
        <v>231</v>
      </c>
      <c r="H143" s="259"/>
      <c r="I143" s="541">
        <f t="shared" si="2"/>
        <v>98294</v>
      </c>
      <c r="K143" s="243"/>
    </row>
    <row r="144" spans="1:11" ht="17" customHeight="1">
      <c r="A144" s="940"/>
      <c r="B144" s="253">
        <v>45676</v>
      </c>
      <c r="C144" s="263" t="s">
        <v>283</v>
      </c>
      <c r="D144" s="255" t="s">
        <v>283</v>
      </c>
      <c r="E144" s="256">
        <f>2203.5+217.5+1700.5+80+1274-E145</f>
        <v>4953.5599999999995</v>
      </c>
      <c r="F144" s="257"/>
      <c r="G144" s="258" t="s">
        <v>190</v>
      </c>
      <c r="H144" s="259"/>
      <c r="I144" s="541">
        <f t="shared" si="2"/>
        <v>103247.56</v>
      </c>
      <c r="K144" s="243"/>
    </row>
    <row r="145" spans="1:11" ht="17" customHeight="1">
      <c r="A145" s="940"/>
      <c r="B145" s="253">
        <v>45676</v>
      </c>
      <c r="C145" s="263" t="s">
        <v>283</v>
      </c>
      <c r="D145" s="255" t="s">
        <v>508</v>
      </c>
      <c r="E145" s="256">
        <v>521.94000000000005</v>
      </c>
      <c r="F145" s="257"/>
      <c r="G145" s="258" t="s">
        <v>276</v>
      </c>
      <c r="H145" s="259"/>
      <c r="I145" s="541">
        <f t="shared" si="2"/>
        <v>103769.5</v>
      </c>
      <c r="K145" s="243"/>
    </row>
    <row r="146" spans="1:11" ht="17" customHeight="1">
      <c r="A146" s="940"/>
      <c r="B146" s="253">
        <v>45678</v>
      </c>
      <c r="C146" s="263" t="s">
        <v>117</v>
      </c>
      <c r="D146" s="255" t="s">
        <v>507</v>
      </c>
      <c r="E146" s="256"/>
      <c r="F146" s="257">
        <v>7.7</v>
      </c>
      <c r="G146" s="258" t="s">
        <v>199</v>
      </c>
      <c r="H146" s="259"/>
      <c r="I146" s="541">
        <f t="shared" si="2"/>
        <v>103761.8</v>
      </c>
      <c r="K146" s="243"/>
    </row>
    <row r="147" spans="1:11" ht="17" customHeight="1">
      <c r="A147" s="940"/>
      <c r="B147" s="253">
        <v>45678</v>
      </c>
      <c r="C147" s="263" t="s">
        <v>283</v>
      </c>
      <c r="D147" s="255" t="s">
        <v>283</v>
      </c>
      <c r="E147" s="256">
        <f>767.7-E148</f>
        <v>692.85</v>
      </c>
      <c r="F147" s="257"/>
      <c r="G147" s="258" t="s">
        <v>190</v>
      </c>
      <c r="H147" s="259"/>
      <c r="I147" s="541">
        <f t="shared" si="2"/>
        <v>104454.65000000001</v>
      </c>
      <c r="K147" s="243"/>
    </row>
    <row r="148" spans="1:11" ht="17" customHeight="1">
      <c r="A148" s="940"/>
      <c r="B148" s="253">
        <v>45678</v>
      </c>
      <c r="C148" s="263" t="s">
        <v>283</v>
      </c>
      <c r="D148" s="255" t="s">
        <v>508</v>
      </c>
      <c r="E148" s="256">
        <v>74.849999999999994</v>
      </c>
      <c r="F148" s="257"/>
      <c r="G148" s="258" t="s">
        <v>276</v>
      </c>
      <c r="H148" s="259"/>
      <c r="I148" s="541">
        <f t="shared" si="2"/>
        <v>104529.50000000001</v>
      </c>
      <c r="K148" s="243"/>
    </row>
    <row r="149" spans="1:11" ht="17" customHeight="1">
      <c r="A149" s="940"/>
      <c r="B149" s="253">
        <v>45679</v>
      </c>
      <c r="C149" s="263" t="s">
        <v>513</v>
      </c>
      <c r="D149" s="255" t="s">
        <v>571</v>
      </c>
      <c r="E149" s="256"/>
      <c r="F149" s="257">
        <v>312</v>
      </c>
      <c r="G149" s="258" t="s">
        <v>245</v>
      </c>
      <c r="H149" s="259"/>
      <c r="I149" s="541">
        <f t="shared" si="2"/>
        <v>104217.50000000001</v>
      </c>
      <c r="K149" s="243"/>
    </row>
    <row r="150" spans="1:11" ht="17" customHeight="1">
      <c r="A150" s="940"/>
      <c r="B150" s="253">
        <v>45679</v>
      </c>
      <c r="C150" s="263" t="s">
        <v>117</v>
      </c>
      <c r="D150" s="255" t="s">
        <v>572</v>
      </c>
      <c r="E150" s="256"/>
      <c r="F150" s="257">
        <v>120</v>
      </c>
      <c r="G150" s="258" t="s">
        <v>256</v>
      </c>
      <c r="H150" s="259"/>
      <c r="I150" s="541">
        <f t="shared" si="2"/>
        <v>104097.50000000001</v>
      </c>
      <c r="K150" s="243"/>
    </row>
    <row r="151" spans="1:11" ht="17" customHeight="1">
      <c r="A151" s="940"/>
      <c r="B151" s="253">
        <v>45679</v>
      </c>
      <c r="C151" s="263" t="s">
        <v>283</v>
      </c>
      <c r="D151" s="255" t="s">
        <v>283</v>
      </c>
      <c r="E151" s="256">
        <f>913-E152</f>
        <v>834.48</v>
      </c>
      <c r="F151" s="257"/>
      <c r="G151" s="258" t="s">
        <v>190</v>
      </c>
      <c r="H151" s="259"/>
      <c r="I151" s="541">
        <f t="shared" si="2"/>
        <v>104931.98000000001</v>
      </c>
      <c r="K151" s="243"/>
    </row>
    <row r="152" spans="1:11" ht="17" customHeight="1">
      <c r="A152" s="940"/>
      <c r="B152" s="253">
        <v>45679</v>
      </c>
      <c r="C152" s="263" t="s">
        <v>283</v>
      </c>
      <c r="D152" s="255" t="s">
        <v>508</v>
      </c>
      <c r="E152" s="256">
        <v>78.52</v>
      </c>
      <c r="F152" s="257"/>
      <c r="G152" s="258" t="s">
        <v>276</v>
      </c>
      <c r="H152" s="259"/>
      <c r="I152" s="541">
        <f t="shared" si="2"/>
        <v>105010.50000000001</v>
      </c>
      <c r="K152" s="243"/>
    </row>
    <row r="153" spans="1:11" ht="17" customHeight="1">
      <c r="A153" s="940"/>
      <c r="B153" s="253">
        <v>45680</v>
      </c>
      <c r="C153" s="263" t="s">
        <v>117</v>
      </c>
      <c r="D153" s="255" t="s">
        <v>573</v>
      </c>
      <c r="E153" s="256"/>
      <c r="F153" s="257">
        <v>22.5</v>
      </c>
      <c r="G153" s="258" t="s">
        <v>249</v>
      </c>
      <c r="H153" s="264"/>
      <c r="I153" s="541">
        <f t="shared" si="2"/>
        <v>104988.00000000001</v>
      </c>
      <c r="K153" s="243"/>
    </row>
    <row r="154" spans="1:11" ht="17" customHeight="1">
      <c r="A154" s="940"/>
      <c r="B154" s="253">
        <v>45680</v>
      </c>
      <c r="C154" s="263" t="s">
        <v>283</v>
      </c>
      <c r="D154" s="255" t="s">
        <v>283</v>
      </c>
      <c r="E154" s="256">
        <f>596.8+22.5-E155</f>
        <v>534.08999999999992</v>
      </c>
      <c r="F154" s="257"/>
      <c r="G154" s="258" t="s">
        <v>190</v>
      </c>
      <c r="H154" s="259"/>
      <c r="I154" s="541">
        <f t="shared" si="2"/>
        <v>105522.09000000001</v>
      </c>
      <c r="K154" s="243"/>
    </row>
    <row r="155" spans="1:11" ht="17" customHeight="1">
      <c r="A155" s="940"/>
      <c r="B155" s="253">
        <v>45680</v>
      </c>
      <c r="C155" s="263" t="s">
        <v>283</v>
      </c>
      <c r="D155" s="255" t="s">
        <v>508</v>
      </c>
      <c r="E155" s="256">
        <v>85.21</v>
      </c>
      <c r="F155" s="257"/>
      <c r="G155" s="258" t="s">
        <v>276</v>
      </c>
      <c r="H155" s="259"/>
      <c r="I155" s="541">
        <f t="shared" si="2"/>
        <v>105607.30000000002</v>
      </c>
      <c r="K155" s="243"/>
    </row>
    <row r="156" spans="1:11" ht="17" customHeight="1">
      <c r="A156" s="940"/>
      <c r="B156" s="253">
        <v>45681</v>
      </c>
      <c r="C156" s="265" t="s">
        <v>574</v>
      </c>
      <c r="D156" s="255" t="s">
        <v>512</v>
      </c>
      <c r="E156" s="256"/>
      <c r="F156" s="257">
        <f>46-1.77</f>
        <v>44.23</v>
      </c>
      <c r="G156" s="258" t="s">
        <v>199</v>
      </c>
      <c r="H156" s="259"/>
      <c r="I156" s="541">
        <f t="shared" si="2"/>
        <v>105563.07000000002</v>
      </c>
      <c r="K156" s="243"/>
    </row>
    <row r="157" spans="1:11" ht="17" customHeight="1">
      <c r="A157" s="940"/>
      <c r="B157" s="253">
        <v>45681</v>
      </c>
      <c r="C157" s="265" t="s">
        <v>574</v>
      </c>
      <c r="D157" s="255" t="s">
        <v>512</v>
      </c>
      <c r="E157" s="256"/>
      <c r="F157" s="257">
        <v>1.77</v>
      </c>
      <c r="G157" s="258" t="s">
        <v>274</v>
      </c>
      <c r="H157" s="259"/>
      <c r="I157" s="541">
        <f t="shared" si="2"/>
        <v>105561.30000000002</v>
      </c>
      <c r="K157" s="243"/>
    </row>
    <row r="158" spans="1:11" ht="17" customHeight="1">
      <c r="A158" s="940"/>
      <c r="B158" s="253">
        <v>45681</v>
      </c>
      <c r="C158" s="265" t="s">
        <v>117</v>
      </c>
      <c r="D158" s="255" t="s">
        <v>573</v>
      </c>
      <c r="E158" s="256"/>
      <c r="F158" s="257">
        <v>27.5</v>
      </c>
      <c r="G158" s="258" t="s">
        <v>249</v>
      </c>
      <c r="H158" s="259"/>
      <c r="I158" s="541">
        <f t="shared" si="2"/>
        <v>105533.80000000002</v>
      </c>
      <c r="K158" s="243"/>
    </row>
    <row r="159" spans="1:11" ht="17" customHeight="1">
      <c r="A159" s="940"/>
      <c r="B159" s="253">
        <v>45681</v>
      </c>
      <c r="C159" s="263" t="s">
        <v>513</v>
      </c>
      <c r="D159" s="255" t="s">
        <v>514</v>
      </c>
      <c r="E159" s="256"/>
      <c r="F159" s="257">
        <v>70</v>
      </c>
      <c r="G159" s="258" t="s">
        <v>248</v>
      </c>
      <c r="H159" s="259"/>
      <c r="I159" s="541">
        <f t="shared" si="2"/>
        <v>105463.80000000002</v>
      </c>
      <c r="K159" s="243"/>
    </row>
    <row r="160" spans="1:11" ht="17" customHeight="1">
      <c r="A160" s="940"/>
      <c r="B160" s="253">
        <v>45681</v>
      </c>
      <c r="C160" s="263" t="s">
        <v>283</v>
      </c>
      <c r="D160" s="255" t="s">
        <v>283</v>
      </c>
      <c r="E160" s="256">
        <f>743.5-E161</f>
        <v>606.69000000000005</v>
      </c>
      <c r="F160" s="257"/>
      <c r="G160" s="258" t="s">
        <v>190</v>
      </c>
      <c r="H160" s="259"/>
      <c r="I160" s="541">
        <f t="shared" si="2"/>
        <v>106070.49000000002</v>
      </c>
      <c r="K160" s="243"/>
    </row>
    <row r="161" spans="1:11" ht="17" customHeight="1">
      <c r="A161" s="940"/>
      <c r="B161" s="253">
        <v>45681</v>
      </c>
      <c r="C161" s="263" t="s">
        <v>283</v>
      </c>
      <c r="D161" s="255" t="s">
        <v>508</v>
      </c>
      <c r="E161" s="256">
        <v>136.81</v>
      </c>
      <c r="F161" s="257"/>
      <c r="G161" s="258" t="s">
        <v>276</v>
      </c>
      <c r="H161" s="259"/>
      <c r="I161" s="541">
        <f t="shared" si="2"/>
        <v>106207.30000000002</v>
      </c>
      <c r="K161" s="243"/>
    </row>
    <row r="162" spans="1:11" ht="17" customHeight="1">
      <c r="A162" s="940"/>
      <c r="B162" s="253">
        <v>45681</v>
      </c>
      <c r="C162" s="263" t="s">
        <v>283</v>
      </c>
      <c r="D162" s="255" t="s">
        <v>283</v>
      </c>
      <c r="E162" s="256">
        <v>400</v>
      </c>
      <c r="F162" s="257"/>
      <c r="G162" s="258" t="s">
        <v>190</v>
      </c>
      <c r="H162" s="259" t="s">
        <v>575</v>
      </c>
      <c r="I162" s="541">
        <f t="shared" si="2"/>
        <v>106607.30000000002</v>
      </c>
      <c r="K162" s="243"/>
    </row>
    <row r="163" spans="1:11" ht="17" customHeight="1">
      <c r="A163" s="940"/>
      <c r="B163" s="253">
        <v>45682</v>
      </c>
      <c r="C163" s="263" t="s">
        <v>117</v>
      </c>
      <c r="D163" s="255" t="s">
        <v>549</v>
      </c>
      <c r="E163" s="256"/>
      <c r="F163" s="257">
        <v>31.7</v>
      </c>
      <c r="G163" s="258" t="s">
        <v>256</v>
      </c>
      <c r="H163" s="259"/>
      <c r="I163" s="541">
        <f t="shared" si="2"/>
        <v>106575.60000000002</v>
      </c>
      <c r="K163" s="243"/>
    </row>
    <row r="164" spans="1:11" ht="17" customHeight="1">
      <c r="A164" s="940"/>
      <c r="B164" s="253">
        <v>45682</v>
      </c>
      <c r="C164" s="263" t="s">
        <v>117</v>
      </c>
      <c r="D164" s="261" t="s">
        <v>510</v>
      </c>
      <c r="E164" s="256"/>
      <c r="F164" s="257">
        <v>80</v>
      </c>
      <c r="G164" s="258" t="s">
        <v>234</v>
      </c>
      <c r="H164" s="264"/>
      <c r="I164" s="541">
        <f t="shared" si="2"/>
        <v>106495.60000000002</v>
      </c>
      <c r="K164" s="243"/>
    </row>
    <row r="165" spans="1:11" ht="17" customHeight="1">
      <c r="A165" s="940"/>
      <c r="B165" s="253">
        <v>45682</v>
      </c>
      <c r="C165" s="263" t="s">
        <v>513</v>
      </c>
      <c r="D165" s="255" t="s">
        <v>576</v>
      </c>
      <c r="E165" s="256"/>
      <c r="F165" s="257">
        <v>90</v>
      </c>
      <c r="G165" s="258" t="s">
        <v>248</v>
      </c>
      <c r="H165" s="259"/>
      <c r="I165" s="541">
        <f t="shared" si="2"/>
        <v>106405.60000000002</v>
      </c>
      <c r="K165" s="243"/>
    </row>
    <row r="166" spans="1:11" ht="17" customHeight="1">
      <c r="A166" s="940"/>
      <c r="B166" s="253">
        <v>45682</v>
      </c>
      <c r="C166" s="263" t="s">
        <v>513</v>
      </c>
      <c r="D166" s="255" t="s">
        <v>514</v>
      </c>
      <c r="E166" s="256"/>
      <c r="F166" s="257">
        <v>20</v>
      </c>
      <c r="G166" s="258" t="s">
        <v>248</v>
      </c>
      <c r="H166" s="259"/>
      <c r="I166" s="541">
        <f t="shared" si="2"/>
        <v>106385.60000000002</v>
      </c>
      <c r="K166" s="243"/>
    </row>
    <row r="167" spans="1:11" ht="17" customHeight="1">
      <c r="A167" s="940"/>
      <c r="B167" s="253">
        <v>45682</v>
      </c>
      <c r="C167" s="263" t="s">
        <v>283</v>
      </c>
      <c r="D167" s="255" t="s">
        <v>283</v>
      </c>
      <c r="E167" s="256">
        <f>1387.85+775-E168</f>
        <v>1875.1999999999998</v>
      </c>
      <c r="F167" s="257"/>
      <c r="G167" s="258" t="s">
        <v>190</v>
      </c>
      <c r="H167" s="259"/>
      <c r="I167" s="541">
        <f t="shared" si="2"/>
        <v>108260.80000000002</v>
      </c>
      <c r="K167" s="243"/>
    </row>
    <row r="168" spans="1:11" ht="17" customHeight="1">
      <c r="A168" s="940"/>
      <c r="B168" s="253">
        <v>45682</v>
      </c>
      <c r="C168" s="263" t="s">
        <v>283</v>
      </c>
      <c r="D168" s="255" t="s">
        <v>508</v>
      </c>
      <c r="E168" s="256">
        <v>287.64999999999998</v>
      </c>
      <c r="F168" s="257"/>
      <c r="G168" s="258" t="s">
        <v>276</v>
      </c>
      <c r="H168" s="259"/>
      <c r="I168" s="541">
        <f t="shared" si="2"/>
        <v>108548.45000000001</v>
      </c>
      <c r="K168" s="243"/>
    </row>
    <row r="169" spans="1:11" ht="17" customHeight="1">
      <c r="A169" s="940"/>
      <c r="B169" s="253">
        <v>45683</v>
      </c>
      <c r="C169" s="263" t="s">
        <v>513</v>
      </c>
      <c r="D169" s="255" t="s">
        <v>576</v>
      </c>
      <c r="E169" s="256"/>
      <c r="F169" s="257">
        <v>90</v>
      </c>
      <c r="G169" s="258" t="s">
        <v>248</v>
      </c>
      <c r="H169" s="259"/>
      <c r="I169" s="541">
        <f t="shared" si="2"/>
        <v>108458.45000000001</v>
      </c>
      <c r="K169" s="243"/>
    </row>
    <row r="170" spans="1:11" ht="17" customHeight="1">
      <c r="A170" s="940"/>
      <c r="B170" s="253">
        <v>45683</v>
      </c>
      <c r="C170" s="263" t="s">
        <v>117</v>
      </c>
      <c r="D170" s="261" t="s">
        <v>516</v>
      </c>
      <c r="E170" s="256"/>
      <c r="F170" s="257">
        <v>77.400000000000006</v>
      </c>
      <c r="G170" s="258" t="s">
        <v>201</v>
      </c>
      <c r="H170" s="259"/>
      <c r="I170" s="541">
        <f t="shared" si="2"/>
        <v>108381.05000000002</v>
      </c>
      <c r="K170" s="243"/>
    </row>
    <row r="171" spans="1:11" ht="17" customHeight="1">
      <c r="A171" s="940"/>
      <c r="B171" s="253">
        <v>45683</v>
      </c>
      <c r="C171" s="263" t="s">
        <v>283</v>
      </c>
      <c r="D171" s="255" t="s">
        <v>283</v>
      </c>
      <c r="E171" s="256">
        <f>668.6-E172</f>
        <v>559.35</v>
      </c>
      <c r="F171" s="257"/>
      <c r="G171" s="258" t="s">
        <v>190</v>
      </c>
      <c r="H171" s="259"/>
      <c r="I171" s="541">
        <f t="shared" si="2"/>
        <v>108940.40000000002</v>
      </c>
      <c r="K171" s="243"/>
    </row>
    <row r="172" spans="1:11" ht="17" customHeight="1">
      <c r="A172" s="940"/>
      <c r="B172" s="253">
        <v>45683</v>
      </c>
      <c r="C172" s="263" t="s">
        <v>283</v>
      </c>
      <c r="D172" s="255" t="s">
        <v>508</v>
      </c>
      <c r="E172" s="256">
        <v>109.25</v>
      </c>
      <c r="F172" s="257"/>
      <c r="G172" s="258" t="s">
        <v>276</v>
      </c>
      <c r="H172" s="259"/>
      <c r="I172" s="541">
        <f t="shared" si="2"/>
        <v>109049.65000000002</v>
      </c>
      <c r="K172" s="243"/>
    </row>
    <row r="173" spans="1:11" ht="17" customHeight="1">
      <c r="A173" s="940"/>
      <c r="B173" s="253">
        <v>45685</v>
      </c>
      <c r="C173" s="263" t="s">
        <v>283</v>
      </c>
      <c r="D173" s="255" t="s">
        <v>283</v>
      </c>
      <c r="E173" s="256">
        <f>541.9-E174</f>
        <v>501.91999999999996</v>
      </c>
      <c r="F173" s="257"/>
      <c r="G173" s="258" t="s">
        <v>190</v>
      </c>
      <c r="H173" s="259"/>
      <c r="I173" s="541">
        <f t="shared" si="2"/>
        <v>109551.57000000002</v>
      </c>
      <c r="K173" s="243"/>
    </row>
    <row r="174" spans="1:11" ht="17" customHeight="1">
      <c r="A174" s="940"/>
      <c r="B174" s="253">
        <v>45685</v>
      </c>
      <c r="C174" s="263" t="s">
        <v>283</v>
      </c>
      <c r="D174" s="255" t="s">
        <v>508</v>
      </c>
      <c r="E174" s="256">
        <v>39.979999999999997</v>
      </c>
      <c r="F174" s="257"/>
      <c r="G174" s="258" t="s">
        <v>276</v>
      </c>
      <c r="H174" s="259"/>
      <c r="I174" s="541">
        <f t="shared" si="2"/>
        <v>109591.55000000002</v>
      </c>
      <c r="K174" s="243"/>
    </row>
    <row r="175" spans="1:11" ht="17" customHeight="1">
      <c r="A175" s="940"/>
      <c r="B175" s="253">
        <v>45686</v>
      </c>
      <c r="C175" s="263" t="s">
        <v>513</v>
      </c>
      <c r="D175" s="261" t="s">
        <v>571</v>
      </c>
      <c r="E175" s="256"/>
      <c r="F175" s="257">
        <v>148</v>
      </c>
      <c r="G175" s="258" t="s">
        <v>245</v>
      </c>
      <c r="H175" s="259"/>
      <c r="I175" s="541">
        <f t="shared" si="2"/>
        <v>109443.55000000002</v>
      </c>
      <c r="K175" s="243"/>
    </row>
    <row r="176" spans="1:11" ht="17" customHeight="1">
      <c r="A176" s="940"/>
      <c r="B176" s="253">
        <v>45686</v>
      </c>
      <c r="C176" s="263" t="s">
        <v>117</v>
      </c>
      <c r="D176" s="255" t="s">
        <v>573</v>
      </c>
      <c r="E176" s="256"/>
      <c r="F176" s="257">
        <v>20</v>
      </c>
      <c r="G176" s="258" t="s">
        <v>249</v>
      </c>
      <c r="H176" s="259"/>
      <c r="I176" s="541">
        <f t="shared" si="2"/>
        <v>109423.55000000002</v>
      </c>
      <c r="K176" s="243"/>
    </row>
    <row r="177" spans="1:88" ht="17" customHeight="1">
      <c r="A177" s="940"/>
      <c r="B177" s="253">
        <v>45686</v>
      </c>
      <c r="C177" s="263" t="s">
        <v>283</v>
      </c>
      <c r="D177" s="255" t="s">
        <v>283</v>
      </c>
      <c r="E177" s="256">
        <f>452.9-E178</f>
        <v>378.44</v>
      </c>
      <c r="F177" s="257"/>
      <c r="G177" s="258" t="s">
        <v>190</v>
      </c>
      <c r="H177" s="259"/>
      <c r="I177" s="541">
        <f t="shared" si="2"/>
        <v>109801.99000000002</v>
      </c>
      <c r="K177" s="243"/>
    </row>
    <row r="178" spans="1:88" ht="17" customHeight="1">
      <c r="A178" s="940"/>
      <c r="B178" s="253">
        <v>45686</v>
      </c>
      <c r="C178" s="263" t="s">
        <v>283</v>
      </c>
      <c r="D178" s="255" t="s">
        <v>508</v>
      </c>
      <c r="E178" s="256">
        <v>74.459999999999994</v>
      </c>
      <c r="F178" s="257"/>
      <c r="G178" s="258" t="s">
        <v>276</v>
      </c>
      <c r="H178" s="259"/>
      <c r="I178" s="541">
        <f t="shared" si="2"/>
        <v>109876.45000000003</v>
      </c>
      <c r="K178" s="243"/>
    </row>
    <row r="179" spans="1:88" ht="17" customHeight="1">
      <c r="A179" s="940"/>
      <c r="B179" s="253">
        <v>45687</v>
      </c>
      <c r="C179" s="263" t="s">
        <v>117</v>
      </c>
      <c r="D179" s="255" t="s">
        <v>516</v>
      </c>
      <c r="E179" s="256"/>
      <c r="F179" s="257">
        <v>57.5</v>
      </c>
      <c r="G179" s="258" t="s">
        <v>201</v>
      </c>
      <c r="H179" s="259"/>
      <c r="I179" s="541">
        <f t="shared" si="2"/>
        <v>109818.95000000003</v>
      </c>
      <c r="K179" s="243"/>
    </row>
    <row r="180" spans="1:88" ht="17" customHeight="1">
      <c r="A180" s="940"/>
      <c r="B180" s="253">
        <v>45687</v>
      </c>
      <c r="C180" s="263">
        <v>146</v>
      </c>
      <c r="D180" s="255" t="s">
        <v>577</v>
      </c>
      <c r="E180" s="256"/>
      <c r="F180" s="257">
        <v>77.87</v>
      </c>
      <c r="G180" s="258" t="s">
        <v>205</v>
      </c>
      <c r="H180" s="259"/>
      <c r="I180" s="541">
        <f t="shared" si="2"/>
        <v>109741.08000000003</v>
      </c>
      <c r="K180" s="243"/>
    </row>
    <row r="181" spans="1:88" ht="17" customHeight="1">
      <c r="A181" s="940"/>
      <c r="B181" s="253">
        <v>45687</v>
      </c>
      <c r="C181" s="263">
        <v>146</v>
      </c>
      <c r="D181" s="255" t="s">
        <v>577</v>
      </c>
      <c r="E181" s="256"/>
      <c r="F181" s="257">
        <v>17.13</v>
      </c>
      <c r="G181" s="258" t="s">
        <v>274</v>
      </c>
      <c r="H181" s="259"/>
      <c r="I181" s="541">
        <f t="shared" si="2"/>
        <v>109723.95000000003</v>
      </c>
      <c r="K181" s="243"/>
    </row>
    <row r="182" spans="1:88" ht="17" customHeight="1">
      <c r="A182" s="940"/>
      <c r="B182" s="253">
        <v>45687</v>
      </c>
      <c r="C182" s="263">
        <v>125</v>
      </c>
      <c r="D182" s="255" t="s">
        <v>578</v>
      </c>
      <c r="E182" s="256"/>
      <c r="F182" s="257">
        <v>90</v>
      </c>
      <c r="G182" s="258" t="s">
        <v>208</v>
      </c>
      <c r="H182" s="259"/>
      <c r="I182" s="541">
        <f t="shared" si="2"/>
        <v>109633.95000000003</v>
      </c>
      <c r="K182" s="243"/>
    </row>
    <row r="183" spans="1:88" ht="17" customHeight="1">
      <c r="A183" s="940"/>
      <c r="B183" s="253">
        <v>45687</v>
      </c>
      <c r="C183" s="263">
        <v>125</v>
      </c>
      <c r="D183" s="255" t="s">
        <v>578</v>
      </c>
      <c r="E183" s="256"/>
      <c r="F183" s="257">
        <v>19.8</v>
      </c>
      <c r="G183" s="258" t="s">
        <v>274</v>
      </c>
      <c r="H183" s="259"/>
      <c r="I183" s="541">
        <f t="shared" si="2"/>
        <v>109614.15000000002</v>
      </c>
      <c r="K183" s="243"/>
    </row>
    <row r="184" spans="1:88" ht="17" customHeight="1">
      <c r="A184" s="940"/>
      <c r="B184" s="253">
        <v>45687</v>
      </c>
      <c r="C184" s="263" t="s">
        <v>117</v>
      </c>
      <c r="D184" s="255" t="s">
        <v>306</v>
      </c>
      <c r="E184" s="256"/>
      <c r="F184" s="257">
        <v>517.6</v>
      </c>
      <c r="G184" s="258" t="s">
        <v>194</v>
      </c>
      <c r="H184" s="259"/>
      <c r="I184" s="541">
        <f t="shared" si="2"/>
        <v>109096.55000000002</v>
      </c>
      <c r="K184" s="243"/>
    </row>
    <row r="185" spans="1:88" ht="17" customHeight="1">
      <c r="A185" s="940"/>
      <c r="B185" s="253">
        <v>45687</v>
      </c>
      <c r="C185" s="263" t="s">
        <v>283</v>
      </c>
      <c r="D185" s="255" t="s">
        <v>283</v>
      </c>
      <c r="E185" s="256">
        <f>542.5-E186</f>
        <v>485.31</v>
      </c>
      <c r="F185" s="257"/>
      <c r="G185" s="258" t="s">
        <v>190</v>
      </c>
      <c r="H185" s="259"/>
      <c r="I185" s="541">
        <f t="shared" si="2"/>
        <v>109581.86000000002</v>
      </c>
      <c r="K185" s="243"/>
    </row>
    <row r="186" spans="1:88" ht="17" customHeight="1">
      <c r="A186" s="940"/>
      <c r="B186" s="253">
        <v>45687</v>
      </c>
      <c r="C186" s="263" t="s">
        <v>283</v>
      </c>
      <c r="D186" s="255" t="s">
        <v>508</v>
      </c>
      <c r="E186" s="256">
        <v>57.19</v>
      </c>
      <c r="F186" s="257"/>
      <c r="G186" s="258" t="s">
        <v>276</v>
      </c>
      <c r="H186" s="259"/>
      <c r="I186" s="541">
        <f t="shared" si="2"/>
        <v>109639.05000000002</v>
      </c>
      <c r="K186" s="243"/>
    </row>
    <row r="187" spans="1:88" ht="17" customHeight="1">
      <c r="A187" s="940"/>
      <c r="B187" s="253">
        <v>45688</v>
      </c>
      <c r="C187" s="263" t="s">
        <v>117</v>
      </c>
      <c r="D187" s="255" t="s">
        <v>579</v>
      </c>
      <c r="E187" s="256"/>
      <c r="F187" s="257">
        <v>5</v>
      </c>
      <c r="G187" s="258" t="s">
        <v>249</v>
      </c>
      <c r="H187" s="259"/>
      <c r="I187" s="541">
        <f t="shared" si="2"/>
        <v>109634.05000000002</v>
      </c>
      <c r="K187" s="243"/>
    </row>
    <row r="188" spans="1:88" ht="17" customHeight="1">
      <c r="A188" s="940"/>
      <c r="B188" s="253">
        <v>45688</v>
      </c>
      <c r="C188" s="263" t="s">
        <v>117</v>
      </c>
      <c r="D188" s="255" t="s">
        <v>549</v>
      </c>
      <c r="E188" s="256"/>
      <c r="F188" s="257">
        <v>14.7</v>
      </c>
      <c r="G188" s="258" t="s">
        <v>256</v>
      </c>
      <c r="H188" s="259"/>
      <c r="I188" s="541">
        <f t="shared" si="2"/>
        <v>109619.35000000002</v>
      </c>
      <c r="K188" s="243"/>
    </row>
    <row r="189" spans="1:88" ht="17" customHeight="1">
      <c r="A189" s="940"/>
      <c r="B189" s="253">
        <v>45688</v>
      </c>
      <c r="C189" s="265" t="s">
        <v>580</v>
      </c>
      <c r="D189" s="255" t="s">
        <v>512</v>
      </c>
      <c r="E189" s="256"/>
      <c r="F189" s="257">
        <f>27.6-1.06</f>
        <v>26.540000000000003</v>
      </c>
      <c r="G189" s="258" t="s">
        <v>199</v>
      </c>
      <c r="H189" s="259"/>
      <c r="I189" s="541">
        <f t="shared" si="2"/>
        <v>109592.81000000003</v>
      </c>
      <c r="K189" s="243"/>
    </row>
    <row r="190" spans="1:88" ht="17" customHeight="1">
      <c r="A190" s="940"/>
      <c r="B190" s="253">
        <v>45688</v>
      </c>
      <c r="C190" s="265" t="s">
        <v>580</v>
      </c>
      <c r="D190" s="255" t="s">
        <v>512</v>
      </c>
      <c r="E190" s="256"/>
      <c r="F190" s="257">
        <v>1.06</v>
      </c>
      <c r="G190" s="258" t="s">
        <v>274</v>
      </c>
      <c r="H190" s="259"/>
      <c r="I190" s="541">
        <f t="shared" si="2"/>
        <v>109591.75000000003</v>
      </c>
      <c r="K190" s="243"/>
    </row>
    <row r="191" spans="1:88" ht="17" customHeight="1">
      <c r="A191" s="940"/>
      <c r="B191" s="253">
        <v>45688</v>
      </c>
      <c r="C191" s="263" t="s">
        <v>117</v>
      </c>
      <c r="D191" s="255" t="s">
        <v>507</v>
      </c>
      <c r="E191" s="256"/>
      <c r="F191" s="257">
        <v>7.6</v>
      </c>
      <c r="G191" s="258" t="s">
        <v>199</v>
      </c>
      <c r="H191" s="259"/>
      <c r="I191" s="541">
        <f t="shared" si="2"/>
        <v>109584.15000000002</v>
      </c>
      <c r="K191" s="243"/>
    </row>
    <row r="192" spans="1:88" ht="17" customHeight="1">
      <c r="A192" s="940"/>
      <c r="B192" s="253">
        <v>45688</v>
      </c>
      <c r="C192" s="263" t="s">
        <v>283</v>
      </c>
      <c r="D192" s="255" t="s">
        <v>283</v>
      </c>
      <c r="E192" s="256">
        <f>1089.4-E193</f>
        <v>918.68000000000006</v>
      </c>
      <c r="F192" s="257"/>
      <c r="G192" s="258" t="s">
        <v>190</v>
      </c>
      <c r="H192" s="259"/>
      <c r="I192" s="541">
        <f t="shared" si="2"/>
        <v>110502.83000000002</v>
      </c>
      <c r="AJ192" s="240"/>
      <c r="AK192" s="240"/>
      <c r="AL192" s="240"/>
      <c r="AM192" s="240"/>
      <c r="AN192" s="240"/>
      <c r="AO192" s="240"/>
      <c r="AP192" s="240"/>
      <c r="AQ192" s="240"/>
      <c r="AR192" s="240"/>
      <c r="AS192" s="240"/>
      <c r="AT192" s="240"/>
      <c r="AU192" s="240"/>
      <c r="AV192" s="240"/>
      <c r="AW192" s="240"/>
      <c r="AX192" s="240"/>
      <c r="AY192" s="240"/>
      <c r="AZ192" s="240"/>
      <c r="BA192" s="240"/>
      <c r="BB192" s="240"/>
      <c r="BC192" s="240"/>
      <c r="BD192" s="240"/>
      <c r="BE192" s="240"/>
      <c r="BF192" s="240"/>
      <c r="BG192" s="240"/>
      <c r="BH192" s="240"/>
      <c r="BI192" s="240"/>
      <c r="BJ192" s="240"/>
      <c r="BK192" s="240"/>
      <c r="BL192" s="240"/>
      <c r="BM192" s="240"/>
      <c r="BN192" s="240"/>
      <c r="BO192" s="240"/>
      <c r="BP192" s="240"/>
      <c r="BQ192" s="240"/>
      <c r="BR192" s="240"/>
      <c r="BS192" s="240"/>
      <c r="BT192" s="240"/>
      <c r="BU192" s="240"/>
      <c r="BV192" s="240"/>
      <c r="BW192" s="240"/>
      <c r="BX192" s="240"/>
      <c r="BY192" s="240"/>
      <c r="BZ192" s="240"/>
      <c r="CA192" s="240"/>
      <c r="CB192" s="240"/>
      <c r="CC192" s="240"/>
      <c r="CD192" s="240"/>
      <c r="CE192" s="240"/>
      <c r="CF192" s="240"/>
      <c r="CG192" s="240"/>
      <c r="CH192" s="240"/>
      <c r="CI192" s="240"/>
      <c r="CJ192" s="240"/>
    </row>
    <row r="193" spans="1:11" ht="17" customHeight="1">
      <c r="A193" s="940"/>
      <c r="B193" s="253">
        <v>45688</v>
      </c>
      <c r="C193" s="263" t="s">
        <v>283</v>
      </c>
      <c r="D193" s="255" t="s">
        <v>508</v>
      </c>
      <c r="E193" s="256">
        <v>170.72</v>
      </c>
      <c r="F193" s="257"/>
      <c r="G193" s="258" t="s">
        <v>276</v>
      </c>
      <c r="H193" s="259"/>
      <c r="I193" s="541">
        <f t="shared" si="2"/>
        <v>110673.55000000002</v>
      </c>
      <c r="K193" s="243"/>
    </row>
    <row r="194" spans="1:11" ht="17" customHeight="1">
      <c r="A194" s="940"/>
      <c r="B194" s="253">
        <v>45688</v>
      </c>
      <c r="C194" s="263" t="s">
        <v>283</v>
      </c>
      <c r="D194" s="255" t="s">
        <v>283</v>
      </c>
      <c r="E194" s="256"/>
      <c r="F194" s="257">
        <v>13158.2</v>
      </c>
      <c r="G194" s="258" t="s">
        <v>190</v>
      </c>
      <c r="H194" s="542" t="s">
        <v>581</v>
      </c>
      <c r="I194" s="541">
        <f t="shared" si="2"/>
        <v>97515.35000000002</v>
      </c>
      <c r="K194" s="243"/>
    </row>
    <row r="195" spans="1:11" ht="17" customHeight="1">
      <c r="A195" s="940"/>
      <c r="B195" s="253">
        <v>45688</v>
      </c>
      <c r="C195" s="263" t="s">
        <v>283</v>
      </c>
      <c r="D195" s="255" t="s">
        <v>582</v>
      </c>
      <c r="E195" s="256">
        <v>13158.2</v>
      </c>
      <c r="F195" s="257"/>
      <c r="G195" s="258" t="s">
        <v>190</v>
      </c>
      <c r="H195" s="542" t="s">
        <v>581</v>
      </c>
      <c r="I195" s="541">
        <f t="shared" si="2"/>
        <v>110673.55000000002</v>
      </c>
      <c r="K195" s="243"/>
    </row>
    <row r="196" spans="1:11" ht="17" customHeight="1">
      <c r="A196" s="940"/>
      <c r="B196" s="253">
        <v>45689</v>
      </c>
      <c r="C196" s="263" t="s">
        <v>117</v>
      </c>
      <c r="D196" s="255" t="s">
        <v>579</v>
      </c>
      <c r="E196" s="256"/>
      <c r="F196" s="257">
        <v>20</v>
      </c>
      <c r="G196" s="258" t="s">
        <v>249</v>
      </c>
      <c r="H196" s="259"/>
      <c r="I196" s="541">
        <f t="shared" si="2"/>
        <v>110653.55000000002</v>
      </c>
      <c r="K196" s="243"/>
    </row>
    <row r="197" spans="1:11" ht="17" customHeight="1">
      <c r="A197" s="940"/>
      <c r="B197" s="253">
        <v>45689</v>
      </c>
      <c r="C197" s="263" t="s">
        <v>117</v>
      </c>
      <c r="D197" s="255" t="s">
        <v>543</v>
      </c>
      <c r="E197" s="256"/>
      <c r="F197" s="257">
        <v>80</v>
      </c>
      <c r="G197" s="258" t="s">
        <v>234</v>
      </c>
      <c r="H197" s="259"/>
      <c r="I197" s="541">
        <f t="shared" si="2"/>
        <v>110573.55000000002</v>
      </c>
      <c r="K197" s="243"/>
    </row>
    <row r="198" spans="1:11" ht="17" customHeight="1">
      <c r="A198" s="940"/>
      <c r="B198" s="253">
        <v>45689</v>
      </c>
      <c r="C198" s="263" t="s">
        <v>283</v>
      </c>
      <c r="D198" s="255" t="s">
        <v>283</v>
      </c>
      <c r="E198" s="256">
        <f>2838-E199</f>
        <v>2667.28</v>
      </c>
      <c r="F198" s="257"/>
      <c r="G198" s="258" t="s">
        <v>190</v>
      </c>
      <c r="H198" s="259" t="s">
        <v>583</v>
      </c>
      <c r="I198" s="541">
        <f t="shared" si="2"/>
        <v>113240.83000000002</v>
      </c>
      <c r="K198" s="243"/>
    </row>
    <row r="199" spans="1:11" ht="17" customHeight="1">
      <c r="A199" s="940"/>
      <c r="B199" s="253">
        <v>45689</v>
      </c>
      <c r="C199" s="263" t="s">
        <v>283</v>
      </c>
      <c r="D199" s="255" t="s">
        <v>508</v>
      </c>
      <c r="E199" s="256">
        <v>170.72</v>
      </c>
      <c r="F199" s="257"/>
      <c r="G199" s="258" t="s">
        <v>276</v>
      </c>
      <c r="H199" s="259"/>
      <c r="I199" s="541">
        <f t="shared" si="2"/>
        <v>113411.55000000002</v>
      </c>
      <c r="K199" s="243"/>
    </row>
    <row r="200" spans="1:11" ht="17" customHeight="1">
      <c r="A200" s="940"/>
      <c r="B200" s="253">
        <v>45689</v>
      </c>
      <c r="C200" s="263" t="s">
        <v>283</v>
      </c>
      <c r="D200" s="255" t="s">
        <v>283</v>
      </c>
      <c r="E200" s="256">
        <v>1000</v>
      </c>
      <c r="F200" s="257"/>
      <c r="G200" s="258" t="s">
        <v>190</v>
      </c>
      <c r="H200" s="259" t="s">
        <v>584</v>
      </c>
      <c r="I200" s="541">
        <f t="shared" si="2"/>
        <v>114411.55000000002</v>
      </c>
      <c r="K200" s="243"/>
    </row>
    <row r="201" spans="1:11" ht="17" customHeight="1">
      <c r="A201" s="940"/>
      <c r="B201" s="253">
        <v>45689</v>
      </c>
      <c r="C201" s="263" t="s">
        <v>283</v>
      </c>
      <c r="D201" s="255" t="s">
        <v>283</v>
      </c>
      <c r="E201" s="256">
        <v>46.7</v>
      </c>
      <c r="F201" s="257"/>
      <c r="G201" s="258" t="s">
        <v>190</v>
      </c>
      <c r="H201" s="264" t="s">
        <v>585</v>
      </c>
      <c r="I201" s="541">
        <f t="shared" ref="I201:I264" si="3">I200+E201-F201</f>
        <v>114458.25000000001</v>
      </c>
      <c r="K201" s="243"/>
    </row>
    <row r="202" spans="1:11" ht="17" customHeight="1">
      <c r="A202" s="940"/>
      <c r="B202" s="253">
        <v>45690</v>
      </c>
      <c r="C202" s="263" t="s">
        <v>117</v>
      </c>
      <c r="D202" s="255" t="s">
        <v>573</v>
      </c>
      <c r="E202" s="256"/>
      <c r="F202" s="257">
        <v>30</v>
      </c>
      <c r="G202" s="258" t="s">
        <v>249</v>
      </c>
      <c r="H202" s="264"/>
      <c r="I202" s="541">
        <f t="shared" si="3"/>
        <v>114428.25000000001</v>
      </c>
      <c r="K202" s="243"/>
    </row>
    <row r="203" spans="1:11" ht="17" customHeight="1">
      <c r="A203" s="940"/>
      <c r="B203" s="253">
        <v>45690</v>
      </c>
      <c r="C203" s="263" t="s">
        <v>117</v>
      </c>
      <c r="D203" s="255" t="s">
        <v>526</v>
      </c>
      <c r="E203" s="256"/>
      <c r="F203" s="257">
        <v>100</v>
      </c>
      <c r="G203" s="258" t="s">
        <v>229</v>
      </c>
      <c r="H203" s="259"/>
      <c r="I203" s="541">
        <f t="shared" si="3"/>
        <v>114328.25000000001</v>
      </c>
      <c r="K203" s="243"/>
    </row>
    <row r="204" spans="1:11" ht="17" customHeight="1">
      <c r="A204" s="940"/>
      <c r="B204" s="253">
        <v>45690</v>
      </c>
      <c r="C204" s="263" t="s">
        <v>117</v>
      </c>
      <c r="D204" s="261" t="s">
        <v>525</v>
      </c>
      <c r="E204" s="256"/>
      <c r="F204" s="257">
        <v>100</v>
      </c>
      <c r="G204" s="258" t="s">
        <v>229</v>
      </c>
      <c r="H204" s="259"/>
      <c r="I204" s="541">
        <f t="shared" si="3"/>
        <v>114228.25000000001</v>
      </c>
      <c r="K204" s="243"/>
    </row>
    <row r="205" spans="1:11" ht="17" customHeight="1">
      <c r="A205" s="940"/>
      <c r="B205" s="253">
        <v>45690</v>
      </c>
      <c r="C205" s="263" t="s">
        <v>117</v>
      </c>
      <c r="D205" s="261" t="s">
        <v>531</v>
      </c>
      <c r="E205" s="256"/>
      <c r="F205" s="257">
        <v>50</v>
      </c>
      <c r="G205" s="258" t="s">
        <v>229</v>
      </c>
      <c r="H205" s="259"/>
      <c r="I205" s="541">
        <f t="shared" si="3"/>
        <v>114178.25000000001</v>
      </c>
      <c r="K205" s="243"/>
    </row>
    <row r="206" spans="1:11" ht="17" customHeight="1">
      <c r="A206" s="278"/>
      <c r="B206" s="253">
        <v>45690</v>
      </c>
      <c r="C206" s="263" t="s">
        <v>117</v>
      </c>
      <c r="D206" s="261" t="s">
        <v>531</v>
      </c>
      <c r="E206" s="256"/>
      <c r="F206" s="257">
        <v>100</v>
      </c>
      <c r="G206" s="258" t="s">
        <v>230</v>
      </c>
      <c r="H206" s="259"/>
      <c r="I206" s="541">
        <f t="shared" si="3"/>
        <v>114078.25000000001</v>
      </c>
      <c r="K206" s="243"/>
    </row>
    <row r="207" spans="1:11" ht="17" customHeight="1">
      <c r="B207" s="253">
        <v>45690</v>
      </c>
      <c r="C207" s="263" t="s">
        <v>117</v>
      </c>
      <c r="D207" s="255" t="s">
        <v>566</v>
      </c>
      <c r="E207" s="256"/>
      <c r="F207" s="257">
        <v>100</v>
      </c>
      <c r="G207" s="258" t="s">
        <v>229</v>
      </c>
      <c r="H207" s="259"/>
      <c r="I207" s="541">
        <f t="shared" si="3"/>
        <v>113978.25000000001</v>
      </c>
      <c r="K207" s="243"/>
    </row>
    <row r="208" spans="1:11" ht="17" customHeight="1">
      <c r="B208" s="253">
        <v>45690</v>
      </c>
      <c r="C208" s="263" t="s">
        <v>117</v>
      </c>
      <c r="D208" s="255" t="s">
        <v>527</v>
      </c>
      <c r="E208" s="256"/>
      <c r="F208" s="257">
        <v>110</v>
      </c>
      <c r="G208" s="258" t="s">
        <v>233</v>
      </c>
      <c r="H208" s="259"/>
      <c r="I208" s="541">
        <f t="shared" si="3"/>
        <v>113868.25000000001</v>
      </c>
      <c r="K208" s="243"/>
    </row>
    <row r="209" spans="2:11" ht="17" customHeight="1">
      <c r="B209" s="253">
        <v>45690</v>
      </c>
      <c r="C209" s="263" t="s">
        <v>117</v>
      </c>
      <c r="D209" s="255" t="s">
        <v>528</v>
      </c>
      <c r="E209" s="256"/>
      <c r="F209" s="257">
        <v>150</v>
      </c>
      <c r="G209" s="258" t="s">
        <v>233</v>
      </c>
      <c r="H209" s="259"/>
      <c r="I209" s="541">
        <f t="shared" si="3"/>
        <v>113718.25000000001</v>
      </c>
      <c r="K209" s="243"/>
    </row>
    <row r="210" spans="2:11" ht="17" customHeight="1">
      <c r="B210" s="253">
        <v>45690</v>
      </c>
      <c r="C210" s="263" t="s">
        <v>117</v>
      </c>
      <c r="D210" s="255" t="s">
        <v>530</v>
      </c>
      <c r="E210" s="256"/>
      <c r="F210" s="257">
        <v>520</v>
      </c>
      <c r="G210" s="258" t="s">
        <v>229</v>
      </c>
      <c r="H210" s="259"/>
      <c r="I210" s="541">
        <f t="shared" si="3"/>
        <v>113198.25000000001</v>
      </c>
      <c r="K210" s="243"/>
    </row>
    <row r="211" spans="2:11" ht="17" customHeight="1">
      <c r="B211" s="253">
        <v>45690</v>
      </c>
      <c r="C211" s="263" t="s">
        <v>513</v>
      </c>
      <c r="D211" s="255" t="s">
        <v>534</v>
      </c>
      <c r="E211" s="256"/>
      <c r="F211" s="257">
        <v>36</v>
      </c>
      <c r="G211" s="258" t="s">
        <v>245</v>
      </c>
      <c r="H211" s="259"/>
      <c r="I211" s="541">
        <f t="shared" si="3"/>
        <v>113162.25000000001</v>
      </c>
      <c r="K211" s="243"/>
    </row>
    <row r="212" spans="2:11" ht="17" customHeight="1">
      <c r="B212" s="253">
        <v>45690</v>
      </c>
      <c r="C212" s="263" t="s">
        <v>513</v>
      </c>
      <c r="D212" s="255" t="s">
        <v>534</v>
      </c>
      <c r="E212" s="256"/>
      <c r="F212" s="257">
        <v>13.64</v>
      </c>
      <c r="G212" s="258" t="s">
        <v>250</v>
      </c>
      <c r="H212" s="259"/>
      <c r="I212" s="541">
        <f t="shared" si="3"/>
        <v>113148.61000000002</v>
      </c>
      <c r="K212" s="243"/>
    </row>
    <row r="213" spans="2:11" ht="17" customHeight="1">
      <c r="B213" s="253">
        <v>45690</v>
      </c>
      <c r="C213" s="263" t="s">
        <v>513</v>
      </c>
      <c r="D213" s="255" t="s">
        <v>535</v>
      </c>
      <c r="E213" s="256">
        <v>36</v>
      </c>
      <c r="F213" s="257"/>
      <c r="G213" s="258"/>
      <c r="H213" s="259" t="s">
        <v>536</v>
      </c>
      <c r="I213" s="541">
        <f t="shared" si="3"/>
        <v>113184.61000000002</v>
      </c>
      <c r="K213" s="243"/>
    </row>
    <row r="214" spans="2:11" ht="17" customHeight="1">
      <c r="B214" s="253">
        <v>45690</v>
      </c>
      <c r="C214" s="263" t="s">
        <v>513</v>
      </c>
      <c r="D214" s="255" t="s">
        <v>535</v>
      </c>
      <c r="E214" s="256">
        <v>13.64</v>
      </c>
      <c r="F214" s="257"/>
      <c r="G214" s="258"/>
      <c r="H214" s="259" t="s">
        <v>536</v>
      </c>
      <c r="I214" s="541">
        <f t="shared" si="3"/>
        <v>113198.25000000001</v>
      </c>
      <c r="K214" s="243"/>
    </row>
    <row r="215" spans="2:11" ht="17" customHeight="1">
      <c r="B215" s="253">
        <v>45690</v>
      </c>
      <c r="C215" s="263" t="s">
        <v>513</v>
      </c>
      <c r="D215" s="255" t="s">
        <v>567</v>
      </c>
      <c r="E215" s="256"/>
      <c r="F215" s="257">
        <v>95</v>
      </c>
      <c r="G215" s="258" t="s">
        <v>227</v>
      </c>
      <c r="H215" s="259"/>
      <c r="I215" s="541">
        <f t="shared" si="3"/>
        <v>113103.25000000001</v>
      </c>
      <c r="K215" s="243"/>
    </row>
    <row r="216" spans="2:11" ht="17" customHeight="1">
      <c r="B216" s="253">
        <v>45690</v>
      </c>
      <c r="C216" s="263" t="s">
        <v>513</v>
      </c>
      <c r="D216" s="255" t="s">
        <v>567</v>
      </c>
      <c r="E216" s="256"/>
      <c r="F216" s="257">
        <v>36</v>
      </c>
      <c r="G216" s="258" t="s">
        <v>245</v>
      </c>
      <c r="H216" s="259"/>
      <c r="I216" s="541">
        <f t="shared" si="3"/>
        <v>113067.25000000001</v>
      </c>
      <c r="K216" s="243"/>
    </row>
    <row r="217" spans="2:11" ht="17" customHeight="1">
      <c r="B217" s="253">
        <v>45690</v>
      </c>
      <c r="C217" s="263" t="s">
        <v>513</v>
      </c>
      <c r="D217" s="255" t="s">
        <v>567</v>
      </c>
      <c r="E217" s="256"/>
      <c r="F217" s="257">
        <v>13.64</v>
      </c>
      <c r="G217" s="258" t="s">
        <v>250</v>
      </c>
      <c r="H217" s="259"/>
      <c r="I217" s="541">
        <f t="shared" si="3"/>
        <v>113053.61000000002</v>
      </c>
      <c r="K217" s="243"/>
    </row>
    <row r="218" spans="2:11" ht="17" customHeight="1">
      <c r="B218" s="253">
        <v>45690</v>
      </c>
      <c r="C218" s="263" t="s">
        <v>513</v>
      </c>
      <c r="D218" s="255" t="s">
        <v>535</v>
      </c>
      <c r="E218" s="256">
        <v>36</v>
      </c>
      <c r="F218" s="257"/>
      <c r="G218" s="258"/>
      <c r="H218" s="259" t="s">
        <v>586</v>
      </c>
      <c r="I218" s="541">
        <f t="shared" si="3"/>
        <v>113089.61000000002</v>
      </c>
      <c r="K218" s="243"/>
    </row>
    <row r="219" spans="2:11" ht="17" customHeight="1">
      <c r="B219" s="253">
        <v>45690</v>
      </c>
      <c r="C219" s="263" t="s">
        <v>513</v>
      </c>
      <c r="D219" s="255" t="s">
        <v>535</v>
      </c>
      <c r="E219" s="256">
        <v>13.64</v>
      </c>
      <c r="F219" s="257"/>
      <c r="G219" s="258"/>
      <c r="H219" s="259" t="s">
        <v>586</v>
      </c>
      <c r="I219" s="541">
        <f t="shared" si="3"/>
        <v>113103.25000000001</v>
      </c>
      <c r="K219" s="243"/>
    </row>
    <row r="220" spans="2:11" ht="17" customHeight="1">
      <c r="B220" s="253">
        <v>45690</v>
      </c>
      <c r="C220" s="263" t="s">
        <v>513</v>
      </c>
      <c r="D220" s="255" t="s">
        <v>537</v>
      </c>
      <c r="E220" s="256"/>
      <c r="F220" s="257">
        <v>90</v>
      </c>
      <c r="G220" s="258" t="s">
        <v>227</v>
      </c>
      <c r="H220" s="259"/>
      <c r="I220" s="541">
        <f t="shared" si="3"/>
        <v>113013.25000000001</v>
      </c>
      <c r="K220" s="243"/>
    </row>
    <row r="221" spans="2:11" ht="17" customHeight="1">
      <c r="B221" s="253">
        <v>45690</v>
      </c>
      <c r="C221" s="263" t="s">
        <v>117</v>
      </c>
      <c r="D221" s="255" t="s">
        <v>587</v>
      </c>
      <c r="E221" s="256"/>
      <c r="F221" s="257">
        <v>300</v>
      </c>
      <c r="G221" s="258" t="s">
        <v>230</v>
      </c>
      <c r="H221" s="259"/>
      <c r="I221" s="541">
        <f t="shared" si="3"/>
        <v>112713.25000000001</v>
      </c>
      <c r="K221" s="243"/>
    </row>
    <row r="222" spans="2:11" ht="17" customHeight="1">
      <c r="B222" s="253">
        <v>45690</v>
      </c>
      <c r="C222" s="263"/>
      <c r="D222" s="255"/>
      <c r="E222" s="256"/>
      <c r="F222" s="257"/>
      <c r="G222" s="258" t="s">
        <v>274</v>
      </c>
      <c r="H222" s="259"/>
      <c r="I222" s="541">
        <f t="shared" si="3"/>
        <v>112713.25000000001</v>
      </c>
      <c r="K222" s="243"/>
    </row>
    <row r="223" spans="2:11" ht="17" customHeight="1">
      <c r="B223" s="253">
        <v>45690</v>
      </c>
      <c r="C223" s="263" t="s">
        <v>117</v>
      </c>
      <c r="D223" s="255" t="s">
        <v>529</v>
      </c>
      <c r="E223" s="256"/>
      <c r="F223" s="257">
        <v>70</v>
      </c>
      <c r="G223" s="258" t="s">
        <v>233</v>
      </c>
      <c r="H223" s="259"/>
      <c r="I223" s="541">
        <f t="shared" si="3"/>
        <v>112643.25000000001</v>
      </c>
      <c r="K223" s="243"/>
    </row>
    <row r="224" spans="2:11" ht="17" customHeight="1">
      <c r="B224" s="253">
        <v>45690</v>
      </c>
      <c r="C224" s="263" t="s">
        <v>117</v>
      </c>
      <c r="D224" s="255" t="s">
        <v>524</v>
      </c>
      <c r="E224" s="256"/>
      <c r="F224" s="257">
        <v>50</v>
      </c>
      <c r="G224" s="258" t="s">
        <v>227</v>
      </c>
      <c r="H224" s="259"/>
      <c r="I224" s="541">
        <f t="shared" si="3"/>
        <v>112593.25000000001</v>
      </c>
      <c r="K224" s="243"/>
    </row>
    <row r="225" spans="2:11" ht="17" customHeight="1">
      <c r="B225" s="253">
        <v>45690</v>
      </c>
      <c r="C225" s="263" t="s">
        <v>117</v>
      </c>
      <c r="D225" s="261" t="s">
        <v>532</v>
      </c>
      <c r="E225" s="256"/>
      <c r="F225" s="257">
        <v>400</v>
      </c>
      <c r="G225" s="258" t="s">
        <v>231</v>
      </c>
      <c r="H225" s="259"/>
      <c r="I225" s="541">
        <f t="shared" si="3"/>
        <v>112193.25000000001</v>
      </c>
      <c r="K225" s="243"/>
    </row>
    <row r="226" spans="2:11" ht="17" customHeight="1">
      <c r="B226" s="253">
        <v>45690</v>
      </c>
      <c r="C226" s="263" t="s">
        <v>283</v>
      </c>
      <c r="D226" s="255" t="s">
        <v>283</v>
      </c>
      <c r="E226" s="256">
        <f>5435-E227</f>
        <v>4342.3999999999996</v>
      </c>
      <c r="F226" s="257"/>
      <c r="G226" s="258" t="s">
        <v>190</v>
      </c>
      <c r="H226" s="259"/>
      <c r="I226" s="541">
        <f t="shared" si="3"/>
        <v>116535.65000000001</v>
      </c>
      <c r="K226" s="243"/>
    </row>
    <row r="227" spans="2:11" ht="17" customHeight="1">
      <c r="B227" s="253">
        <v>45690</v>
      </c>
      <c r="C227" s="263" t="s">
        <v>283</v>
      </c>
      <c r="D227" s="255" t="s">
        <v>508</v>
      </c>
      <c r="E227" s="256">
        <v>1092.5999999999999</v>
      </c>
      <c r="F227" s="257"/>
      <c r="G227" s="258" t="s">
        <v>276</v>
      </c>
      <c r="H227" s="259"/>
      <c r="I227" s="541">
        <f t="shared" si="3"/>
        <v>117628.25000000001</v>
      </c>
      <c r="K227" s="243"/>
    </row>
    <row r="228" spans="2:11" ht="17" customHeight="1">
      <c r="B228" s="253">
        <v>45692</v>
      </c>
      <c r="C228" s="263" t="s">
        <v>588</v>
      </c>
      <c r="D228" s="255" t="s">
        <v>589</v>
      </c>
      <c r="E228" s="256"/>
      <c r="F228" s="257">
        <v>25.34</v>
      </c>
      <c r="G228" s="258" t="s">
        <v>206</v>
      </c>
      <c r="H228" s="259"/>
      <c r="I228" s="541">
        <f t="shared" si="3"/>
        <v>117602.91000000002</v>
      </c>
      <c r="K228" s="243"/>
    </row>
    <row r="229" spans="2:11" ht="17" customHeight="1">
      <c r="B229" s="253">
        <v>45692</v>
      </c>
      <c r="C229" s="263" t="s">
        <v>588</v>
      </c>
      <c r="D229" s="255" t="s">
        <v>589</v>
      </c>
      <c r="E229" s="256"/>
      <c r="F229" s="257">
        <v>5.58</v>
      </c>
      <c r="G229" s="258" t="s">
        <v>274</v>
      </c>
      <c r="H229" s="259"/>
      <c r="I229" s="541">
        <f t="shared" si="3"/>
        <v>117597.33000000002</v>
      </c>
      <c r="K229" s="243"/>
    </row>
    <row r="230" spans="2:11" ht="17" customHeight="1">
      <c r="B230" s="253">
        <v>45692</v>
      </c>
      <c r="C230" s="263" t="s">
        <v>117</v>
      </c>
      <c r="D230" s="261" t="s">
        <v>590</v>
      </c>
      <c r="E230" s="256"/>
      <c r="F230" s="257">
        <v>270</v>
      </c>
      <c r="G230" s="258"/>
      <c r="H230" s="264" t="s">
        <v>554</v>
      </c>
      <c r="I230" s="541">
        <f t="shared" si="3"/>
        <v>117327.33000000002</v>
      </c>
      <c r="K230" s="243"/>
    </row>
    <row r="231" spans="2:11" ht="17" customHeight="1">
      <c r="B231" s="253">
        <v>45692</v>
      </c>
      <c r="C231" s="263" t="s">
        <v>117</v>
      </c>
      <c r="D231" s="261" t="s">
        <v>590</v>
      </c>
      <c r="E231" s="256"/>
      <c r="F231" s="257">
        <v>200</v>
      </c>
      <c r="G231" s="258" t="s">
        <v>228</v>
      </c>
      <c r="H231" s="259"/>
      <c r="I231" s="541">
        <f t="shared" si="3"/>
        <v>117127.33000000002</v>
      </c>
      <c r="K231" s="243"/>
    </row>
    <row r="232" spans="2:11" ht="17" customHeight="1">
      <c r="B232" s="253">
        <v>45692</v>
      </c>
      <c r="C232" s="263" t="s">
        <v>117</v>
      </c>
      <c r="D232" s="261" t="s">
        <v>516</v>
      </c>
      <c r="E232" s="256"/>
      <c r="F232" s="257">
        <v>68.349999999999994</v>
      </c>
      <c r="G232" s="258" t="s">
        <v>201</v>
      </c>
      <c r="H232" s="259"/>
      <c r="I232" s="541">
        <f t="shared" si="3"/>
        <v>117058.98000000001</v>
      </c>
      <c r="K232" s="243"/>
    </row>
    <row r="233" spans="2:11" ht="17" customHeight="1">
      <c r="B233" s="253">
        <v>45692</v>
      </c>
      <c r="C233" s="263" t="s">
        <v>286</v>
      </c>
      <c r="D233" s="255" t="s">
        <v>520</v>
      </c>
      <c r="E233" s="256"/>
      <c r="F233" s="257">
        <f>715-30.92</f>
        <v>684.08</v>
      </c>
      <c r="G233" s="258" t="s">
        <v>139</v>
      </c>
      <c r="H233" s="259" t="s">
        <v>591</v>
      </c>
      <c r="I233" s="541">
        <f t="shared" si="3"/>
        <v>116374.90000000001</v>
      </c>
      <c r="K233" s="243"/>
    </row>
    <row r="234" spans="2:11" ht="17" customHeight="1">
      <c r="B234" s="253">
        <v>45692</v>
      </c>
      <c r="C234" s="263" t="s">
        <v>117</v>
      </c>
      <c r="D234" s="255" t="s">
        <v>592</v>
      </c>
      <c r="E234" s="256"/>
      <c r="F234" s="257">
        <v>505</v>
      </c>
      <c r="G234" s="258" t="s">
        <v>194</v>
      </c>
      <c r="H234" s="259"/>
      <c r="I234" s="541">
        <f t="shared" si="3"/>
        <v>115869.90000000001</v>
      </c>
      <c r="K234" s="243"/>
    </row>
    <row r="235" spans="2:11" ht="17" customHeight="1">
      <c r="B235" s="253">
        <v>45692</v>
      </c>
      <c r="C235" s="263" t="s">
        <v>283</v>
      </c>
      <c r="D235" s="255" t="s">
        <v>283</v>
      </c>
      <c r="E235" s="256">
        <f>1100.5-E236</f>
        <v>444.32999999999993</v>
      </c>
      <c r="F235" s="257"/>
      <c r="G235" s="258" t="s">
        <v>190</v>
      </c>
      <c r="H235" s="264"/>
      <c r="I235" s="541">
        <f t="shared" si="3"/>
        <v>116314.23000000001</v>
      </c>
      <c r="K235" s="243"/>
    </row>
    <row r="236" spans="2:11" ht="17" customHeight="1">
      <c r="B236" s="253">
        <v>45692</v>
      </c>
      <c r="C236" s="263" t="s">
        <v>283</v>
      </c>
      <c r="D236" s="255" t="s">
        <v>508</v>
      </c>
      <c r="E236" s="256">
        <f>104.35+551.82</f>
        <v>656.17000000000007</v>
      </c>
      <c r="F236" s="257"/>
      <c r="G236" s="258" t="s">
        <v>276</v>
      </c>
      <c r="H236" s="259"/>
      <c r="I236" s="541">
        <f t="shared" si="3"/>
        <v>116970.40000000001</v>
      </c>
      <c r="K236" s="243"/>
    </row>
    <row r="237" spans="2:11" ht="17" customHeight="1">
      <c r="B237" s="253">
        <v>45693</v>
      </c>
      <c r="C237" s="263" t="s">
        <v>541</v>
      </c>
      <c r="D237" s="261" t="s">
        <v>542</v>
      </c>
      <c r="E237" s="256"/>
      <c r="F237" s="257">
        <v>9000</v>
      </c>
      <c r="G237" s="258" t="str">
        <f>IFERROR(VLOOKUP(D237,#REF!,2,FALSE),"_")</f>
        <v>_</v>
      </c>
      <c r="H237" s="259"/>
      <c r="I237" s="541">
        <f t="shared" si="3"/>
        <v>107970.40000000001</v>
      </c>
      <c r="K237" s="243"/>
    </row>
    <row r="238" spans="2:11" ht="17" customHeight="1">
      <c r="B238" s="253">
        <v>45693</v>
      </c>
      <c r="C238" s="263" t="s">
        <v>283</v>
      </c>
      <c r="D238" s="255" t="s">
        <v>283</v>
      </c>
      <c r="E238" s="256">
        <v>200</v>
      </c>
      <c r="F238" s="257"/>
      <c r="G238" s="258" t="str">
        <f>IFERROR(VLOOKUP(D238,#REF!,2,FALSE),"_")</f>
        <v>_</v>
      </c>
      <c r="H238" s="259" t="s">
        <v>593</v>
      </c>
      <c r="I238" s="541">
        <f t="shared" si="3"/>
        <v>108170.40000000001</v>
      </c>
      <c r="K238" s="243"/>
    </row>
    <row r="239" spans="2:11" ht="17" customHeight="1">
      <c r="B239" s="253">
        <v>45693</v>
      </c>
      <c r="C239" s="263" t="s">
        <v>117</v>
      </c>
      <c r="D239" s="255" t="s">
        <v>594</v>
      </c>
      <c r="E239" s="256"/>
      <c r="F239" s="257">
        <v>12</v>
      </c>
      <c r="G239" s="258" t="str">
        <f>IFERROR(VLOOKUP(D239,#REF!,2,FALSE),"_")</f>
        <v>_</v>
      </c>
      <c r="H239" s="259"/>
      <c r="I239" s="541">
        <f t="shared" si="3"/>
        <v>108158.40000000001</v>
      </c>
      <c r="K239" s="243"/>
    </row>
    <row r="240" spans="2:11" ht="17" customHeight="1">
      <c r="B240" s="253">
        <v>45693</v>
      </c>
      <c r="C240" s="263" t="s">
        <v>117</v>
      </c>
      <c r="D240" s="255" t="s">
        <v>595</v>
      </c>
      <c r="E240" s="256"/>
      <c r="F240" s="257">
        <v>8</v>
      </c>
      <c r="G240" s="258" t="str">
        <f>IFERROR(VLOOKUP(D240,#REF!,2,FALSE),"_")</f>
        <v>_</v>
      </c>
      <c r="H240" s="259"/>
      <c r="I240" s="541">
        <f t="shared" si="3"/>
        <v>108150.40000000001</v>
      </c>
      <c r="K240" s="243"/>
    </row>
    <row r="241" spans="2:11" ht="17" customHeight="1">
      <c r="B241" s="253">
        <v>45693</v>
      </c>
      <c r="C241" s="263" t="s">
        <v>117</v>
      </c>
      <c r="D241" s="255" t="s">
        <v>573</v>
      </c>
      <c r="E241" s="256"/>
      <c r="F241" s="257">
        <v>20</v>
      </c>
      <c r="G241" s="258" t="str">
        <f>IFERROR(VLOOKUP(D241,#REF!,2,FALSE),"_")</f>
        <v>_</v>
      </c>
      <c r="H241" s="259"/>
      <c r="I241" s="541">
        <f t="shared" si="3"/>
        <v>108130.40000000001</v>
      </c>
      <c r="K241" s="243"/>
    </row>
    <row r="242" spans="2:11" ht="17" customHeight="1">
      <c r="B242" s="253">
        <v>45693</v>
      </c>
      <c r="C242" s="263" t="s">
        <v>283</v>
      </c>
      <c r="D242" s="255" t="s">
        <v>283</v>
      </c>
      <c r="E242" s="256">
        <f>335.1-E243</f>
        <v>282.79000000000002</v>
      </c>
      <c r="F242" s="257"/>
      <c r="G242" s="258" t="str">
        <f>IFERROR(VLOOKUP(D242,#REF!,2,FALSE),"_")</f>
        <v>_</v>
      </c>
      <c r="H242" s="259"/>
      <c r="I242" s="541">
        <f t="shared" si="3"/>
        <v>108413.19</v>
      </c>
      <c r="K242" s="243"/>
    </row>
    <row r="243" spans="2:11" ht="17" customHeight="1">
      <c r="B243" s="253">
        <v>45693</v>
      </c>
      <c r="C243" s="263" t="s">
        <v>283</v>
      </c>
      <c r="D243" s="255" t="s">
        <v>508</v>
      </c>
      <c r="E243" s="256">
        <v>52.31</v>
      </c>
      <c r="F243" s="257"/>
      <c r="G243" s="258" t="str">
        <f>IFERROR(VLOOKUP(D243,#REF!,2,FALSE),"_")</f>
        <v>_</v>
      </c>
      <c r="H243" s="259"/>
      <c r="I243" s="541">
        <f t="shared" si="3"/>
        <v>108465.5</v>
      </c>
      <c r="K243" s="243"/>
    </row>
    <row r="244" spans="2:11" ht="17" customHeight="1">
      <c r="B244" s="253">
        <v>45694</v>
      </c>
      <c r="C244" s="263" t="s">
        <v>117</v>
      </c>
      <c r="D244" s="261" t="s">
        <v>573</v>
      </c>
      <c r="E244" s="256"/>
      <c r="F244" s="257">
        <v>27.5</v>
      </c>
      <c r="G244" s="258" t="s">
        <v>249</v>
      </c>
      <c r="H244" s="259"/>
      <c r="I244" s="541">
        <f t="shared" si="3"/>
        <v>108438</v>
      </c>
      <c r="K244" s="243"/>
    </row>
    <row r="245" spans="2:11" ht="17" customHeight="1">
      <c r="B245" s="253">
        <v>45694</v>
      </c>
      <c r="C245" s="263" t="s">
        <v>117</v>
      </c>
      <c r="D245" s="261" t="s">
        <v>596</v>
      </c>
      <c r="E245" s="256"/>
      <c r="F245" s="257">
        <v>35</v>
      </c>
      <c r="G245" s="258" t="s">
        <v>206</v>
      </c>
      <c r="H245" s="259"/>
      <c r="I245" s="541">
        <f t="shared" si="3"/>
        <v>108403</v>
      </c>
      <c r="K245" s="243"/>
    </row>
    <row r="246" spans="2:11" ht="17" customHeight="1">
      <c r="B246" s="253">
        <v>45694</v>
      </c>
      <c r="C246" s="263" t="s">
        <v>286</v>
      </c>
      <c r="D246" s="261" t="s">
        <v>520</v>
      </c>
      <c r="E246" s="256"/>
      <c r="F246" s="257">
        <v>35</v>
      </c>
      <c r="G246" s="258" t="str">
        <f>IFERROR(VLOOKUP(D246,#REF!,2,FALSE),"_")</f>
        <v>_</v>
      </c>
      <c r="H246" s="259"/>
      <c r="I246" s="541">
        <f t="shared" si="3"/>
        <v>108368</v>
      </c>
      <c r="K246" s="243"/>
    </row>
    <row r="247" spans="2:11" ht="17" customHeight="1">
      <c r="B247" s="253">
        <v>45694</v>
      </c>
      <c r="C247" s="263" t="s">
        <v>283</v>
      </c>
      <c r="D247" s="255" t="s">
        <v>283</v>
      </c>
      <c r="E247" s="256">
        <f>577.7-E248</f>
        <v>423.20000000000005</v>
      </c>
      <c r="F247" s="257"/>
      <c r="G247" s="258" t="str">
        <f>IFERROR(VLOOKUP(D247,#REF!,2,FALSE),"_")</f>
        <v>_</v>
      </c>
      <c r="H247" s="259"/>
      <c r="I247" s="541">
        <f t="shared" si="3"/>
        <v>108791.2</v>
      </c>
      <c r="K247" s="243"/>
    </row>
    <row r="248" spans="2:11" ht="17" customHeight="1">
      <c r="B248" s="253">
        <v>45694</v>
      </c>
      <c r="C248" s="263" t="s">
        <v>283</v>
      </c>
      <c r="D248" s="255" t="s">
        <v>508</v>
      </c>
      <c r="E248" s="256">
        <v>154.5</v>
      </c>
      <c r="F248" s="257"/>
      <c r="G248" s="258" t="str">
        <f>IFERROR(VLOOKUP(D248,#REF!,2,FALSE),"_")</f>
        <v>_</v>
      </c>
      <c r="H248" s="259"/>
      <c r="I248" s="541">
        <f t="shared" si="3"/>
        <v>108945.7</v>
      </c>
      <c r="K248" s="243"/>
    </row>
    <row r="249" spans="2:11" ht="17" customHeight="1">
      <c r="B249" s="253">
        <v>45695</v>
      </c>
      <c r="C249" s="263" t="s">
        <v>117</v>
      </c>
      <c r="D249" s="255" t="s">
        <v>306</v>
      </c>
      <c r="E249" s="256"/>
      <c r="F249" s="257">
        <v>84.3</v>
      </c>
      <c r="G249" s="258" t="str">
        <f>IFERROR(VLOOKUP(D249,#REF!,2,FALSE),"_")</f>
        <v>_</v>
      </c>
      <c r="H249" s="259"/>
      <c r="I249" s="541">
        <f t="shared" si="3"/>
        <v>108861.4</v>
      </c>
      <c r="K249" s="243"/>
    </row>
    <row r="250" spans="2:11" ht="17" customHeight="1">
      <c r="B250" s="253">
        <v>45695</v>
      </c>
      <c r="C250" s="263" t="s">
        <v>117</v>
      </c>
      <c r="D250" s="255" t="s">
        <v>306</v>
      </c>
      <c r="E250" s="256"/>
      <c r="F250" s="257">
        <v>258.85000000000002</v>
      </c>
      <c r="G250" s="258" t="str">
        <f>IFERROR(VLOOKUP(D250,#REF!,2,FALSE),"_")</f>
        <v>_</v>
      </c>
      <c r="H250" s="259"/>
      <c r="I250" s="541">
        <f t="shared" si="3"/>
        <v>108602.54999999999</v>
      </c>
      <c r="K250" s="243"/>
    </row>
    <row r="251" spans="2:11" ht="17" customHeight="1">
      <c r="B251" s="253">
        <v>45695</v>
      </c>
      <c r="C251" s="263" t="s">
        <v>597</v>
      </c>
      <c r="D251" s="255" t="s">
        <v>306</v>
      </c>
      <c r="E251" s="256"/>
      <c r="F251" s="257">
        <v>408.2</v>
      </c>
      <c r="G251" s="258" t="str">
        <f>IFERROR(VLOOKUP(D251,#REF!,2,FALSE),"_")</f>
        <v>_</v>
      </c>
      <c r="H251" s="259"/>
      <c r="I251" s="541">
        <f t="shared" si="3"/>
        <v>108194.34999999999</v>
      </c>
      <c r="K251" s="243"/>
    </row>
    <row r="252" spans="2:11" ht="17" customHeight="1">
      <c r="B252" s="253">
        <v>45695</v>
      </c>
      <c r="C252" s="263" t="s">
        <v>597</v>
      </c>
      <c r="D252" s="255" t="s">
        <v>306</v>
      </c>
      <c r="E252" s="256"/>
      <c r="F252" s="257">
        <v>89.8</v>
      </c>
      <c r="G252" s="258" t="str">
        <f>IFERROR(VLOOKUP(D252,#REF!,2,FALSE),"_")</f>
        <v>_</v>
      </c>
      <c r="H252" s="259"/>
      <c r="I252" s="541">
        <f t="shared" si="3"/>
        <v>108104.54999999999</v>
      </c>
      <c r="K252" s="243"/>
    </row>
    <row r="253" spans="2:11" ht="17" customHeight="1">
      <c r="B253" s="253">
        <v>45695</v>
      </c>
      <c r="C253" s="263" t="s">
        <v>117</v>
      </c>
      <c r="D253" s="255" t="s">
        <v>306</v>
      </c>
      <c r="E253" s="256"/>
      <c r="F253" s="257">
        <v>1665.75</v>
      </c>
      <c r="G253" s="258" t="str">
        <f>IFERROR(VLOOKUP(D253,#REF!,2,FALSE),"_")</f>
        <v>_</v>
      </c>
      <c r="H253" s="259"/>
      <c r="I253" s="541">
        <f t="shared" si="3"/>
        <v>106438.79999999999</v>
      </c>
      <c r="K253" s="243"/>
    </row>
    <row r="254" spans="2:11" ht="17" customHeight="1">
      <c r="B254" s="253">
        <v>45695</v>
      </c>
      <c r="C254" s="263" t="s">
        <v>117</v>
      </c>
      <c r="D254" s="255" t="s">
        <v>306</v>
      </c>
      <c r="E254" s="256"/>
      <c r="F254" s="257">
        <v>119.7</v>
      </c>
      <c r="G254" s="258" t="str">
        <f>IFERROR(VLOOKUP(D254,#REF!,2,FALSE),"_")</f>
        <v>_</v>
      </c>
      <c r="H254" s="259"/>
      <c r="I254" s="541">
        <f t="shared" si="3"/>
        <v>106319.09999999999</v>
      </c>
      <c r="K254" s="243"/>
    </row>
    <row r="255" spans="2:11" ht="17" customHeight="1">
      <c r="B255" s="253">
        <v>45695</v>
      </c>
      <c r="C255" s="263"/>
      <c r="D255" s="255" t="s">
        <v>512</v>
      </c>
      <c r="E255" s="256"/>
      <c r="F255" s="257"/>
      <c r="G255" s="258"/>
      <c r="H255" s="262"/>
      <c r="I255" s="541">
        <f t="shared" si="3"/>
        <v>106319.09999999999</v>
      </c>
      <c r="K255" s="243"/>
    </row>
    <row r="256" spans="2:11" ht="17" customHeight="1">
      <c r="B256" s="253">
        <v>45695</v>
      </c>
      <c r="C256" s="263"/>
      <c r="D256" s="255" t="s">
        <v>512</v>
      </c>
      <c r="E256" s="256"/>
      <c r="F256" s="257"/>
      <c r="G256" s="258" t="str">
        <f>IFERROR(VLOOKUP(D256,#REF!,2,FALSE),"_")</f>
        <v>_</v>
      </c>
      <c r="H256" s="262"/>
      <c r="I256" s="541">
        <f t="shared" si="3"/>
        <v>106319.09999999999</v>
      </c>
      <c r="K256" s="243"/>
    </row>
    <row r="257" spans="2:11" ht="17" customHeight="1">
      <c r="B257" s="253">
        <v>45695</v>
      </c>
      <c r="C257" s="263" t="s">
        <v>117</v>
      </c>
      <c r="D257" s="255" t="s">
        <v>573</v>
      </c>
      <c r="E257" s="256"/>
      <c r="F257" s="257">
        <v>20</v>
      </c>
      <c r="G257" s="258" t="str">
        <f>IFERROR(VLOOKUP(D257,#REF!,2,FALSE),"_")</f>
        <v>_</v>
      </c>
      <c r="H257" s="259"/>
      <c r="I257" s="541">
        <f t="shared" si="3"/>
        <v>106299.09999999999</v>
      </c>
      <c r="K257" s="243"/>
    </row>
    <row r="258" spans="2:11" ht="17" customHeight="1">
      <c r="B258" s="253">
        <v>45695</v>
      </c>
      <c r="C258" s="263" t="s">
        <v>283</v>
      </c>
      <c r="D258" s="255" t="s">
        <v>283</v>
      </c>
      <c r="E258" s="256">
        <f>751.9-E259</f>
        <v>491.65</v>
      </c>
      <c r="F258" s="257"/>
      <c r="G258" s="258" t="str">
        <f>IFERROR(VLOOKUP(D258,#REF!,2,FALSE),"_")</f>
        <v>_</v>
      </c>
      <c r="H258" s="259"/>
      <c r="I258" s="541">
        <f t="shared" si="3"/>
        <v>106790.74999999999</v>
      </c>
      <c r="K258" s="243"/>
    </row>
    <row r="259" spans="2:11" ht="17" customHeight="1">
      <c r="B259" s="253">
        <v>45695</v>
      </c>
      <c r="C259" s="263" t="s">
        <v>283</v>
      </c>
      <c r="D259" s="255" t="s">
        <v>508</v>
      </c>
      <c r="E259" s="256">
        <v>260.25</v>
      </c>
      <c r="F259" s="257"/>
      <c r="G259" s="258" t="str">
        <f>IFERROR(VLOOKUP(D259,#REF!,2,FALSE),"_")</f>
        <v>_</v>
      </c>
      <c r="H259" s="259"/>
      <c r="I259" s="541">
        <f t="shared" si="3"/>
        <v>107050.99999999999</v>
      </c>
      <c r="K259" s="243"/>
    </row>
    <row r="260" spans="2:11" ht="17" customHeight="1">
      <c r="B260" s="253">
        <v>45696</v>
      </c>
      <c r="C260" s="263" t="s">
        <v>117</v>
      </c>
      <c r="D260" s="255" t="s">
        <v>598</v>
      </c>
      <c r="E260" s="256"/>
      <c r="F260" s="257">
        <v>1620</v>
      </c>
      <c r="G260" s="258" t="str">
        <f>IFERROR(VLOOKUP(D260,#REF!,2,FALSE),"_")</f>
        <v>_</v>
      </c>
      <c r="H260" s="540" t="s">
        <v>502</v>
      </c>
      <c r="I260" s="541">
        <f t="shared" si="3"/>
        <v>105430.99999999999</v>
      </c>
      <c r="K260" s="243"/>
    </row>
    <row r="261" spans="2:11" ht="17" customHeight="1">
      <c r="B261" s="253">
        <v>45696</v>
      </c>
      <c r="C261" s="263" t="s">
        <v>117</v>
      </c>
      <c r="D261" s="261" t="s">
        <v>510</v>
      </c>
      <c r="E261" s="256"/>
      <c r="F261" s="257">
        <v>80</v>
      </c>
      <c r="G261" s="258" t="str">
        <f>IFERROR(VLOOKUP(D261,#REF!,2,FALSE),"_")</f>
        <v>_</v>
      </c>
      <c r="H261" s="259"/>
      <c r="I261" s="541">
        <f t="shared" si="3"/>
        <v>105350.99999999999</v>
      </c>
      <c r="K261" s="243"/>
    </row>
    <row r="262" spans="2:11" ht="17" customHeight="1">
      <c r="B262" s="253">
        <v>45696</v>
      </c>
      <c r="C262" s="263" t="s">
        <v>117</v>
      </c>
      <c r="D262" s="255" t="s">
        <v>573</v>
      </c>
      <c r="E262" s="256"/>
      <c r="F262" s="257">
        <v>20</v>
      </c>
      <c r="G262" s="258" t="str">
        <f>IFERROR(VLOOKUP(D262,#REF!,2,FALSE),"_")</f>
        <v>_</v>
      </c>
      <c r="H262" s="259"/>
      <c r="I262" s="541">
        <f t="shared" si="3"/>
        <v>105330.99999999999</v>
      </c>
      <c r="K262" s="243"/>
    </row>
    <row r="263" spans="2:11" ht="17" customHeight="1">
      <c r="B263" s="253">
        <v>45696</v>
      </c>
      <c r="C263" s="263" t="s">
        <v>283</v>
      </c>
      <c r="D263" s="255" t="s">
        <v>283</v>
      </c>
      <c r="E263" s="256">
        <f>1791.2-E264</f>
        <v>790.25</v>
      </c>
      <c r="F263" s="257"/>
      <c r="G263" s="258" t="str">
        <f>IFERROR(VLOOKUP(D263,#REF!,2,FALSE),"_")</f>
        <v>_</v>
      </c>
      <c r="H263" s="259"/>
      <c r="I263" s="541">
        <f t="shared" si="3"/>
        <v>106121.24999999999</v>
      </c>
      <c r="K263" s="243"/>
    </row>
    <row r="264" spans="2:11" ht="17" customHeight="1">
      <c r="B264" s="253">
        <v>45696</v>
      </c>
      <c r="C264" s="263" t="s">
        <v>283</v>
      </c>
      <c r="D264" s="255" t="s">
        <v>508</v>
      </c>
      <c r="E264" s="256">
        <v>1000.95</v>
      </c>
      <c r="F264" s="257"/>
      <c r="G264" s="258" t="str">
        <f>IFERROR(VLOOKUP(D264,#REF!,2,FALSE),"_")</f>
        <v>_</v>
      </c>
      <c r="H264" s="259"/>
      <c r="I264" s="541">
        <f t="shared" si="3"/>
        <v>107122.19999999998</v>
      </c>
      <c r="K264" s="243"/>
    </row>
    <row r="265" spans="2:11" ht="17" customHeight="1">
      <c r="B265" s="253">
        <v>45696</v>
      </c>
      <c r="C265" s="263" t="s">
        <v>283</v>
      </c>
      <c r="D265" s="255" t="s">
        <v>283</v>
      </c>
      <c r="E265" s="256">
        <v>200</v>
      </c>
      <c r="F265" s="257"/>
      <c r="G265" s="258" t="str">
        <f>IFERROR(VLOOKUP(D265,#REF!,2,FALSE),"_")</f>
        <v>_</v>
      </c>
      <c r="H265" s="259" t="s">
        <v>599</v>
      </c>
      <c r="I265" s="541">
        <f t="shared" ref="I265:I328" si="4">I264+E265-F265</f>
        <v>107322.19999999998</v>
      </c>
      <c r="K265" s="243"/>
    </row>
    <row r="266" spans="2:11" ht="17" customHeight="1">
      <c r="B266" s="253">
        <v>45697</v>
      </c>
      <c r="C266" s="263" t="s">
        <v>283</v>
      </c>
      <c r="D266" s="255" t="s">
        <v>283</v>
      </c>
      <c r="E266" s="256">
        <f>515+540-E267</f>
        <v>215.61999999999989</v>
      </c>
      <c r="F266" s="257"/>
      <c r="G266" s="258" t="str">
        <f>IFERROR(VLOOKUP(D266,#REF!,2,FALSE),"_")</f>
        <v>_</v>
      </c>
      <c r="H266" s="259"/>
      <c r="I266" s="541">
        <f t="shared" si="4"/>
        <v>107537.81999999998</v>
      </c>
      <c r="K266" s="243"/>
    </row>
    <row r="267" spans="2:11" ht="17" customHeight="1">
      <c r="B267" s="253">
        <v>45697</v>
      </c>
      <c r="C267" s="263" t="s">
        <v>283</v>
      </c>
      <c r="D267" s="255" t="s">
        <v>508</v>
      </c>
      <c r="E267" s="256">
        <f>662.2+177.18</f>
        <v>839.38000000000011</v>
      </c>
      <c r="F267" s="257"/>
      <c r="G267" s="258" t="str">
        <f>IFERROR(VLOOKUP(D267,#REF!,2,FALSE),"_")</f>
        <v>_</v>
      </c>
      <c r="H267" s="259"/>
      <c r="I267" s="541">
        <f t="shared" si="4"/>
        <v>108377.19999999998</v>
      </c>
      <c r="K267" s="243"/>
    </row>
    <row r="268" spans="2:11" ht="17" customHeight="1">
      <c r="B268" s="253">
        <v>45699</v>
      </c>
      <c r="C268" s="263" t="s">
        <v>541</v>
      </c>
      <c r="D268" s="261" t="s">
        <v>542</v>
      </c>
      <c r="E268" s="256"/>
      <c r="F268" s="257">
        <v>7950</v>
      </c>
      <c r="G268" s="258" t="s">
        <v>277</v>
      </c>
      <c r="H268" s="259"/>
      <c r="I268" s="541">
        <f t="shared" si="4"/>
        <v>100427.19999999998</v>
      </c>
      <c r="K268" s="243"/>
    </row>
    <row r="269" spans="2:11" ht="17" customHeight="1">
      <c r="B269" s="253">
        <v>45699</v>
      </c>
      <c r="C269" s="263" t="s">
        <v>541</v>
      </c>
      <c r="D269" s="261" t="s">
        <v>542</v>
      </c>
      <c r="E269" s="256"/>
      <c r="F269" s="257">
        <v>2050</v>
      </c>
      <c r="G269" s="258" t="s">
        <v>277</v>
      </c>
      <c r="H269" s="540" t="s">
        <v>502</v>
      </c>
      <c r="I269" s="541">
        <f t="shared" si="4"/>
        <v>98377.199999999983</v>
      </c>
      <c r="K269" s="243"/>
    </row>
    <row r="270" spans="2:11" ht="17" customHeight="1">
      <c r="B270" s="253">
        <v>45699</v>
      </c>
      <c r="C270" s="263" t="s">
        <v>283</v>
      </c>
      <c r="D270" s="255" t="s">
        <v>283</v>
      </c>
      <c r="E270" s="256">
        <f>691-E271</f>
        <v>619.75</v>
      </c>
      <c r="F270" s="257"/>
      <c r="G270" s="258" t="str">
        <f>IFERROR(VLOOKUP(D270,#REF!,2,FALSE),"_")</f>
        <v>_</v>
      </c>
      <c r="H270" s="259"/>
      <c r="I270" s="541">
        <f t="shared" si="4"/>
        <v>98996.949999999983</v>
      </c>
      <c r="K270" s="243"/>
    </row>
    <row r="271" spans="2:11" ht="17" customHeight="1">
      <c r="B271" s="253">
        <v>45699</v>
      </c>
      <c r="C271" s="263" t="s">
        <v>283</v>
      </c>
      <c r="D271" s="255" t="s">
        <v>508</v>
      </c>
      <c r="E271" s="256">
        <f>71.25</f>
        <v>71.25</v>
      </c>
      <c r="F271" s="257"/>
      <c r="G271" s="258" t="str">
        <f>IFERROR(VLOOKUP(D271,#REF!,2,FALSE),"_")</f>
        <v>_</v>
      </c>
      <c r="H271" s="259"/>
      <c r="I271" s="541">
        <f t="shared" si="4"/>
        <v>99068.199999999983</v>
      </c>
      <c r="K271" s="243"/>
    </row>
    <row r="272" spans="2:11" ht="17" customHeight="1">
      <c r="B272" s="253">
        <v>45688</v>
      </c>
      <c r="C272" s="263" t="s">
        <v>513</v>
      </c>
      <c r="D272" s="255" t="s">
        <v>561</v>
      </c>
      <c r="E272" s="256"/>
      <c r="F272" s="257">
        <v>485</v>
      </c>
      <c r="G272" s="258" t="str">
        <f>IFERROR(VLOOKUP(D272,#REF!,2,FALSE),"_")</f>
        <v>_</v>
      </c>
      <c r="H272" s="259"/>
      <c r="I272" s="541">
        <f t="shared" si="4"/>
        <v>98583.199999999983</v>
      </c>
      <c r="K272" s="243"/>
    </row>
    <row r="273" spans="2:11" ht="17" customHeight="1">
      <c r="B273" s="253">
        <v>45688</v>
      </c>
      <c r="C273" s="263" t="s">
        <v>513</v>
      </c>
      <c r="D273" s="255" t="s">
        <v>563</v>
      </c>
      <c r="E273" s="256"/>
      <c r="F273" s="257">
        <v>45</v>
      </c>
      <c r="G273" s="258" t="str">
        <f>IFERROR(VLOOKUP(D273,#REF!,2,FALSE),"_")</f>
        <v>_</v>
      </c>
      <c r="H273" s="259"/>
      <c r="I273" s="541">
        <f t="shared" si="4"/>
        <v>98538.199999999983</v>
      </c>
      <c r="K273" s="243"/>
    </row>
    <row r="274" spans="2:11" ht="17" customHeight="1">
      <c r="B274" s="253">
        <v>45688</v>
      </c>
      <c r="C274" s="263" t="s">
        <v>513</v>
      </c>
      <c r="D274" s="255" t="s">
        <v>562</v>
      </c>
      <c r="E274" s="256"/>
      <c r="F274" s="257">
        <v>75</v>
      </c>
      <c r="G274" s="258" t="str">
        <f>IFERROR(VLOOKUP(D274,#REF!,2,FALSE),"_")</f>
        <v>_</v>
      </c>
      <c r="H274" s="259"/>
      <c r="I274" s="541">
        <f t="shared" si="4"/>
        <v>98463.199999999983</v>
      </c>
      <c r="K274" s="243"/>
    </row>
    <row r="275" spans="2:11" ht="17" customHeight="1">
      <c r="B275" s="253">
        <v>45700</v>
      </c>
      <c r="C275" s="263" t="s">
        <v>283</v>
      </c>
      <c r="D275" s="255" t="s">
        <v>283</v>
      </c>
      <c r="E275" s="256">
        <f>533.5-E276</f>
        <v>385.41999999999996</v>
      </c>
      <c r="F275" s="257"/>
      <c r="G275" s="258" t="str">
        <f>IFERROR(VLOOKUP(D275,#REF!,2,FALSE),"_")</f>
        <v>_</v>
      </c>
      <c r="H275" s="259"/>
      <c r="I275" s="541">
        <f t="shared" si="4"/>
        <v>98848.619999999981</v>
      </c>
      <c r="K275" s="243"/>
    </row>
    <row r="276" spans="2:11" ht="17" customHeight="1">
      <c r="B276" s="253">
        <v>45700</v>
      </c>
      <c r="C276" s="263" t="s">
        <v>283</v>
      </c>
      <c r="D276" s="255" t="s">
        <v>508</v>
      </c>
      <c r="E276" s="256">
        <v>148.08000000000001</v>
      </c>
      <c r="F276" s="257"/>
      <c r="G276" s="258" t="str">
        <f>IFERROR(VLOOKUP(D276,#REF!,2,FALSE),"_")</f>
        <v>_</v>
      </c>
      <c r="H276" s="259"/>
      <c r="I276" s="541">
        <f t="shared" si="4"/>
        <v>98996.699999999983</v>
      </c>
      <c r="K276" s="243"/>
    </row>
    <row r="277" spans="2:11" ht="17" customHeight="1">
      <c r="B277" s="253">
        <v>45701</v>
      </c>
      <c r="C277" s="263" t="s">
        <v>600</v>
      </c>
      <c r="D277" s="255" t="s">
        <v>545</v>
      </c>
      <c r="E277" s="256"/>
      <c r="F277" s="257">
        <v>54</v>
      </c>
      <c r="G277" s="258" t="str">
        <f>IFERROR(VLOOKUP(D277,#REF!,2,FALSE),"_")</f>
        <v>_</v>
      </c>
      <c r="H277" s="259"/>
      <c r="I277" s="541">
        <f t="shared" si="4"/>
        <v>98942.699999999983</v>
      </c>
      <c r="K277" s="243"/>
    </row>
    <row r="278" spans="2:11" ht="17" customHeight="1">
      <c r="B278" s="253">
        <v>45701</v>
      </c>
      <c r="C278" s="263" t="s">
        <v>601</v>
      </c>
      <c r="D278" s="255" t="s">
        <v>545</v>
      </c>
      <c r="E278" s="256"/>
      <c r="F278" s="257">
        <v>30</v>
      </c>
      <c r="G278" s="258" t="str">
        <f>IFERROR(VLOOKUP(D278,#REF!,2,FALSE),"_")</f>
        <v>_</v>
      </c>
      <c r="H278" s="259"/>
      <c r="I278" s="541">
        <f t="shared" si="4"/>
        <v>98912.699999999983</v>
      </c>
      <c r="K278" s="243"/>
    </row>
    <row r="279" spans="2:11" ht="17" customHeight="1">
      <c r="B279" s="253">
        <v>45701</v>
      </c>
      <c r="C279" s="263" t="s">
        <v>602</v>
      </c>
      <c r="D279" s="255" t="s">
        <v>545</v>
      </c>
      <c r="E279" s="256"/>
      <c r="F279" s="257">
        <v>32</v>
      </c>
      <c r="G279" s="258" t="s">
        <v>205</v>
      </c>
      <c r="H279" s="259"/>
      <c r="I279" s="541">
        <f t="shared" si="4"/>
        <v>98880.699999999983</v>
      </c>
      <c r="K279" s="243"/>
    </row>
    <row r="280" spans="2:11" ht="17" customHeight="1">
      <c r="B280" s="253">
        <v>45701</v>
      </c>
      <c r="C280" s="263" t="s">
        <v>603</v>
      </c>
      <c r="D280" s="255" t="s">
        <v>545</v>
      </c>
      <c r="E280" s="256"/>
      <c r="F280" s="257">
        <v>24</v>
      </c>
      <c r="G280" s="258" t="str">
        <f>IFERROR(VLOOKUP(D280,#REF!,2,FALSE),"_")</f>
        <v>_</v>
      </c>
      <c r="H280" s="266"/>
      <c r="I280" s="541">
        <f t="shared" si="4"/>
        <v>98856.699999999983</v>
      </c>
      <c r="K280" s="243"/>
    </row>
    <row r="281" spans="2:11" ht="17" customHeight="1">
      <c r="B281" s="253">
        <v>45701</v>
      </c>
      <c r="C281" s="263" t="s">
        <v>604</v>
      </c>
      <c r="D281" s="255" t="s">
        <v>545</v>
      </c>
      <c r="E281" s="256"/>
      <c r="F281" s="257">
        <v>24</v>
      </c>
      <c r="G281" s="258" t="str">
        <f>IFERROR(VLOOKUP(D281,#REF!,2,FALSE),"_")</f>
        <v>_</v>
      </c>
      <c r="H281" s="266"/>
      <c r="I281" s="541">
        <f t="shared" si="4"/>
        <v>98832.699999999983</v>
      </c>
      <c r="K281" s="243"/>
    </row>
    <row r="282" spans="2:11" ht="17" customHeight="1">
      <c r="B282" s="253">
        <v>45701</v>
      </c>
      <c r="C282" s="263" t="s">
        <v>605</v>
      </c>
      <c r="D282" s="255" t="s">
        <v>545</v>
      </c>
      <c r="E282" s="256"/>
      <c r="F282" s="257">
        <v>11</v>
      </c>
      <c r="G282" s="258" t="str">
        <f>IFERROR(VLOOKUP(D282,#REF!,2,FALSE),"_")</f>
        <v>_</v>
      </c>
      <c r="H282" s="266"/>
      <c r="I282" s="541">
        <f t="shared" si="4"/>
        <v>98821.699999999983</v>
      </c>
      <c r="K282" s="243"/>
    </row>
    <row r="283" spans="2:11" ht="17" customHeight="1">
      <c r="B283" s="253">
        <v>45701</v>
      </c>
      <c r="C283" s="263" t="s">
        <v>117</v>
      </c>
      <c r="D283" s="255" t="s">
        <v>606</v>
      </c>
      <c r="E283" s="256"/>
      <c r="F283" s="257">
        <v>50</v>
      </c>
      <c r="G283" s="258" t="s">
        <v>216</v>
      </c>
      <c r="H283" s="264" t="s">
        <v>607</v>
      </c>
      <c r="I283" s="541">
        <f t="shared" si="4"/>
        <v>98771.699999999983</v>
      </c>
      <c r="K283" s="243"/>
    </row>
    <row r="284" spans="2:11" ht="17" customHeight="1">
      <c r="B284" s="253">
        <v>45701</v>
      </c>
      <c r="C284" s="263" t="s">
        <v>117</v>
      </c>
      <c r="D284" s="255" t="s">
        <v>608</v>
      </c>
      <c r="E284" s="256"/>
      <c r="F284" s="257">
        <f>2*15</f>
        <v>30</v>
      </c>
      <c r="G284" s="258" t="str">
        <f>IFERROR(VLOOKUP(D284,#REF!,2,FALSE),"_")</f>
        <v>_</v>
      </c>
      <c r="H284" s="264" t="s">
        <v>554</v>
      </c>
      <c r="I284" s="541">
        <f t="shared" si="4"/>
        <v>98741.699999999983</v>
      </c>
      <c r="K284" s="243"/>
    </row>
    <row r="285" spans="2:11" ht="17" customHeight="1">
      <c r="B285" s="253">
        <v>45701</v>
      </c>
      <c r="C285" s="263" t="s">
        <v>117</v>
      </c>
      <c r="D285" s="255" t="s">
        <v>608</v>
      </c>
      <c r="E285" s="256"/>
      <c r="F285" s="257">
        <f>4*15</f>
        <v>60</v>
      </c>
      <c r="G285" s="258" t="s">
        <v>216</v>
      </c>
      <c r="H285" s="264" t="s">
        <v>607</v>
      </c>
      <c r="I285" s="541">
        <f t="shared" si="4"/>
        <v>98681.699999999983</v>
      </c>
      <c r="K285" s="243"/>
    </row>
    <row r="286" spans="2:11" ht="17" customHeight="1">
      <c r="B286" s="253">
        <v>45701</v>
      </c>
      <c r="C286" s="449" t="s">
        <v>117</v>
      </c>
      <c r="D286" s="240" t="s">
        <v>609</v>
      </c>
      <c r="E286" s="256"/>
      <c r="F286" s="257">
        <v>60</v>
      </c>
      <c r="G286" s="258" t="str">
        <f>IFERROR(VLOOKUP(D287,#REF!,2,FALSE),"_")</f>
        <v>_</v>
      </c>
      <c r="H286" s="264" t="s">
        <v>554</v>
      </c>
      <c r="I286" s="541">
        <f t="shared" si="4"/>
        <v>98621.699999999983</v>
      </c>
      <c r="K286" s="243"/>
    </row>
    <row r="287" spans="2:11" ht="17" customHeight="1">
      <c r="B287" s="253">
        <v>45701</v>
      </c>
      <c r="C287" s="263" t="s">
        <v>117</v>
      </c>
      <c r="D287" s="255" t="s">
        <v>609</v>
      </c>
      <c r="E287" s="256"/>
      <c r="F287" s="257">
        <v>122.5</v>
      </c>
      <c r="G287" s="258" t="s">
        <v>216</v>
      </c>
      <c r="H287" s="264" t="s">
        <v>607</v>
      </c>
      <c r="I287" s="541">
        <f t="shared" si="4"/>
        <v>98499.199999999983</v>
      </c>
      <c r="K287" s="243"/>
    </row>
    <row r="288" spans="2:11" ht="17" customHeight="1">
      <c r="B288" s="253">
        <v>45701</v>
      </c>
      <c r="C288" s="263" t="s">
        <v>283</v>
      </c>
      <c r="D288" s="255" t="s">
        <v>283</v>
      </c>
      <c r="E288" s="256">
        <f>551.6-E289</f>
        <v>430.88</v>
      </c>
      <c r="F288" s="257"/>
      <c r="G288" s="258" t="str">
        <f>IFERROR(VLOOKUP(D288,#REF!,2,FALSE),"_")</f>
        <v>_</v>
      </c>
      <c r="H288" s="259"/>
      <c r="I288" s="541">
        <f t="shared" si="4"/>
        <v>98930.079999999987</v>
      </c>
      <c r="K288" s="243"/>
    </row>
    <row r="289" spans="2:11" ht="17" customHeight="1">
      <c r="B289" s="253">
        <v>45701</v>
      </c>
      <c r="C289" s="263" t="s">
        <v>283</v>
      </c>
      <c r="D289" s="255" t="s">
        <v>508</v>
      </c>
      <c r="E289" s="256">
        <v>120.72</v>
      </c>
      <c r="F289" s="257"/>
      <c r="G289" s="258" t="str">
        <f>IFERROR(VLOOKUP(D289,#REF!,2,FALSE),"_")</f>
        <v>_</v>
      </c>
      <c r="H289" s="259"/>
      <c r="I289" s="541">
        <f t="shared" si="4"/>
        <v>99050.799999999988</v>
      </c>
      <c r="K289" s="243"/>
    </row>
    <row r="290" spans="2:11" ht="17" customHeight="1">
      <c r="B290" s="253">
        <v>45702</v>
      </c>
      <c r="C290" s="263" t="s">
        <v>117</v>
      </c>
      <c r="D290" s="255" t="s">
        <v>306</v>
      </c>
      <c r="E290" s="256"/>
      <c r="F290" s="257">
        <v>163.80000000000001</v>
      </c>
      <c r="G290" s="258" t="str">
        <f>IFERROR(VLOOKUP(D290,#REF!,2,FALSE),"_")</f>
        <v>_</v>
      </c>
      <c r="H290" s="259"/>
      <c r="I290" s="541">
        <f t="shared" si="4"/>
        <v>98886.999999999985</v>
      </c>
      <c r="K290" s="243"/>
    </row>
    <row r="291" spans="2:11" ht="17" customHeight="1">
      <c r="B291" s="253">
        <v>45702</v>
      </c>
      <c r="C291" s="263" t="s">
        <v>117</v>
      </c>
      <c r="D291" s="255" t="s">
        <v>306</v>
      </c>
      <c r="E291" s="256"/>
      <c r="F291" s="257">
        <v>107.6</v>
      </c>
      <c r="G291" s="258" t="str">
        <f>IFERROR(VLOOKUP(D291,#REF!,2,FALSE),"_")</f>
        <v>_</v>
      </c>
      <c r="H291" s="259"/>
      <c r="I291" s="541">
        <f t="shared" si="4"/>
        <v>98779.39999999998</v>
      </c>
      <c r="K291" s="243"/>
    </row>
    <row r="292" spans="2:11" ht="17" customHeight="1">
      <c r="B292" s="253">
        <v>45702</v>
      </c>
      <c r="C292" s="263" t="s">
        <v>117</v>
      </c>
      <c r="D292" s="255" t="s">
        <v>306</v>
      </c>
      <c r="E292" s="256"/>
      <c r="F292" s="257">
        <v>343.5</v>
      </c>
      <c r="G292" s="258" t="str">
        <f>IFERROR(VLOOKUP(D292,#REF!,2,FALSE),"_")</f>
        <v>_</v>
      </c>
      <c r="H292" s="259"/>
      <c r="I292" s="541">
        <f t="shared" si="4"/>
        <v>98435.89999999998</v>
      </c>
      <c r="K292" s="243"/>
    </row>
    <row r="293" spans="2:11" ht="17" customHeight="1">
      <c r="B293" s="253">
        <v>45702</v>
      </c>
      <c r="C293" s="263" t="s">
        <v>117</v>
      </c>
      <c r="D293" s="255" t="s">
        <v>306</v>
      </c>
      <c r="E293" s="256"/>
      <c r="F293" s="257">
        <v>757.2</v>
      </c>
      <c r="G293" s="258" t="str">
        <f>IFERROR(VLOOKUP(D293,#REF!,2,FALSE),"_")</f>
        <v>_</v>
      </c>
      <c r="H293" s="259"/>
      <c r="I293" s="541">
        <f t="shared" si="4"/>
        <v>97678.699999999983</v>
      </c>
      <c r="K293" s="243"/>
    </row>
    <row r="294" spans="2:11" ht="17" customHeight="1">
      <c r="B294" s="268">
        <v>45688</v>
      </c>
      <c r="C294" s="263" t="s">
        <v>513</v>
      </c>
      <c r="D294" s="255" t="s">
        <v>25</v>
      </c>
      <c r="E294" s="256"/>
      <c r="F294" s="257">
        <v>415</v>
      </c>
      <c r="G294" s="258" t="s">
        <v>246</v>
      </c>
      <c r="H294" s="259"/>
      <c r="I294" s="541">
        <f t="shared" si="4"/>
        <v>97263.699999999983</v>
      </c>
      <c r="K294" s="243"/>
    </row>
    <row r="295" spans="2:11" ht="17" customHeight="1">
      <c r="B295" s="268">
        <v>45688</v>
      </c>
      <c r="C295" s="263" t="s">
        <v>513</v>
      </c>
      <c r="D295" s="255" t="s">
        <v>557</v>
      </c>
      <c r="E295" s="256"/>
      <c r="F295" s="257">
        <v>570</v>
      </c>
      <c r="G295" s="258" t="s">
        <v>246</v>
      </c>
      <c r="H295" s="259"/>
      <c r="I295" s="541">
        <f t="shared" si="4"/>
        <v>96693.699999999983</v>
      </c>
      <c r="K295" s="243"/>
    </row>
    <row r="296" spans="2:11" ht="17" customHeight="1">
      <c r="B296" s="268">
        <v>45688</v>
      </c>
      <c r="C296" s="263" t="s">
        <v>513</v>
      </c>
      <c r="D296" s="255" t="s">
        <v>28</v>
      </c>
      <c r="E296" s="256"/>
      <c r="F296" s="257">
        <v>712</v>
      </c>
      <c r="G296" s="258" t="str">
        <f>IFERROR(VLOOKUP(D296,#REF!,2,FALSE),"_")</f>
        <v>_</v>
      </c>
      <c r="H296" s="259"/>
      <c r="I296" s="541">
        <f t="shared" si="4"/>
        <v>95981.699999999983</v>
      </c>
      <c r="K296" s="243"/>
    </row>
    <row r="297" spans="2:11" ht="17" customHeight="1">
      <c r="B297" s="268">
        <v>45688</v>
      </c>
      <c r="C297" s="263" t="s">
        <v>513</v>
      </c>
      <c r="D297" s="255" t="s">
        <v>29</v>
      </c>
      <c r="E297" s="256"/>
      <c r="F297" s="257">
        <v>325</v>
      </c>
      <c r="G297" s="258" t="str">
        <f>IFERROR(VLOOKUP(D297,#REF!,2,FALSE),"_")</f>
        <v>_</v>
      </c>
      <c r="H297" s="259"/>
      <c r="I297" s="541">
        <f t="shared" si="4"/>
        <v>95656.699999999983</v>
      </c>
      <c r="K297" s="243"/>
    </row>
    <row r="298" spans="2:11" ht="17" customHeight="1">
      <c r="B298" s="268">
        <v>45688</v>
      </c>
      <c r="C298" s="263" t="s">
        <v>513</v>
      </c>
      <c r="D298" s="255" t="s">
        <v>559</v>
      </c>
      <c r="E298" s="256"/>
      <c r="F298" s="257">
        <v>856</v>
      </c>
      <c r="G298" s="258" t="str">
        <f>IFERROR(VLOOKUP(D298,#REF!,2,FALSE),"_")</f>
        <v>_</v>
      </c>
      <c r="H298" s="259"/>
      <c r="I298" s="541">
        <f t="shared" si="4"/>
        <v>94800.699999999983</v>
      </c>
      <c r="K298" s="243"/>
    </row>
    <row r="299" spans="2:11" ht="17" customHeight="1">
      <c r="B299" s="268">
        <v>45688</v>
      </c>
      <c r="C299" s="263" t="s">
        <v>513</v>
      </c>
      <c r="D299" s="255" t="s">
        <v>534</v>
      </c>
      <c r="E299" s="256"/>
      <c r="F299" s="257">
        <v>1190</v>
      </c>
      <c r="G299" s="258" t="s">
        <v>245</v>
      </c>
      <c r="H299" s="259"/>
      <c r="I299" s="541">
        <f t="shared" si="4"/>
        <v>93610.699999999983</v>
      </c>
      <c r="K299" s="243"/>
    </row>
    <row r="300" spans="2:11" ht="17" customHeight="1">
      <c r="B300" s="268">
        <v>45688</v>
      </c>
      <c r="C300" s="263" t="s">
        <v>513</v>
      </c>
      <c r="D300" s="255" t="s">
        <v>560</v>
      </c>
      <c r="E300" s="256"/>
      <c r="F300" s="257">
        <v>533</v>
      </c>
      <c r="G300" s="258" t="s">
        <v>245</v>
      </c>
      <c r="H300" s="259"/>
      <c r="I300" s="541">
        <f t="shared" si="4"/>
        <v>93077.699999999983</v>
      </c>
      <c r="K300" s="243"/>
    </row>
    <row r="301" spans="2:11" ht="17" customHeight="1">
      <c r="B301" s="253">
        <v>45702</v>
      </c>
      <c r="C301" s="263" t="s">
        <v>610</v>
      </c>
      <c r="D301" s="255" t="s">
        <v>512</v>
      </c>
      <c r="E301" s="256"/>
      <c r="F301" s="257">
        <f>27.6-1.06</f>
        <v>26.540000000000003</v>
      </c>
      <c r="G301" s="258" t="str">
        <f>IFERROR(VLOOKUP(D301,#REF!,2,FALSE),"_")</f>
        <v>_</v>
      </c>
      <c r="H301" s="259"/>
      <c r="I301" s="541">
        <f t="shared" si="4"/>
        <v>93051.159999999989</v>
      </c>
      <c r="K301" s="243"/>
    </row>
    <row r="302" spans="2:11" ht="17" customHeight="1">
      <c r="B302" s="253">
        <v>45702</v>
      </c>
      <c r="C302" s="263" t="s">
        <v>610</v>
      </c>
      <c r="D302" s="255" t="s">
        <v>512</v>
      </c>
      <c r="E302" s="256"/>
      <c r="F302" s="257">
        <v>1.06</v>
      </c>
      <c r="G302" s="258" t="s">
        <v>274</v>
      </c>
      <c r="H302" s="259"/>
      <c r="I302" s="541">
        <f t="shared" si="4"/>
        <v>93050.099999999991</v>
      </c>
      <c r="K302" s="243"/>
    </row>
    <row r="303" spans="2:11" ht="17" customHeight="1">
      <c r="B303" s="253">
        <v>45702</v>
      </c>
      <c r="C303" s="263" t="s">
        <v>117</v>
      </c>
      <c r="D303" s="255" t="s">
        <v>516</v>
      </c>
      <c r="E303" s="256"/>
      <c r="F303" s="257">
        <v>18.5</v>
      </c>
      <c r="G303" s="258" t="str">
        <f>IFERROR(VLOOKUP(D303,#REF!,2,FALSE),"_")</f>
        <v>_</v>
      </c>
      <c r="H303" s="259"/>
      <c r="I303" s="541">
        <f t="shared" si="4"/>
        <v>93031.599999999991</v>
      </c>
      <c r="K303" s="243"/>
    </row>
    <row r="304" spans="2:11" ht="17" customHeight="1">
      <c r="B304" s="253">
        <v>45702</v>
      </c>
      <c r="C304" s="263" t="s">
        <v>283</v>
      </c>
      <c r="D304" s="255" t="s">
        <v>283</v>
      </c>
      <c r="E304" s="256">
        <v>200</v>
      </c>
      <c r="F304" s="257"/>
      <c r="G304" s="258" t="str">
        <f>IFERROR(VLOOKUP(D304,#REF!,2,FALSE),"_")</f>
        <v>_</v>
      </c>
      <c r="H304" s="259" t="s">
        <v>611</v>
      </c>
      <c r="I304" s="541">
        <f t="shared" si="4"/>
        <v>93231.599999999991</v>
      </c>
      <c r="K304" s="243"/>
    </row>
    <row r="305" spans="2:11" ht="17" customHeight="1">
      <c r="B305" s="253">
        <v>45702</v>
      </c>
      <c r="C305" s="263" t="s">
        <v>283</v>
      </c>
      <c r="D305" s="255" t="s">
        <v>283</v>
      </c>
      <c r="E305" s="256">
        <f>620.1-E306</f>
        <v>488.15000000000003</v>
      </c>
      <c r="F305" s="257"/>
      <c r="G305" s="258" t="str">
        <f>IFERROR(VLOOKUP(D305,#REF!,2,FALSE),"_")</f>
        <v>_</v>
      </c>
      <c r="H305" s="259"/>
      <c r="I305" s="541">
        <f t="shared" si="4"/>
        <v>93719.749999999985</v>
      </c>
      <c r="K305" s="243"/>
    </row>
    <row r="306" spans="2:11" ht="17" customHeight="1">
      <c r="B306" s="253">
        <v>45702</v>
      </c>
      <c r="C306" s="263" t="s">
        <v>283</v>
      </c>
      <c r="D306" s="255" t="s">
        <v>508</v>
      </c>
      <c r="E306" s="256">
        <v>131.94999999999999</v>
      </c>
      <c r="F306" s="257"/>
      <c r="G306" s="258" t="str">
        <f>IFERROR(VLOOKUP(D306,#REF!,2,FALSE),"_")</f>
        <v>_</v>
      </c>
      <c r="H306" s="259"/>
      <c r="I306" s="541">
        <f t="shared" si="4"/>
        <v>93851.699999999983</v>
      </c>
      <c r="K306" s="243"/>
    </row>
    <row r="307" spans="2:11" ht="17" customHeight="1">
      <c r="B307" s="253">
        <v>45703</v>
      </c>
      <c r="C307" s="263" t="s">
        <v>117</v>
      </c>
      <c r="D307" s="255" t="s">
        <v>543</v>
      </c>
      <c r="E307" s="256"/>
      <c r="F307" s="257">
        <v>80</v>
      </c>
      <c r="G307" s="258" t="str">
        <f>IFERROR(VLOOKUP(D307,#REF!,2,FALSE),"_")</f>
        <v>_</v>
      </c>
      <c r="H307" s="259"/>
      <c r="I307" s="541">
        <f t="shared" si="4"/>
        <v>93771.699999999983</v>
      </c>
      <c r="K307" s="243"/>
    </row>
    <row r="308" spans="2:11" ht="17" customHeight="1">
      <c r="B308" s="253">
        <v>45703</v>
      </c>
      <c r="C308" s="263" t="s">
        <v>283</v>
      </c>
      <c r="D308" s="255" t="s">
        <v>283</v>
      </c>
      <c r="E308" s="256">
        <f>1714.3+400-E309</f>
        <v>1845.4900000000002</v>
      </c>
      <c r="F308" s="257"/>
      <c r="G308" s="258" t="str">
        <f>IFERROR(VLOOKUP(D308,#REF!,2,FALSE),"_")</f>
        <v>_</v>
      </c>
      <c r="H308" s="259"/>
      <c r="I308" s="541">
        <f t="shared" si="4"/>
        <v>95617.189999999988</v>
      </c>
      <c r="K308" s="243"/>
    </row>
    <row r="309" spans="2:11" ht="17" customHeight="1">
      <c r="B309" s="253">
        <v>45703</v>
      </c>
      <c r="C309" s="263" t="s">
        <v>283</v>
      </c>
      <c r="D309" s="255" t="s">
        <v>508</v>
      </c>
      <c r="E309" s="256">
        <v>268.81</v>
      </c>
      <c r="F309" s="257"/>
      <c r="G309" s="258" t="str">
        <f>IFERROR(VLOOKUP(D309,#REF!,2,FALSE),"_")</f>
        <v>_</v>
      </c>
      <c r="H309" s="259"/>
      <c r="I309" s="541">
        <f t="shared" si="4"/>
        <v>95885.999999999985</v>
      </c>
      <c r="K309" s="243"/>
    </row>
    <row r="310" spans="2:11" ht="17" customHeight="1">
      <c r="B310" s="253">
        <v>45704</v>
      </c>
      <c r="C310" s="263" t="s">
        <v>117</v>
      </c>
      <c r="D310" s="255" t="s">
        <v>526</v>
      </c>
      <c r="E310" s="256"/>
      <c r="F310" s="257">
        <v>50</v>
      </c>
      <c r="G310" s="258" t="s">
        <v>229</v>
      </c>
      <c r="H310" s="259"/>
      <c r="I310" s="541">
        <f t="shared" si="4"/>
        <v>95835.999999999985</v>
      </c>
      <c r="K310" s="243"/>
    </row>
    <row r="311" spans="2:11" ht="17" customHeight="1">
      <c r="B311" s="253">
        <v>45704</v>
      </c>
      <c r="C311" s="263" t="s">
        <v>117</v>
      </c>
      <c r="D311" s="261" t="s">
        <v>525</v>
      </c>
      <c r="E311" s="256"/>
      <c r="F311" s="257">
        <v>100</v>
      </c>
      <c r="G311" s="258" t="s">
        <v>229</v>
      </c>
      <c r="H311" s="259"/>
      <c r="I311" s="541">
        <f t="shared" si="4"/>
        <v>95735.999999999985</v>
      </c>
      <c r="K311" s="243"/>
    </row>
    <row r="312" spans="2:11" ht="17" customHeight="1">
      <c r="B312" s="253">
        <v>45704</v>
      </c>
      <c r="C312" s="263" t="s">
        <v>117</v>
      </c>
      <c r="D312" s="261" t="s">
        <v>531</v>
      </c>
      <c r="E312" s="256"/>
      <c r="F312" s="257">
        <v>50</v>
      </c>
      <c r="G312" s="258" t="s">
        <v>229</v>
      </c>
      <c r="H312" s="259"/>
      <c r="I312" s="541">
        <f t="shared" si="4"/>
        <v>95685.999999999985</v>
      </c>
      <c r="K312" s="243"/>
    </row>
    <row r="313" spans="2:11" ht="17" customHeight="1">
      <c r="B313" s="253">
        <v>45704</v>
      </c>
      <c r="C313" s="263" t="s">
        <v>117</v>
      </c>
      <c r="D313" s="255" t="s">
        <v>566</v>
      </c>
      <c r="E313" s="256"/>
      <c r="F313" s="257">
        <v>100</v>
      </c>
      <c r="G313" s="258" t="s">
        <v>229</v>
      </c>
      <c r="H313" s="259"/>
      <c r="I313" s="541">
        <f t="shared" si="4"/>
        <v>95585.999999999985</v>
      </c>
      <c r="K313" s="243"/>
    </row>
    <row r="314" spans="2:11" ht="17" customHeight="1">
      <c r="B314" s="253">
        <v>45704</v>
      </c>
      <c r="C314" s="263" t="s">
        <v>117</v>
      </c>
      <c r="D314" s="255" t="s">
        <v>527</v>
      </c>
      <c r="E314" s="256"/>
      <c r="F314" s="257">
        <v>110</v>
      </c>
      <c r="G314" s="258" t="s">
        <v>233</v>
      </c>
      <c r="H314" s="259"/>
      <c r="I314" s="541">
        <f t="shared" si="4"/>
        <v>95475.999999999985</v>
      </c>
      <c r="K314" s="243"/>
    </row>
    <row r="315" spans="2:11" ht="17" customHeight="1">
      <c r="B315" s="253">
        <v>45704</v>
      </c>
      <c r="C315" s="263" t="s">
        <v>117</v>
      </c>
      <c r="D315" s="255" t="s">
        <v>528</v>
      </c>
      <c r="E315" s="256"/>
      <c r="F315" s="257">
        <v>150</v>
      </c>
      <c r="G315" s="258" t="s">
        <v>233</v>
      </c>
      <c r="H315" s="259"/>
      <c r="I315" s="541">
        <f t="shared" si="4"/>
        <v>95325.999999999985</v>
      </c>
      <c r="K315" s="243"/>
    </row>
    <row r="316" spans="2:11" ht="17" customHeight="1">
      <c r="B316" s="253">
        <v>45704</v>
      </c>
      <c r="C316" s="263" t="s">
        <v>117</v>
      </c>
      <c r="D316" s="255" t="s">
        <v>530</v>
      </c>
      <c r="E316" s="256"/>
      <c r="F316" s="257">
        <v>400</v>
      </c>
      <c r="G316" s="258" t="s">
        <v>229</v>
      </c>
      <c r="H316" s="259"/>
      <c r="I316" s="541">
        <f t="shared" si="4"/>
        <v>94925.999999999985</v>
      </c>
      <c r="K316" s="243"/>
    </row>
    <row r="317" spans="2:11" ht="17" customHeight="1">
      <c r="B317" s="253">
        <v>45704</v>
      </c>
      <c r="C317" s="263" t="s">
        <v>513</v>
      </c>
      <c r="D317" s="255" t="s">
        <v>534</v>
      </c>
      <c r="E317" s="256"/>
      <c r="F317" s="257">
        <v>36</v>
      </c>
      <c r="G317" s="258" t="s">
        <v>245</v>
      </c>
      <c r="H317" s="259"/>
      <c r="I317" s="541">
        <f t="shared" si="4"/>
        <v>94889.999999999985</v>
      </c>
      <c r="K317" s="243"/>
    </row>
    <row r="318" spans="2:11" ht="17" customHeight="1">
      <c r="B318" s="253">
        <v>45704</v>
      </c>
      <c r="C318" s="263" t="s">
        <v>513</v>
      </c>
      <c r="D318" s="255" t="s">
        <v>534</v>
      </c>
      <c r="E318" s="256"/>
      <c r="F318" s="257">
        <v>13.64</v>
      </c>
      <c r="G318" s="258" t="s">
        <v>250</v>
      </c>
      <c r="H318" s="259"/>
      <c r="I318" s="541">
        <f t="shared" si="4"/>
        <v>94876.359999999986</v>
      </c>
      <c r="K318" s="243"/>
    </row>
    <row r="319" spans="2:11" ht="17" customHeight="1">
      <c r="B319" s="253">
        <v>45704</v>
      </c>
      <c r="C319" s="263" t="s">
        <v>513</v>
      </c>
      <c r="D319" s="255" t="s">
        <v>535</v>
      </c>
      <c r="E319" s="256">
        <v>36</v>
      </c>
      <c r="F319" s="257"/>
      <c r="G319" s="258"/>
      <c r="H319" s="259" t="s">
        <v>536</v>
      </c>
      <c r="I319" s="541">
        <f t="shared" si="4"/>
        <v>94912.359999999986</v>
      </c>
      <c r="K319" s="243"/>
    </row>
    <row r="320" spans="2:11" ht="17" customHeight="1">
      <c r="B320" s="253">
        <v>45704</v>
      </c>
      <c r="C320" s="263" t="s">
        <v>513</v>
      </c>
      <c r="D320" s="255" t="s">
        <v>535</v>
      </c>
      <c r="E320" s="256">
        <v>13.64</v>
      </c>
      <c r="F320" s="257"/>
      <c r="G320" s="258"/>
      <c r="H320" s="259" t="s">
        <v>536</v>
      </c>
      <c r="I320" s="541">
        <f t="shared" si="4"/>
        <v>94925.999999999985</v>
      </c>
      <c r="K320" s="243"/>
    </row>
    <row r="321" spans="2:11" ht="17" customHeight="1">
      <c r="B321" s="253">
        <v>45704</v>
      </c>
      <c r="C321" s="263" t="s">
        <v>513</v>
      </c>
      <c r="D321" s="255" t="s">
        <v>567</v>
      </c>
      <c r="E321" s="256"/>
      <c r="F321" s="257">
        <v>95</v>
      </c>
      <c r="G321" s="258" t="s">
        <v>227</v>
      </c>
      <c r="H321" s="259"/>
      <c r="I321" s="541">
        <f t="shared" si="4"/>
        <v>94830.999999999985</v>
      </c>
      <c r="K321" s="243"/>
    </row>
    <row r="322" spans="2:11" ht="17" customHeight="1">
      <c r="B322" s="253">
        <v>45704</v>
      </c>
      <c r="C322" s="263" t="s">
        <v>513</v>
      </c>
      <c r="D322" s="255" t="s">
        <v>567</v>
      </c>
      <c r="E322" s="256"/>
      <c r="F322" s="257">
        <v>36</v>
      </c>
      <c r="G322" s="258" t="s">
        <v>245</v>
      </c>
      <c r="H322" s="259"/>
      <c r="I322" s="541">
        <f t="shared" si="4"/>
        <v>94794.999999999985</v>
      </c>
      <c r="K322" s="243"/>
    </row>
    <row r="323" spans="2:11" ht="17" customHeight="1">
      <c r="B323" s="253">
        <v>45704</v>
      </c>
      <c r="C323" s="263" t="s">
        <v>513</v>
      </c>
      <c r="D323" s="255" t="s">
        <v>567</v>
      </c>
      <c r="E323" s="256"/>
      <c r="F323" s="257">
        <v>13.64</v>
      </c>
      <c r="G323" s="258" t="s">
        <v>250</v>
      </c>
      <c r="H323" s="259"/>
      <c r="I323" s="541">
        <f t="shared" si="4"/>
        <v>94781.359999999986</v>
      </c>
      <c r="K323" s="243"/>
    </row>
    <row r="324" spans="2:11" ht="17" customHeight="1">
      <c r="B324" s="253">
        <v>45704</v>
      </c>
      <c r="C324" s="263" t="s">
        <v>513</v>
      </c>
      <c r="D324" s="255" t="s">
        <v>535</v>
      </c>
      <c r="E324" s="256">
        <v>36</v>
      </c>
      <c r="F324" s="257"/>
      <c r="G324" s="258"/>
      <c r="H324" s="259" t="s">
        <v>586</v>
      </c>
      <c r="I324" s="541">
        <f t="shared" si="4"/>
        <v>94817.359999999986</v>
      </c>
      <c r="K324" s="243"/>
    </row>
    <row r="325" spans="2:11" ht="17" customHeight="1">
      <c r="B325" s="253">
        <v>45704</v>
      </c>
      <c r="C325" s="263" t="s">
        <v>513</v>
      </c>
      <c r="D325" s="255" t="s">
        <v>535</v>
      </c>
      <c r="E325" s="256">
        <v>13.64</v>
      </c>
      <c r="F325" s="257"/>
      <c r="G325" s="258"/>
      <c r="H325" s="259" t="s">
        <v>586</v>
      </c>
      <c r="I325" s="541">
        <f t="shared" si="4"/>
        <v>94830.999999999985</v>
      </c>
      <c r="K325" s="243"/>
    </row>
    <row r="326" spans="2:11" ht="17" customHeight="1">
      <c r="B326" s="253">
        <v>45704</v>
      </c>
      <c r="C326" s="263" t="s">
        <v>117</v>
      </c>
      <c r="D326" s="255" t="s">
        <v>510</v>
      </c>
      <c r="E326" s="256"/>
      <c r="F326" s="257">
        <v>100</v>
      </c>
      <c r="G326" s="258" t="s">
        <v>230</v>
      </c>
      <c r="H326" s="259"/>
      <c r="I326" s="541">
        <f t="shared" si="4"/>
        <v>94730.999999999985</v>
      </c>
      <c r="K326" s="243"/>
    </row>
    <row r="327" spans="2:11" ht="17" customHeight="1">
      <c r="B327" s="253">
        <v>45704</v>
      </c>
      <c r="C327" s="263" t="s">
        <v>117</v>
      </c>
      <c r="D327" s="255" t="s">
        <v>612</v>
      </c>
      <c r="E327" s="256"/>
      <c r="F327" s="257">
        <f>300-22</f>
        <v>278</v>
      </c>
      <c r="G327" s="258" t="s">
        <v>230</v>
      </c>
      <c r="H327" s="259"/>
      <c r="I327" s="541">
        <f t="shared" si="4"/>
        <v>94452.999999999985</v>
      </c>
      <c r="K327" s="243"/>
    </row>
    <row r="328" spans="2:11" ht="17" customHeight="1">
      <c r="B328" s="253">
        <v>45704</v>
      </c>
      <c r="C328" s="263" t="s">
        <v>117</v>
      </c>
      <c r="D328" s="255" t="s">
        <v>612</v>
      </c>
      <c r="E328" s="256"/>
      <c r="F328" s="257">
        <v>22</v>
      </c>
      <c r="G328" s="258" t="s">
        <v>274</v>
      </c>
      <c r="H328" s="259"/>
      <c r="I328" s="541">
        <f t="shared" si="4"/>
        <v>94430.999999999985</v>
      </c>
      <c r="K328" s="243"/>
    </row>
    <row r="329" spans="2:11" ht="17" customHeight="1">
      <c r="B329" s="253">
        <v>45704</v>
      </c>
      <c r="C329" s="263" t="s">
        <v>117</v>
      </c>
      <c r="D329" s="255" t="s">
        <v>529</v>
      </c>
      <c r="E329" s="256"/>
      <c r="F329" s="257">
        <v>70</v>
      </c>
      <c r="G329" s="258" t="s">
        <v>233</v>
      </c>
      <c r="H329" s="259"/>
      <c r="I329" s="541">
        <f t="shared" ref="I329:I392" si="5">I328+E329-F329</f>
        <v>94360.999999999985</v>
      </c>
      <c r="K329" s="243"/>
    </row>
    <row r="330" spans="2:11" ht="17" customHeight="1">
      <c r="B330" s="253">
        <v>45704</v>
      </c>
      <c r="C330" s="263" t="s">
        <v>117</v>
      </c>
      <c r="D330" s="255" t="s">
        <v>524</v>
      </c>
      <c r="E330" s="256"/>
      <c r="F330" s="257">
        <v>50</v>
      </c>
      <c r="G330" s="258" t="s">
        <v>227</v>
      </c>
      <c r="H330" s="259"/>
      <c r="I330" s="541">
        <f t="shared" si="5"/>
        <v>94310.999999999985</v>
      </c>
      <c r="K330" s="243"/>
    </row>
    <row r="331" spans="2:11" ht="17" customHeight="1">
      <c r="B331" s="253">
        <v>45704</v>
      </c>
      <c r="C331" s="263" t="s">
        <v>117</v>
      </c>
      <c r="D331" s="261" t="s">
        <v>532</v>
      </c>
      <c r="E331" s="256"/>
      <c r="F331" s="257">
        <v>400</v>
      </c>
      <c r="G331" s="258" t="s">
        <v>231</v>
      </c>
      <c r="H331" s="259"/>
      <c r="I331" s="541">
        <f t="shared" si="5"/>
        <v>93910.999999999985</v>
      </c>
      <c r="K331" s="243"/>
    </row>
    <row r="332" spans="2:11" ht="17" customHeight="1">
      <c r="B332" s="253">
        <v>45704</v>
      </c>
      <c r="C332" s="263" t="s">
        <v>283</v>
      </c>
      <c r="D332" s="255" t="s">
        <v>283</v>
      </c>
      <c r="E332" s="256">
        <f>4414-E333</f>
        <v>3676.2</v>
      </c>
      <c r="F332" s="257"/>
      <c r="G332" s="258" t="str">
        <f>IFERROR(VLOOKUP(D332,#REF!,2,FALSE),"_")</f>
        <v>_</v>
      </c>
      <c r="H332" s="259"/>
      <c r="I332" s="541">
        <f t="shared" si="5"/>
        <v>97587.199999999983</v>
      </c>
      <c r="K332" s="243"/>
    </row>
    <row r="333" spans="2:11" ht="17" customHeight="1">
      <c r="B333" s="253">
        <v>45704</v>
      </c>
      <c r="C333" s="263" t="s">
        <v>283</v>
      </c>
      <c r="D333" s="255" t="s">
        <v>508</v>
      </c>
      <c r="E333" s="256">
        <v>737.8</v>
      </c>
      <c r="F333" s="257"/>
      <c r="G333" s="258" t="str">
        <f>IFERROR(VLOOKUP(D333,#REF!,2,FALSE),"_")</f>
        <v>_</v>
      </c>
      <c r="H333" s="259"/>
      <c r="I333" s="541">
        <f t="shared" si="5"/>
        <v>98324.999999999985</v>
      </c>
      <c r="K333" s="243"/>
    </row>
    <row r="334" spans="2:11" ht="17" customHeight="1">
      <c r="B334" s="253">
        <v>45706</v>
      </c>
      <c r="C334" s="263" t="s">
        <v>513</v>
      </c>
      <c r="D334" s="255" t="s">
        <v>563</v>
      </c>
      <c r="E334" s="256"/>
      <c r="F334" s="257">
        <v>110</v>
      </c>
      <c r="G334" s="258" t="str">
        <f>IFERROR(VLOOKUP(D334,#REF!,2,FALSE),"_")</f>
        <v>_</v>
      </c>
      <c r="H334" s="259"/>
      <c r="I334" s="541">
        <f t="shared" si="5"/>
        <v>98214.999999999985</v>
      </c>
      <c r="K334" s="243"/>
    </row>
    <row r="335" spans="2:11" ht="17" customHeight="1">
      <c r="B335" s="253">
        <v>45706</v>
      </c>
      <c r="C335" s="263" t="s">
        <v>613</v>
      </c>
      <c r="D335" s="261" t="s">
        <v>545</v>
      </c>
      <c r="E335" s="256"/>
      <c r="F335" s="257">
        <v>27</v>
      </c>
      <c r="G335" s="258" t="s">
        <v>202</v>
      </c>
      <c r="H335" s="259"/>
      <c r="I335" s="541">
        <f t="shared" si="5"/>
        <v>98187.999999999985</v>
      </c>
      <c r="K335" s="243"/>
    </row>
    <row r="336" spans="2:11" ht="17" customHeight="1">
      <c r="B336" s="253">
        <v>45706</v>
      </c>
      <c r="C336" s="263" t="s">
        <v>283</v>
      </c>
      <c r="D336" s="255" t="s">
        <v>283</v>
      </c>
      <c r="E336" s="256">
        <f>478.7-E337</f>
        <v>402.90999999999997</v>
      </c>
      <c r="F336" s="257"/>
      <c r="G336" s="258" t="str">
        <f>IFERROR(VLOOKUP(D336,#REF!,2,FALSE),"_")</f>
        <v>_</v>
      </c>
      <c r="H336" s="259"/>
      <c r="I336" s="541">
        <f t="shared" si="5"/>
        <v>98590.909999999989</v>
      </c>
      <c r="K336" s="243"/>
    </row>
    <row r="337" spans="2:11" ht="17" customHeight="1">
      <c r="B337" s="253">
        <v>45706</v>
      </c>
      <c r="C337" s="263" t="s">
        <v>283</v>
      </c>
      <c r="D337" s="255" t="s">
        <v>508</v>
      </c>
      <c r="E337" s="256">
        <v>75.790000000000006</v>
      </c>
      <c r="F337" s="257"/>
      <c r="G337" s="258" t="str">
        <f>IFERROR(VLOOKUP(D337,#REF!,2,FALSE),"_")</f>
        <v>_</v>
      </c>
      <c r="H337" s="259"/>
      <c r="I337" s="541">
        <f t="shared" si="5"/>
        <v>98666.699999999983</v>
      </c>
      <c r="K337" s="243"/>
    </row>
    <row r="338" spans="2:11" ht="17" customHeight="1">
      <c r="B338" s="253">
        <v>45707</v>
      </c>
      <c r="C338" s="263" t="s">
        <v>117</v>
      </c>
      <c r="D338" s="255" t="s">
        <v>361</v>
      </c>
      <c r="E338" s="256"/>
      <c r="F338" s="257">
        <v>100</v>
      </c>
      <c r="G338" s="258" t="s">
        <v>199</v>
      </c>
      <c r="H338" s="259"/>
      <c r="I338" s="541">
        <f t="shared" si="5"/>
        <v>98566.699999999983</v>
      </c>
      <c r="K338" s="243"/>
    </row>
    <row r="339" spans="2:11" ht="17" customHeight="1">
      <c r="B339" s="253">
        <v>45707</v>
      </c>
      <c r="C339" s="263" t="s">
        <v>117</v>
      </c>
      <c r="D339" s="261" t="s">
        <v>614</v>
      </c>
      <c r="E339" s="256"/>
      <c r="F339" s="257">
        <v>225</v>
      </c>
      <c r="G339" s="258" t="s">
        <v>194</v>
      </c>
      <c r="H339" s="259"/>
      <c r="I339" s="541">
        <f t="shared" si="5"/>
        <v>98341.699999999983</v>
      </c>
      <c r="K339" s="243"/>
    </row>
    <row r="340" spans="2:11" ht="17" customHeight="1">
      <c r="B340" s="253">
        <v>45707</v>
      </c>
      <c r="C340" s="263" t="s">
        <v>283</v>
      </c>
      <c r="D340" s="255" t="s">
        <v>283</v>
      </c>
      <c r="E340" s="256">
        <f>439-E341</f>
        <v>388.45</v>
      </c>
      <c r="F340" s="257"/>
      <c r="G340" s="258" t="str">
        <f>IFERROR(VLOOKUP(D340,#REF!,2,FALSE),"_")</f>
        <v>_</v>
      </c>
      <c r="H340" s="259"/>
      <c r="I340" s="541">
        <f t="shared" si="5"/>
        <v>98730.14999999998</v>
      </c>
      <c r="K340" s="243"/>
    </row>
    <row r="341" spans="2:11" ht="17" customHeight="1">
      <c r="B341" s="253">
        <v>45707</v>
      </c>
      <c r="C341" s="263" t="s">
        <v>283</v>
      </c>
      <c r="D341" s="255" t="s">
        <v>508</v>
      </c>
      <c r="E341" s="256">
        <v>50.55</v>
      </c>
      <c r="F341" s="257"/>
      <c r="G341" s="258" t="str">
        <f>IFERROR(VLOOKUP(D341,#REF!,2,FALSE),"_")</f>
        <v>_</v>
      </c>
      <c r="H341" s="259"/>
      <c r="I341" s="541">
        <f t="shared" si="5"/>
        <v>98780.699999999983</v>
      </c>
      <c r="K341" s="243"/>
    </row>
    <row r="342" spans="2:11" ht="17" customHeight="1">
      <c r="B342" s="253">
        <v>45708</v>
      </c>
      <c r="C342" s="263" t="s">
        <v>286</v>
      </c>
      <c r="D342" s="261" t="s">
        <v>520</v>
      </c>
      <c r="E342" s="256"/>
      <c r="F342" s="257">
        <v>35</v>
      </c>
      <c r="G342" s="258" t="s">
        <v>139</v>
      </c>
      <c r="H342" s="259"/>
      <c r="I342" s="541">
        <f t="shared" si="5"/>
        <v>98745.699999999983</v>
      </c>
      <c r="K342" s="243"/>
    </row>
    <row r="343" spans="2:11" ht="17" customHeight="1">
      <c r="B343" s="253">
        <v>45708</v>
      </c>
      <c r="C343" s="254" t="s">
        <v>117</v>
      </c>
      <c r="D343" s="255" t="s">
        <v>615</v>
      </c>
      <c r="E343" s="256"/>
      <c r="F343" s="257">
        <v>7.9</v>
      </c>
      <c r="G343" s="258" t="s">
        <v>199</v>
      </c>
      <c r="H343" s="259"/>
      <c r="I343" s="541">
        <f t="shared" si="5"/>
        <v>98737.799999999988</v>
      </c>
      <c r="K343" s="243"/>
    </row>
    <row r="344" spans="2:11" ht="17" customHeight="1">
      <c r="B344" s="253">
        <v>45708</v>
      </c>
      <c r="C344" s="263" t="s">
        <v>283</v>
      </c>
      <c r="D344" s="255" t="s">
        <v>283</v>
      </c>
      <c r="E344" s="256">
        <f>947.9-E345</f>
        <v>834.87</v>
      </c>
      <c r="F344" s="257"/>
      <c r="G344" s="258" t="s">
        <v>190</v>
      </c>
      <c r="H344" s="259"/>
      <c r="I344" s="541">
        <f t="shared" si="5"/>
        <v>99572.669999999984</v>
      </c>
      <c r="K344" s="243"/>
    </row>
    <row r="345" spans="2:11" ht="17" customHeight="1">
      <c r="B345" s="253">
        <v>45708</v>
      </c>
      <c r="C345" s="263" t="s">
        <v>283</v>
      </c>
      <c r="D345" s="255" t="s">
        <v>508</v>
      </c>
      <c r="E345" s="256">
        <v>113.03</v>
      </c>
      <c r="F345" s="257"/>
      <c r="G345" s="258" t="s">
        <v>276</v>
      </c>
      <c r="H345" s="259"/>
      <c r="I345" s="541">
        <f t="shared" si="5"/>
        <v>99685.699999999983</v>
      </c>
      <c r="K345" s="243"/>
    </row>
    <row r="346" spans="2:11" ht="17" customHeight="1">
      <c r="B346" s="253">
        <v>45709</v>
      </c>
      <c r="C346" s="254" t="s">
        <v>117</v>
      </c>
      <c r="D346" s="255" t="s">
        <v>306</v>
      </c>
      <c r="E346" s="256"/>
      <c r="F346" s="257">
        <v>1602.5</v>
      </c>
      <c r="G346" s="258" t="s">
        <v>194</v>
      </c>
      <c r="H346" s="259"/>
      <c r="I346" s="541">
        <f t="shared" si="5"/>
        <v>98083.199999999983</v>
      </c>
      <c r="K346" s="243"/>
    </row>
    <row r="347" spans="2:11" ht="17" customHeight="1">
      <c r="B347" s="253">
        <v>45709</v>
      </c>
      <c r="C347" s="263" t="s">
        <v>117</v>
      </c>
      <c r="D347" s="261" t="s">
        <v>306</v>
      </c>
      <c r="E347" s="256"/>
      <c r="F347" s="257">
        <v>295.8</v>
      </c>
      <c r="G347" s="258" t="s">
        <v>194</v>
      </c>
      <c r="H347" s="259"/>
      <c r="I347" s="541">
        <f t="shared" si="5"/>
        <v>97787.39999999998</v>
      </c>
      <c r="K347" s="243"/>
    </row>
    <row r="348" spans="2:11" ht="17" customHeight="1">
      <c r="B348" s="253">
        <v>45709</v>
      </c>
      <c r="C348" s="263" t="s">
        <v>117</v>
      </c>
      <c r="D348" s="261" t="s">
        <v>306</v>
      </c>
      <c r="E348" s="256"/>
      <c r="F348" s="257">
        <v>321.45</v>
      </c>
      <c r="G348" s="258" t="s">
        <v>194</v>
      </c>
      <c r="H348" s="259"/>
      <c r="I348" s="541">
        <f t="shared" si="5"/>
        <v>97465.949999999983</v>
      </c>
      <c r="K348" s="243"/>
    </row>
    <row r="349" spans="2:11" ht="17" customHeight="1">
      <c r="B349" s="253">
        <v>45709</v>
      </c>
      <c r="C349" s="263" t="s">
        <v>117</v>
      </c>
      <c r="D349" s="261" t="s">
        <v>306</v>
      </c>
      <c r="E349" s="256"/>
      <c r="F349" s="257">
        <v>167.6</v>
      </c>
      <c r="G349" s="258" t="s">
        <v>194</v>
      </c>
      <c r="H349" s="259"/>
      <c r="I349" s="541">
        <f t="shared" si="5"/>
        <v>97298.349999999977</v>
      </c>
      <c r="K349" s="243"/>
    </row>
    <row r="350" spans="2:11" ht="17" customHeight="1">
      <c r="B350" s="253">
        <v>45709</v>
      </c>
      <c r="C350" s="263" t="s">
        <v>117</v>
      </c>
      <c r="D350" s="261" t="s">
        <v>516</v>
      </c>
      <c r="E350" s="256"/>
      <c r="F350" s="257">
        <v>120</v>
      </c>
      <c r="G350" s="258" t="s">
        <v>199</v>
      </c>
      <c r="H350" s="259"/>
      <c r="I350" s="541">
        <f t="shared" si="5"/>
        <v>97178.349999999977</v>
      </c>
      <c r="K350" s="243"/>
    </row>
    <row r="351" spans="2:11" ht="17" customHeight="1">
      <c r="B351" s="253">
        <v>45709</v>
      </c>
      <c r="C351" s="263" t="s">
        <v>117</v>
      </c>
      <c r="D351" s="261" t="s">
        <v>616</v>
      </c>
      <c r="E351" s="256"/>
      <c r="F351" s="257">
        <v>90</v>
      </c>
      <c r="G351" s="258" t="s">
        <v>216</v>
      </c>
      <c r="H351" s="543"/>
      <c r="I351" s="541">
        <f t="shared" si="5"/>
        <v>97088.349999999977</v>
      </c>
      <c r="K351" s="243"/>
    </row>
    <row r="352" spans="2:11" ht="17" customHeight="1">
      <c r="B352" s="253">
        <v>45709</v>
      </c>
      <c r="C352" s="254" t="s">
        <v>286</v>
      </c>
      <c r="D352" s="255" t="s">
        <v>520</v>
      </c>
      <c r="E352" s="256"/>
      <c r="F352" s="257">
        <v>500</v>
      </c>
      <c r="G352" s="258" t="s">
        <v>139</v>
      </c>
      <c r="H352" s="259"/>
      <c r="I352" s="541">
        <f t="shared" si="5"/>
        <v>96588.349999999977</v>
      </c>
      <c r="K352" s="243"/>
    </row>
    <row r="353" spans="2:11" ht="17" customHeight="1">
      <c r="B353" s="253">
        <v>45709</v>
      </c>
      <c r="C353" s="254" t="s">
        <v>117</v>
      </c>
      <c r="D353" s="255" t="s">
        <v>549</v>
      </c>
      <c r="E353" s="256"/>
      <c r="F353" s="257">
        <v>43.5</v>
      </c>
      <c r="G353" s="258" t="s">
        <v>256</v>
      </c>
      <c r="H353" s="259"/>
      <c r="I353" s="541">
        <f t="shared" si="5"/>
        <v>96544.849999999977</v>
      </c>
      <c r="K353" s="243"/>
    </row>
    <row r="354" spans="2:11" ht="17" customHeight="1">
      <c r="B354" s="253">
        <v>45709</v>
      </c>
      <c r="C354" s="263" t="s">
        <v>617</v>
      </c>
      <c r="D354" s="261" t="s">
        <v>545</v>
      </c>
      <c r="E354" s="256"/>
      <c r="F354" s="257">
        <v>22</v>
      </c>
      <c r="G354" s="258" t="s">
        <v>208</v>
      </c>
      <c r="H354" s="259"/>
      <c r="I354" s="541">
        <f t="shared" si="5"/>
        <v>96522.849999999977</v>
      </c>
      <c r="K354" s="243"/>
    </row>
    <row r="355" spans="2:11" ht="17" customHeight="1">
      <c r="B355" s="253">
        <v>45709</v>
      </c>
      <c r="C355" s="263" t="s">
        <v>117</v>
      </c>
      <c r="D355" s="255" t="s">
        <v>573</v>
      </c>
      <c r="E355" s="256"/>
      <c r="F355" s="257">
        <v>25</v>
      </c>
      <c r="G355" s="258" t="str">
        <f>IFERROR(VLOOKUP(D355,#REF!,2,FALSE),"_")</f>
        <v>_</v>
      </c>
      <c r="H355" s="259"/>
      <c r="I355" s="541">
        <f t="shared" si="5"/>
        <v>96497.849999999977</v>
      </c>
      <c r="K355" s="243"/>
    </row>
    <row r="356" spans="2:11" ht="17" customHeight="1">
      <c r="B356" s="253">
        <v>45709</v>
      </c>
      <c r="C356" s="263" t="s">
        <v>618</v>
      </c>
      <c r="D356" s="255" t="s">
        <v>512</v>
      </c>
      <c r="E356" s="256"/>
      <c r="F356" s="257">
        <f>46-1.77</f>
        <v>44.23</v>
      </c>
      <c r="G356" s="258" t="str">
        <f>IFERROR(VLOOKUP(D356,#REF!,2,FALSE),"_")</f>
        <v>_</v>
      </c>
      <c r="H356" s="259"/>
      <c r="I356" s="541">
        <f t="shared" si="5"/>
        <v>96453.619999999981</v>
      </c>
      <c r="K356" s="243"/>
    </row>
    <row r="357" spans="2:11" ht="17" customHeight="1">
      <c r="B357" s="253">
        <v>45709</v>
      </c>
      <c r="C357" s="263" t="s">
        <v>618</v>
      </c>
      <c r="D357" s="255" t="s">
        <v>512</v>
      </c>
      <c r="E357" s="256"/>
      <c r="F357" s="257">
        <v>1.77</v>
      </c>
      <c r="G357" s="258" t="str">
        <f>IFERROR(VLOOKUP(D357,#REF!,2,FALSE),"_")</f>
        <v>_</v>
      </c>
      <c r="H357" s="259"/>
      <c r="I357" s="541">
        <f t="shared" si="5"/>
        <v>96451.849999999977</v>
      </c>
      <c r="K357" s="243"/>
    </row>
    <row r="358" spans="2:11" ht="17" customHeight="1">
      <c r="B358" s="253">
        <v>45709</v>
      </c>
      <c r="C358" s="263" t="s">
        <v>283</v>
      </c>
      <c r="D358" s="255" t="s">
        <v>283</v>
      </c>
      <c r="E358" s="256">
        <v>200</v>
      </c>
      <c r="F358" s="257"/>
      <c r="G358" s="258" t="s">
        <v>190</v>
      </c>
      <c r="H358" s="259" t="s">
        <v>619</v>
      </c>
      <c r="I358" s="541">
        <f t="shared" si="5"/>
        <v>96651.849999999977</v>
      </c>
      <c r="K358" s="243"/>
    </row>
    <row r="359" spans="2:11" ht="17" customHeight="1">
      <c r="B359" s="253">
        <v>45709</v>
      </c>
      <c r="C359" s="263" t="s">
        <v>283</v>
      </c>
      <c r="D359" s="255" t="s">
        <v>283</v>
      </c>
      <c r="E359" s="256">
        <f>1049.6-E360</f>
        <v>879.58999999999992</v>
      </c>
      <c r="F359" s="257"/>
      <c r="G359" s="258" t="s">
        <v>190</v>
      </c>
      <c r="H359" s="259"/>
      <c r="I359" s="541">
        <f t="shared" si="5"/>
        <v>97531.439999999973</v>
      </c>
      <c r="K359" s="243"/>
    </row>
    <row r="360" spans="2:11" ht="17" customHeight="1">
      <c r="B360" s="253">
        <v>45709</v>
      </c>
      <c r="C360" s="263" t="s">
        <v>283</v>
      </c>
      <c r="D360" s="255" t="s">
        <v>508</v>
      </c>
      <c r="E360" s="256">
        <v>170.01</v>
      </c>
      <c r="F360" s="257"/>
      <c r="G360" s="258" t="s">
        <v>276</v>
      </c>
      <c r="H360" s="259"/>
      <c r="I360" s="541">
        <f t="shared" si="5"/>
        <v>97701.449999999968</v>
      </c>
      <c r="K360" s="243"/>
    </row>
    <row r="361" spans="2:11" ht="17" customHeight="1">
      <c r="B361" s="253">
        <v>45710</v>
      </c>
      <c r="C361" s="263" t="s">
        <v>117</v>
      </c>
      <c r="D361" s="255" t="s">
        <v>510</v>
      </c>
      <c r="E361" s="256"/>
      <c r="F361" s="257">
        <v>80</v>
      </c>
      <c r="G361" s="258" t="str">
        <f>IFERROR(VLOOKUP(D361,#REF!,2,FALSE),"_")</f>
        <v>_</v>
      </c>
      <c r="H361" s="259"/>
      <c r="I361" s="541">
        <f t="shared" si="5"/>
        <v>97621.449999999968</v>
      </c>
      <c r="K361" s="243"/>
    </row>
    <row r="362" spans="2:11" ht="17" customHeight="1">
      <c r="B362" s="253">
        <v>45710</v>
      </c>
      <c r="C362" s="263" t="s">
        <v>283</v>
      </c>
      <c r="D362" s="255" t="s">
        <v>283</v>
      </c>
      <c r="E362" s="256">
        <f>1875-E363</f>
        <v>1658.1100000000001</v>
      </c>
      <c r="F362" s="257"/>
      <c r="G362" s="258" t="s">
        <v>190</v>
      </c>
      <c r="H362" s="259"/>
      <c r="I362" s="541">
        <f t="shared" si="5"/>
        <v>99279.559999999969</v>
      </c>
      <c r="K362" s="243"/>
    </row>
    <row r="363" spans="2:11" ht="17" customHeight="1">
      <c r="B363" s="253">
        <v>45710</v>
      </c>
      <c r="C363" s="263" t="s">
        <v>283</v>
      </c>
      <c r="D363" s="255" t="s">
        <v>508</v>
      </c>
      <c r="E363" s="256">
        <v>216.89</v>
      </c>
      <c r="F363" s="257"/>
      <c r="G363" s="258" t="s">
        <v>276</v>
      </c>
      <c r="H363" s="259"/>
      <c r="I363" s="541">
        <f t="shared" si="5"/>
        <v>99496.449999999968</v>
      </c>
      <c r="K363" s="243"/>
    </row>
    <row r="364" spans="2:11" ht="17" customHeight="1">
      <c r="B364" s="253">
        <v>45711</v>
      </c>
      <c r="C364" s="263" t="s">
        <v>513</v>
      </c>
      <c r="D364" s="261" t="s">
        <v>576</v>
      </c>
      <c r="E364" s="256"/>
      <c r="F364" s="257">
        <v>80</v>
      </c>
      <c r="G364" s="258" t="str">
        <f>IFERROR(VLOOKUP(D364,#REF!,2,FALSE),"_")</f>
        <v>_</v>
      </c>
      <c r="H364" s="259"/>
      <c r="I364" s="541">
        <f t="shared" si="5"/>
        <v>99416.449999999968</v>
      </c>
      <c r="K364" s="243"/>
    </row>
    <row r="365" spans="2:11" ht="17" customHeight="1">
      <c r="B365" s="253">
        <v>45711</v>
      </c>
      <c r="C365" s="263" t="s">
        <v>117</v>
      </c>
      <c r="D365" s="255" t="s">
        <v>510</v>
      </c>
      <c r="E365" s="256"/>
      <c r="F365" s="257">
        <v>100</v>
      </c>
      <c r="G365" s="258" t="str">
        <f>IFERROR(VLOOKUP(D365,#REF!,2,FALSE),"_")</f>
        <v>_</v>
      </c>
      <c r="H365" s="259"/>
      <c r="I365" s="541">
        <f t="shared" si="5"/>
        <v>99316.449999999968</v>
      </c>
      <c r="K365" s="243"/>
    </row>
    <row r="366" spans="2:11" ht="17" customHeight="1">
      <c r="B366" s="253">
        <v>45711</v>
      </c>
      <c r="C366" s="263" t="s">
        <v>283</v>
      </c>
      <c r="D366" s="255" t="s">
        <v>283</v>
      </c>
      <c r="E366" s="256">
        <f>1875-E367</f>
        <v>1658.1100000000001</v>
      </c>
      <c r="F366" s="257"/>
      <c r="G366" s="258" t="s">
        <v>190</v>
      </c>
      <c r="H366" s="259"/>
      <c r="I366" s="541">
        <f t="shared" si="5"/>
        <v>100974.55999999997</v>
      </c>
      <c r="K366" s="243"/>
    </row>
    <row r="367" spans="2:11" ht="17" customHeight="1">
      <c r="B367" s="253">
        <v>45711</v>
      </c>
      <c r="C367" s="263" t="s">
        <v>283</v>
      </c>
      <c r="D367" s="255" t="s">
        <v>508</v>
      </c>
      <c r="E367" s="256">
        <v>216.89</v>
      </c>
      <c r="F367" s="257"/>
      <c r="G367" s="258" t="s">
        <v>276</v>
      </c>
      <c r="H367" s="259"/>
      <c r="I367" s="541">
        <f t="shared" si="5"/>
        <v>101191.44999999997</v>
      </c>
      <c r="K367" s="243"/>
    </row>
    <row r="368" spans="2:11" ht="17" customHeight="1">
      <c r="B368" s="253">
        <v>45713</v>
      </c>
      <c r="C368" s="263" t="s">
        <v>117</v>
      </c>
      <c r="D368" s="261" t="s">
        <v>394</v>
      </c>
      <c r="E368" s="256"/>
      <c r="F368" s="257">
        <v>231.5</v>
      </c>
      <c r="G368" s="258" t="s">
        <v>199</v>
      </c>
      <c r="H368" s="259"/>
      <c r="I368" s="541">
        <f t="shared" si="5"/>
        <v>100959.94999999997</v>
      </c>
      <c r="K368" s="243"/>
    </row>
    <row r="369" spans="2:11" ht="17" customHeight="1">
      <c r="B369" s="253">
        <v>45713</v>
      </c>
      <c r="C369" s="263" t="s">
        <v>117</v>
      </c>
      <c r="D369" s="255" t="s">
        <v>620</v>
      </c>
      <c r="E369" s="256"/>
      <c r="F369" s="257">
        <v>20</v>
      </c>
      <c r="G369" s="258" t="s">
        <v>216</v>
      </c>
      <c r="H369" s="259"/>
      <c r="I369" s="541">
        <f t="shared" si="5"/>
        <v>100939.94999999997</v>
      </c>
      <c r="K369" s="243"/>
    </row>
    <row r="370" spans="2:11" ht="17" customHeight="1">
      <c r="B370" s="253">
        <v>45713</v>
      </c>
      <c r="C370" s="263" t="s">
        <v>286</v>
      </c>
      <c r="D370" s="255" t="s">
        <v>520</v>
      </c>
      <c r="E370" s="256"/>
      <c r="F370" s="257">
        <v>35</v>
      </c>
      <c r="G370" s="258" t="str">
        <f>IFERROR(VLOOKUP(D370,#REF!,2,FALSE),"_")</f>
        <v>_</v>
      </c>
      <c r="H370" s="259"/>
      <c r="I370" s="541">
        <f t="shared" si="5"/>
        <v>100904.94999999997</v>
      </c>
      <c r="K370" s="243"/>
    </row>
    <row r="371" spans="2:11" ht="17" customHeight="1">
      <c r="B371" s="253">
        <v>45713</v>
      </c>
      <c r="C371" s="263" t="s">
        <v>513</v>
      </c>
      <c r="D371" s="255" t="s">
        <v>563</v>
      </c>
      <c r="E371" s="256"/>
      <c r="F371" s="257">
        <v>110</v>
      </c>
      <c r="G371" s="258" t="str">
        <f>IFERROR(VLOOKUP(D371,#REF!,2,FALSE),"_")</f>
        <v>_</v>
      </c>
      <c r="H371" s="259"/>
      <c r="I371" s="541">
        <f t="shared" si="5"/>
        <v>100794.94999999997</v>
      </c>
      <c r="K371" s="243"/>
    </row>
    <row r="372" spans="2:11" ht="17" customHeight="1">
      <c r="B372" s="253">
        <v>45713</v>
      </c>
      <c r="C372" s="263" t="s">
        <v>283</v>
      </c>
      <c r="D372" s="255" t="s">
        <v>283</v>
      </c>
      <c r="E372" s="256">
        <f>496-E373</f>
        <v>433.79</v>
      </c>
      <c r="F372" s="257"/>
      <c r="G372" s="258" t="s">
        <v>190</v>
      </c>
      <c r="H372" s="259"/>
      <c r="I372" s="541">
        <f t="shared" si="5"/>
        <v>101228.73999999996</v>
      </c>
      <c r="K372" s="243"/>
    </row>
    <row r="373" spans="2:11" ht="17" customHeight="1">
      <c r="B373" s="253">
        <v>45713</v>
      </c>
      <c r="C373" s="263" t="s">
        <v>283</v>
      </c>
      <c r="D373" s="255" t="s">
        <v>508</v>
      </c>
      <c r="E373" s="256">
        <v>62.21</v>
      </c>
      <c r="F373" s="257"/>
      <c r="G373" s="258" t="s">
        <v>276</v>
      </c>
      <c r="H373" s="259"/>
      <c r="I373" s="541">
        <f t="shared" si="5"/>
        <v>101290.94999999997</v>
      </c>
      <c r="K373" s="243"/>
    </row>
    <row r="374" spans="2:11" ht="17" customHeight="1">
      <c r="B374" s="253">
        <v>45714</v>
      </c>
      <c r="C374" s="263" t="s">
        <v>117</v>
      </c>
      <c r="D374" s="255" t="s">
        <v>564</v>
      </c>
      <c r="E374" s="256"/>
      <c r="F374" s="257">
        <v>35</v>
      </c>
      <c r="G374" s="258" t="str">
        <f>IFERROR(VLOOKUP(D374,#REF!,2,FALSE),"_")</f>
        <v>_</v>
      </c>
      <c r="H374" s="259"/>
      <c r="I374" s="541">
        <f t="shared" si="5"/>
        <v>101255.94999999997</v>
      </c>
      <c r="K374" s="243"/>
    </row>
    <row r="375" spans="2:11" ht="17" customHeight="1">
      <c r="B375" s="253">
        <v>45714</v>
      </c>
      <c r="C375" s="263" t="s">
        <v>621</v>
      </c>
      <c r="D375" s="255" t="s">
        <v>622</v>
      </c>
      <c r="E375" s="256"/>
      <c r="F375" s="257">
        <f>325-F376</f>
        <v>266.44</v>
      </c>
      <c r="G375" s="258" t="s">
        <v>194</v>
      </c>
      <c r="H375" s="259"/>
      <c r="I375" s="541">
        <f t="shared" si="5"/>
        <v>100989.50999999997</v>
      </c>
      <c r="K375" s="243"/>
    </row>
    <row r="376" spans="2:11" ht="17" customHeight="1">
      <c r="B376" s="253">
        <v>45714</v>
      </c>
      <c r="C376" s="263" t="s">
        <v>621</v>
      </c>
      <c r="D376" s="255" t="s">
        <v>622</v>
      </c>
      <c r="E376" s="256"/>
      <c r="F376" s="257">
        <v>58.56</v>
      </c>
      <c r="G376" s="258" t="s">
        <v>274</v>
      </c>
      <c r="H376" s="259"/>
      <c r="I376" s="541">
        <f t="shared" si="5"/>
        <v>100930.94999999997</v>
      </c>
      <c r="K376" s="243"/>
    </row>
    <row r="377" spans="2:11" ht="17" customHeight="1">
      <c r="B377" s="253">
        <v>45714</v>
      </c>
      <c r="C377" s="263" t="s">
        <v>283</v>
      </c>
      <c r="D377" s="255" t="s">
        <v>283</v>
      </c>
      <c r="E377" s="256">
        <f>405.3-E378</f>
        <v>364.42</v>
      </c>
      <c r="F377" s="257"/>
      <c r="G377" s="258" t="s">
        <v>190</v>
      </c>
      <c r="H377" s="259"/>
      <c r="I377" s="541">
        <f t="shared" si="5"/>
        <v>101295.36999999997</v>
      </c>
      <c r="K377" s="243"/>
    </row>
    <row r="378" spans="2:11" ht="17" customHeight="1">
      <c r="B378" s="253">
        <v>45714</v>
      </c>
      <c r="C378" s="263" t="s">
        <v>283</v>
      </c>
      <c r="D378" s="255" t="s">
        <v>508</v>
      </c>
      <c r="E378" s="256">
        <v>40.880000000000003</v>
      </c>
      <c r="F378" s="257"/>
      <c r="G378" s="258" t="s">
        <v>276</v>
      </c>
      <c r="H378" s="259"/>
      <c r="I378" s="541">
        <f t="shared" si="5"/>
        <v>101336.24999999997</v>
      </c>
      <c r="K378" s="243"/>
    </row>
    <row r="379" spans="2:11" ht="17" customHeight="1">
      <c r="B379" s="253">
        <v>45715</v>
      </c>
      <c r="C379" s="263" t="s">
        <v>541</v>
      </c>
      <c r="D379" s="261" t="s">
        <v>542</v>
      </c>
      <c r="E379" s="256"/>
      <c r="F379" s="257">
        <v>3000</v>
      </c>
      <c r="G379" s="258" t="s">
        <v>277</v>
      </c>
      <c r="H379" s="540" t="s">
        <v>502</v>
      </c>
      <c r="I379" s="541">
        <f t="shared" si="5"/>
        <v>98336.249999999971</v>
      </c>
      <c r="K379" s="243"/>
    </row>
    <row r="380" spans="2:11" ht="17" customHeight="1">
      <c r="B380" s="253">
        <v>45715</v>
      </c>
      <c r="C380" s="263" t="s">
        <v>117</v>
      </c>
      <c r="D380" s="255" t="s">
        <v>549</v>
      </c>
      <c r="E380" s="256"/>
      <c r="F380" s="257">
        <v>14.5</v>
      </c>
      <c r="G380" s="258" t="str">
        <f>IFERROR(VLOOKUP(D380,#REF!,2,FALSE),"_")</f>
        <v>_</v>
      </c>
      <c r="H380" s="259"/>
      <c r="I380" s="541">
        <f t="shared" si="5"/>
        <v>98321.749999999971</v>
      </c>
      <c r="K380" s="243"/>
    </row>
    <row r="381" spans="2:11" ht="17" customHeight="1">
      <c r="B381" s="253">
        <v>45715</v>
      </c>
      <c r="C381" s="263" t="s">
        <v>283</v>
      </c>
      <c r="D381" s="255" t="s">
        <v>283</v>
      </c>
      <c r="E381" s="256">
        <f>457.5-E382</f>
        <v>392.45</v>
      </c>
      <c r="F381" s="257"/>
      <c r="G381" s="258" t="s">
        <v>190</v>
      </c>
      <c r="H381" s="259"/>
      <c r="I381" s="541">
        <f t="shared" si="5"/>
        <v>98714.199999999968</v>
      </c>
      <c r="K381" s="243"/>
    </row>
    <row r="382" spans="2:11" ht="17" customHeight="1">
      <c r="B382" s="253">
        <v>45715</v>
      </c>
      <c r="C382" s="263" t="s">
        <v>283</v>
      </c>
      <c r="D382" s="255" t="s">
        <v>508</v>
      </c>
      <c r="E382" s="256">
        <v>65.05</v>
      </c>
      <c r="F382" s="257"/>
      <c r="G382" s="258" t="s">
        <v>276</v>
      </c>
      <c r="H382" s="259"/>
      <c r="I382" s="541">
        <f t="shared" si="5"/>
        <v>98779.249999999971</v>
      </c>
      <c r="K382" s="243"/>
    </row>
    <row r="383" spans="2:11" ht="17" customHeight="1">
      <c r="B383" s="253">
        <v>45716</v>
      </c>
      <c r="C383" s="254" t="s">
        <v>117</v>
      </c>
      <c r="D383" s="255" t="s">
        <v>306</v>
      </c>
      <c r="E383" s="256"/>
      <c r="F383" s="257">
        <v>59.85</v>
      </c>
      <c r="G383" s="258" t="s">
        <v>194</v>
      </c>
      <c r="H383" s="259"/>
      <c r="I383" s="541">
        <f t="shared" si="5"/>
        <v>98719.399999999965</v>
      </c>
      <c r="K383" s="243"/>
    </row>
    <row r="384" spans="2:11" ht="17" customHeight="1">
      <c r="B384" s="253">
        <v>45716</v>
      </c>
      <c r="C384" s="263" t="s">
        <v>117</v>
      </c>
      <c r="D384" s="261" t="s">
        <v>306</v>
      </c>
      <c r="E384" s="256"/>
      <c r="F384" s="257">
        <v>2.8</v>
      </c>
      <c r="G384" s="258" t="s">
        <v>194</v>
      </c>
      <c r="H384" s="259"/>
      <c r="I384" s="541">
        <f t="shared" si="5"/>
        <v>98716.599999999962</v>
      </c>
      <c r="K384" s="243"/>
    </row>
    <row r="385" spans="2:11" ht="17" customHeight="1">
      <c r="B385" s="253">
        <v>45716</v>
      </c>
      <c r="C385" s="263" t="s">
        <v>117</v>
      </c>
      <c r="D385" s="261" t="s">
        <v>306</v>
      </c>
      <c r="E385" s="256"/>
      <c r="F385" s="257">
        <v>381.8</v>
      </c>
      <c r="G385" s="258" t="s">
        <v>194</v>
      </c>
      <c r="H385" s="259"/>
      <c r="I385" s="541">
        <f t="shared" si="5"/>
        <v>98334.799999999959</v>
      </c>
      <c r="K385" s="243"/>
    </row>
    <row r="386" spans="2:11" ht="17" customHeight="1">
      <c r="B386" s="253">
        <v>45716</v>
      </c>
      <c r="C386" s="263" t="s">
        <v>117</v>
      </c>
      <c r="D386" s="261" t="s">
        <v>306</v>
      </c>
      <c r="E386" s="256"/>
      <c r="F386" s="257">
        <v>200.75</v>
      </c>
      <c r="G386" s="258" t="s">
        <v>194</v>
      </c>
      <c r="H386" s="259"/>
      <c r="I386" s="541">
        <f t="shared" si="5"/>
        <v>98134.049999999959</v>
      </c>
      <c r="K386" s="243"/>
    </row>
    <row r="387" spans="2:11" ht="17" customHeight="1">
      <c r="B387" s="253">
        <v>45716</v>
      </c>
      <c r="C387" s="263" t="s">
        <v>117</v>
      </c>
      <c r="D387" s="255" t="s">
        <v>623</v>
      </c>
      <c r="E387" s="256"/>
      <c r="F387" s="257">
        <v>29.49</v>
      </c>
      <c r="G387" s="258" t="s">
        <v>202</v>
      </c>
      <c r="H387" s="259"/>
      <c r="I387" s="541">
        <f t="shared" si="5"/>
        <v>98104.559999999954</v>
      </c>
      <c r="K387" s="243"/>
    </row>
    <row r="388" spans="2:11" ht="17" customHeight="1">
      <c r="B388" s="253">
        <v>45716</v>
      </c>
      <c r="C388" s="263" t="s">
        <v>624</v>
      </c>
      <c r="D388" s="255" t="s">
        <v>512</v>
      </c>
      <c r="E388" s="256"/>
      <c r="F388" s="257">
        <f>34.25-1.32</f>
        <v>32.93</v>
      </c>
      <c r="G388" s="258" t="str">
        <f>IFERROR(VLOOKUP(D388,#REF!,2,FALSE),"_")</f>
        <v>_</v>
      </c>
      <c r="H388" s="259"/>
      <c r="I388" s="541">
        <f t="shared" si="5"/>
        <v>98071.629999999961</v>
      </c>
      <c r="K388" s="243"/>
    </row>
    <row r="389" spans="2:11" ht="17" customHeight="1">
      <c r="B389" s="253">
        <v>45716</v>
      </c>
      <c r="C389" s="263" t="s">
        <v>624</v>
      </c>
      <c r="D389" s="255" t="s">
        <v>512</v>
      </c>
      <c r="E389" s="256"/>
      <c r="F389" s="257">
        <v>1.32</v>
      </c>
      <c r="G389" s="258" t="s">
        <v>274</v>
      </c>
      <c r="H389" s="259"/>
      <c r="I389" s="541">
        <f t="shared" si="5"/>
        <v>98070.309999999954</v>
      </c>
      <c r="K389" s="243"/>
    </row>
    <row r="390" spans="2:11" ht="17" customHeight="1">
      <c r="B390" s="253">
        <v>45716</v>
      </c>
      <c r="C390" s="263" t="s">
        <v>117</v>
      </c>
      <c r="D390" s="255" t="s">
        <v>622</v>
      </c>
      <c r="E390" s="256"/>
      <c r="F390" s="257">
        <v>60</v>
      </c>
      <c r="G390" s="258" t="s">
        <v>194</v>
      </c>
      <c r="H390" s="259"/>
      <c r="I390" s="541">
        <f t="shared" si="5"/>
        <v>98010.309999999954</v>
      </c>
      <c r="K390" s="243"/>
    </row>
    <row r="391" spans="2:11" ht="17" customHeight="1">
      <c r="B391" s="253">
        <v>45716</v>
      </c>
      <c r="C391" s="263" t="s">
        <v>283</v>
      </c>
      <c r="D391" s="255" t="s">
        <v>283</v>
      </c>
      <c r="E391" s="256">
        <f>1296.05-E392</f>
        <v>1093.79</v>
      </c>
      <c r="F391" s="257"/>
      <c r="G391" s="258" t="s">
        <v>190</v>
      </c>
      <c r="H391" s="259"/>
      <c r="I391" s="541">
        <f t="shared" si="5"/>
        <v>99104.099999999948</v>
      </c>
      <c r="K391" s="243"/>
    </row>
    <row r="392" spans="2:11" ht="17" customHeight="1">
      <c r="B392" s="253">
        <v>45716</v>
      </c>
      <c r="C392" s="263" t="s">
        <v>283</v>
      </c>
      <c r="D392" s="255" t="s">
        <v>508</v>
      </c>
      <c r="E392" s="256">
        <v>202.26</v>
      </c>
      <c r="F392" s="257"/>
      <c r="G392" s="258" t="s">
        <v>276</v>
      </c>
      <c r="H392" s="259"/>
      <c r="I392" s="541">
        <f t="shared" si="5"/>
        <v>99306.359999999942</v>
      </c>
      <c r="K392" s="243"/>
    </row>
    <row r="393" spans="2:11" ht="17" customHeight="1">
      <c r="B393" s="253">
        <v>45717</v>
      </c>
      <c r="C393" s="263" t="s">
        <v>625</v>
      </c>
      <c r="D393" s="261" t="s">
        <v>349</v>
      </c>
      <c r="E393" s="256"/>
      <c r="F393" s="257">
        <v>1107.9000000000001</v>
      </c>
      <c r="G393" s="258" t="s">
        <v>199</v>
      </c>
      <c r="H393" s="259"/>
      <c r="I393" s="541">
        <f t="shared" ref="I393:I456" si="6">I392+E393-F393</f>
        <v>98198.459999999948</v>
      </c>
      <c r="K393" s="243"/>
    </row>
    <row r="394" spans="2:11" ht="17" customHeight="1">
      <c r="B394" s="253">
        <v>45717</v>
      </c>
      <c r="C394" s="263" t="s">
        <v>117</v>
      </c>
      <c r="D394" s="261" t="s">
        <v>510</v>
      </c>
      <c r="E394" s="256"/>
      <c r="F394" s="257">
        <v>80</v>
      </c>
      <c r="G394" s="258" t="str">
        <f>IFERROR(VLOOKUP(D394,#REF!,2,FALSE),"_")</f>
        <v>_</v>
      </c>
      <c r="H394" s="259"/>
      <c r="I394" s="541">
        <f t="shared" si="6"/>
        <v>98118.459999999948</v>
      </c>
      <c r="K394" s="243"/>
    </row>
    <row r="395" spans="2:11" ht="17" customHeight="1">
      <c r="B395" s="253">
        <v>45717</v>
      </c>
      <c r="C395" s="263" t="s">
        <v>513</v>
      </c>
      <c r="D395" s="255" t="s">
        <v>534</v>
      </c>
      <c r="E395" s="256"/>
      <c r="F395" s="257">
        <v>36</v>
      </c>
      <c r="G395" s="258" t="s">
        <v>245</v>
      </c>
      <c r="H395" s="259"/>
      <c r="I395" s="541">
        <f t="shared" si="6"/>
        <v>98082.459999999948</v>
      </c>
      <c r="K395" s="243"/>
    </row>
    <row r="396" spans="2:11" ht="17" customHeight="1">
      <c r="B396" s="253">
        <v>45717</v>
      </c>
      <c r="C396" s="263" t="s">
        <v>513</v>
      </c>
      <c r="D396" s="255" t="s">
        <v>534</v>
      </c>
      <c r="E396" s="256"/>
      <c r="F396" s="257">
        <v>13.64</v>
      </c>
      <c r="G396" s="258" t="s">
        <v>250</v>
      </c>
      <c r="H396" s="259"/>
      <c r="I396" s="541">
        <f t="shared" si="6"/>
        <v>98068.819999999949</v>
      </c>
      <c r="K396" s="243"/>
    </row>
    <row r="397" spans="2:11" ht="17" customHeight="1">
      <c r="B397" s="253">
        <v>45717</v>
      </c>
      <c r="C397" s="263" t="s">
        <v>513</v>
      </c>
      <c r="D397" s="255" t="s">
        <v>535</v>
      </c>
      <c r="E397" s="256">
        <v>36</v>
      </c>
      <c r="F397" s="257"/>
      <c r="G397" s="258"/>
      <c r="H397" s="259" t="s">
        <v>536</v>
      </c>
      <c r="I397" s="541">
        <f t="shared" si="6"/>
        <v>98104.819999999949</v>
      </c>
      <c r="K397" s="243"/>
    </row>
    <row r="398" spans="2:11" ht="17" customHeight="1">
      <c r="B398" s="253">
        <v>45717</v>
      </c>
      <c r="C398" s="263" t="s">
        <v>513</v>
      </c>
      <c r="D398" s="255" t="s">
        <v>535</v>
      </c>
      <c r="E398" s="256">
        <v>13.64</v>
      </c>
      <c r="F398" s="257"/>
      <c r="G398" s="258"/>
      <c r="H398" s="259" t="s">
        <v>536</v>
      </c>
      <c r="I398" s="541">
        <f t="shared" si="6"/>
        <v>98118.459999999948</v>
      </c>
      <c r="K398" s="243"/>
    </row>
    <row r="399" spans="2:11" ht="17" customHeight="1">
      <c r="B399" s="253">
        <v>45717</v>
      </c>
      <c r="C399" s="263" t="s">
        <v>283</v>
      </c>
      <c r="D399" s="255" t="s">
        <v>283</v>
      </c>
      <c r="E399" s="256">
        <f>2059.6-E400</f>
        <v>1655.11</v>
      </c>
      <c r="F399" s="257"/>
      <c r="G399" s="258" t="s">
        <v>190</v>
      </c>
      <c r="H399" s="259"/>
      <c r="I399" s="541">
        <f t="shared" si="6"/>
        <v>99773.569999999949</v>
      </c>
      <c r="K399" s="243"/>
    </row>
    <row r="400" spans="2:11" ht="17" customHeight="1">
      <c r="B400" s="253">
        <v>45717</v>
      </c>
      <c r="C400" s="263" t="s">
        <v>283</v>
      </c>
      <c r="D400" s="255" t="s">
        <v>508</v>
      </c>
      <c r="E400" s="256">
        <v>404.49</v>
      </c>
      <c r="F400" s="257"/>
      <c r="G400" s="258" t="s">
        <v>276</v>
      </c>
      <c r="H400" s="259"/>
      <c r="I400" s="541">
        <f t="shared" si="6"/>
        <v>100178.05999999995</v>
      </c>
      <c r="K400" s="243"/>
    </row>
    <row r="401" spans="2:11" ht="17" customHeight="1">
      <c r="B401" s="253">
        <v>45718</v>
      </c>
      <c r="C401" s="263" t="s">
        <v>626</v>
      </c>
      <c r="D401" s="255" t="s">
        <v>545</v>
      </c>
      <c r="E401" s="256"/>
      <c r="F401" s="257">
        <v>110</v>
      </c>
      <c r="G401" s="258" t="str">
        <f>IFERROR(VLOOKUP(D401,#REF!,2,FALSE),"_")</f>
        <v>_</v>
      </c>
      <c r="H401" s="259"/>
      <c r="I401" s="541">
        <f t="shared" si="6"/>
        <v>100068.05999999995</v>
      </c>
      <c r="K401" s="243"/>
    </row>
    <row r="402" spans="2:11" ht="17" customHeight="1">
      <c r="B402" s="253">
        <v>45718</v>
      </c>
      <c r="C402" s="263" t="s">
        <v>117</v>
      </c>
      <c r="D402" s="255" t="s">
        <v>519</v>
      </c>
      <c r="E402" s="256"/>
      <c r="F402" s="257">
        <v>20</v>
      </c>
      <c r="G402" s="258" t="s">
        <v>207</v>
      </c>
      <c r="H402" s="259"/>
      <c r="I402" s="541">
        <f t="shared" si="6"/>
        <v>100048.05999999995</v>
      </c>
      <c r="K402" s="243"/>
    </row>
    <row r="403" spans="2:11" ht="17" customHeight="1">
      <c r="B403" s="253">
        <v>45718</v>
      </c>
      <c r="C403" s="263" t="s">
        <v>117</v>
      </c>
      <c r="D403" s="255" t="s">
        <v>306</v>
      </c>
      <c r="E403" s="256"/>
      <c r="F403" s="257">
        <v>90</v>
      </c>
      <c r="G403" s="258" t="str">
        <f>IFERROR(VLOOKUP(D403,#REF!,2,FALSE),"_")</f>
        <v>_</v>
      </c>
      <c r="H403" s="259"/>
      <c r="I403" s="541">
        <f t="shared" si="6"/>
        <v>99958.059999999954</v>
      </c>
      <c r="K403" s="243"/>
    </row>
    <row r="404" spans="2:11" ht="17" customHeight="1">
      <c r="B404" s="253">
        <v>45718</v>
      </c>
      <c r="C404" s="263" t="s">
        <v>117</v>
      </c>
      <c r="D404" s="255" t="s">
        <v>530</v>
      </c>
      <c r="E404" s="256"/>
      <c r="F404" s="257">
        <v>300</v>
      </c>
      <c r="G404" s="258" t="s">
        <v>229</v>
      </c>
      <c r="H404" s="259"/>
      <c r="I404" s="541">
        <f t="shared" si="6"/>
        <v>99658.059999999954</v>
      </c>
      <c r="K404" s="243"/>
    </row>
    <row r="405" spans="2:11" ht="17" customHeight="1">
      <c r="B405" s="253">
        <v>45718</v>
      </c>
      <c r="C405" s="263" t="s">
        <v>117</v>
      </c>
      <c r="D405" s="255" t="s">
        <v>526</v>
      </c>
      <c r="E405" s="256"/>
      <c r="F405" s="257">
        <v>50</v>
      </c>
      <c r="G405" s="258" t="s">
        <v>229</v>
      </c>
      <c r="H405" s="259"/>
      <c r="I405" s="541">
        <f t="shared" si="6"/>
        <v>99608.059999999954</v>
      </c>
      <c r="K405" s="243"/>
    </row>
    <row r="406" spans="2:11" ht="17" customHeight="1">
      <c r="B406" s="253">
        <v>45718</v>
      </c>
      <c r="C406" s="263" t="s">
        <v>117</v>
      </c>
      <c r="D406" s="255" t="s">
        <v>526</v>
      </c>
      <c r="E406" s="256"/>
      <c r="F406" s="257">
        <v>165</v>
      </c>
      <c r="G406" s="258" t="s">
        <v>229</v>
      </c>
      <c r="H406" s="259"/>
      <c r="I406" s="541">
        <f t="shared" si="6"/>
        <v>99443.059999999954</v>
      </c>
      <c r="K406" s="243"/>
    </row>
    <row r="407" spans="2:11" ht="17" customHeight="1">
      <c r="B407" s="253">
        <v>45718</v>
      </c>
      <c r="C407" s="263" t="s">
        <v>117</v>
      </c>
      <c r="D407" s="261" t="s">
        <v>525</v>
      </c>
      <c r="E407" s="256"/>
      <c r="F407" s="257">
        <v>100</v>
      </c>
      <c r="G407" s="258" t="s">
        <v>229</v>
      </c>
      <c r="H407" s="259"/>
      <c r="I407" s="541">
        <f t="shared" si="6"/>
        <v>99343.059999999954</v>
      </c>
      <c r="K407" s="243"/>
    </row>
    <row r="408" spans="2:11" ht="17" customHeight="1">
      <c r="B408" s="253">
        <v>45718</v>
      </c>
      <c r="C408" s="263" t="s">
        <v>117</v>
      </c>
      <c r="D408" s="261" t="s">
        <v>531</v>
      </c>
      <c r="E408" s="256"/>
      <c r="F408" s="257">
        <v>50</v>
      </c>
      <c r="G408" s="258" t="s">
        <v>229</v>
      </c>
      <c r="H408" s="259"/>
      <c r="I408" s="541">
        <f t="shared" si="6"/>
        <v>99293.059999999954</v>
      </c>
      <c r="K408" s="243"/>
    </row>
    <row r="409" spans="2:11" ht="17" customHeight="1">
      <c r="B409" s="253">
        <v>45718</v>
      </c>
      <c r="C409" s="263" t="s">
        <v>117</v>
      </c>
      <c r="D409" s="255" t="s">
        <v>566</v>
      </c>
      <c r="E409" s="256"/>
      <c r="F409" s="257">
        <v>80</v>
      </c>
      <c r="G409" s="258" t="s">
        <v>229</v>
      </c>
      <c r="H409" s="259"/>
      <c r="I409" s="541">
        <f t="shared" si="6"/>
        <v>99213.059999999954</v>
      </c>
      <c r="K409" s="243"/>
    </row>
    <row r="410" spans="2:11" ht="17" customHeight="1">
      <c r="B410" s="253">
        <v>45718</v>
      </c>
      <c r="C410" s="263" t="s">
        <v>117</v>
      </c>
      <c r="D410" s="255" t="s">
        <v>529</v>
      </c>
      <c r="E410" s="256"/>
      <c r="F410" s="257">
        <v>70</v>
      </c>
      <c r="G410" s="258" t="s">
        <v>233</v>
      </c>
      <c r="H410" s="259"/>
      <c r="I410" s="541">
        <f t="shared" si="6"/>
        <v>99143.059999999954</v>
      </c>
      <c r="K410" s="243"/>
    </row>
    <row r="411" spans="2:11" ht="17" customHeight="1">
      <c r="B411" s="253">
        <v>45718</v>
      </c>
      <c r="C411" s="263" t="s">
        <v>117</v>
      </c>
      <c r="D411" s="261" t="s">
        <v>532</v>
      </c>
      <c r="E411" s="256"/>
      <c r="F411" s="257">
        <v>500</v>
      </c>
      <c r="G411" s="258" t="s">
        <v>231</v>
      </c>
      <c r="H411" s="259"/>
      <c r="I411" s="541">
        <f t="shared" si="6"/>
        <v>98643.059999999954</v>
      </c>
      <c r="K411" s="243"/>
    </row>
    <row r="412" spans="2:11" ht="17" customHeight="1">
      <c r="B412" s="253">
        <v>45718</v>
      </c>
      <c r="C412" s="263" t="s">
        <v>117</v>
      </c>
      <c r="D412" s="255" t="s">
        <v>627</v>
      </c>
      <c r="E412" s="256"/>
      <c r="F412" s="257">
        <v>350</v>
      </c>
      <c r="G412" s="258" t="s">
        <v>230</v>
      </c>
      <c r="H412" s="259"/>
      <c r="I412" s="541">
        <f t="shared" si="6"/>
        <v>98293.059999999954</v>
      </c>
      <c r="K412" s="243"/>
    </row>
    <row r="413" spans="2:11" ht="17" customHeight="1">
      <c r="B413" s="253">
        <v>45718</v>
      </c>
      <c r="C413" s="263" t="s">
        <v>117</v>
      </c>
      <c r="D413" s="255" t="s">
        <v>628</v>
      </c>
      <c r="E413" s="256"/>
      <c r="F413" s="257">
        <v>300</v>
      </c>
      <c r="G413" s="258" t="s">
        <v>230</v>
      </c>
      <c r="H413" s="259"/>
      <c r="I413" s="541">
        <f t="shared" si="6"/>
        <v>97993.059999999954</v>
      </c>
      <c r="K413" s="243"/>
    </row>
    <row r="414" spans="2:11" ht="17" customHeight="1">
      <c r="B414" s="253">
        <v>45718</v>
      </c>
      <c r="C414" s="263" t="s">
        <v>117</v>
      </c>
      <c r="D414" s="255" t="s">
        <v>524</v>
      </c>
      <c r="E414" s="256"/>
      <c r="F414" s="257">
        <v>50</v>
      </c>
      <c r="G414" s="258" t="s">
        <v>227</v>
      </c>
      <c r="H414" s="259"/>
      <c r="I414" s="541">
        <f t="shared" si="6"/>
        <v>97943.059999999954</v>
      </c>
      <c r="K414" s="243"/>
    </row>
    <row r="415" spans="2:11" ht="17" customHeight="1">
      <c r="B415" s="253">
        <v>45718</v>
      </c>
      <c r="C415" s="263" t="s">
        <v>117</v>
      </c>
      <c r="D415" s="261" t="s">
        <v>629</v>
      </c>
      <c r="E415" s="256"/>
      <c r="F415" s="257">
        <v>80</v>
      </c>
      <c r="G415" s="258" t="s">
        <v>233</v>
      </c>
      <c r="H415" s="259"/>
      <c r="I415" s="541">
        <f t="shared" si="6"/>
        <v>97863.059999999954</v>
      </c>
      <c r="K415" s="243"/>
    </row>
    <row r="416" spans="2:11" ht="17" customHeight="1">
      <c r="B416" s="253">
        <v>45718</v>
      </c>
      <c r="C416" s="263" t="s">
        <v>117</v>
      </c>
      <c r="D416" s="255" t="s">
        <v>527</v>
      </c>
      <c r="E416" s="256"/>
      <c r="F416" s="257">
        <v>110</v>
      </c>
      <c r="G416" s="258" t="s">
        <v>233</v>
      </c>
      <c r="H416" s="259"/>
      <c r="I416" s="541">
        <f t="shared" si="6"/>
        <v>97753.059999999954</v>
      </c>
      <c r="K416" s="243"/>
    </row>
    <row r="417" spans="2:11" ht="17" customHeight="1">
      <c r="B417" s="253">
        <v>45718</v>
      </c>
      <c r="C417" s="263" t="s">
        <v>117</v>
      </c>
      <c r="D417" s="255" t="s">
        <v>528</v>
      </c>
      <c r="E417" s="256"/>
      <c r="F417" s="257">
        <v>150</v>
      </c>
      <c r="G417" s="258" t="s">
        <v>233</v>
      </c>
      <c r="H417" s="259"/>
      <c r="I417" s="541">
        <f t="shared" si="6"/>
        <v>97603.059999999954</v>
      </c>
      <c r="K417" s="243"/>
    </row>
    <row r="418" spans="2:11" ht="17" customHeight="1">
      <c r="B418" s="253">
        <v>45718</v>
      </c>
      <c r="C418" s="263" t="s">
        <v>513</v>
      </c>
      <c r="D418" s="255" t="s">
        <v>567</v>
      </c>
      <c r="E418" s="256"/>
      <c r="F418" s="257">
        <v>95</v>
      </c>
      <c r="G418" s="258" t="s">
        <v>227</v>
      </c>
      <c r="H418" s="259"/>
      <c r="I418" s="541">
        <f t="shared" si="6"/>
        <v>97508.059999999954</v>
      </c>
      <c r="K418" s="243"/>
    </row>
    <row r="419" spans="2:11" ht="17" customHeight="1">
      <c r="B419" s="253">
        <v>45718</v>
      </c>
      <c r="C419" s="263" t="s">
        <v>513</v>
      </c>
      <c r="D419" s="255" t="s">
        <v>567</v>
      </c>
      <c r="E419" s="256"/>
      <c r="F419" s="257">
        <v>36</v>
      </c>
      <c r="G419" s="258" t="s">
        <v>245</v>
      </c>
      <c r="H419" s="259"/>
      <c r="I419" s="541">
        <f t="shared" si="6"/>
        <v>97472.059999999954</v>
      </c>
      <c r="K419" s="243"/>
    </row>
    <row r="420" spans="2:11" ht="17" customHeight="1">
      <c r="B420" s="253">
        <v>45718</v>
      </c>
      <c r="C420" s="263" t="s">
        <v>513</v>
      </c>
      <c r="D420" s="255" t="s">
        <v>567</v>
      </c>
      <c r="E420" s="256"/>
      <c r="F420" s="257">
        <v>13.64</v>
      </c>
      <c r="G420" s="258" t="s">
        <v>250</v>
      </c>
      <c r="H420" s="259"/>
      <c r="I420" s="541">
        <f t="shared" si="6"/>
        <v>97458.419999999955</v>
      </c>
      <c r="K420" s="243"/>
    </row>
    <row r="421" spans="2:11" ht="17" customHeight="1">
      <c r="B421" s="253">
        <v>45718</v>
      </c>
      <c r="C421" s="263" t="s">
        <v>513</v>
      </c>
      <c r="D421" s="255" t="s">
        <v>535</v>
      </c>
      <c r="E421" s="256">
        <v>36</v>
      </c>
      <c r="F421" s="257"/>
      <c r="G421" s="258"/>
      <c r="H421" s="259" t="s">
        <v>586</v>
      </c>
      <c r="I421" s="541">
        <f t="shared" si="6"/>
        <v>97494.419999999955</v>
      </c>
      <c r="K421" s="243"/>
    </row>
    <row r="422" spans="2:11" ht="17" customHeight="1">
      <c r="B422" s="253">
        <v>45718</v>
      </c>
      <c r="C422" s="263" t="s">
        <v>513</v>
      </c>
      <c r="D422" s="255" t="s">
        <v>535</v>
      </c>
      <c r="E422" s="256">
        <v>13.64</v>
      </c>
      <c r="F422" s="257"/>
      <c r="G422" s="258"/>
      <c r="H422" s="259" t="s">
        <v>586</v>
      </c>
      <c r="I422" s="541">
        <f t="shared" si="6"/>
        <v>97508.059999999954</v>
      </c>
      <c r="K422" s="243"/>
    </row>
    <row r="423" spans="2:11" ht="17" customHeight="1">
      <c r="B423" s="253">
        <v>45718</v>
      </c>
      <c r="C423" s="263" t="s">
        <v>513</v>
      </c>
      <c r="D423" s="255" t="s">
        <v>630</v>
      </c>
      <c r="E423" s="256"/>
      <c r="F423" s="257">
        <v>95</v>
      </c>
      <c r="G423" s="258" t="s">
        <v>227</v>
      </c>
      <c r="H423" s="259"/>
      <c r="I423" s="541">
        <f t="shared" si="6"/>
        <v>97413.059999999954</v>
      </c>
      <c r="K423" s="243"/>
    </row>
    <row r="424" spans="2:11" ht="17" customHeight="1">
      <c r="B424" s="253">
        <v>45718</v>
      </c>
      <c r="C424" s="263" t="s">
        <v>513</v>
      </c>
      <c r="D424" s="255" t="s">
        <v>630</v>
      </c>
      <c r="E424" s="256"/>
      <c r="F424" s="257">
        <v>36</v>
      </c>
      <c r="G424" s="258" t="s">
        <v>245</v>
      </c>
      <c r="H424" s="259"/>
      <c r="I424" s="541">
        <f t="shared" si="6"/>
        <v>97377.059999999954</v>
      </c>
      <c r="K424" s="243"/>
    </row>
    <row r="425" spans="2:11" ht="17" customHeight="1">
      <c r="B425" s="253">
        <v>45718</v>
      </c>
      <c r="C425" s="263" t="s">
        <v>513</v>
      </c>
      <c r="D425" s="255" t="s">
        <v>630</v>
      </c>
      <c r="E425" s="256"/>
      <c r="F425" s="257">
        <v>13.64</v>
      </c>
      <c r="G425" s="258" t="s">
        <v>250</v>
      </c>
      <c r="H425" s="259"/>
      <c r="I425" s="541">
        <f t="shared" si="6"/>
        <v>97363.419999999955</v>
      </c>
      <c r="K425" s="243"/>
    </row>
    <row r="426" spans="2:11" ht="17" customHeight="1">
      <c r="B426" s="253">
        <v>45718</v>
      </c>
      <c r="C426" s="263" t="s">
        <v>513</v>
      </c>
      <c r="D426" s="255" t="s">
        <v>535</v>
      </c>
      <c r="E426" s="256">
        <v>36</v>
      </c>
      <c r="F426" s="257"/>
      <c r="G426" s="258"/>
      <c r="H426" s="259" t="s">
        <v>631</v>
      </c>
      <c r="I426" s="541">
        <f t="shared" si="6"/>
        <v>97399.419999999955</v>
      </c>
      <c r="K426" s="243"/>
    </row>
    <row r="427" spans="2:11" ht="17" customHeight="1">
      <c r="B427" s="253">
        <v>45718</v>
      </c>
      <c r="C427" s="263" t="s">
        <v>513</v>
      </c>
      <c r="D427" s="255" t="s">
        <v>535</v>
      </c>
      <c r="E427" s="256">
        <v>13.64</v>
      </c>
      <c r="F427" s="257"/>
      <c r="G427" s="258"/>
      <c r="H427" s="259" t="s">
        <v>631</v>
      </c>
      <c r="I427" s="541">
        <f t="shared" si="6"/>
        <v>97413.059999999954</v>
      </c>
      <c r="K427" s="243"/>
    </row>
    <row r="428" spans="2:11" ht="17" customHeight="1">
      <c r="B428" s="253">
        <v>45718</v>
      </c>
      <c r="C428" s="263" t="s">
        <v>513</v>
      </c>
      <c r="D428" s="255" t="s">
        <v>31</v>
      </c>
      <c r="E428" s="256"/>
      <c r="F428" s="257"/>
      <c r="G428" s="258" t="s">
        <v>227</v>
      </c>
      <c r="H428" s="262"/>
      <c r="I428" s="541">
        <f t="shared" si="6"/>
        <v>97413.059999999954</v>
      </c>
      <c r="K428" s="243"/>
    </row>
    <row r="429" spans="2:11" ht="17" customHeight="1">
      <c r="B429" s="253">
        <v>45718</v>
      </c>
      <c r="C429" s="263" t="s">
        <v>513</v>
      </c>
      <c r="D429" s="255" t="s">
        <v>31</v>
      </c>
      <c r="E429" s="256"/>
      <c r="F429" s="257">
        <v>36</v>
      </c>
      <c r="G429" s="258" t="s">
        <v>245</v>
      </c>
      <c r="H429" s="262"/>
      <c r="I429" s="541">
        <f t="shared" si="6"/>
        <v>97377.059999999954</v>
      </c>
      <c r="K429" s="243"/>
    </row>
    <row r="430" spans="2:11" ht="17" customHeight="1">
      <c r="B430" s="253">
        <v>45718</v>
      </c>
      <c r="C430" s="263" t="s">
        <v>513</v>
      </c>
      <c r="D430" s="255" t="s">
        <v>31</v>
      </c>
      <c r="E430" s="256"/>
      <c r="F430" s="257">
        <v>13.64</v>
      </c>
      <c r="G430" s="258" t="s">
        <v>250</v>
      </c>
      <c r="H430" s="262"/>
      <c r="I430" s="541">
        <f t="shared" si="6"/>
        <v>97363.419999999955</v>
      </c>
      <c r="K430" s="243"/>
    </row>
    <row r="431" spans="2:11" ht="17" customHeight="1">
      <c r="B431" s="253">
        <v>45718</v>
      </c>
      <c r="C431" s="263" t="s">
        <v>513</v>
      </c>
      <c r="D431" s="255" t="s">
        <v>535</v>
      </c>
      <c r="E431" s="256">
        <v>36</v>
      </c>
      <c r="F431" s="257"/>
      <c r="G431" s="258"/>
      <c r="H431" s="259" t="s">
        <v>632</v>
      </c>
      <c r="I431" s="541">
        <f t="shared" si="6"/>
        <v>97399.419999999955</v>
      </c>
      <c r="K431" s="243"/>
    </row>
    <row r="432" spans="2:11" ht="17" customHeight="1">
      <c r="B432" s="253">
        <v>45718</v>
      </c>
      <c r="C432" s="263" t="s">
        <v>513</v>
      </c>
      <c r="D432" s="255" t="s">
        <v>535</v>
      </c>
      <c r="E432" s="256">
        <v>13.64</v>
      </c>
      <c r="F432" s="257"/>
      <c r="G432" s="258"/>
      <c r="H432" s="259" t="s">
        <v>632</v>
      </c>
      <c r="I432" s="541">
        <f t="shared" si="6"/>
        <v>97413.059999999954</v>
      </c>
      <c r="K432" s="243"/>
    </row>
    <row r="433" spans="2:11" ht="17" customHeight="1">
      <c r="B433" s="253">
        <v>45718</v>
      </c>
      <c r="C433" s="263" t="s">
        <v>513</v>
      </c>
      <c r="D433" s="255" t="s">
        <v>534</v>
      </c>
      <c r="E433" s="256"/>
      <c r="F433" s="257">
        <v>36</v>
      </c>
      <c r="G433" s="258" t="s">
        <v>245</v>
      </c>
      <c r="H433" s="259"/>
      <c r="I433" s="541">
        <f t="shared" si="6"/>
        <v>97377.059999999954</v>
      </c>
      <c r="K433" s="243"/>
    </row>
    <row r="434" spans="2:11" ht="17" customHeight="1">
      <c r="B434" s="253">
        <v>45718</v>
      </c>
      <c r="C434" s="263" t="s">
        <v>513</v>
      </c>
      <c r="D434" s="255" t="s">
        <v>534</v>
      </c>
      <c r="E434" s="256"/>
      <c r="F434" s="257">
        <v>13.64</v>
      </c>
      <c r="G434" s="258" t="s">
        <v>250</v>
      </c>
      <c r="H434" s="259"/>
      <c r="I434" s="541">
        <f t="shared" si="6"/>
        <v>97363.419999999955</v>
      </c>
      <c r="K434" s="243"/>
    </row>
    <row r="435" spans="2:11" ht="17" customHeight="1">
      <c r="B435" s="253">
        <v>45718</v>
      </c>
      <c r="C435" s="263" t="s">
        <v>513</v>
      </c>
      <c r="D435" s="255" t="s">
        <v>535</v>
      </c>
      <c r="E435" s="256">
        <v>36</v>
      </c>
      <c r="F435" s="257"/>
      <c r="G435" s="258"/>
      <c r="H435" s="259" t="s">
        <v>536</v>
      </c>
      <c r="I435" s="541">
        <f t="shared" si="6"/>
        <v>97399.419999999955</v>
      </c>
      <c r="K435" s="243"/>
    </row>
    <row r="436" spans="2:11" ht="17" customHeight="1">
      <c r="B436" s="253">
        <v>45718</v>
      </c>
      <c r="C436" s="263" t="s">
        <v>513</v>
      </c>
      <c r="D436" s="255" t="s">
        <v>535</v>
      </c>
      <c r="E436" s="256">
        <v>13.64</v>
      </c>
      <c r="F436" s="257"/>
      <c r="G436" s="258"/>
      <c r="H436" s="259" t="s">
        <v>536</v>
      </c>
      <c r="I436" s="541">
        <f t="shared" si="6"/>
        <v>97413.059999999954</v>
      </c>
      <c r="K436" s="243"/>
    </row>
    <row r="437" spans="2:11" ht="17" customHeight="1">
      <c r="B437" s="253">
        <v>45718</v>
      </c>
      <c r="C437" s="263" t="s">
        <v>283</v>
      </c>
      <c r="D437" s="255" t="s">
        <v>283</v>
      </c>
      <c r="E437" s="256">
        <f>6090.8-E438</f>
        <v>5365.1</v>
      </c>
      <c r="F437" s="257"/>
      <c r="G437" s="258" t="str">
        <f>IFERROR(VLOOKUP(D437,#REF!,2,FALSE),"_")</f>
        <v>_</v>
      </c>
      <c r="H437" s="259"/>
      <c r="I437" s="541">
        <f t="shared" si="6"/>
        <v>102778.15999999996</v>
      </c>
      <c r="K437" s="243"/>
    </row>
    <row r="438" spans="2:11" ht="17" customHeight="1">
      <c r="B438" s="253">
        <v>45718</v>
      </c>
      <c r="C438" s="263" t="s">
        <v>283</v>
      </c>
      <c r="D438" s="255" t="s">
        <v>508</v>
      </c>
      <c r="E438" s="256">
        <v>725.7</v>
      </c>
      <c r="F438" s="257"/>
      <c r="G438" s="258" t="str">
        <f>IFERROR(VLOOKUP(D438,#REF!,2,FALSE),"_")</f>
        <v>_</v>
      </c>
      <c r="H438" s="259"/>
      <c r="I438" s="541">
        <f t="shared" si="6"/>
        <v>103503.85999999996</v>
      </c>
      <c r="K438" s="243"/>
    </row>
    <row r="439" spans="2:11" ht="17" customHeight="1">
      <c r="B439" s="253">
        <v>45719</v>
      </c>
      <c r="C439" s="263" t="s">
        <v>283</v>
      </c>
      <c r="D439" s="255" t="s">
        <v>283</v>
      </c>
      <c r="E439" s="256">
        <f>210.4-E440</f>
        <v>174.73000000000002</v>
      </c>
      <c r="F439" s="257"/>
      <c r="G439" s="258" t="str">
        <f>IFERROR(VLOOKUP(D439,#REF!,2,FALSE),"_")</f>
        <v>_</v>
      </c>
      <c r="H439" s="259"/>
      <c r="I439" s="541">
        <f t="shared" si="6"/>
        <v>103678.58999999995</v>
      </c>
      <c r="K439" s="243"/>
    </row>
    <row r="440" spans="2:11" ht="17" customHeight="1">
      <c r="B440" s="253">
        <v>45719</v>
      </c>
      <c r="C440" s="263" t="s">
        <v>283</v>
      </c>
      <c r="D440" s="255" t="s">
        <v>508</v>
      </c>
      <c r="E440" s="256">
        <v>35.67</v>
      </c>
      <c r="F440" s="257"/>
      <c r="G440" s="258" t="str">
        <f>IFERROR(VLOOKUP(D440,#REF!,2,FALSE),"_")</f>
        <v>_</v>
      </c>
      <c r="H440" s="259"/>
      <c r="I440" s="541">
        <f t="shared" si="6"/>
        <v>103714.25999999995</v>
      </c>
      <c r="K440" s="243"/>
    </row>
    <row r="441" spans="2:11" ht="17" customHeight="1">
      <c r="B441" s="253">
        <v>45720</v>
      </c>
      <c r="C441" s="263" t="s">
        <v>117</v>
      </c>
      <c r="D441" s="255" t="s">
        <v>361</v>
      </c>
      <c r="E441" s="256"/>
      <c r="F441" s="257">
        <v>106.5</v>
      </c>
      <c r="G441" s="258" t="s">
        <v>199</v>
      </c>
      <c r="H441" s="259"/>
      <c r="I441" s="541">
        <f t="shared" si="6"/>
        <v>103607.75999999995</v>
      </c>
      <c r="K441" s="243"/>
    </row>
    <row r="442" spans="2:11" ht="17" customHeight="1">
      <c r="B442" s="253">
        <v>45720</v>
      </c>
      <c r="C442" s="263" t="s">
        <v>513</v>
      </c>
      <c r="D442" s="255" t="s">
        <v>563</v>
      </c>
      <c r="E442" s="256"/>
      <c r="F442" s="257">
        <v>110</v>
      </c>
      <c r="G442" s="258" t="s">
        <v>249</v>
      </c>
      <c r="H442" s="259"/>
      <c r="I442" s="541">
        <f t="shared" si="6"/>
        <v>103497.75999999995</v>
      </c>
      <c r="K442" s="243"/>
    </row>
    <row r="443" spans="2:11" ht="17" customHeight="1">
      <c r="B443" s="253">
        <v>45720</v>
      </c>
      <c r="C443" s="263" t="s">
        <v>283</v>
      </c>
      <c r="D443" s="255" t="s">
        <v>283</v>
      </c>
      <c r="E443" s="256">
        <f>1535-E444</f>
        <v>1411.47</v>
      </c>
      <c r="F443" s="257"/>
      <c r="G443" s="258" t="str">
        <f>IFERROR(VLOOKUP(D443,#REF!,2,FALSE),"_")</f>
        <v>_</v>
      </c>
      <c r="H443" s="259"/>
      <c r="I443" s="541">
        <f t="shared" si="6"/>
        <v>104909.22999999995</v>
      </c>
      <c r="K443" s="243"/>
    </row>
    <row r="444" spans="2:11" ht="17" customHeight="1">
      <c r="B444" s="253">
        <v>45720</v>
      </c>
      <c r="C444" s="263" t="s">
        <v>283</v>
      </c>
      <c r="D444" s="255" t="s">
        <v>508</v>
      </c>
      <c r="E444" s="256">
        <v>123.53</v>
      </c>
      <c r="F444" s="257"/>
      <c r="G444" s="258" t="str">
        <f>IFERROR(VLOOKUP(D444,#REF!,2,FALSE),"_")</f>
        <v>_</v>
      </c>
      <c r="H444" s="259"/>
      <c r="I444" s="541">
        <f t="shared" si="6"/>
        <v>105032.75999999995</v>
      </c>
      <c r="K444" s="243"/>
    </row>
    <row r="445" spans="2:11" ht="17" customHeight="1">
      <c r="B445" s="253">
        <v>45721</v>
      </c>
      <c r="C445" s="263" t="s">
        <v>117</v>
      </c>
      <c r="D445" s="255" t="s">
        <v>633</v>
      </c>
      <c r="E445" s="256"/>
      <c r="F445" s="257">
        <v>240</v>
      </c>
      <c r="G445" s="258" t="s">
        <v>216</v>
      </c>
      <c r="H445" s="259"/>
      <c r="I445" s="541">
        <f t="shared" si="6"/>
        <v>104792.75999999995</v>
      </c>
      <c r="K445" s="243"/>
    </row>
    <row r="446" spans="2:11" ht="17" customHeight="1">
      <c r="B446" s="253">
        <v>45721</v>
      </c>
      <c r="C446" s="263" t="s">
        <v>117</v>
      </c>
      <c r="D446" s="255" t="s">
        <v>634</v>
      </c>
      <c r="E446" s="256"/>
      <c r="F446" s="257">
        <v>160</v>
      </c>
      <c r="G446" s="258" t="s">
        <v>208</v>
      </c>
      <c r="H446" s="259"/>
      <c r="I446" s="541">
        <f t="shared" si="6"/>
        <v>104632.75999999995</v>
      </c>
      <c r="K446" s="243"/>
    </row>
    <row r="447" spans="2:11" ht="17" customHeight="1">
      <c r="B447" s="253">
        <v>45721</v>
      </c>
      <c r="C447" s="263" t="s">
        <v>283</v>
      </c>
      <c r="D447" s="255" t="s">
        <v>283</v>
      </c>
      <c r="E447" s="256">
        <f>553.5-E448</f>
        <v>492.01</v>
      </c>
      <c r="F447" s="257"/>
      <c r="G447" s="258" t="str">
        <f>IFERROR(VLOOKUP(D447,#REF!,2,FALSE),"_")</f>
        <v>_</v>
      </c>
      <c r="H447" s="259"/>
      <c r="I447" s="541">
        <f t="shared" si="6"/>
        <v>105124.76999999995</v>
      </c>
      <c r="K447" s="243"/>
    </row>
    <row r="448" spans="2:11" ht="17" customHeight="1">
      <c r="B448" s="253">
        <v>45721</v>
      </c>
      <c r="C448" s="263" t="s">
        <v>283</v>
      </c>
      <c r="D448" s="255" t="s">
        <v>508</v>
      </c>
      <c r="E448" s="256">
        <v>61.49</v>
      </c>
      <c r="F448" s="257"/>
      <c r="G448" s="258" t="str">
        <f>IFERROR(VLOOKUP(D448,#REF!,2,FALSE),"_")</f>
        <v>_</v>
      </c>
      <c r="H448" s="259"/>
      <c r="I448" s="541">
        <f t="shared" si="6"/>
        <v>105186.25999999995</v>
      </c>
      <c r="K448" s="243"/>
    </row>
    <row r="449" spans="2:11" ht="17" customHeight="1">
      <c r="B449" s="253">
        <v>45722</v>
      </c>
      <c r="C449" s="263" t="s">
        <v>117</v>
      </c>
      <c r="D449" s="255" t="s">
        <v>516</v>
      </c>
      <c r="E449" s="256"/>
      <c r="F449" s="257">
        <v>63.31</v>
      </c>
      <c r="G449" s="258" t="s">
        <v>201</v>
      </c>
      <c r="H449" s="259"/>
      <c r="I449" s="541">
        <f t="shared" si="6"/>
        <v>105122.94999999995</v>
      </c>
      <c r="K449" s="243"/>
    </row>
    <row r="450" spans="2:11" ht="17" customHeight="1">
      <c r="B450" s="253">
        <v>45722</v>
      </c>
      <c r="C450" s="263" t="s">
        <v>117</v>
      </c>
      <c r="D450" s="255" t="s">
        <v>549</v>
      </c>
      <c r="E450" s="256"/>
      <c r="F450" s="257">
        <v>14.8</v>
      </c>
      <c r="G450" s="258" t="s">
        <v>256</v>
      </c>
      <c r="H450" s="259"/>
      <c r="I450" s="541">
        <f t="shared" si="6"/>
        <v>105108.14999999995</v>
      </c>
      <c r="K450" s="243"/>
    </row>
    <row r="451" spans="2:11" ht="17" customHeight="1">
      <c r="B451" s="253">
        <v>45722</v>
      </c>
      <c r="C451" s="263" t="s">
        <v>117</v>
      </c>
      <c r="D451" s="261" t="s">
        <v>635</v>
      </c>
      <c r="E451" s="256"/>
      <c r="F451" s="257">
        <v>13</v>
      </c>
      <c r="G451" s="258" t="s">
        <v>208</v>
      </c>
      <c r="H451" s="259"/>
      <c r="I451" s="541">
        <f t="shared" si="6"/>
        <v>105095.14999999995</v>
      </c>
      <c r="K451" s="243"/>
    </row>
    <row r="452" spans="2:11" ht="17" customHeight="1">
      <c r="B452" s="253">
        <v>45722</v>
      </c>
      <c r="C452" s="263" t="s">
        <v>117</v>
      </c>
      <c r="D452" s="261" t="s">
        <v>636</v>
      </c>
      <c r="E452" s="256"/>
      <c r="F452" s="257">
        <v>440</v>
      </c>
      <c r="G452" s="258" t="s">
        <v>201</v>
      </c>
      <c r="H452" s="259"/>
      <c r="I452" s="541">
        <f t="shared" si="6"/>
        <v>104655.14999999995</v>
      </c>
      <c r="K452" s="243"/>
    </row>
    <row r="453" spans="2:11" ht="17" customHeight="1">
      <c r="B453" s="253">
        <v>45722</v>
      </c>
      <c r="C453" s="263" t="s">
        <v>283</v>
      </c>
      <c r="D453" s="255" t="s">
        <v>283</v>
      </c>
      <c r="E453" s="256">
        <f>762.2-E454</f>
        <v>673.66000000000008</v>
      </c>
      <c r="F453" s="257"/>
      <c r="G453" s="258" t="str">
        <f>IFERROR(VLOOKUP(D453,#REF!,2,FALSE),"_")</f>
        <v>_</v>
      </c>
      <c r="H453" s="259"/>
      <c r="I453" s="541">
        <f t="shared" si="6"/>
        <v>105328.80999999995</v>
      </c>
      <c r="K453" s="243"/>
    </row>
    <row r="454" spans="2:11" ht="17" customHeight="1">
      <c r="B454" s="253">
        <v>45722</v>
      </c>
      <c r="C454" s="263" t="s">
        <v>283</v>
      </c>
      <c r="D454" s="255" t="s">
        <v>508</v>
      </c>
      <c r="E454" s="256">
        <v>88.54</v>
      </c>
      <c r="F454" s="257"/>
      <c r="G454" s="258" t="str">
        <f>IFERROR(VLOOKUP(D454,#REF!,2,FALSE),"_")</f>
        <v>_</v>
      </c>
      <c r="H454" s="259"/>
      <c r="I454" s="541">
        <f t="shared" si="6"/>
        <v>105417.34999999995</v>
      </c>
      <c r="K454" s="243"/>
    </row>
    <row r="455" spans="2:11" ht="17" customHeight="1">
      <c r="B455" s="253">
        <v>45723</v>
      </c>
      <c r="C455" s="263" t="s">
        <v>637</v>
      </c>
      <c r="D455" s="255" t="s">
        <v>530</v>
      </c>
      <c r="E455" s="256">
        <v>1700</v>
      </c>
      <c r="F455" s="257"/>
      <c r="G455" s="258"/>
      <c r="H455" s="264" t="s">
        <v>554</v>
      </c>
      <c r="I455" s="541">
        <f t="shared" si="6"/>
        <v>107117.34999999995</v>
      </c>
      <c r="K455" s="243"/>
    </row>
    <row r="456" spans="2:11" ht="17" customHeight="1">
      <c r="B456" s="253">
        <v>45723</v>
      </c>
      <c r="C456" s="263" t="s">
        <v>117</v>
      </c>
      <c r="D456" s="255" t="s">
        <v>306</v>
      </c>
      <c r="E456" s="256"/>
      <c r="F456" s="257">
        <v>358.55</v>
      </c>
      <c r="G456" s="258" t="s">
        <v>194</v>
      </c>
      <c r="H456" s="259"/>
      <c r="I456" s="541">
        <f t="shared" si="6"/>
        <v>106758.79999999994</v>
      </c>
      <c r="K456" s="243"/>
    </row>
    <row r="457" spans="2:11" ht="17" customHeight="1">
      <c r="B457" s="253">
        <v>45723</v>
      </c>
      <c r="C457" s="263" t="s">
        <v>117</v>
      </c>
      <c r="D457" s="255" t="s">
        <v>306</v>
      </c>
      <c r="E457" s="256"/>
      <c r="F457" s="257">
        <v>43.8</v>
      </c>
      <c r="G457" s="258" t="s">
        <v>194</v>
      </c>
      <c r="H457" s="259"/>
      <c r="I457" s="541">
        <f t="shared" ref="I457:I520" si="7">I456+E457-F457</f>
        <v>106714.99999999994</v>
      </c>
      <c r="K457" s="243"/>
    </row>
    <row r="458" spans="2:11" ht="17" customHeight="1">
      <c r="B458" s="253">
        <v>45723</v>
      </c>
      <c r="C458" s="263" t="s">
        <v>117</v>
      </c>
      <c r="D458" s="255" t="s">
        <v>306</v>
      </c>
      <c r="E458" s="256"/>
      <c r="F458" s="257">
        <v>399.45</v>
      </c>
      <c r="G458" s="258" t="s">
        <v>194</v>
      </c>
      <c r="H458" s="259"/>
      <c r="I458" s="541">
        <f t="shared" si="7"/>
        <v>106315.54999999994</v>
      </c>
      <c r="K458" s="243"/>
    </row>
    <row r="459" spans="2:11" ht="17" customHeight="1">
      <c r="B459" s="253">
        <v>45723</v>
      </c>
      <c r="C459" s="263" t="s">
        <v>117</v>
      </c>
      <c r="D459" s="255" t="s">
        <v>306</v>
      </c>
      <c r="E459" s="256"/>
      <c r="F459" s="257">
        <v>90</v>
      </c>
      <c r="G459" s="258" t="s">
        <v>194</v>
      </c>
      <c r="H459" s="259"/>
      <c r="I459" s="541">
        <f t="shared" si="7"/>
        <v>106225.54999999994</v>
      </c>
      <c r="K459" s="243"/>
    </row>
    <row r="460" spans="2:11" ht="17" customHeight="1">
      <c r="B460" s="253">
        <v>45723</v>
      </c>
      <c r="C460" s="263" t="s">
        <v>638</v>
      </c>
      <c r="D460" s="255" t="s">
        <v>512</v>
      </c>
      <c r="E460" s="256"/>
      <c r="F460" s="257">
        <f>46-1.77</f>
        <v>44.23</v>
      </c>
      <c r="G460" s="258" t="s">
        <v>199</v>
      </c>
      <c r="H460" s="259"/>
      <c r="I460" s="541">
        <f t="shared" si="7"/>
        <v>106181.31999999995</v>
      </c>
      <c r="K460" s="243"/>
    </row>
    <row r="461" spans="2:11" ht="17" customHeight="1">
      <c r="B461" s="253">
        <v>45723</v>
      </c>
      <c r="C461" s="263" t="s">
        <v>638</v>
      </c>
      <c r="D461" s="255" t="s">
        <v>512</v>
      </c>
      <c r="E461" s="256"/>
      <c r="F461" s="257">
        <v>1.77</v>
      </c>
      <c r="G461" s="258" t="s">
        <v>274</v>
      </c>
      <c r="H461" s="259"/>
      <c r="I461" s="541">
        <f t="shared" si="7"/>
        <v>106179.54999999994</v>
      </c>
      <c r="K461" s="243"/>
    </row>
    <row r="462" spans="2:11" ht="17" customHeight="1">
      <c r="B462" s="253">
        <v>45723</v>
      </c>
      <c r="C462" s="263" t="s">
        <v>286</v>
      </c>
      <c r="D462" s="255" t="s">
        <v>520</v>
      </c>
      <c r="E462" s="256"/>
      <c r="F462" s="257">
        <v>35</v>
      </c>
      <c r="G462" s="258" t="s">
        <v>139</v>
      </c>
      <c r="H462" s="266"/>
      <c r="I462" s="541">
        <f t="shared" si="7"/>
        <v>106144.54999999994</v>
      </c>
      <c r="K462" s="243"/>
    </row>
    <row r="463" spans="2:11" ht="17" customHeight="1">
      <c r="B463" s="253">
        <v>45723</v>
      </c>
      <c r="C463" s="263" t="s">
        <v>117</v>
      </c>
      <c r="D463" s="255" t="s">
        <v>517</v>
      </c>
      <c r="E463" s="256"/>
      <c r="F463" s="257">
        <v>80</v>
      </c>
      <c r="G463" s="258" t="s">
        <v>234</v>
      </c>
      <c r="H463" s="259"/>
      <c r="I463" s="541">
        <f t="shared" si="7"/>
        <v>106064.54999999994</v>
      </c>
      <c r="K463" s="243"/>
    </row>
    <row r="464" spans="2:11" ht="17" customHeight="1">
      <c r="B464" s="253">
        <v>45723</v>
      </c>
      <c r="C464" s="263" t="s">
        <v>117</v>
      </c>
      <c r="D464" s="255" t="s">
        <v>639</v>
      </c>
      <c r="E464" s="256"/>
      <c r="F464" s="257">
        <v>200</v>
      </c>
      <c r="G464" s="258" t="s">
        <v>190</v>
      </c>
      <c r="H464" s="259"/>
      <c r="I464" s="541">
        <f t="shared" si="7"/>
        <v>105864.54999999994</v>
      </c>
      <c r="K464" s="243"/>
    </row>
    <row r="465" spans="2:11" ht="17" customHeight="1">
      <c r="B465" s="253">
        <v>45723</v>
      </c>
      <c r="C465" s="263" t="s">
        <v>283</v>
      </c>
      <c r="D465" s="255" t="s">
        <v>283</v>
      </c>
      <c r="E465" s="256">
        <f>1262.6-E466</f>
        <v>921.39999999999986</v>
      </c>
      <c r="F465" s="257"/>
      <c r="G465" s="258" t="str">
        <f>IFERROR(VLOOKUP(D465,#REF!,2,FALSE),"_")</f>
        <v>_</v>
      </c>
      <c r="H465" s="259"/>
      <c r="I465" s="541">
        <f t="shared" si="7"/>
        <v>106785.94999999994</v>
      </c>
      <c r="K465" s="243"/>
    </row>
    <row r="466" spans="2:11" ht="17" customHeight="1">
      <c r="B466" s="253">
        <v>45723</v>
      </c>
      <c r="C466" s="263" t="s">
        <v>283</v>
      </c>
      <c r="D466" s="255" t="s">
        <v>508</v>
      </c>
      <c r="E466" s="256">
        <v>341.2</v>
      </c>
      <c r="F466" s="257"/>
      <c r="G466" s="258" t="str">
        <f>IFERROR(VLOOKUP(D466,#REF!,2,FALSE),"_")</f>
        <v>_</v>
      </c>
      <c r="H466" s="259"/>
      <c r="I466" s="541">
        <f t="shared" si="7"/>
        <v>107127.14999999994</v>
      </c>
      <c r="K466" s="243"/>
    </row>
    <row r="467" spans="2:11" ht="17" customHeight="1">
      <c r="B467" s="253">
        <v>45724</v>
      </c>
      <c r="C467" s="263" t="s">
        <v>117</v>
      </c>
      <c r="D467" s="255" t="s">
        <v>572</v>
      </c>
      <c r="E467" s="256">
        <v>60</v>
      </c>
      <c r="F467" s="257"/>
      <c r="G467" s="258" t="s">
        <v>256</v>
      </c>
      <c r="H467" s="540" t="s">
        <v>502</v>
      </c>
      <c r="I467" s="541">
        <f t="shared" si="7"/>
        <v>107187.14999999994</v>
      </c>
      <c r="K467" s="243"/>
    </row>
    <row r="468" spans="2:11" ht="17" customHeight="1">
      <c r="B468" s="253">
        <v>45724</v>
      </c>
      <c r="C468" s="263" t="s">
        <v>283</v>
      </c>
      <c r="D468" s="255" t="s">
        <v>283</v>
      </c>
      <c r="E468" s="256">
        <v>200</v>
      </c>
      <c r="F468" s="257"/>
      <c r="G468" s="258" t="s">
        <v>190</v>
      </c>
      <c r="H468" s="259" t="s">
        <v>640</v>
      </c>
      <c r="I468" s="541">
        <f t="shared" si="7"/>
        <v>107387.14999999994</v>
      </c>
      <c r="K468" s="243"/>
    </row>
    <row r="469" spans="2:11" ht="17" customHeight="1">
      <c r="B469" s="253">
        <v>45724</v>
      </c>
      <c r="C469" s="263" t="s">
        <v>283</v>
      </c>
      <c r="D469" s="255" t="s">
        <v>283</v>
      </c>
      <c r="E469" s="256">
        <f>2149-E470</f>
        <v>1772.15</v>
      </c>
      <c r="F469" s="257"/>
      <c r="G469" s="258" t="str">
        <f>IFERROR(VLOOKUP(D469,#REF!,2,FALSE),"_")</f>
        <v>_</v>
      </c>
      <c r="H469" s="259"/>
      <c r="I469" s="541">
        <f t="shared" si="7"/>
        <v>109159.29999999993</v>
      </c>
      <c r="K469" s="243"/>
    </row>
    <row r="470" spans="2:11" ht="17" customHeight="1">
      <c r="B470" s="253">
        <v>45724</v>
      </c>
      <c r="C470" s="263" t="s">
        <v>283</v>
      </c>
      <c r="D470" s="255" t="s">
        <v>508</v>
      </c>
      <c r="E470" s="256">
        <v>376.85</v>
      </c>
      <c r="F470" s="257"/>
      <c r="G470" s="258" t="str">
        <f>IFERROR(VLOOKUP(D470,#REF!,2,FALSE),"_")</f>
        <v>_</v>
      </c>
      <c r="H470" s="259"/>
      <c r="I470" s="541">
        <f t="shared" si="7"/>
        <v>109536.14999999994</v>
      </c>
      <c r="K470" s="243"/>
    </row>
    <row r="471" spans="2:11" ht="17" customHeight="1">
      <c r="B471" s="253">
        <v>45725</v>
      </c>
      <c r="C471" s="263" t="s">
        <v>513</v>
      </c>
      <c r="D471" s="255" t="s">
        <v>576</v>
      </c>
      <c r="E471" s="256"/>
      <c r="F471" s="257">
        <v>60</v>
      </c>
      <c r="G471" s="258" t="str">
        <f>IFERROR(VLOOKUP(D471,#REF!,2,FALSE),"_")</f>
        <v>_</v>
      </c>
      <c r="H471" s="259"/>
      <c r="I471" s="541">
        <f t="shared" si="7"/>
        <v>109476.14999999994</v>
      </c>
      <c r="K471" s="243"/>
    </row>
    <row r="472" spans="2:11" ht="17" customHeight="1">
      <c r="B472" s="253">
        <v>45725</v>
      </c>
      <c r="C472" s="263" t="s">
        <v>283</v>
      </c>
      <c r="D472" s="255" t="s">
        <v>283</v>
      </c>
      <c r="E472" s="256">
        <f>1038.2-E473</f>
        <v>919.47</v>
      </c>
      <c r="F472" s="257"/>
      <c r="G472" s="258" t="str">
        <f>IFERROR(VLOOKUP(D472,#REF!,2,FALSE),"_")</f>
        <v>_</v>
      </c>
      <c r="H472" s="259"/>
      <c r="I472" s="541">
        <f t="shared" si="7"/>
        <v>110395.61999999994</v>
      </c>
      <c r="K472" s="243"/>
    </row>
    <row r="473" spans="2:11" ht="17" customHeight="1">
      <c r="B473" s="253">
        <v>45725</v>
      </c>
      <c r="C473" s="263" t="s">
        <v>283</v>
      </c>
      <c r="D473" s="255" t="s">
        <v>508</v>
      </c>
      <c r="E473" s="256">
        <v>118.73</v>
      </c>
      <c r="F473" s="257"/>
      <c r="G473" s="258" t="str">
        <f>IFERROR(VLOOKUP(D473,#REF!,2,FALSE),"_")</f>
        <v>_</v>
      </c>
      <c r="H473" s="259"/>
      <c r="I473" s="541">
        <f t="shared" si="7"/>
        <v>110514.34999999993</v>
      </c>
      <c r="K473" s="243"/>
    </row>
    <row r="474" spans="2:11" ht="17" customHeight="1">
      <c r="B474" s="268">
        <v>45716</v>
      </c>
      <c r="C474" s="263" t="s">
        <v>513</v>
      </c>
      <c r="D474" s="255" t="s">
        <v>25</v>
      </c>
      <c r="E474" s="256"/>
      <c r="F474" s="257">
        <v>575</v>
      </c>
      <c r="G474" s="258" t="s">
        <v>246</v>
      </c>
      <c r="H474" s="259"/>
      <c r="I474" s="541">
        <f t="shared" si="7"/>
        <v>109939.34999999993</v>
      </c>
      <c r="K474" s="243"/>
    </row>
    <row r="475" spans="2:11" ht="17" customHeight="1">
      <c r="B475" s="268">
        <v>45716</v>
      </c>
      <c r="C475" s="263" t="s">
        <v>513</v>
      </c>
      <c r="D475" s="255" t="s">
        <v>557</v>
      </c>
      <c r="E475" s="256"/>
      <c r="F475" s="257">
        <v>540</v>
      </c>
      <c r="G475" s="258" t="s">
        <v>246</v>
      </c>
      <c r="H475" s="259"/>
      <c r="I475" s="541">
        <f t="shared" si="7"/>
        <v>109399.34999999993</v>
      </c>
      <c r="K475" s="243"/>
    </row>
    <row r="476" spans="2:11" ht="17" customHeight="1">
      <c r="B476" s="268">
        <v>45716</v>
      </c>
      <c r="C476" s="263" t="s">
        <v>513</v>
      </c>
      <c r="D476" s="255" t="s">
        <v>28</v>
      </c>
      <c r="E476" s="256"/>
      <c r="F476" s="257">
        <v>845</v>
      </c>
      <c r="G476" s="258" t="str">
        <f>IFERROR(VLOOKUP(D476,#REF!,2,FALSE),"_")</f>
        <v>_</v>
      </c>
      <c r="H476" s="259"/>
      <c r="I476" s="541">
        <f t="shared" si="7"/>
        <v>108554.34999999993</v>
      </c>
      <c r="K476" s="243"/>
    </row>
    <row r="477" spans="2:11" ht="17" customHeight="1">
      <c r="B477" s="268">
        <v>45716</v>
      </c>
      <c r="C477" s="263" t="s">
        <v>513</v>
      </c>
      <c r="D477" s="255" t="s">
        <v>29</v>
      </c>
      <c r="E477" s="256"/>
      <c r="F477" s="257">
        <v>455</v>
      </c>
      <c r="G477" s="258" t="str">
        <f>IFERROR(VLOOKUP(D477,#REF!,2,FALSE),"_")</f>
        <v>_</v>
      </c>
      <c r="H477" s="259"/>
      <c r="I477" s="541">
        <f t="shared" si="7"/>
        <v>108099.34999999993</v>
      </c>
      <c r="K477" s="243"/>
    </row>
    <row r="478" spans="2:11" ht="17" customHeight="1">
      <c r="B478" s="268">
        <v>45716</v>
      </c>
      <c r="C478" s="263" t="s">
        <v>513</v>
      </c>
      <c r="D478" s="255" t="s">
        <v>559</v>
      </c>
      <c r="E478" s="256"/>
      <c r="F478" s="257">
        <v>780</v>
      </c>
      <c r="G478" s="258" t="str">
        <f>IFERROR(VLOOKUP(D478,#REF!,2,FALSE),"_")</f>
        <v>_</v>
      </c>
      <c r="H478" s="259"/>
      <c r="I478" s="541">
        <f t="shared" si="7"/>
        <v>107319.34999999993</v>
      </c>
      <c r="K478" s="243"/>
    </row>
    <row r="479" spans="2:11" ht="17" customHeight="1">
      <c r="B479" s="268">
        <v>45716</v>
      </c>
      <c r="C479" s="263" t="s">
        <v>513</v>
      </c>
      <c r="D479" s="255" t="s">
        <v>534</v>
      </c>
      <c r="E479" s="256"/>
      <c r="F479" s="257">
        <v>1165</v>
      </c>
      <c r="G479" s="258" t="s">
        <v>245</v>
      </c>
      <c r="H479" s="259"/>
      <c r="I479" s="541">
        <f t="shared" si="7"/>
        <v>106154.34999999993</v>
      </c>
      <c r="K479" s="243"/>
    </row>
    <row r="480" spans="2:11" ht="17" customHeight="1">
      <c r="B480" s="268">
        <v>45716</v>
      </c>
      <c r="C480" s="263" t="s">
        <v>513</v>
      </c>
      <c r="D480" s="255" t="s">
        <v>560</v>
      </c>
      <c r="E480" s="256"/>
      <c r="F480" s="257">
        <v>660</v>
      </c>
      <c r="G480" s="258" t="s">
        <v>245</v>
      </c>
      <c r="H480" s="259"/>
      <c r="I480" s="541">
        <f t="shared" si="7"/>
        <v>105494.34999999993</v>
      </c>
      <c r="K480" s="243"/>
    </row>
    <row r="481" spans="2:11" ht="17" customHeight="1">
      <c r="B481" s="268">
        <v>45716</v>
      </c>
      <c r="C481" s="263" t="s">
        <v>513</v>
      </c>
      <c r="D481" s="255" t="s">
        <v>561</v>
      </c>
      <c r="E481" s="256"/>
      <c r="F481" s="257">
        <v>1185</v>
      </c>
      <c r="G481" s="258" t="str">
        <f>IFERROR(VLOOKUP(D481,#REF!,2,FALSE),"_")</f>
        <v>_</v>
      </c>
      <c r="H481" s="259"/>
      <c r="I481" s="541">
        <f t="shared" si="7"/>
        <v>104309.34999999993</v>
      </c>
      <c r="K481" s="243"/>
    </row>
    <row r="482" spans="2:11" ht="17" customHeight="1">
      <c r="B482" s="268">
        <v>45716</v>
      </c>
      <c r="C482" s="263" t="s">
        <v>513</v>
      </c>
      <c r="D482" s="255" t="s">
        <v>558</v>
      </c>
      <c r="E482" s="256"/>
      <c r="F482" s="257">
        <v>155</v>
      </c>
      <c r="G482" s="258" t="s">
        <v>245</v>
      </c>
      <c r="H482" s="259"/>
      <c r="I482" s="541">
        <f t="shared" si="7"/>
        <v>104154.34999999993</v>
      </c>
      <c r="K482" s="243"/>
    </row>
    <row r="483" spans="2:11" ht="17" customHeight="1">
      <c r="B483" s="268">
        <v>45716</v>
      </c>
      <c r="C483" s="263" t="s">
        <v>513</v>
      </c>
      <c r="D483" s="261" t="s">
        <v>24</v>
      </c>
      <c r="E483" s="256"/>
      <c r="F483" s="257">
        <v>215</v>
      </c>
      <c r="G483" s="258" t="s">
        <v>245</v>
      </c>
      <c r="H483" s="259"/>
      <c r="I483" s="541">
        <f t="shared" si="7"/>
        <v>103939.34999999993</v>
      </c>
      <c r="K483" s="243"/>
    </row>
    <row r="484" spans="2:11" ht="17" customHeight="1">
      <c r="B484" s="268">
        <v>45716</v>
      </c>
      <c r="C484" s="263" t="s">
        <v>513</v>
      </c>
      <c r="D484" s="261" t="s">
        <v>562</v>
      </c>
      <c r="E484" s="256"/>
      <c r="F484" s="257">
        <v>110</v>
      </c>
      <c r="G484" s="258" t="s">
        <v>249</v>
      </c>
      <c r="H484" s="259"/>
      <c r="I484" s="541">
        <f t="shared" si="7"/>
        <v>103829.34999999993</v>
      </c>
      <c r="K484" s="243"/>
    </row>
    <row r="485" spans="2:11" ht="17" customHeight="1">
      <c r="B485" s="253">
        <v>45726</v>
      </c>
      <c r="C485" s="449" t="s">
        <v>641</v>
      </c>
      <c r="D485" s="240" t="s">
        <v>545</v>
      </c>
      <c r="E485" s="256"/>
      <c r="F485" s="270">
        <v>7.3</v>
      </c>
      <c r="G485" s="258" t="s">
        <v>208</v>
      </c>
      <c r="H485" s="259"/>
      <c r="I485" s="541">
        <f t="shared" si="7"/>
        <v>103822.04999999993</v>
      </c>
    </row>
    <row r="486" spans="2:11" ht="17" customHeight="1">
      <c r="B486" s="253">
        <v>45726</v>
      </c>
      <c r="C486" s="263" t="s">
        <v>642</v>
      </c>
      <c r="D486" s="255" t="s">
        <v>545</v>
      </c>
      <c r="E486" s="256"/>
      <c r="F486" s="257">
        <v>5.5</v>
      </c>
      <c r="G486" s="258" t="s">
        <v>208</v>
      </c>
      <c r="H486" s="259"/>
      <c r="I486" s="541">
        <f t="shared" si="7"/>
        <v>103816.54999999993</v>
      </c>
      <c r="K486" s="243"/>
    </row>
    <row r="487" spans="2:11" ht="17" customHeight="1">
      <c r="B487" s="253">
        <v>45726</v>
      </c>
      <c r="C487" s="263" t="s">
        <v>643</v>
      </c>
      <c r="D487" s="255" t="s">
        <v>545</v>
      </c>
      <c r="E487" s="256"/>
      <c r="F487" s="257">
        <v>13.9</v>
      </c>
      <c r="G487" s="258" t="s">
        <v>208</v>
      </c>
      <c r="H487" s="259"/>
      <c r="I487" s="541">
        <f t="shared" si="7"/>
        <v>103802.64999999994</v>
      </c>
      <c r="K487" s="243"/>
    </row>
    <row r="488" spans="2:11" ht="17" customHeight="1">
      <c r="B488" s="253">
        <v>45726</v>
      </c>
      <c r="C488" s="263" t="s">
        <v>644</v>
      </c>
      <c r="D488" s="255" t="s">
        <v>545</v>
      </c>
      <c r="E488" s="256"/>
      <c r="F488" s="257">
        <v>9</v>
      </c>
      <c r="G488" s="258" t="s">
        <v>208</v>
      </c>
      <c r="H488" s="259"/>
      <c r="I488" s="541">
        <f t="shared" si="7"/>
        <v>103793.64999999994</v>
      </c>
      <c r="K488" s="243"/>
    </row>
    <row r="489" spans="2:11" ht="17" customHeight="1">
      <c r="B489" s="253">
        <v>45726</v>
      </c>
      <c r="C489" s="263" t="s">
        <v>645</v>
      </c>
      <c r="D489" s="255" t="s">
        <v>545</v>
      </c>
      <c r="E489" s="256"/>
      <c r="F489" s="257">
        <v>9.3000000000000007</v>
      </c>
      <c r="G489" s="258" t="s">
        <v>208</v>
      </c>
      <c r="H489" s="259"/>
      <c r="I489" s="541">
        <f t="shared" si="7"/>
        <v>103784.34999999993</v>
      </c>
      <c r="K489" s="243"/>
    </row>
    <row r="490" spans="2:11" ht="17" customHeight="1">
      <c r="B490" s="253">
        <v>45726</v>
      </c>
      <c r="C490" s="263" t="s">
        <v>117</v>
      </c>
      <c r="D490" s="255" t="s">
        <v>646</v>
      </c>
      <c r="E490" s="256"/>
      <c r="F490" s="257">
        <v>12</v>
      </c>
      <c r="G490" s="258" t="s">
        <v>205</v>
      </c>
      <c r="H490" s="259"/>
      <c r="I490" s="541">
        <f t="shared" si="7"/>
        <v>103772.34999999993</v>
      </c>
      <c r="K490" s="243"/>
    </row>
    <row r="491" spans="2:11" ht="17" customHeight="1">
      <c r="B491" s="253">
        <v>45726</v>
      </c>
      <c r="C491" s="263" t="s">
        <v>283</v>
      </c>
      <c r="D491" s="255" t="s">
        <v>283</v>
      </c>
      <c r="E491" s="256">
        <f>154-E492</f>
        <v>106.53</v>
      </c>
      <c r="F491" s="257"/>
      <c r="G491" s="258" t="str">
        <f>IFERROR(VLOOKUP(D491,#REF!,2,FALSE),"_")</f>
        <v>_</v>
      </c>
      <c r="H491" s="259"/>
      <c r="I491" s="541">
        <f t="shared" si="7"/>
        <v>103878.87999999993</v>
      </c>
      <c r="K491" s="243"/>
    </row>
    <row r="492" spans="2:11" ht="17" customHeight="1">
      <c r="B492" s="253">
        <v>45726</v>
      </c>
      <c r="C492" s="263" t="s">
        <v>283</v>
      </c>
      <c r="D492" s="255" t="s">
        <v>508</v>
      </c>
      <c r="E492" s="256">
        <v>47.47</v>
      </c>
      <c r="F492" s="257"/>
      <c r="G492" s="258" t="str">
        <f>IFERROR(VLOOKUP(D492,#REF!,2,FALSE),"_")</f>
        <v>_</v>
      </c>
      <c r="H492" s="259"/>
      <c r="I492" s="541">
        <f t="shared" si="7"/>
        <v>103926.34999999993</v>
      </c>
      <c r="K492" s="243"/>
    </row>
    <row r="493" spans="2:11" ht="17" customHeight="1">
      <c r="B493" s="253">
        <v>45727</v>
      </c>
      <c r="C493" s="263" t="s">
        <v>117</v>
      </c>
      <c r="D493" s="261" t="s">
        <v>647</v>
      </c>
      <c r="E493" s="256">
        <v>60</v>
      </c>
      <c r="F493" s="257"/>
      <c r="G493" s="258" t="s">
        <v>194</v>
      </c>
      <c r="H493" s="540" t="s">
        <v>502</v>
      </c>
      <c r="I493" s="541">
        <f t="shared" si="7"/>
        <v>103986.34999999993</v>
      </c>
      <c r="K493" s="243"/>
    </row>
    <row r="494" spans="2:11" ht="17" customHeight="1">
      <c r="B494" s="253">
        <v>45727</v>
      </c>
      <c r="C494" s="263" t="s">
        <v>648</v>
      </c>
      <c r="D494" s="255" t="s">
        <v>545</v>
      </c>
      <c r="E494" s="256"/>
      <c r="F494" s="257">
        <v>15</v>
      </c>
      <c r="G494" s="258" t="s">
        <v>208</v>
      </c>
      <c r="H494" s="259"/>
      <c r="I494" s="541">
        <f t="shared" si="7"/>
        <v>103971.34999999993</v>
      </c>
      <c r="K494" s="243"/>
    </row>
    <row r="495" spans="2:11" ht="17" customHeight="1">
      <c r="B495" s="253">
        <v>45727</v>
      </c>
      <c r="C495" s="263" t="s">
        <v>649</v>
      </c>
      <c r="D495" s="255" t="s">
        <v>545</v>
      </c>
      <c r="E495" s="256"/>
      <c r="F495" s="257">
        <v>23</v>
      </c>
      <c r="G495" s="258" t="s">
        <v>208</v>
      </c>
      <c r="H495" s="259"/>
      <c r="I495" s="541">
        <f t="shared" si="7"/>
        <v>103948.34999999993</v>
      </c>
      <c r="K495" s="243"/>
    </row>
    <row r="496" spans="2:11" ht="17" customHeight="1">
      <c r="B496" s="253">
        <v>45727</v>
      </c>
      <c r="C496" s="263" t="s">
        <v>283</v>
      </c>
      <c r="D496" s="255" t="s">
        <v>283</v>
      </c>
      <c r="E496" s="256">
        <f>633.3-E497</f>
        <v>586.55999999999995</v>
      </c>
      <c r="F496" s="257"/>
      <c r="G496" s="258" t="str">
        <f>IFERROR(VLOOKUP(D496,#REF!,2,FALSE),"_")</f>
        <v>_</v>
      </c>
      <c r="H496" s="259"/>
      <c r="I496" s="541">
        <f t="shared" si="7"/>
        <v>104534.90999999993</v>
      </c>
      <c r="K496" s="243"/>
    </row>
    <row r="497" spans="2:11" ht="17" customHeight="1">
      <c r="B497" s="253">
        <v>45727</v>
      </c>
      <c r="C497" s="263" t="s">
        <v>283</v>
      </c>
      <c r="D497" s="255" t="s">
        <v>508</v>
      </c>
      <c r="E497" s="256">
        <v>46.74</v>
      </c>
      <c r="F497" s="257"/>
      <c r="G497" s="258" t="str">
        <f>IFERROR(VLOOKUP(D497,#REF!,2,FALSE),"_")</f>
        <v>_</v>
      </c>
      <c r="H497" s="259"/>
      <c r="I497" s="541">
        <f t="shared" si="7"/>
        <v>104581.64999999994</v>
      </c>
      <c r="K497" s="243"/>
    </row>
    <row r="498" spans="2:11" ht="17" customHeight="1">
      <c r="B498" s="253">
        <v>45728</v>
      </c>
      <c r="C498" s="263" t="s">
        <v>117</v>
      </c>
      <c r="D498" s="255" t="s">
        <v>394</v>
      </c>
      <c r="E498" s="256"/>
      <c r="F498" s="257">
        <v>385.65</v>
      </c>
      <c r="G498" s="258" t="s">
        <v>199</v>
      </c>
      <c r="H498" s="259"/>
      <c r="I498" s="541">
        <f t="shared" si="7"/>
        <v>104195.99999999994</v>
      </c>
      <c r="K498" s="243"/>
    </row>
    <row r="499" spans="2:11" ht="17" customHeight="1">
      <c r="B499" s="253">
        <v>45728</v>
      </c>
      <c r="C499" s="263" t="s">
        <v>117</v>
      </c>
      <c r="D499" s="255" t="s">
        <v>650</v>
      </c>
      <c r="E499" s="256"/>
      <c r="F499" s="257">
        <v>2454</v>
      </c>
      <c r="G499" s="258" t="s">
        <v>194</v>
      </c>
      <c r="H499" s="259"/>
      <c r="I499" s="541">
        <f t="shared" si="7"/>
        <v>101741.99999999994</v>
      </c>
      <c r="K499" s="243"/>
    </row>
    <row r="500" spans="2:11" ht="17" customHeight="1">
      <c r="B500" s="253">
        <v>45728</v>
      </c>
      <c r="C500" s="263" t="s">
        <v>117</v>
      </c>
      <c r="D500" s="255" t="s">
        <v>385</v>
      </c>
      <c r="E500" s="256"/>
      <c r="F500" s="257">
        <v>820</v>
      </c>
      <c r="G500" s="258" t="s">
        <v>194</v>
      </c>
      <c r="H500" s="259"/>
      <c r="I500" s="541">
        <f t="shared" si="7"/>
        <v>100921.99999999994</v>
      </c>
      <c r="K500" s="243"/>
    </row>
    <row r="501" spans="2:11" ht="17" customHeight="1">
      <c r="B501" s="253">
        <v>45728</v>
      </c>
      <c r="C501" s="263" t="s">
        <v>117</v>
      </c>
      <c r="D501" s="255" t="s">
        <v>563</v>
      </c>
      <c r="E501" s="256"/>
      <c r="F501" s="257">
        <v>92</v>
      </c>
      <c r="G501" s="258" t="s">
        <v>249</v>
      </c>
      <c r="H501" s="259"/>
      <c r="I501" s="541">
        <f t="shared" si="7"/>
        <v>100829.99999999994</v>
      </c>
      <c r="K501" s="243"/>
    </row>
    <row r="502" spans="2:11" ht="17" customHeight="1">
      <c r="B502" s="253">
        <v>45728</v>
      </c>
      <c r="C502" s="263" t="s">
        <v>651</v>
      </c>
      <c r="D502" s="255" t="s">
        <v>545</v>
      </c>
      <c r="E502" s="256"/>
      <c r="F502" s="257">
        <v>47</v>
      </c>
      <c r="G502" s="258" t="s">
        <v>208</v>
      </c>
      <c r="H502" s="259"/>
      <c r="I502" s="541">
        <f t="shared" si="7"/>
        <v>100782.99999999994</v>
      </c>
      <c r="K502" s="243"/>
    </row>
    <row r="503" spans="2:11" ht="17" customHeight="1">
      <c r="B503" s="253">
        <v>45728</v>
      </c>
      <c r="C503" s="263" t="s">
        <v>652</v>
      </c>
      <c r="D503" s="255" t="s">
        <v>545</v>
      </c>
      <c r="E503" s="256"/>
      <c r="F503" s="257">
        <v>27</v>
      </c>
      <c r="G503" s="258" t="s">
        <v>208</v>
      </c>
      <c r="H503" s="259"/>
      <c r="I503" s="541">
        <f t="shared" si="7"/>
        <v>100755.99999999994</v>
      </c>
      <c r="K503" s="243"/>
    </row>
    <row r="504" spans="2:11" ht="17" customHeight="1">
      <c r="B504" s="253">
        <v>45728</v>
      </c>
      <c r="C504" s="263" t="s">
        <v>513</v>
      </c>
      <c r="D504" s="255" t="s">
        <v>653</v>
      </c>
      <c r="E504" s="256"/>
      <c r="F504" s="257">
        <v>65</v>
      </c>
      <c r="G504" s="258" t="s">
        <v>248</v>
      </c>
      <c r="H504" s="259"/>
      <c r="I504" s="541">
        <f t="shared" si="7"/>
        <v>100690.99999999994</v>
      </c>
      <c r="K504" s="243"/>
    </row>
    <row r="505" spans="2:11" ht="17" customHeight="1">
      <c r="B505" s="253">
        <v>45728</v>
      </c>
      <c r="C505" s="263" t="s">
        <v>283</v>
      </c>
      <c r="D505" s="255" t="s">
        <v>283</v>
      </c>
      <c r="E505" s="256">
        <f>340-E506</f>
        <v>306.27</v>
      </c>
      <c r="F505" s="257"/>
      <c r="G505" s="258" t="str">
        <f>IFERROR(VLOOKUP(D505,#REF!,2,FALSE),"_")</f>
        <v>_</v>
      </c>
      <c r="H505" s="259"/>
      <c r="I505" s="541">
        <f t="shared" si="7"/>
        <v>100997.26999999995</v>
      </c>
      <c r="K505" s="243"/>
    </row>
    <row r="506" spans="2:11" ht="17" customHeight="1">
      <c r="B506" s="253">
        <v>45728</v>
      </c>
      <c r="C506" s="263" t="s">
        <v>283</v>
      </c>
      <c r="D506" s="255" t="s">
        <v>508</v>
      </c>
      <c r="E506" s="256">
        <v>33.729999999999997</v>
      </c>
      <c r="F506" s="257"/>
      <c r="G506" s="258" t="str">
        <f>IFERROR(VLOOKUP(D506,#REF!,2,FALSE),"_")</f>
        <v>_</v>
      </c>
      <c r="H506" s="259"/>
      <c r="I506" s="541">
        <f t="shared" si="7"/>
        <v>101030.99999999994</v>
      </c>
      <c r="K506" s="243"/>
    </row>
    <row r="507" spans="2:11" ht="17" customHeight="1">
      <c r="B507" s="253">
        <v>45729</v>
      </c>
      <c r="C507" s="263" t="s">
        <v>117</v>
      </c>
      <c r="D507" s="255" t="s">
        <v>635</v>
      </c>
      <c r="E507" s="256"/>
      <c r="F507" s="257">
        <v>15.9</v>
      </c>
      <c r="G507" s="258" t="s">
        <v>208</v>
      </c>
      <c r="H507" s="259"/>
      <c r="I507" s="541">
        <f t="shared" si="7"/>
        <v>101015.09999999995</v>
      </c>
      <c r="K507" s="243"/>
    </row>
    <row r="508" spans="2:11" ht="17" customHeight="1">
      <c r="B508" s="253">
        <v>45729</v>
      </c>
      <c r="C508" s="263" t="s">
        <v>117</v>
      </c>
      <c r="D508" s="255" t="s">
        <v>549</v>
      </c>
      <c r="E508" s="256"/>
      <c r="F508" s="257">
        <v>14.5</v>
      </c>
      <c r="G508" s="258" t="s">
        <v>256</v>
      </c>
      <c r="H508" s="259"/>
      <c r="I508" s="541">
        <f t="shared" si="7"/>
        <v>101000.59999999995</v>
      </c>
      <c r="K508" s="243"/>
    </row>
    <row r="509" spans="2:11" ht="17" customHeight="1">
      <c r="B509" s="253">
        <v>45729</v>
      </c>
      <c r="C509" s="263" t="s">
        <v>283</v>
      </c>
      <c r="D509" s="255" t="s">
        <v>283</v>
      </c>
      <c r="E509" s="256">
        <f>743.6-E510</f>
        <v>679.06000000000006</v>
      </c>
      <c r="F509" s="257"/>
      <c r="G509" s="258" t="str">
        <f>IFERROR(VLOOKUP(D509,#REF!,2,FALSE),"_")</f>
        <v>_</v>
      </c>
      <c r="H509" s="259"/>
      <c r="I509" s="541">
        <f t="shared" si="7"/>
        <v>101679.65999999995</v>
      </c>
      <c r="K509" s="243"/>
    </row>
    <row r="510" spans="2:11" ht="17" customHeight="1">
      <c r="B510" s="253">
        <v>45729</v>
      </c>
      <c r="C510" s="263" t="s">
        <v>283</v>
      </c>
      <c r="D510" s="255" t="s">
        <v>508</v>
      </c>
      <c r="E510" s="256">
        <v>64.540000000000006</v>
      </c>
      <c r="F510" s="257"/>
      <c r="G510" s="258" t="str">
        <f>IFERROR(VLOOKUP(D510,#REF!,2,FALSE),"_")</f>
        <v>_</v>
      </c>
      <c r="H510" s="259"/>
      <c r="I510" s="541">
        <f t="shared" si="7"/>
        <v>101744.19999999994</v>
      </c>
      <c r="K510" s="243"/>
    </row>
    <row r="511" spans="2:11" ht="17" customHeight="1">
      <c r="B511" s="253">
        <v>45730</v>
      </c>
      <c r="C511" s="263" t="s">
        <v>654</v>
      </c>
      <c r="D511" s="255" t="s">
        <v>545</v>
      </c>
      <c r="E511" s="256"/>
      <c r="F511" s="257">
        <v>6</v>
      </c>
      <c r="G511" s="258" t="s">
        <v>208</v>
      </c>
      <c r="H511" s="259"/>
      <c r="I511" s="541">
        <f t="shared" si="7"/>
        <v>101738.19999999994</v>
      </c>
      <c r="K511" s="243"/>
    </row>
    <row r="512" spans="2:11" ht="17" customHeight="1">
      <c r="B512" s="253">
        <v>45730</v>
      </c>
      <c r="C512" s="263" t="s">
        <v>655</v>
      </c>
      <c r="D512" s="261" t="s">
        <v>545</v>
      </c>
      <c r="E512" s="256"/>
      <c r="F512" s="257">
        <v>9.1999999999999993</v>
      </c>
      <c r="G512" s="258" t="s">
        <v>208</v>
      </c>
      <c r="H512" s="259"/>
      <c r="I512" s="541">
        <f t="shared" si="7"/>
        <v>101728.99999999994</v>
      </c>
      <c r="K512" s="243"/>
    </row>
    <row r="513" spans="2:11" ht="17" customHeight="1">
      <c r="B513" s="253">
        <v>45730</v>
      </c>
      <c r="C513" s="263" t="s">
        <v>656</v>
      </c>
      <c r="D513" s="261" t="s">
        <v>545</v>
      </c>
      <c r="E513" s="256"/>
      <c r="F513" s="257">
        <v>17.899999999999999</v>
      </c>
      <c r="G513" s="258" t="s">
        <v>208</v>
      </c>
      <c r="H513" s="259"/>
      <c r="I513" s="541">
        <f t="shared" si="7"/>
        <v>101711.09999999995</v>
      </c>
      <c r="K513" s="243"/>
    </row>
    <row r="514" spans="2:11" ht="17" customHeight="1">
      <c r="B514" s="253">
        <v>45730</v>
      </c>
      <c r="C514" s="263" t="s">
        <v>657</v>
      </c>
      <c r="D514" s="261" t="s">
        <v>545</v>
      </c>
      <c r="E514" s="256"/>
      <c r="F514" s="257">
        <v>8</v>
      </c>
      <c r="G514" s="258" t="s">
        <v>208</v>
      </c>
      <c r="H514" s="259"/>
      <c r="I514" s="541">
        <f t="shared" si="7"/>
        <v>101703.09999999995</v>
      </c>
      <c r="K514" s="243"/>
    </row>
    <row r="515" spans="2:11" ht="17" customHeight="1">
      <c r="B515" s="253">
        <v>45730</v>
      </c>
      <c r="C515" s="263" t="s">
        <v>658</v>
      </c>
      <c r="D515" s="255" t="s">
        <v>545</v>
      </c>
      <c r="E515" s="256"/>
      <c r="F515" s="257">
        <v>14</v>
      </c>
      <c r="G515" s="258" t="s">
        <v>208</v>
      </c>
      <c r="H515" s="259"/>
      <c r="I515" s="541">
        <f t="shared" si="7"/>
        <v>101689.09999999995</v>
      </c>
      <c r="K515" s="243"/>
    </row>
    <row r="516" spans="2:11" ht="17" customHeight="1">
      <c r="B516" s="253">
        <v>45730</v>
      </c>
      <c r="C516" s="263" t="s">
        <v>659</v>
      </c>
      <c r="D516" s="261" t="s">
        <v>545</v>
      </c>
      <c r="E516" s="256"/>
      <c r="F516" s="257">
        <v>27.9</v>
      </c>
      <c r="G516" s="258" t="s">
        <v>208</v>
      </c>
      <c r="H516" s="259"/>
      <c r="I516" s="541">
        <f t="shared" si="7"/>
        <v>101661.19999999995</v>
      </c>
      <c r="K516" s="243"/>
    </row>
    <row r="517" spans="2:11" ht="17" customHeight="1">
      <c r="B517" s="253">
        <v>45730</v>
      </c>
      <c r="C517" s="263" t="s">
        <v>117</v>
      </c>
      <c r="D517" s="261" t="s">
        <v>306</v>
      </c>
      <c r="E517" s="256"/>
      <c r="F517" s="257">
        <v>40.549999999999997</v>
      </c>
      <c r="G517" s="258" t="s">
        <v>194</v>
      </c>
      <c r="H517" s="259"/>
      <c r="I517" s="541">
        <f t="shared" si="7"/>
        <v>101620.64999999995</v>
      </c>
      <c r="K517" s="243"/>
    </row>
    <row r="518" spans="2:11" ht="17" customHeight="1">
      <c r="B518" s="253">
        <v>45730</v>
      </c>
      <c r="C518" s="263" t="s">
        <v>117</v>
      </c>
      <c r="D518" s="261" t="s">
        <v>306</v>
      </c>
      <c r="E518" s="256"/>
      <c r="F518" s="257">
        <v>159.80000000000001</v>
      </c>
      <c r="G518" s="258" t="s">
        <v>194</v>
      </c>
      <c r="H518" s="259"/>
      <c r="I518" s="541">
        <f t="shared" si="7"/>
        <v>101460.84999999995</v>
      </c>
      <c r="K518" s="243"/>
    </row>
    <row r="519" spans="2:11" ht="17" customHeight="1">
      <c r="B519" s="253">
        <v>45730</v>
      </c>
      <c r="C519" s="263" t="s">
        <v>117</v>
      </c>
      <c r="D519" s="261" t="s">
        <v>306</v>
      </c>
      <c r="E519" s="256"/>
      <c r="F519" s="257">
        <v>1583.05</v>
      </c>
      <c r="G519" s="258" t="s">
        <v>194</v>
      </c>
      <c r="H519" s="259"/>
      <c r="I519" s="541">
        <f t="shared" si="7"/>
        <v>99877.799999999945</v>
      </c>
      <c r="K519" s="243"/>
    </row>
    <row r="520" spans="2:11" ht="17" customHeight="1">
      <c r="B520" s="253">
        <v>45730</v>
      </c>
      <c r="C520" s="263" t="s">
        <v>117</v>
      </c>
      <c r="D520" s="261" t="s">
        <v>306</v>
      </c>
      <c r="E520" s="256"/>
      <c r="F520" s="257">
        <v>148.25</v>
      </c>
      <c r="G520" s="258" t="s">
        <v>194</v>
      </c>
      <c r="H520" s="259"/>
      <c r="I520" s="541">
        <f t="shared" si="7"/>
        <v>99729.549999999945</v>
      </c>
      <c r="K520" s="243"/>
    </row>
    <row r="521" spans="2:11" ht="17" customHeight="1">
      <c r="B521" s="253">
        <v>45730</v>
      </c>
      <c r="C521" s="263" t="s">
        <v>117</v>
      </c>
      <c r="D521" s="261" t="s">
        <v>306</v>
      </c>
      <c r="E521" s="256"/>
      <c r="F521" s="257">
        <v>150.85</v>
      </c>
      <c r="G521" s="258" t="s">
        <v>194</v>
      </c>
      <c r="H521" s="259"/>
      <c r="I521" s="541">
        <f t="shared" ref="I521:I584" si="8">I520+E521-F521</f>
        <v>99578.699999999939</v>
      </c>
      <c r="K521" s="243"/>
    </row>
    <row r="522" spans="2:11" ht="17" customHeight="1">
      <c r="B522" s="253">
        <v>45730</v>
      </c>
      <c r="C522" s="263" t="s">
        <v>117</v>
      </c>
      <c r="D522" s="261" t="s">
        <v>306</v>
      </c>
      <c r="E522" s="256"/>
      <c r="F522" s="257">
        <v>288.64999999999998</v>
      </c>
      <c r="G522" s="258" t="s">
        <v>194</v>
      </c>
      <c r="H522" s="259"/>
      <c r="I522" s="541">
        <f t="shared" si="8"/>
        <v>99290.049999999945</v>
      </c>
      <c r="K522" s="243"/>
    </row>
    <row r="523" spans="2:11" ht="17" customHeight="1">
      <c r="B523" s="253">
        <v>45730</v>
      </c>
      <c r="C523" s="263" t="s">
        <v>660</v>
      </c>
      <c r="D523" s="255" t="s">
        <v>512</v>
      </c>
      <c r="E523" s="256"/>
      <c r="F523" s="257">
        <f>27.6-1.06</f>
        <v>26.540000000000003</v>
      </c>
      <c r="G523" s="258" t="s">
        <v>199</v>
      </c>
      <c r="H523" s="259"/>
      <c r="I523" s="541">
        <f t="shared" si="8"/>
        <v>99263.509999999951</v>
      </c>
      <c r="K523" s="243"/>
    </row>
    <row r="524" spans="2:11" ht="17" customHeight="1">
      <c r="B524" s="253">
        <v>45730</v>
      </c>
      <c r="C524" s="263" t="s">
        <v>660</v>
      </c>
      <c r="D524" s="255" t="s">
        <v>512</v>
      </c>
      <c r="E524" s="256"/>
      <c r="F524" s="257">
        <v>1.06</v>
      </c>
      <c r="G524" s="258" t="s">
        <v>274</v>
      </c>
      <c r="H524" s="259"/>
      <c r="I524" s="541">
        <f t="shared" si="8"/>
        <v>99262.449999999953</v>
      </c>
      <c r="K524" s="243"/>
    </row>
    <row r="525" spans="2:11" ht="17" customHeight="1">
      <c r="B525" s="253">
        <v>45730</v>
      </c>
      <c r="C525" s="263" t="s">
        <v>283</v>
      </c>
      <c r="D525" s="255" t="s">
        <v>283</v>
      </c>
      <c r="E525" s="256">
        <f>1154.75-E526</f>
        <v>979.7</v>
      </c>
      <c r="F525" s="257"/>
      <c r="G525" s="258" t="str">
        <f>IFERROR(VLOOKUP(D525,#REF!,2,FALSE),"_")</f>
        <v>_</v>
      </c>
      <c r="H525" s="259"/>
      <c r="I525" s="541">
        <f t="shared" si="8"/>
        <v>100242.14999999995</v>
      </c>
      <c r="K525" s="243"/>
    </row>
    <row r="526" spans="2:11" ht="17" customHeight="1">
      <c r="B526" s="253">
        <v>45730</v>
      </c>
      <c r="C526" s="263" t="s">
        <v>283</v>
      </c>
      <c r="D526" s="255" t="s">
        <v>508</v>
      </c>
      <c r="E526" s="256">
        <v>175.05</v>
      </c>
      <c r="F526" s="257"/>
      <c r="G526" s="258" t="str">
        <f>IFERROR(VLOOKUP(D526,#REF!,2,FALSE),"_")</f>
        <v>_</v>
      </c>
      <c r="H526" s="259"/>
      <c r="I526" s="541">
        <f t="shared" si="8"/>
        <v>100417.19999999995</v>
      </c>
      <c r="K526" s="243"/>
    </row>
    <row r="527" spans="2:11" ht="17" customHeight="1">
      <c r="B527" s="253">
        <v>45730</v>
      </c>
      <c r="C527" s="263" t="s">
        <v>283</v>
      </c>
      <c r="D527" s="255" t="s">
        <v>283</v>
      </c>
      <c r="E527" s="256">
        <v>200</v>
      </c>
      <c r="F527" s="257"/>
      <c r="G527" s="258" t="str">
        <f>IFERROR(VLOOKUP(D527,#REF!,2,FALSE),"_")</f>
        <v>_</v>
      </c>
      <c r="H527" s="259" t="s">
        <v>661</v>
      </c>
      <c r="I527" s="541">
        <f t="shared" si="8"/>
        <v>100617.19999999995</v>
      </c>
      <c r="K527" s="243"/>
    </row>
    <row r="528" spans="2:11" ht="17" customHeight="1">
      <c r="B528" s="253">
        <v>45731</v>
      </c>
      <c r="C528" s="263" t="s">
        <v>117</v>
      </c>
      <c r="D528" s="255" t="s">
        <v>517</v>
      </c>
      <c r="E528" s="256"/>
      <c r="F528" s="257">
        <v>80</v>
      </c>
      <c r="G528" s="258" t="s">
        <v>234</v>
      </c>
      <c r="H528" s="259"/>
      <c r="I528" s="541">
        <f t="shared" si="8"/>
        <v>100537.19999999995</v>
      </c>
      <c r="K528" s="243"/>
    </row>
    <row r="529" spans="2:11" ht="17" customHeight="1">
      <c r="B529" s="253">
        <v>45731</v>
      </c>
      <c r="C529" s="263" t="s">
        <v>283</v>
      </c>
      <c r="D529" s="255" t="s">
        <v>283</v>
      </c>
      <c r="E529" s="256">
        <f>1776-E530</f>
        <v>1424.95</v>
      </c>
      <c r="F529" s="257"/>
      <c r="G529" s="258" t="str">
        <f>IFERROR(VLOOKUP(D529,#REF!,2,FALSE),"_")</f>
        <v>_</v>
      </c>
      <c r="H529" s="259"/>
      <c r="I529" s="541">
        <f t="shared" si="8"/>
        <v>101962.14999999995</v>
      </c>
      <c r="K529" s="243"/>
    </row>
    <row r="530" spans="2:11" ht="17" customHeight="1">
      <c r="B530" s="253">
        <v>45731</v>
      </c>
      <c r="C530" s="263" t="s">
        <v>283</v>
      </c>
      <c r="D530" s="255" t="s">
        <v>508</v>
      </c>
      <c r="E530" s="256">
        <v>351.05</v>
      </c>
      <c r="F530" s="257"/>
      <c r="G530" s="258" t="str">
        <f>IFERROR(VLOOKUP(D530,#REF!,2,FALSE),"_")</f>
        <v>_</v>
      </c>
      <c r="H530" s="259"/>
      <c r="I530" s="541">
        <f t="shared" si="8"/>
        <v>102313.19999999995</v>
      </c>
      <c r="K530" s="243"/>
    </row>
    <row r="531" spans="2:11" ht="17" customHeight="1">
      <c r="B531" s="253">
        <v>45732</v>
      </c>
      <c r="C531" s="263" t="s">
        <v>117</v>
      </c>
      <c r="D531" s="261" t="s">
        <v>576</v>
      </c>
      <c r="E531" s="256"/>
      <c r="F531" s="257">
        <v>30</v>
      </c>
      <c r="G531" s="258" t="s">
        <v>248</v>
      </c>
      <c r="H531" s="259"/>
      <c r="I531" s="541">
        <f t="shared" si="8"/>
        <v>102283.19999999995</v>
      </c>
      <c r="K531" s="243"/>
    </row>
    <row r="532" spans="2:11" ht="17" customHeight="1">
      <c r="B532" s="253">
        <v>45732</v>
      </c>
      <c r="C532" s="263" t="s">
        <v>117</v>
      </c>
      <c r="D532" s="255" t="s">
        <v>530</v>
      </c>
      <c r="E532" s="256"/>
      <c r="F532" s="257">
        <v>500</v>
      </c>
      <c r="G532" s="258" t="s">
        <v>229</v>
      </c>
      <c r="H532" s="259"/>
      <c r="I532" s="541">
        <f t="shared" si="8"/>
        <v>101783.19999999995</v>
      </c>
      <c r="K532" s="243"/>
    </row>
    <row r="533" spans="2:11" ht="17" customHeight="1">
      <c r="B533" s="253">
        <v>45732</v>
      </c>
      <c r="C533" s="263" t="s">
        <v>117</v>
      </c>
      <c r="D533" s="255" t="s">
        <v>526</v>
      </c>
      <c r="E533" s="256"/>
      <c r="F533" s="257">
        <v>50</v>
      </c>
      <c r="G533" s="258" t="s">
        <v>229</v>
      </c>
      <c r="H533" s="259"/>
      <c r="I533" s="541">
        <f t="shared" si="8"/>
        <v>101733.19999999995</v>
      </c>
      <c r="K533" s="243"/>
    </row>
    <row r="534" spans="2:11" ht="17" customHeight="1">
      <c r="B534" s="253">
        <v>45732</v>
      </c>
      <c r="C534" s="263" t="s">
        <v>117</v>
      </c>
      <c r="D534" s="255" t="s">
        <v>526</v>
      </c>
      <c r="E534" s="256"/>
      <c r="F534" s="257">
        <v>135</v>
      </c>
      <c r="G534" s="258" t="s">
        <v>229</v>
      </c>
      <c r="H534" s="259"/>
      <c r="I534" s="541">
        <f t="shared" si="8"/>
        <v>101598.19999999995</v>
      </c>
      <c r="K534" s="243"/>
    </row>
    <row r="535" spans="2:11" ht="17" customHeight="1">
      <c r="B535" s="253">
        <v>45732</v>
      </c>
      <c r="C535" s="263" t="s">
        <v>117</v>
      </c>
      <c r="D535" s="261" t="s">
        <v>525</v>
      </c>
      <c r="E535" s="256"/>
      <c r="F535" s="257">
        <v>100</v>
      </c>
      <c r="G535" s="258" t="s">
        <v>229</v>
      </c>
      <c r="H535" s="259"/>
      <c r="I535" s="541">
        <f t="shared" si="8"/>
        <v>101498.19999999995</v>
      </c>
      <c r="K535" s="243"/>
    </row>
    <row r="536" spans="2:11" ht="17" customHeight="1">
      <c r="B536" s="253">
        <v>45732</v>
      </c>
      <c r="C536" s="263" t="s">
        <v>117</v>
      </c>
      <c r="D536" s="261" t="s">
        <v>531</v>
      </c>
      <c r="E536" s="256"/>
      <c r="F536" s="257">
        <v>50</v>
      </c>
      <c r="G536" s="258" t="s">
        <v>229</v>
      </c>
      <c r="H536" s="259"/>
      <c r="I536" s="541">
        <f t="shared" si="8"/>
        <v>101448.19999999995</v>
      </c>
      <c r="K536" s="243"/>
    </row>
    <row r="537" spans="2:11" ht="17" customHeight="1">
      <c r="B537" s="253">
        <v>45732</v>
      </c>
      <c r="C537" s="263" t="s">
        <v>117</v>
      </c>
      <c r="D537" s="255" t="s">
        <v>529</v>
      </c>
      <c r="E537" s="256"/>
      <c r="F537" s="257">
        <v>70</v>
      </c>
      <c r="G537" s="258" t="s">
        <v>233</v>
      </c>
      <c r="H537" s="259"/>
      <c r="I537" s="541">
        <f t="shared" si="8"/>
        <v>101378.19999999995</v>
      </c>
      <c r="K537" s="243"/>
    </row>
    <row r="538" spans="2:11" ht="17" customHeight="1">
      <c r="B538" s="253">
        <v>45732</v>
      </c>
      <c r="C538" s="263" t="s">
        <v>117</v>
      </c>
      <c r="D538" s="261" t="s">
        <v>532</v>
      </c>
      <c r="E538" s="256"/>
      <c r="F538" s="257">
        <v>400</v>
      </c>
      <c r="G538" s="258" t="s">
        <v>231</v>
      </c>
      <c r="H538" s="259"/>
      <c r="I538" s="541">
        <f t="shared" si="8"/>
        <v>100978.19999999995</v>
      </c>
      <c r="K538" s="243"/>
    </row>
    <row r="539" spans="2:11" ht="17" customHeight="1">
      <c r="B539" s="253">
        <v>45732</v>
      </c>
      <c r="C539" s="263" t="s">
        <v>117</v>
      </c>
      <c r="D539" s="261" t="s">
        <v>662</v>
      </c>
      <c r="E539" s="256"/>
      <c r="F539" s="257"/>
      <c r="G539" s="258" t="s">
        <v>231</v>
      </c>
      <c r="H539" s="259"/>
      <c r="I539" s="541">
        <f t="shared" si="8"/>
        <v>100978.19999999995</v>
      </c>
      <c r="K539" s="243"/>
    </row>
    <row r="540" spans="2:11" ht="17" customHeight="1">
      <c r="B540" s="253">
        <v>45732</v>
      </c>
      <c r="C540" s="263" t="s">
        <v>117</v>
      </c>
      <c r="D540" s="255" t="s">
        <v>533</v>
      </c>
      <c r="E540" s="256"/>
      <c r="F540" s="257">
        <f>280-15.4</f>
        <v>264.60000000000002</v>
      </c>
      <c r="G540" s="258" t="s">
        <v>230</v>
      </c>
      <c r="H540" s="259"/>
      <c r="I540" s="541">
        <f t="shared" si="8"/>
        <v>100713.59999999995</v>
      </c>
      <c r="K540" s="243"/>
    </row>
    <row r="541" spans="2:11" ht="17" customHeight="1">
      <c r="B541" s="253">
        <v>45732</v>
      </c>
      <c r="C541" s="263" t="s">
        <v>663</v>
      </c>
      <c r="D541" s="255" t="s">
        <v>533</v>
      </c>
      <c r="E541" s="256"/>
      <c r="F541" s="257">
        <v>15.4</v>
      </c>
      <c r="G541" s="258" t="s">
        <v>274</v>
      </c>
      <c r="H541" s="259"/>
      <c r="I541" s="541">
        <f t="shared" si="8"/>
        <v>100698.19999999995</v>
      </c>
      <c r="K541" s="243"/>
    </row>
    <row r="542" spans="2:11" ht="17" customHeight="1">
      <c r="B542" s="253">
        <v>45732</v>
      </c>
      <c r="C542" s="263" t="s">
        <v>117</v>
      </c>
      <c r="D542" s="255" t="s">
        <v>664</v>
      </c>
      <c r="E542" s="256"/>
      <c r="F542" s="257">
        <v>100</v>
      </c>
      <c r="G542" s="258" t="s">
        <v>230</v>
      </c>
      <c r="H542" s="259"/>
      <c r="I542" s="541">
        <f t="shared" si="8"/>
        <v>100598.19999999995</v>
      </c>
      <c r="K542" s="243"/>
    </row>
    <row r="543" spans="2:11" ht="17" customHeight="1">
      <c r="B543" s="253">
        <v>45732</v>
      </c>
      <c r="C543" s="263" t="s">
        <v>117</v>
      </c>
      <c r="D543" s="255" t="s">
        <v>527</v>
      </c>
      <c r="E543" s="256"/>
      <c r="F543" s="257">
        <v>110</v>
      </c>
      <c r="G543" s="258" t="s">
        <v>233</v>
      </c>
      <c r="H543" s="259"/>
      <c r="I543" s="541">
        <f t="shared" si="8"/>
        <v>100488.19999999995</v>
      </c>
      <c r="K543" s="243"/>
    </row>
    <row r="544" spans="2:11" ht="17" customHeight="1">
      <c r="B544" s="253">
        <v>45732</v>
      </c>
      <c r="C544" s="263" t="s">
        <v>117</v>
      </c>
      <c r="D544" s="255" t="s">
        <v>528</v>
      </c>
      <c r="E544" s="256"/>
      <c r="F544" s="257">
        <v>150</v>
      </c>
      <c r="G544" s="258" t="s">
        <v>233</v>
      </c>
      <c r="H544" s="259"/>
      <c r="I544" s="541">
        <f t="shared" si="8"/>
        <v>100338.19999999995</v>
      </c>
      <c r="K544" s="243"/>
    </row>
    <row r="545" spans="2:11" ht="17" customHeight="1">
      <c r="B545" s="253">
        <v>45732</v>
      </c>
      <c r="C545" s="263" t="s">
        <v>513</v>
      </c>
      <c r="D545" s="255" t="s">
        <v>567</v>
      </c>
      <c r="E545" s="256"/>
      <c r="F545" s="257">
        <v>95</v>
      </c>
      <c r="G545" s="258" t="s">
        <v>227</v>
      </c>
      <c r="H545" s="259"/>
      <c r="I545" s="541">
        <f t="shared" si="8"/>
        <v>100243.19999999995</v>
      </c>
      <c r="K545" s="243"/>
    </row>
    <row r="546" spans="2:11" ht="17" customHeight="1">
      <c r="B546" s="253">
        <v>45732</v>
      </c>
      <c r="C546" s="263" t="s">
        <v>513</v>
      </c>
      <c r="D546" s="255" t="s">
        <v>567</v>
      </c>
      <c r="E546" s="256"/>
      <c r="F546" s="257">
        <v>36</v>
      </c>
      <c r="G546" s="258" t="s">
        <v>227</v>
      </c>
      <c r="H546" s="259"/>
      <c r="I546" s="541">
        <f t="shared" si="8"/>
        <v>100207.19999999995</v>
      </c>
      <c r="K546" s="243"/>
    </row>
    <row r="547" spans="2:11" ht="17" customHeight="1">
      <c r="B547" s="253">
        <v>45732</v>
      </c>
      <c r="C547" s="263" t="s">
        <v>513</v>
      </c>
      <c r="D547" s="255" t="s">
        <v>567</v>
      </c>
      <c r="E547" s="256"/>
      <c r="F547" s="257">
        <v>13.64</v>
      </c>
      <c r="G547" s="258" t="s">
        <v>250</v>
      </c>
      <c r="H547" s="259"/>
      <c r="I547" s="541">
        <f t="shared" si="8"/>
        <v>100193.55999999995</v>
      </c>
      <c r="K547" s="243"/>
    </row>
    <row r="548" spans="2:11" ht="17" customHeight="1">
      <c r="B548" s="253">
        <v>45732</v>
      </c>
      <c r="C548" s="263" t="s">
        <v>513</v>
      </c>
      <c r="D548" s="255" t="s">
        <v>535</v>
      </c>
      <c r="E548" s="256">
        <v>36</v>
      </c>
      <c r="F548" s="257"/>
      <c r="G548" s="258"/>
      <c r="H548" s="259" t="s">
        <v>586</v>
      </c>
      <c r="I548" s="541">
        <f t="shared" si="8"/>
        <v>100229.55999999995</v>
      </c>
      <c r="K548" s="243"/>
    </row>
    <row r="549" spans="2:11" ht="17" customHeight="1">
      <c r="B549" s="253">
        <v>45732</v>
      </c>
      <c r="C549" s="263" t="s">
        <v>513</v>
      </c>
      <c r="D549" s="255" t="s">
        <v>535</v>
      </c>
      <c r="E549" s="256">
        <v>13.64</v>
      </c>
      <c r="F549" s="257"/>
      <c r="G549" s="258"/>
      <c r="H549" s="259" t="s">
        <v>586</v>
      </c>
      <c r="I549" s="541">
        <f t="shared" si="8"/>
        <v>100243.19999999995</v>
      </c>
      <c r="K549" s="243"/>
    </row>
    <row r="550" spans="2:11" ht="17" customHeight="1">
      <c r="B550" s="253">
        <v>45732</v>
      </c>
      <c r="C550" s="263" t="s">
        <v>513</v>
      </c>
      <c r="D550" s="255" t="s">
        <v>31</v>
      </c>
      <c r="E550" s="256"/>
      <c r="F550" s="257"/>
      <c r="G550" s="258" t="s">
        <v>227</v>
      </c>
      <c r="H550" s="259"/>
      <c r="I550" s="541">
        <f t="shared" si="8"/>
        <v>100243.19999999995</v>
      </c>
      <c r="K550" s="243"/>
    </row>
    <row r="551" spans="2:11" ht="17" customHeight="1">
      <c r="B551" s="253">
        <v>45732</v>
      </c>
      <c r="C551" s="263" t="s">
        <v>513</v>
      </c>
      <c r="D551" s="255" t="s">
        <v>31</v>
      </c>
      <c r="E551" s="256"/>
      <c r="F551" s="257">
        <v>36</v>
      </c>
      <c r="G551" s="258" t="s">
        <v>245</v>
      </c>
      <c r="H551" s="259"/>
      <c r="I551" s="541">
        <f t="shared" si="8"/>
        <v>100207.19999999995</v>
      </c>
      <c r="K551" s="243"/>
    </row>
    <row r="552" spans="2:11" ht="17" customHeight="1">
      <c r="B552" s="253">
        <v>45732</v>
      </c>
      <c r="C552" s="263" t="s">
        <v>513</v>
      </c>
      <c r="D552" s="255" t="s">
        <v>31</v>
      </c>
      <c r="E552" s="256"/>
      <c r="F552" s="257">
        <v>13.64</v>
      </c>
      <c r="G552" s="258" t="s">
        <v>250</v>
      </c>
      <c r="H552" s="259"/>
      <c r="I552" s="541">
        <f t="shared" si="8"/>
        <v>100193.55999999995</v>
      </c>
      <c r="K552" s="243"/>
    </row>
    <row r="553" spans="2:11" ht="17" customHeight="1">
      <c r="B553" s="253">
        <v>45732</v>
      </c>
      <c r="C553" s="263" t="s">
        <v>513</v>
      </c>
      <c r="D553" s="255" t="s">
        <v>535</v>
      </c>
      <c r="E553" s="256">
        <v>36</v>
      </c>
      <c r="F553" s="257"/>
      <c r="G553" s="258"/>
      <c r="H553" s="259" t="s">
        <v>632</v>
      </c>
      <c r="I553" s="541">
        <f t="shared" si="8"/>
        <v>100229.55999999995</v>
      </c>
      <c r="K553" s="243"/>
    </row>
    <row r="554" spans="2:11" ht="17" customHeight="1">
      <c r="B554" s="253">
        <v>45732</v>
      </c>
      <c r="C554" s="263" t="s">
        <v>513</v>
      </c>
      <c r="D554" s="255" t="s">
        <v>535</v>
      </c>
      <c r="E554" s="256">
        <v>13.64</v>
      </c>
      <c r="F554" s="257"/>
      <c r="G554" s="258"/>
      <c r="H554" s="259" t="s">
        <v>632</v>
      </c>
      <c r="I554" s="541">
        <f t="shared" si="8"/>
        <v>100243.19999999995</v>
      </c>
      <c r="K554" s="243"/>
    </row>
    <row r="555" spans="2:11" ht="17" customHeight="1">
      <c r="B555" s="253">
        <v>45732</v>
      </c>
      <c r="C555" s="263" t="s">
        <v>513</v>
      </c>
      <c r="D555" s="255" t="s">
        <v>534</v>
      </c>
      <c r="E555" s="256"/>
      <c r="F555" s="257">
        <v>36</v>
      </c>
      <c r="G555" s="258" t="s">
        <v>245</v>
      </c>
      <c r="H555" s="259"/>
      <c r="I555" s="541">
        <f t="shared" si="8"/>
        <v>100207.19999999995</v>
      </c>
      <c r="K555" s="243"/>
    </row>
    <row r="556" spans="2:11" ht="17" customHeight="1">
      <c r="B556" s="253">
        <v>45732</v>
      </c>
      <c r="C556" s="263" t="s">
        <v>513</v>
      </c>
      <c r="D556" s="255" t="s">
        <v>534</v>
      </c>
      <c r="E556" s="256"/>
      <c r="F556" s="257">
        <v>13.64</v>
      </c>
      <c r="G556" s="258" t="s">
        <v>250</v>
      </c>
      <c r="H556" s="259"/>
      <c r="I556" s="541">
        <f t="shared" si="8"/>
        <v>100193.55999999995</v>
      </c>
      <c r="K556" s="243"/>
    </row>
    <row r="557" spans="2:11" ht="17" customHeight="1">
      <c r="B557" s="253">
        <v>45732</v>
      </c>
      <c r="C557" s="263" t="s">
        <v>513</v>
      </c>
      <c r="D557" s="255" t="s">
        <v>535</v>
      </c>
      <c r="E557" s="256">
        <v>36</v>
      </c>
      <c r="F557" s="257"/>
      <c r="G557" s="258"/>
      <c r="H557" s="259" t="s">
        <v>536</v>
      </c>
      <c r="I557" s="541">
        <f t="shared" si="8"/>
        <v>100229.55999999995</v>
      </c>
      <c r="K557" s="243"/>
    </row>
    <row r="558" spans="2:11" ht="17" customHeight="1">
      <c r="B558" s="253">
        <v>45732</v>
      </c>
      <c r="C558" s="263" t="s">
        <v>513</v>
      </c>
      <c r="D558" s="255" t="s">
        <v>535</v>
      </c>
      <c r="E558" s="256">
        <v>13.64</v>
      </c>
      <c r="F558" s="257"/>
      <c r="G558" s="258"/>
      <c r="H558" s="259" t="s">
        <v>536</v>
      </c>
      <c r="I558" s="541">
        <f t="shared" si="8"/>
        <v>100243.19999999995</v>
      </c>
      <c r="K558" s="243"/>
    </row>
    <row r="559" spans="2:11" ht="17" customHeight="1">
      <c r="B559" s="253">
        <v>45732</v>
      </c>
      <c r="C559" s="263" t="s">
        <v>283</v>
      </c>
      <c r="D559" s="255" t="s">
        <v>283</v>
      </c>
      <c r="E559" s="256">
        <f>5577.1-E560</f>
        <v>5037.9900000000007</v>
      </c>
      <c r="F559" s="257"/>
      <c r="G559" s="258" t="str">
        <f>IFERROR(VLOOKUP(D559,#REF!,2,FALSE),"_")</f>
        <v>_</v>
      </c>
      <c r="H559" s="259"/>
      <c r="I559" s="541">
        <f t="shared" si="8"/>
        <v>105281.18999999996</v>
      </c>
      <c r="K559" s="243"/>
    </row>
    <row r="560" spans="2:11" ht="17" customHeight="1">
      <c r="B560" s="253">
        <v>45732</v>
      </c>
      <c r="C560" s="263" t="s">
        <v>283</v>
      </c>
      <c r="D560" s="255" t="s">
        <v>508</v>
      </c>
      <c r="E560" s="256">
        <f>211.2+143.82+184.09</f>
        <v>539.11</v>
      </c>
      <c r="F560" s="257"/>
      <c r="G560" s="258" t="str">
        <f>IFERROR(VLOOKUP(D560,#REF!,2,FALSE),"_")</f>
        <v>_</v>
      </c>
      <c r="H560" s="259"/>
      <c r="I560" s="541">
        <f t="shared" si="8"/>
        <v>105820.29999999996</v>
      </c>
      <c r="K560" s="243"/>
    </row>
    <row r="561" spans="2:11" ht="17" customHeight="1">
      <c r="B561" s="253">
        <v>45733</v>
      </c>
      <c r="C561" s="263" t="s">
        <v>117</v>
      </c>
      <c r="D561" s="255" t="s">
        <v>590</v>
      </c>
      <c r="E561" s="256"/>
      <c r="F561" s="257">
        <v>300</v>
      </c>
      <c r="G561" s="258" t="s">
        <v>228</v>
      </c>
      <c r="H561" s="259"/>
      <c r="I561" s="541">
        <f t="shared" si="8"/>
        <v>105520.29999999996</v>
      </c>
      <c r="K561" s="243"/>
    </row>
    <row r="562" spans="2:11" ht="17" customHeight="1">
      <c r="B562" s="253">
        <v>45733</v>
      </c>
      <c r="C562" s="263" t="s">
        <v>283</v>
      </c>
      <c r="D562" s="255" t="s">
        <v>283</v>
      </c>
      <c r="E562" s="256">
        <f>296-E563</f>
        <v>230.28</v>
      </c>
      <c r="F562" s="257"/>
      <c r="G562" s="258" t="str">
        <f>IFERROR(VLOOKUP(D562,#REF!,2,FALSE),"_")</f>
        <v>_</v>
      </c>
      <c r="H562" s="259"/>
      <c r="I562" s="541">
        <f t="shared" si="8"/>
        <v>105750.57999999996</v>
      </c>
      <c r="K562" s="243"/>
    </row>
    <row r="563" spans="2:11" ht="17" customHeight="1">
      <c r="B563" s="253">
        <v>45733</v>
      </c>
      <c r="C563" s="263" t="s">
        <v>283</v>
      </c>
      <c r="D563" s="255" t="s">
        <v>508</v>
      </c>
      <c r="E563" s="256">
        <v>65.72</v>
      </c>
      <c r="F563" s="257"/>
      <c r="G563" s="258" t="str">
        <f>IFERROR(VLOOKUP(D563,#REF!,2,FALSE),"_")</f>
        <v>_</v>
      </c>
      <c r="H563" s="259"/>
      <c r="I563" s="541">
        <f t="shared" si="8"/>
        <v>105816.29999999996</v>
      </c>
      <c r="K563" s="243"/>
    </row>
    <row r="564" spans="2:11" ht="17" customHeight="1">
      <c r="B564" s="253">
        <v>45734</v>
      </c>
      <c r="C564" s="263" t="s">
        <v>665</v>
      </c>
      <c r="D564" s="255" t="s">
        <v>666</v>
      </c>
      <c r="E564" s="256"/>
      <c r="F564" s="257">
        <v>52.34</v>
      </c>
      <c r="G564" s="258" t="s">
        <v>208</v>
      </c>
      <c r="H564" s="259"/>
      <c r="I564" s="541">
        <f t="shared" si="8"/>
        <v>105763.95999999996</v>
      </c>
      <c r="K564" s="243"/>
    </row>
    <row r="565" spans="2:11" ht="17" customHeight="1">
      <c r="B565" s="253">
        <v>45734</v>
      </c>
      <c r="C565" s="263" t="s">
        <v>665</v>
      </c>
      <c r="D565" s="255" t="s">
        <v>666</v>
      </c>
      <c r="E565" s="256"/>
      <c r="F565" s="257">
        <v>11.51</v>
      </c>
      <c r="G565" s="258" t="s">
        <v>274</v>
      </c>
      <c r="H565" s="259"/>
      <c r="I565" s="541">
        <f t="shared" si="8"/>
        <v>105752.44999999997</v>
      </c>
      <c r="K565" s="243"/>
    </row>
    <row r="566" spans="2:11" ht="17" customHeight="1">
      <c r="B566" s="253">
        <v>45734</v>
      </c>
      <c r="C566" s="263" t="s">
        <v>117</v>
      </c>
      <c r="D566" s="255" t="s">
        <v>667</v>
      </c>
      <c r="E566" s="256"/>
      <c r="F566" s="257">
        <v>165.9</v>
      </c>
      <c r="G566" s="258" t="s">
        <v>208</v>
      </c>
      <c r="H566" s="264"/>
      <c r="I566" s="541">
        <f t="shared" si="8"/>
        <v>105586.54999999997</v>
      </c>
      <c r="K566" s="243"/>
    </row>
    <row r="567" spans="2:11" ht="17" customHeight="1">
      <c r="B567" s="253">
        <v>45734</v>
      </c>
      <c r="C567" s="263" t="s">
        <v>117</v>
      </c>
      <c r="D567" s="255" t="s">
        <v>668</v>
      </c>
      <c r="E567" s="256"/>
      <c r="F567" s="257">
        <v>21.95</v>
      </c>
      <c r="G567" s="258" t="s">
        <v>219</v>
      </c>
      <c r="H567" s="259"/>
      <c r="I567" s="541">
        <f t="shared" si="8"/>
        <v>105564.59999999998</v>
      </c>
      <c r="K567" s="243"/>
    </row>
    <row r="568" spans="2:11" ht="17" customHeight="1">
      <c r="B568" s="253">
        <v>45734</v>
      </c>
      <c r="C568" s="263" t="s">
        <v>117</v>
      </c>
      <c r="D568" s="255" t="s">
        <v>669</v>
      </c>
      <c r="E568" s="256"/>
      <c r="F568" s="257">
        <v>34.15</v>
      </c>
      <c r="G568" s="258" t="s">
        <v>208</v>
      </c>
      <c r="H568" s="259"/>
      <c r="I568" s="541">
        <f t="shared" si="8"/>
        <v>105530.44999999998</v>
      </c>
      <c r="K568" s="243"/>
    </row>
    <row r="569" spans="2:11" ht="17" customHeight="1">
      <c r="B569" s="253">
        <v>45734</v>
      </c>
      <c r="C569" s="263" t="s">
        <v>670</v>
      </c>
      <c r="D569" s="255" t="s">
        <v>545</v>
      </c>
      <c r="E569" s="256"/>
      <c r="F569" s="257">
        <v>17.600000000000001</v>
      </c>
      <c r="G569" s="258" t="s">
        <v>208</v>
      </c>
      <c r="H569" s="259"/>
      <c r="I569" s="541">
        <f t="shared" si="8"/>
        <v>105512.84999999998</v>
      </c>
      <c r="K569" s="243"/>
    </row>
    <row r="570" spans="2:11" ht="17" customHeight="1">
      <c r="B570" s="253">
        <v>45734</v>
      </c>
      <c r="C570" s="263" t="s">
        <v>671</v>
      </c>
      <c r="D570" s="255" t="s">
        <v>545</v>
      </c>
      <c r="E570" s="256"/>
      <c r="F570" s="257">
        <v>39</v>
      </c>
      <c r="G570" s="258" t="s">
        <v>208</v>
      </c>
      <c r="H570" s="259"/>
      <c r="I570" s="541">
        <f t="shared" si="8"/>
        <v>105473.84999999998</v>
      </c>
      <c r="K570" s="243"/>
    </row>
    <row r="571" spans="2:11" ht="17" customHeight="1">
      <c r="B571" s="253">
        <v>45734</v>
      </c>
      <c r="C571" s="263" t="s">
        <v>672</v>
      </c>
      <c r="D571" s="261" t="s">
        <v>545</v>
      </c>
      <c r="E571" s="256"/>
      <c r="F571" s="257">
        <v>26.4</v>
      </c>
      <c r="G571" s="258" t="s">
        <v>208</v>
      </c>
      <c r="H571" s="259"/>
      <c r="I571" s="541">
        <f t="shared" si="8"/>
        <v>105447.44999999998</v>
      </c>
      <c r="K571" s="243"/>
    </row>
    <row r="572" spans="2:11" ht="17" customHeight="1">
      <c r="B572" s="253">
        <v>45734</v>
      </c>
      <c r="C572" s="263" t="s">
        <v>286</v>
      </c>
      <c r="D572" s="255" t="s">
        <v>520</v>
      </c>
      <c r="E572" s="256"/>
      <c r="F572" s="257">
        <v>35</v>
      </c>
      <c r="G572" s="258" t="s">
        <v>139</v>
      </c>
      <c r="H572" s="259"/>
      <c r="I572" s="541">
        <f t="shared" si="8"/>
        <v>105412.44999999998</v>
      </c>
      <c r="K572" s="243"/>
    </row>
    <row r="573" spans="2:11" ht="17" customHeight="1">
      <c r="B573" s="253">
        <v>45734</v>
      </c>
      <c r="C573" s="263" t="s">
        <v>283</v>
      </c>
      <c r="D573" s="255" t="s">
        <v>283</v>
      </c>
      <c r="E573" s="256">
        <f>1091-E574</f>
        <v>930.35</v>
      </c>
      <c r="F573" s="257"/>
      <c r="G573" s="258" t="str">
        <f>IFERROR(VLOOKUP(D573,#REF!,2,FALSE),"_")</f>
        <v>_</v>
      </c>
      <c r="H573" s="259"/>
      <c r="I573" s="541">
        <f t="shared" si="8"/>
        <v>106342.79999999999</v>
      </c>
      <c r="K573" s="243"/>
    </row>
    <row r="574" spans="2:11" ht="17" customHeight="1">
      <c r="B574" s="253">
        <v>45734</v>
      </c>
      <c r="C574" s="263" t="s">
        <v>283</v>
      </c>
      <c r="D574" s="255" t="s">
        <v>508</v>
      </c>
      <c r="E574" s="256">
        <v>160.65</v>
      </c>
      <c r="F574" s="257"/>
      <c r="G574" s="258" t="str">
        <f>IFERROR(VLOOKUP(D574,#REF!,2,FALSE),"_")</f>
        <v>_</v>
      </c>
      <c r="H574" s="259"/>
      <c r="I574" s="541">
        <f t="shared" si="8"/>
        <v>106503.44999999998</v>
      </c>
      <c r="K574" s="243"/>
    </row>
    <row r="575" spans="2:11" ht="17" customHeight="1">
      <c r="B575" s="253">
        <v>45734</v>
      </c>
      <c r="C575" s="263" t="s">
        <v>283</v>
      </c>
      <c r="D575" s="255" t="s">
        <v>283</v>
      </c>
      <c r="E575" s="256">
        <v>400</v>
      </c>
      <c r="F575" s="257"/>
      <c r="G575" s="258" t="str">
        <f>IFERROR(VLOOKUP(D575,#REF!,2,FALSE),"_")</f>
        <v>_</v>
      </c>
      <c r="H575" s="259" t="s">
        <v>673</v>
      </c>
      <c r="I575" s="541">
        <f t="shared" si="8"/>
        <v>106903.44999999998</v>
      </c>
      <c r="K575" s="243"/>
    </row>
    <row r="576" spans="2:11" ht="17" customHeight="1">
      <c r="B576" s="253">
        <v>45735</v>
      </c>
      <c r="C576" s="263" t="s">
        <v>513</v>
      </c>
      <c r="D576" s="255" t="s">
        <v>563</v>
      </c>
      <c r="E576" s="256"/>
      <c r="F576" s="257">
        <v>107.5</v>
      </c>
      <c r="G576" s="258" t="s">
        <v>249</v>
      </c>
      <c r="H576" s="259"/>
      <c r="I576" s="541">
        <f t="shared" si="8"/>
        <v>106795.94999999998</v>
      </c>
      <c r="K576" s="243"/>
    </row>
    <row r="577" spans="2:11" ht="17" customHeight="1">
      <c r="B577" s="253">
        <v>45735</v>
      </c>
      <c r="C577" s="263" t="s">
        <v>117</v>
      </c>
      <c r="D577" s="255" t="s">
        <v>674</v>
      </c>
      <c r="E577" s="256"/>
      <c r="F577" s="257">
        <v>70</v>
      </c>
      <c r="G577" s="258" t="s">
        <v>208</v>
      </c>
      <c r="H577" s="259"/>
      <c r="I577" s="541">
        <f t="shared" si="8"/>
        <v>106725.94999999998</v>
      </c>
      <c r="K577" s="243"/>
    </row>
    <row r="578" spans="2:11" ht="17" customHeight="1">
      <c r="B578" s="253">
        <v>45735</v>
      </c>
      <c r="C578" s="263" t="s">
        <v>283</v>
      </c>
      <c r="D578" s="255" t="s">
        <v>283</v>
      </c>
      <c r="E578" s="256">
        <f>960.4-E579</f>
        <v>828.95</v>
      </c>
      <c r="F578" s="257"/>
      <c r="G578" s="258" t="str">
        <f>IFERROR(VLOOKUP(D578,#REF!,2,FALSE),"_")</f>
        <v>_</v>
      </c>
      <c r="H578" s="259"/>
      <c r="I578" s="541">
        <f t="shared" si="8"/>
        <v>107554.89999999998</v>
      </c>
      <c r="K578" s="243"/>
    </row>
    <row r="579" spans="2:11" ht="17" customHeight="1">
      <c r="B579" s="253">
        <v>45735</v>
      </c>
      <c r="C579" s="263" t="s">
        <v>283</v>
      </c>
      <c r="D579" s="255" t="s">
        <v>508</v>
      </c>
      <c r="E579" s="256">
        <v>131.44999999999999</v>
      </c>
      <c r="F579" s="257"/>
      <c r="G579" s="258" t="str">
        <f>IFERROR(VLOOKUP(D579,#REF!,2,FALSE),"_")</f>
        <v>_</v>
      </c>
      <c r="H579" s="259"/>
      <c r="I579" s="541">
        <f t="shared" si="8"/>
        <v>107686.34999999998</v>
      </c>
      <c r="K579" s="243"/>
    </row>
    <row r="580" spans="2:11" ht="17" customHeight="1">
      <c r="B580" s="253">
        <v>45736</v>
      </c>
      <c r="C580" s="263" t="s">
        <v>117</v>
      </c>
      <c r="D580" s="261" t="s">
        <v>675</v>
      </c>
      <c r="E580" s="256"/>
      <c r="F580" s="257">
        <v>2.2999999999999998</v>
      </c>
      <c r="G580" s="258" t="s">
        <v>202</v>
      </c>
      <c r="H580" s="259"/>
      <c r="I580" s="541">
        <f t="shared" si="8"/>
        <v>107684.04999999997</v>
      </c>
      <c r="K580" s="243"/>
    </row>
    <row r="581" spans="2:11" ht="17" customHeight="1">
      <c r="B581" s="253">
        <v>45736</v>
      </c>
      <c r="C581" s="263" t="s">
        <v>283</v>
      </c>
      <c r="D581" s="255" t="s">
        <v>283</v>
      </c>
      <c r="E581" s="256">
        <f>962.3-E582</f>
        <v>850.52</v>
      </c>
      <c r="F581" s="257"/>
      <c r="G581" s="258" t="str">
        <f>IFERROR(VLOOKUP(D581,#REF!,2,FALSE),"_")</f>
        <v>_</v>
      </c>
      <c r="H581" s="259"/>
      <c r="I581" s="541">
        <f t="shared" si="8"/>
        <v>108534.56999999998</v>
      </c>
      <c r="K581" s="243"/>
    </row>
    <row r="582" spans="2:11" ht="17" customHeight="1">
      <c r="B582" s="253">
        <v>45736</v>
      </c>
      <c r="C582" s="263" t="s">
        <v>283</v>
      </c>
      <c r="D582" s="255" t="s">
        <v>508</v>
      </c>
      <c r="E582" s="256">
        <v>111.78</v>
      </c>
      <c r="F582" s="257"/>
      <c r="G582" s="258" t="str">
        <f>IFERROR(VLOOKUP(D582,#REF!,2,FALSE),"_")</f>
        <v>_</v>
      </c>
      <c r="H582" s="259"/>
      <c r="I582" s="541">
        <f t="shared" si="8"/>
        <v>108646.34999999998</v>
      </c>
      <c r="K582" s="243"/>
    </row>
    <row r="583" spans="2:11" ht="17" customHeight="1">
      <c r="B583" s="253">
        <v>45737</v>
      </c>
      <c r="C583" s="254" t="s">
        <v>117</v>
      </c>
      <c r="D583" s="255" t="s">
        <v>306</v>
      </c>
      <c r="E583" s="256"/>
      <c r="F583" s="257">
        <v>48.75</v>
      </c>
      <c r="G583" s="258" t="s">
        <v>194</v>
      </c>
      <c r="H583" s="259"/>
      <c r="I583" s="541">
        <f t="shared" si="8"/>
        <v>108597.59999999998</v>
      </c>
      <c r="K583" s="243"/>
    </row>
    <row r="584" spans="2:11" ht="17" customHeight="1">
      <c r="B584" s="253">
        <v>45737</v>
      </c>
      <c r="C584" s="254" t="s">
        <v>117</v>
      </c>
      <c r="D584" s="255" t="s">
        <v>306</v>
      </c>
      <c r="E584" s="256"/>
      <c r="F584" s="257">
        <v>1677.5</v>
      </c>
      <c r="G584" s="258" t="s">
        <v>194</v>
      </c>
      <c r="H584" s="259"/>
      <c r="I584" s="541">
        <f t="shared" si="8"/>
        <v>106920.09999999998</v>
      </c>
      <c r="K584" s="243"/>
    </row>
    <row r="585" spans="2:11" ht="17" customHeight="1">
      <c r="B585" s="253">
        <v>45737</v>
      </c>
      <c r="C585" s="254" t="s">
        <v>117</v>
      </c>
      <c r="D585" s="255" t="s">
        <v>306</v>
      </c>
      <c r="E585" s="256"/>
      <c r="F585" s="257">
        <v>215.45</v>
      </c>
      <c r="G585" s="258" t="s">
        <v>194</v>
      </c>
      <c r="H585" s="259"/>
      <c r="I585" s="541">
        <f t="shared" ref="I585:I648" si="9">I584+E585-F585</f>
        <v>106704.64999999998</v>
      </c>
      <c r="K585" s="243"/>
    </row>
    <row r="586" spans="2:11" ht="17" customHeight="1">
      <c r="B586" s="253">
        <v>45737</v>
      </c>
      <c r="C586" s="254" t="s">
        <v>117</v>
      </c>
      <c r="D586" s="255" t="s">
        <v>306</v>
      </c>
      <c r="E586" s="256"/>
      <c r="F586" s="257">
        <v>146</v>
      </c>
      <c r="G586" s="258" t="s">
        <v>194</v>
      </c>
      <c r="H586" s="259"/>
      <c r="I586" s="541">
        <f t="shared" si="9"/>
        <v>106558.64999999998</v>
      </c>
      <c r="K586" s="243"/>
    </row>
    <row r="587" spans="2:11" ht="17" customHeight="1">
      <c r="B587" s="253">
        <v>45737</v>
      </c>
      <c r="C587" s="263"/>
      <c r="D587" s="255" t="s">
        <v>676</v>
      </c>
      <c r="E587" s="256">
        <v>414</v>
      </c>
      <c r="F587" s="257"/>
      <c r="G587" s="258" t="s">
        <v>194</v>
      </c>
      <c r="H587" s="540" t="s">
        <v>502</v>
      </c>
      <c r="I587" s="541">
        <f t="shared" si="9"/>
        <v>106972.64999999998</v>
      </c>
      <c r="K587" s="243"/>
    </row>
    <row r="588" spans="2:11" ht="17" customHeight="1">
      <c r="B588" s="253">
        <v>45737</v>
      </c>
      <c r="C588" s="263" t="s">
        <v>677</v>
      </c>
      <c r="D588" s="255" t="s">
        <v>512</v>
      </c>
      <c r="E588" s="256"/>
      <c r="F588" s="257">
        <f>36.8-1.42</f>
        <v>35.379999999999995</v>
      </c>
      <c r="G588" s="258" t="s">
        <v>199</v>
      </c>
      <c r="H588" s="259"/>
      <c r="I588" s="541">
        <f t="shared" si="9"/>
        <v>106937.26999999997</v>
      </c>
      <c r="K588" s="243"/>
    </row>
    <row r="589" spans="2:11" ht="17" customHeight="1">
      <c r="B589" s="253">
        <v>45737</v>
      </c>
      <c r="C589" s="263" t="s">
        <v>677</v>
      </c>
      <c r="D589" s="255" t="s">
        <v>512</v>
      </c>
      <c r="E589" s="256"/>
      <c r="F589" s="257">
        <v>1.42</v>
      </c>
      <c r="G589" s="258" t="s">
        <v>274</v>
      </c>
      <c r="H589" s="259"/>
      <c r="I589" s="541">
        <f t="shared" si="9"/>
        <v>106935.84999999998</v>
      </c>
      <c r="K589" s="243"/>
    </row>
    <row r="590" spans="2:11" ht="17" customHeight="1">
      <c r="B590" s="253">
        <v>45737</v>
      </c>
      <c r="C590" s="263" t="s">
        <v>283</v>
      </c>
      <c r="D590" s="255" t="s">
        <v>283</v>
      </c>
      <c r="E590" s="256">
        <f>1261.1-E591</f>
        <v>988.84999999999991</v>
      </c>
      <c r="F590" s="257"/>
      <c r="G590" s="258" t="str">
        <f>IFERROR(VLOOKUP(D590,#REF!,2,FALSE),"_")</f>
        <v>_</v>
      </c>
      <c r="H590" s="259"/>
      <c r="I590" s="541">
        <f t="shared" si="9"/>
        <v>107924.69999999998</v>
      </c>
      <c r="K590" s="243"/>
    </row>
    <row r="591" spans="2:11" ht="17" customHeight="1">
      <c r="B591" s="253">
        <v>45737</v>
      </c>
      <c r="C591" s="263" t="s">
        <v>283</v>
      </c>
      <c r="D591" s="255" t="s">
        <v>508</v>
      </c>
      <c r="E591" s="256">
        <v>272.25</v>
      </c>
      <c r="F591" s="257"/>
      <c r="G591" s="258" t="str">
        <f>IFERROR(VLOOKUP(D591,#REF!,2,FALSE),"_")</f>
        <v>_</v>
      </c>
      <c r="H591" s="259"/>
      <c r="I591" s="541">
        <f t="shared" si="9"/>
        <v>108196.94999999998</v>
      </c>
      <c r="K591" s="243"/>
    </row>
    <row r="592" spans="2:11" ht="17" customHeight="1">
      <c r="B592" s="253">
        <v>45738</v>
      </c>
      <c r="C592" s="263" t="s">
        <v>117</v>
      </c>
      <c r="D592" s="255" t="s">
        <v>678</v>
      </c>
      <c r="E592" s="256"/>
      <c r="F592" s="257">
        <v>28.5</v>
      </c>
      <c r="G592" s="258" t="s">
        <v>225</v>
      </c>
      <c r="H592" s="259"/>
      <c r="I592" s="541">
        <f t="shared" si="9"/>
        <v>108168.44999999998</v>
      </c>
      <c r="K592" s="243"/>
    </row>
    <row r="593" spans="2:11" ht="17" customHeight="1">
      <c r="B593" s="253">
        <v>45738</v>
      </c>
      <c r="C593" s="260"/>
      <c r="D593" s="255" t="s">
        <v>679</v>
      </c>
      <c r="E593" s="256"/>
      <c r="F593" s="257">
        <v>87.9</v>
      </c>
      <c r="G593" s="258" t="s">
        <v>194</v>
      </c>
      <c r="H593" s="259"/>
      <c r="I593" s="541">
        <f t="shared" si="9"/>
        <v>108080.54999999999</v>
      </c>
      <c r="K593" s="243"/>
    </row>
    <row r="594" spans="2:11" ht="17" customHeight="1">
      <c r="B594" s="253">
        <v>45738</v>
      </c>
      <c r="C594" s="260"/>
      <c r="D594" s="255" t="s">
        <v>679</v>
      </c>
      <c r="E594" s="256"/>
      <c r="F594" s="257"/>
      <c r="G594" s="258"/>
      <c r="H594" s="259"/>
      <c r="I594" s="541">
        <f t="shared" si="9"/>
        <v>108080.54999999999</v>
      </c>
      <c r="K594" s="243"/>
    </row>
    <row r="595" spans="2:11" ht="17" customHeight="1">
      <c r="B595" s="253">
        <v>45738</v>
      </c>
      <c r="C595" s="263" t="s">
        <v>117</v>
      </c>
      <c r="D595" s="255" t="s">
        <v>516</v>
      </c>
      <c r="E595" s="256"/>
      <c r="F595" s="257">
        <v>18.5</v>
      </c>
      <c r="G595" s="258" t="s">
        <v>201</v>
      </c>
      <c r="H595" s="259"/>
      <c r="I595" s="541">
        <f t="shared" si="9"/>
        <v>108062.04999999999</v>
      </c>
      <c r="K595" s="243"/>
    </row>
    <row r="596" spans="2:11" ht="17" customHeight="1">
      <c r="B596" s="253">
        <v>45738</v>
      </c>
      <c r="C596" s="263" t="s">
        <v>117</v>
      </c>
      <c r="D596" s="255" t="s">
        <v>549</v>
      </c>
      <c r="E596" s="256"/>
      <c r="F596" s="257">
        <v>18.2</v>
      </c>
      <c r="G596" s="258" t="s">
        <v>256</v>
      </c>
      <c r="H596" s="259"/>
      <c r="I596" s="541">
        <f t="shared" si="9"/>
        <v>108043.84999999999</v>
      </c>
      <c r="K596" s="243"/>
    </row>
    <row r="597" spans="2:11" ht="17" customHeight="1">
      <c r="B597" s="253">
        <v>45738</v>
      </c>
      <c r="C597" s="263" t="s">
        <v>117</v>
      </c>
      <c r="D597" s="255" t="s">
        <v>543</v>
      </c>
      <c r="E597" s="256"/>
      <c r="F597" s="257">
        <v>80</v>
      </c>
      <c r="G597" s="258" t="s">
        <v>234</v>
      </c>
      <c r="H597" s="259"/>
      <c r="I597" s="541">
        <f t="shared" si="9"/>
        <v>107963.84999999999</v>
      </c>
      <c r="K597" s="243"/>
    </row>
    <row r="598" spans="2:11" ht="17" customHeight="1">
      <c r="B598" s="253">
        <v>45738</v>
      </c>
      <c r="C598" s="263" t="s">
        <v>283</v>
      </c>
      <c r="D598" s="255" t="s">
        <v>283</v>
      </c>
      <c r="E598" s="256">
        <f>1497.7-E599</f>
        <v>1217.6400000000001</v>
      </c>
      <c r="F598" s="257"/>
      <c r="G598" s="258" t="str">
        <f>IFERROR(VLOOKUP(D598,#REF!,2,FALSE),"_")</f>
        <v>_</v>
      </c>
      <c r="H598" s="259"/>
      <c r="I598" s="541">
        <f t="shared" si="9"/>
        <v>109181.48999999999</v>
      </c>
      <c r="K598" s="243"/>
    </row>
    <row r="599" spans="2:11" ht="17" customHeight="1">
      <c r="B599" s="253">
        <v>45738</v>
      </c>
      <c r="C599" s="263" t="s">
        <v>283</v>
      </c>
      <c r="D599" s="255" t="s">
        <v>508</v>
      </c>
      <c r="E599" s="256">
        <v>280.06</v>
      </c>
      <c r="F599" s="257"/>
      <c r="G599" s="258" t="str">
        <f>IFERROR(VLOOKUP(D599,#REF!,2,FALSE),"_")</f>
        <v>_</v>
      </c>
      <c r="H599" s="259"/>
      <c r="I599" s="541">
        <f t="shared" si="9"/>
        <v>109461.54999999999</v>
      </c>
      <c r="K599" s="243"/>
    </row>
    <row r="600" spans="2:11" ht="17" customHeight="1">
      <c r="B600" s="253">
        <v>45739</v>
      </c>
      <c r="C600" s="263" t="s">
        <v>117</v>
      </c>
      <c r="D600" s="261" t="s">
        <v>576</v>
      </c>
      <c r="E600" s="256"/>
      <c r="F600" s="257">
        <v>60</v>
      </c>
      <c r="G600" s="258" t="s">
        <v>248</v>
      </c>
      <c r="H600" s="259"/>
      <c r="I600" s="541">
        <f t="shared" si="9"/>
        <v>109401.54999999999</v>
      </c>
      <c r="K600" s="243"/>
    </row>
    <row r="601" spans="2:11" ht="17" customHeight="1">
      <c r="B601" s="253">
        <v>45739</v>
      </c>
      <c r="C601" s="263" t="s">
        <v>117</v>
      </c>
      <c r="D601" s="255" t="s">
        <v>530</v>
      </c>
      <c r="E601" s="256"/>
      <c r="F601" s="257">
        <v>500</v>
      </c>
      <c r="G601" s="258" t="s">
        <v>229</v>
      </c>
      <c r="H601" s="259"/>
      <c r="I601" s="541">
        <f t="shared" si="9"/>
        <v>108901.54999999999</v>
      </c>
      <c r="K601" s="243"/>
    </row>
    <row r="602" spans="2:11" ht="17" customHeight="1">
      <c r="B602" s="253">
        <v>45739</v>
      </c>
      <c r="C602" s="263" t="s">
        <v>117</v>
      </c>
      <c r="D602" s="255" t="s">
        <v>526</v>
      </c>
      <c r="E602" s="256"/>
      <c r="F602" s="257">
        <v>50</v>
      </c>
      <c r="G602" s="258" t="s">
        <v>229</v>
      </c>
      <c r="H602" s="259"/>
      <c r="I602" s="541">
        <f t="shared" si="9"/>
        <v>108851.54999999999</v>
      </c>
      <c r="K602" s="243"/>
    </row>
    <row r="603" spans="2:11" ht="17" customHeight="1">
      <c r="B603" s="253">
        <v>45739</v>
      </c>
      <c r="C603" s="263" t="s">
        <v>117</v>
      </c>
      <c r="D603" s="255" t="s">
        <v>526</v>
      </c>
      <c r="E603" s="256"/>
      <c r="F603" s="257">
        <v>25</v>
      </c>
      <c r="G603" s="258" t="s">
        <v>229</v>
      </c>
      <c r="H603" s="259"/>
      <c r="I603" s="541">
        <f t="shared" si="9"/>
        <v>108826.54999999999</v>
      </c>
      <c r="K603" s="243"/>
    </row>
    <row r="604" spans="2:11" ht="17" customHeight="1">
      <c r="B604" s="253">
        <v>45739</v>
      </c>
      <c r="C604" s="263" t="s">
        <v>117</v>
      </c>
      <c r="D604" s="261" t="s">
        <v>525</v>
      </c>
      <c r="E604" s="256"/>
      <c r="F604" s="257">
        <v>100</v>
      </c>
      <c r="G604" s="258" t="s">
        <v>229</v>
      </c>
      <c r="H604" s="259"/>
      <c r="I604" s="541">
        <f t="shared" si="9"/>
        <v>108726.54999999999</v>
      </c>
      <c r="K604" s="243"/>
    </row>
    <row r="605" spans="2:11" ht="17" customHeight="1">
      <c r="B605" s="253">
        <v>45739</v>
      </c>
      <c r="C605" s="263" t="s">
        <v>117</v>
      </c>
      <c r="D605" s="261" t="s">
        <v>531</v>
      </c>
      <c r="E605" s="256"/>
      <c r="F605" s="257">
        <v>50</v>
      </c>
      <c r="G605" s="258" t="s">
        <v>229</v>
      </c>
      <c r="H605" s="259"/>
      <c r="I605" s="541">
        <f t="shared" si="9"/>
        <v>108676.54999999999</v>
      </c>
      <c r="K605" s="243"/>
    </row>
    <row r="606" spans="2:11" ht="17" customHeight="1">
      <c r="B606" s="253">
        <v>45739</v>
      </c>
      <c r="C606" s="263" t="s">
        <v>117</v>
      </c>
      <c r="D606" s="255" t="s">
        <v>529</v>
      </c>
      <c r="E606" s="256"/>
      <c r="F606" s="257">
        <v>70</v>
      </c>
      <c r="G606" s="258" t="s">
        <v>233</v>
      </c>
      <c r="H606" s="259"/>
      <c r="I606" s="541">
        <f t="shared" si="9"/>
        <v>108606.54999999999</v>
      </c>
      <c r="K606" s="243"/>
    </row>
    <row r="607" spans="2:11" ht="17" customHeight="1">
      <c r="B607" s="253">
        <v>45739</v>
      </c>
      <c r="C607" s="263" t="s">
        <v>117</v>
      </c>
      <c r="D607" s="261" t="s">
        <v>532</v>
      </c>
      <c r="E607" s="256"/>
      <c r="F607" s="257">
        <v>300</v>
      </c>
      <c r="G607" s="258" t="s">
        <v>231</v>
      </c>
      <c r="H607" s="259"/>
      <c r="I607" s="541">
        <f t="shared" si="9"/>
        <v>108306.54999999999</v>
      </c>
      <c r="K607" s="243"/>
    </row>
    <row r="608" spans="2:11" ht="17" customHeight="1">
      <c r="B608" s="253">
        <v>45739</v>
      </c>
      <c r="C608" s="263" t="s">
        <v>117</v>
      </c>
      <c r="D608" s="255" t="s">
        <v>680</v>
      </c>
      <c r="E608" s="256"/>
      <c r="F608" s="257">
        <f>300-F609</f>
        <v>286.8</v>
      </c>
      <c r="G608" s="258" t="s">
        <v>230</v>
      </c>
      <c r="H608" s="259"/>
      <c r="I608" s="541">
        <f t="shared" si="9"/>
        <v>108019.74999999999</v>
      </c>
      <c r="K608" s="243"/>
    </row>
    <row r="609" spans="2:11" ht="17" customHeight="1">
      <c r="B609" s="253">
        <v>45739</v>
      </c>
      <c r="C609" s="263" t="s">
        <v>681</v>
      </c>
      <c r="D609" s="255" t="s">
        <v>680</v>
      </c>
      <c r="E609" s="256"/>
      <c r="F609" s="257">
        <v>13.2</v>
      </c>
      <c r="G609" s="258" t="s">
        <v>274</v>
      </c>
      <c r="H609" s="259"/>
      <c r="I609" s="541">
        <f t="shared" si="9"/>
        <v>108006.54999999999</v>
      </c>
      <c r="K609" s="243"/>
    </row>
    <row r="610" spans="2:11" ht="17" customHeight="1">
      <c r="B610" s="253">
        <v>45739</v>
      </c>
      <c r="C610" s="263" t="s">
        <v>117</v>
      </c>
      <c r="D610" s="255" t="s">
        <v>510</v>
      </c>
      <c r="E610" s="256"/>
      <c r="F610" s="257">
        <v>120</v>
      </c>
      <c r="G610" s="258" t="s">
        <v>230</v>
      </c>
      <c r="H610" s="259"/>
      <c r="I610" s="541">
        <f t="shared" si="9"/>
        <v>107886.54999999999</v>
      </c>
      <c r="K610" s="243"/>
    </row>
    <row r="611" spans="2:11" ht="17" customHeight="1">
      <c r="B611" s="253">
        <v>45739</v>
      </c>
      <c r="C611" s="263" t="s">
        <v>117</v>
      </c>
      <c r="D611" s="255" t="s">
        <v>527</v>
      </c>
      <c r="E611" s="256"/>
      <c r="F611" s="257">
        <v>110</v>
      </c>
      <c r="G611" s="258" t="s">
        <v>233</v>
      </c>
      <c r="H611" s="259"/>
      <c r="I611" s="541">
        <f t="shared" si="9"/>
        <v>107776.54999999999</v>
      </c>
      <c r="K611" s="243"/>
    </row>
    <row r="612" spans="2:11" ht="17" customHeight="1">
      <c r="B612" s="253">
        <v>45739</v>
      </c>
      <c r="C612" s="263" t="s">
        <v>117</v>
      </c>
      <c r="D612" s="255" t="s">
        <v>566</v>
      </c>
      <c r="E612" s="256"/>
      <c r="F612" s="257">
        <v>80</v>
      </c>
      <c r="G612" s="258" t="s">
        <v>229</v>
      </c>
      <c r="H612" s="259"/>
      <c r="I612" s="541">
        <f t="shared" si="9"/>
        <v>107696.54999999999</v>
      </c>
      <c r="K612" s="243"/>
    </row>
    <row r="613" spans="2:11" ht="17" customHeight="1">
      <c r="B613" s="253">
        <v>45739</v>
      </c>
      <c r="C613" s="263" t="s">
        <v>513</v>
      </c>
      <c r="D613" s="255" t="s">
        <v>567</v>
      </c>
      <c r="E613" s="256"/>
      <c r="F613" s="257">
        <v>95</v>
      </c>
      <c r="G613" s="258" t="s">
        <v>227</v>
      </c>
      <c r="H613" s="259"/>
      <c r="I613" s="541">
        <f t="shared" si="9"/>
        <v>107601.54999999999</v>
      </c>
      <c r="K613" s="243"/>
    </row>
    <row r="614" spans="2:11" ht="17" customHeight="1">
      <c r="B614" s="253">
        <v>45739</v>
      </c>
      <c r="C614" s="263" t="s">
        <v>513</v>
      </c>
      <c r="D614" s="255" t="s">
        <v>567</v>
      </c>
      <c r="E614" s="256"/>
      <c r="F614" s="257">
        <v>36</v>
      </c>
      <c r="G614" s="258" t="s">
        <v>227</v>
      </c>
      <c r="H614" s="259"/>
      <c r="I614" s="541">
        <f t="shared" si="9"/>
        <v>107565.54999999999</v>
      </c>
      <c r="K614" s="243"/>
    </row>
    <row r="615" spans="2:11" ht="17" customHeight="1">
      <c r="B615" s="253">
        <v>45739</v>
      </c>
      <c r="C615" s="263" t="s">
        <v>513</v>
      </c>
      <c r="D615" s="255" t="s">
        <v>567</v>
      </c>
      <c r="E615" s="256"/>
      <c r="F615" s="257">
        <v>13.64</v>
      </c>
      <c r="G615" s="258" t="s">
        <v>250</v>
      </c>
      <c r="H615" s="259"/>
      <c r="I615" s="541">
        <f t="shared" si="9"/>
        <v>107551.90999999999</v>
      </c>
      <c r="K615" s="243"/>
    </row>
    <row r="616" spans="2:11" ht="17" customHeight="1">
      <c r="B616" s="253">
        <v>45739</v>
      </c>
      <c r="C616" s="263" t="s">
        <v>513</v>
      </c>
      <c r="D616" s="255" t="s">
        <v>535</v>
      </c>
      <c r="E616" s="256">
        <v>36</v>
      </c>
      <c r="F616" s="257"/>
      <c r="G616" s="258"/>
      <c r="H616" s="259" t="s">
        <v>586</v>
      </c>
      <c r="I616" s="541">
        <f t="shared" si="9"/>
        <v>107587.90999999999</v>
      </c>
      <c r="K616" s="243"/>
    </row>
    <row r="617" spans="2:11" ht="17" customHeight="1">
      <c r="B617" s="253">
        <v>45739</v>
      </c>
      <c r="C617" s="263" t="s">
        <v>513</v>
      </c>
      <c r="D617" s="255" t="s">
        <v>535</v>
      </c>
      <c r="E617" s="256">
        <v>13.64</v>
      </c>
      <c r="F617" s="257"/>
      <c r="G617" s="258"/>
      <c r="H617" s="259" t="s">
        <v>586</v>
      </c>
      <c r="I617" s="541">
        <f t="shared" si="9"/>
        <v>107601.54999999999</v>
      </c>
      <c r="K617" s="243"/>
    </row>
    <row r="618" spans="2:11" ht="17" customHeight="1">
      <c r="B618" s="253">
        <v>45739</v>
      </c>
      <c r="C618" s="263" t="s">
        <v>513</v>
      </c>
      <c r="D618" s="255" t="s">
        <v>534</v>
      </c>
      <c r="E618" s="256"/>
      <c r="F618" s="257">
        <v>36</v>
      </c>
      <c r="G618" s="258" t="s">
        <v>245</v>
      </c>
      <c r="H618" s="259"/>
      <c r="I618" s="541">
        <f t="shared" si="9"/>
        <v>107565.54999999999</v>
      </c>
      <c r="K618" s="243"/>
    </row>
    <row r="619" spans="2:11" ht="17" customHeight="1">
      <c r="B619" s="253">
        <v>45739</v>
      </c>
      <c r="C619" s="263" t="s">
        <v>513</v>
      </c>
      <c r="D619" s="255" t="s">
        <v>534</v>
      </c>
      <c r="E619" s="256"/>
      <c r="F619" s="257">
        <v>13.64</v>
      </c>
      <c r="G619" s="258" t="s">
        <v>250</v>
      </c>
      <c r="H619" s="259"/>
      <c r="I619" s="541">
        <f t="shared" si="9"/>
        <v>107551.90999999999</v>
      </c>
      <c r="K619" s="243"/>
    </row>
    <row r="620" spans="2:11" ht="17" customHeight="1">
      <c r="B620" s="253">
        <v>45739</v>
      </c>
      <c r="C620" s="263" t="s">
        <v>513</v>
      </c>
      <c r="D620" s="255" t="s">
        <v>535</v>
      </c>
      <c r="E620" s="256">
        <v>36</v>
      </c>
      <c r="F620" s="257"/>
      <c r="G620" s="258"/>
      <c r="H620" s="259" t="s">
        <v>536</v>
      </c>
      <c r="I620" s="541">
        <f t="shared" si="9"/>
        <v>107587.90999999999</v>
      </c>
      <c r="K620" s="243"/>
    </row>
    <row r="621" spans="2:11" ht="17" customHeight="1">
      <c r="B621" s="253">
        <v>45739</v>
      </c>
      <c r="C621" s="263" t="s">
        <v>513</v>
      </c>
      <c r="D621" s="255" t="s">
        <v>535</v>
      </c>
      <c r="E621" s="256">
        <v>13.64</v>
      </c>
      <c r="F621" s="257"/>
      <c r="G621" s="258"/>
      <c r="H621" s="259" t="s">
        <v>536</v>
      </c>
      <c r="I621" s="541">
        <f t="shared" si="9"/>
        <v>107601.54999999999</v>
      </c>
      <c r="K621" s="243"/>
    </row>
    <row r="622" spans="2:11" ht="17" customHeight="1">
      <c r="B622" s="253">
        <v>45739</v>
      </c>
      <c r="C622" s="263" t="s">
        <v>283</v>
      </c>
      <c r="D622" s="255" t="s">
        <v>283</v>
      </c>
      <c r="E622" s="256">
        <f>5614.4-E623</f>
        <v>4908.8799999999992</v>
      </c>
      <c r="F622" s="257"/>
      <c r="G622" s="258" t="str">
        <f>IFERROR(VLOOKUP(D622,#REF!,2,FALSE),"_")</f>
        <v>_</v>
      </c>
      <c r="H622" s="259"/>
      <c r="I622" s="541">
        <f t="shared" si="9"/>
        <v>112510.43</v>
      </c>
      <c r="K622" s="243"/>
    </row>
    <row r="623" spans="2:11" ht="17" customHeight="1">
      <c r="B623" s="253">
        <v>45739</v>
      </c>
      <c r="C623" s="263" t="s">
        <v>283</v>
      </c>
      <c r="D623" s="255" t="s">
        <v>508</v>
      </c>
      <c r="E623" s="256">
        <v>705.52</v>
      </c>
      <c r="F623" s="257"/>
      <c r="G623" s="258" t="str">
        <f>IFERROR(VLOOKUP(D623,#REF!,2,FALSE),"_")</f>
        <v>_</v>
      </c>
      <c r="H623" s="259"/>
      <c r="I623" s="541">
        <f t="shared" si="9"/>
        <v>113215.95</v>
      </c>
      <c r="K623" s="243"/>
    </row>
    <row r="624" spans="2:11" ht="17" customHeight="1">
      <c r="B624" s="253">
        <v>45740</v>
      </c>
      <c r="C624" s="263" t="s">
        <v>283</v>
      </c>
      <c r="D624" s="255" t="s">
        <v>283</v>
      </c>
      <c r="E624" s="256">
        <f>265-E625</f>
        <v>212.1</v>
      </c>
      <c r="F624" s="257"/>
      <c r="G624" s="258" t="str">
        <f>IFERROR(VLOOKUP(D624,#REF!,2,FALSE),"_")</f>
        <v>_</v>
      </c>
      <c r="H624" s="259"/>
      <c r="I624" s="541">
        <f t="shared" si="9"/>
        <v>113428.05</v>
      </c>
      <c r="K624" s="243"/>
    </row>
    <row r="625" spans="2:11" ht="17" customHeight="1">
      <c r="B625" s="253">
        <v>45740</v>
      </c>
      <c r="C625" s="263" t="s">
        <v>283</v>
      </c>
      <c r="D625" s="255" t="s">
        <v>508</v>
      </c>
      <c r="E625" s="256">
        <v>52.9</v>
      </c>
      <c r="F625" s="257"/>
      <c r="G625" s="258" t="str">
        <f>IFERROR(VLOOKUP(D625,#REF!,2,FALSE),"_")</f>
        <v>_</v>
      </c>
      <c r="H625" s="259"/>
      <c r="I625" s="541">
        <f t="shared" si="9"/>
        <v>113480.95</v>
      </c>
      <c r="K625" s="243"/>
    </row>
    <row r="626" spans="2:11" ht="17" customHeight="1">
      <c r="B626" s="253">
        <v>45741</v>
      </c>
      <c r="C626" s="263" t="s">
        <v>117</v>
      </c>
      <c r="D626" s="255" t="s">
        <v>361</v>
      </c>
      <c r="E626" s="256"/>
      <c r="F626" s="257">
        <v>102.15</v>
      </c>
      <c r="G626" s="258" t="s">
        <v>194</v>
      </c>
      <c r="H626" s="259"/>
      <c r="I626" s="541">
        <f t="shared" si="9"/>
        <v>113378.8</v>
      </c>
      <c r="K626" s="243"/>
    </row>
    <row r="627" spans="2:11" ht="17" customHeight="1">
      <c r="B627" s="253">
        <v>45741</v>
      </c>
      <c r="C627" s="263" t="s">
        <v>117</v>
      </c>
      <c r="D627" s="255" t="s">
        <v>682</v>
      </c>
      <c r="E627" s="256"/>
      <c r="F627" s="257">
        <v>70</v>
      </c>
      <c r="G627" s="258" t="s">
        <v>233</v>
      </c>
      <c r="H627" s="259"/>
      <c r="I627" s="541">
        <f t="shared" si="9"/>
        <v>113308.8</v>
      </c>
      <c r="K627" s="243"/>
    </row>
    <row r="628" spans="2:11" ht="17" customHeight="1">
      <c r="B628" s="253">
        <v>45741</v>
      </c>
      <c r="C628" s="263" t="s">
        <v>117</v>
      </c>
      <c r="D628" s="255" t="s">
        <v>516</v>
      </c>
      <c r="E628" s="256"/>
      <c r="F628" s="257">
        <v>39.4</v>
      </c>
      <c r="G628" s="258" t="s">
        <v>201</v>
      </c>
      <c r="H628" s="259"/>
      <c r="I628" s="541">
        <f t="shared" si="9"/>
        <v>113269.40000000001</v>
      </c>
      <c r="K628" s="243"/>
    </row>
    <row r="629" spans="2:11" ht="17" customHeight="1">
      <c r="B629" s="253">
        <v>45741</v>
      </c>
      <c r="C629" s="263" t="s">
        <v>117</v>
      </c>
      <c r="D629" s="255" t="s">
        <v>563</v>
      </c>
      <c r="E629" s="256"/>
      <c r="F629" s="257">
        <v>110</v>
      </c>
      <c r="G629" s="258" t="s">
        <v>249</v>
      </c>
      <c r="H629" s="259"/>
      <c r="I629" s="541">
        <f t="shared" si="9"/>
        <v>113159.40000000001</v>
      </c>
      <c r="K629" s="243"/>
    </row>
    <row r="630" spans="2:11" ht="17" customHeight="1">
      <c r="B630" s="253">
        <v>45741</v>
      </c>
      <c r="C630" s="263" t="s">
        <v>283</v>
      </c>
      <c r="D630" s="255" t="s">
        <v>283</v>
      </c>
      <c r="E630" s="256">
        <f>586.9-E631</f>
        <v>538.41999999999996</v>
      </c>
      <c r="F630" s="257"/>
      <c r="G630" s="258" t="str">
        <f>IFERROR(VLOOKUP(D630,#REF!,2,FALSE),"_")</f>
        <v>_</v>
      </c>
      <c r="H630" s="259"/>
      <c r="I630" s="541">
        <f t="shared" si="9"/>
        <v>113697.82</v>
      </c>
      <c r="K630" s="243"/>
    </row>
    <row r="631" spans="2:11" ht="17" customHeight="1">
      <c r="B631" s="253">
        <v>45741</v>
      </c>
      <c r="C631" s="263" t="s">
        <v>283</v>
      </c>
      <c r="D631" s="255" t="s">
        <v>508</v>
      </c>
      <c r="E631" s="256">
        <v>48.48</v>
      </c>
      <c r="F631" s="257"/>
      <c r="G631" s="258" t="str">
        <f>IFERROR(VLOOKUP(D631,#REF!,2,FALSE),"_")</f>
        <v>_</v>
      </c>
      <c r="H631" s="259"/>
      <c r="I631" s="541">
        <f t="shared" si="9"/>
        <v>113746.3</v>
      </c>
      <c r="K631" s="243"/>
    </row>
    <row r="632" spans="2:11" ht="17" customHeight="1">
      <c r="B632" s="253">
        <v>45742</v>
      </c>
      <c r="C632" s="263" t="s">
        <v>117</v>
      </c>
      <c r="D632" s="255" t="s">
        <v>394</v>
      </c>
      <c r="E632" s="256"/>
      <c r="F632" s="257">
        <v>405</v>
      </c>
      <c r="G632" s="258" t="s">
        <v>194</v>
      </c>
      <c r="H632" s="259"/>
      <c r="I632" s="541">
        <f t="shared" si="9"/>
        <v>113341.3</v>
      </c>
      <c r="K632" s="243"/>
    </row>
    <row r="633" spans="2:11" ht="17" customHeight="1">
      <c r="B633" s="253">
        <v>45742</v>
      </c>
      <c r="C633" s="263" t="s">
        <v>286</v>
      </c>
      <c r="D633" s="255" t="s">
        <v>520</v>
      </c>
      <c r="E633" s="256"/>
      <c r="F633" s="257">
        <v>1000</v>
      </c>
      <c r="G633" s="258" t="s">
        <v>139</v>
      </c>
      <c r="H633" s="259"/>
      <c r="I633" s="541">
        <f t="shared" si="9"/>
        <v>112341.3</v>
      </c>
      <c r="K633" s="243"/>
    </row>
    <row r="634" spans="2:11" ht="17" customHeight="1">
      <c r="B634" s="253">
        <v>45742</v>
      </c>
      <c r="C634" s="263" t="s">
        <v>283</v>
      </c>
      <c r="D634" s="255" t="s">
        <v>283</v>
      </c>
      <c r="E634" s="256">
        <f>689.35-E635</f>
        <v>623.49</v>
      </c>
      <c r="F634" s="257"/>
      <c r="G634" s="258" t="str">
        <f>IFERROR(VLOOKUP(D634,#REF!,2,FALSE),"_")</f>
        <v>_</v>
      </c>
      <c r="H634" s="259"/>
      <c r="I634" s="541">
        <f t="shared" si="9"/>
        <v>112964.79000000001</v>
      </c>
      <c r="K634" s="243"/>
    </row>
    <row r="635" spans="2:11" ht="17" customHeight="1">
      <c r="B635" s="253">
        <v>45742</v>
      </c>
      <c r="C635" s="263" t="s">
        <v>283</v>
      </c>
      <c r="D635" s="255" t="s">
        <v>508</v>
      </c>
      <c r="E635" s="256">
        <v>65.86</v>
      </c>
      <c r="F635" s="257"/>
      <c r="G635" s="258" t="str">
        <f>IFERROR(VLOOKUP(D635,#REF!,2,FALSE),"_")</f>
        <v>_</v>
      </c>
      <c r="H635" s="544"/>
      <c r="I635" s="541">
        <f t="shared" si="9"/>
        <v>113030.65000000001</v>
      </c>
      <c r="K635" s="243"/>
    </row>
    <row r="636" spans="2:11" ht="17" customHeight="1">
      <c r="B636" s="253">
        <v>45743</v>
      </c>
      <c r="C636" s="263" t="s">
        <v>286</v>
      </c>
      <c r="D636" s="261" t="s">
        <v>520</v>
      </c>
      <c r="E636" s="256"/>
      <c r="F636" s="257">
        <v>230</v>
      </c>
      <c r="G636" s="258" t="s">
        <v>139</v>
      </c>
      <c r="H636" s="259"/>
      <c r="I636" s="541">
        <f t="shared" si="9"/>
        <v>112800.65000000001</v>
      </c>
      <c r="K636" s="243"/>
    </row>
    <row r="637" spans="2:11" ht="17" customHeight="1">
      <c r="B637" s="253">
        <v>45743</v>
      </c>
      <c r="C637" s="263" t="s">
        <v>117</v>
      </c>
      <c r="D637" s="261" t="s">
        <v>549</v>
      </c>
      <c r="E637" s="256"/>
      <c r="F637" s="257">
        <v>14.5</v>
      </c>
      <c r="G637" s="258" t="s">
        <v>256</v>
      </c>
      <c r="H637" s="259"/>
      <c r="I637" s="541">
        <f t="shared" si="9"/>
        <v>112786.15000000001</v>
      </c>
      <c r="K637" s="243"/>
    </row>
    <row r="638" spans="2:11" ht="17" customHeight="1">
      <c r="B638" s="253">
        <v>45743</v>
      </c>
      <c r="C638" s="263" t="s">
        <v>283</v>
      </c>
      <c r="D638" s="255" t="s">
        <v>283</v>
      </c>
      <c r="E638" s="256">
        <f>775-E639</f>
        <v>664.1</v>
      </c>
      <c r="F638" s="257"/>
      <c r="G638" s="258" t="str">
        <f>IFERROR(VLOOKUP(D638,#REF!,2,FALSE),"_")</f>
        <v>_</v>
      </c>
      <c r="H638" s="259"/>
      <c r="I638" s="541">
        <f t="shared" si="9"/>
        <v>113450.25000000001</v>
      </c>
      <c r="K638" s="243"/>
    </row>
    <row r="639" spans="2:11" ht="17" customHeight="1">
      <c r="B639" s="253">
        <v>45743</v>
      </c>
      <c r="C639" s="263" t="s">
        <v>283</v>
      </c>
      <c r="D639" s="255" t="s">
        <v>508</v>
      </c>
      <c r="E639" s="256">
        <v>110.9</v>
      </c>
      <c r="F639" s="257"/>
      <c r="G639" s="258" t="str">
        <f>IFERROR(VLOOKUP(D639,#REF!,2,FALSE),"_")</f>
        <v>_</v>
      </c>
      <c r="H639" s="259"/>
      <c r="I639" s="541">
        <f t="shared" si="9"/>
        <v>113561.15000000001</v>
      </c>
      <c r="K639" s="243"/>
    </row>
    <row r="640" spans="2:11" ht="17" customHeight="1">
      <c r="B640" s="253">
        <v>45744</v>
      </c>
      <c r="C640" s="263" t="s">
        <v>683</v>
      </c>
      <c r="D640" s="255" t="s">
        <v>512</v>
      </c>
      <c r="E640" s="256"/>
      <c r="F640" s="257">
        <f>46-1.77</f>
        <v>44.23</v>
      </c>
      <c r="G640" s="258" t="s">
        <v>199</v>
      </c>
      <c r="H640" s="259"/>
      <c r="I640" s="541">
        <f t="shared" si="9"/>
        <v>113516.92000000001</v>
      </c>
      <c r="K640" s="243"/>
    </row>
    <row r="641" spans="2:11" ht="17" customHeight="1">
      <c r="B641" s="253">
        <v>45744</v>
      </c>
      <c r="C641" s="263" t="s">
        <v>683</v>
      </c>
      <c r="D641" s="255" t="s">
        <v>512</v>
      </c>
      <c r="E641" s="256"/>
      <c r="F641" s="257">
        <v>1.77</v>
      </c>
      <c r="G641" s="258" t="s">
        <v>274</v>
      </c>
      <c r="H641" s="259"/>
      <c r="I641" s="541">
        <f t="shared" si="9"/>
        <v>113515.15000000001</v>
      </c>
      <c r="K641" s="243"/>
    </row>
    <row r="642" spans="2:11" ht="17" customHeight="1">
      <c r="B642" s="253">
        <v>45744</v>
      </c>
      <c r="C642" s="263" t="s">
        <v>117</v>
      </c>
      <c r="D642" s="255" t="s">
        <v>306</v>
      </c>
      <c r="E642" s="256"/>
      <c r="F642" s="257">
        <v>32.85</v>
      </c>
      <c r="G642" s="258" t="s">
        <v>194</v>
      </c>
      <c r="H642" s="259"/>
      <c r="I642" s="541">
        <f t="shared" si="9"/>
        <v>113482.3</v>
      </c>
      <c r="K642" s="243"/>
    </row>
    <row r="643" spans="2:11" ht="17" customHeight="1">
      <c r="B643" s="253">
        <v>45744</v>
      </c>
      <c r="C643" s="263" t="s">
        <v>117</v>
      </c>
      <c r="D643" s="255" t="s">
        <v>306</v>
      </c>
      <c r="E643" s="256"/>
      <c r="F643" s="257">
        <v>423</v>
      </c>
      <c r="G643" s="258" t="s">
        <v>194</v>
      </c>
      <c r="H643" s="259"/>
      <c r="I643" s="541">
        <f t="shared" si="9"/>
        <v>113059.3</v>
      </c>
      <c r="K643" s="243"/>
    </row>
    <row r="644" spans="2:11" ht="17" customHeight="1">
      <c r="B644" s="253">
        <v>45744</v>
      </c>
      <c r="C644" s="263" t="s">
        <v>117</v>
      </c>
      <c r="D644" s="255" t="s">
        <v>306</v>
      </c>
      <c r="E644" s="256"/>
      <c r="F644" s="257">
        <v>427.8</v>
      </c>
      <c r="G644" s="258" t="s">
        <v>194</v>
      </c>
      <c r="H644" s="259"/>
      <c r="I644" s="541">
        <f t="shared" si="9"/>
        <v>112631.5</v>
      </c>
      <c r="K644" s="243"/>
    </row>
    <row r="645" spans="2:11" ht="17" customHeight="1">
      <c r="B645" s="253">
        <v>45744</v>
      </c>
      <c r="C645" s="263" t="s">
        <v>283</v>
      </c>
      <c r="D645" s="255" t="s">
        <v>283</v>
      </c>
      <c r="E645" s="256">
        <f>1057.15-E646</f>
        <v>874.2600000000001</v>
      </c>
      <c r="F645" s="257"/>
      <c r="G645" s="258" t="str">
        <f>IFERROR(VLOOKUP(D645,#REF!,2,FALSE),"_")</f>
        <v>_</v>
      </c>
      <c r="H645" s="259"/>
      <c r="I645" s="541">
        <f t="shared" si="9"/>
        <v>113505.76</v>
      </c>
      <c r="K645" s="243"/>
    </row>
    <row r="646" spans="2:11" ht="17" customHeight="1">
      <c r="B646" s="253">
        <v>45744</v>
      </c>
      <c r="C646" s="263" t="s">
        <v>283</v>
      </c>
      <c r="D646" s="255" t="s">
        <v>508</v>
      </c>
      <c r="E646" s="256">
        <v>182.89</v>
      </c>
      <c r="F646" s="257"/>
      <c r="G646" s="258" t="str">
        <f>IFERROR(VLOOKUP(D646,#REF!,2,FALSE),"_")</f>
        <v>_</v>
      </c>
      <c r="H646" s="259"/>
      <c r="I646" s="541">
        <f t="shared" si="9"/>
        <v>113688.65</v>
      </c>
      <c r="K646" s="243"/>
    </row>
    <row r="647" spans="2:11" ht="17" customHeight="1">
      <c r="B647" s="253">
        <v>45745</v>
      </c>
      <c r="C647" s="263" t="s">
        <v>117</v>
      </c>
      <c r="D647" s="255" t="s">
        <v>349</v>
      </c>
      <c r="E647" s="256"/>
      <c r="F647" s="257">
        <v>345.14</v>
      </c>
      <c r="G647" s="258" t="s">
        <v>199</v>
      </c>
      <c r="H647" s="259"/>
      <c r="I647" s="541">
        <f t="shared" si="9"/>
        <v>113343.51</v>
      </c>
      <c r="K647" s="243"/>
    </row>
    <row r="648" spans="2:11" ht="17" customHeight="1">
      <c r="B648" s="253">
        <v>45745</v>
      </c>
      <c r="C648" s="263" t="s">
        <v>117</v>
      </c>
      <c r="D648" s="255" t="s">
        <v>684</v>
      </c>
      <c r="E648" s="256"/>
      <c r="F648" s="257">
        <v>25</v>
      </c>
      <c r="G648" s="258" t="s">
        <v>216</v>
      </c>
      <c r="H648" s="259"/>
      <c r="I648" s="541">
        <f t="shared" si="9"/>
        <v>113318.51</v>
      </c>
      <c r="K648" s="243"/>
    </row>
    <row r="649" spans="2:11" ht="17" customHeight="1">
      <c r="B649" s="253">
        <v>45745</v>
      </c>
      <c r="C649" s="263" t="s">
        <v>117</v>
      </c>
      <c r="D649" s="255" t="s">
        <v>595</v>
      </c>
      <c r="E649" s="256"/>
      <c r="F649" s="257">
        <v>8</v>
      </c>
      <c r="G649" s="258" t="s">
        <v>216</v>
      </c>
      <c r="H649" s="259" t="s">
        <v>54</v>
      </c>
      <c r="I649" s="541">
        <f t="shared" ref="I649:I712" si="10">I648+E649-F649</f>
        <v>113310.51</v>
      </c>
      <c r="K649" s="243"/>
    </row>
    <row r="650" spans="2:11" ht="17" customHeight="1">
      <c r="B650" s="253">
        <v>45745</v>
      </c>
      <c r="C650" s="263" t="s">
        <v>117</v>
      </c>
      <c r="D650" s="255" t="s">
        <v>595</v>
      </c>
      <c r="E650" s="256"/>
      <c r="F650" s="257">
        <v>8</v>
      </c>
      <c r="G650" s="258" t="s">
        <v>216</v>
      </c>
      <c r="H650" s="259" t="s">
        <v>67</v>
      </c>
      <c r="I650" s="541">
        <f t="shared" si="10"/>
        <v>113302.51</v>
      </c>
      <c r="K650" s="243"/>
    </row>
    <row r="651" spans="2:11" ht="17" customHeight="1">
      <c r="B651" s="253">
        <v>45745</v>
      </c>
      <c r="C651" s="263" t="s">
        <v>117</v>
      </c>
      <c r="D651" s="255" t="s">
        <v>685</v>
      </c>
      <c r="E651" s="256"/>
      <c r="F651" s="257">
        <v>44</v>
      </c>
      <c r="G651" s="258" t="s">
        <v>216</v>
      </c>
      <c r="H651" s="259" t="s">
        <v>686</v>
      </c>
      <c r="I651" s="541">
        <f t="shared" si="10"/>
        <v>113258.51</v>
      </c>
      <c r="K651" s="243"/>
    </row>
    <row r="652" spans="2:11" ht="17" customHeight="1">
      <c r="B652" s="253">
        <v>45745</v>
      </c>
      <c r="C652" s="263" t="s">
        <v>117</v>
      </c>
      <c r="D652" s="255" t="s">
        <v>608</v>
      </c>
      <c r="E652" s="256"/>
      <c r="F652" s="257">
        <v>120</v>
      </c>
      <c r="G652" s="258" t="s">
        <v>216</v>
      </c>
      <c r="H652" s="264" t="s">
        <v>607</v>
      </c>
      <c r="I652" s="541">
        <f t="shared" si="10"/>
        <v>113138.51</v>
      </c>
      <c r="K652" s="243"/>
    </row>
    <row r="653" spans="2:11" ht="17" customHeight="1">
      <c r="B653" s="253">
        <v>45745</v>
      </c>
      <c r="C653" s="263" t="s">
        <v>117</v>
      </c>
      <c r="D653" s="240" t="s">
        <v>609</v>
      </c>
      <c r="E653" s="256"/>
      <c r="F653" s="257">
        <v>52.5</v>
      </c>
      <c r="G653" s="258" t="s">
        <v>216</v>
      </c>
      <c r="H653" s="264" t="s">
        <v>607</v>
      </c>
      <c r="I653" s="541">
        <f t="shared" si="10"/>
        <v>113086.01</v>
      </c>
      <c r="K653" s="243"/>
    </row>
    <row r="654" spans="2:11" ht="17" customHeight="1">
      <c r="B654" s="253">
        <v>45745</v>
      </c>
      <c r="C654" s="263" t="s">
        <v>117</v>
      </c>
      <c r="D654" s="255" t="s">
        <v>543</v>
      </c>
      <c r="E654" s="256"/>
      <c r="F654" s="257">
        <v>80</v>
      </c>
      <c r="G654" s="258" t="s">
        <v>234</v>
      </c>
      <c r="H654" s="259"/>
      <c r="I654" s="541">
        <f t="shared" si="10"/>
        <v>113006.01</v>
      </c>
      <c r="K654" s="243"/>
    </row>
    <row r="655" spans="2:11" ht="17" customHeight="1">
      <c r="B655" s="253">
        <v>45745</v>
      </c>
      <c r="C655" s="263" t="s">
        <v>283</v>
      </c>
      <c r="D655" s="255" t="s">
        <v>283</v>
      </c>
      <c r="E655" s="256">
        <f>1581.2-E656</f>
        <v>1323.06</v>
      </c>
      <c r="F655" s="257"/>
      <c r="G655" s="258" t="str">
        <f>IFERROR(VLOOKUP(D655,#REF!,2,FALSE),"_")</f>
        <v>_</v>
      </c>
      <c r="H655" s="259"/>
      <c r="I655" s="541">
        <f t="shared" si="10"/>
        <v>114329.06999999999</v>
      </c>
      <c r="K655" s="243"/>
    </row>
    <row r="656" spans="2:11" ht="17" customHeight="1">
      <c r="B656" s="253">
        <v>45745</v>
      </c>
      <c r="C656" s="263" t="s">
        <v>283</v>
      </c>
      <c r="D656" s="255" t="s">
        <v>508</v>
      </c>
      <c r="E656" s="256">
        <v>258.14</v>
      </c>
      <c r="F656" s="257"/>
      <c r="G656" s="258" t="str">
        <f>IFERROR(VLOOKUP(D656,#REF!,2,FALSE),"_")</f>
        <v>_</v>
      </c>
      <c r="H656" s="259"/>
      <c r="I656" s="541">
        <f t="shared" si="10"/>
        <v>114587.20999999999</v>
      </c>
      <c r="K656" s="243"/>
    </row>
    <row r="657" spans="2:11" ht="17" customHeight="1">
      <c r="B657" s="253">
        <v>45746</v>
      </c>
      <c r="C657" s="263" t="s">
        <v>117</v>
      </c>
      <c r="D657" s="255" t="s">
        <v>687</v>
      </c>
      <c r="E657" s="256"/>
      <c r="F657" s="257">
        <v>50</v>
      </c>
      <c r="G657" s="258" t="s">
        <v>218</v>
      </c>
      <c r="H657" s="259"/>
      <c r="I657" s="541">
        <f t="shared" si="10"/>
        <v>114537.20999999999</v>
      </c>
      <c r="K657" s="243"/>
    </row>
    <row r="658" spans="2:11" ht="17" customHeight="1">
      <c r="B658" s="268">
        <v>45747</v>
      </c>
      <c r="C658" s="263" t="s">
        <v>513</v>
      </c>
      <c r="D658" s="255" t="s">
        <v>688</v>
      </c>
      <c r="E658" s="256"/>
      <c r="F658" s="257">
        <v>95</v>
      </c>
      <c r="G658" s="258" t="s">
        <v>248</v>
      </c>
      <c r="H658" s="259"/>
      <c r="I658" s="541">
        <f t="shared" si="10"/>
        <v>114442.20999999999</v>
      </c>
      <c r="K658" s="243"/>
    </row>
    <row r="659" spans="2:11" ht="17" customHeight="1">
      <c r="B659" s="253">
        <v>45746</v>
      </c>
      <c r="C659" s="263" t="s">
        <v>513</v>
      </c>
      <c r="D659" s="255" t="s">
        <v>576</v>
      </c>
      <c r="E659" s="256"/>
      <c r="F659" s="257">
        <v>30</v>
      </c>
      <c r="G659" s="258" t="s">
        <v>248</v>
      </c>
      <c r="H659" s="259"/>
      <c r="I659" s="541">
        <f t="shared" si="10"/>
        <v>114412.20999999999</v>
      </c>
      <c r="K659" s="243"/>
    </row>
    <row r="660" spans="2:11" ht="17" customHeight="1">
      <c r="B660" s="253">
        <v>45746</v>
      </c>
      <c r="C660" s="263" t="s">
        <v>283</v>
      </c>
      <c r="D660" s="255" t="s">
        <v>283</v>
      </c>
      <c r="E660" s="256">
        <f>1560-E661</f>
        <v>1361.24</v>
      </c>
      <c r="F660" s="257"/>
      <c r="G660" s="258" t="str">
        <f>IFERROR(VLOOKUP(D660,#REF!,2,FALSE),"_")</f>
        <v>_</v>
      </c>
      <c r="H660" s="259"/>
      <c r="I660" s="541">
        <f t="shared" si="10"/>
        <v>115773.45</v>
      </c>
      <c r="K660" s="243"/>
    </row>
    <row r="661" spans="2:11" ht="17" customHeight="1">
      <c r="B661" s="253">
        <v>45746</v>
      </c>
      <c r="C661" s="263" t="s">
        <v>283</v>
      </c>
      <c r="D661" s="255" t="s">
        <v>508</v>
      </c>
      <c r="E661" s="256">
        <v>198.76</v>
      </c>
      <c r="F661" s="257"/>
      <c r="G661" s="258" t="str">
        <f>IFERROR(VLOOKUP(D661,#REF!,2,FALSE),"_")</f>
        <v>_</v>
      </c>
      <c r="H661" s="259"/>
      <c r="I661" s="541">
        <f t="shared" si="10"/>
        <v>115972.20999999999</v>
      </c>
      <c r="K661" s="243"/>
    </row>
    <row r="662" spans="2:11" ht="17" customHeight="1">
      <c r="B662" s="253">
        <v>45747</v>
      </c>
      <c r="C662" s="263" t="s">
        <v>117</v>
      </c>
      <c r="D662" s="255" t="s">
        <v>516</v>
      </c>
      <c r="E662" s="256"/>
      <c r="F662" s="257">
        <v>95</v>
      </c>
      <c r="G662" s="258" t="s">
        <v>201</v>
      </c>
      <c r="H662" s="259"/>
      <c r="I662" s="541">
        <f t="shared" si="10"/>
        <v>115877.20999999999</v>
      </c>
      <c r="K662" s="243"/>
    </row>
    <row r="663" spans="2:11" ht="17" customHeight="1">
      <c r="B663" s="253">
        <v>45747</v>
      </c>
      <c r="C663" s="263" t="s">
        <v>283</v>
      </c>
      <c r="D663" s="255" t="s">
        <v>283</v>
      </c>
      <c r="E663" s="256">
        <f>410.6-E664</f>
        <v>356.35</v>
      </c>
      <c r="F663" s="257"/>
      <c r="G663" s="258" t="str">
        <f>IFERROR(VLOOKUP(D663,#REF!,2,FALSE),"_")</f>
        <v>_</v>
      </c>
      <c r="H663" s="259"/>
      <c r="I663" s="541">
        <f t="shared" si="10"/>
        <v>116233.56</v>
      </c>
      <c r="K663" s="243"/>
    </row>
    <row r="664" spans="2:11" ht="17" customHeight="1">
      <c r="B664" s="253">
        <v>45747</v>
      </c>
      <c r="C664" s="263" t="s">
        <v>283</v>
      </c>
      <c r="D664" s="255" t="s">
        <v>508</v>
      </c>
      <c r="E664" s="256">
        <v>54.25</v>
      </c>
      <c r="F664" s="257"/>
      <c r="G664" s="258" t="str">
        <f>IFERROR(VLOOKUP(D664,#REF!,2,FALSE),"_")</f>
        <v>_</v>
      </c>
      <c r="H664" s="259"/>
      <c r="I664" s="541">
        <f t="shared" si="10"/>
        <v>116287.81</v>
      </c>
      <c r="K664" s="243"/>
    </row>
    <row r="665" spans="2:11" ht="17" customHeight="1">
      <c r="B665" s="253">
        <v>45748</v>
      </c>
      <c r="C665" s="263" t="s">
        <v>117</v>
      </c>
      <c r="D665" s="261" t="s">
        <v>689</v>
      </c>
      <c r="E665" s="256">
        <v>305</v>
      </c>
      <c r="F665" s="257"/>
      <c r="G665" s="258" t="s">
        <v>216</v>
      </c>
      <c r="H665" s="540" t="s">
        <v>502</v>
      </c>
      <c r="I665" s="541">
        <f t="shared" si="10"/>
        <v>116592.81</v>
      </c>
      <c r="K665" s="243"/>
    </row>
    <row r="666" spans="2:11" ht="17" customHeight="1">
      <c r="B666" s="253">
        <v>45748</v>
      </c>
      <c r="C666" s="263" t="s">
        <v>117</v>
      </c>
      <c r="D666" s="255" t="s">
        <v>690</v>
      </c>
      <c r="E666" s="256">
        <v>20</v>
      </c>
      <c r="F666" s="257"/>
      <c r="G666" s="258" t="s">
        <v>194</v>
      </c>
      <c r="H666" s="540" t="s">
        <v>502</v>
      </c>
      <c r="I666" s="541">
        <f t="shared" si="10"/>
        <v>116612.81</v>
      </c>
      <c r="K666" s="243"/>
    </row>
    <row r="667" spans="2:11" ht="17" customHeight="1">
      <c r="B667" s="253">
        <v>45748</v>
      </c>
      <c r="C667" s="263" t="s">
        <v>541</v>
      </c>
      <c r="D667" s="255" t="s">
        <v>542</v>
      </c>
      <c r="E667" s="256"/>
      <c r="F667" s="257">
        <v>10000</v>
      </c>
      <c r="G667" s="258" t="s">
        <v>277</v>
      </c>
      <c r="H667" s="259"/>
      <c r="I667" s="541">
        <f t="shared" si="10"/>
        <v>106612.81</v>
      </c>
      <c r="K667" s="243"/>
    </row>
    <row r="668" spans="2:11" ht="17" customHeight="1">
      <c r="B668" s="253">
        <v>45748</v>
      </c>
      <c r="C668" s="263" t="s">
        <v>283</v>
      </c>
      <c r="D668" s="255" t="s">
        <v>283</v>
      </c>
      <c r="E668" s="256">
        <f>832-E669</f>
        <v>776.92</v>
      </c>
      <c r="F668" s="257"/>
      <c r="G668" s="258" t="str">
        <f>IFERROR(VLOOKUP(D668,#REF!,2,FALSE),"_")</f>
        <v>_</v>
      </c>
      <c r="H668" s="259"/>
      <c r="I668" s="541">
        <f t="shared" si="10"/>
        <v>107389.73</v>
      </c>
      <c r="K668" s="243"/>
    </row>
    <row r="669" spans="2:11" ht="17" customHeight="1">
      <c r="B669" s="253">
        <v>45748</v>
      </c>
      <c r="C669" s="263" t="s">
        <v>283</v>
      </c>
      <c r="D669" s="255" t="s">
        <v>508</v>
      </c>
      <c r="E669" s="256">
        <v>55.08</v>
      </c>
      <c r="F669" s="257"/>
      <c r="G669" s="258" t="str">
        <f>IFERROR(VLOOKUP(D669,#REF!,2,FALSE),"_")</f>
        <v>_</v>
      </c>
      <c r="H669" s="259"/>
      <c r="I669" s="541">
        <f t="shared" si="10"/>
        <v>107444.81</v>
      </c>
      <c r="K669" s="243"/>
    </row>
    <row r="670" spans="2:11" ht="17" customHeight="1">
      <c r="B670" s="253">
        <v>45749</v>
      </c>
      <c r="C670" s="263" t="s">
        <v>513</v>
      </c>
      <c r="D670" s="261" t="s">
        <v>561</v>
      </c>
      <c r="E670" s="256"/>
      <c r="F670" s="257">
        <v>615</v>
      </c>
      <c r="G670" s="258" t="s">
        <v>248</v>
      </c>
      <c r="H670" s="259"/>
      <c r="I670" s="541">
        <f t="shared" si="10"/>
        <v>106829.81</v>
      </c>
      <c r="K670" s="243"/>
    </row>
    <row r="671" spans="2:11" ht="17" customHeight="1">
      <c r="B671" s="253">
        <v>45749</v>
      </c>
      <c r="C671" s="263" t="s">
        <v>513</v>
      </c>
      <c r="D671" s="255" t="s">
        <v>563</v>
      </c>
      <c r="E671" s="256"/>
      <c r="F671" s="257">
        <v>110</v>
      </c>
      <c r="G671" s="258" t="s">
        <v>249</v>
      </c>
      <c r="H671" s="259"/>
      <c r="I671" s="541">
        <f t="shared" si="10"/>
        <v>106719.81</v>
      </c>
      <c r="K671" s="243"/>
    </row>
    <row r="672" spans="2:11" ht="17" customHeight="1">
      <c r="B672" s="253">
        <v>45749</v>
      </c>
      <c r="C672" s="263" t="s">
        <v>117</v>
      </c>
      <c r="D672" s="255" t="s">
        <v>691</v>
      </c>
      <c r="E672" s="256"/>
      <c r="F672" s="257">
        <v>30</v>
      </c>
      <c r="G672" s="258" t="s">
        <v>218</v>
      </c>
      <c r="H672" s="259"/>
      <c r="I672" s="541">
        <f t="shared" si="10"/>
        <v>106689.81</v>
      </c>
      <c r="K672" s="243"/>
    </row>
    <row r="673" spans="2:11" ht="17" customHeight="1">
      <c r="B673" s="253">
        <v>45749</v>
      </c>
      <c r="C673" s="263" t="s">
        <v>286</v>
      </c>
      <c r="D673" s="255" t="s">
        <v>520</v>
      </c>
      <c r="E673" s="256"/>
      <c r="F673" s="257">
        <v>35</v>
      </c>
      <c r="G673" s="258" t="s">
        <v>139</v>
      </c>
      <c r="H673" s="259"/>
      <c r="I673" s="541">
        <f t="shared" si="10"/>
        <v>106654.81</v>
      </c>
      <c r="K673" s="243"/>
    </row>
    <row r="674" spans="2:11" ht="17" customHeight="1">
      <c r="B674" s="253">
        <v>45749</v>
      </c>
      <c r="C674" s="263" t="s">
        <v>283</v>
      </c>
      <c r="D674" s="255" t="s">
        <v>283</v>
      </c>
      <c r="E674" s="256">
        <f>502.4-E675</f>
        <v>379.04999999999995</v>
      </c>
      <c r="F674" s="257"/>
      <c r="G674" s="258" t="str">
        <f>IFERROR(VLOOKUP(D674,#REF!,2,FALSE),"_")</f>
        <v>_</v>
      </c>
      <c r="H674" s="259"/>
      <c r="I674" s="541">
        <f t="shared" si="10"/>
        <v>107033.86</v>
      </c>
      <c r="K674" s="243"/>
    </row>
    <row r="675" spans="2:11" ht="17" customHeight="1">
      <c r="B675" s="253">
        <v>45749</v>
      </c>
      <c r="C675" s="263" t="s">
        <v>283</v>
      </c>
      <c r="D675" s="255" t="s">
        <v>508</v>
      </c>
      <c r="E675" s="256">
        <v>123.35</v>
      </c>
      <c r="F675" s="257"/>
      <c r="G675" s="258" t="str">
        <f>IFERROR(VLOOKUP(D675,#REF!,2,FALSE),"_")</f>
        <v>_</v>
      </c>
      <c r="H675" s="259"/>
      <c r="I675" s="541">
        <f t="shared" si="10"/>
        <v>107157.21</v>
      </c>
      <c r="K675" s="243"/>
    </row>
    <row r="676" spans="2:11" ht="17" customHeight="1">
      <c r="B676" s="253">
        <v>45750</v>
      </c>
      <c r="C676" s="254" t="s">
        <v>117</v>
      </c>
      <c r="D676" s="255" t="s">
        <v>692</v>
      </c>
      <c r="E676" s="256"/>
      <c r="F676" s="257">
        <v>30</v>
      </c>
      <c r="G676" s="258" t="s">
        <v>225</v>
      </c>
      <c r="H676" s="259"/>
      <c r="I676" s="541">
        <f t="shared" si="10"/>
        <v>107127.21</v>
      </c>
      <c r="K676" s="243"/>
    </row>
    <row r="677" spans="2:11" ht="17" customHeight="1">
      <c r="B677" s="253">
        <v>45750</v>
      </c>
      <c r="C677" s="263" t="s">
        <v>117</v>
      </c>
      <c r="D677" s="255" t="s">
        <v>549</v>
      </c>
      <c r="E677" s="256"/>
      <c r="F677" s="257">
        <v>14.5</v>
      </c>
      <c r="G677" s="258" t="s">
        <v>256</v>
      </c>
      <c r="H677" s="259"/>
      <c r="I677" s="541">
        <f t="shared" si="10"/>
        <v>107112.71</v>
      </c>
      <c r="K677" s="243"/>
    </row>
    <row r="678" spans="2:11" ht="17" customHeight="1">
      <c r="B678" s="253">
        <v>45750</v>
      </c>
      <c r="C678" s="263" t="s">
        <v>283</v>
      </c>
      <c r="D678" s="255" t="s">
        <v>283</v>
      </c>
      <c r="E678" s="256">
        <f>1117.2-E679</f>
        <v>909.73</v>
      </c>
      <c r="F678" s="257"/>
      <c r="G678" s="258" t="str">
        <f>IFERROR(VLOOKUP(D678,#REF!,2,FALSE),"_")</f>
        <v>_</v>
      </c>
      <c r="H678" s="259"/>
      <c r="I678" s="541">
        <f t="shared" si="10"/>
        <v>108022.44</v>
      </c>
      <c r="K678" s="243"/>
    </row>
    <row r="679" spans="2:11" ht="17" customHeight="1">
      <c r="B679" s="253">
        <v>45750</v>
      </c>
      <c r="C679" s="263" t="s">
        <v>283</v>
      </c>
      <c r="D679" s="255" t="s">
        <v>508</v>
      </c>
      <c r="E679" s="256">
        <v>207.47</v>
      </c>
      <c r="F679" s="257"/>
      <c r="G679" s="258" t="str">
        <f>IFERROR(VLOOKUP(D679,#REF!,2,FALSE),"_")</f>
        <v>_</v>
      </c>
      <c r="H679" s="259"/>
      <c r="I679" s="541">
        <f t="shared" si="10"/>
        <v>108229.91</v>
      </c>
      <c r="K679" s="243"/>
    </row>
    <row r="680" spans="2:11" ht="17" customHeight="1">
      <c r="B680" s="253">
        <v>45751</v>
      </c>
      <c r="C680" s="263" t="s">
        <v>117</v>
      </c>
      <c r="D680" s="255" t="s">
        <v>306</v>
      </c>
      <c r="E680" s="256"/>
      <c r="F680" s="257">
        <v>499.9</v>
      </c>
      <c r="G680" s="258" t="s">
        <v>194</v>
      </c>
      <c r="H680" s="259"/>
      <c r="I680" s="541">
        <f t="shared" si="10"/>
        <v>107730.01000000001</v>
      </c>
      <c r="K680" s="243"/>
    </row>
    <row r="681" spans="2:11" ht="17" customHeight="1">
      <c r="B681" s="253">
        <v>45751</v>
      </c>
      <c r="C681" s="263" t="s">
        <v>117</v>
      </c>
      <c r="D681" s="255" t="s">
        <v>306</v>
      </c>
      <c r="E681" s="256"/>
      <c r="F681" s="257">
        <v>147.4</v>
      </c>
      <c r="G681" s="258" t="s">
        <v>194</v>
      </c>
      <c r="H681" s="259"/>
      <c r="I681" s="541">
        <f t="shared" si="10"/>
        <v>107582.61000000002</v>
      </c>
      <c r="K681" s="243"/>
    </row>
    <row r="682" spans="2:11" ht="17" customHeight="1">
      <c r="B682" s="253">
        <v>45751</v>
      </c>
      <c r="C682" s="263" t="s">
        <v>117</v>
      </c>
      <c r="D682" s="255" t="s">
        <v>306</v>
      </c>
      <c r="E682" s="256"/>
      <c r="F682" s="257">
        <v>118.7</v>
      </c>
      <c r="G682" s="258" t="s">
        <v>194</v>
      </c>
      <c r="H682" s="259"/>
      <c r="I682" s="541">
        <f t="shared" si="10"/>
        <v>107463.91000000002</v>
      </c>
      <c r="K682" s="243"/>
    </row>
    <row r="683" spans="2:11" ht="17" customHeight="1">
      <c r="B683" s="253">
        <v>45751</v>
      </c>
      <c r="C683" s="263" t="s">
        <v>117</v>
      </c>
      <c r="D683" s="255" t="s">
        <v>306</v>
      </c>
      <c r="E683" s="256"/>
      <c r="F683" s="257">
        <v>106</v>
      </c>
      <c r="G683" s="258" t="s">
        <v>194</v>
      </c>
      <c r="H683" s="259"/>
      <c r="I683" s="541">
        <f t="shared" si="10"/>
        <v>107357.91000000002</v>
      </c>
      <c r="K683" s="243"/>
    </row>
    <row r="684" spans="2:11" ht="17" customHeight="1">
      <c r="B684" s="253">
        <v>45751</v>
      </c>
      <c r="C684" s="263" t="s">
        <v>117</v>
      </c>
      <c r="D684" s="255" t="s">
        <v>306</v>
      </c>
      <c r="E684" s="256"/>
      <c r="F684" s="257">
        <v>187.5</v>
      </c>
      <c r="G684" s="258" t="s">
        <v>194</v>
      </c>
      <c r="H684" s="259"/>
      <c r="I684" s="541">
        <f t="shared" si="10"/>
        <v>107170.41000000002</v>
      </c>
      <c r="K684" s="243"/>
    </row>
    <row r="685" spans="2:11" ht="17" customHeight="1">
      <c r="B685" s="253">
        <v>45751</v>
      </c>
      <c r="C685" s="263" t="s">
        <v>693</v>
      </c>
      <c r="D685" s="255" t="s">
        <v>512</v>
      </c>
      <c r="E685" s="256"/>
      <c r="F685" s="257">
        <f>27.6-1.06</f>
        <v>26.540000000000003</v>
      </c>
      <c r="G685" s="258" t="s">
        <v>199</v>
      </c>
      <c r="H685" s="259"/>
      <c r="I685" s="541">
        <f t="shared" si="10"/>
        <v>107143.87000000002</v>
      </c>
      <c r="K685" s="243"/>
    </row>
    <row r="686" spans="2:11" ht="17" customHeight="1">
      <c r="B686" s="253">
        <v>45751</v>
      </c>
      <c r="C686" s="263" t="s">
        <v>693</v>
      </c>
      <c r="D686" s="255" t="s">
        <v>512</v>
      </c>
      <c r="E686" s="256"/>
      <c r="F686" s="257">
        <v>1.06</v>
      </c>
      <c r="G686" s="258" t="s">
        <v>274</v>
      </c>
      <c r="H686" s="259"/>
      <c r="I686" s="541">
        <f t="shared" si="10"/>
        <v>107142.81000000003</v>
      </c>
      <c r="K686" s="243"/>
    </row>
    <row r="687" spans="2:11" ht="17" customHeight="1">
      <c r="B687" s="253">
        <v>45751</v>
      </c>
      <c r="C687" s="263" t="s">
        <v>283</v>
      </c>
      <c r="D687" s="255" t="s">
        <v>283</v>
      </c>
      <c r="E687" s="256">
        <f>1661.8-E688</f>
        <v>1397.3899999999999</v>
      </c>
      <c r="F687" s="257"/>
      <c r="G687" s="258" t="str">
        <f>IFERROR(VLOOKUP(D687,#REF!,2,FALSE),"_")</f>
        <v>_</v>
      </c>
      <c r="H687" s="259"/>
      <c r="I687" s="541">
        <f t="shared" si="10"/>
        <v>108540.20000000003</v>
      </c>
      <c r="K687" s="243"/>
    </row>
    <row r="688" spans="2:11" ht="17" customHeight="1">
      <c r="B688" s="253">
        <v>45751</v>
      </c>
      <c r="C688" s="263" t="s">
        <v>283</v>
      </c>
      <c r="D688" s="255" t="s">
        <v>508</v>
      </c>
      <c r="E688" s="256">
        <v>264.41000000000003</v>
      </c>
      <c r="F688" s="257"/>
      <c r="G688" s="258" t="str">
        <f>IFERROR(VLOOKUP(D688,#REF!,2,FALSE),"_")</f>
        <v>_</v>
      </c>
      <c r="H688" s="259"/>
      <c r="I688" s="541">
        <f t="shared" si="10"/>
        <v>108804.61000000003</v>
      </c>
      <c r="K688" s="243"/>
    </row>
    <row r="689" spans="2:11" ht="17" customHeight="1">
      <c r="B689" s="253">
        <v>45752</v>
      </c>
      <c r="C689" s="263" t="s">
        <v>513</v>
      </c>
      <c r="D689" s="261" t="s">
        <v>694</v>
      </c>
      <c r="E689" s="256"/>
      <c r="F689" s="257">
        <v>50</v>
      </c>
      <c r="G689" s="258" t="s">
        <v>245</v>
      </c>
      <c r="H689" s="259"/>
      <c r="I689" s="541">
        <f t="shared" si="10"/>
        <v>108754.61000000003</v>
      </c>
      <c r="K689" s="243"/>
    </row>
    <row r="690" spans="2:11" ht="17" customHeight="1">
      <c r="B690" s="253">
        <v>45752</v>
      </c>
      <c r="C690" s="263" t="s">
        <v>117</v>
      </c>
      <c r="D690" s="261" t="s">
        <v>516</v>
      </c>
      <c r="E690" s="256"/>
      <c r="F690" s="257">
        <v>18.5</v>
      </c>
      <c r="G690" s="258" t="s">
        <v>201</v>
      </c>
      <c r="H690" s="259"/>
      <c r="I690" s="541">
        <f t="shared" si="10"/>
        <v>108736.11000000003</v>
      </c>
      <c r="K690" s="243"/>
    </row>
    <row r="691" spans="2:11" ht="17" customHeight="1">
      <c r="B691" s="253">
        <v>45752</v>
      </c>
      <c r="C691" s="263" t="s">
        <v>117</v>
      </c>
      <c r="D691" s="261" t="s">
        <v>543</v>
      </c>
      <c r="E691" s="256"/>
      <c r="F691" s="257">
        <v>80</v>
      </c>
      <c r="G691" s="258" t="s">
        <v>234</v>
      </c>
      <c r="H691" s="259"/>
      <c r="I691" s="541">
        <f t="shared" si="10"/>
        <v>108656.11000000003</v>
      </c>
      <c r="K691" s="243"/>
    </row>
    <row r="692" spans="2:11" ht="17" customHeight="1">
      <c r="B692" s="253">
        <v>45752</v>
      </c>
      <c r="C692" s="263" t="s">
        <v>283</v>
      </c>
      <c r="D692" s="255" t="s">
        <v>283</v>
      </c>
      <c r="E692" s="256">
        <f>2556.3-E693</f>
        <v>2186.0500000000002</v>
      </c>
      <c r="F692" s="257"/>
      <c r="G692" s="258" t="str">
        <f>IFERROR(VLOOKUP(D692,#REF!,2,FALSE),"_")</f>
        <v>_</v>
      </c>
      <c r="H692" s="259"/>
      <c r="I692" s="541">
        <f t="shared" si="10"/>
        <v>110842.16000000003</v>
      </c>
      <c r="K692" s="243"/>
    </row>
    <row r="693" spans="2:11" ht="17" customHeight="1">
      <c r="B693" s="253">
        <v>45752</v>
      </c>
      <c r="C693" s="263" t="s">
        <v>283</v>
      </c>
      <c r="D693" s="255" t="s">
        <v>508</v>
      </c>
      <c r="E693" s="256">
        <v>370.25</v>
      </c>
      <c r="F693" s="257"/>
      <c r="G693" s="258" t="str">
        <f>IFERROR(VLOOKUP(D693,#REF!,2,FALSE),"_")</f>
        <v>_</v>
      </c>
      <c r="H693" s="259"/>
      <c r="I693" s="541">
        <f t="shared" si="10"/>
        <v>111212.41000000003</v>
      </c>
      <c r="K693" s="243"/>
    </row>
    <row r="694" spans="2:11" ht="17" customHeight="1">
      <c r="B694" s="253">
        <v>45753</v>
      </c>
      <c r="C694" s="263" t="s">
        <v>117</v>
      </c>
      <c r="D694" s="255" t="s">
        <v>530</v>
      </c>
      <c r="E694" s="256"/>
      <c r="F694" s="257">
        <v>500</v>
      </c>
      <c r="G694" s="258" t="s">
        <v>229</v>
      </c>
      <c r="H694" s="259"/>
      <c r="I694" s="541">
        <f t="shared" si="10"/>
        <v>110712.41000000003</v>
      </c>
      <c r="K694" s="243"/>
    </row>
    <row r="695" spans="2:11" ht="17" customHeight="1">
      <c r="B695" s="253">
        <v>45753</v>
      </c>
      <c r="C695" s="263" t="s">
        <v>117</v>
      </c>
      <c r="D695" s="255" t="s">
        <v>526</v>
      </c>
      <c r="E695" s="256"/>
      <c r="F695" s="257">
        <v>50</v>
      </c>
      <c r="G695" s="258" t="s">
        <v>229</v>
      </c>
      <c r="H695" s="259"/>
      <c r="I695" s="541">
        <f t="shared" si="10"/>
        <v>110662.41000000003</v>
      </c>
      <c r="K695" s="243"/>
    </row>
    <row r="696" spans="2:11" ht="17" customHeight="1">
      <c r="B696" s="253">
        <v>45753</v>
      </c>
      <c r="C696" s="263" t="s">
        <v>117</v>
      </c>
      <c r="D696" s="255" t="s">
        <v>526</v>
      </c>
      <c r="E696" s="256"/>
      <c r="F696" s="257">
        <v>50</v>
      </c>
      <c r="G696" s="258" t="s">
        <v>229</v>
      </c>
      <c r="H696" s="259"/>
      <c r="I696" s="541">
        <f t="shared" si="10"/>
        <v>110612.41000000003</v>
      </c>
      <c r="K696" s="243"/>
    </row>
    <row r="697" spans="2:11" ht="17" customHeight="1">
      <c r="B697" s="253">
        <v>45753</v>
      </c>
      <c r="C697" s="263" t="s">
        <v>117</v>
      </c>
      <c r="D697" s="261" t="s">
        <v>525</v>
      </c>
      <c r="E697" s="256"/>
      <c r="F697" s="257">
        <v>100</v>
      </c>
      <c r="G697" s="258" t="s">
        <v>229</v>
      </c>
      <c r="H697" s="259"/>
      <c r="I697" s="541">
        <f t="shared" si="10"/>
        <v>110512.41000000003</v>
      </c>
      <c r="K697" s="243"/>
    </row>
    <row r="698" spans="2:11" ht="17" customHeight="1">
      <c r="B698" s="253">
        <v>45753</v>
      </c>
      <c r="C698" s="263" t="s">
        <v>117</v>
      </c>
      <c r="D698" s="261" t="s">
        <v>531</v>
      </c>
      <c r="E698" s="256"/>
      <c r="F698" s="257">
        <v>50</v>
      </c>
      <c r="G698" s="258" t="s">
        <v>229</v>
      </c>
      <c r="H698" s="259"/>
      <c r="I698" s="541">
        <f t="shared" si="10"/>
        <v>110462.41000000003</v>
      </c>
      <c r="K698" s="243"/>
    </row>
    <row r="699" spans="2:11" ht="17" customHeight="1">
      <c r="B699" s="253">
        <v>45753</v>
      </c>
      <c r="C699" s="263" t="s">
        <v>117</v>
      </c>
      <c r="D699" s="255" t="s">
        <v>529</v>
      </c>
      <c r="E699" s="256"/>
      <c r="F699" s="257">
        <v>70</v>
      </c>
      <c r="G699" s="258" t="s">
        <v>233</v>
      </c>
      <c r="H699" s="259"/>
      <c r="I699" s="541">
        <f t="shared" si="10"/>
        <v>110392.41000000003</v>
      </c>
      <c r="K699" s="243"/>
    </row>
    <row r="700" spans="2:11" ht="17" customHeight="1">
      <c r="B700" s="253">
        <v>45753</v>
      </c>
      <c r="C700" s="263" t="s">
        <v>117</v>
      </c>
      <c r="D700" s="261" t="s">
        <v>532</v>
      </c>
      <c r="E700" s="256"/>
      <c r="F700" s="257">
        <v>400</v>
      </c>
      <c r="G700" s="258" t="s">
        <v>231</v>
      </c>
      <c r="H700" s="543"/>
      <c r="I700" s="541">
        <f t="shared" si="10"/>
        <v>109992.41000000003</v>
      </c>
      <c r="K700" s="243"/>
    </row>
    <row r="701" spans="2:11" ht="17" customHeight="1">
      <c r="B701" s="253">
        <v>45753</v>
      </c>
      <c r="C701" s="263" t="s">
        <v>117</v>
      </c>
      <c r="D701" s="255" t="s">
        <v>628</v>
      </c>
      <c r="E701" s="256"/>
      <c r="F701" s="257">
        <v>300</v>
      </c>
      <c r="G701" s="258" t="s">
        <v>230</v>
      </c>
      <c r="H701" s="543"/>
      <c r="I701" s="541">
        <f t="shared" si="10"/>
        <v>109692.41000000003</v>
      </c>
      <c r="K701" s="243"/>
    </row>
    <row r="702" spans="2:11" ht="17" customHeight="1">
      <c r="B702" s="253">
        <v>45753</v>
      </c>
      <c r="C702" s="263" t="s">
        <v>117</v>
      </c>
      <c r="D702" s="255" t="s">
        <v>531</v>
      </c>
      <c r="E702" s="256"/>
      <c r="F702" s="257">
        <v>100</v>
      </c>
      <c r="G702" s="258" t="s">
        <v>230</v>
      </c>
      <c r="H702" s="543"/>
      <c r="I702" s="541">
        <f t="shared" si="10"/>
        <v>109592.41000000003</v>
      </c>
      <c r="K702" s="243"/>
    </row>
    <row r="703" spans="2:11" ht="17" customHeight="1">
      <c r="B703" s="253">
        <v>45753</v>
      </c>
      <c r="C703" s="263" t="s">
        <v>117</v>
      </c>
      <c r="D703" s="255" t="s">
        <v>527</v>
      </c>
      <c r="E703" s="256"/>
      <c r="F703" s="257">
        <v>110</v>
      </c>
      <c r="G703" s="258" t="s">
        <v>233</v>
      </c>
      <c r="H703" s="543"/>
      <c r="I703" s="541">
        <f t="shared" si="10"/>
        <v>109482.41000000003</v>
      </c>
      <c r="K703" s="243"/>
    </row>
    <row r="704" spans="2:11" ht="17" customHeight="1">
      <c r="B704" s="253">
        <v>45753</v>
      </c>
      <c r="C704" s="263" t="s">
        <v>117</v>
      </c>
      <c r="D704" s="255" t="s">
        <v>528</v>
      </c>
      <c r="E704" s="256"/>
      <c r="F704" s="257">
        <v>150</v>
      </c>
      <c r="G704" s="258" t="s">
        <v>233</v>
      </c>
      <c r="H704" s="543"/>
      <c r="I704" s="541">
        <f t="shared" si="10"/>
        <v>109332.41000000003</v>
      </c>
      <c r="K704" s="243"/>
    </row>
    <row r="705" spans="2:11" ht="17" customHeight="1">
      <c r="B705" s="253">
        <v>45753</v>
      </c>
      <c r="C705" s="263" t="s">
        <v>117</v>
      </c>
      <c r="D705" s="255" t="s">
        <v>524</v>
      </c>
      <c r="E705" s="256"/>
      <c r="F705" s="257">
        <v>50</v>
      </c>
      <c r="G705" s="258" t="s">
        <v>227</v>
      </c>
      <c r="H705" s="543"/>
      <c r="I705" s="541">
        <f t="shared" si="10"/>
        <v>109282.41000000003</v>
      </c>
      <c r="K705" s="243"/>
    </row>
    <row r="706" spans="2:11" ht="17" customHeight="1">
      <c r="B706" s="253">
        <v>45753</v>
      </c>
      <c r="C706" s="263" t="s">
        <v>513</v>
      </c>
      <c r="D706" s="255" t="s">
        <v>567</v>
      </c>
      <c r="E706" s="256"/>
      <c r="F706" s="257">
        <v>95</v>
      </c>
      <c r="G706" s="258" t="s">
        <v>227</v>
      </c>
      <c r="H706" s="259"/>
      <c r="I706" s="541">
        <f t="shared" si="10"/>
        <v>109187.41000000003</v>
      </c>
      <c r="K706" s="243"/>
    </row>
    <row r="707" spans="2:11" ht="17" customHeight="1">
      <c r="B707" s="253">
        <v>45753</v>
      </c>
      <c r="C707" s="263" t="s">
        <v>513</v>
      </c>
      <c r="D707" s="255" t="s">
        <v>567</v>
      </c>
      <c r="E707" s="256"/>
      <c r="F707" s="257">
        <v>36</v>
      </c>
      <c r="G707" s="258" t="s">
        <v>227</v>
      </c>
      <c r="H707" s="259"/>
      <c r="I707" s="541">
        <f t="shared" si="10"/>
        <v>109151.41000000003</v>
      </c>
      <c r="K707" s="243"/>
    </row>
    <row r="708" spans="2:11" ht="17" customHeight="1">
      <c r="B708" s="253">
        <v>45753</v>
      </c>
      <c r="C708" s="263" t="s">
        <v>513</v>
      </c>
      <c r="D708" s="255" t="s">
        <v>567</v>
      </c>
      <c r="E708" s="256"/>
      <c r="F708" s="257">
        <v>13.64</v>
      </c>
      <c r="G708" s="258" t="s">
        <v>250</v>
      </c>
      <c r="H708" s="259"/>
      <c r="I708" s="541">
        <f t="shared" si="10"/>
        <v>109137.77000000003</v>
      </c>
      <c r="K708" s="243"/>
    </row>
    <row r="709" spans="2:11" ht="17" customHeight="1">
      <c r="B709" s="253">
        <v>45753</v>
      </c>
      <c r="C709" s="263" t="s">
        <v>513</v>
      </c>
      <c r="D709" s="255" t="s">
        <v>535</v>
      </c>
      <c r="E709" s="256">
        <v>36</v>
      </c>
      <c r="F709" s="257"/>
      <c r="G709" s="258"/>
      <c r="H709" s="259" t="s">
        <v>586</v>
      </c>
      <c r="I709" s="541">
        <f t="shared" si="10"/>
        <v>109173.77000000003</v>
      </c>
      <c r="K709" s="243"/>
    </row>
    <row r="710" spans="2:11" ht="17" customHeight="1">
      <c r="B710" s="253">
        <v>45753</v>
      </c>
      <c r="C710" s="263" t="s">
        <v>513</v>
      </c>
      <c r="D710" s="255" t="s">
        <v>535</v>
      </c>
      <c r="E710" s="256">
        <v>13.64</v>
      </c>
      <c r="F710" s="257"/>
      <c r="G710" s="258"/>
      <c r="H710" s="259" t="s">
        <v>586</v>
      </c>
      <c r="I710" s="541">
        <f t="shared" si="10"/>
        <v>109187.41000000003</v>
      </c>
      <c r="K710" s="243"/>
    </row>
    <row r="711" spans="2:11" ht="17" customHeight="1">
      <c r="B711" s="253">
        <v>45753</v>
      </c>
      <c r="C711" s="263" t="s">
        <v>513</v>
      </c>
      <c r="D711" s="255" t="s">
        <v>534</v>
      </c>
      <c r="E711" s="256"/>
      <c r="F711" s="257">
        <v>36</v>
      </c>
      <c r="G711" s="258" t="s">
        <v>245</v>
      </c>
      <c r="H711" s="259"/>
      <c r="I711" s="541">
        <f t="shared" si="10"/>
        <v>109151.41000000003</v>
      </c>
      <c r="K711" s="243"/>
    </row>
    <row r="712" spans="2:11" ht="17" customHeight="1">
      <c r="B712" s="253">
        <v>45753</v>
      </c>
      <c r="C712" s="263" t="s">
        <v>513</v>
      </c>
      <c r="D712" s="255" t="s">
        <v>534</v>
      </c>
      <c r="E712" s="256"/>
      <c r="F712" s="257">
        <v>13.64</v>
      </c>
      <c r="G712" s="258" t="s">
        <v>250</v>
      </c>
      <c r="H712" s="259"/>
      <c r="I712" s="541">
        <f t="shared" si="10"/>
        <v>109137.77000000003</v>
      </c>
      <c r="K712" s="243"/>
    </row>
    <row r="713" spans="2:11" ht="17" customHeight="1">
      <c r="B713" s="253">
        <v>45753</v>
      </c>
      <c r="C713" s="263" t="s">
        <v>513</v>
      </c>
      <c r="D713" s="255" t="s">
        <v>535</v>
      </c>
      <c r="E713" s="256">
        <v>36</v>
      </c>
      <c r="F713" s="257"/>
      <c r="G713" s="258"/>
      <c r="H713" s="259" t="s">
        <v>536</v>
      </c>
      <c r="I713" s="541">
        <f t="shared" ref="I713:I776" si="11">I712+E713-F713</f>
        <v>109173.77000000003</v>
      </c>
      <c r="K713" s="243"/>
    </row>
    <row r="714" spans="2:11" ht="17" customHeight="1">
      <c r="B714" s="253">
        <v>45753</v>
      </c>
      <c r="C714" s="263" t="s">
        <v>513</v>
      </c>
      <c r="D714" s="255" t="s">
        <v>535</v>
      </c>
      <c r="E714" s="256">
        <v>13.64</v>
      </c>
      <c r="F714" s="257"/>
      <c r="G714" s="258"/>
      <c r="H714" s="259" t="s">
        <v>536</v>
      </c>
      <c r="I714" s="541">
        <f t="shared" si="11"/>
        <v>109187.41000000003</v>
      </c>
      <c r="K714" s="243"/>
    </row>
    <row r="715" spans="2:11" ht="17" customHeight="1">
      <c r="B715" s="253">
        <v>45753</v>
      </c>
      <c r="C715" s="263" t="s">
        <v>117</v>
      </c>
      <c r="D715" s="255" t="s">
        <v>566</v>
      </c>
      <c r="E715" s="256"/>
      <c r="F715" s="257">
        <v>80</v>
      </c>
      <c r="G715" s="258" t="s">
        <v>229</v>
      </c>
      <c r="H715" s="259"/>
      <c r="I715" s="541">
        <f t="shared" si="11"/>
        <v>109107.41000000003</v>
      </c>
      <c r="K715" s="243"/>
    </row>
    <row r="716" spans="2:11" ht="17" customHeight="1">
      <c r="B716" s="253">
        <v>45753</v>
      </c>
      <c r="C716" s="263" t="s">
        <v>513</v>
      </c>
      <c r="D716" s="255" t="s">
        <v>31</v>
      </c>
      <c r="E716" s="256"/>
      <c r="F716" s="547"/>
      <c r="G716" s="258" t="s">
        <v>227</v>
      </c>
      <c r="H716" s="262"/>
      <c r="I716" s="541">
        <f t="shared" si="11"/>
        <v>109107.41000000003</v>
      </c>
      <c r="K716" s="243"/>
    </row>
    <row r="717" spans="2:11" ht="17" customHeight="1">
      <c r="B717" s="253">
        <v>45753</v>
      </c>
      <c r="C717" s="263" t="s">
        <v>513</v>
      </c>
      <c r="D717" s="255" t="s">
        <v>31</v>
      </c>
      <c r="E717" s="256"/>
      <c r="F717" s="257">
        <v>36</v>
      </c>
      <c r="G717" s="258" t="s">
        <v>227</v>
      </c>
      <c r="H717" s="259"/>
      <c r="I717" s="541">
        <f t="shared" si="11"/>
        <v>109071.41000000003</v>
      </c>
      <c r="K717" s="243"/>
    </row>
    <row r="718" spans="2:11" ht="17" customHeight="1">
      <c r="B718" s="253">
        <v>45753</v>
      </c>
      <c r="C718" s="263" t="s">
        <v>513</v>
      </c>
      <c r="D718" s="255" t="s">
        <v>31</v>
      </c>
      <c r="E718" s="256"/>
      <c r="F718" s="257">
        <v>13.64</v>
      </c>
      <c r="G718" s="258" t="s">
        <v>250</v>
      </c>
      <c r="H718" s="259"/>
      <c r="I718" s="541">
        <f t="shared" si="11"/>
        <v>109057.77000000003</v>
      </c>
      <c r="K718" s="243"/>
    </row>
    <row r="719" spans="2:11" ht="17" customHeight="1">
      <c r="B719" s="253">
        <v>45753</v>
      </c>
      <c r="C719" s="263" t="s">
        <v>513</v>
      </c>
      <c r="D719" s="255" t="s">
        <v>535</v>
      </c>
      <c r="E719" s="256">
        <v>36</v>
      </c>
      <c r="F719" s="257"/>
      <c r="G719" s="258"/>
      <c r="H719" s="259" t="s">
        <v>632</v>
      </c>
      <c r="I719" s="541">
        <f t="shared" si="11"/>
        <v>109093.77000000003</v>
      </c>
      <c r="K719" s="243"/>
    </row>
    <row r="720" spans="2:11" ht="17" customHeight="1">
      <c r="B720" s="253">
        <v>45753</v>
      </c>
      <c r="C720" s="263" t="s">
        <v>513</v>
      </c>
      <c r="D720" s="255" t="s">
        <v>535</v>
      </c>
      <c r="E720" s="256">
        <v>13.64</v>
      </c>
      <c r="F720" s="257"/>
      <c r="G720" s="258"/>
      <c r="H720" s="259" t="s">
        <v>632</v>
      </c>
      <c r="I720" s="541">
        <f t="shared" si="11"/>
        <v>109107.41000000003</v>
      </c>
      <c r="K720" s="243"/>
    </row>
    <row r="721" spans="2:11" ht="17" customHeight="1">
      <c r="B721" s="253">
        <v>45753</v>
      </c>
      <c r="C721" s="263" t="s">
        <v>513</v>
      </c>
      <c r="D721" s="261" t="s">
        <v>576</v>
      </c>
      <c r="E721" s="256"/>
      <c r="F721" s="257">
        <v>40</v>
      </c>
      <c r="G721" s="258" t="s">
        <v>248</v>
      </c>
      <c r="H721" s="259"/>
      <c r="I721" s="541">
        <f t="shared" si="11"/>
        <v>109067.41000000003</v>
      </c>
      <c r="K721" s="243"/>
    </row>
    <row r="722" spans="2:11" ht="17" customHeight="1">
      <c r="B722" s="253">
        <v>45753</v>
      </c>
      <c r="C722" s="263" t="s">
        <v>513</v>
      </c>
      <c r="D722" s="261" t="s">
        <v>688</v>
      </c>
      <c r="E722" s="256"/>
      <c r="F722" s="257">
        <v>50</v>
      </c>
      <c r="G722" s="258" t="s">
        <v>248</v>
      </c>
      <c r="H722" s="259"/>
      <c r="I722" s="541">
        <f t="shared" si="11"/>
        <v>109017.41000000003</v>
      </c>
      <c r="K722" s="243"/>
    </row>
    <row r="723" spans="2:11" ht="17" customHeight="1">
      <c r="B723" s="253">
        <v>45753</v>
      </c>
      <c r="C723" s="263" t="s">
        <v>283</v>
      </c>
      <c r="D723" s="255" t="s">
        <v>283</v>
      </c>
      <c r="E723" s="256">
        <f>5372-E724</f>
        <v>4743.41</v>
      </c>
      <c r="F723" s="257"/>
      <c r="G723" s="258" t="str">
        <f>IFERROR(VLOOKUP(D723,#REF!,2,FALSE),"_")</f>
        <v>_</v>
      </c>
      <c r="H723" s="259"/>
      <c r="I723" s="541">
        <f t="shared" si="11"/>
        <v>113760.82000000004</v>
      </c>
      <c r="K723" s="243"/>
    </row>
    <row r="724" spans="2:11" ht="17" customHeight="1">
      <c r="B724" s="253">
        <v>45753</v>
      </c>
      <c r="C724" s="263" t="s">
        <v>283</v>
      </c>
      <c r="D724" s="255" t="s">
        <v>508</v>
      </c>
      <c r="E724" s="256">
        <v>628.59</v>
      </c>
      <c r="F724" s="257"/>
      <c r="G724" s="258" t="str">
        <f>IFERROR(VLOOKUP(D724,#REF!,2,FALSE),"_")</f>
        <v>_</v>
      </c>
      <c r="H724" s="259"/>
      <c r="I724" s="541">
        <f t="shared" si="11"/>
        <v>114389.41000000003</v>
      </c>
      <c r="K724" s="243"/>
    </row>
    <row r="725" spans="2:11" ht="17" customHeight="1">
      <c r="B725" s="253">
        <v>45753</v>
      </c>
      <c r="C725" s="263" t="s">
        <v>283</v>
      </c>
      <c r="D725" s="255" t="s">
        <v>283</v>
      </c>
      <c r="E725" s="256">
        <v>200</v>
      </c>
      <c r="F725" s="257"/>
      <c r="G725" s="258" t="str">
        <f>IFERROR(VLOOKUP(D725,#REF!,2,FALSE),"_")</f>
        <v>_</v>
      </c>
      <c r="H725" s="259" t="s">
        <v>695</v>
      </c>
      <c r="I725" s="541">
        <f t="shared" si="11"/>
        <v>114589.41000000003</v>
      </c>
      <c r="K725" s="243"/>
    </row>
    <row r="726" spans="2:11" ht="17" customHeight="1">
      <c r="B726" s="253">
        <v>45754</v>
      </c>
      <c r="C726" s="263" t="s">
        <v>283</v>
      </c>
      <c r="D726" s="255" t="s">
        <v>283</v>
      </c>
      <c r="E726" s="256">
        <f>312-E727</f>
        <v>285.92</v>
      </c>
      <c r="F726" s="257"/>
      <c r="G726" s="258" t="str">
        <f>IFERROR(VLOOKUP(D726,#REF!,2,FALSE),"_")</f>
        <v>_</v>
      </c>
      <c r="H726" s="259"/>
      <c r="I726" s="541">
        <f t="shared" si="11"/>
        <v>114875.33000000003</v>
      </c>
      <c r="K726" s="243"/>
    </row>
    <row r="727" spans="2:11" ht="17" customHeight="1">
      <c r="B727" s="253">
        <v>45754</v>
      </c>
      <c r="C727" s="263" t="s">
        <v>283</v>
      </c>
      <c r="D727" s="255" t="s">
        <v>508</v>
      </c>
      <c r="E727" s="256">
        <v>26.08</v>
      </c>
      <c r="F727" s="257"/>
      <c r="G727" s="258" t="str">
        <f>IFERROR(VLOOKUP(D727,#REF!,2,FALSE),"_")</f>
        <v>_</v>
      </c>
      <c r="H727" s="259"/>
      <c r="I727" s="541">
        <f t="shared" si="11"/>
        <v>114901.41000000003</v>
      </c>
      <c r="K727" s="243"/>
    </row>
    <row r="728" spans="2:11" ht="17" customHeight="1">
      <c r="B728" s="253">
        <v>45755</v>
      </c>
      <c r="C728" s="263" t="s">
        <v>117</v>
      </c>
      <c r="D728" s="255" t="s">
        <v>361</v>
      </c>
      <c r="E728" s="256"/>
      <c r="F728" s="257">
        <v>113</v>
      </c>
      <c r="G728" s="258" t="s">
        <v>199</v>
      </c>
      <c r="H728" s="259"/>
      <c r="I728" s="541">
        <f t="shared" si="11"/>
        <v>114788.41000000003</v>
      </c>
      <c r="K728" s="243"/>
    </row>
    <row r="729" spans="2:11" ht="17" customHeight="1">
      <c r="B729" s="253">
        <v>45755</v>
      </c>
      <c r="C729" s="263" t="s">
        <v>513</v>
      </c>
      <c r="D729" s="255" t="s">
        <v>576</v>
      </c>
      <c r="E729" s="256"/>
      <c r="F729" s="257">
        <v>80</v>
      </c>
      <c r="G729" s="258" t="s">
        <v>248</v>
      </c>
      <c r="H729" s="259"/>
      <c r="I729" s="541">
        <f t="shared" si="11"/>
        <v>114708.41000000003</v>
      </c>
      <c r="K729" s="243"/>
    </row>
    <row r="730" spans="2:11" ht="17" customHeight="1">
      <c r="B730" s="253">
        <v>45755</v>
      </c>
      <c r="C730" s="263" t="s">
        <v>117</v>
      </c>
      <c r="D730" s="255" t="s">
        <v>596</v>
      </c>
      <c r="E730" s="256"/>
      <c r="F730" s="257">
        <v>12</v>
      </c>
      <c r="G730" s="258" t="s">
        <v>206</v>
      </c>
      <c r="H730" s="259"/>
      <c r="I730" s="541">
        <f t="shared" si="11"/>
        <v>114696.41000000003</v>
      </c>
      <c r="K730" s="243"/>
    </row>
    <row r="731" spans="2:11" ht="17" customHeight="1">
      <c r="B731" s="253">
        <v>45755</v>
      </c>
      <c r="C731" s="263" t="s">
        <v>286</v>
      </c>
      <c r="D731" s="255" t="s">
        <v>520</v>
      </c>
      <c r="E731" s="256"/>
      <c r="F731" s="257">
        <v>100</v>
      </c>
      <c r="G731" s="258" t="s">
        <v>139</v>
      </c>
      <c r="H731" s="259"/>
      <c r="I731" s="541">
        <f t="shared" si="11"/>
        <v>114596.41000000003</v>
      </c>
      <c r="K731" s="243"/>
    </row>
    <row r="732" spans="2:11" ht="17" customHeight="1">
      <c r="B732" s="253">
        <v>45755</v>
      </c>
      <c r="C732" s="263" t="s">
        <v>283</v>
      </c>
      <c r="D732" s="255" t="s">
        <v>283</v>
      </c>
      <c r="E732" s="256">
        <f>871.4-E733</f>
        <v>815.96</v>
      </c>
      <c r="F732" s="257"/>
      <c r="G732" s="258" t="str">
        <f>IFERROR(VLOOKUP(D732,#REF!,2,FALSE),"_")</f>
        <v>_</v>
      </c>
      <c r="H732" s="259"/>
      <c r="I732" s="541">
        <f t="shared" si="11"/>
        <v>115412.37000000004</v>
      </c>
      <c r="K732" s="243"/>
    </row>
    <row r="733" spans="2:11" ht="17" customHeight="1">
      <c r="B733" s="253">
        <v>45755</v>
      </c>
      <c r="C733" s="263" t="s">
        <v>283</v>
      </c>
      <c r="D733" s="255" t="s">
        <v>508</v>
      </c>
      <c r="E733" s="256">
        <v>55.44</v>
      </c>
      <c r="F733" s="257"/>
      <c r="G733" s="258" t="str">
        <f>IFERROR(VLOOKUP(D733,#REF!,2,FALSE),"_")</f>
        <v>_</v>
      </c>
      <c r="H733" s="259"/>
      <c r="I733" s="541">
        <f t="shared" si="11"/>
        <v>115467.81000000004</v>
      </c>
      <c r="K733" s="243"/>
    </row>
    <row r="734" spans="2:11" ht="17" customHeight="1">
      <c r="B734" s="268">
        <v>45747</v>
      </c>
      <c r="C734" s="263" t="s">
        <v>513</v>
      </c>
      <c r="D734" s="255" t="s">
        <v>25</v>
      </c>
      <c r="E734" s="256"/>
      <c r="F734" s="257">
        <v>355</v>
      </c>
      <c r="G734" s="258" t="s">
        <v>246</v>
      </c>
      <c r="H734" s="259"/>
      <c r="I734" s="541">
        <f t="shared" si="11"/>
        <v>115112.81000000004</v>
      </c>
      <c r="K734" s="243"/>
    </row>
    <row r="735" spans="2:11" ht="17" customHeight="1">
      <c r="B735" s="268">
        <v>45747</v>
      </c>
      <c r="C735" s="263" t="s">
        <v>513</v>
      </c>
      <c r="D735" s="255" t="s">
        <v>557</v>
      </c>
      <c r="E735" s="256"/>
      <c r="F735" s="257">
        <v>450</v>
      </c>
      <c r="G735" s="258" t="s">
        <v>246</v>
      </c>
      <c r="H735" s="259"/>
      <c r="I735" s="541">
        <f t="shared" si="11"/>
        <v>114662.81000000004</v>
      </c>
      <c r="K735" s="243"/>
    </row>
    <row r="736" spans="2:11" ht="17" customHeight="1">
      <c r="B736" s="268">
        <v>45747</v>
      </c>
      <c r="C736" s="263" t="s">
        <v>513</v>
      </c>
      <c r="D736" s="255" t="s">
        <v>28</v>
      </c>
      <c r="E736" s="256"/>
      <c r="F736" s="257">
        <v>1010</v>
      </c>
      <c r="G736" s="258" t="str">
        <f>IFERROR(VLOOKUP(D736,#REF!,2,FALSE),"_")</f>
        <v>_</v>
      </c>
      <c r="H736" s="259"/>
      <c r="I736" s="541">
        <f t="shared" si="11"/>
        <v>113652.81000000004</v>
      </c>
      <c r="K736" s="243"/>
    </row>
    <row r="737" spans="2:11" ht="17" customHeight="1">
      <c r="B737" s="268">
        <v>45747</v>
      </c>
      <c r="C737" s="263" t="s">
        <v>513</v>
      </c>
      <c r="D737" s="255" t="s">
        <v>29</v>
      </c>
      <c r="E737" s="256"/>
      <c r="F737" s="257">
        <v>445</v>
      </c>
      <c r="G737" s="258" t="str">
        <f>IFERROR(VLOOKUP(D737,#REF!,2,FALSE),"_")</f>
        <v>_</v>
      </c>
      <c r="H737" s="259"/>
      <c r="I737" s="541">
        <f t="shared" si="11"/>
        <v>113207.81000000004</v>
      </c>
      <c r="K737" s="243"/>
    </row>
    <row r="738" spans="2:11" ht="17" customHeight="1">
      <c r="B738" s="268">
        <v>45747</v>
      </c>
      <c r="C738" s="263" t="s">
        <v>513</v>
      </c>
      <c r="D738" s="255" t="s">
        <v>559</v>
      </c>
      <c r="E738" s="256"/>
      <c r="F738" s="257">
        <v>824</v>
      </c>
      <c r="G738" s="258" t="str">
        <f>IFERROR(VLOOKUP(D738,#REF!,2,FALSE),"_")</f>
        <v>_</v>
      </c>
      <c r="H738" s="259"/>
      <c r="I738" s="541">
        <f t="shared" si="11"/>
        <v>112383.81000000004</v>
      </c>
      <c r="K738" s="243"/>
    </row>
    <row r="739" spans="2:11" ht="17" customHeight="1">
      <c r="B739" s="268">
        <v>45747</v>
      </c>
      <c r="C739" s="263" t="s">
        <v>513</v>
      </c>
      <c r="D739" s="255" t="s">
        <v>534</v>
      </c>
      <c r="E739" s="256"/>
      <c r="F739" s="257">
        <v>1070</v>
      </c>
      <c r="G739" s="258" t="s">
        <v>245</v>
      </c>
      <c r="H739" s="259"/>
      <c r="I739" s="541">
        <f t="shared" si="11"/>
        <v>111313.81000000004</v>
      </c>
      <c r="K739" s="243"/>
    </row>
    <row r="740" spans="2:11" ht="17" customHeight="1">
      <c r="B740" s="268">
        <v>45747</v>
      </c>
      <c r="C740" s="263" t="s">
        <v>513</v>
      </c>
      <c r="D740" s="255" t="s">
        <v>558</v>
      </c>
      <c r="E740" s="256"/>
      <c r="F740" s="257">
        <v>325</v>
      </c>
      <c r="G740" s="258" t="s">
        <v>245</v>
      </c>
      <c r="H740" s="259"/>
      <c r="I740" s="541">
        <f t="shared" si="11"/>
        <v>110988.81000000004</v>
      </c>
      <c r="K740" s="243"/>
    </row>
    <row r="741" spans="2:11" ht="17" customHeight="1">
      <c r="B741" s="268">
        <v>45747</v>
      </c>
      <c r="C741" s="263" t="s">
        <v>513</v>
      </c>
      <c r="D741" s="261" t="s">
        <v>24</v>
      </c>
      <c r="E741" s="256"/>
      <c r="F741" s="257">
        <v>505</v>
      </c>
      <c r="G741" s="258" t="s">
        <v>245</v>
      </c>
      <c r="H741" s="259"/>
      <c r="I741" s="541">
        <f t="shared" si="11"/>
        <v>110483.81000000004</v>
      </c>
      <c r="K741" s="243"/>
    </row>
    <row r="742" spans="2:11" ht="17" customHeight="1">
      <c r="B742" s="268">
        <v>45747</v>
      </c>
      <c r="C742" s="263" t="s">
        <v>513</v>
      </c>
      <c r="D742" s="261" t="s">
        <v>562</v>
      </c>
      <c r="E742" s="256"/>
      <c r="F742" s="257">
        <v>150</v>
      </c>
      <c r="G742" s="258" t="s">
        <v>249</v>
      </c>
      <c r="H742" s="259"/>
      <c r="I742" s="541">
        <f t="shared" si="11"/>
        <v>110333.81000000004</v>
      </c>
      <c r="K742" s="243"/>
    </row>
    <row r="743" spans="2:11" ht="17" customHeight="1">
      <c r="B743" s="268">
        <v>45747</v>
      </c>
      <c r="C743" s="263" t="s">
        <v>513</v>
      </c>
      <c r="D743" s="261" t="s">
        <v>563</v>
      </c>
      <c r="E743" s="256"/>
      <c r="F743" s="257">
        <v>110</v>
      </c>
      <c r="G743" s="258" t="s">
        <v>249</v>
      </c>
      <c r="H743" s="259"/>
      <c r="I743" s="541">
        <f t="shared" si="11"/>
        <v>110223.81000000004</v>
      </c>
      <c r="K743" s="243"/>
    </row>
    <row r="744" spans="2:11" ht="17" customHeight="1">
      <c r="B744" s="253">
        <v>45756</v>
      </c>
      <c r="C744" s="263" t="s">
        <v>117</v>
      </c>
      <c r="D744" s="261" t="s">
        <v>696</v>
      </c>
      <c r="E744" s="256">
        <v>273.60000000000002</v>
      </c>
      <c r="F744" s="257"/>
      <c r="G744" s="258" t="s">
        <v>194</v>
      </c>
      <c r="H744" s="598" t="s">
        <v>502</v>
      </c>
      <c r="I744" s="541">
        <f t="shared" si="11"/>
        <v>110497.41000000005</v>
      </c>
      <c r="K744" s="243"/>
    </row>
    <row r="745" spans="2:11" ht="17" customHeight="1">
      <c r="B745" s="253">
        <v>45756</v>
      </c>
      <c r="C745" s="263" t="s">
        <v>513</v>
      </c>
      <c r="D745" s="261" t="s">
        <v>28</v>
      </c>
      <c r="E745" s="256">
        <v>100</v>
      </c>
      <c r="F745" s="257"/>
      <c r="G745" s="258" t="s">
        <v>243</v>
      </c>
      <c r="H745" s="598" t="s">
        <v>502</v>
      </c>
      <c r="I745" s="541">
        <f t="shared" si="11"/>
        <v>110597.41000000005</v>
      </c>
      <c r="K745" s="243"/>
    </row>
    <row r="746" spans="2:11" ht="17" customHeight="1">
      <c r="B746" s="253">
        <v>45756</v>
      </c>
      <c r="C746" s="263" t="s">
        <v>513</v>
      </c>
      <c r="D746" s="255" t="s">
        <v>576</v>
      </c>
      <c r="E746" s="256">
        <v>70</v>
      </c>
      <c r="F746" s="257"/>
      <c r="G746" s="258" t="s">
        <v>248</v>
      </c>
      <c r="H746" s="259"/>
      <c r="I746" s="541">
        <f t="shared" si="11"/>
        <v>110667.41000000005</v>
      </c>
      <c r="K746" s="243"/>
    </row>
    <row r="747" spans="2:11" ht="17" customHeight="1">
      <c r="B747" s="253">
        <v>45756</v>
      </c>
      <c r="C747" s="263" t="s">
        <v>283</v>
      </c>
      <c r="D747" s="255" t="s">
        <v>283</v>
      </c>
      <c r="E747" s="256">
        <f>565-E748</f>
        <v>486.45</v>
      </c>
      <c r="F747" s="257"/>
      <c r="G747" s="258" t="str">
        <f>IFERROR(VLOOKUP(D747,#REF!,2,FALSE),"_")</f>
        <v>_</v>
      </c>
      <c r="H747" s="259"/>
      <c r="I747" s="541">
        <f t="shared" si="11"/>
        <v>111153.86000000004</v>
      </c>
      <c r="K747" s="243"/>
    </row>
    <row r="748" spans="2:11" ht="17" customHeight="1">
      <c r="B748" s="253">
        <v>45756</v>
      </c>
      <c r="C748" s="263" t="s">
        <v>283</v>
      </c>
      <c r="D748" s="255" t="s">
        <v>508</v>
      </c>
      <c r="E748" s="256">
        <v>78.55</v>
      </c>
      <c r="F748" s="257"/>
      <c r="G748" s="258" t="str">
        <f>IFERROR(VLOOKUP(D748,#REF!,2,FALSE),"_")</f>
        <v>_</v>
      </c>
      <c r="H748" s="259"/>
      <c r="I748" s="541">
        <f t="shared" si="11"/>
        <v>111232.41000000005</v>
      </c>
      <c r="K748" s="243"/>
    </row>
    <row r="749" spans="2:11" ht="17" customHeight="1">
      <c r="B749" s="253">
        <v>45757</v>
      </c>
      <c r="C749" s="254" t="s">
        <v>541</v>
      </c>
      <c r="D749" s="255" t="s">
        <v>542</v>
      </c>
      <c r="E749" s="256"/>
      <c r="F749" s="257">
        <v>6000</v>
      </c>
      <c r="G749" s="258" t="s">
        <v>277</v>
      </c>
      <c r="H749" s="259"/>
      <c r="I749" s="541">
        <f t="shared" si="11"/>
        <v>105232.41000000005</v>
      </c>
      <c r="K749" s="243"/>
    </row>
    <row r="750" spans="2:11" ht="17" customHeight="1">
      <c r="B750" s="253">
        <v>45757</v>
      </c>
      <c r="C750" s="263" t="s">
        <v>513</v>
      </c>
      <c r="D750" s="255" t="s">
        <v>653</v>
      </c>
      <c r="E750" s="256"/>
      <c r="F750" s="257">
        <v>70</v>
      </c>
      <c r="G750" s="258" t="s">
        <v>248</v>
      </c>
      <c r="H750" s="259"/>
      <c r="I750" s="541">
        <f t="shared" si="11"/>
        <v>105162.41000000005</v>
      </c>
      <c r="K750" s="243"/>
    </row>
    <row r="751" spans="2:11" ht="17" customHeight="1">
      <c r="B751" s="253">
        <v>45757</v>
      </c>
      <c r="C751" s="263" t="s">
        <v>513</v>
      </c>
      <c r="D751" s="255" t="s">
        <v>688</v>
      </c>
      <c r="E751" s="256"/>
      <c r="F751" s="257">
        <v>20</v>
      </c>
      <c r="G751" s="258" t="s">
        <v>248</v>
      </c>
      <c r="H751" s="259"/>
      <c r="I751" s="541">
        <f t="shared" si="11"/>
        <v>105142.41000000005</v>
      </c>
      <c r="K751" s="243"/>
    </row>
    <row r="752" spans="2:11" ht="17" customHeight="1">
      <c r="B752" s="253">
        <v>45757</v>
      </c>
      <c r="C752" s="263" t="s">
        <v>286</v>
      </c>
      <c r="D752" s="255" t="s">
        <v>520</v>
      </c>
      <c r="E752" s="256"/>
      <c r="F752" s="257">
        <v>35</v>
      </c>
      <c r="G752" s="258" t="s">
        <v>139</v>
      </c>
      <c r="H752" s="259"/>
      <c r="I752" s="541">
        <f t="shared" si="11"/>
        <v>105107.41000000005</v>
      </c>
      <c r="K752" s="243"/>
    </row>
    <row r="753" spans="2:11" ht="17" customHeight="1">
      <c r="B753" s="253">
        <v>45757</v>
      </c>
      <c r="C753" s="263" t="s">
        <v>117</v>
      </c>
      <c r="D753" s="255" t="s">
        <v>306</v>
      </c>
      <c r="E753" s="256"/>
      <c r="F753" s="257">
        <v>38.799999999999997</v>
      </c>
      <c r="G753" s="258" t="s">
        <v>194</v>
      </c>
      <c r="H753" s="259"/>
      <c r="I753" s="541">
        <f t="shared" si="11"/>
        <v>105068.61000000004</v>
      </c>
      <c r="K753" s="243"/>
    </row>
    <row r="754" spans="2:11" ht="17" customHeight="1">
      <c r="B754" s="253">
        <v>45757</v>
      </c>
      <c r="C754" s="263" t="s">
        <v>117</v>
      </c>
      <c r="D754" s="255" t="s">
        <v>306</v>
      </c>
      <c r="E754" s="256"/>
      <c r="F754" s="257">
        <v>219.6</v>
      </c>
      <c r="G754" s="258" t="s">
        <v>194</v>
      </c>
      <c r="H754" s="259"/>
      <c r="I754" s="541">
        <f t="shared" si="11"/>
        <v>104849.01000000004</v>
      </c>
      <c r="K754" s="243"/>
    </row>
    <row r="755" spans="2:11" ht="17" customHeight="1">
      <c r="B755" s="253">
        <v>45757</v>
      </c>
      <c r="C755" s="263" t="s">
        <v>117</v>
      </c>
      <c r="D755" s="255" t="s">
        <v>306</v>
      </c>
      <c r="E755" s="256"/>
      <c r="F755" s="257">
        <v>132.55000000000001</v>
      </c>
      <c r="G755" s="258" t="s">
        <v>194</v>
      </c>
      <c r="H755" s="259"/>
      <c r="I755" s="541">
        <f t="shared" si="11"/>
        <v>104716.46000000004</v>
      </c>
      <c r="K755" s="243"/>
    </row>
    <row r="756" spans="2:11" ht="17" customHeight="1">
      <c r="B756" s="253">
        <v>45757</v>
      </c>
      <c r="C756" s="263" t="s">
        <v>283</v>
      </c>
      <c r="D756" s="255" t="s">
        <v>283</v>
      </c>
      <c r="E756" s="256">
        <f>583-E757</f>
        <v>503.15</v>
      </c>
      <c r="F756" s="257"/>
      <c r="G756" s="258" t="str">
        <f>IFERROR(VLOOKUP(D756,#REF!,2,FALSE),"_")</f>
        <v>_</v>
      </c>
      <c r="H756" s="259"/>
      <c r="I756" s="541">
        <f t="shared" si="11"/>
        <v>105219.61000000003</v>
      </c>
      <c r="K756" s="243"/>
    </row>
    <row r="757" spans="2:11" ht="17" customHeight="1">
      <c r="B757" s="253">
        <v>45757</v>
      </c>
      <c r="C757" s="263" t="s">
        <v>283</v>
      </c>
      <c r="D757" s="255" t="s">
        <v>508</v>
      </c>
      <c r="E757" s="256">
        <v>79.849999999999994</v>
      </c>
      <c r="F757" s="257"/>
      <c r="G757" s="258" t="str">
        <f>IFERROR(VLOOKUP(D757,#REF!,2,FALSE),"_")</f>
        <v>_</v>
      </c>
      <c r="H757" s="259"/>
      <c r="I757" s="541">
        <f t="shared" si="11"/>
        <v>105299.46000000004</v>
      </c>
      <c r="K757" s="243"/>
    </row>
    <row r="758" spans="2:11" ht="17" customHeight="1">
      <c r="B758" s="253">
        <v>45758</v>
      </c>
      <c r="C758" s="263" t="s">
        <v>513</v>
      </c>
      <c r="D758" s="255" t="s">
        <v>688</v>
      </c>
      <c r="E758" s="256"/>
      <c r="F758" s="257">
        <v>150</v>
      </c>
      <c r="G758" s="258" t="s">
        <v>248</v>
      </c>
      <c r="H758" s="259"/>
      <c r="I758" s="541">
        <f t="shared" si="11"/>
        <v>105149.46000000004</v>
      </c>
      <c r="K758" s="243"/>
    </row>
    <row r="759" spans="2:11" ht="17" customHeight="1">
      <c r="B759" s="253">
        <v>45758</v>
      </c>
      <c r="C759" s="263" t="s">
        <v>697</v>
      </c>
      <c r="D759" s="255" t="s">
        <v>512</v>
      </c>
      <c r="E759" s="256"/>
      <c r="F759" s="257">
        <f>46-1.77</f>
        <v>44.23</v>
      </c>
      <c r="G759" s="258" t="s">
        <v>199</v>
      </c>
      <c r="H759" s="259"/>
      <c r="I759" s="541">
        <f t="shared" si="11"/>
        <v>105105.23000000004</v>
      </c>
      <c r="K759" s="243"/>
    </row>
    <row r="760" spans="2:11" ht="17" customHeight="1">
      <c r="B760" s="253">
        <v>45758</v>
      </c>
      <c r="C760" s="263" t="s">
        <v>697</v>
      </c>
      <c r="D760" s="255" t="s">
        <v>512</v>
      </c>
      <c r="E760" s="256"/>
      <c r="F760" s="257">
        <v>1.77</v>
      </c>
      <c r="G760" s="258" t="s">
        <v>274</v>
      </c>
      <c r="H760" s="259"/>
      <c r="I760" s="541">
        <f t="shared" si="11"/>
        <v>105103.46000000004</v>
      </c>
      <c r="K760" s="243"/>
    </row>
    <row r="761" spans="2:11" ht="17" customHeight="1">
      <c r="B761" s="253">
        <v>45758</v>
      </c>
      <c r="C761" s="263" t="s">
        <v>117</v>
      </c>
      <c r="D761" s="255" t="s">
        <v>543</v>
      </c>
      <c r="E761" s="256"/>
      <c r="F761" s="257">
        <v>80</v>
      </c>
      <c r="G761" s="258" t="s">
        <v>234</v>
      </c>
      <c r="H761" s="259" t="s">
        <v>698</v>
      </c>
      <c r="I761" s="541">
        <f t="shared" si="11"/>
        <v>105023.46000000004</v>
      </c>
      <c r="K761" s="243"/>
    </row>
    <row r="762" spans="2:11" ht="17" customHeight="1">
      <c r="B762" s="253">
        <v>45758</v>
      </c>
      <c r="C762" s="263" t="s">
        <v>283</v>
      </c>
      <c r="D762" s="255" t="s">
        <v>283</v>
      </c>
      <c r="E762" s="256">
        <f>1319.8+540+80-E763</f>
        <v>1708.34</v>
      </c>
      <c r="F762" s="257"/>
      <c r="G762" s="258" t="str">
        <f>IFERROR(VLOOKUP(D762,#REF!,2,FALSE),"_")</f>
        <v>_</v>
      </c>
      <c r="H762" s="259"/>
      <c r="I762" s="541">
        <f t="shared" si="11"/>
        <v>106731.80000000003</v>
      </c>
      <c r="K762" s="243"/>
    </row>
    <row r="763" spans="2:11" ht="17" customHeight="1">
      <c r="B763" s="253">
        <v>45758</v>
      </c>
      <c r="C763" s="263" t="s">
        <v>283</v>
      </c>
      <c r="D763" s="255" t="s">
        <v>508</v>
      </c>
      <c r="E763" s="256">
        <v>231.46</v>
      </c>
      <c r="F763" s="257"/>
      <c r="G763" s="258" t="str">
        <f>IFERROR(VLOOKUP(D763,#REF!,2,FALSE),"_")</f>
        <v>_</v>
      </c>
      <c r="H763" s="259"/>
      <c r="I763" s="541">
        <f t="shared" si="11"/>
        <v>106963.26000000004</v>
      </c>
      <c r="K763" s="243"/>
    </row>
    <row r="764" spans="2:11" ht="17" customHeight="1">
      <c r="B764" s="253">
        <v>45759</v>
      </c>
      <c r="C764" s="263" t="s">
        <v>513</v>
      </c>
      <c r="D764" s="255" t="s">
        <v>699</v>
      </c>
      <c r="E764" s="256"/>
      <c r="F764" s="257">
        <v>36</v>
      </c>
      <c r="G764" s="258" t="s">
        <v>227</v>
      </c>
      <c r="H764" s="259"/>
      <c r="I764" s="541">
        <f t="shared" si="11"/>
        <v>106927.26000000004</v>
      </c>
      <c r="K764" s="243"/>
    </row>
    <row r="765" spans="2:11" ht="17" customHeight="1">
      <c r="B765" s="253">
        <v>45759</v>
      </c>
      <c r="C765" s="263" t="s">
        <v>513</v>
      </c>
      <c r="D765" s="255" t="s">
        <v>699</v>
      </c>
      <c r="E765" s="256"/>
      <c r="F765" s="257">
        <v>13.64</v>
      </c>
      <c r="G765" s="258" t="s">
        <v>250</v>
      </c>
      <c r="H765" s="259"/>
      <c r="I765" s="541">
        <f t="shared" si="11"/>
        <v>106913.62000000004</v>
      </c>
      <c r="K765" s="243"/>
    </row>
    <row r="766" spans="2:11" ht="17" customHeight="1">
      <c r="B766" s="253">
        <v>45759</v>
      </c>
      <c r="C766" s="263" t="s">
        <v>513</v>
      </c>
      <c r="D766" s="255" t="s">
        <v>535</v>
      </c>
      <c r="E766" s="256">
        <v>36</v>
      </c>
      <c r="F766" s="257"/>
      <c r="G766" s="258"/>
      <c r="H766" s="259" t="s">
        <v>700</v>
      </c>
      <c r="I766" s="541">
        <f t="shared" si="11"/>
        <v>106949.62000000004</v>
      </c>
      <c r="K766" s="243"/>
    </row>
    <row r="767" spans="2:11" ht="17" customHeight="1">
      <c r="B767" s="253">
        <v>45759</v>
      </c>
      <c r="C767" s="263" t="s">
        <v>513</v>
      </c>
      <c r="D767" s="255" t="s">
        <v>535</v>
      </c>
      <c r="E767" s="256">
        <v>13.64</v>
      </c>
      <c r="F767" s="257"/>
      <c r="G767" s="258"/>
      <c r="H767" s="259" t="s">
        <v>700</v>
      </c>
      <c r="I767" s="541">
        <f t="shared" si="11"/>
        <v>106963.26000000004</v>
      </c>
      <c r="K767" s="243"/>
    </row>
    <row r="768" spans="2:11" ht="17" customHeight="1">
      <c r="B768" s="253">
        <v>45759</v>
      </c>
      <c r="C768" s="263" t="s">
        <v>117</v>
      </c>
      <c r="D768" s="255" t="s">
        <v>510</v>
      </c>
      <c r="E768" s="256"/>
      <c r="F768" s="257">
        <v>80</v>
      </c>
      <c r="G768" s="258" t="s">
        <v>234</v>
      </c>
      <c r="H768" s="259"/>
      <c r="I768" s="541">
        <f t="shared" si="11"/>
        <v>106883.26000000004</v>
      </c>
      <c r="K768" s="243"/>
    </row>
    <row r="769" spans="2:11" ht="17" customHeight="1">
      <c r="B769" s="253">
        <v>45759</v>
      </c>
      <c r="C769" s="263" t="s">
        <v>117</v>
      </c>
      <c r="D769" s="255" t="s">
        <v>701</v>
      </c>
      <c r="E769" s="256"/>
      <c r="F769" s="257">
        <v>100</v>
      </c>
      <c r="G769" s="258" t="s">
        <v>227</v>
      </c>
      <c r="H769" s="259"/>
      <c r="I769" s="541">
        <f t="shared" si="11"/>
        <v>106783.26000000004</v>
      </c>
      <c r="K769" s="243"/>
    </row>
    <row r="770" spans="2:11" ht="17" customHeight="1">
      <c r="B770" s="253">
        <v>45759</v>
      </c>
      <c r="C770" s="263" t="s">
        <v>513</v>
      </c>
      <c r="D770" s="255" t="s">
        <v>688</v>
      </c>
      <c r="E770" s="256"/>
      <c r="F770" s="257">
        <v>70</v>
      </c>
      <c r="G770" s="258" t="s">
        <v>248</v>
      </c>
      <c r="H770" s="259"/>
      <c r="I770" s="541">
        <f t="shared" si="11"/>
        <v>106713.26000000004</v>
      </c>
      <c r="K770" s="243"/>
    </row>
    <row r="771" spans="2:11" ht="17" customHeight="1">
      <c r="B771" s="253">
        <v>45759</v>
      </c>
      <c r="C771" s="263" t="s">
        <v>117</v>
      </c>
      <c r="D771" s="255" t="s">
        <v>516</v>
      </c>
      <c r="E771" s="256"/>
      <c r="F771" s="257">
        <v>23.5</v>
      </c>
      <c r="G771" s="258"/>
      <c r="H771" s="259"/>
      <c r="I771" s="541">
        <f t="shared" si="11"/>
        <v>106689.76000000004</v>
      </c>
      <c r="K771" s="243"/>
    </row>
    <row r="772" spans="2:11" ht="17" customHeight="1">
      <c r="B772" s="253">
        <v>45759</v>
      </c>
      <c r="C772" s="263" t="s">
        <v>283</v>
      </c>
      <c r="D772" s="255" t="s">
        <v>283</v>
      </c>
      <c r="E772" s="256">
        <f>2418.5-E773</f>
        <v>2074.77</v>
      </c>
      <c r="F772" s="257"/>
      <c r="G772" s="258" t="str">
        <f>IFERROR(VLOOKUP(D772,#REF!,2,FALSE),"_")</f>
        <v>_</v>
      </c>
      <c r="H772" s="259"/>
      <c r="I772" s="541">
        <f t="shared" si="11"/>
        <v>108764.53000000004</v>
      </c>
      <c r="K772" s="243"/>
    </row>
    <row r="773" spans="2:11" ht="17" customHeight="1">
      <c r="B773" s="253">
        <v>45759</v>
      </c>
      <c r="C773" s="263" t="s">
        <v>283</v>
      </c>
      <c r="D773" s="255" t="s">
        <v>508</v>
      </c>
      <c r="E773" s="256">
        <v>343.73</v>
      </c>
      <c r="F773" s="257"/>
      <c r="G773" s="258" t="str">
        <f>IFERROR(VLOOKUP(D773,#REF!,2,FALSE),"_")</f>
        <v>_</v>
      </c>
      <c r="H773" s="259"/>
      <c r="I773" s="541">
        <f t="shared" si="11"/>
        <v>109108.26000000004</v>
      </c>
      <c r="K773" s="243"/>
    </row>
    <row r="774" spans="2:11" ht="17" customHeight="1">
      <c r="B774" s="253">
        <v>45760</v>
      </c>
      <c r="C774" s="263" t="s">
        <v>117</v>
      </c>
      <c r="D774" s="255" t="s">
        <v>702</v>
      </c>
      <c r="E774" s="256">
        <v>50</v>
      </c>
      <c r="F774" s="257"/>
      <c r="G774" s="258" t="s">
        <v>190</v>
      </c>
      <c r="H774" s="259"/>
      <c r="I774" s="541">
        <f t="shared" si="11"/>
        <v>109158.26000000004</v>
      </c>
      <c r="K774" s="243"/>
    </row>
    <row r="775" spans="2:11" ht="17" customHeight="1">
      <c r="B775" s="253">
        <v>45760</v>
      </c>
      <c r="C775" s="263" t="s">
        <v>513</v>
      </c>
      <c r="D775" s="255" t="s">
        <v>688</v>
      </c>
      <c r="E775" s="256"/>
      <c r="F775" s="257">
        <v>25</v>
      </c>
      <c r="G775" s="258" t="s">
        <v>248</v>
      </c>
      <c r="H775" s="543"/>
      <c r="I775" s="541">
        <f t="shared" si="11"/>
        <v>109133.26000000004</v>
      </c>
      <c r="K775" s="243"/>
    </row>
    <row r="776" spans="2:11" ht="17" customHeight="1">
      <c r="B776" s="253">
        <v>45760</v>
      </c>
      <c r="C776" s="263" t="s">
        <v>513</v>
      </c>
      <c r="D776" s="255" t="s">
        <v>576</v>
      </c>
      <c r="E776" s="256"/>
      <c r="F776" s="257">
        <v>60</v>
      </c>
      <c r="G776" s="258" t="s">
        <v>248</v>
      </c>
      <c r="H776" s="259"/>
      <c r="I776" s="541">
        <f t="shared" si="11"/>
        <v>109073.26000000004</v>
      </c>
      <c r="K776" s="243"/>
    </row>
    <row r="777" spans="2:11" ht="17" customHeight="1">
      <c r="B777" s="253">
        <v>45760</v>
      </c>
      <c r="C777" s="263" t="s">
        <v>286</v>
      </c>
      <c r="D777" s="255" t="s">
        <v>520</v>
      </c>
      <c r="E777" s="256"/>
      <c r="F777" s="257">
        <v>115</v>
      </c>
      <c r="G777" s="258" t="s">
        <v>139</v>
      </c>
      <c r="H777" s="259"/>
      <c r="I777" s="541">
        <f t="shared" ref="I777:I840" si="12">I776+E777-F777</f>
        <v>108958.26000000004</v>
      </c>
      <c r="K777" s="243"/>
    </row>
    <row r="778" spans="2:11" ht="17" customHeight="1">
      <c r="B778" s="253">
        <v>45760</v>
      </c>
      <c r="C778" s="263" t="s">
        <v>117</v>
      </c>
      <c r="D778" s="255" t="s">
        <v>530</v>
      </c>
      <c r="E778" s="256"/>
      <c r="F778" s="257">
        <v>500</v>
      </c>
      <c r="G778" s="258" t="s">
        <v>229</v>
      </c>
      <c r="H778" s="259"/>
      <c r="I778" s="541">
        <f t="shared" si="12"/>
        <v>108458.26000000004</v>
      </c>
      <c r="K778" s="243"/>
    </row>
    <row r="779" spans="2:11" ht="17" customHeight="1">
      <c r="B779" s="253">
        <v>45760</v>
      </c>
      <c r="C779" s="263" t="s">
        <v>117</v>
      </c>
      <c r="D779" s="255" t="s">
        <v>526</v>
      </c>
      <c r="E779" s="256"/>
      <c r="F779" s="257">
        <v>50</v>
      </c>
      <c r="G779" s="258" t="s">
        <v>229</v>
      </c>
      <c r="H779" s="259"/>
      <c r="I779" s="541">
        <f t="shared" si="12"/>
        <v>108408.26000000004</v>
      </c>
      <c r="K779" s="243"/>
    </row>
    <row r="780" spans="2:11" ht="17" customHeight="1">
      <c r="B780" s="253">
        <v>45760</v>
      </c>
      <c r="C780" s="263" t="s">
        <v>117</v>
      </c>
      <c r="D780" s="261" t="s">
        <v>525</v>
      </c>
      <c r="E780" s="256"/>
      <c r="F780" s="257">
        <v>100</v>
      </c>
      <c r="G780" s="258" t="s">
        <v>229</v>
      </c>
      <c r="H780" s="259"/>
      <c r="I780" s="541">
        <f t="shared" si="12"/>
        <v>108308.26000000004</v>
      </c>
      <c r="K780" s="243"/>
    </row>
    <row r="781" spans="2:11" ht="17" customHeight="1">
      <c r="B781" s="253">
        <v>45760</v>
      </c>
      <c r="C781" s="263" t="s">
        <v>117</v>
      </c>
      <c r="D781" s="261" t="s">
        <v>531</v>
      </c>
      <c r="E781" s="256"/>
      <c r="F781" s="257">
        <v>50</v>
      </c>
      <c r="G781" s="258" t="s">
        <v>229</v>
      </c>
      <c r="H781" s="259"/>
      <c r="I781" s="541">
        <f t="shared" si="12"/>
        <v>108258.26000000004</v>
      </c>
      <c r="K781" s="243"/>
    </row>
    <row r="782" spans="2:11" ht="17" customHeight="1">
      <c r="B782" s="253">
        <v>45760</v>
      </c>
      <c r="C782" s="263" t="s">
        <v>117</v>
      </c>
      <c r="D782" s="255" t="s">
        <v>529</v>
      </c>
      <c r="E782" s="256"/>
      <c r="F782" s="257">
        <v>70</v>
      </c>
      <c r="G782" s="258" t="s">
        <v>233</v>
      </c>
      <c r="H782" s="259"/>
      <c r="I782" s="541">
        <f t="shared" si="12"/>
        <v>108188.26000000004</v>
      </c>
      <c r="K782" s="243"/>
    </row>
    <row r="783" spans="2:11" ht="17" customHeight="1">
      <c r="B783" s="253">
        <v>45760</v>
      </c>
      <c r="C783" s="263" t="s">
        <v>117</v>
      </c>
      <c r="D783" s="261" t="s">
        <v>532</v>
      </c>
      <c r="E783" s="256"/>
      <c r="F783" s="257">
        <v>400</v>
      </c>
      <c r="G783" s="258" t="s">
        <v>231</v>
      </c>
      <c r="H783" s="259"/>
      <c r="I783" s="541">
        <f t="shared" si="12"/>
        <v>107788.26000000004</v>
      </c>
      <c r="K783" s="243"/>
    </row>
    <row r="784" spans="2:11" ht="17" customHeight="1">
      <c r="B784" s="253">
        <v>45760</v>
      </c>
      <c r="C784" s="263" t="s">
        <v>117</v>
      </c>
      <c r="D784" s="255" t="s">
        <v>703</v>
      </c>
      <c r="E784" s="256"/>
      <c r="F784" s="257">
        <v>300</v>
      </c>
      <c r="G784" s="258" t="s">
        <v>230</v>
      </c>
      <c r="H784" s="259"/>
      <c r="I784" s="541">
        <f t="shared" si="12"/>
        <v>107488.26000000004</v>
      </c>
      <c r="K784" s="243"/>
    </row>
    <row r="785" spans="2:11" ht="17" customHeight="1">
      <c r="B785" s="253">
        <v>45760</v>
      </c>
      <c r="C785" s="263" t="s">
        <v>117</v>
      </c>
      <c r="D785" s="255" t="s">
        <v>704</v>
      </c>
      <c r="E785" s="256"/>
      <c r="F785" s="257">
        <v>250</v>
      </c>
      <c r="G785" s="258" t="s">
        <v>230</v>
      </c>
      <c r="H785" s="259"/>
      <c r="I785" s="541">
        <f t="shared" si="12"/>
        <v>107238.26000000004</v>
      </c>
      <c r="K785" s="243"/>
    </row>
    <row r="786" spans="2:11" ht="17" customHeight="1">
      <c r="B786" s="253">
        <v>45760</v>
      </c>
      <c r="C786" s="263" t="s">
        <v>117</v>
      </c>
      <c r="D786" s="255" t="s">
        <v>524</v>
      </c>
      <c r="E786" s="256"/>
      <c r="F786" s="257">
        <v>50</v>
      </c>
      <c r="G786" s="258" t="s">
        <v>227</v>
      </c>
      <c r="H786" s="259"/>
      <c r="I786" s="541">
        <f t="shared" si="12"/>
        <v>107188.26000000004</v>
      </c>
      <c r="K786" s="243"/>
    </row>
    <row r="787" spans="2:11" ht="17" customHeight="1">
      <c r="B787" s="253">
        <v>45760</v>
      </c>
      <c r="C787" s="263" t="s">
        <v>117</v>
      </c>
      <c r="D787" s="255" t="s">
        <v>566</v>
      </c>
      <c r="E787" s="256"/>
      <c r="F787" s="257">
        <v>80</v>
      </c>
      <c r="G787" s="258" t="s">
        <v>229</v>
      </c>
      <c r="H787" s="259"/>
      <c r="I787" s="541">
        <f t="shared" si="12"/>
        <v>107108.26000000004</v>
      </c>
      <c r="K787" s="243"/>
    </row>
    <row r="788" spans="2:11" ht="17" customHeight="1">
      <c r="B788" s="253">
        <v>45760</v>
      </c>
      <c r="C788" s="263" t="s">
        <v>513</v>
      </c>
      <c r="D788" s="255" t="s">
        <v>567</v>
      </c>
      <c r="E788" s="256"/>
      <c r="F788" s="257">
        <v>95</v>
      </c>
      <c r="G788" s="258" t="s">
        <v>227</v>
      </c>
      <c r="H788" s="259"/>
      <c r="I788" s="541">
        <f t="shared" si="12"/>
        <v>107013.26000000004</v>
      </c>
      <c r="K788" s="243"/>
    </row>
    <row r="789" spans="2:11" ht="17" customHeight="1">
      <c r="B789" s="253">
        <v>45760</v>
      </c>
      <c r="C789" s="263" t="s">
        <v>513</v>
      </c>
      <c r="D789" s="255" t="s">
        <v>567</v>
      </c>
      <c r="E789" s="256"/>
      <c r="F789" s="257">
        <v>36</v>
      </c>
      <c r="G789" s="258" t="s">
        <v>227</v>
      </c>
      <c r="H789" s="259"/>
      <c r="I789" s="541">
        <f t="shared" si="12"/>
        <v>106977.26000000004</v>
      </c>
      <c r="K789" s="243"/>
    </row>
    <row r="790" spans="2:11" ht="17" customHeight="1">
      <c r="B790" s="253">
        <v>45760</v>
      </c>
      <c r="C790" s="263" t="s">
        <v>513</v>
      </c>
      <c r="D790" s="255" t="s">
        <v>567</v>
      </c>
      <c r="E790" s="256"/>
      <c r="F790" s="257">
        <v>13.64</v>
      </c>
      <c r="G790" s="258" t="s">
        <v>250</v>
      </c>
      <c r="H790" s="259"/>
      <c r="I790" s="541">
        <f t="shared" si="12"/>
        <v>106963.62000000004</v>
      </c>
      <c r="K790" s="243"/>
    </row>
    <row r="791" spans="2:11" ht="17" customHeight="1">
      <c r="B791" s="253">
        <v>45760</v>
      </c>
      <c r="C791" s="263" t="s">
        <v>513</v>
      </c>
      <c r="D791" s="255" t="s">
        <v>535</v>
      </c>
      <c r="E791" s="256">
        <v>36</v>
      </c>
      <c r="F791" s="257"/>
      <c r="G791" s="258"/>
      <c r="H791" s="259" t="s">
        <v>586</v>
      </c>
      <c r="I791" s="541">
        <f t="shared" si="12"/>
        <v>106999.62000000004</v>
      </c>
      <c r="K791" s="243"/>
    </row>
    <row r="792" spans="2:11" ht="17" customHeight="1">
      <c r="B792" s="253">
        <v>45760</v>
      </c>
      <c r="C792" s="263" t="s">
        <v>513</v>
      </c>
      <c r="D792" s="255" t="s">
        <v>535</v>
      </c>
      <c r="E792" s="256">
        <v>13.64</v>
      </c>
      <c r="F792" s="257"/>
      <c r="G792" s="258"/>
      <c r="H792" s="259" t="s">
        <v>586</v>
      </c>
      <c r="I792" s="541">
        <f t="shared" si="12"/>
        <v>107013.26000000004</v>
      </c>
      <c r="K792" s="243"/>
    </row>
    <row r="793" spans="2:11" ht="17" customHeight="1">
      <c r="B793" s="253">
        <v>45760</v>
      </c>
      <c r="C793" s="263" t="s">
        <v>513</v>
      </c>
      <c r="D793" s="255" t="s">
        <v>534</v>
      </c>
      <c r="E793" s="256"/>
      <c r="F793" s="257">
        <v>36</v>
      </c>
      <c r="G793" s="258" t="s">
        <v>245</v>
      </c>
      <c r="H793" s="259"/>
      <c r="I793" s="541">
        <f t="shared" si="12"/>
        <v>106977.26000000004</v>
      </c>
      <c r="K793" s="243"/>
    </row>
    <row r="794" spans="2:11" ht="17" customHeight="1">
      <c r="B794" s="253">
        <v>45760</v>
      </c>
      <c r="C794" s="263" t="s">
        <v>513</v>
      </c>
      <c r="D794" s="255" t="s">
        <v>534</v>
      </c>
      <c r="E794" s="256"/>
      <c r="F794" s="257">
        <v>13.64</v>
      </c>
      <c r="G794" s="258" t="s">
        <v>250</v>
      </c>
      <c r="H794" s="259"/>
      <c r="I794" s="541">
        <f t="shared" si="12"/>
        <v>106963.62000000004</v>
      </c>
      <c r="K794" s="243"/>
    </row>
    <row r="795" spans="2:11" ht="17" customHeight="1">
      <c r="B795" s="253">
        <v>45760</v>
      </c>
      <c r="C795" s="263" t="s">
        <v>513</v>
      </c>
      <c r="D795" s="255" t="s">
        <v>535</v>
      </c>
      <c r="E795" s="256">
        <v>36</v>
      </c>
      <c r="F795" s="257"/>
      <c r="G795" s="258"/>
      <c r="H795" s="259" t="s">
        <v>536</v>
      </c>
      <c r="I795" s="541">
        <f t="shared" si="12"/>
        <v>106999.62000000004</v>
      </c>
      <c r="K795" s="243"/>
    </row>
    <row r="796" spans="2:11" ht="17" customHeight="1">
      <c r="B796" s="253">
        <v>45760</v>
      </c>
      <c r="C796" s="263" t="s">
        <v>513</v>
      </c>
      <c r="D796" s="255" t="s">
        <v>535</v>
      </c>
      <c r="E796" s="256">
        <v>13.64</v>
      </c>
      <c r="F796" s="257"/>
      <c r="G796" s="258"/>
      <c r="H796" s="259" t="s">
        <v>536</v>
      </c>
      <c r="I796" s="541">
        <f t="shared" si="12"/>
        <v>107013.26000000004</v>
      </c>
      <c r="K796" s="243"/>
    </row>
    <row r="797" spans="2:11" ht="17" customHeight="1">
      <c r="B797" s="253">
        <v>45760</v>
      </c>
      <c r="C797" s="263" t="s">
        <v>283</v>
      </c>
      <c r="D797" s="255" t="s">
        <v>283</v>
      </c>
      <c r="E797" s="256">
        <f>4801.6-E798</f>
        <v>4349.9000000000005</v>
      </c>
      <c r="F797" s="257"/>
      <c r="G797" s="258" t="str">
        <f>IFERROR(VLOOKUP(D797,#REF!,2,FALSE),"_")</f>
        <v>_</v>
      </c>
      <c r="H797" s="259"/>
      <c r="I797" s="541">
        <f t="shared" si="12"/>
        <v>111363.16000000003</v>
      </c>
      <c r="K797" s="243"/>
    </row>
    <row r="798" spans="2:11" ht="17" customHeight="1">
      <c r="B798" s="253">
        <v>45760</v>
      </c>
      <c r="C798" s="263" t="s">
        <v>283</v>
      </c>
      <c r="D798" s="255" t="s">
        <v>508</v>
      </c>
      <c r="E798" s="256">
        <f>256.15+195.55</f>
        <v>451.7</v>
      </c>
      <c r="F798" s="257"/>
      <c r="G798" s="258" t="str">
        <f>IFERROR(VLOOKUP(D798,#REF!,2,FALSE),"_")</f>
        <v>_</v>
      </c>
      <c r="H798" s="259"/>
      <c r="I798" s="541">
        <f t="shared" si="12"/>
        <v>111814.86000000003</v>
      </c>
      <c r="K798" s="243"/>
    </row>
    <row r="799" spans="2:11" ht="17" customHeight="1">
      <c r="B799" s="253">
        <v>45761</v>
      </c>
      <c r="C799" s="263" t="s">
        <v>283</v>
      </c>
      <c r="D799" s="255" t="s">
        <v>283</v>
      </c>
      <c r="E799" s="256">
        <f>106-E800</f>
        <v>72.62</v>
      </c>
      <c r="F799" s="257"/>
      <c r="G799" s="258" t="str">
        <f>IFERROR(VLOOKUP(D799,#REF!,2,FALSE),"_")</f>
        <v>_</v>
      </c>
      <c r="H799" s="259"/>
      <c r="I799" s="541">
        <f t="shared" si="12"/>
        <v>111887.48000000003</v>
      </c>
      <c r="K799" s="243"/>
    </row>
    <row r="800" spans="2:11" ht="17" customHeight="1">
      <c r="B800" s="253">
        <v>45761</v>
      </c>
      <c r="C800" s="263" t="s">
        <v>283</v>
      </c>
      <c r="D800" s="255" t="s">
        <v>508</v>
      </c>
      <c r="E800" s="256">
        <v>33.380000000000003</v>
      </c>
      <c r="F800" s="257"/>
      <c r="G800" s="258" t="str">
        <f>IFERROR(VLOOKUP(D800,#REF!,2,FALSE),"_")</f>
        <v>_</v>
      </c>
      <c r="H800" s="259"/>
      <c r="I800" s="541">
        <f t="shared" si="12"/>
        <v>111920.86000000003</v>
      </c>
      <c r="K800" s="243"/>
    </row>
    <row r="801" spans="2:11" ht="17" customHeight="1">
      <c r="B801" s="253">
        <v>45762</v>
      </c>
      <c r="C801" s="263" t="s">
        <v>117</v>
      </c>
      <c r="D801" s="255" t="s">
        <v>549</v>
      </c>
      <c r="E801" s="256"/>
      <c r="F801" s="257">
        <v>14.5</v>
      </c>
      <c r="G801" s="258" t="s">
        <v>256</v>
      </c>
      <c r="H801" s="259"/>
      <c r="I801" s="541">
        <f t="shared" si="12"/>
        <v>111906.36000000003</v>
      </c>
      <c r="K801" s="243"/>
    </row>
    <row r="802" spans="2:11" ht="17" customHeight="1">
      <c r="B802" s="253">
        <v>45762</v>
      </c>
      <c r="C802" s="263" t="s">
        <v>513</v>
      </c>
      <c r="D802" s="255" t="s">
        <v>576</v>
      </c>
      <c r="E802" s="256"/>
      <c r="F802" s="257">
        <v>55</v>
      </c>
      <c r="G802" s="258" t="s">
        <v>248</v>
      </c>
      <c r="H802" s="259"/>
      <c r="I802" s="541">
        <f t="shared" si="12"/>
        <v>111851.36000000003</v>
      </c>
      <c r="K802" s="243"/>
    </row>
    <row r="803" spans="2:11" ht="17" customHeight="1">
      <c r="B803" s="253">
        <v>45762</v>
      </c>
      <c r="C803" s="263" t="s">
        <v>283</v>
      </c>
      <c r="D803" s="255" t="s">
        <v>283</v>
      </c>
      <c r="E803" s="256">
        <f>519.5-E804</f>
        <v>410.27</v>
      </c>
      <c r="F803" s="257"/>
      <c r="G803" s="258" t="str">
        <f>IFERROR(VLOOKUP(D803,#REF!,2,FALSE),"_")</f>
        <v>_</v>
      </c>
      <c r="H803" s="259"/>
      <c r="I803" s="541">
        <f t="shared" si="12"/>
        <v>112261.63000000003</v>
      </c>
      <c r="K803" s="243"/>
    </row>
    <row r="804" spans="2:11" ht="17" customHeight="1">
      <c r="B804" s="253">
        <v>45762</v>
      </c>
      <c r="C804" s="263" t="s">
        <v>283</v>
      </c>
      <c r="D804" s="255" t="s">
        <v>508</v>
      </c>
      <c r="E804" s="256">
        <v>109.23</v>
      </c>
      <c r="F804" s="257"/>
      <c r="G804" s="258" t="str">
        <f>IFERROR(VLOOKUP(D804,#REF!,2,FALSE),"_")</f>
        <v>_</v>
      </c>
      <c r="H804" s="259"/>
      <c r="I804" s="541">
        <f t="shared" si="12"/>
        <v>112370.86000000003</v>
      </c>
      <c r="K804" s="243"/>
    </row>
    <row r="805" spans="2:11" ht="17" customHeight="1">
      <c r="B805" s="253">
        <v>45763</v>
      </c>
      <c r="C805" s="263" t="s">
        <v>117</v>
      </c>
      <c r="D805" s="255" t="s">
        <v>394</v>
      </c>
      <c r="E805" s="256"/>
      <c r="F805" s="257">
        <v>920</v>
      </c>
      <c r="G805" s="258" t="s">
        <v>199</v>
      </c>
      <c r="H805" s="259"/>
      <c r="I805" s="541">
        <f t="shared" si="12"/>
        <v>111450.86000000003</v>
      </c>
      <c r="K805" s="243"/>
    </row>
    <row r="806" spans="2:11" ht="17" customHeight="1">
      <c r="B806" s="253">
        <v>45763</v>
      </c>
      <c r="C806" s="263" t="s">
        <v>117</v>
      </c>
      <c r="D806" s="261" t="s">
        <v>563</v>
      </c>
      <c r="E806" s="256"/>
      <c r="F806" s="257">
        <v>105</v>
      </c>
      <c r="G806" s="258" t="s">
        <v>249</v>
      </c>
      <c r="H806" s="259"/>
      <c r="I806" s="541">
        <f t="shared" si="12"/>
        <v>111345.86000000003</v>
      </c>
      <c r="K806" s="243"/>
    </row>
    <row r="807" spans="2:11" ht="17" customHeight="1">
      <c r="B807" s="253">
        <v>45763</v>
      </c>
      <c r="C807" s="263" t="s">
        <v>513</v>
      </c>
      <c r="D807" s="261" t="s">
        <v>576</v>
      </c>
      <c r="E807" s="256"/>
      <c r="F807" s="257">
        <v>55</v>
      </c>
      <c r="G807" s="258" t="s">
        <v>248</v>
      </c>
      <c r="H807" s="259"/>
      <c r="I807" s="541">
        <f t="shared" si="12"/>
        <v>111290.86000000003</v>
      </c>
      <c r="K807" s="243"/>
    </row>
    <row r="808" spans="2:11" ht="17" customHeight="1">
      <c r="B808" s="253">
        <v>45763</v>
      </c>
      <c r="C808" s="263" t="s">
        <v>117</v>
      </c>
      <c r="D808" s="255" t="s">
        <v>705</v>
      </c>
      <c r="E808" s="256"/>
      <c r="F808" s="257">
        <v>6.5</v>
      </c>
      <c r="G808" s="258" t="s">
        <v>206</v>
      </c>
      <c r="H808" s="259"/>
      <c r="I808" s="541">
        <f t="shared" si="12"/>
        <v>111284.36000000003</v>
      </c>
      <c r="K808" s="243"/>
    </row>
    <row r="809" spans="2:11" ht="17" customHeight="1">
      <c r="B809" s="253">
        <v>45763</v>
      </c>
      <c r="C809" s="263" t="s">
        <v>283</v>
      </c>
      <c r="D809" s="255" t="s">
        <v>283</v>
      </c>
      <c r="E809" s="256">
        <f>485.5-E810</f>
        <v>427.46</v>
      </c>
      <c r="F809" s="257"/>
      <c r="G809" s="258" t="str">
        <f>IFERROR(VLOOKUP(D809,#REF!,2,FALSE),"_")</f>
        <v>_</v>
      </c>
      <c r="H809" s="259"/>
      <c r="I809" s="541">
        <f t="shared" si="12"/>
        <v>111711.82000000004</v>
      </c>
      <c r="K809" s="243"/>
    </row>
    <row r="810" spans="2:11" ht="17" customHeight="1">
      <c r="B810" s="253">
        <v>45763</v>
      </c>
      <c r="C810" s="263" t="s">
        <v>283</v>
      </c>
      <c r="D810" s="255" t="s">
        <v>508</v>
      </c>
      <c r="E810" s="256">
        <v>58.04</v>
      </c>
      <c r="F810" s="257"/>
      <c r="G810" s="258" t="str">
        <f>IFERROR(VLOOKUP(D810,#REF!,2,FALSE),"_")</f>
        <v>_</v>
      </c>
      <c r="H810" s="259"/>
      <c r="I810" s="541">
        <f t="shared" si="12"/>
        <v>111769.86000000003</v>
      </c>
      <c r="K810" s="243"/>
    </row>
    <row r="811" spans="2:11" ht="17" customHeight="1">
      <c r="B811" s="253">
        <v>45764</v>
      </c>
      <c r="C811" s="263" t="s">
        <v>286</v>
      </c>
      <c r="D811" s="255" t="s">
        <v>520</v>
      </c>
      <c r="E811" s="256"/>
      <c r="F811" s="257">
        <v>635</v>
      </c>
      <c r="G811" s="258" t="s">
        <v>139</v>
      </c>
      <c r="H811" s="259"/>
      <c r="I811" s="541">
        <f t="shared" si="12"/>
        <v>111134.86000000003</v>
      </c>
      <c r="K811" s="243"/>
    </row>
    <row r="812" spans="2:11" ht="17" customHeight="1">
      <c r="B812" s="253">
        <v>45764</v>
      </c>
      <c r="C812" s="263" t="s">
        <v>117</v>
      </c>
      <c r="D812" s="255" t="s">
        <v>706</v>
      </c>
      <c r="E812" s="256"/>
      <c r="F812" s="257">
        <v>2.6</v>
      </c>
      <c r="G812" s="258" t="s">
        <v>208</v>
      </c>
      <c r="H812" s="259"/>
      <c r="I812" s="541">
        <f t="shared" si="12"/>
        <v>111132.26000000002</v>
      </c>
      <c r="K812" s="243"/>
    </row>
    <row r="813" spans="2:11" ht="17" customHeight="1">
      <c r="B813" s="253">
        <v>45764</v>
      </c>
      <c r="C813" s="263" t="s">
        <v>117</v>
      </c>
      <c r="D813" s="255" t="s">
        <v>707</v>
      </c>
      <c r="E813" s="256"/>
      <c r="F813" s="257">
        <v>9</v>
      </c>
      <c r="G813" s="258" t="s">
        <v>208</v>
      </c>
      <c r="H813" s="259"/>
      <c r="I813" s="541">
        <f t="shared" si="12"/>
        <v>111123.26000000002</v>
      </c>
      <c r="K813" s="243"/>
    </row>
    <row r="814" spans="2:11" ht="17" customHeight="1">
      <c r="B814" s="253">
        <v>45764</v>
      </c>
      <c r="C814" s="263" t="s">
        <v>117</v>
      </c>
      <c r="D814" s="255" t="s">
        <v>549</v>
      </c>
      <c r="E814" s="256"/>
      <c r="F814" s="257">
        <v>17.2</v>
      </c>
      <c r="G814" s="258" t="s">
        <v>256</v>
      </c>
      <c r="H814" s="259"/>
      <c r="I814" s="541">
        <f t="shared" si="12"/>
        <v>111106.06000000003</v>
      </c>
      <c r="K814" s="243"/>
    </row>
    <row r="815" spans="2:11" ht="17" customHeight="1">
      <c r="B815" s="253">
        <v>45764</v>
      </c>
      <c r="C815" s="263" t="s">
        <v>283</v>
      </c>
      <c r="D815" s="255" t="s">
        <v>283</v>
      </c>
      <c r="E815" s="256">
        <f>686.47-E816</f>
        <v>630.35</v>
      </c>
      <c r="F815" s="257"/>
      <c r="G815" s="258" t="str">
        <f>IFERROR(VLOOKUP(D815,#REF!,2,FALSE),"_")</f>
        <v>_</v>
      </c>
      <c r="H815" s="259"/>
      <c r="I815" s="541">
        <f t="shared" si="12"/>
        <v>111736.41000000003</v>
      </c>
      <c r="K815" s="243"/>
    </row>
    <row r="816" spans="2:11" ht="17" customHeight="1">
      <c r="B816" s="253">
        <v>45764</v>
      </c>
      <c r="C816" s="263" t="s">
        <v>283</v>
      </c>
      <c r="D816" s="255" t="s">
        <v>508</v>
      </c>
      <c r="E816" s="256">
        <v>56.12</v>
      </c>
      <c r="F816" s="257"/>
      <c r="G816" s="258" t="str">
        <f>IFERROR(VLOOKUP(D816,#REF!,2,FALSE),"_")</f>
        <v>_</v>
      </c>
      <c r="H816" s="259"/>
      <c r="I816" s="541">
        <f t="shared" si="12"/>
        <v>111792.53000000003</v>
      </c>
      <c r="K816" s="243"/>
    </row>
    <row r="817" spans="2:11" ht="17" customHeight="1">
      <c r="B817" s="253">
        <v>45765</v>
      </c>
      <c r="C817" s="263" t="s">
        <v>117</v>
      </c>
      <c r="D817" s="255" t="s">
        <v>306</v>
      </c>
      <c r="E817" s="256"/>
      <c r="F817" s="257">
        <v>121.65</v>
      </c>
      <c r="G817" s="258" t="s">
        <v>194</v>
      </c>
      <c r="H817" s="259"/>
      <c r="I817" s="541">
        <f t="shared" si="12"/>
        <v>111670.88000000003</v>
      </c>
      <c r="K817" s="243"/>
    </row>
    <row r="818" spans="2:11" ht="17" customHeight="1">
      <c r="B818" s="253">
        <v>45765</v>
      </c>
      <c r="C818" s="263" t="s">
        <v>117</v>
      </c>
      <c r="D818" s="255" t="s">
        <v>306</v>
      </c>
      <c r="E818" s="256"/>
      <c r="F818" s="257">
        <v>218.15</v>
      </c>
      <c r="G818" s="258" t="s">
        <v>194</v>
      </c>
      <c r="H818" s="259"/>
      <c r="I818" s="541">
        <f t="shared" si="12"/>
        <v>111452.73000000004</v>
      </c>
      <c r="K818" s="243"/>
    </row>
    <row r="819" spans="2:11" ht="17" customHeight="1">
      <c r="B819" s="253">
        <v>45765</v>
      </c>
      <c r="C819" s="263" t="s">
        <v>117</v>
      </c>
      <c r="D819" s="255" t="s">
        <v>306</v>
      </c>
      <c r="E819" s="256"/>
      <c r="F819" s="257">
        <v>581.70000000000005</v>
      </c>
      <c r="G819" s="258" t="s">
        <v>194</v>
      </c>
      <c r="H819" s="259"/>
      <c r="I819" s="541">
        <f t="shared" si="12"/>
        <v>110871.03000000004</v>
      </c>
      <c r="K819" s="243"/>
    </row>
    <row r="820" spans="2:11" ht="17" customHeight="1">
      <c r="B820" s="253">
        <v>45765</v>
      </c>
      <c r="C820" s="263" t="s">
        <v>117</v>
      </c>
      <c r="D820" s="255" t="s">
        <v>306</v>
      </c>
      <c r="E820" s="256"/>
      <c r="F820" s="257">
        <v>185.15</v>
      </c>
      <c r="G820" s="258" t="s">
        <v>194</v>
      </c>
      <c r="H820" s="259"/>
      <c r="I820" s="541">
        <f t="shared" si="12"/>
        <v>110685.88000000005</v>
      </c>
      <c r="K820" s="243"/>
    </row>
    <row r="821" spans="2:11" ht="17" customHeight="1">
      <c r="B821" s="253">
        <v>45765</v>
      </c>
      <c r="C821" s="263" t="s">
        <v>117</v>
      </c>
      <c r="D821" s="255" t="s">
        <v>394</v>
      </c>
      <c r="E821" s="256"/>
      <c r="F821" s="257">
        <v>7.3</v>
      </c>
      <c r="G821" s="258" t="s">
        <v>199</v>
      </c>
      <c r="H821" s="259"/>
      <c r="I821" s="541">
        <f t="shared" si="12"/>
        <v>110678.58000000005</v>
      </c>
      <c r="K821" s="243"/>
    </row>
    <row r="822" spans="2:11" ht="17" customHeight="1">
      <c r="B822" s="253">
        <v>45765</v>
      </c>
      <c r="C822" s="263" t="s">
        <v>708</v>
      </c>
      <c r="D822" s="255" t="s">
        <v>512</v>
      </c>
      <c r="E822" s="256"/>
      <c r="F822" s="257">
        <f>35.9-1.38</f>
        <v>34.519999999999996</v>
      </c>
      <c r="G822" s="258" t="s">
        <v>199</v>
      </c>
      <c r="H822" s="259"/>
      <c r="I822" s="541">
        <f t="shared" si="12"/>
        <v>110644.06000000004</v>
      </c>
      <c r="K822" s="243"/>
    </row>
    <row r="823" spans="2:11" ht="17" customHeight="1">
      <c r="B823" s="253">
        <v>45765</v>
      </c>
      <c r="C823" s="263" t="s">
        <v>708</v>
      </c>
      <c r="D823" s="255" t="s">
        <v>512</v>
      </c>
      <c r="E823" s="256"/>
      <c r="F823" s="257">
        <v>1.38</v>
      </c>
      <c r="G823" s="258" t="s">
        <v>274</v>
      </c>
      <c r="H823" s="259"/>
      <c r="I823" s="541">
        <f t="shared" si="12"/>
        <v>110642.68000000004</v>
      </c>
      <c r="K823" s="243"/>
    </row>
    <row r="824" spans="2:11" ht="17" customHeight="1">
      <c r="B824" s="253">
        <v>45765</v>
      </c>
      <c r="C824" s="263" t="s">
        <v>283</v>
      </c>
      <c r="D824" s="255" t="s">
        <v>283</v>
      </c>
      <c r="E824" s="256">
        <f>1679.4-E825</f>
        <v>1304.5700000000002</v>
      </c>
      <c r="F824" s="257"/>
      <c r="G824" s="258" t="str">
        <f>IFERROR(VLOOKUP(D824,#REF!,2,FALSE),"_")</f>
        <v>_</v>
      </c>
      <c r="H824" s="259"/>
      <c r="I824" s="541">
        <f t="shared" si="12"/>
        <v>111947.25000000004</v>
      </c>
      <c r="K824" s="243"/>
    </row>
    <row r="825" spans="2:11" ht="17" customHeight="1">
      <c r="B825" s="253">
        <v>45765</v>
      </c>
      <c r="C825" s="263" t="s">
        <v>283</v>
      </c>
      <c r="D825" s="255" t="s">
        <v>508</v>
      </c>
      <c r="E825" s="256">
        <v>374.83</v>
      </c>
      <c r="F825" s="257"/>
      <c r="G825" s="258" t="str">
        <f>IFERROR(VLOOKUP(D825,#REF!,2,FALSE),"_")</f>
        <v>_</v>
      </c>
      <c r="H825" s="259"/>
      <c r="I825" s="541">
        <f t="shared" si="12"/>
        <v>112322.08000000005</v>
      </c>
      <c r="K825" s="243"/>
    </row>
    <row r="826" spans="2:11" ht="17" customHeight="1">
      <c r="B826" s="253">
        <v>45766</v>
      </c>
      <c r="C826" s="263" t="s">
        <v>117</v>
      </c>
      <c r="D826" s="255" t="s">
        <v>530</v>
      </c>
      <c r="E826" s="256"/>
      <c r="F826" s="257">
        <v>500</v>
      </c>
      <c r="G826" s="258" t="s">
        <v>229</v>
      </c>
      <c r="H826" s="259"/>
      <c r="I826" s="541">
        <f t="shared" si="12"/>
        <v>111822.08000000005</v>
      </c>
      <c r="K826" s="243"/>
    </row>
    <row r="827" spans="2:11" ht="17" customHeight="1">
      <c r="B827" s="253">
        <v>45766</v>
      </c>
      <c r="C827" s="263" t="s">
        <v>117</v>
      </c>
      <c r="D827" s="255" t="s">
        <v>526</v>
      </c>
      <c r="E827" s="256"/>
      <c r="F827" s="257">
        <v>130</v>
      </c>
      <c r="G827" s="258" t="s">
        <v>229</v>
      </c>
      <c r="H827" s="259"/>
      <c r="I827" s="541">
        <f t="shared" si="12"/>
        <v>111692.08000000005</v>
      </c>
      <c r="K827" s="243"/>
    </row>
    <row r="828" spans="2:11" ht="17" customHeight="1">
      <c r="B828" s="253">
        <v>45766</v>
      </c>
      <c r="C828" s="263" t="s">
        <v>117</v>
      </c>
      <c r="D828" s="261" t="s">
        <v>525</v>
      </c>
      <c r="E828" s="256"/>
      <c r="F828" s="257">
        <v>100</v>
      </c>
      <c r="G828" s="258" t="s">
        <v>229</v>
      </c>
      <c r="H828" s="259"/>
      <c r="I828" s="541">
        <f t="shared" si="12"/>
        <v>111592.08000000005</v>
      </c>
      <c r="K828" s="243"/>
    </row>
    <row r="829" spans="2:11" ht="17" customHeight="1">
      <c r="B829" s="253">
        <v>45766</v>
      </c>
      <c r="C829" s="263" t="s">
        <v>117</v>
      </c>
      <c r="D829" s="255" t="s">
        <v>529</v>
      </c>
      <c r="E829" s="256"/>
      <c r="F829" s="257">
        <v>70</v>
      </c>
      <c r="G829" s="258" t="s">
        <v>233</v>
      </c>
      <c r="H829" s="259"/>
      <c r="I829" s="541">
        <f t="shared" si="12"/>
        <v>111522.08000000005</v>
      </c>
      <c r="K829" s="243"/>
    </row>
    <row r="830" spans="2:11" ht="17" customHeight="1">
      <c r="B830" s="253">
        <v>45766</v>
      </c>
      <c r="C830" s="263" t="s">
        <v>117</v>
      </c>
      <c r="D830" s="261" t="s">
        <v>532</v>
      </c>
      <c r="E830" s="256"/>
      <c r="F830" s="257">
        <v>450</v>
      </c>
      <c r="G830" s="258" t="s">
        <v>231</v>
      </c>
      <c r="H830" s="259"/>
      <c r="I830" s="541">
        <f t="shared" si="12"/>
        <v>111072.08000000005</v>
      </c>
      <c r="K830" s="243"/>
    </row>
    <row r="831" spans="2:11" ht="17" customHeight="1">
      <c r="B831" s="253">
        <v>45766</v>
      </c>
      <c r="C831" s="263" t="s">
        <v>117</v>
      </c>
      <c r="D831" s="255" t="s">
        <v>704</v>
      </c>
      <c r="E831" s="256"/>
      <c r="F831" s="257">
        <v>300</v>
      </c>
      <c r="G831" s="258" t="s">
        <v>230</v>
      </c>
      <c r="H831" s="259"/>
      <c r="I831" s="541">
        <f t="shared" si="12"/>
        <v>110772.08000000005</v>
      </c>
      <c r="K831" s="243"/>
    </row>
    <row r="832" spans="2:11" ht="17" customHeight="1">
      <c r="B832" s="253">
        <v>45766</v>
      </c>
      <c r="C832" s="263" t="s">
        <v>117</v>
      </c>
      <c r="D832" s="255" t="s">
        <v>709</v>
      </c>
      <c r="E832" s="256"/>
      <c r="F832" s="257">
        <v>110</v>
      </c>
      <c r="G832" s="258" t="s">
        <v>233</v>
      </c>
      <c r="H832" s="259"/>
      <c r="I832" s="541">
        <f t="shared" si="12"/>
        <v>110662.08000000005</v>
      </c>
      <c r="K832" s="243"/>
    </row>
    <row r="833" spans="2:11" ht="17" customHeight="1">
      <c r="B833" s="253">
        <v>45766</v>
      </c>
      <c r="C833" s="263" t="s">
        <v>117</v>
      </c>
      <c r="D833" s="255" t="s">
        <v>528</v>
      </c>
      <c r="E833" s="256"/>
      <c r="F833" s="257">
        <v>150</v>
      </c>
      <c r="G833" s="258" t="s">
        <v>233</v>
      </c>
      <c r="H833" s="259"/>
      <c r="I833" s="541">
        <f t="shared" si="12"/>
        <v>110512.08000000005</v>
      </c>
      <c r="K833" s="243"/>
    </row>
    <row r="834" spans="2:11" ht="17" customHeight="1">
      <c r="B834" s="253">
        <v>45766</v>
      </c>
      <c r="C834" s="263" t="s">
        <v>117</v>
      </c>
      <c r="D834" s="255" t="s">
        <v>538</v>
      </c>
      <c r="E834" s="256"/>
      <c r="F834" s="257">
        <v>30</v>
      </c>
      <c r="G834" s="258" t="s">
        <v>227</v>
      </c>
      <c r="H834" s="259"/>
      <c r="I834" s="541">
        <f t="shared" si="12"/>
        <v>110482.08000000005</v>
      </c>
      <c r="K834" s="243"/>
    </row>
    <row r="835" spans="2:11" ht="17" customHeight="1">
      <c r="B835" s="253">
        <v>45766</v>
      </c>
      <c r="C835" s="263" t="s">
        <v>286</v>
      </c>
      <c r="D835" s="255" t="s">
        <v>520</v>
      </c>
      <c r="E835" s="256"/>
      <c r="F835" s="257">
        <v>70</v>
      </c>
      <c r="G835" s="258" t="s">
        <v>139</v>
      </c>
      <c r="H835" s="259"/>
      <c r="I835" s="541">
        <f t="shared" si="12"/>
        <v>110412.08000000005</v>
      </c>
      <c r="K835" s="243"/>
    </row>
    <row r="836" spans="2:11" ht="17" customHeight="1">
      <c r="B836" s="253">
        <v>45766</v>
      </c>
      <c r="C836" s="263" t="s">
        <v>513</v>
      </c>
      <c r="D836" s="255" t="s">
        <v>567</v>
      </c>
      <c r="E836" s="256"/>
      <c r="F836" s="257">
        <v>95</v>
      </c>
      <c r="G836" s="258" t="s">
        <v>227</v>
      </c>
      <c r="H836" s="259"/>
      <c r="I836" s="541">
        <f t="shared" si="12"/>
        <v>110317.08000000005</v>
      </c>
      <c r="K836" s="243"/>
    </row>
    <row r="837" spans="2:11" ht="17" customHeight="1">
      <c r="B837" s="253">
        <v>45766</v>
      </c>
      <c r="C837" s="263" t="s">
        <v>513</v>
      </c>
      <c r="D837" s="255" t="s">
        <v>567</v>
      </c>
      <c r="E837" s="256"/>
      <c r="F837" s="257">
        <v>36</v>
      </c>
      <c r="G837" s="258" t="s">
        <v>227</v>
      </c>
      <c r="H837" s="259"/>
      <c r="I837" s="541">
        <f t="shared" si="12"/>
        <v>110281.08000000005</v>
      </c>
      <c r="K837" s="243"/>
    </row>
    <row r="838" spans="2:11" ht="17" customHeight="1">
      <c r="B838" s="253">
        <v>45766</v>
      </c>
      <c r="C838" s="263" t="s">
        <v>513</v>
      </c>
      <c r="D838" s="255" t="s">
        <v>567</v>
      </c>
      <c r="E838" s="256"/>
      <c r="F838" s="257">
        <v>13.64</v>
      </c>
      <c r="G838" s="258" t="s">
        <v>250</v>
      </c>
      <c r="H838" s="259"/>
      <c r="I838" s="541">
        <f t="shared" si="12"/>
        <v>110267.44000000005</v>
      </c>
      <c r="K838" s="243"/>
    </row>
    <row r="839" spans="2:11" ht="17" customHeight="1">
      <c r="B839" s="253">
        <v>45766</v>
      </c>
      <c r="C839" s="263" t="s">
        <v>513</v>
      </c>
      <c r="D839" s="255" t="s">
        <v>535</v>
      </c>
      <c r="E839" s="256">
        <v>36</v>
      </c>
      <c r="F839" s="257"/>
      <c r="G839" s="258"/>
      <c r="H839" s="259" t="s">
        <v>586</v>
      </c>
      <c r="I839" s="541">
        <f t="shared" si="12"/>
        <v>110303.44000000005</v>
      </c>
      <c r="K839" s="243"/>
    </row>
    <row r="840" spans="2:11" ht="17" customHeight="1">
      <c r="B840" s="253">
        <v>45766</v>
      </c>
      <c r="C840" s="263" t="s">
        <v>513</v>
      </c>
      <c r="D840" s="255" t="s">
        <v>535</v>
      </c>
      <c r="E840" s="256">
        <v>13.64</v>
      </c>
      <c r="F840" s="257"/>
      <c r="G840" s="258"/>
      <c r="H840" s="259" t="s">
        <v>586</v>
      </c>
      <c r="I840" s="541">
        <f t="shared" si="12"/>
        <v>110317.08000000005</v>
      </c>
      <c r="K840" s="243"/>
    </row>
    <row r="841" spans="2:11" ht="17" customHeight="1">
      <c r="B841" s="253">
        <v>45766</v>
      </c>
      <c r="C841" s="263" t="s">
        <v>513</v>
      </c>
      <c r="D841" s="255" t="s">
        <v>534</v>
      </c>
      <c r="E841" s="256"/>
      <c r="F841" s="257">
        <v>36</v>
      </c>
      <c r="G841" s="258" t="s">
        <v>245</v>
      </c>
      <c r="H841" s="259"/>
      <c r="I841" s="541">
        <f t="shared" ref="I841:I904" si="13">I840+E841-F841</f>
        <v>110281.08000000005</v>
      </c>
      <c r="K841" s="243"/>
    </row>
    <row r="842" spans="2:11" ht="17" customHeight="1">
      <c r="B842" s="253">
        <v>45766</v>
      </c>
      <c r="C842" s="263" t="s">
        <v>513</v>
      </c>
      <c r="D842" s="255" t="s">
        <v>534</v>
      </c>
      <c r="E842" s="256"/>
      <c r="F842" s="257">
        <v>13.64</v>
      </c>
      <c r="G842" s="258" t="s">
        <v>250</v>
      </c>
      <c r="H842" s="259"/>
      <c r="I842" s="541">
        <f t="shared" si="13"/>
        <v>110267.44000000005</v>
      </c>
      <c r="K842" s="243"/>
    </row>
    <row r="843" spans="2:11" ht="17" customHeight="1">
      <c r="B843" s="253">
        <v>45766</v>
      </c>
      <c r="C843" s="263" t="s">
        <v>513</v>
      </c>
      <c r="D843" s="255" t="s">
        <v>535</v>
      </c>
      <c r="E843" s="256">
        <v>36</v>
      </c>
      <c r="F843" s="257"/>
      <c r="G843" s="258"/>
      <c r="H843" s="259" t="s">
        <v>536</v>
      </c>
      <c r="I843" s="541">
        <f t="shared" si="13"/>
        <v>110303.44000000005</v>
      </c>
      <c r="K843" s="243"/>
    </row>
    <row r="844" spans="2:11" ht="17" customHeight="1">
      <c r="B844" s="253">
        <v>45766</v>
      </c>
      <c r="C844" s="263" t="s">
        <v>513</v>
      </c>
      <c r="D844" s="255" t="s">
        <v>535</v>
      </c>
      <c r="E844" s="256">
        <v>13.64</v>
      </c>
      <c r="F844" s="257"/>
      <c r="G844" s="258"/>
      <c r="H844" s="259" t="s">
        <v>536</v>
      </c>
      <c r="I844" s="541">
        <f t="shared" si="13"/>
        <v>110317.08000000005</v>
      </c>
      <c r="K844" s="243"/>
    </row>
    <row r="845" spans="2:11" ht="17" customHeight="1">
      <c r="B845" s="253">
        <v>45766</v>
      </c>
      <c r="C845" s="263" t="s">
        <v>513</v>
      </c>
      <c r="D845" s="255" t="s">
        <v>30</v>
      </c>
      <c r="E845" s="256"/>
      <c r="F845" s="257">
        <v>36</v>
      </c>
      <c r="G845" s="258" t="s">
        <v>227</v>
      </c>
      <c r="H845" s="259"/>
      <c r="I845" s="541">
        <f t="shared" si="13"/>
        <v>110281.08000000005</v>
      </c>
      <c r="K845" s="243"/>
    </row>
    <row r="846" spans="2:11" ht="17" customHeight="1">
      <c r="B846" s="253">
        <v>45766</v>
      </c>
      <c r="C846" s="263" t="s">
        <v>513</v>
      </c>
      <c r="D846" s="255" t="s">
        <v>30</v>
      </c>
      <c r="E846" s="256"/>
      <c r="F846" s="257">
        <v>13.64</v>
      </c>
      <c r="G846" s="258" t="s">
        <v>250</v>
      </c>
      <c r="H846" s="259"/>
      <c r="I846" s="541">
        <f t="shared" si="13"/>
        <v>110267.44000000005</v>
      </c>
      <c r="K846" s="243"/>
    </row>
    <row r="847" spans="2:11" ht="17" customHeight="1">
      <c r="B847" s="253">
        <v>45766</v>
      </c>
      <c r="C847" s="263" t="s">
        <v>513</v>
      </c>
      <c r="D847" s="255" t="s">
        <v>535</v>
      </c>
      <c r="E847" s="256">
        <v>36</v>
      </c>
      <c r="F847" s="257"/>
      <c r="G847" s="258"/>
      <c r="H847" s="259" t="s">
        <v>710</v>
      </c>
      <c r="I847" s="541">
        <f t="shared" si="13"/>
        <v>110303.44000000005</v>
      </c>
      <c r="K847" s="243"/>
    </row>
    <row r="848" spans="2:11" ht="17" customHeight="1">
      <c r="B848" s="253">
        <v>45766</v>
      </c>
      <c r="C848" s="263" t="s">
        <v>513</v>
      </c>
      <c r="D848" s="255" t="s">
        <v>535</v>
      </c>
      <c r="E848" s="256">
        <v>13.64</v>
      </c>
      <c r="F848" s="257"/>
      <c r="G848" s="258"/>
      <c r="H848" s="259" t="s">
        <v>710</v>
      </c>
      <c r="I848" s="541">
        <f t="shared" si="13"/>
        <v>110317.08000000005</v>
      </c>
      <c r="K848" s="243"/>
    </row>
    <row r="849" spans="2:11" ht="17" customHeight="1">
      <c r="B849" s="253">
        <v>45766</v>
      </c>
      <c r="C849" s="263" t="s">
        <v>283</v>
      </c>
      <c r="D849" s="255" t="s">
        <v>283</v>
      </c>
      <c r="E849" s="256">
        <f>8269-E850</f>
        <v>7260.42</v>
      </c>
      <c r="F849" s="257"/>
      <c r="G849" s="258" t="str">
        <f>IFERROR(VLOOKUP(D849,#REF!,2,FALSE),"_")</f>
        <v>_</v>
      </c>
      <c r="H849" s="259"/>
      <c r="I849" s="541">
        <f t="shared" si="13"/>
        <v>117577.50000000004</v>
      </c>
      <c r="K849" s="243"/>
    </row>
    <row r="850" spans="2:11" ht="17" customHeight="1">
      <c r="B850" s="253">
        <v>45766</v>
      </c>
      <c r="C850" s="263" t="s">
        <v>283</v>
      </c>
      <c r="D850" s="255" t="s">
        <v>508</v>
      </c>
      <c r="E850" s="256">
        <v>1008.58</v>
      </c>
      <c r="F850" s="257"/>
      <c r="G850" s="258" t="str">
        <f>IFERROR(VLOOKUP(D850,#REF!,2,FALSE),"_")</f>
        <v>_</v>
      </c>
      <c r="H850" s="259"/>
      <c r="I850" s="541">
        <f t="shared" si="13"/>
        <v>118586.08000000005</v>
      </c>
      <c r="K850" s="243"/>
    </row>
    <row r="851" spans="2:11" ht="17" customHeight="1">
      <c r="B851" s="253">
        <v>45767</v>
      </c>
      <c r="C851" s="263" t="s">
        <v>513</v>
      </c>
      <c r="D851" s="261" t="s">
        <v>688</v>
      </c>
      <c r="E851" s="256"/>
      <c r="F851" s="257">
        <v>45</v>
      </c>
      <c r="G851" s="258" t="s">
        <v>248</v>
      </c>
      <c r="H851" s="259"/>
      <c r="I851" s="541">
        <f t="shared" si="13"/>
        <v>118541.08000000005</v>
      </c>
      <c r="K851" s="243"/>
    </row>
    <row r="852" spans="2:11" ht="17" customHeight="1">
      <c r="B852" s="253">
        <v>45767</v>
      </c>
      <c r="C852" s="263" t="s">
        <v>283</v>
      </c>
      <c r="D852" s="255" t="s">
        <v>283</v>
      </c>
      <c r="E852" s="256">
        <f>1460.7-E853</f>
        <v>1245.19</v>
      </c>
      <c r="F852" s="257"/>
      <c r="G852" s="258" t="str">
        <f>IFERROR(VLOOKUP(D852,#REF!,2,FALSE),"_")</f>
        <v>_</v>
      </c>
      <c r="H852" s="259"/>
      <c r="I852" s="541">
        <f t="shared" si="13"/>
        <v>119786.27000000005</v>
      </c>
      <c r="K852" s="243"/>
    </row>
    <row r="853" spans="2:11" ht="17" customHeight="1">
      <c r="B853" s="253">
        <v>45767</v>
      </c>
      <c r="C853" s="263" t="s">
        <v>283</v>
      </c>
      <c r="D853" s="255" t="s">
        <v>508</v>
      </c>
      <c r="E853" s="256">
        <v>215.51</v>
      </c>
      <c r="F853" s="257"/>
      <c r="G853" s="258" t="str">
        <f>IFERROR(VLOOKUP(D853,#REF!,2,FALSE),"_")</f>
        <v>_</v>
      </c>
      <c r="H853" s="259"/>
      <c r="I853" s="541">
        <f t="shared" si="13"/>
        <v>120001.78000000004</v>
      </c>
      <c r="K853" s="243"/>
    </row>
    <row r="854" spans="2:11" ht="17" customHeight="1">
      <c r="B854" s="253">
        <v>45768</v>
      </c>
      <c r="C854" s="263" t="s">
        <v>286</v>
      </c>
      <c r="D854" s="255" t="s">
        <v>520</v>
      </c>
      <c r="E854" s="256"/>
      <c r="F854" s="257">
        <v>120</v>
      </c>
      <c r="G854" s="258" t="s">
        <v>139</v>
      </c>
      <c r="H854" s="259"/>
      <c r="I854" s="541">
        <f t="shared" si="13"/>
        <v>119881.78000000004</v>
      </c>
      <c r="K854" s="243"/>
    </row>
    <row r="855" spans="2:11" ht="17" customHeight="1">
      <c r="B855" s="253">
        <v>45768</v>
      </c>
      <c r="C855" s="449" t="s">
        <v>117</v>
      </c>
      <c r="D855" s="240" t="s">
        <v>711</v>
      </c>
      <c r="E855" s="256"/>
      <c r="F855" s="270">
        <v>20</v>
      </c>
      <c r="G855" s="258" t="s">
        <v>249</v>
      </c>
      <c r="H855" s="259"/>
      <c r="I855" s="541">
        <f t="shared" si="13"/>
        <v>119861.78000000004</v>
      </c>
      <c r="K855" s="243"/>
    </row>
    <row r="856" spans="2:11" ht="17" customHeight="1">
      <c r="B856" s="253">
        <v>45768</v>
      </c>
      <c r="C856" s="263" t="s">
        <v>283</v>
      </c>
      <c r="D856" s="255" t="s">
        <v>283</v>
      </c>
      <c r="E856" s="256">
        <f>2170-E857</f>
        <v>1924.16</v>
      </c>
      <c r="F856" s="257"/>
      <c r="G856" s="258" t="str">
        <f>IFERROR(VLOOKUP(D856,#REF!,2,FALSE),"_")</f>
        <v>_</v>
      </c>
      <c r="H856" s="259"/>
      <c r="I856" s="541">
        <f t="shared" si="13"/>
        <v>121785.94000000005</v>
      </c>
      <c r="K856" s="243"/>
    </row>
    <row r="857" spans="2:11" ht="17" customHeight="1">
      <c r="B857" s="253">
        <v>45768</v>
      </c>
      <c r="C857" s="263" t="s">
        <v>283</v>
      </c>
      <c r="D857" s="255" t="s">
        <v>508</v>
      </c>
      <c r="E857" s="256">
        <v>245.84</v>
      </c>
      <c r="F857" s="257"/>
      <c r="G857" s="258" t="str">
        <f>IFERROR(VLOOKUP(D857,#REF!,2,FALSE),"_")</f>
        <v>_</v>
      </c>
      <c r="H857" s="259"/>
      <c r="I857" s="541">
        <f t="shared" si="13"/>
        <v>122031.78000000004</v>
      </c>
      <c r="K857" s="243"/>
    </row>
    <row r="858" spans="2:11" ht="17" customHeight="1">
      <c r="B858" s="253">
        <v>45769</v>
      </c>
      <c r="C858" s="263" t="s">
        <v>117</v>
      </c>
      <c r="D858" s="261" t="s">
        <v>361</v>
      </c>
      <c r="E858" s="256"/>
      <c r="F858" s="257">
        <v>100</v>
      </c>
      <c r="G858" s="258" t="s">
        <v>199</v>
      </c>
      <c r="H858" s="259"/>
      <c r="I858" s="541">
        <f t="shared" si="13"/>
        <v>121931.78000000004</v>
      </c>
      <c r="K858" s="243"/>
    </row>
    <row r="859" spans="2:11" ht="17" customHeight="1">
      <c r="B859" s="253">
        <v>45769</v>
      </c>
      <c r="C859" s="263" t="s">
        <v>117</v>
      </c>
      <c r="D859" s="261" t="s">
        <v>516</v>
      </c>
      <c r="E859" s="256"/>
      <c r="F859" s="257">
        <v>268</v>
      </c>
      <c r="G859" s="258" t="s">
        <v>201</v>
      </c>
      <c r="H859" s="259"/>
      <c r="I859" s="541">
        <f t="shared" si="13"/>
        <v>121663.78000000004</v>
      </c>
      <c r="K859" s="243"/>
    </row>
    <row r="860" spans="2:11" ht="17" customHeight="1">
      <c r="B860" s="253">
        <v>45769</v>
      </c>
      <c r="C860" s="263" t="s">
        <v>117</v>
      </c>
      <c r="D860" s="255" t="s">
        <v>349</v>
      </c>
      <c r="E860" s="256"/>
      <c r="F860" s="257">
        <v>545</v>
      </c>
      <c r="G860" s="258" t="s">
        <v>199</v>
      </c>
      <c r="H860" s="259"/>
      <c r="I860" s="541">
        <f t="shared" si="13"/>
        <v>121118.78000000004</v>
      </c>
      <c r="K860" s="243"/>
    </row>
    <row r="861" spans="2:11" ht="17" customHeight="1">
      <c r="B861" s="253">
        <v>45769</v>
      </c>
      <c r="C861" s="263" t="s">
        <v>117</v>
      </c>
      <c r="D861" s="261" t="s">
        <v>563</v>
      </c>
      <c r="E861" s="256"/>
      <c r="F861" s="257">
        <v>110</v>
      </c>
      <c r="G861" s="258" t="s">
        <v>249</v>
      </c>
      <c r="H861" s="259"/>
      <c r="I861" s="541">
        <f t="shared" si="13"/>
        <v>121008.78000000004</v>
      </c>
      <c r="K861" s="243"/>
    </row>
    <row r="862" spans="2:11" ht="17" customHeight="1">
      <c r="B862" s="253">
        <v>45769</v>
      </c>
      <c r="C862" s="263" t="s">
        <v>117</v>
      </c>
      <c r="D862" s="261" t="s">
        <v>712</v>
      </c>
      <c r="E862" s="256">
        <v>85</v>
      </c>
      <c r="F862" s="257"/>
      <c r="G862" s="258" t="s">
        <v>202</v>
      </c>
      <c r="H862" s="598" t="s">
        <v>502</v>
      </c>
      <c r="I862" s="541">
        <f t="shared" si="13"/>
        <v>121093.78000000004</v>
      </c>
      <c r="K862" s="243"/>
    </row>
    <row r="863" spans="2:11" ht="17" customHeight="1">
      <c r="B863" s="253">
        <v>45769</v>
      </c>
      <c r="C863" s="263" t="s">
        <v>513</v>
      </c>
      <c r="D863" s="255" t="s">
        <v>576</v>
      </c>
      <c r="E863" s="256"/>
      <c r="F863" s="257">
        <v>90</v>
      </c>
      <c r="G863" s="258" t="s">
        <v>248</v>
      </c>
      <c r="H863" s="259"/>
      <c r="I863" s="541">
        <f t="shared" si="13"/>
        <v>121003.78000000004</v>
      </c>
      <c r="K863" s="243"/>
    </row>
    <row r="864" spans="2:11" ht="17" customHeight="1">
      <c r="B864" s="253">
        <v>45769</v>
      </c>
      <c r="C864" s="263" t="s">
        <v>117</v>
      </c>
      <c r="D864" s="255" t="s">
        <v>713</v>
      </c>
      <c r="E864" s="256"/>
      <c r="F864" s="257">
        <v>50</v>
      </c>
      <c r="G864" s="258"/>
      <c r="H864" s="597" t="s">
        <v>714</v>
      </c>
      <c r="I864" s="541">
        <f t="shared" si="13"/>
        <v>120953.78000000004</v>
      </c>
      <c r="K864" s="243"/>
    </row>
    <row r="865" spans="2:11" ht="17" customHeight="1">
      <c r="B865" s="253">
        <v>45769</v>
      </c>
      <c r="C865" s="263" t="s">
        <v>283</v>
      </c>
      <c r="D865" s="255" t="s">
        <v>283</v>
      </c>
      <c r="E865" s="256">
        <f>1060.6-E866</f>
        <v>956.94999999999993</v>
      </c>
      <c r="F865" s="257"/>
      <c r="G865" s="258" t="str">
        <f>IFERROR(VLOOKUP(D865,#REF!,2,FALSE),"_")</f>
        <v>_</v>
      </c>
      <c r="H865" s="259"/>
      <c r="I865" s="541">
        <f t="shared" si="13"/>
        <v>121910.73000000004</v>
      </c>
      <c r="K865" s="243"/>
    </row>
    <row r="866" spans="2:11" ht="17" customHeight="1">
      <c r="B866" s="253">
        <v>45769</v>
      </c>
      <c r="C866" s="263" t="s">
        <v>283</v>
      </c>
      <c r="D866" s="255" t="s">
        <v>508</v>
      </c>
      <c r="E866" s="256">
        <v>103.65</v>
      </c>
      <c r="F866" s="257"/>
      <c r="G866" s="258" t="str">
        <f>IFERROR(VLOOKUP(D866,#REF!,2,FALSE),"_")</f>
        <v>_</v>
      </c>
      <c r="H866" s="259"/>
      <c r="I866" s="541">
        <f t="shared" si="13"/>
        <v>122014.38000000003</v>
      </c>
      <c r="K866" s="243"/>
    </row>
    <row r="867" spans="2:11" ht="17" customHeight="1">
      <c r="B867" s="253">
        <v>45770</v>
      </c>
      <c r="C867" s="263" t="s">
        <v>117</v>
      </c>
      <c r="D867" s="255" t="s">
        <v>306</v>
      </c>
      <c r="E867" s="256"/>
      <c r="F867" s="257">
        <v>1291.45</v>
      </c>
      <c r="G867" s="258" t="s">
        <v>194</v>
      </c>
      <c r="H867" s="259"/>
      <c r="I867" s="541">
        <f t="shared" si="13"/>
        <v>120722.93000000004</v>
      </c>
      <c r="K867" s="243"/>
    </row>
    <row r="868" spans="2:11" ht="17" customHeight="1">
      <c r="B868" s="253">
        <v>45770</v>
      </c>
      <c r="C868" s="263" t="s">
        <v>117</v>
      </c>
      <c r="D868" s="261" t="s">
        <v>361</v>
      </c>
      <c r="E868" s="256"/>
      <c r="F868" s="257">
        <v>10.199999999999999</v>
      </c>
      <c r="G868" s="258" t="s">
        <v>199</v>
      </c>
      <c r="H868" s="259"/>
      <c r="I868" s="541">
        <f t="shared" si="13"/>
        <v>120712.73000000004</v>
      </c>
      <c r="K868" s="243"/>
    </row>
    <row r="869" spans="2:11" ht="17" customHeight="1">
      <c r="B869" s="253">
        <v>45770</v>
      </c>
      <c r="C869" s="263" t="s">
        <v>117</v>
      </c>
      <c r="D869" s="261" t="s">
        <v>715</v>
      </c>
      <c r="E869" s="256"/>
      <c r="F869" s="257">
        <v>100</v>
      </c>
      <c r="G869" s="258"/>
      <c r="H869" s="597" t="s">
        <v>714</v>
      </c>
      <c r="I869" s="541">
        <f t="shared" si="13"/>
        <v>120612.73000000004</v>
      </c>
      <c r="K869" s="243"/>
    </row>
    <row r="870" spans="2:11" ht="17" customHeight="1">
      <c r="B870" s="253">
        <v>45770</v>
      </c>
      <c r="C870" s="263" t="s">
        <v>117</v>
      </c>
      <c r="D870" s="514" t="s">
        <v>716</v>
      </c>
      <c r="E870" s="515"/>
      <c r="F870" s="516">
        <v>5</v>
      </c>
      <c r="G870" s="258"/>
      <c r="H870" s="597" t="s">
        <v>714</v>
      </c>
      <c r="I870" s="541">
        <f t="shared" si="13"/>
        <v>120607.73000000004</v>
      </c>
      <c r="K870" s="243"/>
    </row>
    <row r="871" spans="2:11" ht="17" customHeight="1">
      <c r="B871" s="253">
        <v>45770</v>
      </c>
      <c r="C871" s="263" t="s">
        <v>117</v>
      </c>
      <c r="D871" s="519" t="s">
        <v>717</v>
      </c>
      <c r="E871" s="515"/>
      <c r="F871" s="516">
        <v>243</v>
      </c>
      <c r="G871" s="258"/>
      <c r="H871" s="597" t="s">
        <v>714</v>
      </c>
      <c r="I871" s="541">
        <f t="shared" si="13"/>
        <v>120364.73000000004</v>
      </c>
      <c r="K871" s="243"/>
    </row>
    <row r="872" spans="2:11" ht="17" customHeight="1">
      <c r="B872" s="253">
        <v>45770</v>
      </c>
      <c r="C872" s="263" t="s">
        <v>117</v>
      </c>
      <c r="D872" s="519" t="s">
        <v>615</v>
      </c>
      <c r="E872" s="515"/>
      <c r="F872" s="516">
        <v>12.25</v>
      </c>
      <c r="G872" s="258"/>
      <c r="H872" s="597" t="s">
        <v>714</v>
      </c>
      <c r="I872" s="541">
        <f t="shared" si="13"/>
        <v>120352.48000000004</v>
      </c>
      <c r="K872" s="243"/>
    </row>
    <row r="873" spans="2:11" ht="17" customHeight="1">
      <c r="B873" s="253">
        <v>45770</v>
      </c>
      <c r="C873" s="263" t="s">
        <v>117</v>
      </c>
      <c r="D873" s="514" t="s">
        <v>718</v>
      </c>
      <c r="E873" s="515"/>
      <c r="F873" s="516">
        <v>2.6</v>
      </c>
      <c r="G873" s="258"/>
      <c r="H873" s="597" t="s">
        <v>714</v>
      </c>
      <c r="I873" s="541">
        <f t="shared" si="13"/>
        <v>120349.88000000003</v>
      </c>
      <c r="K873" s="243"/>
    </row>
    <row r="874" spans="2:11" ht="17" customHeight="1">
      <c r="B874" s="253">
        <v>45770</v>
      </c>
      <c r="C874" s="263" t="s">
        <v>117</v>
      </c>
      <c r="D874" s="514" t="s">
        <v>545</v>
      </c>
      <c r="E874" s="515"/>
      <c r="F874" s="516">
        <v>210.8</v>
      </c>
      <c r="G874" s="258"/>
      <c r="H874" s="597" t="s">
        <v>714</v>
      </c>
      <c r="I874" s="541">
        <f t="shared" si="13"/>
        <v>120139.08000000003</v>
      </c>
      <c r="K874" s="243"/>
    </row>
    <row r="875" spans="2:11" ht="17" customHeight="1">
      <c r="B875" s="253">
        <v>45770</v>
      </c>
      <c r="C875" s="263" t="s">
        <v>117</v>
      </c>
      <c r="D875" s="514" t="s">
        <v>306</v>
      </c>
      <c r="E875" s="515"/>
      <c r="F875" s="516">
        <v>183.9</v>
      </c>
      <c r="G875" s="258"/>
      <c r="H875" s="597" t="s">
        <v>714</v>
      </c>
      <c r="I875" s="541">
        <f t="shared" si="13"/>
        <v>119955.18000000004</v>
      </c>
      <c r="K875" s="243"/>
    </row>
    <row r="876" spans="2:11" ht="17" customHeight="1">
      <c r="B876" s="253">
        <v>45770</v>
      </c>
      <c r="C876" s="263" t="s">
        <v>719</v>
      </c>
      <c r="D876" s="514" t="s">
        <v>720</v>
      </c>
      <c r="E876" s="515"/>
      <c r="F876" s="516">
        <v>200</v>
      </c>
      <c r="G876" s="258" t="s">
        <v>207</v>
      </c>
      <c r="H876" s="259"/>
      <c r="I876" s="541">
        <f t="shared" si="13"/>
        <v>119755.18000000004</v>
      </c>
      <c r="K876" s="243"/>
    </row>
    <row r="877" spans="2:11" ht="17" customHeight="1">
      <c r="B877" s="253">
        <v>45770</v>
      </c>
      <c r="C877" s="263" t="s">
        <v>719</v>
      </c>
      <c r="D877" s="255" t="s">
        <v>720</v>
      </c>
      <c r="E877" s="256"/>
      <c r="F877" s="257">
        <v>44</v>
      </c>
      <c r="G877" s="258" t="s">
        <v>274</v>
      </c>
      <c r="H877" s="259"/>
      <c r="I877" s="541">
        <f t="shared" si="13"/>
        <v>119711.18000000004</v>
      </c>
      <c r="K877" s="243"/>
    </row>
    <row r="878" spans="2:11" ht="17" customHeight="1">
      <c r="B878" s="253">
        <v>45770</v>
      </c>
      <c r="C878" s="263" t="s">
        <v>721</v>
      </c>
      <c r="D878" s="514" t="s">
        <v>578</v>
      </c>
      <c r="E878" s="515"/>
      <c r="F878" s="516">
        <f>215.9-38.47</f>
        <v>177.43</v>
      </c>
      <c r="G878" s="258" t="s">
        <v>207</v>
      </c>
      <c r="H878" s="259"/>
      <c r="I878" s="541">
        <f t="shared" si="13"/>
        <v>119533.75000000004</v>
      </c>
      <c r="K878" s="243"/>
    </row>
    <row r="879" spans="2:11" ht="17" customHeight="1">
      <c r="B879" s="253">
        <v>45770</v>
      </c>
      <c r="C879" s="263" t="s">
        <v>721</v>
      </c>
      <c r="D879" s="255" t="s">
        <v>578</v>
      </c>
      <c r="E879" s="256"/>
      <c r="F879" s="257">
        <v>38.47</v>
      </c>
      <c r="G879" s="258" t="s">
        <v>274</v>
      </c>
      <c r="H879" s="259"/>
      <c r="I879" s="541">
        <f t="shared" si="13"/>
        <v>119495.28000000004</v>
      </c>
      <c r="K879" s="243"/>
    </row>
    <row r="880" spans="2:11" ht="17" customHeight="1">
      <c r="B880" s="253">
        <v>45770</v>
      </c>
      <c r="C880" s="263" t="s">
        <v>286</v>
      </c>
      <c r="D880" s="514" t="s">
        <v>520</v>
      </c>
      <c r="E880" s="515"/>
      <c r="F880" s="516">
        <v>35</v>
      </c>
      <c r="G880" s="258" t="s">
        <v>139</v>
      </c>
      <c r="H880" s="259"/>
      <c r="I880" s="541">
        <f t="shared" si="13"/>
        <v>119460.28000000004</v>
      </c>
      <c r="K880" s="243"/>
    </row>
    <row r="881" spans="2:11" ht="17" customHeight="1">
      <c r="B881" s="253">
        <v>45770</v>
      </c>
      <c r="C881" s="263" t="s">
        <v>283</v>
      </c>
      <c r="D881" s="255" t="s">
        <v>283</v>
      </c>
      <c r="E881" s="256">
        <f>1353-E882</f>
        <v>1245.73</v>
      </c>
      <c r="F881" s="257"/>
      <c r="G881" s="258" t="str">
        <f>IFERROR(VLOOKUP(D881,#REF!,2,FALSE),"_")</f>
        <v>_</v>
      </c>
      <c r="H881" s="543"/>
      <c r="I881" s="541">
        <f t="shared" si="13"/>
        <v>120706.01000000004</v>
      </c>
      <c r="K881" s="243"/>
    </row>
    <row r="882" spans="2:11" ht="17" customHeight="1">
      <c r="B882" s="253">
        <v>45770</v>
      </c>
      <c r="C882" s="263" t="s">
        <v>283</v>
      </c>
      <c r="D882" s="255" t="s">
        <v>508</v>
      </c>
      <c r="E882" s="256">
        <v>107.27</v>
      </c>
      <c r="F882" s="257"/>
      <c r="G882" s="258" t="str">
        <f>IFERROR(VLOOKUP(D882,#REF!,2,FALSE),"_")</f>
        <v>_</v>
      </c>
      <c r="H882" s="543"/>
      <c r="I882" s="541">
        <f t="shared" si="13"/>
        <v>120813.28000000004</v>
      </c>
      <c r="K882" s="243"/>
    </row>
    <row r="883" spans="2:11" ht="17" customHeight="1">
      <c r="B883" s="253">
        <v>45771</v>
      </c>
      <c r="C883" s="263" t="s">
        <v>117</v>
      </c>
      <c r="D883" s="255" t="s">
        <v>306</v>
      </c>
      <c r="E883" s="256"/>
      <c r="F883" s="257">
        <v>236.3</v>
      </c>
      <c r="G883" s="258"/>
      <c r="H883" s="543"/>
      <c r="I883" s="541">
        <f t="shared" si="13"/>
        <v>120576.98000000004</v>
      </c>
      <c r="K883" s="243"/>
    </row>
    <row r="884" spans="2:11" ht="17" customHeight="1">
      <c r="B884" s="253">
        <v>45771</v>
      </c>
      <c r="C884" s="263" t="s">
        <v>117</v>
      </c>
      <c r="D884" s="255" t="s">
        <v>306</v>
      </c>
      <c r="E884" s="256"/>
      <c r="F884" s="257">
        <v>355.6</v>
      </c>
      <c r="G884" s="258"/>
      <c r="H884" s="543"/>
      <c r="I884" s="541">
        <f t="shared" si="13"/>
        <v>120221.38000000003</v>
      </c>
      <c r="K884" s="243"/>
    </row>
    <row r="885" spans="2:11" ht="17" customHeight="1">
      <c r="B885" s="253">
        <v>45771</v>
      </c>
      <c r="C885" s="263" t="s">
        <v>117</v>
      </c>
      <c r="D885" s="255" t="s">
        <v>306</v>
      </c>
      <c r="E885" s="256"/>
      <c r="F885" s="257">
        <v>224.55</v>
      </c>
      <c r="G885" s="258"/>
      <c r="H885" s="597" t="s">
        <v>714</v>
      </c>
      <c r="I885" s="541">
        <f t="shared" si="13"/>
        <v>119996.83000000003</v>
      </c>
      <c r="K885" s="243"/>
    </row>
    <row r="886" spans="2:11" ht="17" customHeight="1">
      <c r="B886" s="253">
        <v>45771</v>
      </c>
      <c r="C886" s="263" t="s">
        <v>513</v>
      </c>
      <c r="D886" s="255" t="s">
        <v>567</v>
      </c>
      <c r="E886" s="256"/>
      <c r="F886" s="257">
        <v>95</v>
      </c>
      <c r="G886" s="258" t="s">
        <v>227</v>
      </c>
      <c r="H886" s="259"/>
      <c r="I886" s="541">
        <f t="shared" si="13"/>
        <v>119901.83000000003</v>
      </c>
      <c r="K886" s="243"/>
    </row>
    <row r="887" spans="2:11" ht="17" customHeight="1">
      <c r="B887" s="253">
        <v>45771</v>
      </c>
      <c r="C887" s="263" t="s">
        <v>513</v>
      </c>
      <c r="D887" s="255" t="s">
        <v>567</v>
      </c>
      <c r="E887" s="256"/>
      <c r="F887" s="257">
        <v>36</v>
      </c>
      <c r="G887" s="258" t="s">
        <v>227</v>
      </c>
      <c r="H887" s="259"/>
      <c r="I887" s="541">
        <f t="shared" si="13"/>
        <v>119865.83000000003</v>
      </c>
      <c r="K887" s="243"/>
    </row>
    <row r="888" spans="2:11" ht="17" customHeight="1">
      <c r="B888" s="253">
        <v>45771</v>
      </c>
      <c r="C888" s="263" t="s">
        <v>513</v>
      </c>
      <c r="D888" s="255" t="s">
        <v>567</v>
      </c>
      <c r="E888" s="256"/>
      <c r="F888" s="257">
        <v>13.64</v>
      </c>
      <c r="G888" s="258" t="s">
        <v>250</v>
      </c>
      <c r="H888" s="259"/>
      <c r="I888" s="541">
        <f t="shared" si="13"/>
        <v>119852.19000000003</v>
      </c>
      <c r="K888" s="243"/>
    </row>
    <row r="889" spans="2:11" ht="17" customHeight="1">
      <c r="B889" s="253">
        <v>45771</v>
      </c>
      <c r="C889" s="263" t="s">
        <v>513</v>
      </c>
      <c r="D889" s="255" t="s">
        <v>535</v>
      </c>
      <c r="E889" s="256">
        <v>36</v>
      </c>
      <c r="F889" s="257"/>
      <c r="G889" s="258"/>
      <c r="H889" s="259" t="s">
        <v>586</v>
      </c>
      <c r="I889" s="541">
        <f t="shared" si="13"/>
        <v>119888.19000000003</v>
      </c>
      <c r="K889" s="243"/>
    </row>
    <row r="890" spans="2:11" ht="17" customHeight="1">
      <c r="B890" s="253">
        <v>45771</v>
      </c>
      <c r="C890" s="263" t="s">
        <v>513</v>
      </c>
      <c r="D890" s="255" t="s">
        <v>535</v>
      </c>
      <c r="E890" s="256">
        <v>13.64</v>
      </c>
      <c r="F890" s="257"/>
      <c r="G890" s="258"/>
      <c r="H890" s="259" t="s">
        <v>586</v>
      </c>
      <c r="I890" s="541">
        <f t="shared" si="13"/>
        <v>119901.83000000003</v>
      </c>
      <c r="K890" s="243"/>
    </row>
    <row r="891" spans="2:11" ht="17" customHeight="1">
      <c r="B891" s="253">
        <v>45771</v>
      </c>
      <c r="C891" s="263" t="s">
        <v>513</v>
      </c>
      <c r="D891" s="255" t="s">
        <v>31</v>
      </c>
      <c r="E891" s="256"/>
      <c r="F891" s="257">
        <v>36</v>
      </c>
      <c r="G891" s="258" t="s">
        <v>245</v>
      </c>
      <c r="H891" s="259"/>
      <c r="I891" s="541">
        <f t="shared" si="13"/>
        <v>119865.83000000003</v>
      </c>
      <c r="K891" s="243"/>
    </row>
    <row r="892" spans="2:11" ht="17" customHeight="1">
      <c r="B892" s="253">
        <v>45771</v>
      </c>
      <c r="C892" s="263" t="s">
        <v>513</v>
      </c>
      <c r="D892" s="255" t="s">
        <v>31</v>
      </c>
      <c r="E892" s="256"/>
      <c r="F892" s="257">
        <v>13.64</v>
      </c>
      <c r="G892" s="258" t="s">
        <v>250</v>
      </c>
      <c r="H892" s="259"/>
      <c r="I892" s="541">
        <f t="shared" si="13"/>
        <v>119852.19000000003</v>
      </c>
      <c r="K892" s="243"/>
    </row>
    <row r="893" spans="2:11" ht="17" customHeight="1">
      <c r="B893" s="253">
        <v>45771</v>
      </c>
      <c r="C893" s="263" t="s">
        <v>513</v>
      </c>
      <c r="D893" s="255" t="s">
        <v>535</v>
      </c>
      <c r="E893" s="256">
        <v>36</v>
      </c>
      <c r="F893" s="257"/>
      <c r="G893" s="258"/>
      <c r="H893" s="259" t="s">
        <v>632</v>
      </c>
      <c r="I893" s="541">
        <f t="shared" si="13"/>
        <v>119888.19000000003</v>
      </c>
      <c r="K893" s="243"/>
    </row>
    <row r="894" spans="2:11" ht="17" customHeight="1">
      <c r="B894" s="253">
        <v>45771</v>
      </c>
      <c r="C894" s="263" t="s">
        <v>513</v>
      </c>
      <c r="D894" s="255" t="s">
        <v>535</v>
      </c>
      <c r="E894" s="256">
        <v>13.64</v>
      </c>
      <c r="F894" s="257"/>
      <c r="G894" s="258"/>
      <c r="H894" s="259" t="s">
        <v>632</v>
      </c>
      <c r="I894" s="541">
        <f t="shared" si="13"/>
        <v>119901.83000000003</v>
      </c>
      <c r="K894" s="243"/>
    </row>
    <row r="895" spans="2:11" ht="17" customHeight="1">
      <c r="B895" s="253">
        <v>45771</v>
      </c>
      <c r="C895" s="263" t="s">
        <v>513</v>
      </c>
      <c r="D895" s="255" t="s">
        <v>699</v>
      </c>
      <c r="E895" s="256"/>
      <c r="F895" s="257">
        <v>36</v>
      </c>
      <c r="G895" s="258" t="s">
        <v>227</v>
      </c>
      <c r="H895" s="259"/>
      <c r="I895" s="541">
        <f t="shared" si="13"/>
        <v>119865.83000000003</v>
      </c>
      <c r="K895" s="243"/>
    </row>
    <row r="896" spans="2:11" ht="17" customHeight="1">
      <c r="B896" s="253">
        <v>45771</v>
      </c>
      <c r="C896" s="263" t="s">
        <v>513</v>
      </c>
      <c r="D896" s="255" t="s">
        <v>699</v>
      </c>
      <c r="E896" s="256"/>
      <c r="F896" s="257">
        <v>13.64</v>
      </c>
      <c r="G896" s="258" t="s">
        <v>250</v>
      </c>
      <c r="H896" s="259"/>
      <c r="I896" s="541">
        <f t="shared" si="13"/>
        <v>119852.19000000003</v>
      </c>
      <c r="K896" s="243"/>
    </row>
    <row r="897" spans="2:11" ht="17" customHeight="1">
      <c r="B897" s="253">
        <v>45771</v>
      </c>
      <c r="C897" s="263" t="s">
        <v>513</v>
      </c>
      <c r="D897" s="255" t="s">
        <v>535</v>
      </c>
      <c r="E897" s="256">
        <v>36</v>
      </c>
      <c r="F897" s="257"/>
      <c r="G897" s="258"/>
      <c r="H897" s="259" t="s">
        <v>700</v>
      </c>
      <c r="I897" s="541">
        <f t="shared" si="13"/>
        <v>119888.19000000003</v>
      </c>
      <c r="K897" s="243"/>
    </row>
    <row r="898" spans="2:11" ht="17" customHeight="1">
      <c r="B898" s="253">
        <v>45771</v>
      </c>
      <c r="C898" s="263" t="s">
        <v>513</v>
      </c>
      <c r="D898" s="255" t="s">
        <v>535</v>
      </c>
      <c r="E898" s="256">
        <v>13.64</v>
      </c>
      <c r="F898" s="257"/>
      <c r="G898" s="258"/>
      <c r="H898" s="259" t="s">
        <v>700</v>
      </c>
      <c r="I898" s="541">
        <f t="shared" si="13"/>
        <v>119901.83000000003</v>
      </c>
      <c r="K898" s="243"/>
    </row>
    <row r="899" spans="2:11" ht="17" customHeight="1">
      <c r="B899" s="253">
        <v>45771</v>
      </c>
      <c r="C899" s="263" t="s">
        <v>513</v>
      </c>
      <c r="D899" s="255" t="s">
        <v>722</v>
      </c>
      <c r="E899" s="256"/>
      <c r="F899" s="257">
        <v>65</v>
      </c>
      <c r="G899" s="258" t="s">
        <v>227</v>
      </c>
      <c r="H899" s="259"/>
      <c r="I899" s="541">
        <f t="shared" si="13"/>
        <v>119836.83000000003</v>
      </c>
      <c r="K899" s="243"/>
    </row>
    <row r="900" spans="2:11" ht="17" customHeight="1">
      <c r="B900" s="253">
        <v>45771</v>
      </c>
      <c r="C900" s="263" t="s">
        <v>513</v>
      </c>
      <c r="D900" s="255" t="s">
        <v>722</v>
      </c>
      <c r="E900" s="256"/>
      <c r="F900" s="257">
        <v>36</v>
      </c>
      <c r="G900" s="258" t="s">
        <v>227</v>
      </c>
      <c r="H900" s="259"/>
      <c r="I900" s="541">
        <f t="shared" si="13"/>
        <v>119800.83000000003</v>
      </c>
      <c r="K900" s="243"/>
    </row>
    <row r="901" spans="2:11" ht="17" customHeight="1">
      <c r="B901" s="253">
        <v>45771</v>
      </c>
      <c r="C901" s="263" t="s">
        <v>513</v>
      </c>
      <c r="D901" s="255" t="s">
        <v>722</v>
      </c>
      <c r="E901" s="256"/>
      <c r="F901" s="257">
        <v>13.64</v>
      </c>
      <c r="G901" s="258" t="s">
        <v>250</v>
      </c>
      <c r="H901" s="259"/>
      <c r="I901" s="541">
        <f t="shared" si="13"/>
        <v>119787.19000000003</v>
      </c>
      <c r="K901" s="243"/>
    </row>
    <row r="902" spans="2:11" ht="17" customHeight="1">
      <c r="B902" s="253">
        <v>45771</v>
      </c>
      <c r="C902" s="263" t="s">
        <v>513</v>
      </c>
      <c r="D902" s="255" t="s">
        <v>535</v>
      </c>
      <c r="E902" s="256">
        <v>36</v>
      </c>
      <c r="F902" s="257"/>
      <c r="G902" s="258"/>
      <c r="H902" s="259" t="s">
        <v>723</v>
      </c>
      <c r="I902" s="541">
        <f t="shared" si="13"/>
        <v>119823.19000000003</v>
      </c>
      <c r="K902" s="243"/>
    </row>
    <row r="903" spans="2:11" ht="17" customHeight="1">
      <c r="B903" s="253">
        <v>45771</v>
      </c>
      <c r="C903" s="263" t="s">
        <v>513</v>
      </c>
      <c r="D903" s="255" t="s">
        <v>535</v>
      </c>
      <c r="E903" s="256">
        <v>13.64</v>
      </c>
      <c r="F903" s="257"/>
      <c r="G903" s="258"/>
      <c r="H903" s="259" t="s">
        <v>723</v>
      </c>
      <c r="I903" s="541">
        <f t="shared" si="13"/>
        <v>119836.83000000003</v>
      </c>
      <c r="K903" s="243"/>
    </row>
    <row r="904" spans="2:11" ht="17" customHeight="1">
      <c r="B904" s="253">
        <v>45771</v>
      </c>
      <c r="C904" s="263" t="s">
        <v>117</v>
      </c>
      <c r="D904" s="255" t="s">
        <v>530</v>
      </c>
      <c r="E904" s="256"/>
      <c r="F904" s="257">
        <v>500</v>
      </c>
      <c r="G904" s="258" t="s">
        <v>229</v>
      </c>
      <c r="H904" s="259"/>
      <c r="I904" s="541">
        <f t="shared" si="13"/>
        <v>119336.83000000003</v>
      </c>
      <c r="K904" s="243"/>
    </row>
    <row r="905" spans="2:11" ht="17" customHeight="1">
      <c r="B905" s="253">
        <v>45771</v>
      </c>
      <c r="C905" s="263" t="s">
        <v>117</v>
      </c>
      <c r="D905" s="255" t="s">
        <v>526</v>
      </c>
      <c r="E905" s="256"/>
      <c r="F905" s="257">
        <v>90</v>
      </c>
      <c r="G905" s="258" t="s">
        <v>229</v>
      </c>
      <c r="H905" s="259"/>
      <c r="I905" s="541">
        <f t="shared" ref="I905:I977" si="14">I904+E905-F905</f>
        <v>119246.83000000003</v>
      </c>
      <c r="K905" s="243"/>
    </row>
    <row r="906" spans="2:11" ht="17" customHeight="1">
      <c r="B906" s="253">
        <v>45771</v>
      </c>
      <c r="C906" s="263" t="s">
        <v>117</v>
      </c>
      <c r="D906" s="255" t="s">
        <v>566</v>
      </c>
      <c r="E906" s="256"/>
      <c r="F906" s="257">
        <v>80</v>
      </c>
      <c r="G906" s="258" t="s">
        <v>229</v>
      </c>
      <c r="H906" s="259"/>
      <c r="I906" s="541">
        <f t="shared" si="14"/>
        <v>119166.83000000003</v>
      </c>
      <c r="K906" s="243"/>
    </row>
    <row r="907" spans="2:11" ht="17" customHeight="1">
      <c r="B907" s="253">
        <v>45771</v>
      </c>
      <c r="C907" s="263" t="s">
        <v>117</v>
      </c>
      <c r="D907" s="261" t="s">
        <v>525</v>
      </c>
      <c r="E907" s="256"/>
      <c r="F907" s="257">
        <v>100</v>
      </c>
      <c r="G907" s="258" t="s">
        <v>229</v>
      </c>
      <c r="H907" s="259"/>
      <c r="I907" s="541">
        <f t="shared" si="14"/>
        <v>119066.83000000003</v>
      </c>
      <c r="K907" s="243"/>
    </row>
    <row r="908" spans="2:11" ht="17" customHeight="1">
      <c r="B908" s="253">
        <v>45771</v>
      </c>
      <c r="C908" s="263" t="s">
        <v>117</v>
      </c>
      <c r="D908" s="255" t="s">
        <v>724</v>
      </c>
      <c r="E908" s="256"/>
      <c r="F908" s="257">
        <v>70</v>
      </c>
      <c r="G908" s="258" t="s">
        <v>233</v>
      </c>
      <c r="H908" s="259"/>
      <c r="I908" s="541">
        <f t="shared" si="14"/>
        <v>118996.83000000003</v>
      </c>
      <c r="K908" s="243"/>
    </row>
    <row r="909" spans="2:11" ht="17" customHeight="1">
      <c r="B909" s="253">
        <v>45771</v>
      </c>
      <c r="C909" s="263" t="s">
        <v>117</v>
      </c>
      <c r="D909" s="261" t="s">
        <v>532</v>
      </c>
      <c r="E909" s="256"/>
      <c r="F909" s="257">
        <v>480</v>
      </c>
      <c r="G909" s="258" t="s">
        <v>231</v>
      </c>
      <c r="H909" s="259"/>
      <c r="I909" s="541">
        <f t="shared" si="14"/>
        <v>118516.83000000003</v>
      </c>
      <c r="K909" s="243"/>
    </row>
    <row r="910" spans="2:11" ht="17" customHeight="1">
      <c r="B910" s="253">
        <v>45771</v>
      </c>
      <c r="C910" s="263" t="s">
        <v>117</v>
      </c>
      <c r="D910" s="255" t="s">
        <v>587</v>
      </c>
      <c r="E910" s="256"/>
      <c r="F910" s="257">
        <v>300</v>
      </c>
      <c r="G910" s="258" t="s">
        <v>230</v>
      </c>
      <c r="H910" s="259"/>
      <c r="I910" s="541">
        <f t="shared" si="14"/>
        <v>118216.83000000003</v>
      </c>
      <c r="K910" s="243"/>
    </row>
    <row r="911" spans="2:11" ht="17" customHeight="1">
      <c r="B911" s="253">
        <v>45771</v>
      </c>
      <c r="C911" s="263" t="s">
        <v>117</v>
      </c>
      <c r="D911" s="255" t="s">
        <v>725</v>
      </c>
      <c r="E911" s="256"/>
      <c r="F911" s="257">
        <v>150</v>
      </c>
      <c r="G911" s="258" t="s">
        <v>230</v>
      </c>
      <c r="H911" s="259"/>
      <c r="I911" s="541">
        <f t="shared" si="14"/>
        <v>118066.83000000003</v>
      </c>
      <c r="K911" s="243"/>
    </row>
    <row r="912" spans="2:11" ht="17" customHeight="1">
      <c r="B912" s="253">
        <v>45771</v>
      </c>
      <c r="C912" s="263" t="s">
        <v>117</v>
      </c>
      <c r="D912" s="255" t="s">
        <v>726</v>
      </c>
      <c r="E912" s="256"/>
      <c r="F912" s="257">
        <v>80</v>
      </c>
      <c r="G912" s="258" t="s">
        <v>223</v>
      </c>
      <c r="H912" s="259"/>
      <c r="I912" s="541">
        <f t="shared" si="14"/>
        <v>117986.83000000003</v>
      </c>
      <c r="K912" s="243"/>
    </row>
    <row r="913" spans="2:11" ht="17" customHeight="1">
      <c r="B913" s="253">
        <v>45771</v>
      </c>
      <c r="C913" s="263" t="s">
        <v>117</v>
      </c>
      <c r="D913" s="255" t="s">
        <v>524</v>
      </c>
      <c r="E913" s="256"/>
      <c r="F913" s="257">
        <v>75</v>
      </c>
      <c r="G913" s="258" t="s">
        <v>227</v>
      </c>
      <c r="H913" s="259"/>
      <c r="I913" s="541">
        <f t="shared" si="14"/>
        <v>117911.83000000003</v>
      </c>
      <c r="K913" s="243"/>
    </row>
    <row r="914" spans="2:11" ht="17" customHeight="1">
      <c r="B914" s="253">
        <v>45771</v>
      </c>
      <c r="C914" s="263" t="s">
        <v>727</v>
      </c>
      <c r="D914" s="255" t="s">
        <v>512</v>
      </c>
      <c r="E914" s="256"/>
      <c r="F914" s="257">
        <f>18.4-0.71</f>
        <v>17.689999999999998</v>
      </c>
      <c r="G914" s="258" t="s">
        <v>199</v>
      </c>
      <c r="H914" s="259"/>
      <c r="I914" s="541">
        <f t="shared" si="14"/>
        <v>117894.14000000003</v>
      </c>
      <c r="K914" s="243"/>
    </row>
    <row r="915" spans="2:11" ht="17" customHeight="1">
      <c r="B915" s="253">
        <v>45771</v>
      </c>
      <c r="C915" s="263" t="s">
        <v>727</v>
      </c>
      <c r="D915" s="255" t="s">
        <v>512</v>
      </c>
      <c r="E915" s="256"/>
      <c r="F915" s="257">
        <v>0.71</v>
      </c>
      <c r="G915" s="258" t="s">
        <v>274</v>
      </c>
      <c r="H915" s="259"/>
      <c r="I915" s="541">
        <f t="shared" si="14"/>
        <v>117893.43000000002</v>
      </c>
      <c r="K915" s="243"/>
    </row>
    <row r="916" spans="2:11" ht="17" customHeight="1">
      <c r="B916" s="253">
        <v>45771</v>
      </c>
      <c r="C916" s="263" t="s">
        <v>728</v>
      </c>
      <c r="D916" s="255" t="s">
        <v>646</v>
      </c>
      <c r="E916" s="256"/>
      <c r="F916" s="257">
        <v>42.05</v>
      </c>
      <c r="G916" s="258" t="s">
        <v>205</v>
      </c>
      <c r="H916" s="259"/>
      <c r="I916" s="541">
        <f t="shared" si="14"/>
        <v>117851.38000000002</v>
      </c>
      <c r="K916" s="243"/>
    </row>
    <row r="917" spans="2:11" ht="17" customHeight="1">
      <c r="B917" s="253">
        <v>45771</v>
      </c>
      <c r="C917" s="263" t="s">
        <v>728</v>
      </c>
      <c r="D917" s="255" t="s">
        <v>646</v>
      </c>
      <c r="E917" s="256"/>
      <c r="F917" s="257">
        <v>9.25</v>
      </c>
      <c r="G917" s="258" t="s">
        <v>274</v>
      </c>
      <c r="H917" s="259"/>
      <c r="I917" s="541">
        <f t="shared" si="14"/>
        <v>117842.13000000002</v>
      </c>
      <c r="K917" s="243"/>
    </row>
    <row r="918" spans="2:11" ht="17" customHeight="1">
      <c r="B918" s="253">
        <v>45771</v>
      </c>
      <c r="C918" s="263" t="s">
        <v>513</v>
      </c>
      <c r="D918" s="255" t="s">
        <v>688</v>
      </c>
      <c r="E918" s="256"/>
      <c r="F918" s="257">
        <v>35</v>
      </c>
      <c r="G918" s="258" t="s">
        <v>248</v>
      </c>
      <c r="H918" s="259"/>
      <c r="I918" s="541">
        <f t="shared" si="14"/>
        <v>117807.13000000002</v>
      </c>
      <c r="K918" s="243"/>
    </row>
    <row r="919" spans="2:11" ht="17" customHeight="1">
      <c r="B919" s="253">
        <v>45771</v>
      </c>
      <c r="C919" s="263" t="s">
        <v>283</v>
      </c>
      <c r="D919" s="255" t="s">
        <v>283</v>
      </c>
      <c r="E919" s="256">
        <f>7273.9-E920</f>
        <v>6611.86</v>
      </c>
      <c r="F919" s="257"/>
      <c r="G919" s="258" t="str">
        <f>IFERROR(VLOOKUP(D919,#REF!,2,FALSE),"_")</f>
        <v>_</v>
      </c>
      <c r="H919" s="259"/>
      <c r="I919" s="541">
        <f t="shared" si="14"/>
        <v>124418.99000000002</v>
      </c>
      <c r="K919" s="243"/>
    </row>
    <row r="920" spans="2:11" ht="17" customHeight="1">
      <c r="B920" s="253">
        <v>45771</v>
      </c>
      <c r="C920" s="263" t="s">
        <v>283</v>
      </c>
      <c r="D920" s="255" t="s">
        <v>508</v>
      </c>
      <c r="E920" s="256">
        <v>662.04</v>
      </c>
      <c r="F920" s="257"/>
      <c r="G920" s="258" t="str">
        <f>IFERROR(VLOOKUP(D920,#REF!,2,FALSE),"_")</f>
        <v>_</v>
      </c>
      <c r="H920" s="259"/>
      <c r="I920" s="541">
        <f t="shared" si="14"/>
        <v>125081.03000000001</v>
      </c>
      <c r="K920" s="243"/>
    </row>
    <row r="921" spans="2:11" ht="17" customHeight="1">
      <c r="B921" s="253">
        <v>45772</v>
      </c>
      <c r="C921" s="263" t="s">
        <v>513</v>
      </c>
      <c r="D921" s="255" t="s">
        <v>729</v>
      </c>
      <c r="E921" s="256"/>
      <c r="F921" s="257">
        <v>40</v>
      </c>
      <c r="G921" s="258" t="s">
        <v>248</v>
      </c>
      <c r="H921" s="259"/>
      <c r="I921" s="541">
        <f t="shared" si="14"/>
        <v>125041.03000000001</v>
      </c>
      <c r="K921" s="243"/>
    </row>
    <row r="922" spans="2:11" ht="17" customHeight="1">
      <c r="B922" s="253">
        <v>45772</v>
      </c>
      <c r="C922" s="263" t="s">
        <v>513</v>
      </c>
      <c r="D922" s="255" t="s">
        <v>688</v>
      </c>
      <c r="E922" s="256"/>
      <c r="F922" s="257">
        <v>48</v>
      </c>
      <c r="G922" s="258" t="s">
        <v>248</v>
      </c>
      <c r="H922" s="259"/>
      <c r="I922" s="541">
        <f t="shared" si="14"/>
        <v>124993.03000000001</v>
      </c>
      <c r="K922" s="243"/>
    </row>
    <row r="923" spans="2:11" ht="17" customHeight="1">
      <c r="B923" s="253">
        <v>45772</v>
      </c>
      <c r="C923" s="263" t="s">
        <v>283</v>
      </c>
      <c r="D923" s="255" t="s">
        <v>283</v>
      </c>
      <c r="E923" s="256">
        <f>1143.4-E924</f>
        <v>891.74000000000012</v>
      </c>
      <c r="F923" s="257"/>
      <c r="G923" s="258" t="str">
        <f>IFERROR(VLOOKUP(D923,#REF!,2,FALSE),"_")</f>
        <v>_</v>
      </c>
      <c r="H923" s="259"/>
      <c r="I923" s="541">
        <f t="shared" si="14"/>
        <v>125884.77000000002</v>
      </c>
      <c r="K923" s="243"/>
    </row>
    <row r="924" spans="2:11" ht="17" customHeight="1">
      <c r="B924" s="253">
        <v>45772</v>
      </c>
      <c r="C924" s="263" t="s">
        <v>283</v>
      </c>
      <c r="D924" s="255" t="s">
        <v>508</v>
      </c>
      <c r="E924" s="256">
        <v>251.66</v>
      </c>
      <c r="F924" s="257"/>
      <c r="G924" s="258" t="str">
        <f>IFERROR(VLOOKUP(D924,#REF!,2,FALSE),"_")</f>
        <v>_</v>
      </c>
      <c r="H924" s="259"/>
      <c r="I924" s="541">
        <f t="shared" si="14"/>
        <v>126136.43000000002</v>
      </c>
      <c r="K924" s="243"/>
    </row>
    <row r="925" spans="2:11" ht="17" customHeight="1">
      <c r="B925" s="253">
        <v>45772</v>
      </c>
      <c r="C925" s="263" t="s">
        <v>283</v>
      </c>
      <c r="D925" s="255" t="s">
        <v>283</v>
      </c>
      <c r="E925" s="256">
        <v>200</v>
      </c>
      <c r="F925" s="257"/>
      <c r="G925" s="258" t="str">
        <f>IFERROR(VLOOKUP(D925,#REF!,2,FALSE),"_")</f>
        <v>_</v>
      </c>
      <c r="H925" s="259" t="s">
        <v>730</v>
      </c>
      <c r="I925" s="541">
        <f t="shared" si="14"/>
        <v>126336.43000000002</v>
      </c>
      <c r="K925" s="243"/>
    </row>
    <row r="926" spans="2:11" ht="17" customHeight="1">
      <c r="B926" s="253">
        <v>45773</v>
      </c>
      <c r="C926" s="263" t="s">
        <v>731</v>
      </c>
      <c r="D926" s="255" t="s">
        <v>512</v>
      </c>
      <c r="E926" s="256"/>
      <c r="F926" s="257">
        <f>46-1.78</f>
        <v>44.22</v>
      </c>
      <c r="G926" s="258" t="s">
        <v>199</v>
      </c>
      <c r="H926" s="259"/>
      <c r="I926" s="541">
        <f t="shared" si="14"/>
        <v>126292.21000000002</v>
      </c>
      <c r="K926" s="243"/>
    </row>
    <row r="927" spans="2:11" ht="17" customHeight="1">
      <c r="B927" s="253">
        <v>45773</v>
      </c>
      <c r="C927" s="263" t="s">
        <v>731</v>
      </c>
      <c r="D927" s="255" t="s">
        <v>512</v>
      </c>
      <c r="E927" s="256"/>
      <c r="F927" s="257">
        <v>1.78</v>
      </c>
      <c r="G927" s="258" t="s">
        <v>274</v>
      </c>
      <c r="H927" s="259"/>
      <c r="I927" s="541">
        <f t="shared" si="14"/>
        <v>126290.43000000002</v>
      </c>
      <c r="K927" s="243"/>
    </row>
    <row r="928" spans="2:11" ht="17" customHeight="1">
      <c r="B928" s="253">
        <v>45773</v>
      </c>
      <c r="C928" s="263" t="s">
        <v>513</v>
      </c>
      <c r="D928" s="255" t="s">
        <v>688</v>
      </c>
      <c r="E928" s="256"/>
      <c r="F928" s="257">
        <v>70</v>
      </c>
      <c r="G928" s="258" t="s">
        <v>248</v>
      </c>
      <c r="H928" s="259"/>
      <c r="I928" s="541">
        <f t="shared" si="14"/>
        <v>126220.43000000002</v>
      </c>
      <c r="K928" s="243"/>
    </row>
    <row r="929" spans="2:11" ht="17" customHeight="1">
      <c r="B929" s="253">
        <v>45773</v>
      </c>
      <c r="C929" s="263" t="s">
        <v>513</v>
      </c>
      <c r="D929" s="255" t="s">
        <v>543</v>
      </c>
      <c r="E929" s="256"/>
      <c r="F929" s="257">
        <v>80</v>
      </c>
      <c r="G929" s="258" t="s">
        <v>234</v>
      </c>
      <c r="H929" s="259"/>
      <c r="I929" s="541">
        <f t="shared" si="14"/>
        <v>126140.43000000002</v>
      </c>
      <c r="K929" s="243"/>
    </row>
    <row r="930" spans="2:11" ht="17" customHeight="1">
      <c r="B930" s="253">
        <v>45773</v>
      </c>
      <c r="C930" s="263" t="s">
        <v>283</v>
      </c>
      <c r="D930" s="255" t="s">
        <v>283</v>
      </c>
      <c r="E930" s="256">
        <f>2877-E931</f>
        <v>2519.98</v>
      </c>
      <c r="F930" s="257"/>
      <c r="G930" s="258" t="str">
        <f>IFERROR(VLOOKUP(D930,#REF!,2,FALSE),"_")</f>
        <v>_</v>
      </c>
      <c r="H930" s="259"/>
      <c r="I930" s="541">
        <f t="shared" si="14"/>
        <v>128660.41000000002</v>
      </c>
      <c r="K930" s="243"/>
    </row>
    <row r="931" spans="2:11" ht="17" customHeight="1">
      <c r="B931" s="253">
        <v>45773</v>
      </c>
      <c r="C931" s="263" t="s">
        <v>283</v>
      </c>
      <c r="D931" s="255" t="s">
        <v>508</v>
      </c>
      <c r="E931" s="256">
        <v>357.02</v>
      </c>
      <c r="F931" s="257"/>
      <c r="G931" s="258" t="str">
        <f>IFERROR(VLOOKUP(D931,#REF!,2,FALSE),"_")</f>
        <v>_</v>
      </c>
      <c r="H931" s="259"/>
      <c r="I931" s="541">
        <f t="shared" si="14"/>
        <v>129017.43000000002</v>
      </c>
      <c r="K931" s="243"/>
    </row>
    <row r="932" spans="2:11" ht="17" customHeight="1">
      <c r="B932" s="253">
        <v>45774</v>
      </c>
      <c r="C932" s="263" t="s">
        <v>283</v>
      </c>
      <c r="D932" s="255" t="s">
        <v>283</v>
      </c>
      <c r="E932" s="256">
        <f>2559.5-E933</f>
        <v>2216.14</v>
      </c>
      <c r="F932" s="257"/>
      <c r="G932" s="258" t="str">
        <f>IFERROR(VLOOKUP(D932,#REF!,2,FALSE),"_")</f>
        <v>_</v>
      </c>
      <c r="H932" s="259"/>
      <c r="I932" s="541">
        <f t="shared" si="14"/>
        <v>131233.57000000004</v>
      </c>
      <c r="K932" s="243"/>
    </row>
    <row r="933" spans="2:11" ht="17" customHeight="1">
      <c r="B933" s="253">
        <v>45774</v>
      </c>
      <c r="C933" s="263" t="s">
        <v>283</v>
      </c>
      <c r="D933" s="255" t="s">
        <v>508</v>
      </c>
      <c r="E933" s="256">
        <v>343.36</v>
      </c>
      <c r="F933" s="257"/>
      <c r="G933" s="258" t="str">
        <f>IFERROR(VLOOKUP(D933,#REF!,2,FALSE),"_")</f>
        <v>_</v>
      </c>
      <c r="H933" s="259"/>
      <c r="I933" s="541">
        <f t="shared" si="14"/>
        <v>131576.93000000002</v>
      </c>
      <c r="K933" s="243"/>
    </row>
    <row r="934" spans="2:11" ht="17" customHeight="1">
      <c r="B934" s="253">
        <v>45774</v>
      </c>
      <c r="C934" s="263" t="s">
        <v>283</v>
      </c>
      <c r="D934" s="255" t="s">
        <v>283</v>
      </c>
      <c r="E934" s="256">
        <v>200</v>
      </c>
      <c r="F934" s="257"/>
      <c r="G934" s="258" t="str">
        <f>IFERROR(VLOOKUP(D934,#REF!,2,FALSE),"_")</f>
        <v>_</v>
      </c>
      <c r="H934" s="259" t="s">
        <v>732</v>
      </c>
      <c r="I934" s="541">
        <f t="shared" si="14"/>
        <v>131776.93000000002</v>
      </c>
      <c r="K934" s="243"/>
    </row>
    <row r="935" spans="2:11" ht="17" customHeight="1">
      <c r="B935" s="253">
        <v>45775</v>
      </c>
      <c r="C935" s="263" t="s">
        <v>541</v>
      </c>
      <c r="D935" s="261" t="s">
        <v>542</v>
      </c>
      <c r="E935" s="256"/>
      <c r="F935" s="257">
        <v>10000</v>
      </c>
      <c r="G935" s="258" t="s">
        <v>277</v>
      </c>
      <c r="H935" s="259"/>
      <c r="I935" s="541">
        <f t="shared" si="14"/>
        <v>121776.93000000002</v>
      </c>
      <c r="K935" s="243"/>
    </row>
    <row r="936" spans="2:11" ht="17" customHeight="1">
      <c r="B936" s="253">
        <v>45776</v>
      </c>
      <c r="C936" s="263" t="s">
        <v>513</v>
      </c>
      <c r="D936" s="255" t="s">
        <v>576</v>
      </c>
      <c r="E936" s="256"/>
      <c r="F936" s="257">
        <v>90</v>
      </c>
      <c r="G936" s="258" t="s">
        <v>248</v>
      </c>
      <c r="H936" s="259"/>
      <c r="I936" s="541">
        <f t="shared" si="14"/>
        <v>121686.93000000002</v>
      </c>
      <c r="K936" s="243"/>
    </row>
    <row r="937" spans="2:11" ht="17" customHeight="1">
      <c r="B937" s="253">
        <v>45776</v>
      </c>
      <c r="C937" s="263" t="s">
        <v>117</v>
      </c>
      <c r="D937" s="255" t="s">
        <v>549</v>
      </c>
      <c r="E937" s="256"/>
      <c r="F937" s="257">
        <v>8.1</v>
      </c>
      <c r="G937" s="258" t="s">
        <v>256</v>
      </c>
      <c r="H937" s="259"/>
      <c r="I937" s="541">
        <f t="shared" si="14"/>
        <v>121678.83000000002</v>
      </c>
      <c r="K937" s="243"/>
    </row>
    <row r="938" spans="2:11" ht="17" customHeight="1">
      <c r="B938" s="253">
        <v>45776</v>
      </c>
      <c r="C938" s="263" t="s">
        <v>117</v>
      </c>
      <c r="D938" s="255" t="s">
        <v>712</v>
      </c>
      <c r="E938" s="256"/>
      <c r="F938" s="257">
        <v>850</v>
      </c>
      <c r="G938" s="258" t="s">
        <v>202</v>
      </c>
      <c r="H938" s="259"/>
      <c r="I938" s="541">
        <f t="shared" si="14"/>
        <v>120828.83000000002</v>
      </c>
      <c r="K938" s="243"/>
    </row>
    <row r="939" spans="2:11" ht="17" customHeight="1">
      <c r="B939" s="253">
        <v>45776</v>
      </c>
      <c r="C939" s="263" t="s">
        <v>283</v>
      </c>
      <c r="D939" s="255" t="s">
        <v>283</v>
      </c>
      <c r="E939" s="256">
        <f>669.2-E940</f>
        <v>568.86</v>
      </c>
      <c r="F939" s="257"/>
      <c r="G939" s="258" t="str">
        <f>IFERROR(VLOOKUP(D939,#REF!,2,FALSE),"_")</f>
        <v>_</v>
      </c>
      <c r="H939" s="259"/>
      <c r="I939" s="541">
        <f t="shared" si="14"/>
        <v>121397.69000000002</v>
      </c>
      <c r="K939" s="243"/>
    </row>
    <row r="940" spans="2:11" ht="17" customHeight="1">
      <c r="B940" s="253">
        <v>45776</v>
      </c>
      <c r="C940" s="263" t="s">
        <v>283</v>
      </c>
      <c r="D940" s="255" t="s">
        <v>508</v>
      </c>
      <c r="E940" s="256">
        <v>100.34</v>
      </c>
      <c r="F940" s="257"/>
      <c r="G940" s="258" t="str">
        <f>IFERROR(VLOOKUP(D940,#REF!,2,FALSE),"_")</f>
        <v>_</v>
      </c>
      <c r="H940" s="259"/>
      <c r="I940" s="541">
        <f t="shared" si="14"/>
        <v>121498.03000000001</v>
      </c>
      <c r="K940" s="243"/>
    </row>
    <row r="941" spans="2:11" ht="17" customHeight="1">
      <c r="B941" s="253">
        <v>45777</v>
      </c>
      <c r="C941" s="263" t="s">
        <v>513</v>
      </c>
      <c r="D941" s="255" t="s">
        <v>563</v>
      </c>
      <c r="E941" s="256"/>
      <c r="F941" s="257">
        <v>108</v>
      </c>
      <c r="G941" s="258" t="s">
        <v>249</v>
      </c>
      <c r="H941" s="259"/>
      <c r="I941" s="541">
        <f t="shared" si="14"/>
        <v>121390.03000000001</v>
      </c>
      <c r="K941" s="243"/>
    </row>
    <row r="942" spans="2:11" ht="17" customHeight="1">
      <c r="B942" s="253">
        <v>45777</v>
      </c>
      <c r="C942" s="263" t="s">
        <v>117</v>
      </c>
      <c r="D942" s="255" t="s">
        <v>517</v>
      </c>
      <c r="E942" s="256"/>
      <c r="F942" s="257">
        <v>80</v>
      </c>
      <c r="G942" s="258" t="s">
        <v>234</v>
      </c>
      <c r="H942" s="259"/>
      <c r="I942" s="541">
        <f t="shared" si="14"/>
        <v>121310.03000000001</v>
      </c>
      <c r="K942" s="243"/>
    </row>
    <row r="943" spans="2:11" ht="17" customHeight="1">
      <c r="B943" s="253">
        <v>45777</v>
      </c>
      <c r="C943" s="263" t="s">
        <v>513</v>
      </c>
      <c r="D943" s="255" t="s">
        <v>576</v>
      </c>
      <c r="E943" s="256"/>
      <c r="F943" s="257">
        <v>80</v>
      </c>
      <c r="G943" s="258" t="s">
        <v>248</v>
      </c>
      <c r="H943" s="259"/>
      <c r="I943" s="541">
        <f t="shared" si="14"/>
        <v>121230.03000000001</v>
      </c>
      <c r="K943" s="243"/>
    </row>
    <row r="944" spans="2:11" ht="17" customHeight="1">
      <c r="B944" s="253">
        <v>45777</v>
      </c>
      <c r="C944" s="263" t="s">
        <v>286</v>
      </c>
      <c r="D944" s="255" t="s">
        <v>520</v>
      </c>
      <c r="E944" s="256"/>
      <c r="F944" s="257">
        <v>35</v>
      </c>
      <c r="G944" s="258" t="s">
        <v>139</v>
      </c>
      <c r="H944" s="259" t="s">
        <v>733</v>
      </c>
      <c r="I944" s="541">
        <f t="shared" si="14"/>
        <v>121195.03000000001</v>
      </c>
      <c r="K944" s="243"/>
    </row>
    <row r="945" spans="2:11" ht="17" customHeight="1">
      <c r="B945" s="253">
        <v>45777</v>
      </c>
      <c r="C945" s="263" t="s">
        <v>734</v>
      </c>
      <c r="D945" s="255" t="s">
        <v>512</v>
      </c>
      <c r="E945" s="256"/>
      <c r="F945" s="257">
        <f>18.4-0.71</f>
        <v>17.689999999999998</v>
      </c>
      <c r="G945" s="258" t="s">
        <v>199</v>
      </c>
      <c r="H945" s="259"/>
      <c r="I945" s="541">
        <f t="shared" si="14"/>
        <v>121177.34000000001</v>
      </c>
      <c r="K945" s="243"/>
    </row>
    <row r="946" spans="2:11" ht="17" customHeight="1">
      <c r="B946" s="253">
        <v>45777</v>
      </c>
      <c r="C946" s="263" t="s">
        <v>734</v>
      </c>
      <c r="D946" s="255" t="s">
        <v>512</v>
      </c>
      <c r="E946" s="256"/>
      <c r="F946" s="257">
        <v>0.71</v>
      </c>
      <c r="G946" s="258" t="s">
        <v>274</v>
      </c>
      <c r="H946" s="259"/>
      <c r="I946" s="541">
        <f t="shared" si="14"/>
        <v>121176.63</v>
      </c>
      <c r="K946" s="243"/>
    </row>
    <row r="947" spans="2:11" ht="17" customHeight="1">
      <c r="B947" s="253">
        <v>45777</v>
      </c>
      <c r="C947" s="263" t="s">
        <v>117</v>
      </c>
      <c r="D947" s="255" t="s">
        <v>713</v>
      </c>
      <c r="E947" s="256"/>
      <c r="F947" s="257">
        <v>30</v>
      </c>
      <c r="G947" s="258" t="s">
        <v>216</v>
      </c>
      <c r="H947" s="259"/>
      <c r="I947" s="541">
        <f t="shared" si="14"/>
        <v>121146.63</v>
      </c>
      <c r="K947" s="243"/>
    </row>
    <row r="948" spans="2:11" ht="17" customHeight="1">
      <c r="B948" s="253">
        <v>45777</v>
      </c>
      <c r="C948" s="263" t="s">
        <v>117</v>
      </c>
      <c r="D948" s="255" t="s">
        <v>306</v>
      </c>
      <c r="E948" s="256"/>
      <c r="F948" s="257">
        <v>489.35</v>
      </c>
      <c r="G948" s="258" t="s">
        <v>194</v>
      </c>
      <c r="H948" s="259"/>
      <c r="I948" s="541">
        <f t="shared" si="14"/>
        <v>120657.28</v>
      </c>
      <c r="K948" s="243"/>
    </row>
    <row r="949" spans="2:11" ht="17" customHeight="1">
      <c r="B949" s="253">
        <v>45777</v>
      </c>
      <c r="C949" s="263" t="s">
        <v>117</v>
      </c>
      <c r="D949" s="255" t="s">
        <v>306</v>
      </c>
      <c r="E949" s="256"/>
      <c r="F949" s="257">
        <v>169.3</v>
      </c>
      <c r="G949" s="258" t="s">
        <v>194</v>
      </c>
      <c r="H949" s="259"/>
      <c r="I949" s="541">
        <f t="shared" si="14"/>
        <v>120487.98</v>
      </c>
      <c r="K949" s="243"/>
    </row>
    <row r="950" spans="2:11" ht="17" customHeight="1">
      <c r="B950" s="253">
        <v>45777</v>
      </c>
      <c r="C950" s="263" t="s">
        <v>283</v>
      </c>
      <c r="D950" s="255" t="s">
        <v>283</v>
      </c>
      <c r="E950" s="256">
        <f>553.6+500-E951</f>
        <v>851.84999999999991</v>
      </c>
      <c r="F950" s="257"/>
      <c r="G950" s="258" t="str">
        <f>IFERROR(VLOOKUP(D950,#REF!,2,FALSE),"_")</f>
        <v>_</v>
      </c>
      <c r="H950" s="259"/>
      <c r="I950" s="541">
        <f t="shared" si="14"/>
        <v>121339.83</v>
      </c>
      <c r="K950" s="243"/>
    </row>
    <row r="951" spans="2:11" ht="17" customHeight="1">
      <c r="B951" s="253">
        <v>45777</v>
      </c>
      <c r="C951" s="263" t="s">
        <v>283</v>
      </c>
      <c r="D951" s="255" t="s">
        <v>508</v>
      </c>
      <c r="E951" s="256">
        <v>201.75</v>
      </c>
      <c r="F951" s="257"/>
      <c r="G951" s="258" t="str">
        <f>IFERROR(VLOOKUP(D951,#REF!,2,FALSE),"_")</f>
        <v>_</v>
      </c>
      <c r="H951" s="259"/>
      <c r="I951" s="541">
        <f t="shared" si="14"/>
        <v>121541.58</v>
      </c>
      <c r="K951" s="243"/>
    </row>
    <row r="952" spans="2:11" ht="17" customHeight="1">
      <c r="B952" s="253">
        <v>45777</v>
      </c>
      <c r="C952" s="263" t="s">
        <v>283</v>
      </c>
      <c r="D952" s="255" t="s">
        <v>283</v>
      </c>
      <c r="E952" s="256">
        <v>400</v>
      </c>
      <c r="F952" s="257"/>
      <c r="G952" s="258" t="str">
        <f>IFERROR(VLOOKUP(D952,#REF!,2,FALSE),"_")</f>
        <v>_</v>
      </c>
      <c r="H952" s="259" t="s">
        <v>735</v>
      </c>
      <c r="I952" s="541">
        <f t="shared" si="14"/>
        <v>121941.58</v>
      </c>
      <c r="K952" s="243"/>
    </row>
    <row r="953" spans="2:11" ht="17" customHeight="1">
      <c r="B953" s="253">
        <v>45772</v>
      </c>
      <c r="C953" s="263" t="s">
        <v>117</v>
      </c>
      <c r="D953" s="255" t="s">
        <v>535</v>
      </c>
      <c r="E953" s="256">
        <v>200</v>
      </c>
      <c r="F953" s="257"/>
      <c r="G953" s="258"/>
      <c r="H953" s="598" t="s">
        <v>888</v>
      </c>
      <c r="I953" s="541">
        <f>I2093+E953-F953</f>
        <v>142053.78142857115</v>
      </c>
      <c r="K953" s="243"/>
    </row>
    <row r="954" spans="2:11" ht="17" customHeight="1">
      <c r="B954" s="253">
        <v>45774</v>
      </c>
      <c r="C954" s="263" t="s">
        <v>117</v>
      </c>
      <c r="D954" s="255" t="s">
        <v>535</v>
      </c>
      <c r="E954" s="256">
        <v>200</v>
      </c>
      <c r="F954" s="257"/>
      <c r="G954" s="258"/>
      <c r="H954" s="597" t="s">
        <v>889</v>
      </c>
      <c r="I954" s="541">
        <f t="shared" ref="I954:I961" si="15">I953+E954-F954</f>
        <v>142253.78142857115</v>
      </c>
      <c r="K954" s="243"/>
    </row>
    <row r="955" spans="2:11" ht="17" customHeight="1">
      <c r="B955" s="253">
        <v>45777</v>
      </c>
      <c r="C955" s="263" t="s">
        <v>117</v>
      </c>
      <c r="D955" s="255" t="s">
        <v>535</v>
      </c>
      <c r="E955" s="256">
        <v>200</v>
      </c>
      <c r="F955" s="257"/>
      <c r="G955" s="258"/>
      <c r="H955" s="598" t="s">
        <v>888</v>
      </c>
      <c r="I955" s="541">
        <f t="shared" si="15"/>
        <v>142453.78142857115</v>
      </c>
      <c r="K955" s="243"/>
    </row>
    <row r="956" spans="2:11" ht="17" customHeight="1">
      <c r="B956" s="253">
        <v>45777</v>
      </c>
      <c r="C956" s="263" t="s">
        <v>117</v>
      </c>
      <c r="D956" s="255" t="s">
        <v>890</v>
      </c>
      <c r="E956" s="256">
        <v>715</v>
      </c>
      <c r="F956" s="257"/>
      <c r="G956" s="258" t="s">
        <v>194</v>
      </c>
      <c r="H956" s="259"/>
      <c r="I956" s="541">
        <f t="shared" si="15"/>
        <v>143168.78142857115</v>
      </c>
      <c r="K956" s="243"/>
    </row>
    <row r="957" spans="2:11" ht="17" customHeight="1">
      <c r="B957" s="253">
        <v>45777</v>
      </c>
      <c r="C957" s="263" t="s">
        <v>117</v>
      </c>
      <c r="D957" s="255" t="s">
        <v>891</v>
      </c>
      <c r="E957" s="256">
        <v>20</v>
      </c>
      <c r="F957" s="257"/>
      <c r="G957" s="258" t="s">
        <v>208</v>
      </c>
      <c r="H957" s="259"/>
      <c r="I957" s="541">
        <f t="shared" si="15"/>
        <v>143188.78142857115</v>
      </c>
      <c r="K957" s="243"/>
    </row>
    <row r="958" spans="2:11" ht="17" customHeight="1">
      <c r="B958" s="253">
        <v>45777</v>
      </c>
      <c r="C958" s="263" t="s">
        <v>117</v>
      </c>
      <c r="D958" s="255" t="s">
        <v>892</v>
      </c>
      <c r="E958" s="256">
        <v>865</v>
      </c>
      <c r="F958" s="257"/>
      <c r="G958" s="258" t="s">
        <v>196</v>
      </c>
      <c r="H958" s="259"/>
      <c r="I958" s="541">
        <f t="shared" si="15"/>
        <v>144053.78142857115</v>
      </c>
      <c r="K958" s="243"/>
    </row>
    <row r="959" spans="2:11" ht="17" customHeight="1">
      <c r="B959" s="253">
        <v>45777</v>
      </c>
      <c r="C959" s="263" t="s">
        <v>117</v>
      </c>
      <c r="D959" s="255" t="s">
        <v>893</v>
      </c>
      <c r="E959" s="256">
        <v>150</v>
      </c>
      <c r="F959" s="257"/>
      <c r="G959" s="258" t="s">
        <v>195</v>
      </c>
      <c r="H959" s="259"/>
      <c r="I959" s="541">
        <f t="shared" si="15"/>
        <v>144203.78142857115</v>
      </c>
      <c r="K959" s="243"/>
    </row>
    <row r="960" spans="2:11" ht="17" customHeight="1">
      <c r="B960" s="253">
        <v>45777</v>
      </c>
      <c r="C960" s="263" t="s">
        <v>117</v>
      </c>
      <c r="D960" s="255" t="s">
        <v>797</v>
      </c>
      <c r="E960" s="256">
        <v>80</v>
      </c>
      <c r="F960" s="257"/>
      <c r="G960" s="258" t="s">
        <v>195</v>
      </c>
      <c r="H960" s="259"/>
      <c r="I960" s="541">
        <f t="shared" si="15"/>
        <v>144283.78142857115</v>
      </c>
      <c r="K960" s="243"/>
    </row>
    <row r="961" spans="2:11" ht="17" customHeight="1">
      <c r="B961" s="253">
        <v>45778</v>
      </c>
      <c r="C961" s="263" t="s">
        <v>117</v>
      </c>
      <c r="D961" s="255" t="s">
        <v>535</v>
      </c>
      <c r="E961" s="256">
        <v>100</v>
      </c>
      <c r="F961" s="257"/>
      <c r="G961" s="258"/>
      <c r="H961" s="598" t="s">
        <v>888</v>
      </c>
      <c r="I961" s="541">
        <f t="shared" si="15"/>
        <v>144383.78142857115</v>
      </c>
      <c r="K961" s="243"/>
    </row>
    <row r="962" spans="2:11" ht="17" customHeight="1">
      <c r="B962" s="253">
        <v>45778</v>
      </c>
      <c r="C962" s="263" t="s">
        <v>513</v>
      </c>
      <c r="D962" s="255" t="s">
        <v>576</v>
      </c>
      <c r="E962" s="256"/>
      <c r="F962" s="257">
        <v>80</v>
      </c>
      <c r="G962" s="258" t="s">
        <v>248</v>
      </c>
      <c r="H962" s="259"/>
      <c r="I962" s="541">
        <f>I952+E962-F962</f>
        <v>121861.58</v>
      </c>
      <c r="K962" s="243"/>
    </row>
    <row r="963" spans="2:11" ht="17" customHeight="1">
      <c r="B963" s="253">
        <v>45778</v>
      </c>
      <c r="C963" s="263" t="s">
        <v>513</v>
      </c>
      <c r="D963" s="255" t="s">
        <v>688</v>
      </c>
      <c r="E963" s="256"/>
      <c r="F963" s="257">
        <v>65</v>
      </c>
      <c r="G963" s="258" t="s">
        <v>248</v>
      </c>
      <c r="H963" s="259"/>
      <c r="I963" s="541">
        <f t="shared" si="14"/>
        <v>121796.58</v>
      </c>
      <c r="K963" s="243"/>
    </row>
    <row r="964" spans="2:11" ht="17" customHeight="1">
      <c r="B964" s="253">
        <v>45778</v>
      </c>
      <c r="C964" s="263" t="s">
        <v>286</v>
      </c>
      <c r="D964" s="255" t="s">
        <v>520</v>
      </c>
      <c r="E964" s="256"/>
      <c r="F964" s="257">
        <v>320</v>
      </c>
      <c r="G964" s="258" t="s">
        <v>139</v>
      </c>
      <c r="H964" s="259"/>
      <c r="I964" s="541">
        <f t="shared" si="14"/>
        <v>121476.58</v>
      </c>
      <c r="K964" s="243"/>
    </row>
    <row r="965" spans="2:11" ht="17" customHeight="1">
      <c r="B965" s="253">
        <v>45778</v>
      </c>
      <c r="C965" s="263" t="s">
        <v>283</v>
      </c>
      <c r="D965" s="255" t="s">
        <v>283</v>
      </c>
      <c r="E965" s="256">
        <f>1933-E966</f>
        <v>1659.02</v>
      </c>
      <c r="F965" s="257"/>
      <c r="G965" s="258" t="str">
        <f>IFERROR(VLOOKUP(D965,#REF!,2,FALSE),"_")</f>
        <v>_</v>
      </c>
      <c r="H965" s="259"/>
      <c r="I965" s="541">
        <f t="shared" si="14"/>
        <v>123135.6</v>
      </c>
      <c r="K965" s="243"/>
    </row>
    <row r="966" spans="2:11" ht="17" customHeight="1">
      <c r="B966" s="253">
        <v>45778</v>
      </c>
      <c r="C966" s="263" t="s">
        <v>283</v>
      </c>
      <c r="D966" s="255" t="s">
        <v>508</v>
      </c>
      <c r="E966" s="256">
        <v>273.98</v>
      </c>
      <c r="F966" s="257"/>
      <c r="G966" s="258" t="str">
        <f>IFERROR(VLOOKUP(D966,#REF!,2,FALSE),"_")</f>
        <v>_</v>
      </c>
      <c r="H966" s="259"/>
      <c r="I966" s="541">
        <f t="shared" si="14"/>
        <v>123409.58</v>
      </c>
      <c r="K966" s="243"/>
    </row>
    <row r="967" spans="2:11" ht="17" customHeight="1">
      <c r="B967" s="253">
        <v>45779</v>
      </c>
      <c r="C967" s="263" t="s">
        <v>736</v>
      </c>
      <c r="D967" s="255" t="s">
        <v>512</v>
      </c>
      <c r="E967" s="256"/>
      <c r="F967" s="257">
        <f>27.8-1.07</f>
        <v>26.73</v>
      </c>
      <c r="G967" s="258" t="s">
        <v>199</v>
      </c>
      <c r="H967" s="259"/>
      <c r="I967" s="541">
        <f t="shared" si="14"/>
        <v>123382.85</v>
      </c>
      <c r="K967" s="243"/>
    </row>
    <row r="968" spans="2:11" ht="17" customHeight="1">
      <c r="B968" s="253">
        <v>45779</v>
      </c>
      <c r="C968" s="263" t="s">
        <v>736</v>
      </c>
      <c r="D968" s="255" t="s">
        <v>512</v>
      </c>
      <c r="E968" s="256"/>
      <c r="F968" s="257">
        <v>1.07</v>
      </c>
      <c r="G968" s="258" t="s">
        <v>274</v>
      </c>
      <c r="H968" s="259"/>
      <c r="I968" s="541">
        <f t="shared" si="14"/>
        <v>123381.78</v>
      </c>
      <c r="K968" s="243"/>
    </row>
    <row r="969" spans="2:11" ht="17" customHeight="1">
      <c r="B969" s="253">
        <v>45779</v>
      </c>
      <c r="C969" s="263" t="s">
        <v>513</v>
      </c>
      <c r="D969" s="255" t="s">
        <v>576</v>
      </c>
      <c r="E969" s="256"/>
      <c r="F969" s="257">
        <v>135</v>
      </c>
      <c r="G969" s="258" t="s">
        <v>248</v>
      </c>
      <c r="H969" s="259"/>
      <c r="I969" s="541">
        <f t="shared" si="14"/>
        <v>123246.78</v>
      </c>
      <c r="K969" s="243"/>
    </row>
    <row r="970" spans="2:11" ht="17" customHeight="1">
      <c r="B970" s="253">
        <v>45779</v>
      </c>
      <c r="C970" s="263" t="s">
        <v>286</v>
      </c>
      <c r="D970" s="255" t="s">
        <v>520</v>
      </c>
      <c r="E970" s="256"/>
      <c r="F970" s="257">
        <v>300</v>
      </c>
      <c r="G970" s="258" t="s">
        <v>139</v>
      </c>
      <c r="H970" s="259"/>
      <c r="I970" s="541">
        <f t="shared" si="14"/>
        <v>122946.78</v>
      </c>
      <c r="K970" s="243"/>
    </row>
    <row r="971" spans="2:11" ht="17" customHeight="1">
      <c r="B971" s="253">
        <v>45779</v>
      </c>
      <c r="C971" s="263" t="s">
        <v>283</v>
      </c>
      <c r="D971" s="255" t="s">
        <v>283</v>
      </c>
      <c r="E971" s="256">
        <f>1892.8-E972</f>
        <v>1588.72</v>
      </c>
      <c r="F971" s="257"/>
      <c r="G971" s="258" t="str">
        <f>IFERROR(VLOOKUP(D971,#REF!,2,FALSE),"_")</f>
        <v>_</v>
      </c>
      <c r="H971" s="259"/>
      <c r="I971" s="541">
        <f t="shared" si="14"/>
        <v>124535.5</v>
      </c>
      <c r="K971" s="243"/>
    </row>
    <row r="972" spans="2:11" ht="17" customHeight="1">
      <c r="B972" s="253">
        <v>45779</v>
      </c>
      <c r="C972" s="263" t="s">
        <v>283</v>
      </c>
      <c r="D972" s="255" t="s">
        <v>508</v>
      </c>
      <c r="E972" s="256">
        <v>304.08</v>
      </c>
      <c r="F972" s="257"/>
      <c r="G972" s="258" t="str">
        <f>IFERROR(VLOOKUP(D972,#REF!,2,FALSE),"_")</f>
        <v>_</v>
      </c>
      <c r="H972" s="259"/>
      <c r="I972" s="541">
        <f t="shared" si="14"/>
        <v>124839.58</v>
      </c>
      <c r="K972" s="243"/>
    </row>
    <row r="973" spans="2:11" ht="17" customHeight="1">
      <c r="B973" s="253">
        <v>45780</v>
      </c>
      <c r="C973" s="263" t="s">
        <v>513</v>
      </c>
      <c r="D973" s="255" t="s">
        <v>653</v>
      </c>
      <c r="E973" s="256"/>
      <c r="F973" s="257">
        <v>32</v>
      </c>
      <c r="G973" s="258" t="s">
        <v>248</v>
      </c>
      <c r="H973" s="259"/>
      <c r="I973" s="541">
        <f t="shared" si="14"/>
        <v>124807.58</v>
      </c>
      <c r="K973" s="243"/>
    </row>
    <row r="974" spans="2:11" ht="17" customHeight="1">
      <c r="B974" s="253">
        <v>45780</v>
      </c>
      <c r="C974" s="263" t="s">
        <v>117</v>
      </c>
      <c r="D974" s="255" t="s">
        <v>549</v>
      </c>
      <c r="E974" s="256"/>
      <c r="F974" s="257">
        <v>11</v>
      </c>
      <c r="G974" s="258" t="s">
        <v>256</v>
      </c>
      <c r="H974" s="259"/>
      <c r="I974" s="541">
        <f t="shared" si="14"/>
        <v>124796.58</v>
      </c>
      <c r="K974" s="243"/>
    </row>
    <row r="975" spans="2:11" ht="17" customHeight="1">
      <c r="B975" s="253">
        <v>45780</v>
      </c>
      <c r="C975" s="263" t="s">
        <v>117</v>
      </c>
      <c r="D975" s="255" t="s">
        <v>543</v>
      </c>
      <c r="E975" s="256"/>
      <c r="F975" s="257">
        <v>80</v>
      </c>
      <c r="G975" s="258" t="s">
        <v>234</v>
      </c>
      <c r="H975" s="259"/>
      <c r="I975" s="541">
        <f t="shared" si="14"/>
        <v>124716.58</v>
      </c>
      <c r="K975" s="243"/>
    </row>
    <row r="976" spans="2:11" ht="17" customHeight="1">
      <c r="B976" s="253">
        <v>45780</v>
      </c>
      <c r="C976" s="263" t="s">
        <v>283</v>
      </c>
      <c r="D976" s="255" t="s">
        <v>283</v>
      </c>
      <c r="E976" s="256">
        <f>2367-E977</f>
        <v>2029.25</v>
      </c>
      <c r="F976" s="257"/>
      <c r="G976" s="258" t="str">
        <f>IFERROR(VLOOKUP(D976,#REF!,2,FALSE),"_")</f>
        <v>_</v>
      </c>
      <c r="H976" s="259"/>
      <c r="I976" s="541">
        <f t="shared" si="14"/>
        <v>126745.83</v>
      </c>
      <c r="K976" s="243"/>
    </row>
    <row r="977" spans="2:11" ht="17" customHeight="1">
      <c r="B977" s="253">
        <v>45780</v>
      </c>
      <c r="C977" s="263" t="s">
        <v>283</v>
      </c>
      <c r="D977" s="255" t="s">
        <v>508</v>
      </c>
      <c r="E977" s="256">
        <v>337.75</v>
      </c>
      <c r="F977" s="257"/>
      <c r="G977" s="258" t="str">
        <f>IFERROR(VLOOKUP(D977,#REF!,2,FALSE),"_")</f>
        <v>_</v>
      </c>
      <c r="H977" s="259"/>
      <c r="I977" s="541">
        <f t="shared" si="14"/>
        <v>127083.58</v>
      </c>
      <c r="K977" s="243"/>
    </row>
    <row r="978" spans="2:11" ht="17" customHeight="1">
      <c r="B978" s="253">
        <v>45781</v>
      </c>
      <c r="C978" s="263" t="s">
        <v>513</v>
      </c>
      <c r="D978" s="261" t="s">
        <v>688</v>
      </c>
      <c r="E978" s="256"/>
      <c r="F978" s="257">
        <v>90</v>
      </c>
      <c r="G978" s="258" t="s">
        <v>248</v>
      </c>
      <c r="H978" s="259"/>
      <c r="I978" s="541">
        <f t="shared" ref="I978:I1041" si="16">I977+E978-F978</f>
        <v>126993.58</v>
      </c>
      <c r="K978" s="243"/>
    </row>
    <row r="979" spans="2:11" ht="17" customHeight="1">
      <c r="B979" s="253">
        <v>45781</v>
      </c>
      <c r="C979" s="263" t="s">
        <v>513</v>
      </c>
      <c r="D979" s="255" t="s">
        <v>576</v>
      </c>
      <c r="E979" s="256"/>
      <c r="F979" s="257">
        <v>50</v>
      </c>
      <c r="G979" s="258" t="s">
        <v>248</v>
      </c>
      <c r="H979" s="259"/>
      <c r="I979" s="541">
        <f t="shared" si="16"/>
        <v>126943.58</v>
      </c>
      <c r="K979" s="243"/>
    </row>
    <row r="980" spans="2:11" ht="17" customHeight="1">
      <c r="B980" s="253">
        <v>45781</v>
      </c>
      <c r="C980" s="263" t="s">
        <v>283</v>
      </c>
      <c r="D980" s="255" t="s">
        <v>283</v>
      </c>
      <c r="E980" s="256">
        <f>1690-E981</f>
        <v>1492.8</v>
      </c>
      <c r="F980" s="257"/>
      <c r="G980" s="258" t="str">
        <f>IFERROR(VLOOKUP(D980,#REF!,2,FALSE),"_")</f>
        <v>_</v>
      </c>
      <c r="H980" s="259"/>
      <c r="I980" s="541">
        <f t="shared" si="16"/>
        <v>128436.38</v>
      </c>
      <c r="K980" s="243"/>
    </row>
    <row r="981" spans="2:11" ht="17" customHeight="1">
      <c r="B981" s="253">
        <v>45781</v>
      </c>
      <c r="C981" s="263" t="s">
        <v>283</v>
      </c>
      <c r="D981" s="255" t="s">
        <v>508</v>
      </c>
      <c r="E981" s="256">
        <v>197.2</v>
      </c>
      <c r="F981" s="257"/>
      <c r="G981" s="258" t="str">
        <f>IFERROR(VLOOKUP(D981,#REF!,2,FALSE),"_")</f>
        <v>_</v>
      </c>
      <c r="H981" s="259"/>
      <c r="I981" s="541">
        <f t="shared" si="16"/>
        <v>128633.58</v>
      </c>
      <c r="K981" s="243"/>
    </row>
    <row r="982" spans="2:11" ht="17" customHeight="1">
      <c r="B982" s="253">
        <v>45782</v>
      </c>
      <c r="C982" s="263" t="s">
        <v>286</v>
      </c>
      <c r="D982" s="261" t="s">
        <v>520</v>
      </c>
      <c r="E982" s="256"/>
      <c r="F982" s="257">
        <v>1000</v>
      </c>
      <c r="G982" s="258" t="s">
        <v>139</v>
      </c>
      <c r="H982" s="259"/>
      <c r="I982" s="541">
        <f t="shared" si="16"/>
        <v>127633.58</v>
      </c>
      <c r="K982" s="243"/>
    </row>
    <row r="983" spans="2:11" ht="17" customHeight="1">
      <c r="B983" s="253">
        <v>45782</v>
      </c>
      <c r="C983" s="263" t="s">
        <v>737</v>
      </c>
      <c r="D983" s="255" t="s">
        <v>666</v>
      </c>
      <c r="E983" s="256"/>
      <c r="F983" s="257">
        <v>40.020000000000003</v>
      </c>
      <c r="G983" s="258" t="s">
        <v>208</v>
      </c>
      <c r="H983" s="259"/>
      <c r="I983" s="541">
        <f t="shared" si="16"/>
        <v>127593.56</v>
      </c>
      <c r="K983" s="243"/>
    </row>
    <row r="984" spans="2:11" ht="17" customHeight="1">
      <c r="B984" s="253">
        <v>45782</v>
      </c>
      <c r="C984" s="263" t="s">
        <v>737</v>
      </c>
      <c r="D984" s="261" t="s">
        <v>666</v>
      </c>
      <c r="E984" s="256"/>
      <c r="F984" s="257">
        <v>8.82</v>
      </c>
      <c r="G984" s="258" t="s">
        <v>274</v>
      </c>
      <c r="H984" s="259"/>
      <c r="I984" s="541">
        <f t="shared" si="16"/>
        <v>127584.73999999999</v>
      </c>
      <c r="K984" s="243"/>
    </row>
    <row r="985" spans="2:11" ht="17" customHeight="1">
      <c r="B985" s="253">
        <v>45782</v>
      </c>
      <c r="C985" s="263" t="s">
        <v>738</v>
      </c>
      <c r="D985" s="255" t="s">
        <v>646</v>
      </c>
      <c r="E985" s="256"/>
      <c r="F985" s="257">
        <v>21.44</v>
      </c>
      <c r="G985" s="258" t="s">
        <v>205</v>
      </c>
      <c r="H985" s="259"/>
      <c r="I985" s="541">
        <f t="shared" si="16"/>
        <v>127563.29999999999</v>
      </c>
      <c r="K985" s="243"/>
    </row>
    <row r="986" spans="2:11" ht="17" customHeight="1">
      <c r="B986" s="253">
        <v>45782</v>
      </c>
      <c r="C986" s="263" t="s">
        <v>738</v>
      </c>
      <c r="D986" s="255" t="s">
        <v>646</v>
      </c>
      <c r="E986" s="256"/>
      <c r="F986" s="257">
        <v>4.72</v>
      </c>
      <c r="G986" s="258" t="s">
        <v>274</v>
      </c>
      <c r="H986" s="259"/>
      <c r="I986" s="541">
        <f t="shared" si="16"/>
        <v>127558.57999999999</v>
      </c>
      <c r="K986" s="243"/>
    </row>
    <row r="987" spans="2:11" ht="17" customHeight="1">
      <c r="B987" s="253">
        <v>45782</v>
      </c>
      <c r="C987" s="263" t="s">
        <v>283</v>
      </c>
      <c r="D987" s="255" t="s">
        <v>283</v>
      </c>
      <c r="E987" s="256">
        <f>110-E988</f>
        <v>37.5</v>
      </c>
      <c r="F987" s="257"/>
      <c r="G987" s="258" t="str">
        <f>IFERROR(VLOOKUP(D987,#REF!,2,FALSE),"_")</f>
        <v>_</v>
      </c>
      <c r="H987" s="259"/>
      <c r="I987" s="541">
        <f t="shared" si="16"/>
        <v>127596.07999999999</v>
      </c>
      <c r="K987" s="243"/>
    </row>
    <row r="988" spans="2:11" ht="17" customHeight="1">
      <c r="B988" s="253">
        <v>45782</v>
      </c>
      <c r="C988" s="263" t="s">
        <v>283</v>
      </c>
      <c r="D988" s="255" t="s">
        <v>508</v>
      </c>
      <c r="E988" s="256">
        <v>72.5</v>
      </c>
      <c r="F988" s="257"/>
      <c r="G988" s="258" t="str">
        <f>IFERROR(VLOOKUP(D988,#REF!,2,FALSE),"_")</f>
        <v>_</v>
      </c>
      <c r="H988" s="259"/>
      <c r="I988" s="541">
        <f t="shared" si="16"/>
        <v>127668.57999999999</v>
      </c>
      <c r="K988" s="243"/>
    </row>
    <row r="989" spans="2:11" ht="17" customHeight="1">
      <c r="B989" s="253">
        <v>45782</v>
      </c>
      <c r="C989" s="263" t="s">
        <v>283</v>
      </c>
      <c r="D989" s="255" t="s">
        <v>283</v>
      </c>
      <c r="E989" s="256">
        <v>200</v>
      </c>
      <c r="F989" s="257"/>
      <c r="G989" s="258" t="str">
        <f>IFERROR(VLOOKUP(D989,#REF!,2,FALSE),"_")</f>
        <v>_</v>
      </c>
      <c r="H989" s="259" t="s">
        <v>739</v>
      </c>
      <c r="I989" s="541">
        <f t="shared" si="16"/>
        <v>127868.57999999999</v>
      </c>
      <c r="K989" s="243"/>
    </row>
    <row r="990" spans="2:11" ht="17" customHeight="1">
      <c r="B990" s="253">
        <v>45783</v>
      </c>
      <c r="C990" s="263" t="s">
        <v>117</v>
      </c>
      <c r="D990" s="261" t="s">
        <v>516</v>
      </c>
      <c r="E990" s="256"/>
      <c r="F990" s="257">
        <v>246</v>
      </c>
      <c r="G990" s="258" t="s">
        <v>201</v>
      </c>
      <c r="H990" s="259"/>
      <c r="I990" s="541">
        <f t="shared" si="16"/>
        <v>127622.57999999999</v>
      </c>
      <c r="K990" s="243"/>
    </row>
    <row r="991" spans="2:11" ht="17" customHeight="1">
      <c r="B991" s="253">
        <v>45783</v>
      </c>
      <c r="C991" s="263" t="s">
        <v>513</v>
      </c>
      <c r="D991" s="255" t="s">
        <v>576</v>
      </c>
      <c r="E991" s="256"/>
      <c r="F991" s="257">
        <v>55</v>
      </c>
      <c r="G991" s="258" t="s">
        <v>248</v>
      </c>
      <c r="H991" s="259"/>
      <c r="I991" s="541">
        <f t="shared" si="16"/>
        <v>127567.57999999999</v>
      </c>
      <c r="K991" s="243"/>
    </row>
    <row r="992" spans="2:11" ht="17" customHeight="1">
      <c r="B992" s="253">
        <v>45783</v>
      </c>
      <c r="C992" s="263" t="s">
        <v>283</v>
      </c>
      <c r="D992" s="255" t="s">
        <v>283</v>
      </c>
      <c r="E992" s="256">
        <v>605.5</v>
      </c>
      <c r="F992" s="257"/>
      <c r="G992" s="258" t="str">
        <f>IFERROR(VLOOKUP(D992,#REF!,2,FALSE),"_")</f>
        <v>_</v>
      </c>
      <c r="H992" s="259"/>
      <c r="I992" s="541">
        <f t="shared" si="16"/>
        <v>128173.07999999999</v>
      </c>
      <c r="K992" s="243"/>
    </row>
    <row r="993" spans="2:11" ht="17" customHeight="1">
      <c r="B993" s="253">
        <v>45783</v>
      </c>
      <c r="C993" s="263" t="s">
        <v>283</v>
      </c>
      <c r="D993" s="255" t="s">
        <v>508</v>
      </c>
      <c r="E993" s="256">
        <v>67.67</v>
      </c>
      <c r="F993" s="257"/>
      <c r="G993" s="258" t="str">
        <f>IFERROR(VLOOKUP(D993,#REF!,2,FALSE),"_")</f>
        <v>_</v>
      </c>
      <c r="H993" s="259"/>
      <c r="I993" s="541">
        <f t="shared" si="16"/>
        <v>128240.74999999999</v>
      </c>
      <c r="K993" s="243"/>
    </row>
    <row r="994" spans="2:11" ht="17" customHeight="1">
      <c r="B994" s="253">
        <v>45784</v>
      </c>
      <c r="C994" s="263" t="s">
        <v>513</v>
      </c>
      <c r="D994" s="255" t="s">
        <v>576</v>
      </c>
      <c r="E994" s="256"/>
      <c r="F994" s="257">
        <v>60</v>
      </c>
      <c r="G994" s="258" t="s">
        <v>248</v>
      </c>
      <c r="H994" s="259"/>
      <c r="I994" s="541">
        <f t="shared" si="16"/>
        <v>128180.74999999999</v>
      </c>
      <c r="K994" s="243"/>
    </row>
    <row r="995" spans="2:11" ht="17" customHeight="1">
      <c r="B995" s="253">
        <v>45784</v>
      </c>
      <c r="C995" s="263" t="s">
        <v>286</v>
      </c>
      <c r="D995" s="255" t="s">
        <v>520</v>
      </c>
      <c r="E995" s="256"/>
      <c r="F995" s="257">
        <v>35</v>
      </c>
      <c r="G995" s="258" t="s">
        <v>139</v>
      </c>
      <c r="H995" s="259"/>
      <c r="I995" s="541">
        <f t="shared" si="16"/>
        <v>128145.74999999999</v>
      </c>
      <c r="K995" s="243"/>
    </row>
    <row r="996" spans="2:11" ht="17" customHeight="1">
      <c r="B996" s="253">
        <v>45784</v>
      </c>
      <c r="C996" s="263" t="s">
        <v>283</v>
      </c>
      <c r="D996" s="255" t="s">
        <v>283</v>
      </c>
      <c r="E996" s="256">
        <f>485-E997</f>
        <v>436.24</v>
      </c>
      <c r="F996" s="257"/>
      <c r="G996" s="258" t="str">
        <f>IFERROR(VLOOKUP(D996,#REF!,2,FALSE),"_")</f>
        <v>_</v>
      </c>
      <c r="H996" s="259"/>
      <c r="I996" s="541">
        <f t="shared" si="16"/>
        <v>128581.98999999999</v>
      </c>
      <c r="K996" s="243"/>
    </row>
    <row r="997" spans="2:11" ht="17" customHeight="1">
      <c r="B997" s="253">
        <v>45784</v>
      </c>
      <c r="C997" s="263" t="s">
        <v>283</v>
      </c>
      <c r="D997" s="255" t="s">
        <v>508</v>
      </c>
      <c r="E997" s="256">
        <v>48.76</v>
      </c>
      <c r="F997" s="257"/>
      <c r="G997" s="258" t="str">
        <f>IFERROR(VLOOKUP(D997,#REF!,2,FALSE),"_")</f>
        <v>_</v>
      </c>
      <c r="H997" s="259"/>
      <c r="I997" s="541">
        <f t="shared" si="16"/>
        <v>128630.74999999999</v>
      </c>
      <c r="K997" s="243"/>
    </row>
    <row r="998" spans="2:11" ht="17" customHeight="1">
      <c r="B998" s="253">
        <v>45785</v>
      </c>
      <c r="C998" s="263" t="s">
        <v>740</v>
      </c>
      <c r="D998" s="255" t="s">
        <v>741</v>
      </c>
      <c r="E998" s="256"/>
      <c r="F998" s="257">
        <v>125.33</v>
      </c>
      <c r="G998" s="258" t="s">
        <v>208</v>
      </c>
      <c r="H998" s="259"/>
      <c r="I998" s="541">
        <f t="shared" si="16"/>
        <v>128505.41999999998</v>
      </c>
      <c r="K998" s="243"/>
    </row>
    <row r="999" spans="2:11" ht="17" customHeight="1">
      <c r="B999" s="253">
        <v>45785</v>
      </c>
      <c r="C999" s="263" t="s">
        <v>740</v>
      </c>
      <c r="D999" s="255" t="s">
        <v>741</v>
      </c>
      <c r="E999" s="256"/>
      <c r="F999" s="257">
        <v>27.57</v>
      </c>
      <c r="G999" s="258" t="s">
        <v>274</v>
      </c>
      <c r="H999" s="259"/>
      <c r="I999" s="541">
        <f t="shared" si="16"/>
        <v>128477.84999999998</v>
      </c>
      <c r="K999" s="243"/>
    </row>
    <row r="1000" spans="2:11" ht="17" customHeight="1">
      <c r="B1000" s="253">
        <v>45785</v>
      </c>
      <c r="C1000" s="532" t="s">
        <v>117</v>
      </c>
      <c r="D1000" s="514" t="s">
        <v>306</v>
      </c>
      <c r="E1000" s="515"/>
      <c r="F1000" s="516">
        <v>1098.46</v>
      </c>
      <c r="G1000" s="509"/>
      <c r="H1000" s="607" t="s">
        <v>742</v>
      </c>
      <c r="I1000" s="541">
        <f t="shared" si="16"/>
        <v>127379.38999999997</v>
      </c>
      <c r="K1000" s="243"/>
    </row>
    <row r="1001" spans="2:11" ht="17" customHeight="1">
      <c r="B1001" s="253">
        <v>45785</v>
      </c>
      <c r="C1001" s="532" t="s">
        <v>117</v>
      </c>
      <c r="D1001" s="514" t="s">
        <v>306</v>
      </c>
      <c r="E1001" s="515">
        <v>416.26</v>
      </c>
      <c r="F1001" s="516"/>
      <c r="G1001" s="509"/>
      <c r="H1001" s="607" t="s">
        <v>742</v>
      </c>
      <c r="I1001" s="541">
        <f t="shared" si="16"/>
        <v>127795.64999999997</v>
      </c>
      <c r="K1001" s="243"/>
    </row>
    <row r="1002" spans="2:11" ht="17" customHeight="1">
      <c r="B1002" s="253">
        <v>45785</v>
      </c>
      <c r="C1002" s="497" t="s">
        <v>117</v>
      </c>
      <c r="D1002" s="498" t="s">
        <v>306</v>
      </c>
      <c r="E1002" s="499"/>
      <c r="F1002" s="500">
        <v>22.89</v>
      </c>
      <c r="G1002" s="501"/>
      <c r="H1002" s="607" t="s">
        <v>742</v>
      </c>
      <c r="I1002" s="541">
        <f t="shared" si="16"/>
        <v>127772.75999999997</v>
      </c>
      <c r="K1002" s="243"/>
    </row>
    <row r="1003" spans="2:11" ht="17" customHeight="1">
      <c r="B1003" s="253">
        <v>45785</v>
      </c>
      <c r="C1003" s="263" t="s">
        <v>117</v>
      </c>
      <c r="D1003" s="255" t="s">
        <v>306</v>
      </c>
      <c r="E1003" s="256"/>
      <c r="F1003" s="257">
        <v>233.98</v>
      </c>
      <c r="G1003" s="501" t="s">
        <v>194</v>
      </c>
      <c r="H1003" s="259"/>
      <c r="I1003" s="541">
        <f t="shared" si="16"/>
        <v>127538.77999999997</v>
      </c>
      <c r="K1003" s="243"/>
    </row>
    <row r="1004" spans="2:11" ht="17" customHeight="1">
      <c r="B1004" s="253">
        <v>45785</v>
      </c>
      <c r="C1004" s="263" t="s">
        <v>283</v>
      </c>
      <c r="D1004" s="255" t="s">
        <v>283</v>
      </c>
      <c r="E1004" s="256">
        <f>493.4-E1005</f>
        <v>422.53</v>
      </c>
      <c r="F1004" s="257"/>
      <c r="G1004" s="258" t="str">
        <f>IFERROR(VLOOKUP(D1004,#REF!,2,FALSE),"_")</f>
        <v>_</v>
      </c>
      <c r="H1004" s="259"/>
      <c r="I1004" s="541">
        <f t="shared" si="16"/>
        <v>127961.30999999997</v>
      </c>
      <c r="K1004" s="243"/>
    </row>
    <row r="1005" spans="2:11" ht="17" customHeight="1">
      <c r="B1005" s="253">
        <v>45785</v>
      </c>
      <c r="C1005" s="263" t="s">
        <v>283</v>
      </c>
      <c r="D1005" s="255" t="s">
        <v>508</v>
      </c>
      <c r="E1005" s="256">
        <v>70.87</v>
      </c>
      <c r="F1005" s="257"/>
      <c r="G1005" s="258" t="str">
        <f>IFERROR(VLOOKUP(D1005,#REF!,2,FALSE),"_")</f>
        <v>_</v>
      </c>
      <c r="H1005" s="259"/>
      <c r="I1005" s="541">
        <f t="shared" si="16"/>
        <v>128032.17999999996</v>
      </c>
      <c r="K1005" s="243"/>
    </row>
    <row r="1006" spans="2:11" ht="17" customHeight="1">
      <c r="B1006" s="253">
        <v>45786</v>
      </c>
      <c r="C1006" s="263" t="s">
        <v>117</v>
      </c>
      <c r="D1006" s="255" t="s">
        <v>743</v>
      </c>
      <c r="E1006" s="256">
        <v>95</v>
      </c>
      <c r="F1006" s="257"/>
      <c r="G1006" s="501" t="s">
        <v>216</v>
      </c>
      <c r="H1006" s="259"/>
      <c r="I1006" s="541">
        <f t="shared" si="16"/>
        <v>128127.17999999996</v>
      </c>
      <c r="K1006" s="243"/>
    </row>
    <row r="1007" spans="2:11" ht="17" customHeight="1">
      <c r="B1007" s="253">
        <v>45786</v>
      </c>
      <c r="C1007" s="263" t="s">
        <v>117</v>
      </c>
      <c r="D1007" s="255" t="s">
        <v>744</v>
      </c>
      <c r="E1007" s="256">
        <v>35</v>
      </c>
      <c r="F1007" s="257"/>
      <c r="G1007" s="258" t="s">
        <v>199</v>
      </c>
      <c r="H1007" s="259" t="s">
        <v>745</v>
      </c>
      <c r="I1007" s="541">
        <f t="shared" si="16"/>
        <v>128162.17999999996</v>
      </c>
      <c r="K1007" s="243"/>
    </row>
    <row r="1008" spans="2:11" ht="17" customHeight="1">
      <c r="B1008" s="253">
        <v>45786</v>
      </c>
      <c r="C1008" s="263" t="s">
        <v>746</v>
      </c>
      <c r="D1008" s="255" t="s">
        <v>512</v>
      </c>
      <c r="E1008" s="256"/>
      <c r="F1008" s="257">
        <f>27.6-1.06</f>
        <v>26.540000000000003</v>
      </c>
      <c r="G1008" s="258" t="s">
        <v>199</v>
      </c>
      <c r="H1008" s="259"/>
      <c r="I1008" s="541">
        <f t="shared" si="16"/>
        <v>128135.63999999997</v>
      </c>
      <c r="K1008" s="243"/>
    </row>
    <row r="1009" spans="2:11" ht="17" customHeight="1">
      <c r="B1009" s="253">
        <v>45786</v>
      </c>
      <c r="C1009" s="263" t="s">
        <v>746</v>
      </c>
      <c r="D1009" s="255" t="s">
        <v>512</v>
      </c>
      <c r="E1009" s="256"/>
      <c r="F1009" s="257">
        <v>1.06</v>
      </c>
      <c r="G1009" s="258" t="s">
        <v>274</v>
      </c>
      <c r="H1009" s="259"/>
      <c r="I1009" s="541">
        <f t="shared" si="16"/>
        <v>128134.57999999997</v>
      </c>
      <c r="K1009" s="243"/>
    </row>
    <row r="1010" spans="2:11" ht="17" customHeight="1">
      <c r="B1010" s="253">
        <v>45786</v>
      </c>
      <c r="C1010" s="263" t="s">
        <v>117</v>
      </c>
      <c r="D1010" s="255" t="s">
        <v>747</v>
      </c>
      <c r="E1010" s="256">
        <v>100</v>
      </c>
      <c r="F1010" s="257"/>
      <c r="G1010" s="258" t="s">
        <v>195</v>
      </c>
      <c r="H1010" s="259"/>
      <c r="I1010" s="541">
        <f t="shared" si="16"/>
        <v>128234.57999999997</v>
      </c>
      <c r="K1010" s="243"/>
    </row>
    <row r="1011" spans="2:11" ht="17" customHeight="1">
      <c r="B1011" s="253">
        <v>45786</v>
      </c>
      <c r="C1011" s="263" t="s">
        <v>283</v>
      </c>
      <c r="D1011" s="255" t="s">
        <v>283</v>
      </c>
      <c r="E1011" s="256">
        <f>1543.1-E1012</f>
        <v>1362.8899999999999</v>
      </c>
      <c r="F1011" s="257"/>
      <c r="G1011" s="258" t="str">
        <f>IFERROR(VLOOKUP(D1011,#REF!,2,FALSE),"_")</f>
        <v>_</v>
      </c>
      <c r="H1011" s="259"/>
      <c r="I1011" s="541">
        <f t="shared" si="16"/>
        <v>129597.46999999997</v>
      </c>
      <c r="K1011" s="243"/>
    </row>
    <row r="1012" spans="2:11" ht="17" customHeight="1">
      <c r="B1012" s="253">
        <v>45786</v>
      </c>
      <c r="C1012" s="263" t="s">
        <v>283</v>
      </c>
      <c r="D1012" s="255" t="s">
        <v>508</v>
      </c>
      <c r="E1012" s="256">
        <v>180.21</v>
      </c>
      <c r="F1012" s="257"/>
      <c r="G1012" s="258" t="str">
        <f>IFERROR(VLOOKUP(D1012,#REF!,2,FALSE),"_")</f>
        <v>_</v>
      </c>
      <c r="H1012" s="259"/>
      <c r="I1012" s="541">
        <f t="shared" si="16"/>
        <v>129777.67999999998</v>
      </c>
      <c r="K1012" s="243"/>
    </row>
    <row r="1013" spans="2:11" ht="17" customHeight="1">
      <c r="B1013" s="253">
        <v>45787</v>
      </c>
      <c r="C1013" s="263" t="s">
        <v>117</v>
      </c>
      <c r="D1013" s="255" t="s">
        <v>549</v>
      </c>
      <c r="E1013" s="256"/>
      <c r="F1013" s="257">
        <v>15.5</v>
      </c>
      <c r="G1013" s="258" t="s">
        <v>256</v>
      </c>
      <c r="H1013" s="259"/>
      <c r="I1013" s="541">
        <f t="shared" si="16"/>
        <v>129762.17999999998</v>
      </c>
      <c r="K1013" s="243"/>
    </row>
    <row r="1014" spans="2:11" ht="17" customHeight="1">
      <c r="B1014" s="253">
        <v>45787</v>
      </c>
      <c r="C1014" s="263" t="s">
        <v>117</v>
      </c>
      <c r="D1014" s="255" t="s">
        <v>543</v>
      </c>
      <c r="E1014" s="256"/>
      <c r="F1014" s="257">
        <v>80</v>
      </c>
      <c r="G1014" s="258" t="s">
        <v>234</v>
      </c>
      <c r="H1014" s="259"/>
      <c r="I1014" s="541">
        <f t="shared" si="16"/>
        <v>129682.17999999998</v>
      </c>
      <c r="K1014" s="243"/>
    </row>
    <row r="1015" spans="2:11" ht="17" customHeight="1">
      <c r="B1015" s="253">
        <v>45787</v>
      </c>
      <c r="C1015" s="263" t="s">
        <v>283</v>
      </c>
      <c r="D1015" s="255" t="s">
        <v>283</v>
      </c>
      <c r="E1015" s="256">
        <f>3202-E1016</f>
        <v>2704.79</v>
      </c>
      <c r="F1015" s="257"/>
      <c r="G1015" s="258" t="str">
        <f>IFERROR(VLOOKUP(D1015,#REF!,2,FALSE),"_")</f>
        <v>_</v>
      </c>
      <c r="H1015" s="259"/>
      <c r="I1015" s="541">
        <f t="shared" si="16"/>
        <v>132386.96999999997</v>
      </c>
      <c r="K1015" s="243"/>
    </row>
    <row r="1016" spans="2:11" ht="17" customHeight="1">
      <c r="B1016" s="253">
        <v>45787</v>
      </c>
      <c r="C1016" s="263" t="s">
        <v>283</v>
      </c>
      <c r="D1016" s="255" t="s">
        <v>508</v>
      </c>
      <c r="E1016" s="256">
        <v>497.21</v>
      </c>
      <c r="F1016" s="257"/>
      <c r="G1016" s="258" t="str">
        <f>IFERROR(VLOOKUP(D1016,#REF!,2,FALSE),"_")</f>
        <v>_</v>
      </c>
      <c r="H1016" s="259"/>
      <c r="I1016" s="541">
        <f t="shared" si="16"/>
        <v>132884.17999999996</v>
      </c>
      <c r="K1016" s="243"/>
    </row>
    <row r="1017" spans="2:11" ht="17" customHeight="1">
      <c r="B1017" s="253">
        <v>45788</v>
      </c>
      <c r="C1017" s="263" t="s">
        <v>513</v>
      </c>
      <c r="D1017" s="255" t="s">
        <v>576</v>
      </c>
      <c r="E1017" s="256"/>
      <c r="F1017" s="257">
        <v>80</v>
      </c>
      <c r="G1017" s="258" t="s">
        <v>248</v>
      </c>
      <c r="H1017" s="259"/>
      <c r="I1017" s="541">
        <f t="shared" si="16"/>
        <v>132804.17999999996</v>
      </c>
      <c r="K1017" s="243"/>
    </row>
    <row r="1018" spans="2:11" ht="17" customHeight="1">
      <c r="B1018" s="253">
        <v>45788</v>
      </c>
      <c r="C1018" s="263" t="s">
        <v>286</v>
      </c>
      <c r="D1018" s="255" t="s">
        <v>520</v>
      </c>
      <c r="E1018" s="256"/>
      <c r="F1018" s="257">
        <v>82.4</v>
      </c>
      <c r="G1018" s="258" t="s">
        <v>139</v>
      </c>
      <c r="H1018" s="259"/>
      <c r="I1018" s="541">
        <f t="shared" si="16"/>
        <v>132721.77999999997</v>
      </c>
      <c r="K1018" s="243"/>
    </row>
    <row r="1019" spans="2:11" ht="17" customHeight="1">
      <c r="B1019" s="253">
        <v>45788</v>
      </c>
      <c r="C1019" s="263" t="s">
        <v>283</v>
      </c>
      <c r="D1019" s="255" t="s">
        <v>283</v>
      </c>
      <c r="E1019" s="256">
        <f>1493.5-E1020</f>
        <v>1273.6500000000001</v>
      </c>
      <c r="F1019" s="257"/>
      <c r="G1019" s="258" t="str">
        <f>IFERROR(VLOOKUP(D1019,#REF!,2,FALSE),"_")</f>
        <v>_</v>
      </c>
      <c r="H1019" s="259"/>
      <c r="I1019" s="541">
        <f t="shared" si="16"/>
        <v>133995.42999999996</v>
      </c>
      <c r="K1019" s="243"/>
    </row>
    <row r="1020" spans="2:11" ht="17" customHeight="1">
      <c r="B1020" s="253">
        <v>45788</v>
      </c>
      <c r="C1020" s="263" t="s">
        <v>283</v>
      </c>
      <c r="D1020" s="255" t="s">
        <v>508</v>
      </c>
      <c r="E1020" s="256">
        <v>219.85</v>
      </c>
      <c r="F1020" s="257"/>
      <c r="G1020" s="258" t="str">
        <f>IFERROR(VLOOKUP(D1020,#REF!,2,FALSE),"_")</f>
        <v>_</v>
      </c>
      <c r="H1020" s="259"/>
      <c r="I1020" s="541">
        <f t="shared" si="16"/>
        <v>134215.27999999997</v>
      </c>
      <c r="K1020" s="243"/>
    </row>
    <row r="1021" spans="2:11" ht="17" customHeight="1">
      <c r="B1021" s="253">
        <v>45789</v>
      </c>
      <c r="C1021" s="263" t="s">
        <v>283</v>
      </c>
      <c r="D1021" s="255" t="s">
        <v>283</v>
      </c>
      <c r="E1021" s="256">
        <f>340.2-E1022</f>
        <v>304.25</v>
      </c>
      <c r="F1021" s="257"/>
      <c r="G1021" s="258" t="str">
        <f>IFERROR(VLOOKUP(D1021,#REF!,2,FALSE),"_")</f>
        <v>_</v>
      </c>
      <c r="H1021" s="259"/>
      <c r="I1021" s="541">
        <f t="shared" si="16"/>
        <v>134519.52999999997</v>
      </c>
      <c r="K1021" s="243"/>
    </row>
    <row r="1022" spans="2:11" ht="17" customHeight="1">
      <c r="B1022" s="253">
        <v>45789</v>
      </c>
      <c r="C1022" s="263" t="s">
        <v>283</v>
      </c>
      <c r="D1022" s="255" t="s">
        <v>508</v>
      </c>
      <c r="E1022" s="256">
        <v>35.950000000000003</v>
      </c>
      <c r="F1022" s="257"/>
      <c r="G1022" s="258" t="str">
        <f>IFERROR(VLOOKUP(D1022,#REF!,2,FALSE),"_")</f>
        <v>_</v>
      </c>
      <c r="H1022" s="259"/>
      <c r="I1022" s="541">
        <f t="shared" si="16"/>
        <v>134555.47999999998</v>
      </c>
      <c r="K1022" s="243"/>
    </row>
    <row r="1023" spans="2:11" ht="17" customHeight="1">
      <c r="B1023" s="253">
        <v>45790</v>
      </c>
      <c r="C1023" s="263" t="s">
        <v>513</v>
      </c>
      <c r="D1023" s="255" t="s">
        <v>563</v>
      </c>
      <c r="E1023" s="256"/>
      <c r="F1023" s="257">
        <v>217.5</v>
      </c>
      <c r="G1023" s="258" t="s">
        <v>249</v>
      </c>
      <c r="H1023" s="259"/>
      <c r="I1023" s="541">
        <f t="shared" si="16"/>
        <v>134337.97999999998</v>
      </c>
      <c r="K1023" s="243"/>
    </row>
    <row r="1024" spans="2:11" ht="17" customHeight="1">
      <c r="B1024" s="253">
        <v>45790</v>
      </c>
      <c r="C1024" s="263" t="s">
        <v>117</v>
      </c>
      <c r="D1024" s="255" t="s">
        <v>361</v>
      </c>
      <c r="E1024" s="256"/>
      <c r="F1024" s="257">
        <v>111.1</v>
      </c>
      <c r="G1024" s="258" t="s">
        <v>199</v>
      </c>
      <c r="H1024" s="259"/>
      <c r="I1024" s="541">
        <f t="shared" si="16"/>
        <v>134226.87999999998</v>
      </c>
      <c r="K1024" s="243"/>
    </row>
    <row r="1025" spans="2:11" ht="17" customHeight="1">
      <c r="B1025" s="253">
        <v>45790</v>
      </c>
      <c r="C1025" s="263" t="s">
        <v>513</v>
      </c>
      <c r="D1025" s="255" t="s">
        <v>576</v>
      </c>
      <c r="E1025" s="256"/>
      <c r="F1025" s="257">
        <v>70</v>
      </c>
      <c r="G1025" s="258" t="s">
        <v>248</v>
      </c>
      <c r="H1025" s="259"/>
      <c r="I1025" s="541">
        <f t="shared" si="16"/>
        <v>134156.87999999998</v>
      </c>
      <c r="K1025" s="243"/>
    </row>
    <row r="1026" spans="2:11" ht="17" customHeight="1">
      <c r="B1026" s="253">
        <v>45790</v>
      </c>
      <c r="C1026" s="263" t="s">
        <v>117</v>
      </c>
      <c r="D1026" s="255" t="s">
        <v>516</v>
      </c>
      <c r="E1026" s="256"/>
      <c r="F1026" s="257">
        <v>37</v>
      </c>
      <c r="G1026" s="258" t="s">
        <v>201</v>
      </c>
      <c r="H1026" s="259"/>
      <c r="I1026" s="541">
        <f t="shared" si="16"/>
        <v>134119.87999999998</v>
      </c>
      <c r="K1026" s="243"/>
    </row>
    <row r="1027" spans="2:11" ht="17" customHeight="1">
      <c r="B1027" s="253">
        <v>45790</v>
      </c>
      <c r="C1027" s="263" t="s">
        <v>286</v>
      </c>
      <c r="D1027" s="255" t="s">
        <v>520</v>
      </c>
      <c r="E1027" s="256"/>
      <c r="F1027" s="257">
        <v>35</v>
      </c>
      <c r="G1027" s="258" t="s">
        <v>139</v>
      </c>
      <c r="H1027" s="259"/>
      <c r="I1027" s="541">
        <f t="shared" si="16"/>
        <v>134084.87999999998</v>
      </c>
      <c r="K1027" s="243"/>
    </row>
    <row r="1028" spans="2:11" ht="17" customHeight="1">
      <c r="B1028" s="253">
        <v>45790</v>
      </c>
      <c r="C1028" s="263" t="s">
        <v>283</v>
      </c>
      <c r="D1028" s="255" t="s">
        <v>283</v>
      </c>
      <c r="E1028" s="256">
        <f>725.6-E1029</f>
        <v>639.80000000000007</v>
      </c>
      <c r="F1028" s="257"/>
      <c r="G1028" s="258" t="str">
        <f>IFERROR(VLOOKUP(D1028,#REF!,2,FALSE),"_")</f>
        <v>_</v>
      </c>
      <c r="H1028" s="259"/>
      <c r="I1028" s="541">
        <f t="shared" si="16"/>
        <v>134724.67999999996</v>
      </c>
      <c r="K1028" s="243"/>
    </row>
    <row r="1029" spans="2:11" ht="17" customHeight="1">
      <c r="B1029" s="253">
        <v>45790</v>
      </c>
      <c r="C1029" s="263" t="s">
        <v>283</v>
      </c>
      <c r="D1029" s="255" t="s">
        <v>508</v>
      </c>
      <c r="E1029" s="256">
        <v>85.8</v>
      </c>
      <c r="F1029" s="257"/>
      <c r="G1029" s="258" t="str">
        <f>IFERROR(VLOOKUP(D1029,#REF!,2,FALSE),"_")</f>
        <v>_</v>
      </c>
      <c r="H1029" s="259"/>
      <c r="I1029" s="541">
        <f t="shared" si="16"/>
        <v>134810.47999999995</v>
      </c>
      <c r="K1029" s="243"/>
    </row>
    <row r="1030" spans="2:11" ht="17" customHeight="1">
      <c r="B1030" s="253">
        <v>45791</v>
      </c>
      <c r="C1030" s="263" t="s">
        <v>513</v>
      </c>
      <c r="D1030" s="255" t="s">
        <v>576</v>
      </c>
      <c r="E1030" s="256"/>
      <c r="F1030" s="257">
        <v>70</v>
      </c>
      <c r="G1030" s="258" t="s">
        <v>248</v>
      </c>
      <c r="H1030" s="259"/>
      <c r="I1030" s="541">
        <f t="shared" si="16"/>
        <v>134740.47999999995</v>
      </c>
      <c r="K1030" s="243"/>
    </row>
    <row r="1031" spans="2:11" ht="17" customHeight="1">
      <c r="B1031" s="253">
        <v>45791</v>
      </c>
      <c r="C1031" s="263" t="s">
        <v>283</v>
      </c>
      <c r="D1031" s="255" t="s">
        <v>283</v>
      </c>
      <c r="E1031" s="256">
        <f>702.6-E1032</f>
        <v>618.02</v>
      </c>
      <c r="F1031" s="257"/>
      <c r="G1031" s="258" t="str">
        <f>IFERROR(VLOOKUP(D1031,#REF!,2,FALSE),"_")</f>
        <v>_</v>
      </c>
      <c r="H1031" s="259"/>
      <c r="I1031" s="541">
        <f t="shared" si="16"/>
        <v>135358.49999999994</v>
      </c>
      <c r="K1031" s="243"/>
    </row>
    <row r="1032" spans="2:11" ht="17" customHeight="1">
      <c r="B1032" s="253">
        <v>45791</v>
      </c>
      <c r="C1032" s="263" t="s">
        <v>283</v>
      </c>
      <c r="D1032" s="255" t="s">
        <v>508</v>
      </c>
      <c r="E1032" s="256">
        <v>84.58</v>
      </c>
      <c r="F1032" s="257"/>
      <c r="G1032" s="258" t="str">
        <f>IFERROR(VLOOKUP(D1032,#REF!,2,FALSE),"_")</f>
        <v>_</v>
      </c>
      <c r="H1032" s="259"/>
      <c r="I1032" s="541">
        <f t="shared" si="16"/>
        <v>135443.07999999993</v>
      </c>
      <c r="K1032" s="243"/>
    </row>
    <row r="1033" spans="2:11" ht="17" customHeight="1">
      <c r="B1033" s="253">
        <v>45792</v>
      </c>
      <c r="C1033" s="263" t="s">
        <v>117</v>
      </c>
      <c r="D1033" s="255" t="s">
        <v>748</v>
      </c>
      <c r="E1033" s="256">
        <v>215</v>
      </c>
      <c r="F1033" s="257"/>
      <c r="G1033" s="258" t="s">
        <v>194</v>
      </c>
      <c r="H1033" s="259" t="s">
        <v>749</v>
      </c>
      <c r="I1033" s="541">
        <f t="shared" si="16"/>
        <v>135658.07999999993</v>
      </c>
      <c r="K1033" s="243"/>
    </row>
    <row r="1034" spans="2:11" ht="17" customHeight="1">
      <c r="B1034" s="253">
        <v>45792</v>
      </c>
      <c r="C1034" s="263" t="s">
        <v>117</v>
      </c>
      <c r="D1034" s="255" t="s">
        <v>559</v>
      </c>
      <c r="E1034" s="256">
        <v>60</v>
      </c>
      <c r="F1034" s="257"/>
      <c r="G1034" s="258" t="s">
        <v>194</v>
      </c>
      <c r="H1034" s="259" t="s">
        <v>750</v>
      </c>
      <c r="I1034" s="541">
        <f t="shared" si="16"/>
        <v>135718.07999999993</v>
      </c>
      <c r="K1034" s="243"/>
    </row>
    <row r="1035" spans="2:11" ht="17" customHeight="1">
      <c r="B1035" s="253">
        <v>45792</v>
      </c>
      <c r="C1035" s="263" t="s">
        <v>117</v>
      </c>
      <c r="D1035" s="255" t="s">
        <v>394</v>
      </c>
      <c r="E1035" s="256"/>
      <c r="F1035" s="257">
        <v>264</v>
      </c>
      <c r="G1035" s="258" t="s">
        <v>199</v>
      </c>
      <c r="H1035" s="259"/>
      <c r="I1035" s="541">
        <f t="shared" si="16"/>
        <v>135454.07999999993</v>
      </c>
      <c r="K1035" s="243"/>
    </row>
    <row r="1036" spans="2:11" ht="17" customHeight="1">
      <c r="B1036" s="253">
        <v>45792</v>
      </c>
      <c r="C1036" s="263" t="s">
        <v>117</v>
      </c>
      <c r="D1036" s="255" t="s">
        <v>549</v>
      </c>
      <c r="E1036" s="256"/>
      <c r="F1036" s="257">
        <v>17.2</v>
      </c>
      <c r="G1036" s="258" t="s">
        <v>256</v>
      </c>
      <c r="H1036" s="259"/>
      <c r="I1036" s="541">
        <f t="shared" si="16"/>
        <v>135436.87999999992</v>
      </c>
      <c r="K1036" s="243"/>
    </row>
    <row r="1037" spans="2:11" ht="17" customHeight="1">
      <c r="B1037" s="253">
        <v>45792</v>
      </c>
      <c r="C1037" s="263" t="s">
        <v>283</v>
      </c>
      <c r="D1037" s="255" t="s">
        <v>283</v>
      </c>
      <c r="E1037" s="256">
        <f>602.2-E1038</f>
        <v>529.90000000000009</v>
      </c>
      <c r="F1037" s="257"/>
      <c r="G1037" s="258" t="str">
        <f>IFERROR(VLOOKUP(D1037,#REF!,2,FALSE),"_")</f>
        <v>_</v>
      </c>
      <c r="H1037" s="259"/>
      <c r="I1037" s="541">
        <f t="shared" si="16"/>
        <v>135966.77999999991</v>
      </c>
      <c r="K1037" s="243"/>
    </row>
    <row r="1038" spans="2:11" ht="17" customHeight="1">
      <c r="B1038" s="253">
        <v>45792</v>
      </c>
      <c r="C1038" s="263" t="s">
        <v>283</v>
      </c>
      <c r="D1038" s="255" t="s">
        <v>508</v>
      </c>
      <c r="E1038" s="256">
        <v>72.3</v>
      </c>
      <c r="F1038" s="257"/>
      <c r="G1038" s="258" t="str">
        <f>IFERROR(VLOOKUP(D1038,#REF!,2,FALSE),"_")</f>
        <v>_</v>
      </c>
      <c r="H1038" s="259"/>
      <c r="I1038" s="541">
        <f t="shared" si="16"/>
        <v>136039.0799999999</v>
      </c>
      <c r="K1038" s="243"/>
    </row>
    <row r="1039" spans="2:11" ht="17" customHeight="1">
      <c r="B1039" s="253">
        <v>45793</v>
      </c>
      <c r="C1039" s="263" t="s">
        <v>751</v>
      </c>
      <c r="D1039" s="255" t="s">
        <v>306</v>
      </c>
      <c r="E1039" s="256"/>
      <c r="F1039" s="257">
        <v>132.79</v>
      </c>
      <c r="G1039" s="258" t="s">
        <v>194</v>
      </c>
      <c r="H1039" s="259"/>
      <c r="I1039" s="541">
        <f t="shared" si="16"/>
        <v>135906.28999999989</v>
      </c>
      <c r="K1039" s="243"/>
    </row>
    <row r="1040" spans="2:11" ht="17" customHeight="1">
      <c r="B1040" s="253">
        <v>45793</v>
      </c>
      <c r="C1040" s="263" t="s">
        <v>751</v>
      </c>
      <c r="D1040" s="255" t="s">
        <v>306</v>
      </c>
      <c r="E1040" s="256"/>
      <c r="F1040" s="257">
        <v>29.21</v>
      </c>
      <c r="G1040" s="258" t="s">
        <v>274</v>
      </c>
      <c r="H1040" s="259"/>
      <c r="I1040" s="541">
        <f t="shared" si="16"/>
        <v>135877.0799999999</v>
      </c>
      <c r="K1040" s="243"/>
    </row>
    <row r="1041" spans="2:11" ht="17" customHeight="1">
      <c r="B1041" s="253">
        <v>45793</v>
      </c>
      <c r="C1041" s="263" t="s">
        <v>117</v>
      </c>
      <c r="D1041" s="255" t="s">
        <v>306</v>
      </c>
      <c r="E1041" s="256"/>
      <c r="F1041" s="257">
        <v>22.2</v>
      </c>
      <c r="G1041" s="258" t="s">
        <v>194</v>
      </c>
      <c r="H1041" s="259"/>
      <c r="I1041" s="541">
        <f t="shared" si="16"/>
        <v>135854.87999999989</v>
      </c>
      <c r="K1041" s="243"/>
    </row>
    <row r="1042" spans="2:11" ht="17" customHeight="1">
      <c r="B1042" s="253">
        <v>45793</v>
      </c>
      <c r="C1042" s="263" t="s">
        <v>117</v>
      </c>
      <c r="D1042" s="255" t="s">
        <v>306</v>
      </c>
      <c r="E1042" s="256"/>
      <c r="F1042" s="257">
        <v>68.75</v>
      </c>
      <c r="G1042" s="258" t="s">
        <v>194</v>
      </c>
      <c r="H1042" s="259"/>
      <c r="I1042" s="541">
        <f t="shared" ref="I1042:I1105" si="17">I1041+E1042-F1042</f>
        <v>135786.12999999989</v>
      </c>
      <c r="K1042" s="243"/>
    </row>
    <row r="1043" spans="2:11" ht="17" customHeight="1">
      <c r="B1043" s="253">
        <v>45793</v>
      </c>
      <c r="C1043" s="263" t="s">
        <v>117</v>
      </c>
      <c r="D1043" s="255" t="s">
        <v>306</v>
      </c>
      <c r="E1043" s="256"/>
      <c r="F1043" s="257">
        <v>485.75</v>
      </c>
      <c r="G1043" s="258" t="s">
        <v>194</v>
      </c>
      <c r="H1043" s="259"/>
      <c r="I1043" s="541">
        <f t="shared" si="17"/>
        <v>135300.37999999989</v>
      </c>
      <c r="K1043" s="243"/>
    </row>
    <row r="1044" spans="2:11" ht="17" customHeight="1">
      <c r="B1044" s="253">
        <v>45793</v>
      </c>
      <c r="C1044" s="263" t="s">
        <v>117</v>
      </c>
      <c r="D1044" s="255" t="s">
        <v>306</v>
      </c>
      <c r="E1044" s="256"/>
      <c r="F1044" s="257">
        <v>119.4</v>
      </c>
      <c r="G1044" s="258" t="s">
        <v>194</v>
      </c>
      <c r="H1044" s="259"/>
      <c r="I1044" s="541">
        <f t="shared" si="17"/>
        <v>135180.97999999989</v>
      </c>
      <c r="K1044" s="243"/>
    </row>
    <row r="1045" spans="2:11" ht="17" customHeight="1">
      <c r="B1045" s="253">
        <v>45793</v>
      </c>
      <c r="C1045" s="263" t="s">
        <v>117</v>
      </c>
      <c r="D1045" s="255" t="s">
        <v>752</v>
      </c>
      <c r="E1045" s="256"/>
      <c r="F1045" s="257">
        <v>750</v>
      </c>
      <c r="G1045" s="258" t="s">
        <v>232</v>
      </c>
      <c r="H1045" s="259"/>
      <c r="I1045" s="541">
        <f t="shared" si="17"/>
        <v>134430.97999999989</v>
      </c>
      <c r="K1045" s="243"/>
    </row>
    <row r="1046" spans="2:11" ht="17" customHeight="1">
      <c r="B1046" s="268">
        <v>45777</v>
      </c>
      <c r="C1046" s="263" t="s">
        <v>513</v>
      </c>
      <c r="D1046" s="255" t="s">
        <v>25</v>
      </c>
      <c r="E1046" s="256"/>
      <c r="F1046" s="257">
        <v>520</v>
      </c>
      <c r="G1046" s="258" t="s">
        <v>246</v>
      </c>
      <c r="H1046" s="525" t="s">
        <v>753</v>
      </c>
      <c r="I1046" s="541">
        <f t="shared" si="17"/>
        <v>133910.97999999989</v>
      </c>
      <c r="K1046" s="243"/>
    </row>
    <row r="1047" spans="2:11" ht="17" customHeight="1">
      <c r="B1047" s="268">
        <v>45777</v>
      </c>
      <c r="C1047" s="263" t="s">
        <v>513</v>
      </c>
      <c r="D1047" s="255" t="s">
        <v>557</v>
      </c>
      <c r="E1047" s="256"/>
      <c r="F1047" s="257">
        <v>820</v>
      </c>
      <c r="G1047" s="258" t="s">
        <v>246</v>
      </c>
      <c r="H1047" s="525" t="s">
        <v>753</v>
      </c>
      <c r="I1047" s="541">
        <f t="shared" si="17"/>
        <v>133090.97999999989</v>
      </c>
      <c r="K1047" s="243"/>
    </row>
    <row r="1048" spans="2:11" ht="17" customHeight="1">
      <c r="B1048" s="268">
        <v>45777</v>
      </c>
      <c r="C1048" s="263" t="s">
        <v>513</v>
      </c>
      <c r="D1048" s="255" t="s">
        <v>28</v>
      </c>
      <c r="E1048" s="256"/>
      <c r="F1048" s="257">
        <v>1080</v>
      </c>
      <c r="G1048" s="258" t="str">
        <f>IFERROR(VLOOKUP(D1048,#REF!,2,FALSE),"_")</f>
        <v>_</v>
      </c>
      <c r="H1048" s="525" t="s">
        <v>753</v>
      </c>
      <c r="I1048" s="541">
        <f t="shared" si="17"/>
        <v>132010.97999999989</v>
      </c>
      <c r="K1048" s="243"/>
    </row>
    <row r="1049" spans="2:11" ht="17" customHeight="1">
      <c r="B1049" s="268">
        <v>45777</v>
      </c>
      <c r="C1049" s="263" t="s">
        <v>513</v>
      </c>
      <c r="D1049" s="255" t="s">
        <v>29</v>
      </c>
      <c r="E1049" s="256"/>
      <c r="F1049" s="257">
        <v>695</v>
      </c>
      <c r="G1049" s="258" t="str">
        <f>IFERROR(VLOOKUP(D1049,#REF!,2,FALSE),"_")</f>
        <v>_</v>
      </c>
      <c r="H1049" s="525" t="s">
        <v>753</v>
      </c>
      <c r="I1049" s="541">
        <f t="shared" si="17"/>
        <v>131315.97999999989</v>
      </c>
      <c r="K1049" s="243"/>
    </row>
    <row r="1050" spans="2:11" ht="17" customHeight="1">
      <c r="B1050" s="268">
        <v>45777</v>
      </c>
      <c r="C1050" s="263" t="s">
        <v>513</v>
      </c>
      <c r="D1050" s="255" t="s">
        <v>559</v>
      </c>
      <c r="E1050" s="256"/>
      <c r="F1050" s="257">
        <v>1160</v>
      </c>
      <c r="G1050" s="258" t="str">
        <f>IFERROR(VLOOKUP(D1050,#REF!,2,FALSE),"_")</f>
        <v>_</v>
      </c>
      <c r="H1050" s="525" t="s">
        <v>753</v>
      </c>
      <c r="I1050" s="541">
        <f t="shared" si="17"/>
        <v>130155.97999999989</v>
      </c>
      <c r="K1050" s="243"/>
    </row>
    <row r="1051" spans="2:11" ht="17" customHeight="1">
      <c r="B1051" s="268">
        <v>45777</v>
      </c>
      <c r="C1051" s="263" t="s">
        <v>513</v>
      </c>
      <c r="D1051" s="255" t="s">
        <v>534</v>
      </c>
      <c r="E1051" s="256"/>
      <c r="F1051" s="257">
        <v>965</v>
      </c>
      <c r="G1051" s="258" t="s">
        <v>245</v>
      </c>
      <c r="H1051" s="525" t="s">
        <v>753</v>
      </c>
      <c r="I1051" s="541">
        <f t="shared" si="17"/>
        <v>129190.97999999989</v>
      </c>
      <c r="K1051" s="243"/>
    </row>
    <row r="1052" spans="2:11" ht="17" customHeight="1">
      <c r="B1052" s="268">
        <v>45777</v>
      </c>
      <c r="C1052" s="263" t="s">
        <v>513</v>
      </c>
      <c r="D1052" s="255" t="s">
        <v>558</v>
      </c>
      <c r="E1052" s="256"/>
      <c r="F1052" s="257">
        <v>245</v>
      </c>
      <c r="G1052" s="258" t="s">
        <v>245</v>
      </c>
      <c r="H1052" s="525" t="s">
        <v>753</v>
      </c>
      <c r="I1052" s="541">
        <f t="shared" si="17"/>
        <v>128945.97999999989</v>
      </c>
      <c r="K1052" s="243"/>
    </row>
    <row r="1053" spans="2:11" ht="17" customHeight="1">
      <c r="B1053" s="268">
        <v>45777</v>
      </c>
      <c r="C1053" s="263" t="s">
        <v>513</v>
      </c>
      <c r="D1053" s="261" t="s">
        <v>24</v>
      </c>
      <c r="E1053" s="256"/>
      <c r="F1053" s="257">
        <v>650</v>
      </c>
      <c r="G1053" s="258" t="s">
        <v>245</v>
      </c>
      <c r="H1053" s="525" t="s">
        <v>753</v>
      </c>
      <c r="I1053" s="541">
        <f t="shared" si="17"/>
        <v>128295.97999999989</v>
      </c>
      <c r="K1053" s="243"/>
    </row>
    <row r="1054" spans="2:11" ht="17" customHeight="1">
      <c r="B1054" s="268">
        <v>45777</v>
      </c>
      <c r="C1054" s="263" t="s">
        <v>513</v>
      </c>
      <c r="D1054" s="261" t="s">
        <v>562</v>
      </c>
      <c r="E1054" s="256"/>
      <c r="F1054" s="257">
        <v>60</v>
      </c>
      <c r="G1054" s="258" t="s">
        <v>249</v>
      </c>
      <c r="H1054" s="525" t="s">
        <v>753</v>
      </c>
      <c r="I1054" s="541">
        <f t="shared" si="17"/>
        <v>128235.97999999989</v>
      </c>
      <c r="K1054" s="243"/>
    </row>
    <row r="1055" spans="2:11" ht="17" customHeight="1">
      <c r="B1055" s="268">
        <v>45777</v>
      </c>
      <c r="C1055" s="263" t="s">
        <v>513</v>
      </c>
      <c r="D1055" s="261" t="s">
        <v>699</v>
      </c>
      <c r="E1055" s="256"/>
      <c r="F1055" s="257">
        <v>300</v>
      </c>
      <c r="G1055" s="258" t="s">
        <v>245</v>
      </c>
      <c r="H1055" s="525" t="s">
        <v>753</v>
      </c>
      <c r="I1055" s="541">
        <f t="shared" si="17"/>
        <v>127935.97999999989</v>
      </c>
      <c r="K1055" s="243"/>
    </row>
    <row r="1056" spans="2:11" ht="17" customHeight="1">
      <c r="B1056" s="253">
        <v>45793</v>
      </c>
      <c r="C1056" s="263" t="s">
        <v>117</v>
      </c>
      <c r="D1056" s="255" t="s">
        <v>754</v>
      </c>
      <c r="E1056" s="256">
        <v>150</v>
      </c>
      <c r="F1056" s="257"/>
      <c r="G1056" s="258" t="s">
        <v>246</v>
      </c>
      <c r="H1056" s="259"/>
      <c r="I1056" s="541">
        <f t="shared" si="17"/>
        <v>128085.97999999989</v>
      </c>
      <c r="K1056" s="243"/>
    </row>
    <row r="1057" spans="2:11" ht="17" customHeight="1">
      <c r="B1057" s="253">
        <v>45793</v>
      </c>
      <c r="C1057" s="263" t="s">
        <v>755</v>
      </c>
      <c r="D1057" s="255" t="s">
        <v>512</v>
      </c>
      <c r="E1057" s="256"/>
      <c r="F1057" s="257">
        <f>36.8-1.42</f>
        <v>35.379999999999995</v>
      </c>
      <c r="G1057" s="258" t="s">
        <v>199</v>
      </c>
      <c r="H1057" s="259"/>
      <c r="I1057" s="541">
        <f t="shared" si="17"/>
        <v>128050.59999999989</v>
      </c>
      <c r="K1057" s="243"/>
    </row>
    <row r="1058" spans="2:11" ht="17" customHeight="1">
      <c r="B1058" s="253">
        <v>45793</v>
      </c>
      <c r="C1058" s="263" t="s">
        <v>755</v>
      </c>
      <c r="D1058" s="255" t="s">
        <v>512</v>
      </c>
      <c r="E1058" s="256"/>
      <c r="F1058" s="257">
        <v>1.42</v>
      </c>
      <c r="G1058" s="258" t="s">
        <v>274</v>
      </c>
      <c r="H1058" s="259"/>
      <c r="I1058" s="541">
        <f t="shared" si="17"/>
        <v>128049.17999999989</v>
      </c>
      <c r="K1058" s="243"/>
    </row>
    <row r="1059" spans="2:11" ht="17" customHeight="1">
      <c r="B1059" s="253">
        <v>45793</v>
      </c>
      <c r="C1059" s="263" t="s">
        <v>117</v>
      </c>
      <c r="D1059" s="255" t="s">
        <v>711</v>
      </c>
      <c r="E1059" s="256"/>
      <c r="F1059" s="257">
        <v>25</v>
      </c>
      <c r="G1059" s="258" t="s">
        <v>249</v>
      </c>
      <c r="H1059" s="259"/>
      <c r="I1059" s="541">
        <f t="shared" si="17"/>
        <v>128024.17999999989</v>
      </c>
      <c r="K1059" s="243"/>
    </row>
    <row r="1060" spans="2:11" ht="17" customHeight="1">
      <c r="B1060" s="253">
        <v>45793</v>
      </c>
      <c r="C1060" s="263" t="s">
        <v>283</v>
      </c>
      <c r="D1060" s="255" t="s">
        <v>283</v>
      </c>
      <c r="E1060" s="256">
        <f>1153.3-E1061</f>
        <v>971.81</v>
      </c>
      <c r="F1060" s="257"/>
      <c r="G1060" s="258" t="str">
        <f>IFERROR(VLOOKUP(D1060,#REF!,2,FALSE),"_")</f>
        <v>_</v>
      </c>
      <c r="H1060" s="259"/>
      <c r="I1060" s="541">
        <f t="shared" si="17"/>
        <v>128995.98999999989</v>
      </c>
      <c r="K1060" s="243"/>
    </row>
    <row r="1061" spans="2:11" ht="17" customHeight="1">
      <c r="B1061" s="253">
        <v>45793</v>
      </c>
      <c r="C1061" s="263" t="s">
        <v>283</v>
      </c>
      <c r="D1061" s="255" t="s">
        <v>508</v>
      </c>
      <c r="E1061" s="256">
        <v>181.49</v>
      </c>
      <c r="F1061" s="257"/>
      <c r="G1061" s="258" t="str">
        <f>IFERROR(VLOOKUP(D1061,#REF!,2,FALSE),"_")</f>
        <v>_</v>
      </c>
      <c r="H1061" s="259"/>
      <c r="I1061" s="541">
        <f t="shared" si="17"/>
        <v>129177.47999999989</v>
      </c>
      <c r="K1061" s="243"/>
    </row>
    <row r="1062" spans="2:11" ht="17" customHeight="1">
      <c r="B1062" s="253">
        <v>45793</v>
      </c>
      <c r="C1062" s="263" t="s">
        <v>283</v>
      </c>
      <c r="D1062" s="255" t="s">
        <v>283</v>
      </c>
      <c r="E1062" s="256">
        <v>200</v>
      </c>
      <c r="F1062" s="257"/>
      <c r="G1062" s="258" t="s">
        <v>190</v>
      </c>
      <c r="H1062" s="259" t="s">
        <v>756</v>
      </c>
      <c r="I1062" s="541">
        <f t="shared" si="17"/>
        <v>129377.47999999989</v>
      </c>
      <c r="K1062" s="243"/>
    </row>
    <row r="1063" spans="2:11" ht="17" customHeight="1">
      <c r="B1063" s="253">
        <v>45794</v>
      </c>
      <c r="C1063" s="263" t="s">
        <v>117</v>
      </c>
      <c r="D1063" s="255" t="s">
        <v>530</v>
      </c>
      <c r="E1063" s="256">
        <v>60</v>
      </c>
      <c r="F1063" s="257"/>
      <c r="G1063" s="258" t="s">
        <v>194</v>
      </c>
      <c r="H1063" s="259" t="s">
        <v>757</v>
      </c>
      <c r="I1063" s="541">
        <f t="shared" si="17"/>
        <v>129437.47999999989</v>
      </c>
      <c r="K1063" s="243"/>
    </row>
    <row r="1064" spans="2:11" ht="17" customHeight="1">
      <c r="B1064" s="253">
        <v>45794</v>
      </c>
      <c r="C1064" s="263" t="s">
        <v>117</v>
      </c>
      <c r="D1064" s="255" t="s">
        <v>758</v>
      </c>
      <c r="E1064" s="256">
        <f>405+1151+30</f>
        <v>1586</v>
      </c>
      <c r="F1064" s="257"/>
      <c r="G1064" s="258" t="s">
        <v>194</v>
      </c>
      <c r="H1064" s="259"/>
      <c r="I1064" s="541">
        <f t="shared" si="17"/>
        <v>131023.47999999989</v>
      </c>
      <c r="K1064" s="243"/>
    </row>
    <row r="1065" spans="2:11" ht="17" customHeight="1">
      <c r="B1065" s="253">
        <v>45794</v>
      </c>
      <c r="C1065" s="263" t="s">
        <v>117</v>
      </c>
      <c r="D1065" s="255" t="s">
        <v>759</v>
      </c>
      <c r="E1065" s="256">
        <v>31</v>
      </c>
      <c r="F1065" s="257"/>
      <c r="G1065" s="258" t="s">
        <v>194</v>
      </c>
      <c r="H1065" s="259"/>
      <c r="I1065" s="541">
        <f t="shared" si="17"/>
        <v>131054.47999999989</v>
      </c>
      <c r="K1065" s="243"/>
    </row>
    <row r="1066" spans="2:11" ht="17" customHeight="1">
      <c r="B1066" s="253">
        <v>45794</v>
      </c>
      <c r="C1066" s="263" t="s">
        <v>760</v>
      </c>
      <c r="D1066" s="255" t="s">
        <v>545</v>
      </c>
      <c r="E1066" s="256"/>
      <c r="F1066" s="257">
        <v>30</v>
      </c>
      <c r="G1066" s="258" t="s">
        <v>208</v>
      </c>
      <c r="H1066" s="259" t="s">
        <v>761</v>
      </c>
      <c r="I1066" s="541">
        <f t="shared" si="17"/>
        <v>131024.47999999989</v>
      </c>
      <c r="K1066" s="243"/>
    </row>
    <row r="1067" spans="2:11" ht="17" customHeight="1">
      <c r="B1067" s="253">
        <v>45794</v>
      </c>
      <c r="C1067" s="263" t="s">
        <v>762</v>
      </c>
      <c r="D1067" s="255" t="s">
        <v>545</v>
      </c>
      <c r="E1067" s="256"/>
      <c r="F1067" s="257">
        <v>15</v>
      </c>
      <c r="G1067" s="258" t="s">
        <v>208</v>
      </c>
      <c r="H1067" s="259"/>
      <c r="I1067" s="541">
        <f t="shared" si="17"/>
        <v>131009.47999999989</v>
      </c>
      <c r="K1067" s="243"/>
    </row>
    <row r="1068" spans="2:11" ht="17" customHeight="1">
      <c r="B1068" s="253">
        <v>45794</v>
      </c>
      <c r="C1068" s="263" t="s">
        <v>763</v>
      </c>
      <c r="D1068" s="255" t="s">
        <v>545</v>
      </c>
      <c r="E1068" s="256"/>
      <c r="F1068" s="257">
        <v>60</v>
      </c>
      <c r="G1068" s="258" t="s">
        <v>208</v>
      </c>
      <c r="H1068" s="259"/>
      <c r="I1068" s="541">
        <f t="shared" si="17"/>
        <v>130949.47999999989</v>
      </c>
      <c r="K1068" s="243"/>
    </row>
    <row r="1069" spans="2:11" ht="17" customHeight="1">
      <c r="B1069" s="253">
        <v>45794</v>
      </c>
      <c r="C1069" s="263" t="s">
        <v>764</v>
      </c>
      <c r="D1069" s="255" t="s">
        <v>545</v>
      </c>
      <c r="E1069" s="256"/>
      <c r="F1069" s="257">
        <v>82</v>
      </c>
      <c r="G1069" s="258" t="s">
        <v>208</v>
      </c>
      <c r="H1069" s="259" t="s">
        <v>765</v>
      </c>
      <c r="I1069" s="541">
        <f t="shared" si="17"/>
        <v>130867.47999999989</v>
      </c>
      <c r="K1069" s="243"/>
    </row>
    <row r="1070" spans="2:11" ht="17" customHeight="1">
      <c r="B1070" s="253">
        <v>45794</v>
      </c>
      <c r="C1070" s="263" t="s">
        <v>766</v>
      </c>
      <c r="D1070" s="255" t="s">
        <v>545</v>
      </c>
      <c r="E1070" s="256"/>
      <c r="F1070" s="257">
        <v>17</v>
      </c>
      <c r="G1070" s="258" t="s">
        <v>208</v>
      </c>
      <c r="H1070" s="259" t="s">
        <v>767</v>
      </c>
      <c r="I1070" s="541">
        <f t="shared" si="17"/>
        <v>130850.47999999989</v>
      </c>
      <c r="K1070" s="243"/>
    </row>
    <row r="1071" spans="2:11" ht="17" customHeight="1">
      <c r="B1071" s="253">
        <v>45794</v>
      </c>
      <c r="C1071" s="263" t="s">
        <v>768</v>
      </c>
      <c r="D1071" s="255" t="s">
        <v>545</v>
      </c>
      <c r="E1071" s="256"/>
      <c r="F1071" s="257">
        <v>36</v>
      </c>
      <c r="G1071" s="258" t="s">
        <v>208</v>
      </c>
      <c r="H1071" s="259" t="s">
        <v>769</v>
      </c>
      <c r="I1071" s="541">
        <f t="shared" si="17"/>
        <v>130814.47999999989</v>
      </c>
      <c r="K1071" s="243"/>
    </row>
    <row r="1072" spans="2:11" ht="17" customHeight="1">
      <c r="B1072" s="253">
        <v>45794</v>
      </c>
      <c r="C1072" s="263" t="s">
        <v>770</v>
      </c>
      <c r="D1072" s="255" t="s">
        <v>545</v>
      </c>
      <c r="E1072" s="256"/>
      <c r="F1072" s="257">
        <v>17.5</v>
      </c>
      <c r="G1072" s="258" t="s">
        <v>208</v>
      </c>
      <c r="H1072" s="259" t="s">
        <v>771</v>
      </c>
      <c r="I1072" s="541">
        <f t="shared" si="17"/>
        <v>130796.97999999989</v>
      </c>
      <c r="K1072" s="243"/>
    </row>
    <row r="1073" spans="2:11" ht="17" customHeight="1">
      <c r="B1073" s="253">
        <v>45794</v>
      </c>
      <c r="C1073" s="263" t="s">
        <v>772</v>
      </c>
      <c r="D1073" s="255" t="s">
        <v>545</v>
      </c>
      <c r="E1073" s="256"/>
      <c r="F1073" s="257">
        <v>6</v>
      </c>
      <c r="G1073" s="258" t="s">
        <v>208</v>
      </c>
      <c r="H1073" s="259" t="s">
        <v>769</v>
      </c>
      <c r="I1073" s="541">
        <f t="shared" si="17"/>
        <v>130790.97999999989</v>
      </c>
      <c r="K1073" s="243"/>
    </row>
    <row r="1074" spans="2:11" ht="17" customHeight="1">
      <c r="B1074" s="253">
        <v>45794</v>
      </c>
      <c r="C1074" s="263" t="s">
        <v>773</v>
      </c>
      <c r="D1074" s="255" t="s">
        <v>545</v>
      </c>
      <c r="E1074" s="256"/>
      <c r="F1074" s="257">
        <v>20</v>
      </c>
      <c r="G1074" s="258" t="s">
        <v>208</v>
      </c>
      <c r="H1074" s="259" t="s">
        <v>774</v>
      </c>
      <c r="I1074" s="541">
        <f t="shared" si="17"/>
        <v>130770.97999999989</v>
      </c>
      <c r="K1074" s="243"/>
    </row>
    <row r="1075" spans="2:11" ht="17" customHeight="1">
      <c r="B1075" s="253">
        <v>45794</v>
      </c>
      <c r="C1075" s="263" t="s">
        <v>775</v>
      </c>
      <c r="D1075" s="255" t="s">
        <v>545</v>
      </c>
      <c r="E1075" s="256"/>
      <c r="F1075" s="257">
        <v>11</v>
      </c>
      <c r="G1075" s="258" t="s">
        <v>208</v>
      </c>
      <c r="H1075" s="259" t="s">
        <v>774</v>
      </c>
      <c r="I1075" s="541">
        <f t="shared" si="17"/>
        <v>130759.97999999989</v>
      </c>
      <c r="K1075" s="243"/>
    </row>
    <row r="1076" spans="2:11" ht="17" customHeight="1">
      <c r="B1076" s="253">
        <v>45794</v>
      </c>
      <c r="C1076" s="263" t="s">
        <v>776</v>
      </c>
      <c r="D1076" s="255" t="s">
        <v>545</v>
      </c>
      <c r="E1076" s="256"/>
      <c r="F1076" s="257">
        <v>13</v>
      </c>
      <c r="G1076" s="258" t="s">
        <v>208</v>
      </c>
      <c r="H1076" s="259" t="s">
        <v>777</v>
      </c>
      <c r="I1076" s="541">
        <f t="shared" si="17"/>
        <v>130746.97999999989</v>
      </c>
      <c r="K1076" s="243"/>
    </row>
    <row r="1077" spans="2:11" ht="17" customHeight="1">
      <c r="B1077" s="253">
        <v>45794</v>
      </c>
      <c r="C1077" s="263" t="s">
        <v>778</v>
      </c>
      <c r="D1077" s="255" t="s">
        <v>545</v>
      </c>
      <c r="E1077" s="256"/>
      <c r="F1077" s="257">
        <v>13</v>
      </c>
      <c r="G1077" s="258" t="s">
        <v>208</v>
      </c>
      <c r="H1077" s="259" t="s">
        <v>777</v>
      </c>
      <c r="I1077" s="541">
        <f t="shared" si="17"/>
        <v>130733.97999999989</v>
      </c>
      <c r="K1077" s="243"/>
    </row>
    <row r="1078" spans="2:11" ht="17" customHeight="1">
      <c r="B1078" s="253">
        <v>45794</v>
      </c>
      <c r="C1078" s="263" t="s">
        <v>779</v>
      </c>
      <c r="D1078" s="255" t="s">
        <v>545</v>
      </c>
      <c r="E1078" s="256"/>
      <c r="F1078" s="257">
        <v>25</v>
      </c>
      <c r="G1078" s="258" t="s">
        <v>208</v>
      </c>
      <c r="H1078" s="259"/>
      <c r="I1078" s="541">
        <f t="shared" si="17"/>
        <v>130708.97999999989</v>
      </c>
      <c r="K1078" s="243"/>
    </row>
    <row r="1079" spans="2:11" ht="17" customHeight="1">
      <c r="B1079" s="253">
        <v>45794</v>
      </c>
      <c r="C1079" s="263" t="s">
        <v>780</v>
      </c>
      <c r="D1079" s="255" t="s">
        <v>545</v>
      </c>
      <c r="E1079" s="256"/>
      <c r="F1079" s="257">
        <v>36</v>
      </c>
      <c r="G1079" s="258" t="s">
        <v>208</v>
      </c>
      <c r="H1079" s="259"/>
      <c r="I1079" s="541">
        <f t="shared" si="17"/>
        <v>130672.97999999989</v>
      </c>
      <c r="K1079" s="243"/>
    </row>
    <row r="1080" spans="2:11" ht="17" customHeight="1">
      <c r="B1080" s="253">
        <v>45794</v>
      </c>
      <c r="C1080" s="263" t="s">
        <v>781</v>
      </c>
      <c r="D1080" s="255" t="s">
        <v>545</v>
      </c>
      <c r="E1080" s="256"/>
      <c r="F1080" s="257">
        <v>22</v>
      </c>
      <c r="G1080" s="258" t="s">
        <v>208</v>
      </c>
      <c r="H1080" s="259"/>
      <c r="I1080" s="541">
        <f t="shared" si="17"/>
        <v>130650.97999999989</v>
      </c>
      <c r="K1080" s="243"/>
    </row>
    <row r="1081" spans="2:11" ht="17" customHeight="1">
      <c r="B1081" s="253">
        <v>45794</v>
      </c>
      <c r="C1081" s="263" t="s">
        <v>782</v>
      </c>
      <c r="D1081" s="255" t="s">
        <v>545</v>
      </c>
      <c r="E1081" s="256"/>
      <c r="F1081" s="257">
        <v>32</v>
      </c>
      <c r="G1081" s="258" t="s">
        <v>208</v>
      </c>
      <c r="H1081" s="259"/>
      <c r="I1081" s="541">
        <f t="shared" si="17"/>
        <v>130618.97999999989</v>
      </c>
      <c r="K1081" s="243"/>
    </row>
    <row r="1082" spans="2:11" ht="17" customHeight="1">
      <c r="B1082" s="253">
        <v>45794</v>
      </c>
      <c r="C1082" s="263" t="s">
        <v>783</v>
      </c>
      <c r="D1082" s="255" t="s">
        <v>545</v>
      </c>
      <c r="E1082" s="256"/>
      <c r="F1082" s="257">
        <v>26</v>
      </c>
      <c r="G1082" s="258" t="s">
        <v>208</v>
      </c>
      <c r="H1082" s="259"/>
      <c r="I1082" s="541">
        <f t="shared" si="17"/>
        <v>130592.97999999989</v>
      </c>
      <c r="K1082" s="243"/>
    </row>
    <row r="1083" spans="2:11" ht="17" customHeight="1">
      <c r="B1083" s="253">
        <v>45794</v>
      </c>
      <c r="C1083" s="263" t="s">
        <v>784</v>
      </c>
      <c r="D1083" s="255" t="s">
        <v>545</v>
      </c>
      <c r="E1083" s="256"/>
      <c r="F1083" s="257">
        <v>12</v>
      </c>
      <c r="G1083" s="258" t="s">
        <v>208</v>
      </c>
      <c r="H1083" s="259"/>
      <c r="I1083" s="541">
        <f t="shared" si="17"/>
        <v>130580.97999999989</v>
      </c>
      <c r="K1083" s="243"/>
    </row>
    <row r="1084" spans="2:11" ht="17" customHeight="1">
      <c r="B1084" s="253">
        <v>45794</v>
      </c>
      <c r="C1084" s="263" t="s">
        <v>785</v>
      </c>
      <c r="D1084" s="255" t="s">
        <v>545</v>
      </c>
      <c r="E1084" s="256"/>
      <c r="F1084" s="257">
        <v>30</v>
      </c>
      <c r="G1084" s="258" t="s">
        <v>208</v>
      </c>
      <c r="H1084" s="259"/>
      <c r="I1084" s="541">
        <f t="shared" si="17"/>
        <v>130550.97999999989</v>
      </c>
      <c r="K1084" s="243"/>
    </row>
    <row r="1085" spans="2:11" ht="17" customHeight="1">
      <c r="B1085" s="253">
        <v>45794</v>
      </c>
      <c r="C1085" s="263" t="s">
        <v>786</v>
      </c>
      <c r="D1085" s="255" t="s">
        <v>545</v>
      </c>
      <c r="E1085" s="256"/>
      <c r="F1085" s="257">
        <v>11</v>
      </c>
      <c r="G1085" s="258" t="s">
        <v>208</v>
      </c>
      <c r="H1085" s="259"/>
      <c r="I1085" s="541">
        <f t="shared" si="17"/>
        <v>130539.97999999989</v>
      </c>
      <c r="K1085" s="243"/>
    </row>
    <row r="1086" spans="2:11" ht="17" customHeight="1">
      <c r="B1086" s="253">
        <v>45794</v>
      </c>
      <c r="C1086" s="263" t="s">
        <v>787</v>
      </c>
      <c r="D1086" s="255" t="s">
        <v>545</v>
      </c>
      <c r="E1086" s="256"/>
      <c r="F1086" s="257">
        <v>22</v>
      </c>
      <c r="G1086" s="258" t="s">
        <v>208</v>
      </c>
      <c r="H1086" s="259"/>
      <c r="I1086" s="541">
        <f t="shared" si="17"/>
        <v>130517.97999999989</v>
      </c>
      <c r="K1086" s="243"/>
    </row>
    <row r="1087" spans="2:11" ht="17" customHeight="1">
      <c r="B1087" s="253">
        <v>45794</v>
      </c>
      <c r="C1087" s="263" t="s">
        <v>788</v>
      </c>
      <c r="D1087" s="255" t="s">
        <v>545</v>
      </c>
      <c r="E1087" s="256"/>
      <c r="F1087" s="257">
        <v>14</v>
      </c>
      <c r="G1087" s="258" t="s">
        <v>208</v>
      </c>
      <c r="H1087" s="259"/>
      <c r="I1087" s="541">
        <f t="shared" si="17"/>
        <v>130503.97999999989</v>
      </c>
      <c r="K1087" s="243"/>
    </row>
    <row r="1088" spans="2:11" ht="17" customHeight="1">
      <c r="B1088" s="253">
        <v>45794</v>
      </c>
      <c r="C1088" s="263" t="s">
        <v>117</v>
      </c>
      <c r="D1088" s="255" t="s">
        <v>711</v>
      </c>
      <c r="E1088" s="256"/>
      <c r="F1088" s="257">
        <v>25</v>
      </c>
      <c r="G1088" s="258" t="s">
        <v>249</v>
      </c>
      <c r="H1088" s="259"/>
      <c r="I1088" s="541">
        <f t="shared" si="17"/>
        <v>130478.97999999989</v>
      </c>
      <c r="K1088" s="243"/>
    </row>
    <row r="1089" spans="2:11" ht="17" customHeight="1">
      <c r="B1089" s="253">
        <v>45794</v>
      </c>
      <c r="C1089" s="263" t="s">
        <v>286</v>
      </c>
      <c r="D1089" s="255" t="s">
        <v>520</v>
      </c>
      <c r="E1089" s="256"/>
      <c r="F1089" s="257">
        <v>202</v>
      </c>
      <c r="G1089" s="258" t="s">
        <v>139</v>
      </c>
      <c r="H1089" s="259"/>
      <c r="I1089" s="541">
        <f t="shared" si="17"/>
        <v>130276.97999999989</v>
      </c>
      <c r="K1089" s="243"/>
    </row>
    <row r="1090" spans="2:11" ht="17" customHeight="1">
      <c r="B1090" s="253">
        <v>45794</v>
      </c>
      <c r="C1090" s="263" t="s">
        <v>117</v>
      </c>
      <c r="D1090" s="255" t="s">
        <v>543</v>
      </c>
      <c r="E1090" s="256"/>
      <c r="F1090" s="257">
        <v>80</v>
      </c>
      <c r="G1090" s="258" t="s">
        <v>234</v>
      </c>
      <c r="H1090" s="259"/>
      <c r="I1090" s="541">
        <f t="shared" si="17"/>
        <v>130196.97999999989</v>
      </c>
      <c r="K1090" s="243"/>
    </row>
    <row r="1091" spans="2:11" ht="17" customHeight="1">
      <c r="B1091" s="253">
        <v>45794</v>
      </c>
      <c r="C1091" s="263" t="s">
        <v>513</v>
      </c>
      <c r="D1091" s="255" t="s">
        <v>688</v>
      </c>
      <c r="E1091" s="256"/>
      <c r="F1091" s="257">
        <v>40</v>
      </c>
      <c r="G1091" s="258" t="s">
        <v>248</v>
      </c>
      <c r="H1091" s="259"/>
      <c r="I1091" s="541">
        <f t="shared" si="17"/>
        <v>130156.97999999989</v>
      </c>
      <c r="K1091" s="243"/>
    </row>
    <row r="1092" spans="2:11" ht="17" customHeight="1">
      <c r="B1092" s="253">
        <v>45794</v>
      </c>
      <c r="C1092" s="263" t="s">
        <v>283</v>
      </c>
      <c r="D1092" s="255" t="s">
        <v>283</v>
      </c>
      <c r="E1092" s="256">
        <f>957.9+800-E1093</f>
        <v>1507.74</v>
      </c>
      <c r="F1092" s="257"/>
      <c r="G1092" s="258" t="str">
        <f>IFERROR(VLOOKUP(D1092,#REF!,2,FALSE),"_")</f>
        <v>_</v>
      </c>
      <c r="H1092" s="259"/>
      <c r="I1092" s="541">
        <f t="shared" si="17"/>
        <v>131664.71999999988</v>
      </c>
      <c r="K1092" s="243"/>
    </row>
    <row r="1093" spans="2:11" ht="17" customHeight="1">
      <c r="B1093" s="253">
        <v>45794</v>
      </c>
      <c r="C1093" s="263" t="s">
        <v>283</v>
      </c>
      <c r="D1093" s="255" t="s">
        <v>508</v>
      </c>
      <c r="E1093" s="256">
        <v>250.16</v>
      </c>
      <c r="F1093" s="257"/>
      <c r="G1093" s="258" t="str">
        <f>IFERROR(VLOOKUP(D1093,#REF!,2,FALSE),"_")</f>
        <v>_</v>
      </c>
      <c r="H1093" s="259"/>
      <c r="I1093" s="541">
        <f t="shared" si="17"/>
        <v>131914.87999999989</v>
      </c>
      <c r="K1093" s="243"/>
    </row>
    <row r="1094" spans="2:11" ht="17" customHeight="1">
      <c r="B1094" s="253">
        <v>45795</v>
      </c>
      <c r="C1094" s="263" t="s">
        <v>117</v>
      </c>
      <c r="D1094" s="255" t="s">
        <v>711</v>
      </c>
      <c r="E1094" s="256"/>
      <c r="F1094" s="257">
        <v>33</v>
      </c>
      <c r="G1094" s="258" t="s">
        <v>249</v>
      </c>
      <c r="H1094" s="259"/>
      <c r="I1094" s="541">
        <f t="shared" si="17"/>
        <v>131881.87999999989</v>
      </c>
      <c r="K1094" s="243"/>
    </row>
    <row r="1095" spans="2:11" ht="17" customHeight="1">
      <c r="B1095" s="253">
        <v>45795</v>
      </c>
      <c r="C1095" s="263" t="s">
        <v>513</v>
      </c>
      <c r="D1095" s="255" t="s">
        <v>688</v>
      </c>
      <c r="E1095" s="256"/>
      <c r="F1095" s="257">
        <v>65</v>
      </c>
      <c r="G1095" s="258" t="s">
        <v>248</v>
      </c>
      <c r="H1095" s="259"/>
      <c r="I1095" s="541">
        <f t="shared" si="17"/>
        <v>131816.87999999989</v>
      </c>
      <c r="K1095" s="243"/>
    </row>
    <row r="1096" spans="2:11" ht="17" customHeight="1">
      <c r="B1096" s="253">
        <v>45795</v>
      </c>
      <c r="C1096" s="263" t="s">
        <v>513</v>
      </c>
      <c r="D1096" s="255" t="s">
        <v>534</v>
      </c>
      <c r="E1096" s="256"/>
      <c r="F1096" s="257">
        <f>120+810</f>
        <v>930</v>
      </c>
      <c r="G1096" s="258" t="s">
        <v>245</v>
      </c>
      <c r="H1096" s="259"/>
      <c r="I1096" s="541">
        <f t="shared" si="17"/>
        <v>130886.87999999989</v>
      </c>
      <c r="K1096" s="243"/>
    </row>
    <row r="1097" spans="2:11" ht="17" customHeight="1">
      <c r="B1097" s="253">
        <v>45795</v>
      </c>
      <c r="C1097" s="263" t="s">
        <v>283</v>
      </c>
      <c r="D1097" s="255" t="s">
        <v>283</v>
      </c>
      <c r="E1097" s="256">
        <f>2531.4-E1098</f>
        <v>2214.63</v>
      </c>
      <c r="F1097" s="257"/>
      <c r="G1097" s="258" t="str">
        <f>IFERROR(VLOOKUP(D1097,#REF!,2,FALSE),"_")</f>
        <v>_</v>
      </c>
      <c r="H1097" s="259"/>
      <c r="I1097" s="541">
        <f t="shared" si="17"/>
        <v>133101.50999999989</v>
      </c>
      <c r="K1097" s="243"/>
    </row>
    <row r="1098" spans="2:11" ht="17" customHeight="1">
      <c r="B1098" s="253">
        <v>45795</v>
      </c>
      <c r="C1098" s="263" t="s">
        <v>283</v>
      </c>
      <c r="D1098" s="255" t="s">
        <v>508</v>
      </c>
      <c r="E1098" s="256">
        <v>316.77</v>
      </c>
      <c r="F1098" s="257"/>
      <c r="G1098" s="258" t="str">
        <f>IFERROR(VLOOKUP(D1098,#REF!,2,FALSE),"_")</f>
        <v>_</v>
      </c>
      <c r="H1098" s="259"/>
      <c r="I1098" s="541">
        <f t="shared" si="17"/>
        <v>133418.27999999988</v>
      </c>
      <c r="K1098" s="243"/>
    </row>
    <row r="1099" spans="2:11" ht="17" customHeight="1">
      <c r="B1099" s="253">
        <v>45796</v>
      </c>
      <c r="C1099" s="263" t="s">
        <v>283</v>
      </c>
      <c r="D1099" s="255" t="s">
        <v>283</v>
      </c>
      <c r="E1099" s="256">
        <f>645.1-E1100</f>
        <v>578.99</v>
      </c>
      <c r="F1099" s="257"/>
      <c r="G1099" s="258" t="str">
        <f>IFERROR(VLOOKUP(D1099,#REF!,2,FALSE),"_")</f>
        <v>_</v>
      </c>
      <c r="H1099" s="259"/>
      <c r="I1099" s="541">
        <f t="shared" si="17"/>
        <v>133997.26999999987</v>
      </c>
      <c r="K1099" s="243"/>
    </row>
    <row r="1100" spans="2:11" ht="17" customHeight="1">
      <c r="B1100" s="253">
        <v>45796</v>
      </c>
      <c r="C1100" s="263" t="s">
        <v>283</v>
      </c>
      <c r="D1100" s="255" t="s">
        <v>508</v>
      </c>
      <c r="E1100" s="256">
        <v>66.11</v>
      </c>
      <c r="F1100" s="257"/>
      <c r="G1100" s="258" t="str">
        <f>IFERROR(VLOOKUP(D1100,#REF!,2,FALSE),"_")</f>
        <v>_</v>
      </c>
      <c r="H1100" s="259"/>
      <c r="I1100" s="541">
        <f t="shared" si="17"/>
        <v>134063.37999999986</v>
      </c>
      <c r="K1100" s="243"/>
    </row>
    <row r="1101" spans="2:11" ht="17" customHeight="1">
      <c r="B1101" s="253">
        <v>45796</v>
      </c>
      <c r="C1101" s="263" t="s">
        <v>283</v>
      </c>
      <c r="D1101" s="255" t="s">
        <v>283</v>
      </c>
      <c r="E1101" s="256">
        <v>5425</v>
      </c>
      <c r="F1101" s="257"/>
      <c r="G1101" s="258"/>
      <c r="H1101" s="607" t="s">
        <v>742</v>
      </c>
      <c r="I1101" s="541">
        <f t="shared" si="17"/>
        <v>139488.37999999986</v>
      </c>
      <c r="K1101" s="243"/>
    </row>
    <row r="1102" spans="2:11" ht="17" customHeight="1">
      <c r="B1102" s="253">
        <v>45797</v>
      </c>
      <c r="C1102" s="263" t="s">
        <v>117</v>
      </c>
      <c r="D1102" s="255" t="s">
        <v>385</v>
      </c>
      <c r="E1102" s="256"/>
      <c r="F1102" s="257">
        <v>1050</v>
      </c>
      <c r="G1102" s="258" t="s">
        <v>194</v>
      </c>
      <c r="H1102" s="259"/>
      <c r="I1102" s="541">
        <f t="shared" si="17"/>
        <v>138438.37999999986</v>
      </c>
      <c r="K1102" s="243"/>
    </row>
    <row r="1103" spans="2:11" ht="17" customHeight="1">
      <c r="B1103" s="253">
        <v>45797</v>
      </c>
      <c r="C1103" s="263" t="s">
        <v>117</v>
      </c>
      <c r="D1103" s="255" t="s">
        <v>361</v>
      </c>
      <c r="E1103" s="256"/>
      <c r="F1103" s="257">
        <v>116.5</v>
      </c>
      <c r="G1103" s="258" t="s">
        <v>199</v>
      </c>
      <c r="H1103" s="259"/>
      <c r="I1103" s="541">
        <f t="shared" si="17"/>
        <v>138321.87999999986</v>
      </c>
      <c r="K1103" s="243"/>
    </row>
    <row r="1104" spans="2:11" ht="17" customHeight="1">
      <c r="B1104" s="253">
        <v>45797</v>
      </c>
      <c r="C1104" s="263" t="s">
        <v>283</v>
      </c>
      <c r="D1104" s="255" t="s">
        <v>283</v>
      </c>
      <c r="E1104" s="256">
        <f>464.5-E1105</f>
        <v>421.65</v>
      </c>
      <c r="F1104" s="257"/>
      <c r="G1104" s="258" t="str">
        <f>IFERROR(VLOOKUP(D1104,#REF!,2,FALSE),"_")</f>
        <v>_</v>
      </c>
      <c r="H1104" s="259"/>
      <c r="I1104" s="541">
        <f t="shared" si="17"/>
        <v>138743.52999999985</v>
      </c>
      <c r="K1104" s="243"/>
    </row>
    <row r="1105" spans="2:11" ht="17" customHeight="1">
      <c r="B1105" s="253">
        <v>45797</v>
      </c>
      <c r="C1105" s="263" t="s">
        <v>283</v>
      </c>
      <c r="D1105" s="255" t="s">
        <v>508</v>
      </c>
      <c r="E1105" s="256">
        <v>42.85</v>
      </c>
      <c r="F1105" s="257"/>
      <c r="G1105" s="258" t="str">
        <f>IFERROR(VLOOKUP(D1105,#REF!,2,FALSE),"_")</f>
        <v>_</v>
      </c>
      <c r="H1105" s="259"/>
      <c r="I1105" s="541">
        <f t="shared" si="17"/>
        <v>138786.37999999986</v>
      </c>
      <c r="K1105" s="243"/>
    </row>
    <row r="1106" spans="2:11" ht="17" customHeight="1">
      <c r="B1106" s="253">
        <v>45798</v>
      </c>
      <c r="C1106" s="263" t="s">
        <v>286</v>
      </c>
      <c r="D1106" s="255" t="s">
        <v>520</v>
      </c>
      <c r="E1106" s="256"/>
      <c r="F1106" s="257">
        <v>35</v>
      </c>
      <c r="G1106" s="258" t="s">
        <v>139</v>
      </c>
      <c r="H1106" s="259"/>
      <c r="I1106" s="541">
        <f t="shared" ref="I1106:I1169" si="18">I1105+E1106-F1106</f>
        <v>138751.37999999986</v>
      </c>
      <c r="K1106" s="243"/>
    </row>
    <row r="1107" spans="2:11" ht="17" customHeight="1">
      <c r="B1107" s="253">
        <v>45798</v>
      </c>
      <c r="C1107" s="263" t="s">
        <v>789</v>
      </c>
      <c r="D1107" s="255" t="s">
        <v>646</v>
      </c>
      <c r="E1107" s="256"/>
      <c r="F1107" s="257">
        <f>217.5-39.24</f>
        <v>178.26</v>
      </c>
      <c r="G1107" s="258" t="s">
        <v>205</v>
      </c>
      <c r="H1107" s="259"/>
      <c r="I1107" s="541">
        <f t="shared" si="18"/>
        <v>138573.11999999985</v>
      </c>
      <c r="K1107" s="243"/>
    </row>
    <row r="1108" spans="2:11" ht="17" customHeight="1">
      <c r="B1108" s="253">
        <v>45798</v>
      </c>
      <c r="C1108" s="263" t="s">
        <v>789</v>
      </c>
      <c r="D1108" s="255" t="s">
        <v>646</v>
      </c>
      <c r="E1108" s="256"/>
      <c r="F1108" s="257">
        <v>39.24</v>
      </c>
      <c r="G1108" s="258" t="s">
        <v>274</v>
      </c>
      <c r="H1108" s="259"/>
      <c r="I1108" s="541">
        <f t="shared" si="18"/>
        <v>138533.87999999986</v>
      </c>
      <c r="K1108" s="243"/>
    </row>
    <row r="1109" spans="2:11" ht="17" customHeight="1">
      <c r="B1109" s="253">
        <v>45798</v>
      </c>
      <c r="C1109" s="263" t="s">
        <v>117</v>
      </c>
      <c r="D1109" s="255" t="s">
        <v>790</v>
      </c>
      <c r="E1109" s="256">
        <v>100</v>
      </c>
      <c r="F1109" s="257"/>
      <c r="G1109" s="258" t="s">
        <v>205</v>
      </c>
      <c r="H1109" s="259"/>
      <c r="I1109" s="541">
        <f t="shared" si="18"/>
        <v>138633.87999999986</v>
      </c>
      <c r="K1109" s="243"/>
    </row>
    <row r="1110" spans="2:11" ht="17" customHeight="1">
      <c r="B1110" s="253">
        <v>45798</v>
      </c>
      <c r="C1110" s="263" t="s">
        <v>283</v>
      </c>
      <c r="D1110" s="255" t="s">
        <v>283</v>
      </c>
      <c r="E1110" s="256">
        <f>930-E1111</f>
        <v>809.6</v>
      </c>
      <c r="F1110" s="257"/>
      <c r="G1110" s="258" t="str">
        <f>IFERROR(VLOOKUP(D1110,#REF!,2,FALSE),"_")</f>
        <v>_</v>
      </c>
      <c r="H1110" s="259"/>
      <c r="I1110" s="541">
        <f t="shared" si="18"/>
        <v>139443.47999999986</v>
      </c>
      <c r="K1110" s="243"/>
    </row>
    <row r="1111" spans="2:11" ht="17" customHeight="1">
      <c r="B1111" s="253">
        <v>45798</v>
      </c>
      <c r="C1111" s="263" t="s">
        <v>283</v>
      </c>
      <c r="D1111" s="255" t="s">
        <v>508</v>
      </c>
      <c r="E1111" s="256">
        <v>120.4</v>
      </c>
      <c r="F1111" s="257"/>
      <c r="G1111" s="258" t="str">
        <f>IFERROR(VLOOKUP(D1111,#REF!,2,FALSE),"_")</f>
        <v>_</v>
      </c>
      <c r="H1111" s="259"/>
      <c r="I1111" s="541">
        <f t="shared" si="18"/>
        <v>139563.87999999986</v>
      </c>
      <c r="K1111" s="243"/>
    </row>
    <row r="1112" spans="2:11" ht="17" customHeight="1">
      <c r="B1112" s="253">
        <v>45799</v>
      </c>
      <c r="C1112" s="263" t="s">
        <v>117</v>
      </c>
      <c r="D1112" s="255" t="s">
        <v>752</v>
      </c>
      <c r="E1112" s="256"/>
      <c r="F1112" s="257">
        <v>110</v>
      </c>
      <c r="G1112" s="258" t="s">
        <v>216</v>
      </c>
      <c r="H1112" s="259"/>
      <c r="I1112" s="541">
        <f t="shared" si="18"/>
        <v>139453.87999999986</v>
      </c>
      <c r="K1112" s="243"/>
    </row>
    <row r="1113" spans="2:11" ht="17" customHeight="1">
      <c r="B1113" s="253">
        <v>45799</v>
      </c>
      <c r="C1113" s="449" t="s">
        <v>791</v>
      </c>
      <c r="D1113" s="255" t="s">
        <v>792</v>
      </c>
      <c r="E1113" s="256"/>
      <c r="F1113" s="257">
        <f>30.85-0.64</f>
        <v>30.21</v>
      </c>
      <c r="G1113" s="258" t="s">
        <v>208</v>
      </c>
      <c r="H1113" s="259"/>
      <c r="I1113" s="541">
        <f t="shared" si="18"/>
        <v>139423.66999999987</v>
      </c>
      <c r="K1113" s="243"/>
    </row>
    <row r="1114" spans="2:11" ht="17" customHeight="1">
      <c r="B1114" s="253">
        <v>45799</v>
      </c>
      <c r="C1114" s="449" t="s">
        <v>791</v>
      </c>
      <c r="D1114" s="255" t="s">
        <v>792</v>
      </c>
      <c r="E1114" s="256"/>
      <c r="F1114" s="257">
        <v>6.79</v>
      </c>
      <c r="G1114" s="258" t="s">
        <v>274</v>
      </c>
      <c r="H1114" s="259"/>
      <c r="I1114" s="541">
        <f t="shared" si="18"/>
        <v>139416.87999999986</v>
      </c>
      <c r="K1114" s="243"/>
    </row>
    <row r="1115" spans="2:11" ht="17" customHeight="1">
      <c r="B1115" s="253">
        <v>45799</v>
      </c>
      <c r="C1115" s="263" t="s">
        <v>513</v>
      </c>
      <c r="D1115" s="255" t="s">
        <v>31</v>
      </c>
      <c r="E1115" s="256"/>
      <c r="F1115" s="257">
        <f>855-145</f>
        <v>710</v>
      </c>
      <c r="G1115" s="258" t="s">
        <v>245</v>
      </c>
      <c r="H1115" s="259"/>
      <c r="I1115" s="541">
        <f t="shared" si="18"/>
        <v>138706.87999999986</v>
      </c>
      <c r="K1115" s="243"/>
    </row>
    <row r="1116" spans="2:11" ht="17" customHeight="1">
      <c r="B1116" s="253">
        <v>45799</v>
      </c>
      <c r="C1116" s="263" t="s">
        <v>283</v>
      </c>
      <c r="D1116" s="255" t="s">
        <v>283</v>
      </c>
      <c r="E1116" s="256">
        <f>516.7-E1117</f>
        <v>438.19000000000005</v>
      </c>
      <c r="F1116" s="257"/>
      <c r="G1116" s="258" t="str">
        <f>IFERROR(VLOOKUP(D1116,#REF!,2,FALSE),"_")</f>
        <v>_</v>
      </c>
      <c r="H1116" s="259"/>
      <c r="I1116" s="541">
        <f t="shared" si="18"/>
        <v>139145.06999999986</v>
      </c>
      <c r="K1116" s="243"/>
    </row>
    <row r="1117" spans="2:11" ht="17" customHeight="1">
      <c r="B1117" s="253">
        <v>45799</v>
      </c>
      <c r="C1117" s="263" t="s">
        <v>283</v>
      </c>
      <c r="D1117" s="255" t="s">
        <v>508</v>
      </c>
      <c r="E1117" s="256">
        <v>78.510000000000005</v>
      </c>
      <c r="F1117" s="257"/>
      <c r="G1117" s="258" t="str">
        <f>IFERROR(VLOOKUP(D1117,#REF!,2,FALSE),"_")</f>
        <v>_</v>
      </c>
      <c r="H1117" s="259"/>
      <c r="I1117" s="541">
        <f t="shared" si="18"/>
        <v>139223.57999999987</v>
      </c>
      <c r="K1117" s="243"/>
    </row>
    <row r="1118" spans="2:11" ht="17" customHeight="1">
      <c r="B1118" s="253">
        <v>45800</v>
      </c>
      <c r="C1118" s="263" t="s">
        <v>117</v>
      </c>
      <c r="D1118" s="255" t="s">
        <v>793</v>
      </c>
      <c r="E1118" s="256">
        <v>475</v>
      </c>
      <c r="F1118" s="257"/>
      <c r="G1118" s="258" t="s">
        <v>196</v>
      </c>
      <c r="H1118" s="259" t="s">
        <v>794</v>
      </c>
      <c r="I1118" s="541">
        <f t="shared" si="18"/>
        <v>139698.57999999987</v>
      </c>
      <c r="K1118" s="243"/>
    </row>
    <row r="1119" spans="2:11" ht="17" customHeight="1">
      <c r="B1119" s="253">
        <v>45800</v>
      </c>
      <c r="C1119" s="263" t="s">
        <v>117</v>
      </c>
      <c r="D1119" s="255" t="s">
        <v>795</v>
      </c>
      <c r="E1119" s="256">
        <v>195</v>
      </c>
      <c r="F1119" s="257"/>
      <c r="G1119" s="258" t="s">
        <v>194</v>
      </c>
      <c r="H1119" s="259" t="s">
        <v>796</v>
      </c>
      <c r="I1119" s="541">
        <f t="shared" si="18"/>
        <v>139893.57999999987</v>
      </c>
      <c r="K1119" s="243"/>
    </row>
    <row r="1120" spans="2:11" ht="17" customHeight="1">
      <c r="B1120" s="253">
        <v>45800</v>
      </c>
      <c r="C1120" s="263" t="s">
        <v>117</v>
      </c>
      <c r="D1120" s="255" t="s">
        <v>797</v>
      </c>
      <c r="E1120" s="256">
        <v>80</v>
      </c>
      <c r="F1120" s="257"/>
      <c r="G1120" s="258" t="s">
        <v>195</v>
      </c>
      <c r="H1120" s="259"/>
      <c r="I1120" s="541">
        <f t="shared" si="18"/>
        <v>139973.57999999987</v>
      </c>
      <c r="K1120" s="243"/>
    </row>
    <row r="1121" spans="2:11" ht="17" customHeight="1">
      <c r="B1121" s="253">
        <v>45800</v>
      </c>
      <c r="C1121" s="263" t="s">
        <v>117</v>
      </c>
      <c r="D1121" s="255" t="s">
        <v>798</v>
      </c>
      <c r="E1121" s="256">
        <v>90</v>
      </c>
      <c r="F1121" s="257"/>
      <c r="G1121" s="258" t="s">
        <v>195</v>
      </c>
      <c r="H1121" s="259"/>
      <c r="I1121" s="541">
        <f t="shared" si="18"/>
        <v>140063.57999999987</v>
      </c>
      <c r="K1121" s="243"/>
    </row>
    <row r="1122" spans="2:11" ht="17" customHeight="1">
      <c r="B1122" s="253">
        <v>45800</v>
      </c>
      <c r="C1122" s="263" t="s">
        <v>117</v>
      </c>
      <c r="D1122" s="255" t="s">
        <v>747</v>
      </c>
      <c r="E1122" s="256">
        <v>100</v>
      </c>
      <c r="F1122" s="257"/>
      <c r="G1122" s="258" t="s">
        <v>195</v>
      </c>
      <c r="H1122" s="259"/>
      <c r="I1122" s="541">
        <f t="shared" si="18"/>
        <v>140163.57999999987</v>
      </c>
      <c r="K1122" s="243"/>
    </row>
    <row r="1123" spans="2:11" ht="17" customHeight="1">
      <c r="B1123" s="253">
        <v>45800</v>
      </c>
      <c r="C1123" s="263" t="s">
        <v>117</v>
      </c>
      <c r="D1123" s="255" t="s">
        <v>799</v>
      </c>
      <c r="E1123" s="256">
        <v>160</v>
      </c>
      <c r="F1123" s="257"/>
      <c r="G1123" s="258" t="s">
        <v>202</v>
      </c>
      <c r="H1123" s="259" t="s">
        <v>800</v>
      </c>
      <c r="I1123" s="541">
        <f t="shared" si="18"/>
        <v>140323.57999999987</v>
      </c>
      <c r="K1123" s="243"/>
    </row>
    <row r="1124" spans="2:11" ht="17" customHeight="1">
      <c r="B1124" s="253">
        <v>45800</v>
      </c>
      <c r="C1124" s="449" t="s">
        <v>801</v>
      </c>
      <c r="D1124" s="255" t="s">
        <v>802</v>
      </c>
      <c r="E1124" s="256">
        <v>385</v>
      </c>
      <c r="F1124" s="257"/>
      <c r="G1124" s="258" t="s">
        <v>205</v>
      </c>
      <c r="H1124" s="259" t="s">
        <v>803</v>
      </c>
      <c r="I1124" s="541">
        <f t="shared" si="18"/>
        <v>140708.57999999987</v>
      </c>
      <c r="K1124" s="243"/>
    </row>
    <row r="1125" spans="2:11" ht="17" customHeight="1">
      <c r="B1125" s="253">
        <v>45800</v>
      </c>
      <c r="C1125" s="449" t="s">
        <v>804</v>
      </c>
      <c r="D1125" s="255" t="s">
        <v>349</v>
      </c>
      <c r="E1125" s="256"/>
      <c r="F1125" s="257">
        <v>831.3</v>
      </c>
      <c r="G1125" s="258" t="s">
        <v>199</v>
      </c>
      <c r="H1125" s="259"/>
      <c r="I1125" s="541">
        <f t="shared" si="18"/>
        <v>139877.27999999988</v>
      </c>
      <c r="K1125" s="243"/>
    </row>
    <row r="1126" spans="2:11" ht="17" customHeight="1">
      <c r="B1126" s="253">
        <v>45800</v>
      </c>
      <c r="C1126" s="263" t="s">
        <v>805</v>
      </c>
      <c r="D1126" s="255" t="s">
        <v>512</v>
      </c>
      <c r="E1126" s="256"/>
      <c r="F1126" s="257">
        <f>41.65-1.6</f>
        <v>40.049999999999997</v>
      </c>
      <c r="G1126" s="258" t="s">
        <v>199</v>
      </c>
      <c r="H1126" s="259"/>
      <c r="I1126" s="541">
        <f t="shared" si="18"/>
        <v>139837.22999999989</v>
      </c>
      <c r="K1126" s="243"/>
    </row>
    <row r="1127" spans="2:11" ht="17" customHeight="1">
      <c r="B1127" s="253">
        <v>45800</v>
      </c>
      <c r="C1127" s="263" t="s">
        <v>805</v>
      </c>
      <c r="D1127" s="255" t="s">
        <v>512</v>
      </c>
      <c r="E1127" s="256"/>
      <c r="F1127" s="257">
        <v>1.6</v>
      </c>
      <c r="G1127" s="258" t="s">
        <v>274</v>
      </c>
      <c r="H1127" s="259"/>
      <c r="I1127" s="541">
        <f t="shared" si="18"/>
        <v>139835.62999999989</v>
      </c>
      <c r="K1127" s="243"/>
    </row>
    <row r="1128" spans="2:11" ht="17" customHeight="1">
      <c r="B1128" s="253">
        <v>45800</v>
      </c>
      <c r="C1128" s="263" t="s">
        <v>117</v>
      </c>
      <c r="D1128" s="255" t="s">
        <v>806</v>
      </c>
      <c r="E1128" s="256"/>
      <c r="F1128" s="257">
        <v>120</v>
      </c>
      <c r="G1128" s="258" t="s">
        <v>216</v>
      </c>
      <c r="H1128" s="259"/>
      <c r="I1128" s="541">
        <f t="shared" si="18"/>
        <v>139715.62999999989</v>
      </c>
      <c r="K1128" s="243"/>
    </row>
    <row r="1129" spans="2:11" ht="17" customHeight="1">
      <c r="B1129" s="253">
        <v>45800</v>
      </c>
      <c r="C1129" s="263" t="s">
        <v>513</v>
      </c>
      <c r="D1129" s="255" t="s">
        <v>807</v>
      </c>
      <c r="E1129" s="256"/>
      <c r="F1129" s="257">
        <v>290</v>
      </c>
      <c r="G1129" s="258" t="s">
        <v>248</v>
      </c>
      <c r="H1129" s="259"/>
      <c r="I1129" s="541">
        <f t="shared" si="18"/>
        <v>139425.62999999989</v>
      </c>
      <c r="K1129" s="243"/>
    </row>
    <row r="1130" spans="2:11" ht="17" customHeight="1">
      <c r="B1130" s="253">
        <v>45800</v>
      </c>
      <c r="C1130" s="263" t="s">
        <v>117</v>
      </c>
      <c r="D1130" s="255" t="s">
        <v>306</v>
      </c>
      <c r="E1130" s="256"/>
      <c r="F1130" s="257">
        <v>912</v>
      </c>
      <c r="G1130" s="258" t="s">
        <v>202</v>
      </c>
      <c r="H1130" s="259"/>
      <c r="I1130" s="541">
        <f t="shared" si="18"/>
        <v>138513.62999999989</v>
      </c>
      <c r="K1130" s="243"/>
    </row>
    <row r="1131" spans="2:11" ht="17" customHeight="1">
      <c r="B1131" s="253">
        <v>45800</v>
      </c>
      <c r="C1131" s="263" t="s">
        <v>117</v>
      </c>
      <c r="D1131" s="255" t="s">
        <v>306</v>
      </c>
      <c r="E1131" s="256"/>
      <c r="F1131" s="257">
        <v>41.35</v>
      </c>
      <c r="G1131" s="258" t="s">
        <v>194</v>
      </c>
      <c r="H1131" s="259"/>
      <c r="I1131" s="541">
        <f t="shared" si="18"/>
        <v>138472.27999999988</v>
      </c>
      <c r="K1131" s="243"/>
    </row>
    <row r="1132" spans="2:11" ht="17" customHeight="1">
      <c r="B1132" s="253">
        <v>45800</v>
      </c>
      <c r="C1132" s="263" t="s">
        <v>117</v>
      </c>
      <c r="D1132" s="255" t="s">
        <v>306</v>
      </c>
      <c r="E1132" s="256"/>
      <c r="F1132" s="257">
        <v>178.2</v>
      </c>
      <c r="G1132" s="258" t="s">
        <v>194</v>
      </c>
      <c r="H1132" s="259"/>
      <c r="I1132" s="541">
        <f t="shared" si="18"/>
        <v>138294.07999999987</v>
      </c>
      <c r="K1132" s="243"/>
    </row>
    <row r="1133" spans="2:11" ht="17" customHeight="1">
      <c r="B1133" s="253">
        <v>45800</v>
      </c>
      <c r="C1133" s="263" t="s">
        <v>117</v>
      </c>
      <c r="D1133" s="255" t="s">
        <v>306</v>
      </c>
      <c r="E1133" s="256"/>
      <c r="F1133" s="257">
        <v>318.05</v>
      </c>
      <c r="G1133" s="258" t="s">
        <v>194</v>
      </c>
      <c r="H1133" s="259"/>
      <c r="I1133" s="541">
        <f t="shared" si="18"/>
        <v>137976.02999999988</v>
      </c>
      <c r="K1133" s="243"/>
    </row>
    <row r="1134" spans="2:11" ht="17" customHeight="1">
      <c r="B1134" s="253">
        <v>45800</v>
      </c>
      <c r="C1134" s="263" t="s">
        <v>117</v>
      </c>
      <c r="D1134" s="255" t="s">
        <v>306</v>
      </c>
      <c r="E1134" s="256"/>
      <c r="F1134" s="257">
        <v>79.650000000000006</v>
      </c>
      <c r="G1134" s="258" t="s">
        <v>194</v>
      </c>
      <c r="H1134" s="259"/>
      <c r="I1134" s="541">
        <f t="shared" si="18"/>
        <v>137896.37999999989</v>
      </c>
      <c r="K1134" s="243"/>
    </row>
    <row r="1135" spans="2:11" ht="17" customHeight="1">
      <c r="B1135" s="253">
        <v>45800</v>
      </c>
      <c r="C1135" s="263" t="s">
        <v>117</v>
      </c>
      <c r="D1135" s="255" t="s">
        <v>516</v>
      </c>
      <c r="E1135" s="256"/>
      <c r="F1135" s="257">
        <v>154.47</v>
      </c>
      <c r="G1135" s="258" t="s">
        <v>201</v>
      </c>
      <c r="H1135" s="259"/>
      <c r="I1135" s="541">
        <f t="shared" si="18"/>
        <v>137741.90999999989</v>
      </c>
      <c r="K1135" s="243"/>
    </row>
    <row r="1136" spans="2:11" ht="17" customHeight="1">
      <c r="B1136" s="253">
        <v>45800</v>
      </c>
      <c r="C1136" s="263" t="s">
        <v>117</v>
      </c>
      <c r="D1136" s="255" t="s">
        <v>713</v>
      </c>
      <c r="E1136" s="256"/>
      <c r="F1136" s="257">
        <v>40</v>
      </c>
      <c r="G1136" s="258" t="s">
        <v>216</v>
      </c>
      <c r="H1136" s="259"/>
      <c r="I1136" s="541">
        <f t="shared" si="18"/>
        <v>137701.90999999989</v>
      </c>
      <c r="K1136" s="243"/>
    </row>
    <row r="1137" spans="2:11" ht="17" customHeight="1">
      <c r="B1137" s="253">
        <v>45800</v>
      </c>
      <c r="C1137" s="263" t="s">
        <v>283</v>
      </c>
      <c r="D1137" s="255" t="s">
        <v>283</v>
      </c>
      <c r="E1137" s="256">
        <f>1347.85-E1138</f>
        <v>1177.3799999999999</v>
      </c>
      <c r="F1137" s="257"/>
      <c r="G1137" s="258" t="str">
        <f>IFERROR(VLOOKUP(D1137,#REF!,2,FALSE),"_")</f>
        <v>_</v>
      </c>
      <c r="H1137" s="259"/>
      <c r="I1137" s="541">
        <f t="shared" si="18"/>
        <v>138879.28999999989</v>
      </c>
      <c r="K1137" s="243"/>
    </row>
    <row r="1138" spans="2:11" ht="17" customHeight="1">
      <c r="B1138" s="253">
        <v>45800</v>
      </c>
      <c r="C1138" s="263" t="s">
        <v>283</v>
      </c>
      <c r="D1138" s="255" t="s">
        <v>508</v>
      </c>
      <c r="E1138" s="256">
        <v>170.47</v>
      </c>
      <c r="F1138" s="257"/>
      <c r="G1138" s="258" t="str">
        <f>IFERROR(VLOOKUP(D1138,#REF!,2,FALSE),"_")</f>
        <v>_</v>
      </c>
      <c r="H1138" s="259"/>
      <c r="I1138" s="541">
        <f t="shared" si="18"/>
        <v>139049.75999999989</v>
      </c>
      <c r="K1138" s="243"/>
    </row>
    <row r="1139" spans="2:11" ht="17" customHeight="1">
      <c r="B1139" s="253">
        <v>45801</v>
      </c>
      <c r="C1139" s="263" t="s">
        <v>117</v>
      </c>
      <c r="D1139" s="255" t="s">
        <v>808</v>
      </c>
      <c r="E1139" s="256"/>
      <c r="F1139" s="257">
        <v>15.75</v>
      </c>
      <c r="G1139" s="258" t="s">
        <v>201</v>
      </c>
      <c r="H1139" s="259"/>
      <c r="I1139" s="541">
        <f t="shared" si="18"/>
        <v>139034.00999999989</v>
      </c>
      <c r="K1139" s="243"/>
    </row>
    <row r="1140" spans="2:11" ht="17" customHeight="1">
      <c r="B1140" s="253">
        <v>45801</v>
      </c>
      <c r="C1140" s="263" t="s">
        <v>117</v>
      </c>
      <c r="D1140" s="255" t="s">
        <v>543</v>
      </c>
      <c r="E1140" s="256"/>
      <c r="F1140" s="257">
        <v>80</v>
      </c>
      <c r="G1140" s="258" t="s">
        <v>234</v>
      </c>
      <c r="H1140" s="259"/>
      <c r="I1140" s="541">
        <f t="shared" si="18"/>
        <v>138954.00999999989</v>
      </c>
      <c r="K1140" s="243"/>
    </row>
    <row r="1141" spans="2:11" ht="17" customHeight="1">
      <c r="B1141" s="253">
        <v>45801</v>
      </c>
      <c r="C1141" s="263" t="s">
        <v>513</v>
      </c>
      <c r="D1141" s="255" t="s">
        <v>576</v>
      </c>
      <c r="E1141" s="256"/>
      <c r="F1141" s="257">
        <v>50</v>
      </c>
      <c r="G1141" s="258" t="s">
        <v>248</v>
      </c>
      <c r="H1141" s="259"/>
      <c r="I1141" s="541">
        <f t="shared" si="18"/>
        <v>138904.00999999989</v>
      </c>
      <c r="K1141" s="243"/>
    </row>
    <row r="1142" spans="2:11" ht="17" customHeight="1">
      <c r="B1142" s="253">
        <v>45801</v>
      </c>
      <c r="C1142" s="263" t="s">
        <v>513</v>
      </c>
      <c r="D1142" s="255" t="s">
        <v>688</v>
      </c>
      <c r="E1142" s="256"/>
      <c r="F1142" s="257">
        <v>90</v>
      </c>
      <c r="G1142" s="258" t="s">
        <v>248</v>
      </c>
      <c r="H1142" s="259"/>
      <c r="I1142" s="541">
        <f t="shared" si="18"/>
        <v>138814.00999999989</v>
      </c>
      <c r="K1142" s="243"/>
    </row>
    <row r="1143" spans="2:11" ht="17" customHeight="1">
      <c r="B1143" s="253">
        <v>45801</v>
      </c>
      <c r="C1143" s="263" t="s">
        <v>513</v>
      </c>
      <c r="D1143" s="255" t="s">
        <v>809</v>
      </c>
      <c r="E1143" s="256"/>
      <c r="F1143" s="257">
        <v>50</v>
      </c>
      <c r="G1143" s="258" t="s">
        <v>248</v>
      </c>
      <c r="H1143" s="259"/>
      <c r="I1143" s="541">
        <f t="shared" si="18"/>
        <v>138764.00999999989</v>
      </c>
      <c r="K1143" s="243"/>
    </row>
    <row r="1144" spans="2:11" ht="17" customHeight="1">
      <c r="B1144" s="253">
        <v>45801</v>
      </c>
      <c r="C1144" s="449" t="s">
        <v>117</v>
      </c>
      <c r="D1144" s="255" t="s">
        <v>810</v>
      </c>
      <c r="E1144" s="256"/>
      <c r="F1144" s="257">
        <v>18</v>
      </c>
      <c r="G1144" s="258" t="s">
        <v>256</v>
      </c>
      <c r="H1144" s="259"/>
      <c r="I1144" s="541">
        <f t="shared" si="18"/>
        <v>138746.00999999989</v>
      </c>
      <c r="K1144" s="243"/>
    </row>
    <row r="1145" spans="2:11" ht="17" customHeight="1">
      <c r="B1145" s="253">
        <v>45801</v>
      </c>
      <c r="C1145" s="449" t="s">
        <v>117</v>
      </c>
      <c r="D1145" s="255" t="s">
        <v>594</v>
      </c>
      <c r="E1145" s="256"/>
      <c r="F1145" s="257">
        <v>24</v>
      </c>
      <c r="G1145" s="258" t="s">
        <v>256</v>
      </c>
      <c r="H1145" s="259"/>
      <c r="I1145" s="541">
        <f t="shared" si="18"/>
        <v>138722.00999999989</v>
      </c>
      <c r="K1145" s="243"/>
    </row>
    <row r="1146" spans="2:11" ht="17" customHeight="1">
      <c r="B1146" s="253">
        <v>45801</v>
      </c>
      <c r="C1146" s="263" t="s">
        <v>283</v>
      </c>
      <c r="D1146" s="255" t="s">
        <v>283</v>
      </c>
      <c r="E1146" s="256">
        <f>2663.75+400-E1147</f>
        <v>2731.63</v>
      </c>
      <c r="F1146" s="257"/>
      <c r="G1146" s="258" t="str">
        <f>IFERROR(VLOOKUP(D1146,#REF!,2,FALSE),"_")</f>
        <v>_</v>
      </c>
      <c r="H1146" s="259"/>
      <c r="I1146" s="541">
        <f t="shared" si="18"/>
        <v>141453.6399999999</v>
      </c>
      <c r="K1146" s="243"/>
    </row>
    <row r="1147" spans="2:11" ht="17" customHeight="1">
      <c r="B1147" s="253">
        <v>45801</v>
      </c>
      <c r="C1147" s="263" t="s">
        <v>283</v>
      </c>
      <c r="D1147" s="255" t="s">
        <v>508</v>
      </c>
      <c r="E1147" s="256">
        <v>332.12</v>
      </c>
      <c r="F1147" s="257"/>
      <c r="G1147" s="258" t="str">
        <f>IFERROR(VLOOKUP(D1147,#REF!,2,FALSE),"_")</f>
        <v>_</v>
      </c>
      <c r="H1147" s="259"/>
      <c r="I1147" s="541">
        <f t="shared" si="18"/>
        <v>141785.75999999989</v>
      </c>
      <c r="K1147" s="243"/>
    </row>
    <row r="1148" spans="2:11" ht="17" customHeight="1">
      <c r="B1148" s="253">
        <v>45802</v>
      </c>
      <c r="C1148" s="263" t="s">
        <v>513</v>
      </c>
      <c r="D1148" s="255" t="s">
        <v>576</v>
      </c>
      <c r="E1148" s="256"/>
      <c r="F1148" s="257">
        <v>80</v>
      </c>
      <c r="G1148" s="258" t="s">
        <v>248</v>
      </c>
      <c r="H1148" s="259"/>
      <c r="I1148" s="541">
        <f t="shared" si="18"/>
        <v>141705.75999999989</v>
      </c>
      <c r="K1148" s="243"/>
    </row>
    <row r="1149" spans="2:11" ht="17" customHeight="1">
      <c r="B1149" s="253">
        <v>45802</v>
      </c>
      <c r="C1149" s="263" t="s">
        <v>513</v>
      </c>
      <c r="D1149" s="255" t="s">
        <v>688</v>
      </c>
      <c r="E1149" s="256"/>
      <c r="F1149" s="257">
        <v>65</v>
      </c>
      <c r="G1149" s="258" t="s">
        <v>248</v>
      </c>
      <c r="H1149" s="259"/>
      <c r="I1149" s="541">
        <f t="shared" si="18"/>
        <v>141640.75999999989</v>
      </c>
      <c r="K1149" s="243"/>
    </row>
    <row r="1150" spans="2:11" ht="17" customHeight="1">
      <c r="B1150" s="253">
        <v>45802</v>
      </c>
      <c r="C1150" s="263" t="s">
        <v>283</v>
      </c>
      <c r="D1150" s="255" t="s">
        <v>283</v>
      </c>
      <c r="E1150" s="256">
        <f>1811.5-E1151</f>
        <v>1558.19</v>
      </c>
      <c r="F1150" s="257"/>
      <c r="G1150" s="258" t="str">
        <f>IFERROR(VLOOKUP(D1150,#REF!,2,FALSE),"_")</f>
        <v>_</v>
      </c>
      <c r="H1150" s="259"/>
      <c r="I1150" s="541">
        <f t="shared" si="18"/>
        <v>143198.9499999999</v>
      </c>
      <c r="K1150" s="243"/>
    </row>
    <row r="1151" spans="2:11" ht="17" customHeight="1">
      <c r="B1151" s="253">
        <v>45802</v>
      </c>
      <c r="C1151" s="263" t="s">
        <v>283</v>
      </c>
      <c r="D1151" s="255" t="s">
        <v>508</v>
      </c>
      <c r="E1151" s="256">
        <v>253.31</v>
      </c>
      <c r="F1151" s="257"/>
      <c r="G1151" s="258" t="str">
        <f>IFERROR(VLOOKUP(D1151,#REF!,2,FALSE),"_")</f>
        <v>_</v>
      </c>
      <c r="H1151" s="259"/>
      <c r="I1151" s="541">
        <f t="shared" si="18"/>
        <v>143452.25999999989</v>
      </c>
      <c r="K1151" s="243"/>
    </row>
    <row r="1152" spans="2:11" ht="17" customHeight="1">
      <c r="B1152" s="736">
        <v>45803</v>
      </c>
      <c r="C1152" s="263" t="s">
        <v>117</v>
      </c>
      <c r="D1152" s="255" t="s">
        <v>650</v>
      </c>
      <c r="E1152" s="256"/>
      <c r="F1152" s="257">
        <f>9006.6/7</f>
        <v>1286.6571428571428</v>
      </c>
      <c r="G1152" s="258" t="s">
        <v>194</v>
      </c>
      <c r="H1152" s="259" t="s">
        <v>1942</v>
      </c>
      <c r="I1152" s="541">
        <f t="shared" si="18"/>
        <v>142165.60285714275</v>
      </c>
      <c r="K1152" s="243"/>
    </row>
    <row r="1153" spans="2:11" ht="17" customHeight="1">
      <c r="B1153" s="736">
        <v>45834</v>
      </c>
      <c r="C1153" s="263" t="s">
        <v>117</v>
      </c>
      <c r="D1153" s="255" t="s">
        <v>650</v>
      </c>
      <c r="E1153" s="256"/>
      <c r="F1153" s="257">
        <v>1286.6600000000001</v>
      </c>
      <c r="G1153" s="258" t="s">
        <v>194</v>
      </c>
      <c r="H1153" s="259" t="s">
        <v>1942</v>
      </c>
      <c r="I1153" s="541">
        <f t="shared" si="18"/>
        <v>140878.94285714274</v>
      </c>
      <c r="K1153" s="243"/>
    </row>
    <row r="1154" spans="2:11" ht="17" customHeight="1">
      <c r="B1154" s="736">
        <v>45864</v>
      </c>
      <c r="C1154" s="263" t="s">
        <v>117</v>
      </c>
      <c r="D1154" s="255" t="s">
        <v>650</v>
      </c>
      <c r="E1154" s="256"/>
      <c r="F1154" s="257">
        <f t="shared" ref="F1154" si="19">9006.6/7</f>
        <v>1286.6571428571428</v>
      </c>
      <c r="G1154" s="258" t="s">
        <v>194</v>
      </c>
      <c r="H1154" s="259" t="s">
        <v>1942</v>
      </c>
      <c r="I1154" s="541">
        <f t="shared" si="18"/>
        <v>139592.28571428559</v>
      </c>
      <c r="K1154" s="243"/>
    </row>
    <row r="1155" spans="2:11" ht="17" customHeight="1">
      <c r="B1155" s="736">
        <v>45895</v>
      </c>
      <c r="C1155" s="263" t="s">
        <v>117</v>
      </c>
      <c r="D1155" s="255" t="s">
        <v>650</v>
      </c>
      <c r="E1155" s="256"/>
      <c r="F1155" s="257">
        <v>1287.6600000000001</v>
      </c>
      <c r="G1155" s="258" t="s">
        <v>194</v>
      </c>
      <c r="H1155" s="259" t="s">
        <v>1942</v>
      </c>
      <c r="I1155" s="541">
        <f t="shared" si="18"/>
        <v>138304.62571428559</v>
      </c>
      <c r="K1155" s="243"/>
    </row>
    <row r="1156" spans="2:11" ht="17" customHeight="1">
      <c r="B1156" s="736">
        <v>45926</v>
      </c>
      <c r="C1156" s="263" t="s">
        <v>117</v>
      </c>
      <c r="D1156" s="255" t="s">
        <v>650</v>
      </c>
      <c r="E1156" s="256"/>
      <c r="F1156" s="257">
        <f t="shared" ref="F1156" si="20">9006.6/7</f>
        <v>1286.6571428571428</v>
      </c>
      <c r="G1156" s="258" t="s">
        <v>194</v>
      </c>
      <c r="H1156" s="259" t="s">
        <v>1942</v>
      </c>
      <c r="I1156" s="541">
        <f t="shared" si="18"/>
        <v>137017.96857142844</v>
      </c>
      <c r="K1156" s="243"/>
    </row>
    <row r="1157" spans="2:11" ht="17" customHeight="1">
      <c r="B1157" s="736">
        <v>45956</v>
      </c>
      <c r="C1157" s="263" t="s">
        <v>117</v>
      </c>
      <c r="D1157" s="255" t="s">
        <v>650</v>
      </c>
      <c r="E1157" s="256"/>
      <c r="F1157" s="257">
        <v>1288.6600000000001</v>
      </c>
      <c r="G1157" s="258" t="s">
        <v>194</v>
      </c>
      <c r="H1157" s="259" t="s">
        <v>1942</v>
      </c>
      <c r="I1157" s="541">
        <f t="shared" si="18"/>
        <v>135729.30857142844</v>
      </c>
      <c r="K1157" s="243"/>
    </row>
    <row r="1158" spans="2:11" ht="17" customHeight="1">
      <c r="B1158" s="736">
        <v>45987</v>
      </c>
      <c r="C1158" s="263" t="s">
        <v>117</v>
      </c>
      <c r="D1158" s="255" t="s">
        <v>650</v>
      </c>
      <c r="E1158" s="256"/>
      <c r="F1158" s="257">
        <f t="shared" ref="F1158" si="21">9006.6/7</f>
        <v>1286.6571428571428</v>
      </c>
      <c r="G1158" s="258" t="s">
        <v>194</v>
      </c>
      <c r="H1158" s="259" t="s">
        <v>1942</v>
      </c>
      <c r="I1158" s="541">
        <f t="shared" si="18"/>
        <v>134442.65142857129</v>
      </c>
      <c r="K1158" s="243"/>
    </row>
    <row r="1159" spans="2:11" ht="17" customHeight="1">
      <c r="B1159" s="253">
        <v>45803</v>
      </c>
      <c r="C1159" s="263" t="s">
        <v>513</v>
      </c>
      <c r="D1159" s="255" t="s">
        <v>563</v>
      </c>
      <c r="E1159" s="256"/>
      <c r="F1159" s="257">
        <v>120</v>
      </c>
      <c r="G1159" s="258" t="s">
        <v>249</v>
      </c>
      <c r="H1159" s="259"/>
      <c r="I1159" s="541">
        <f t="shared" si="18"/>
        <v>134322.65142857129</v>
      </c>
      <c r="K1159" s="243"/>
    </row>
    <row r="1160" spans="2:11" ht="17" customHeight="1">
      <c r="B1160" s="253">
        <v>45803</v>
      </c>
      <c r="C1160" s="263" t="s">
        <v>283</v>
      </c>
      <c r="D1160" s="255" t="s">
        <v>283</v>
      </c>
      <c r="E1160" s="256">
        <f>470-E1161</f>
        <v>409.83</v>
      </c>
      <c r="F1160" s="257"/>
      <c r="G1160" s="258" t="str">
        <f>IFERROR(VLOOKUP(D1160,#REF!,2,FALSE),"_")</f>
        <v>_</v>
      </c>
      <c r="H1160" s="259"/>
      <c r="I1160" s="541">
        <f t="shared" si="18"/>
        <v>134732.48142857128</v>
      </c>
      <c r="K1160" s="243"/>
    </row>
    <row r="1161" spans="2:11" ht="17" customHeight="1">
      <c r="B1161" s="253">
        <v>45803</v>
      </c>
      <c r="C1161" s="263" t="s">
        <v>283</v>
      </c>
      <c r="D1161" s="255" t="s">
        <v>508</v>
      </c>
      <c r="E1161" s="256">
        <v>60.17</v>
      </c>
      <c r="F1161" s="257"/>
      <c r="G1161" s="258" t="str">
        <f>IFERROR(VLOOKUP(D1161,#REF!,2,FALSE),"_")</f>
        <v>_</v>
      </c>
      <c r="H1161" s="259"/>
      <c r="I1161" s="541">
        <f t="shared" si="18"/>
        <v>134792.65142857129</v>
      </c>
      <c r="K1161" s="243"/>
    </row>
    <row r="1162" spans="2:11" ht="17" customHeight="1">
      <c r="B1162" s="253">
        <v>45804</v>
      </c>
      <c r="C1162" s="263" t="s">
        <v>117</v>
      </c>
      <c r="D1162" s="255" t="s">
        <v>549</v>
      </c>
      <c r="E1162" s="256"/>
      <c r="F1162" s="257">
        <v>14.8</v>
      </c>
      <c r="G1162" s="258" t="s">
        <v>256</v>
      </c>
      <c r="H1162" s="259"/>
      <c r="I1162" s="541">
        <f t="shared" si="18"/>
        <v>134777.8514285713</v>
      </c>
      <c r="K1162" s="243"/>
    </row>
    <row r="1163" spans="2:11" ht="17" customHeight="1">
      <c r="B1163" s="253">
        <v>45804</v>
      </c>
      <c r="C1163" s="263" t="s">
        <v>283</v>
      </c>
      <c r="D1163" s="255" t="s">
        <v>283</v>
      </c>
      <c r="E1163" s="256">
        <f>570.2-E1164</f>
        <v>471.73</v>
      </c>
      <c r="F1163" s="257"/>
      <c r="G1163" s="258" t="str">
        <f>IFERROR(VLOOKUP(D1163,#REF!,2,FALSE),"_")</f>
        <v>_</v>
      </c>
      <c r="H1163" s="259"/>
      <c r="I1163" s="541">
        <f t="shared" si="18"/>
        <v>135249.58142857131</v>
      </c>
      <c r="K1163" s="243"/>
    </row>
    <row r="1164" spans="2:11" ht="17" customHeight="1">
      <c r="B1164" s="253">
        <v>45804</v>
      </c>
      <c r="C1164" s="263" t="s">
        <v>283</v>
      </c>
      <c r="D1164" s="255" t="s">
        <v>508</v>
      </c>
      <c r="E1164" s="256">
        <v>98.47</v>
      </c>
      <c r="F1164" s="257"/>
      <c r="G1164" s="258" t="str">
        <f>IFERROR(VLOOKUP(D1164,#REF!,2,FALSE),"_")</f>
        <v>_</v>
      </c>
      <c r="H1164" s="259"/>
      <c r="I1164" s="541">
        <f t="shared" si="18"/>
        <v>135348.05142857131</v>
      </c>
      <c r="K1164" s="243"/>
    </row>
    <row r="1165" spans="2:11" ht="17" customHeight="1">
      <c r="B1165" s="253">
        <v>45805</v>
      </c>
      <c r="C1165" s="263" t="s">
        <v>811</v>
      </c>
      <c r="D1165" s="255" t="s">
        <v>512</v>
      </c>
      <c r="E1165" s="256"/>
      <c r="F1165" s="257">
        <f>33.1-1.27</f>
        <v>31.830000000000002</v>
      </c>
      <c r="G1165" s="258" t="s">
        <v>199</v>
      </c>
      <c r="H1165" s="259"/>
      <c r="I1165" s="541">
        <f t="shared" si="18"/>
        <v>135316.22142857133</v>
      </c>
      <c r="K1165" s="243"/>
    </row>
    <row r="1166" spans="2:11" ht="17" customHeight="1">
      <c r="B1166" s="253">
        <v>45805</v>
      </c>
      <c r="C1166" s="263" t="s">
        <v>811</v>
      </c>
      <c r="D1166" s="255" t="s">
        <v>512</v>
      </c>
      <c r="E1166" s="256"/>
      <c r="F1166" s="257">
        <v>1.27</v>
      </c>
      <c r="G1166" s="258" t="s">
        <v>274</v>
      </c>
      <c r="H1166" s="259"/>
      <c r="I1166" s="541">
        <f t="shared" si="18"/>
        <v>135314.95142857134</v>
      </c>
      <c r="K1166" s="243"/>
    </row>
    <row r="1167" spans="2:11" ht="17" customHeight="1">
      <c r="B1167" s="253">
        <v>45805</v>
      </c>
      <c r="C1167" s="263" t="s">
        <v>286</v>
      </c>
      <c r="D1167" s="255" t="s">
        <v>520</v>
      </c>
      <c r="E1167" s="256"/>
      <c r="F1167" s="257">
        <v>35</v>
      </c>
      <c r="G1167" s="258" t="s">
        <v>139</v>
      </c>
      <c r="H1167" s="259"/>
      <c r="I1167" s="541">
        <f t="shared" si="18"/>
        <v>135279.95142857134</v>
      </c>
      <c r="K1167" s="243"/>
    </row>
    <row r="1168" spans="2:11" ht="17" customHeight="1">
      <c r="B1168" s="253">
        <v>45805</v>
      </c>
      <c r="C1168" s="263" t="s">
        <v>283</v>
      </c>
      <c r="D1168" s="255" t="s">
        <v>283</v>
      </c>
      <c r="E1168" s="256">
        <f>624.1-E1169</f>
        <v>538.15</v>
      </c>
      <c r="F1168" s="257"/>
      <c r="G1168" s="258" t="str">
        <f>IFERROR(VLOOKUP(D1168,#REF!,2,FALSE),"_")</f>
        <v>_</v>
      </c>
      <c r="H1168" s="259"/>
      <c r="I1168" s="541">
        <f t="shared" si="18"/>
        <v>135818.10142857133</v>
      </c>
      <c r="K1168" s="243"/>
    </row>
    <row r="1169" spans="2:11" ht="17" customHeight="1">
      <c r="B1169" s="253">
        <v>45805</v>
      </c>
      <c r="C1169" s="263" t="s">
        <v>283</v>
      </c>
      <c r="D1169" s="255" t="s">
        <v>508</v>
      </c>
      <c r="E1169" s="256">
        <v>85.95</v>
      </c>
      <c r="F1169" s="257"/>
      <c r="G1169" s="258" t="str">
        <f>IFERROR(VLOOKUP(D1169,#REF!,2,FALSE),"_")</f>
        <v>_</v>
      </c>
      <c r="H1169" s="259"/>
      <c r="I1169" s="541">
        <f t="shared" si="18"/>
        <v>135904.05142857134</v>
      </c>
      <c r="K1169" s="243"/>
    </row>
    <row r="1170" spans="2:11" ht="17" customHeight="1">
      <c r="B1170" s="253">
        <v>45806</v>
      </c>
      <c r="C1170" s="263" t="s">
        <v>513</v>
      </c>
      <c r="D1170" s="255" t="s">
        <v>31</v>
      </c>
      <c r="E1170" s="256"/>
      <c r="F1170" s="257">
        <v>200</v>
      </c>
      <c r="G1170" s="258" t="s">
        <v>245</v>
      </c>
      <c r="H1170" s="259"/>
      <c r="I1170" s="541">
        <f t="shared" ref="I1170:I1233" si="22">I1169+E1170-F1170</f>
        <v>135704.05142857134</v>
      </c>
      <c r="K1170" s="243"/>
    </row>
    <row r="1171" spans="2:11" ht="17" customHeight="1">
      <c r="B1171" s="253">
        <v>45806</v>
      </c>
      <c r="C1171" s="263" t="s">
        <v>117</v>
      </c>
      <c r="D1171" s="255" t="s">
        <v>812</v>
      </c>
      <c r="E1171" s="256">
        <v>75</v>
      </c>
      <c r="F1171" s="257"/>
      <c r="G1171" s="258" t="s">
        <v>195</v>
      </c>
      <c r="H1171" s="259"/>
      <c r="I1171" s="541">
        <f t="shared" si="22"/>
        <v>135779.05142857134</v>
      </c>
      <c r="K1171" s="243"/>
    </row>
    <row r="1172" spans="2:11" ht="17" customHeight="1">
      <c r="B1172" s="253">
        <v>45806</v>
      </c>
      <c r="C1172" s="263" t="s">
        <v>117</v>
      </c>
      <c r="D1172" s="255" t="s">
        <v>747</v>
      </c>
      <c r="E1172" s="256">
        <v>75</v>
      </c>
      <c r="F1172" s="257"/>
      <c r="G1172" s="258" t="s">
        <v>195</v>
      </c>
      <c r="H1172" s="259"/>
      <c r="I1172" s="541">
        <f t="shared" si="22"/>
        <v>135854.05142857134</v>
      </c>
      <c r="K1172" s="243"/>
    </row>
    <row r="1173" spans="2:11" ht="17" customHeight="1">
      <c r="B1173" s="253">
        <v>45806</v>
      </c>
      <c r="C1173" s="263" t="s">
        <v>117</v>
      </c>
      <c r="D1173" s="255" t="s">
        <v>306</v>
      </c>
      <c r="E1173" s="256"/>
      <c r="F1173" s="257">
        <v>758.15</v>
      </c>
      <c r="G1173" s="258" t="s">
        <v>194</v>
      </c>
      <c r="H1173" s="259"/>
      <c r="I1173" s="541">
        <f t="shared" si="22"/>
        <v>135095.90142857135</v>
      </c>
      <c r="K1173" s="243"/>
    </row>
    <row r="1174" spans="2:11" ht="17" customHeight="1">
      <c r="B1174" s="253">
        <v>45806</v>
      </c>
      <c r="C1174" s="263" t="s">
        <v>117</v>
      </c>
      <c r="D1174" s="255" t="s">
        <v>306</v>
      </c>
      <c r="E1174" s="256"/>
      <c r="F1174" s="257">
        <v>106.05</v>
      </c>
      <c r="G1174" s="258" t="s">
        <v>194</v>
      </c>
      <c r="H1174" s="259"/>
      <c r="I1174" s="541">
        <f t="shared" si="22"/>
        <v>134989.85142857136</v>
      </c>
      <c r="K1174" s="243"/>
    </row>
    <row r="1175" spans="2:11" ht="17" customHeight="1">
      <c r="B1175" s="253">
        <v>45806</v>
      </c>
      <c r="C1175" s="263" t="s">
        <v>117</v>
      </c>
      <c r="D1175" s="255" t="s">
        <v>813</v>
      </c>
      <c r="E1175" s="256"/>
      <c r="F1175" s="257">
        <v>204.25</v>
      </c>
      <c r="G1175" s="258" t="s">
        <v>194</v>
      </c>
      <c r="H1175" s="259"/>
      <c r="I1175" s="541">
        <f t="shared" si="22"/>
        <v>134785.60142857136</v>
      </c>
      <c r="K1175" s="243"/>
    </row>
    <row r="1176" spans="2:11" ht="17" customHeight="1">
      <c r="B1176" s="253">
        <v>45806</v>
      </c>
      <c r="C1176" s="263" t="s">
        <v>283</v>
      </c>
      <c r="D1176" s="255" t="s">
        <v>283</v>
      </c>
      <c r="E1176" s="256">
        <f>726.2-E1177</f>
        <v>635.47</v>
      </c>
      <c r="F1176" s="257"/>
      <c r="G1176" s="258" t="str">
        <f>IFERROR(VLOOKUP(D1176,#REF!,2,FALSE),"_")</f>
        <v>_</v>
      </c>
      <c r="H1176" s="259"/>
      <c r="I1176" s="541">
        <f t="shared" si="22"/>
        <v>135421.07142857136</v>
      </c>
      <c r="K1176" s="243"/>
    </row>
    <row r="1177" spans="2:11" ht="17" customHeight="1">
      <c r="B1177" s="253">
        <v>45806</v>
      </c>
      <c r="C1177" s="263" t="s">
        <v>283</v>
      </c>
      <c r="D1177" s="255" t="s">
        <v>508</v>
      </c>
      <c r="E1177" s="256">
        <v>90.73</v>
      </c>
      <c r="F1177" s="257"/>
      <c r="G1177" s="258" t="str">
        <f>IFERROR(VLOOKUP(D1177,#REF!,2,FALSE),"_")</f>
        <v>_</v>
      </c>
      <c r="H1177" s="259"/>
      <c r="I1177" s="541">
        <f t="shared" si="22"/>
        <v>135511.80142857137</v>
      </c>
      <c r="K1177" s="243"/>
    </row>
    <row r="1178" spans="2:11" ht="17" customHeight="1">
      <c r="B1178" s="253">
        <v>45807</v>
      </c>
      <c r="C1178" s="263" t="s">
        <v>117</v>
      </c>
      <c r="D1178" s="255" t="s">
        <v>516</v>
      </c>
      <c r="E1178" s="256"/>
      <c r="F1178" s="257">
        <v>136</v>
      </c>
      <c r="G1178" s="258" t="s">
        <v>201</v>
      </c>
      <c r="H1178" s="259"/>
      <c r="I1178" s="541">
        <f t="shared" si="22"/>
        <v>135375.80142857137</v>
      </c>
      <c r="K1178" s="243"/>
    </row>
    <row r="1179" spans="2:11" ht="17" customHeight="1">
      <c r="B1179" s="253">
        <v>45807</v>
      </c>
      <c r="C1179" s="263" t="s">
        <v>283</v>
      </c>
      <c r="D1179" s="255" t="s">
        <v>283</v>
      </c>
      <c r="E1179" s="256">
        <f>2326+170-E1180</f>
        <v>2166.13</v>
      </c>
      <c r="F1179" s="257"/>
      <c r="G1179" s="258" t="str">
        <f>IFERROR(VLOOKUP(D1179,#REF!,2,FALSE),"_")</f>
        <v>_</v>
      </c>
      <c r="H1179" s="259"/>
      <c r="I1179" s="541">
        <f t="shared" si="22"/>
        <v>137541.93142857138</v>
      </c>
      <c r="K1179" s="243"/>
    </row>
    <row r="1180" spans="2:11" ht="17" customHeight="1">
      <c r="B1180" s="253">
        <v>45807</v>
      </c>
      <c r="C1180" s="263" t="s">
        <v>283</v>
      </c>
      <c r="D1180" s="255" t="s">
        <v>508</v>
      </c>
      <c r="E1180" s="256">
        <v>329.87</v>
      </c>
      <c r="F1180" s="257"/>
      <c r="G1180" s="258" t="str">
        <f>IFERROR(VLOOKUP(D1180,#REF!,2,FALSE),"_")</f>
        <v>_</v>
      </c>
      <c r="H1180" s="259"/>
      <c r="I1180" s="541">
        <f t="shared" si="22"/>
        <v>137871.80142857137</v>
      </c>
      <c r="K1180" s="243"/>
    </row>
    <row r="1181" spans="2:11" ht="17" customHeight="1">
      <c r="B1181" s="253">
        <v>45808</v>
      </c>
      <c r="C1181" s="263" t="s">
        <v>117</v>
      </c>
      <c r="D1181" s="255" t="s">
        <v>814</v>
      </c>
      <c r="E1181" s="256"/>
      <c r="F1181" s="257">
        <v>30</v>
      </c>
      <c r="G1181" s="258" t="s">
        <v>256</v>
      </c>
      <c r="H1181" s="259"/>
      <c r="I1181" s="541">
        <f t="shared" si="22"/>
        <v>137841.80142857137</v>
      </c>
      <c r="K1181" s="243"/>
    </row>
    <row r="1182" spans="2:11" ht="17" customHeight="1">
      <c r="B1182" s="253">
        <v>45808</v>
      </c>
      <c r="C1182" s="449" t="s">
        <v>815</v>
      </c>
      <c r="D1182" s="255" t="s">
        <v>545</v>
      </c>
      <c r="E1182" s="256"/>
      <c r="F1182" s="257">
        <v>30</v>
      </c>
      <c r="G1182" s="258" t="s">
        <v>207</v>
      </c>
      <c r="H1182" s="259"/>
      <c r="I1182" s="541">
        <f t="shared" si="22"/>
        <v>137811.80142857137</v>
      </c>
      <c r="K1182" s="243"/>
    </row>
    <row r="1183" spans="2:11" ht="17" customHeight="1">
      <c r="B1183" s="253">
        <v>45808</v>
      </c>
      <c r="C1183" s="449" t="s">
        <v>117</v>
      </c>
      <c r="D1183" s="255" t="s">
        <v>816</v>
      </c>
      <c r="E1183" s="256"/>
      <c r="F1183" s="257">
        <v>60</v>
      </c>
      <c r="G1183" s="258" t="s">
        <v>252</v>
      </c>
      <c r="H1183" s="259"/>
      <c r="I1183" s="541">
        <f t="shared" si="22"/>
        <v>137751.80142857137</v>
      </c>
      <c r="K1183" s="243"/>
    </row>
    <row r="1184" spans="2:11" ht="17" customHeight="1">
      <c r="B1184" s="253">
        <v>45808</v>
      </c>
      <c r="C1184" s="263" t="s">
        <v>117</v>
      </c>
      <c r="D1184" s="255" t="s">
        <v>808</v>
      </c>
      <c r="E1184" s="256"/>
      <c r="F1184" s="257">
        <v>18.5</v>
      </c>
      <c r="G1184" s="258" t="s">
        <v>201</v>
      </c>
      <c r="H1184" s="259"/>
      <c r="I1184" s="541">
        <f t="shared" si="22"/>
        <v>137733.30142857137</v>
      </c>
      <c r="K1184" s="243"/>
    </row>
    <row r="1185" spans="2:11" ht="17" customHeight="1">
      <c r="B1185" s="253">
        <v>45808</v>
      </c>
      <c r="C1185" s="263" t="s">
        <v>117</v>
      </c>
      <c r="D1185" s="255" t="s">
        <v>532</v>
      </c>
      <c r="E1185" s="256"/>
      <c r="F1185" s="257">
        <v>500</v>
      </c>
      <c r="G1185" s="258" t="s">
        <v>231</v>
      </c>
      <c r="H1185" s="259"/>
      <c r="I1185" s="541">
        <f t="shared" si="22"/>
        <v>137233.30142857137</v>
      </c>
      <c r="K1185" s="243"/>
    </row>
    <row r="1186" spans="2:11" ht="17" customHeight="1">
      <c r="B1186" s="253">
        <v>45808</v>
      </c>
      <c r="C1186" s="263" t="s">
        <v>117</v>
      </c>
      <c r="D1186" s="255" t="s">
        <v>817</v>
      </c>
      <c r="E1186" s="256"/>
      <c r="F1186" s="257">
        <v>80</v>
      </c>
      <c r="G1186" s="258" t="s">
        <v>238</v>
      </c>
      <c r="H1186" s="259"/>
      <c r="I1186" s="541">
        <f t="shared" si="22"/>
        <v>137153.30142857137</v>
      </c>
      <c r="K1186" s="243"/>
    </row>
    <row r="1187" spans="2:11" ht="17" customHeight="1">
      <c r="B1187" s="253">
        <v>45808</v>
      </c>
      <c r="C1187" s="263" t="s">
        <v>283</v>
      </c>
      <c r="D1187" s="255" t="s">
        <v>283</v>
      </c>
      <c r="E1187" s="256">
        <v>5367.85</v>
      </c>
      <c r="F1187" s="257"/>
      <c r="G1187" s="258" t="str">
        <f>IFERROR(VLOOKUP(D1187,#REF!,2,FALSE),"_")</f>
        <v>_</v>
      </c>
      <c r="H1187" s="259"/>
      <c r="I1187" s="541">
        <f t="shared" si="22"/>
        <v>142521.15142857138</v>
      </c>
      <c r="K1187" s="243"/>
    </row>
    <row r="1188" spans="2:11" ht="17" customHeight="1">
      <c r="B1188" s="253">
        <v>45809</v>
      </c>
      <c r="C1188" s="263" t="s">
        <v>117</v>
      </c>
      <c r="D1188" s="255" t="s">
        <v>517</v>
      </c>
      <c r="E1188" s="256"/>
      <c r="F1188" s="257">
        <v>80</v>
      </c>
      <c r="G1188" s="258" t="s">
        <v>234</v>
      </c>
      <c r="H1188" s="259"/>
      <c r="I1188" s="541">
        <f t="shared" si="22"/>
        <v>142441.15142857138</v>
      </c>
      <c r="K1188" s="243"/>
    </row>
    <row r="1189" spans="2:11" ht="17" customHeight="1">
      <c r="B1189" s="253">
        <v>45809</v>
      </c>
      <c r="C1189" s="263" t="s">
        <v>117</v>
      </c>
      <c r="D1189" s="255" t="s">
        <v>808</v>
      </c>
      <c r="E1189" s="256"/>
      <c r="F1189" s="257">
        <v>18.5</v>
      </c>
      <c r="G1189" s="258" t="s">
        <v>201</v>
      </c>
      <c r="H1189" s="259"/>
      <c r="I1189" s="541">
        <f t="shared" si="22"/>
        <v>142422.65142857138</v>
      </c>
      <c r="K1189" s="243"/>
    </row>
    <row r="1190" spans="2:11" ht="17" customHeight="1">
      <c r="B1190" s="253">
        <v>45809</v>
      </c>
      <c r="C1190" s="263" t="s">
        <v>283</v>
      </c>
      <c r="D1190" s="255" t="s">
        <v>283</v>
      </c>
      <c r="E1190" s="256">
        <f>4278.5+80-E1191</f>
        <v>3444.58</v>
      </c>
      <c r="F1190" s="257"/>
      <c r="G1190" s="258" t="str">
        <f>IFERROR(VLOOKUP(D1190,#REF!,2,FALSE),"_")</f>
        <v>_</v>
      </c>
      <c r="H1190" s="259"/>
      <c r="I1190" s="541">
        <f t="shared" si="22"/>
        <v>145867.23142857137</v>
      </c>
      <c r="K1190" s="243"/>
    </row>
    <row r="1191" spans="2:11" ht="17" customHeight="1">
      <c r="B1191" s="253">
        <v>45809</v>
      </c>
      <c r="C1191" s="263" t="s">
        <v>283</v>
      </c>
      <c r="D1191" s="255" t="s">
        <v>508</v>
      </c>
      <c r="E1191" s="256">
        <v>913.92</v>
      </c>
      <c r="F1191" s="257"/>
      <c r="G1191" s="258" t="str">
        <f>IFERROR(VLOOKUP(D1191,#REF!,2,FALSE),"_")</f>
        <v>_</v>
      </c>
      <c r="H1191" s="259"/>
      <c r="I1191" s="541">
        <f t="shared" si="22"/>
        <v>146781.15142857138</v>
      </c>
      <c r="K1191" s="243"/>
    </row>
    <row r="1192" spans="2:11" ht="17" customHeight="1">
      <c r="B1192" s="253">
        <v>45810</v>
      </c>
      <c r="C1192" s="263" t="s">
        <v>513</v>
      </c>
      <c r="D1192" s="255" t="s">
        <v>818</v>
      </c>
      <c r="E1192" s="256"/>
      <c r="F1192" s="257"/>
      <c r="G1192" s="258" t="s">
        <v>245</v>
      </c>
      <c r="H1192" s="259"/>
      <c r="I1192" s="541">
        <f t="shared" si="22"/>
        <v>146781.15142857138</v>
      </c>
      <c r="K1192" s="243"/>
    </row>
    <row r="1193" spans="2:11" ht="17" customHeight="1">
      <c r="B1193" s="253">
        <v>45810</v>
      </c>
      <c r="C1193" s="263" t="s">
        <v>513</v>
      </c>
      <c r="D1193" s="255" t="s">
        <v>819</v>
      </c>
      <c r="E1193" s="256"/>
      <c r="F1193" s="257">
        <v>70</v>
      </c>
      <c r="G1193" s="258" t="s">
        <v>245</v>
      </c>
      <c r="H1193" s="259"/>
      <c r="I1193" s="541">
        <f t="shared" si="22"/>
        <v>146711.15142857138</v>
      </c>
      <c r="K1193" s="243"/>
    </row>
    <row r="1194" spans="2:11" ht="17" customHeight="1">
      <c r="B1194" s="253">
        <v>45810</v>
      </c>
      <c r="C1194" s="263" t="s">
        <v>513</v>
      </c>
      <c r="D1194" s="255" t="s">
        <v>538</v>
      </c>
      <c r="E1194" s="256"/>
      <c r="F1194" s="257"/>
      <c r="G1194" s="258" t="s">
        <v>245</v>
      </c>
      <c r="H1194" s="259"/>
      <c r="I1194" s="541">
        <f t="shared" si="22"/>
        <v>146711.15142857138</v>
      </c>
      <c r="K1194" s="243"/>
    </row>
    <row r="1195" spans="2:11" ht="17" customHeight="1">
      <c r="B1195" s="253">
        <v>45810</v>
      </c>
      <c r="C1195" s="263" t="s">
        <v>513</v>
      </c>
      <c r="D1195" s="255" t="s">
        <v>688</v>
      </c>
      <c r="E1195" s="256"/>
      <c r="F1195" s="257">
        <v>40</v>
      </c>
      <c r="G1195" s="258" t="s">
        <v>248</v>
      </c>
      <c r="H1195" s="259"/>
      <c r="I1195" s="541">
        <f t="shared" si="22"/>
        <v>146671.15142857138</v>
      </c>
      <c r="K1195" s="243"/>
    </row>
    <row r="1196" spans="2:11" ht="17" customHeight="1">
      <c r="B1196" s="253">
        <v>45810</v>
      </c>
      <c r="C1196" s="263" t="s">
        <v>513</v>
      </c>
      <c r="D1196" s="255" t="s">
        <v>576</v>
      </c>
      <c r="E1196" s="256"/>
      <c r="F1196" s="257">
        <v>100</v>
      </c>
      <c r="G1196" s="258" t="s">
        <v>248</v>
      </c>
      <c r="H1196" s="259"/>
      <c r="I1196" s="541">
        <f t="shared" si="22"/>
        <v>146571.15142857138</v>
      </c>
      <c r="K1196" s="243"/>
    </row>
    <row r="1197" spans="2:11" ht="17" customHeight="1">
      <c r="B1197" s="253">
        <v>45810</v>
      </c>
      <c r="C1197" s="263" t="s">
        <v>513</v>
      </c>
      <c r="D1197" s="255" t="s">
        <v>722</v>
      </c>
      <c r="E1197" s="256"/>
      <c r="F1197" s="257"/>
      <c r="G1197" s="258" t="s">
        <v>245</v>
      </c>
      <c r="H1197" s="259"/>
      <c r="I1197" s="541">
        <f t="shared" si="22"/>
        <v>146571.15142857138</v>
      </c>
      <c r="K1197" s="243"/>
    </row>
    <row r="1198" spans="2:11" ht="17" customHeight="1">
      <c r="B1198" s="253">
        <v>45810</v>
      </c>
      <c r="C1198" s="263" t="s">
        <v>513</v>
      </c>
      <c r="D1198" s="255" t="s">
        <v>820</v>
      </c>
      <c r="E1198" s="256"/>
      <c r="F1198" s="257">
        <f>68.94+68.94</f>
        <v>137.88</v>
      </c>
      <c r="G1198" s="258" t="s">
        <v>248</v>
      </c>
      <c r="H1198" s="259"/>
      <c r="I1198" s="541">
        <f t="shared" si="22"/>
        <v>146433.27142857137</v>
      </c>
      <c r="K1198" s="243"/>
    </row>
    <row r="1199" spans="2:11" ht="17" customHeight="1">
      <c r="B1199" s="253">
        <v>45810</v>
      </c>
      <c r="C1199" s="263" t="s">
        <v>513</v>
      </c>
      <c r="D1199" s="255" t="s">
        <v>821</v>
      </c>
      <c r="E1199" s="256"/>
      <c r="F1199" s="257">
        <f>55.15+68.94+68.94</f>
        <v>193.03</v>
      </c>
      <c r="G1199" s="258" t="s">
        <v>248</v>
      </c>
      <c r="H1199" s="259"/>
      <c r="I1199" s="541">
        <f t="shared" si="22"/>
        <v>146240.24142857137</v>
      </c>
      <c r="K1199" s="243"/>
    </row>
    <row r="1200" spans="2:11" ht="17" customHeight="1">
      <c r="B1200" s="253">
        <v>45810</v>
      </c>
      <c r="C1200" s="263" t="s">
        <v>513</v>
      </c>
      <c r="D1200" s="255" t="s">
        <v>723</v>
      </c>
      <c r="E1200" s="256"/>
      <c r="F1200" s="257">
        <f>68.94*3</f>
        <v>206.82</v>
      </c>
      <c r="G1200" s="258" t="s">
        <v>245</v>
      </c>
      <c r="H1200" s="259"/>
      <c r="I1200" s="541">
        <f t="shared" si="22"/>
        <v>146033.42142857137</v>
      </c>
      <c r="K1200" s="243"/>
    </row>
    <row r="1201" spans="2:11" ht="17" customHeight="1">
      <c r="B1201" s="253">
        <v>45810</v>
      </c>
      <c r="C1201" s="263" t="s">
        <v>117</v>
      </c>
      <c r="D1201" s="255" t="s">
        <v>822</v>
      </c>
      <c r="E1201" s="256"/>
      <c r="F1201" s="257">
        <v>191.27</v>
      </c>
      <c r="G1201" s="258" t="s">
        <v>194</v>
      </c>
      <c r="H1201" s="259"/>
      <c r="I1201" s="541">
        <f t="shared" si="22"/>
        <v>145842.15142857138</v>
      </c>
      <c r="K1201" s="243"/>
    </row>
    <row r="1202" spans="2:11" ht="17" customHeight="1">
      <c r="B1202" s="253">
        <v>45810</v>
      </c>
      <c r="C1202" s="263" t="s">
        <v>117</v>
      </c>
      <c r="D1202" s="255" t="s">
        <v>823</v>
      </c>
      <c r="E1202" s="256">
        <v>729</v>
      </c>
      <c r="F1202" s="257"/>
      <c r="G1202" s="258"/>
      <c r="H1202" s="596" t="s">
        <v>824</v>
      </c>
      <c r="I1202" s="541">
        <f t="shared" si="22"/>
        <v>146571.15142857138</v>
      </c>
      <c r="K1202" s="243"/>
    </row>
    <row r="1203" spans="2:11" ht="17" customHeight="1">
      <c r="B1203" s="253">
        <v>45810</v>
      </c>
      <c r="C1203" s="263" t="s">
        <v>283</v>
      </c>
      <c r="D1203" s="255" t="s">
        <v>283</v>
      </c>
      <c r="E1203" s="256">
        <f>2253.4-E1204</f>
        <v>1950.92</v>
      </c>
      <c r="F1203" s="257"/>
      <c r="G1203" s="258" t="str">
        <f>IFERROR(VLOOKUP(D1203,#REF!,2,FALSE),"_")</f>
        <v>_</v>
      </c>
      <c r="H1203" s="259"/>
      <c r="I1203" s="541">
        <f t="shared" si="22"/>
        <v>148522.07142857139</v>
      </c>
      <c r="K1203" s="243"/>
    </row>
    <row r="1204" spans="2:11" ht="17" customHeight="1">
      <c r="B1204" s="253">
        <v>45810</v>
      </c>
      <c r="C1204" s="263" t="s">
        <v>283</v>
      </c>
      <c r="D1204" s="255" t="s">
        <v>508</v>
      </c>
      <c r="E1204" s="256">
        <v>302.48</v>
      </c>
      <c r="F1204" s="257"/>
      <c r="G1204" s="258" t="str">
        <f>IFERROR(VLOOKUP(D1204,#REF!,2,FALSE),"_")</f>
        <v>_</v>
      </c>
      <c r="H1204" s="259"/>
      <c r="I1204" s="541">
        <f t="shared" si="22"/>
        <v>148824.5514285714</v>
      </c>
      <c r="K1204" s="243"/>
    </row>
    <row r="1205" spans="2:11" ht="17" customHeight="1">
      <c r="B1205" s="253">
        <v>45812</v>
      </c>
      <c r="C1205" s="263" t="s">
        <v>825</v>
      </c>
      <c r="D1205" s="255" t="s">
        <v>512</v>
      </c>
      <c r="E1205" s="256"/>
      <c r="F1205" s="257">
        <f>28.1-1.08</f>
        <v>27.020000000000003</v>
      </c>
      <c r="G1205" s="258" t="s">
        <v>199</v>
      </c>
      <c r="H1205" s="259"/>
      <c r="I1205" s="541">
        <f t="shared" si="22"/>
        <v>148797.53142857141</v>
      </c>
      <c r="K1205" s="243"/>
    </row>
    <row r="1206" spans="2:11" ht="17" customHeight="1">
      <c r="B1206" s="253">
        <v>45812</v>
      </c>
      <c r="C1206" s="263" t="s">
        <v>825</v>
      </c>
      <c r="D1206" s="255" t="s">
        <v>512</v>
      </c>
      <c r="E1206" s="256"/>
      <c r="F1206" s="257">
        <v>1.08</v>
      </c>
      <c r="G1206" s="258" t="s">
        <v>274</v>
      </c>
      <c r="H1206" s="259"/>
      <c r="I1206" s="541">
        <f t="shared" si="22"/>
        <v>148796.45142857142</v>
      </c>
      <c r="K1206" s="243"/>
    </row>
    <row r="1207" spans="2:11" ht="17" customHeight="1">
      <c r="B1207" s="253">
        <v>45812</v>
      </c>
      <c r="C1207" s="263" t="s">
        <v>283</v>
      </c>
      <c r="D1207" s="255" t="s">
        <v>283</v>
      </c>
      <c r="E1207" s="256">
        <f>1414.1-E1208</f>
        <v>1323.6699999999998</v>
      </c>
      <c r="F1207" s="257"/>
      <c r="G1207" s="258" t="str">
        <f>IFERROR(VLOOKUP(D1207,#REF!,2,FALSE),"_")</f>
        <v>_</v>
      </c>
      <c r="H1207" s="259"/>
      <c r="I1207" s="541">
        <f t="shared" si="22"/>
        <v>150120.12142857144</v>
      </c>
      <c r="K1207" s="243"/>
    </row>
    <row r="1208" spans="2:11" ht="17" customHeight="1">
      <c r="B1208" s="253">
        <v>45812</v>
      </c>
      <c r="C1208" s="263" t="s">
        <v>283</v>
      </c>
      <c r="D1208" s="255" t="s">
        <v>508</v>
      </c>
      <c r="E1208" s="256">
        <v>90.43</v>
      </c>
      <c r="F1208" s="257"/>
      <c r="G1208" s="258" t="str">
        <f>IFERROR(VLOOKUP(D1208,#REF!,2,FALSE),"_")</f>
        <v>_</v>
      </c>
      <c r="H1208" s="259"/>
      <c r="I1208" s="541">
        <f t="shared" si="22"/>
        <v>150210.55142857143</v>
      </c>
      <c r="K1208" s="243"/>
    </row>
    <row r="1209" spans="2:11" ht="17" customHeight="1">
      <c r="B1209" s="253">
        <v>45813</v>
      </c>
      <c r="C1209" s="263" t="s">
        <v>513</v>
      </c>
      <c r="D1209" s="255" t="s">
        <v>563</v>
      </c>
      <c r="E1209" s="256"/>
      <c r="F1209" s="257">
        <v>103</v>
      </c>
      <c r="G1209" s="258" t="s">
        <v>249</v>
      </c>
      <c r="H1209" s="259"/>
      <c r="I1209" s="541">
        <f t="shared" si="22"/>
        <v>150107.55142857143</v>
      </c>
      <c r="K1209" s="243"/>
    </row>
    <row r="1210" spans="2:11" ht="17" customHeight="1">
      <c r="B1210" s="253">
        <v>45813</v>
      </c>
      <c r="C1210" s="263" t="s">
        <v>117</v>
      </c>
      <c r="D1210" s="255" t="s">
        <v>394</v>
      </c>
      <c r="E1210" s="256"/>
      <c r="F1210" s="257">
        <v>307</v>
      </c>
      <c r="G1210" s="258" t="s">
        <v>199</v>
      </c>
      <c r="H1210" s="259"/>
      <c r="I1210" s="541">
        <f t="shared" si="22"/>
        <v>149800.55142857143</v>
      </c>
      <c r="K1210" s="243"/>
    </row>
    <row r="1211" spans="2:11" ht="17" customHeight="1">
      <c r="B1211" s="253">
        <v>45813</v>
      </c>
      <c r="C1211" s="263" t="s">
        <v>286</v>
      </c>
      <c r="D1211" s="255" t="s">
        <v>520</v>
      </c>
      <c r="E1211" s="256"/>
      <c r="F1211" s="257">
        <v>1035</v>
      </c>
      <c r="G1211" s="258" t="s">
        <v>139</v>
      </c>
      <c r="H1211" s="259"/>
      <c r="I1211" s="541">
        <f t="shared" si="22"/>
        <v>148765.55142857143</v>
      </c>
      <c r="K1211" s="243"/>
    </row>
    <row r="1212" spans="2:11" ht="17" customHeight="1">
      <c r="B1212" s="253">
        <v>45813</v>
      </c>
      <c r="C1212" s="263" t="s">
        <v>283</v>
      </c>
      <c r="D1212" s="255" t="s">
        <v>283</v>
      </c>
      <c r="E1212" s="256">
        <f>1052.2-E1213</f>
        <v>911.55000000000007</v>
      </c>
      <c r="F1212" s="257"/>
      <c r="G1212" s="258" t="str">
        <f>IFERROR(VLOOKUP(D1212,#REF!,2,FALSE),"_")</f>
        <v>_</v>
      </c>
      <c r="H1212" s="259"/>
      <c r="I1212" s="541">
        <f t="shared" si="22"/>
        <v>149677.10142857142</v>
      </c>
      <c r="K1212" s="243"/>
    </row>
    <row r="1213" spans="2:11" ht="17" customHeight="1">
      <c r="B1213" s="253">
        <v>45813</v>
      </c>
      <c r="C1213" s="263" t="s">
        <v>283</v>
      </c>
      <c r="D1213" s="255" t="s">
        <v>508</v>
      </c>
      <c r="E1213" s="256">
        <v>140.65</v>
      </c>
      <c r="F1213" s="257"/>
      <c r="G1213" s="258" t="str">
        <f>IFERROR(VLOOKUP(D1213,#REF!,2,FALSE),"_")</f>
        <v>_</v>
      </c>
      <c r="H1213" s="259"/>
      <c r="I1213" s="541">
        <f t="shared" si="22"/>
        <v>149817.75142857141</v>
      </c>
      <c r="K1213" s="243"/>
    </row>
    <row r="1214" spans="2:11" ht="17" customHeight="1">
      <c r="B1214" s="253">
        <v>45814</v>
      </c>
      <c r="C1214" s="263" t="s">
        <v>117</v>
      </c>
      <c r="D1214" s="255" t="s">
        <v>826</v>
      </c>
      <c r="E1214" s="256"/>
      <c r="F1214" s="257">
        <v>250</v>
      </c>
      <c r="G1214" s="258" t="s">
        <v>232</v>
      </c>
      <c r="H1214" s="259"/>
      <c r="I1214" s="541">
        <f t="shared" si="22"/>
        <v>149567.75142857141</v>
      </c>
      <c r="K1214" s="243"/>
    </row>
    <row r="1215" spans="2:11" ht="17" customHeight="1">
      <c r="B1215" s="253">
        <v>45814</v>
      </c>
      <c r="C1215" s="263" t="s">
        <v>827</v>
      </c>
      <c r="D1215" s="255" t="s">
        <v>512</v>
      </c>
      <c r="E1215" s="256"/>
      <c r="F1215" s="257">
        <f>18.4-0.71</f>
        <v>17.689999999999998</v>
      </c>
      <c r="G1215" s="258" t="s">
        <v>199</v>
      </c>
      <c r="H1215" s="259"/>
      <c r="I1215" s="541">
        <f t="shared" si="22"/>
        <v>149550.06142857141</v>
      </c>
      <c r="K1215" s="243"/>
    </row>
    <row r="1216" spans="2:11" ht="17" customHeight="1">
      <c r="B1216" s="253">
        <v>45814</v>
      </c>
      <c r="C1216" s="263" t="s">
        <v>827</v>
      </c>
      <c r="D1216" s="255" t="s">
        <v>512</v>
      </c>
      <c r="E1216" s="256"/>
      <c r="F1216" s="257">
        <v>0.71</v>
      </c>
      <c r="G1216" s="258" t="s">
        <v>274</v>
      </c>
      <c r="H1216" s="259"/>
      <c r="I1216" s="541">
        <f t="shared" si="22"/>
        <v>149549.35142857142</v>
      </c>
      <c r="K1216" s="243"/>
    </row>
    <row r="1217" spans="2:11" ht="17" customHeight="1">
      <c r="B1217" s="253">
        <v>45814</v>
      </c>
      <c r="C1217" s="263" t="s">
        <v>117</v>
      </c>
      <c r="D1217" s="255" t="s">
        <v>828</v>
      </c>
      <c r="E1217" s="256"/>
      <c r="F1217" s="257">
        <v>18</v>
      </c>
      <c r="G1217" s="258" t="s">
        <v>201</v>
      </c>
      <c r="H1217" s="259"/>
      <c r="I1217" s="541">
        <f t="shared" si="22"/>
        <v>149531.35142857142</v>
      </c>
      <c r="K1217" s="243"/>
    </row>
    <row r="1218" spans="2:11" ht="17" customHeight="1">
      <c r="B1218" s="253">
        <v>45814</v>
      </c>
      <c r="C1218" s="263" t="s">
        <v>117</v>
      </c>
      <c r="D1218" s="255" t="s">
        <v>306</v>
      </c>
      <c r="E1218" s="256"/>
      <c r="F1218" s="257">
        <v>351.3</v>
      </c>
      <c r="G1218" s="258" t="s">
        <v>194</v>
      </c>
      <c r="H1218" s="259"/>
      <c r="I1218" s="541">
        <f t="shared" si="22"/>
        <v>149180.05142857143</v>
      </c>
      <c r="K1218" s="243"/>
    </row>
    <row r="1219" spans="2:11" ht="17" customHeight="1">
      <c r="B1219" s="253">
        <v>45814</v>
      </c>
      <c r="C1219" s="263" t="s">
        <v>117</v>
      </c>
      <c r="D1219" s="255" t="s">
        <v>306</v>
      </c>
      <c r="E1219" s="256"/>
      <c r="F1219" s="257">
        <v>67.75</v>
      </c>
      <c r="G1219" s="258" t="s">
        <v>194</v>
      </c>
      <c r="H1219" s="259"/>
      <c r="I1219" s="541">
        <f t="shared" si="22"/>
        <v>149112.30142857143</v>
      </c>
      <c r="K1219" s="243"/>
    </row>
    <row r="1220" spans="2:11" ht="17" customHeight="1">
      <c r="B1220" s="253">
        <v>45814</v>
      </c>
      <c r="C1220" s="263" t="s">
        <v>117</v>
      </c>
      <c r="D1220" s="255" t="s">
        <v>306</v>
      </c>
      <c r="E1220" s="256"/>
      <c r="F1220" s="257">
        <v>273.45</v>
      </c>
      <c r="G1220" s="258" t="s">
        <v>194</v>
      </c>
      <c r="H1220" s="259"/>
      <c r="I1220" s="541">
        <f t="shared" si="22"/>
        <v>148838.85142857142</v>
      </c>
      <c r="K1220" s="243"/>
    </row>
    <row r="1221" spans="2:11" ht="17" customHeight="1">
      <c r="B1221" s="253">
        <v>45814</v>
      </c>
      <c r="C1221" s="263" t="s">
        <v>117</v>
      </c>
      <c r="D1221" s="255" t="s">
        <v>306</v>
      </c>
      <c r="E1221" s="256"/>
      <c r="F1221" s="257">
        <v>676.6</v>
      </c>
      <c r="G1221" s="258" t="s">
        <v>194</v>
      </c>
      <c r="H1221" s="259"/>
      <c r="I1221" s="541">
        <f t="shared" si="22"/>
        <v>148162.25142857141</v>
      </c>
      <c r="K1221" s="243"/>
    </row>
    <row r="1222" spans="2:11" ht="17" customHeight="1">
      <c r="B1222" s="253">
        <v>45814</v>
      </c>
      <c r="C1222" s="263" t="s">
        <v>283</v>
      </c>
      <c r="D1222" s="255" t="s">
        <v>283</v>
      </c>
      <c r="E1222" s="256">
        <f>1262.9-E1223</f>
        <v>938.86000000000013</v>
      </c>
      <c r="F1222" s="257"/>
      <c r="G1222" s="258" t="str">
        <f>IFERROR(VLOOKUP(D1222,#REF!,2,FALSE),"_")</f>
        <v>_</v>
      </c>
      <c r="H1222" s="259"/>
      <c r="I1222" s="541">
        <f t="shared" si="22"/>
        <v>149101.1114285714</v>
      </c>
      <c r="K1222" s="243"/>
    </row>
    <row r="1223" spans="2:11" ht="17" customHeight="1">
      <c r="B1223" s="253">
        <v>45814</v>
      </c>
      <c r="C1223" s="263" t="s">
        <v>283</v>
      </c>
      <c r="D1223" s="255" t="s">
        <v>508</v>
      </c>
      <c r="E1223" s="256">
        <v>324.04000000000002</v>
      </c>
      <c r="F1223" s="257"/>
      <c r="G1223" s="258" t="str">
        <f>IFERROR(VLOOKUP(D1223,#REF!,2,FALSE),"_")</f>
        <v>_</v>
      </c>
      <c r="H1223" s="259"/>
      <c r="I1223" s="541">
        <f t="shared" si="22"/>
        <v>149425.15142857141</v>
      </c>
      <c r="K1223" s="243"/>
    </row>
    <row r="1224" spans="2:11" ht="17" customHeight="1">
      <c r="B1224" s="253">
        <v>45815</v>
      </c>
      <c r="C1224" s="263" t="s">
        <v>117</v>
      </c>
      <c r="D1224" s="255" t="s">
        <v>543</v>
      </c>
      <c r="E1224" s="256"/>
      <c r="F1224" s="257">
        <v>80</v>
      </c>
      <c r="G1224" s="258" t="s">
        <v>234</v>
      </c>
      <c r="H1224" s="259"/>
      <c r="I1224" s="541">
        <f t="shared" si="22"/>
        <v>149345.15142857141</v>
      </c>
      <c r="K1224" s="243"/>
    </row>
    <row r="1225" spans="2:11" ht="17" customHeight="1">
      <c r="B1225" s="253">
        <v>45815</v>
      </c>
      <c r="C1225" s="263" t="s">
        <v>117</v>
      </c>
      <c r="D1225" s="255" t="s">
        <v>516</v>
      </c>
      <c r="E1225" s="256"/>
      <c r="F1225" s="257">
        <v>41.8</v>
      </c>
      <c r="G1225" s="258" t="s">
        <v>201</v>
      </c>
      <c r="H1225" s="259"/>
      <c r="I1225" s="541">
        <f t="shared" si="22"/>
        <v>149303.35142857142</v>
      </c>
      <c r="K1225" s="243"/>
    </row>
    <row r="1226" spans="2:11" ht="17" customHeight="1">
      <c r="B1226" s="253">
        <v>45815</v>
      </c>
      <c r="C1226" s="263" t="s">
        <v>513</v>
      </c>
      <c r="D1226" s="255" t="s">
        <v>576</v>
      </c>
      <c r="E1226" s="256"/>
      <c r="F1226" s="257">
        <v>90</v>
      </c>
      <c r="G1226" s="258" t="s">
        <v>248</v>
      </c>
      <c r="H1226" s="259"/>
      <c r="I1226" s="541">
        <f t="shared" si="22"/>
        <v>149213.35142857142</v>
      </c>
      <c r="K1226" s="243"/>
    </row>
    <row r="1227" spans="2:11" ht="17" customHeight="1">
      <c r="B1227" s="253">
        <v>45815</v>
      </c>
      <c r="C1227" s="263" t="s">
        <v>513</v>
      </c>
      <c r="D1227" s="255" t="s">
        <v>688</v>
      </c>
      <c r="E1227" s="256"/>
      <c r="F1227" s="257">
        <v>48</v>
      </c>
      <c r="G1227" s="258" t="s">
        <v>248</v>
      </c>
      <c r="H1227" s="259"/>
      <c r="I1227" s="541">
        <f t="shared" si="22"/>
        <v>149165.35142857142</v>
      </c>
      <c r="K1227" s="243"/>
    </row>
    <row r="1228" spans="2:11" ht="17" customHeight="1">
      <c r="B1228" s="253">
        <v>45815</v>
      </c>
      <c r="C1228" s="263" t="s">
        <v>283</v>
      </c>
      <c r="D1228" s="255" t="s">
        <v>283</v>
      </c>
      <c r="E1228" s="256">
        <f>1749+415-E1229</f>
        <v>1810.03</v>
      </c>
      <c r="F1228" s="257"/>
      <c r="G1228" s="258" t="str">
        <f>IFERROR(VLOOKUP(D1228,#REF!,2,FALSE),"_")</f>
        <v>_</v>
      </c>
      <c r="H1228" s="259"/>
      <c r="I1228" s="541">
        <f t="shared" si="22"/>
        <v>150975.38142857142</v>
      </c>
      <c r="K1228" s="243"/>
    </row>
    <row r="1229" spans="2:11" ht="17" customHeight="1">
      <c r="B1229" s="253">
        <v>45815</v>
      </c>
      <c r="C1229" s="263" t="s">
        <v>283</v>
      </c>
      <c r="D1229" s="255" t="s">
        <v>508</v>
      </c>
      <c r="E1229" s="256">
        <v>353.97</v>
      </c>
      <c r="F1229" s="257"/>
      <c r="G1229" s="258" t="str">
        <f>IFERROR(VLOOKUP(D1229,#REF!,2,FALSE),"_")</f>
        <v>_</v>
      </c>
      <c r="H1229" s="259"/>
      <c r="I1229" s="541">
        <f t="shared" si="22"/>
        <v>151329.35142857142</v>
      </c>
      <c r="K1229" s="243"/>
    </row>
    <row r="1230" spans="2:11" ht="17" customHeight="1">
      <c r="B1230" s="253">
        <v>45816</v>
      </c>
      <c r="C1230" s="263" t="s">
        <v>117</v>
      </c>
      <c r="D1230" s="255" t="s">
        <v>797</v>
      </c>
      <c r="E1230" s="256">
        <v>50</v>
      </c>
      <c r="F1230" s="257"/>
      <c r="G1230" s="258" t="s">
        <v>195</v>
      </c>
      <c r="H1230" s="259"/>
      <c r="I1230" s="541">
        <f t="shared" si="22"/>
        <v>151379.35142857142</v>
      </c>
      <c r="K1230" s="243"/>
    </row>
    <row r="1231" spans="2:11" ht="17" customHeight="1">
      <c r="B1231" s="253">
        <v>45816</v>
      </c>
      <c r="C1231" s="263" t="s">
        <v>117</v>
      </c>
      <c r="D1231" s="255" t="s">
        <v>829</v>
      </c>
      <c r="E1231" s="256">
        <v>1130</v>
      </c>
      <c r="F1231" s="257"/>
      <c r="G1231" s="258" t="s">
        <v>194</v>
      </c>
      <c r="H1231" s="259"/>
      <c r="I1231" s="541">
        <f t="shared" si="22"/>
        <v>152509.35142857142</v>
      </c>
      <c r="K1231" s="243"/>
    </row>
    <row r="1232" spans="2:11" ht="17" customHeight="1">
      <c r="B1232" s="253">
        <v>45816</v>
      </c>
      <c r="C1232" s="263" t="s">
        <v>117</v>
      </c>
      <c r="D1232" s="255" t="s">
        <v>798</v>
      </c>
      <c r="E1232" s="256">
        <v>100</v>
      </c>
      <c r="F1232" s="257"/>
      <c r="G1232" s="258" t="s">
        <v>195</v>
      </c>
      <c r="H1232" s="259"/>
      <c r="I1232" s="541">
        <f t="shared" si="22"/>
        <v>152609.35142857142</v>
      </c>
      <c r="K1232" s="243"/>
    </row>
    <row r="1233" spans="2:11" ht="17" customHeight="1">
      <c r="B1233" s="253">
        <v>45816</v>
      </c>
      <c r="C1233" s="263" t="s">
        <v>117</v>
      </c>
      <c r="D1233" s="255" t="s">
        <v>747</v>
      </c>
      <c r="E1233" s="256">
        <v>100</v>
      </c>
      <c r="F1233" s="257"/>
      <c r="G1233" s="258" t="s">
        <v>195</v>
      </c>
      <c r="H1233" s="259"/>
      <c r="I1233" s="541">
        <f t="shared" si="22"/>
        <v>152709.35142857142</v>
      </c>
      <c r="K1233" s="243"/>
    </row>
    <row r="1234" spans="2:11" ht="17" customHeight="1">
      <c r="B1234" s="253">
        <v>45816</v>
      </c>
      <c r="C1234" s="263" t="s">
        <v>117</v>
      </c>
      <c r="D1234" s="255" t="s">
        <v>830</v>
      </c>
      <c r="E1234" s="256">
        <v>375</v>
      </c>
      <c r="F1234" s="257"/>
      <c r="G1234" s="258" t="s">
        <v>194</v>
      </c>
      <c r="H1234" s="259"/>
      <c r="I1234" s="541">
        <f t="shared" ref="I1234:I1297" si="23">I1233+E1234-F1234</f>
        <v>153084.35142857142</v>
      </c>
      <c r="K1234" s="243"/>
    </row>
    <row r="1235" spans="2:11" ht="17" customHeight="1">
      <c r="B1235" s="253">
        <v>45816</v>
      </c>
      <c r="C1235" s="263" t="s">
        <v>513</v>
      </c>
      <c r="D1235" s="255" t="s">
        <v>699</v>
      </c>
      <c r="E1235" s="256"/>
      <c r="F1235" s="257">
        <v>80</v>
      </c>
      <c r="G1235" s="258" t="s">
        <v>245</v>
      </c>
      <c r="H1235" s="597" t="s">
        <v>714</v>
      </c>
      <c r="I1235" s="541">
        <f t="shared" si="23"/>
        <v>153004.35142857142</v>
      </c>
      <c r="K1235" s="243"/>
    </row>
    <row r="1236" spans="2:11" ht="17" customHeight="1">
      <c r="B1236" s="253">
        <v>45816</v>
      </c>
      <c r="C1236" s="263" t="s">
        <v>513</v>
      </c>
      <c r="D1236" s="255" t="s">
        <v>699</v>
      </c>
      <c r="E1236" s="256">
        <v>80</v>
      </c>
      <c r="F1236" s="257"/>
      <c r="G1236" s="258" t="s">
        <v>245</v>
      </c>
      <c r="H1236" s="597" t="s">
        <v>714</v>
      </c>
      <c r="I1236" s="541">
        <f t="shared" si="23"/>
        <v>153084.35142857142</v>
      </c>
      <c r="K1236" s="243"/>
    </row>
    <row r="1237" spans="2:11" ht="17" customHeight="1">
      <c r="B1237" s="253">
        <v>45816</v>
      </c>
      <c r="C1237" s="263" t="s">
        <v>513</v>
      </c>
      <c r="D1237" s="255" t="s">
        <v>576</v>
      </c>
      <c r="E1237" s="256"/>
      <c r="F1237" s="257">
        <v>55</v>
      </c>
      <c r="G1237" s="258" t="s">
        <v>248</v>
      </c>
      <c r="H1237" s="259"/>
      <c r="I1237" s="541">
        <f t="shared" si="23"/>
        <v>153029.35142857142</v>
      </c>
      <c r="K1237" s="243"/>
    </row>
    <row r="1238" spans="2:11" ht="17" customHeight="1">
      <c r="B1238" s="253">
        <v>45816</v>
      </c>
      <c r="C1238" s="263" t="s">
        <v>513</v>
      </c>
      <c r="D1238" s="255" t="s">
        <v>688</v>
      </c>
      <c r="E1238" s="256"/>
      <c r="F1238" s="257">
        <v>72</v>
      </c>
      <c r="G1238" s="258" t="s">
        <v>248</v>
      </c>
      <c r="H1238" s="259"/>
      <c r="I1238" s="541">
        <f t="shared" si="23"/>
        <v>152957.35142857142</v>
      </c>
      <c r="K1238" s="243"/>
    </row>
    <row r="1239" spans="2:11" ht="17" customHeight="1">
      <c r="B1239" s="253">
        <v>45816</v>
      </c>
      <c r="C1239" s="263" t="s">
        <v>283</v>
      </c>
      <c r="D1239" s="255" t="s">
        <v>283</v>
      </c>
      <c r="E1239" s="256">
        <f>1393.2-E1240</f>
        <v>1237.29</v>
      </c>
      <c r="F1239" s="257"/>
      <c r="G1239" s="258" t="str">
        <f>IFERROR(VLOOKUP(D1239,#REF!,2,FALSE),"_")</f>
        <v>_</v>
      </c>
      <c r="H1239" s="259"/>
      <c r="I1239" s="541">
        <f t="shared" si="23"/>
        <v>154194.64142857143</v>
      </c>
      <c r="K1239" s="243"/>
    </row>
    <row r="1240" spans="2:11" ht="17" customHeight="1">
      <c r="B1240" s="253">
        <v>45816</v>
      </c>
      <c r="C1240" s="263" t="s">
        <v>283</v>
      </c>
      <c r="D1240" s="255" t="s">
        <v>508</v>
      </c>
      <c r="E1240" s="256">
        <v>155.91</v>
      </c>
      <c r="F1240" s="257"/>
      <c r="G1240" s="258" t="str">
        <f>IFERROR(VLOOKUP(D1240,#REF!,2,FALSE),"_")</f>
        <v>_</v>
      </c>
      <c r="H1240" s="259"/>
      <c r="I1240" s="541">
        <f t="shared" si="23"/>
        <v>154350.55142857143</v>
      </c>
      <c r="K1240" s="243"/>
    </row>
    <row r="1241" spans="2:11" ht="17" customHeight="1">
      <c r="B1241" s="253">
        <v>45817</v>
      </c>
      <c r="C1241" s="263" t="s">
        <v>117</v>
      </c>
      <c r="D1241" s="255" t="s">
        <v>650</v>
      </c>
      <c r="E1241" s="256"/>
      <c r="F1241" s="257">
        <v>1683</v>
      </c>
      <c r="G1241" s="258" t="s">
        <v>194</v>
      </c>
      <c r="H1241" s="259"/>
      <c r="I1241" s="541">
        <f t="shared" si="23"/>
        <v>152667.55142857143</v>
      </c>
      <c r="K1241" s="243"/>
    </row>
    <row r="1242" spans="2:11" ht="17" customHeight="1">
      <c r="B1242" s="253">
        <v>45817</v>
      </c>
      <c r="C1242" s="263" t="s">
        <v>513</v>
      </c>
      <c r="D1242" s="255" t="s">
        <v>563</v>
      </c>
      <c r="E1242" s="256"/>
      <c r="F1242" s="257">
        <v>105</v>
      </c>
      <c r="G1242" s="258" t="s">
        <v>249</v>
      </c>
      <c r="H1242" s="259"/>
      <c r="I1242" s="541">
        <f t="shared" si="23"/>
        <v>152562.55142857143</v>
      </c>
      <c r="K1242" s="243"/>
    </row>
    <row r="1243" spans="2:11" ht="17" customHeight="1">
      <c r="B1243" s="253">
        <v>45817</v>
      </c>
      <c r="C1243" s="263" t="s">
        <v>283</v>
      </c>
      <c r="D1243" s="255" t="s">
        <v>283</v>
      </c>
      <c r="E1243" s="256">
        <f>796-E1244</f>
        <v>678.79</v>
      </c>
      <c r="F1243" s="257"/>
      <c r="G1243" s="258" t="str">
        <f>IFERROR(VLOOKUP(D1243,#REF!,2,FALSE),"_")</f>
        <v>_</v>
      </c>
      <c r="H1243" s="259"/>
      <c r="I1243" s="541">
        <f t="shared" si="23"/>
        <v>153241.34142857144</v>
      </c>
      <c r="K1243" s="243"/>
    </row>
    <row r="1244" spans="2:11" ht="17" customHeight="1">
      <c r="B1244" s="253">
        <v>45817</v>
      </c>
      <c r="C1244" s="263" t="s">
        <v>283</v>
      </c>
      <c r="D1244" s="255" t="s">
        <v>508</v>
      </c>
      <c r="E1244" s="256">
        <v>117.21</v>
      </c>
      <c r="F1244" s="257"/>
      <c r="G1244" s="258" t="str">
        <f>IFERROR(VLOOKUP(D1244,#REF!,2,FALSE),"_")</f>
        <v>_</v>
      </c>
      <c r="H1244" s="259"/>
      <c r="I1244" s="541">
        <f t="shared" si="23"/>
        <v>153358.55142857143</v>
      </c>
      <c r="K1244" s="243"/>
    </row>
    <row r="1245" spans="2:11" ht="17" customHeight="1">
      <c r="B1245" s="253">
        <v>45818</v>
      </c>
      <c r="C1245" s="263" t="s">
        <v>513</v>
      </c>
      <c r="D1245" s="255" t="s">
        <v>576</v>
      </c>
      <c r="E1245" s="256"/>
      <c r="F1245" s="257">
        <v>90</v>
      </c>
      <c r="G1245" s="258" t="s">
        <v>248</v>
      </c>
      <c r="H1245" s="259"/>
      <c r="I1245" s="541">
        <f t="shared" si="23"/>
        <v>153268.55142857143</v>
      </c>
      <c r="K1245" s="243"/>
    </row>
    <row r="1246" spans="2:11" ht="17" customHeight="1">
      <c r="B1246" s="253">
        <v>45818</v>
      </c>
      <c r="C1246" s="263" t="s">
        <v>117</v>
      </c>
      <c r="D1246" s="255" t="s">
        <v>831</v>
      </c>
      <c r="E1246" s="256"/>
      <c r="F1246" s="257">
        <v>25</v>
      </c>
      <c r="G1246" s="258" t="s">
        <v>202</v>
      </c>
      <c r="H1246" s="259"/>
      <c r="I1246" s="541">
        <f t="shared" si="23"/>
        <v>153243.55142857143</v>
      </c>
      <c r="K1246" s="243"/>
    </row>
    <row r="1247" spans="2:11" ht="17" customHeight="1">
      <c r="B1247" s="253">
        <v>45818</v>
      </c>
      <c r="C1247" s="263" t="s">
        <v>283</v>
      </c>
      <c r="D1247" s="255" t="s">
        <v>283</v>
      </c>
      <c r="E1247" s="256">
        <f>984.6-E1248</f>
        <v>835.05</v>
      </c>
      <c r="F1247" s="257"/>
      <c r="G1247" s="258" t="str">
        <f>IFERROR(VLOOKUP(D1247,#REF!,2,FALSE),"_")</f>
        <v>_</v>
      </c>
      <c r="H1247" s="259"/>
      <c r="I1247" s="541">
        <f t="shared" si="23"/>
        <v>154078.60142857142</v>
      </c>
      <c r="K1247" s="243"/>
    </row>
    <row r="1248" spans="2:11" ht="17" customHeight="1">
      <c r="B1248" s="253">
        <v>45818</v>
      </c>
      <c r="C1248" s="263" t="s">
        <v>283</v>
      </c>
      <c r="D1248" s="255" t="s">
        <v>508</v>
      </c>
      <c r="E1248" s="256">
        <v>149.55000000000001</v>
      </c>
      <c r="F1248" s="257"/>
      <c r="G1248" s="258" t="str">
        <f>IFERROR(VLOOKUP(D1248,#REF!,2,FALSE),"_")</f>
        <v>_</v>
      </c>
      <c r="H1248" s="259"/>
      <c r="I1248" s="541">
        <f t="shared" si="23"/>
        <v>154228.15142857141</v>
      </c>
      <c r="K1248" s="243"/>
    </row>
    <row r="1249" spans="2:11" ht="17" customHeight="1">
      <c r="B1249" s="615">
        <v>45777</v>
      </c>
      <c r="C1249" s="263" t="s">
        <v>513</v>
      </c>
      <c r="D1249" s="255" t="s">
        <v>30</v>
      </c>
      <c r="E1249" s="256"/>
      <c r="F1249" s="257">
        <v>150</v>
      </c>
      <c r="G1249" s="258" t="s">
        <v>227</v>
      </c>
      <c r="H1249" s="525" t="s">
        <v>753</v>
      </c>
      <c r="I1249" s="541">
        <f t="shared" si="23"/>
        <v>154078.15142857141</v>
      </c>
      <c r="K1249" s="243"/>
    </row>
    <row r="1250" spans="2:11" ht="17" customHeight="1">
      <c r="B1250" s="615">
        <v>45808</v>
      </c>
      <c r="C1250" s="263" t="s">
        <v>513</v>
      </c>
      <c r="D1250" s="255" t="s">
        <v>25</v>
      </c>
      <c r="E1250" s="256"/>
      <c r="F1250" s="257">
        <v>510</v>
      </c>
      <c r="G1250" s="258" t="s">
        <v>246</v>
      </c>
      <c r="H1250" s="525" t="s">
        <v>753</v>
      </c>
      <c r="I1250" s="541">
        <f t="shared" si="23"/>
        <v>153568.15142857141</v>
      </c>
      <c r="K1250" s="243"/>
    </row>
    <row r="1251" spans="2:11" ht="17" customHeight="1">
      <c r="B1251" s="615">
        <v>45808</v>
      </c>
      <c r="C1251" s="263" t="s">
        <v>513</v>
      </c>
      <c r="D1251" s="255" t="s">
        <v>557</v>
      </c>
      <c r="E1251" s="256"/>
      <c r="F1251" s="257">
        <v>535</v>
      </c>
      <c r="G1251" s="258" t="s">
        <v>246</v>
      </c>
      <c r="H1251" s="525" t="s">
        <v>753</v>
      </c>
      <c r="I1251" s="541">
        <f t="shared" si="23"/>
        <v>153033.15142857141</v>
      </c>
      <c r="K1251" s="243"/>
    </row>
    <row r="1252" spans="2:11" ht="17" customHeight="1">
      <c r="B1252" s="615">
        <v>45808</v>
      </c>
      <c r="C1252" s="263" t="s">
        <v>513</v>
      </c>
      <c r="D1252" s="255" t="s">
        <v>807</v>
      </c>
      <c r="E1252" s="256"/>
      <c r="F1252" s="257">
        <v>350</v>
      </c>
      <c r="G1252" s="258" t="s">
        <v>248</v>
      </c>
      <c r="H1252" s="525" t="s">
        <v>753</v>
      </c>
      <c r="I1252" s="541">
        <f t="shared" si="23"/>
        <v>152683.15142857141</v>
      </c>
      <c r="K1252" s="243"/>
    </row>
    <row r="1253" spans="2:11" ht="17" customHeight="1">
      <c r="B1253" s="615">
        <v>45808</v>
      </c>
      <c r="C1253" s="263" t="s">
        <v>513</v>
      </c>
      <c r="D1253" s="255" t="s">
        <v>28</v>
      </c>
      <c r="E1253" s="256"/>
      <c r="F1253" s="257">
        <v>1155</v>
      </c>
      <c r="G1253" s="258" t="s">
        <v>243</v>
      </c>
      <c r="H1253" s="525" t="s">
        <v>753</v>
      </c>
      <c r="I1253" s="541">
        <f t="shared" si="23"/>
        <v>151528.15142857141</v>
      </c>
      <c r="K1253" s="243"/>
    </row>
    <row r="1254" spans="2:11" ht="17" customHeight="1">
      <c r="B1254" s="615">
        <v>45808</v>
      </c>
      <c r="C1254" s="263" t="s">
        <v>513</v>
      </c>
      <c r="D1254" s="255" t="s">
        <v>29</v>
      </c>
      <c r="E1254" s="256"/>
      <c r="F1254" s="257">
        <v>540</v>
      </c>
      <c r="G1254" s="258" t="s">
        <v>243</v>
      </c>
      <c r="H1254" s="525" t="s">
        <v>753</v>
      </c>
      <c r="I1254" s="541">
        <f t="shared" si="23"/>
        <v>150988.15142857141</v>
      </c>
      <c r="K1254" s="243"/>
    </row>
    <row r="1255" spans="2:11" ht="17" customHeight="1">
      <c r="B1255" s="615">
        <v>45808</v>
      </c>
      <c r="C1255" s="263" t="s">
        <v>513</v>
      </c>
      <c r="D1255" s="255" t="s">
        <v>559</v>
      </c>
      <c r="E1255" s="256"/>
      <c r="F1255" s="257">
        <v>1055</v>
      </c>
      <c r="G1255" s="258" t="s">
        <v>243</v>
      </c>
      <c r="H1255" s="525" t="s">
        <v>753</v>
      </c>
      <c r="I1255" s="541">
        <f t="shared" si="23"/>
        <v>149933.15142857141</v>
      </c>
      <c r="K1255" s="243"/>
    </row>
    <row r="1256" spans="2:11" ht="17" customHeight="1">
      <c r="B1256" s="615">
        <v>45808</v>
      </c>
      <c r="C1256" s="263" t="s">
        <v>513</v>
      </c>
      <c r="D1256" s="255" t="s">
        <v>558</v>
      </c>
      <c r="E1256" s="256"/>
      <c r="F1256" s="257">
        <v>95</v>
      </c>
      <c r="G1256" s="258" t="s">
        <v>245</v>
      </c>
      <c r="H1256" s="525" t="s">
        <v>753</v>
      </c>
      <c r="I1256" s="541">
        <f t="shared" si="23"/>
        <v>149838.15142857141</v>
      </c>
      <c r="K1256" s="243"/>
    </row>
    <row r="1257" spans="2:11" ht="17" customHeight="1">
      <c r="B1257" s="615">
        <v>45808</v>
      </c>
      <c r="C1257" s="263" t="s">
        <v>513</v>
      </c>
      <c r="D1257" s="255" t="s">
        <v>24</v>
      </c>
      <c r="E1257" s="256"/>
      <c r="F1257" s="257">
        <v>580</v>
      </c>
      <c r="G1257" s="258" t="s">
        <v>245</v>
      </c>
      <c r="H1257" s="525" t="s">
        <v>753</v>
      </c>
      <c r="I1257" s="541">
        <f t="shared" si="23"/>
        <v>149258.15142857141</v>
      </c>
      <c r="K1257" s="243"/>
    </row>
    <row r="1258" spans="2:11" ht="17" customHeight="1">
      <c r="B1258" s="253">
        <v>45819</v>
      </c>
      <c r="C1258" s="263" t="s">
        <v>286</v>
      </c>
      <c r="D1258" s="255" t="s">
        <v>520</v>
      </c>
      <c r="E1258" s="256"/>
      <c r="F1258" s="257">
        <v>35</v>
      </c>
      <c r="G1258" s="258" t="s">
        <v>139</v>
      </c>
      <c r="H1258" s="259"/>
      <c r="I1258" s="541">
        <f t="shared" si="23"/>
        <v>149223.15142857141</v>
      </c>
      <c r="K1258" s="243"/>
    </row>
    <row r="1259" spans="2:11" ht="17" customHeight="1">
      <c r="B1259" s="253">
        <v>45819</v>
      </c>
      <c r="C1259" s="263" t="s">
        <v>117</v>
      </c>
      <c r="D1259" s="255" t="s">
        <v>516</v>
      </c>
      <c r="E1259" s="256"/>
      <c r="F1259" s="257">
        <v>169</v>
      </c>
      <c r="G1259" s="258" t="s">
        <v>201</v>
      </c>
      <c r="H1259" s="259"/>
      <c r="I1259" s="541">
        <f t="shared" si="23"/>
        <v>149054.15142857141</v>
      </c>
      <c r="K1259" s="243"/>
    </row>
    <row r="1260" spans="2:11" ht="17" customHeight="1">
      <c r="B1260" s="253">
        <v>45819</v>
      </c>
      <c r="C1260" s="263" t="s">
        <v>283</v>
      </c>
      <c r="D1260" s="255" t="s">
        <v>283</v>
      </c>
      <c r="E1260" s="256">
        <f>1371.4-E1261</f>
        <v>1238.5300000000002</v>
      </c>
      <c r="F1260" s="257"/>
      <c r="G1260" s="258" t="s">
        <v>190</v>
      </c>
      <c r="H1260" s="259"/>
      <c r="I1260" s="541">
        <f t="shared" si="23"/>
        <v>150292.68142857141</v>
      </c>
      <c r="K1260" s="243"/>
    </row>
    <row r="1261" spans="2:11" ht="17" customHeight="1">
      <c r="B1261" s="253">
        <v>45819</v>
      </c>
      <c r="C1261" s="263" t="s">
        <v>283</v>
      </c>
      <c r="D1261" s="255" t="s">
        <v>508</v>
      </c>
      <c r="E1261" s="256">
        <v>132.87</v>
      </c>
      <c r="F1261" s="257"/>
      <c r="G1261" s="258" t="s">
        <v>276</v>
      </c>
      <c r="H1261" s="259"/>
      <c r="I1261" s="541">
        <f t="shared" si="23"/>
        <v>150425.5514285714</v>
      </c>
      <c r="K1261" s="243"/>
    </row>
    <row r="1262" spans="2:11" ht="17" customHeight="1">
      <c r="B1262" s="253">
        <v>45820</v>
      </c>
      <c r="C1262" s="263" t="s">
        <v>513</v>
      </c>
      <c r="D1262" s="255" t="s">
        <v>699</v>
      </c>
      <c r="E1262" s="256"/>
      <c r="F1262" s="257">
        <v>50</v>
      </c>
      <c r="G1262" s="258" t="s">
        <v>245</v>
      </c>
      <c r="H1262" s="259"/>
      <c r="I1262" s="541">
        <f t="shared" si="23"/>
        <v>150375.5514285714</v>
      </c>
      <c r="K1262" s="243"/>
    </row>
    <row r="1263" spans="2:11" ht="17" customHeight="1">
      <c r="B1263" s="253">
        <v>45820</v>
      </c>
      <c r="C1263" s="263" t="s">
        <v>513</v>
      </c>
      <c r="D1263" s="255" t="s">
        <v>699</v>
      </c>
      <c r="E1263" s="256"/>
      <c r="F1263" s="257">
        <v>19</v>
      </c>
      <c r="G1263" s="258" t="s">
        <v>250</v>
      </c>
      <c r="H1263" s="259"/>
      <c r="I1263" s="541">
        <f t="shared" si="23"/>
        <v>150356.5514285714</v>
      </c>
      <c r="K1263" s="243"/>
    </row>
    <row r="1264" spans="2:11" ht="17" customHeight="1">
      <c r="B1264" s="253">
        <v>45820</v>
      </c>
      <c r="C1264" s="263" t="s">
        <v>117</v>
      </c>
      <c r="D1264" s="255" t="s">
        <v>713</v>
      </c>
      <c r="E1264" s="256"/>
      <c r="F1264" s="257">
        <v>30</v>
      </c>
      <c r="G1264" s="258" t="s">
        <v>216</v>
      </c>
      <c r="H1264" s="259"/>
      <c r="I1264" s="541">
        <f t="shared" si="23"/>
        <v>150326.5514285714</v>
      </c>
      <c r="K1264" s="243"/>
    </row>
    <row r="1265" spans="2:11" ht="17" customHeight="1">
      <c r="B1265" s="253">
        <v>45820</v>
      </c>
      <c r="C1265" s="263" t="s">
        <v>117</v>
      </c>
      <c r="D1265" s="255" t="s">
        <v>306</v>
      </c>
      <c r="E1265" s="256"/>
      <c r="F1265" s="257">
        <v>121.25</v>
      </c>
      <c r="G1265" s="258" t="s">
        <v>194</v>
      </c>
      <c r="H1265" s="259"/>
      <c r="I1265" s="541">
        <f t="shared" si="23"/>
        <v>150205.3014285714</v>
      </c>
      <c r="K1265" s="243"/>
    </row>
    <row r="1266" spans="2:11" ht="17" customHeight="1">
      <c r="B1266" s="253">
        <v>45820</v>
      </c>
      <c r="C1266" s="263" t="s">
        <v>117</v>
      </c>
      <c r="D1266" s="255" t="s">
        <v>306</v>
      </c>
      <c r="E1266" s="256"/>
      <c r="F1266" s="257">
        <v>50.85</v>
      </c>
      <c r="G1266" s="258" t="s">
        <v>194</v>
      </c>
      <c r="H1266" s="259"/>
      <c r="I1266" s="541">
        <f t="shared" si="23"/>
        <v>150154.4514285714</v>
      </c>
    </row>
    <row r="1267" spans="2:11" ht="17" customHeight="1">
      <c r="B1267" s="253">
        <v>45820</v>
      </c>
      <c r="C1267" s="263" t="s">
        <v>117</v>
      </c>
      <c r="D1267" s="255" t="s">
        <v>306</v>
      </c>
      <c r="E1267" s="256"/>
      <c r="F1267" s="257">
        <v>290.89999999999998</v>
      </c>
      <c r="G1267" s="258" t="s">
        <v>194</v>
      </c>
      <c r="H1267" s="259"/>
      <c r="I1267" s="541">
        <f t="shared" si="23"/>
        <v>149863.5514285714</v>
      </c>
      <c r="K1267" s="243"/>
    </row>
    <row r="1268" spans="2:11" ht="17" customHeight="1">
      <c r="B1268" s="253">
        <v>45820</v>
      </c>
      <c r="C1268" s="263" t="s">
        <v>117</v>
      </c>
      <c r="D1268" s="255" t="s">
        <v>306</v>
      </c>
      <c r="E1268" s="256"/>
      <c r="F1268" s="257">
        <v>109.2</v>
      </c>
      <c r="G1268" s="258" t="s">
        <v>194</v>
      </c>
      <c r="H1268" s="259"/>
      <c r="I1268" s="541">
        <f t="shared" si="23"/>
        <v>149754.35142857139</v>
      </c>
      <c r="K1268" s="243"/>
    </row>
    <row r="1269" spans="2:11" ht="17" customHeight="1">
      <c r="B1269" s="253">
        <v>45820</v>
      </c>
      <c r="C1269" s="263" t="s">
        <v>117</v>
      </c>
      <c r="D1269" s="255" t="s">
        <v>306</v>
      </c>
      <c r="E1269" s="256"/>
      <c r="F1269" s="257">
        <v>115.15</v>
      </c>
      <c r="G1269" s="258" t="s">
        <v>194</v>
      </c>
      <c r="H1269" s="259"/>
      <c r="I1269" s="541">
        <f t="shared" si="23"/>
        <v>149639.2014285714</v>
      </c>
      <c r="K1269" s="243"/>
    </row>
    <row r="1270" spans="2:11" ht="17" customHeight="1">
      <c r="B1270" s="253">
        <v>45820</v>
      </c>
      <c r="C1270" s="263" t="s">
        <v>117</v>
      </c>
      <c r="D1270" s="255" t="s">
        <v>829</v>
      </c>
      <c r="E1270" s="256">
        <v>125</v>
      </c>
      <c r="F1270" s="257"/>
      <c r="G1270" s="258" t="s">
        <v>194</v>
      </c>
      <c r="H1270" s="259" t="s">
        <v>832</v>
      </c>
      <c r="I1270" s="541">
        <f t="shared" si="23"/>
        <v>149764.2014285714</v>
      </c>
      <c r="K1270" s="243"/>
    </row>
    <row r="1271" spans="2:11" ht="17" customHeight="1">
      <c r="B1271" s="253">
        <v>45820</v>
      </c>
      <c r="C1271" s="263" t="s">
        <v>117</v>
      </c>
      <c r="D1271" s="255" t="s">
        <v>797</v>
      </c>
      <c r="E1271" s="256">
        <v>50</v>
      </c>
      <c r="F1271" s="257"/>
      <c r="G1271" s="258" t="s">
        <v>195</v>
      </c>
      <c r="H1271" s="259"/>
      <c r="I1271" s="541">
        <f t="shared" si="23"/>
        <v>149814.2014285714</v>
      </c>
      <c r="K1271" s="243"/>
    </row>
    <row r="1272" spans="2:11" ht="17" customHeight="1">
      <c r="B1272" s="253">
        <v>45820</v>
      </c>
      <c r="C1272" s="263" t="s">
        <v>117</v>
      </c>
      <c r="D1272" s="255" t="s">
        <v>798</v>
      </c>
      <c r="E1272" s="256">
        <v>100</v>
      </c>
      <c r="F1272" s="257"/>
      <c r="G1272" s="258" t="s">
        <v>195</v>
      </c>
      <c r="H1272" s="259"/>
      <c r="I1272" s="541">
        <f t="shared" si="23"/>
        <v>149914.2014285714</v>
      </c>
      <c r="K1272" s="243"/>
    </row>
    <row r="1273" spans="2:11" ht="17" customHeight="1">
      <c r="B1273" s="253">
        <v>45820</v>
      </c>
      <c r="C1273" s="263" t="s">
        <v>117</v>
      </c>
      <c r="D1273" s="255" t="s">
        <v>747</v>
      </c>
      <c r="E1273" s="256">
        <v>100</v>
      </c>
      <c r="F1273" s="257"/>
      <c r="G1273" s="258" t="s">
        <v>195</v>
      </c>
      <c r="H1273" s="259"/>
      <c r="I1273" s="541">
        <f t="shared" si="23"/>
        <v>150014.2014285714</v>
      </c>
      <c r="K1273" s="243"/>
    </row>
    <row r="1274" spans="2:11" ht="17" customHeight="1">
      <c r="B1274" s="253">
        <v>45820</v>
      </c>
      <c r="C1274" s="263" t="s">
        <v>117</v>
      </c>
      <c r="D1274" s="255" t="s">
        <v>516</v>
      </c>
      <c r="E1274" s="256"/>
      <c r="F1274" s="257">
        <v>27.7</v>
      </c>
      <c r="G1274" s="258" t="s">
        <v>201</v>
      </c>
      <c r="H1274" s="259"/>
      <c r="I1274" s="541">
        <f t="shared" si="23"/>
        <v>149986.50142857138</v>
      </c>
      <c r="K1274" s="243"/>
    </row>
    <row r="1275" spans="2:11" ht="17" customHeight="1">
      <c r="B1275" s="253">
        <v>45820</v>
      </c>
      <c r="C1275" s="263" t="s">
        <v>283</v>
      </c>
      <c r="D1275" s="255" t="s">
        <v>283</v>
      </c>
      <c r="E1275" s="256">
        <f>1371.4-E1276</f>
        <v>1225.79</v>
      </c>
      <c r="F1275" s="257"/>
      <c r="G1275" s="258" t="s">
        <v>190</v>
      </c>
      <c r="H1275" s="259"/>
      <c r="I1275" s="541">
        <f t="shared" si="23"/>
        <v>151212.29142857139</v>
      </c>
      <c r="K1275" s="243"/>
    </row>
    <row r="1276" spans="2:11" ht="17" customHeight="1">
      <c r="B1276" s="253">
        <v>45820</v>
      </c>
      <c r="C1276" s="263" t="s">
        <v>283</v>
      </c>
      <c r="D1276" s="255" t="s">
        <v>508</v>
      </c>
      <c r="E1276" s="256">
        <v>145.61000000000001</v>
      </c>
      <c r="F1276" s="257"/>
      <c r="G1276" s="258" t="s">
        <v>276</v>
      </c>
      <c r="H1276" s="259"/>
      <c r="I1276" s="541">
        <f t="shared" si="23"/>
        <v>151357.90142857138</v>
      </c>
      <c r="K1276" s="243"/>
    </row>
    <row r="1277" spans="2:11" ht="17" customHeight="1">
      <c r="B1277" s="253">
        <v>45821</v>
      </c>
      <c r="C1277" s="263" t="s">
        <v>833</v>
      </c>
      <c r="D1277" s="255" t="s">
        <v>512</v>
      </c>
      <c r="E1277" s="256"/>
      <c r="F1277" s="257">
        <f>27.6-1.06</f>
        <v>26.540000000000003</v>
      </c>
      <c r="G1277" s="258" t="s">
        <v>199</v>
      </c>
      <c r="H1277" s="259"/>
      <c r="I1277" s="541">
        <f t="shared" si="23"/>
        <v>151331.36142857137</v>
      </c>
      <c r="K1277" s="243"/>
    </row>
    <row r="1278" spans="2:11" ht="17" customHeight="1">
      <c r="B1278" s="253">
        <v>45821</v>
      </c>
      <c r="C1278" s="263" t="s">
        <v>833</v>
      </c>
      <c r="D1278" s="255" t="s">
        <v>512</v>
      </c>
      <c r="E1278" s="256"/>
      <c r="F1278" s="257">
        <v>1.06</v>
      </c>
      <c r="G1278" s="258" t="s">
        <v>274</v>
      </c>
      <c r="H1278" s="259"/>
      <c r="I1278" s="541">
        <f t="shared" si="23"/>
        <v>151330.30142857137</v>
      </c>
      <c r="K1278" s="243"/>
    </row>
    <row r="1279" spans="2:11" ht="17" customHeight="1">
      <c r="B1279" s="253">
        <v>45821</v>
      </c>
      <c r="C1279" s="263" t="s">
        <v>117</v>
      </c>
      <c r="D1279" s="255" t="s">
        <v>510</v>
      </c>
      <c r="E1279" s="256"/>
      <c r="F1279" s="257">
        <v>80</v>
      </c>
      <c r="G1279" s="258" t="s">
        <v>234</v>
      </c>
      <c r="H1279" s="259"/>
      <c r="I1279" s="541">
        <f t="shared" si="23"/>
        <v>151250.30142857137</v>
      </c>
      <c r="K1279" s="243"/>
    </row>
    <row r="1280" spans="2:11" ht="17" customHeight="1">
      <c r="B1280" s="253">
        <v>45821</v>
      </c>
      <c r="C1280" s="263" t="s">
        <v>513</v>
      </c>
      <c r="D1280" s="255" t="s">
        <v>653</v>
      </c>
      <c r="E1280" s="256"/>
      <c r="F1280" s="257">
        <v>75</v>
      </c>
      <c r="G1280" s="258" t="s">
        <v>248</v>
      </c>
      <c r="H1280" s="259"/>
      <c r="I1280" s="541">
        <f t="shared" si="23"/>
        <v>151175.30142857137</v>
      </c>
      <c r="K1280" s="243"/>
    </row>
    <row r="1281" spans="2:11" ht="17" customHeight="1">
      <c r="B1281" s="253">
        <v>45821</v>
      </c>
      <c r="C1281" s="263" t="s">
        <v>513</v>
      </c>
      <c r="D1281" s="255" t="s">
        <v>834</v>
      </c>
      <c r="E1281" s="256"/>
      <c r="F1281" s="257">
        <v>90</v>
      </c>
      <c r="G1281" s="258" t="s">
        <v>249</v>
      </c>
      <c r="H1281" s="259"/>
      <c r="I1281" s="541">
        <f t="shared" si="23"/>
        <v>151085.30142857137</v>
      </c>
      <c r="K1281" s="243"/>
    </row>
    <row r="1282" spans="2:11" ht="17" customHeight="1">
      <c r="B1282" s="253">
        <v>45821</v>
      </c>
      <c r="C1282" s="263" t="s">
        <v>117</v>
      </c>
      <c r="D1282" s="255" t="s">
        <v>835</v>
      </c>
      <c r="E1282" s="256"/>
      <c r="F1282" s="257">
        <v>200</v>
      </c>
      <c r="G1282" s="258" t="s">
        <v>230</v>
      </c>
      <c r="H1282" s="259"/>
      <c r="I1282" s="541">
        <f t="shared" si="23"/>
        <v>150885.30142857137</v>
      </c>
      <c r="K1282" s="243"/>
    </row>
    <row r="1283" spans="2:11" ht="17" customHeight="1">
      <c r="B1283" s="253">
        <v>45821</v>
      </c>
      <c r="C1283" s="263" t="s">
        <v>283</v>
      </c>
      <c r="D1283" s="255" t="s">
        <v>283</v>
      </c>
      <c r="E1283" s="256">
        <f>1916.2-E1284</f>
        <v>1576.3600000000001</v>
      </c>
      <c r="F1283" s="257"/>
      <c r="G1283" s="258" t="s">
        <v>190</v>
      </c>
      <c r="H1283" s="259"/>
      <c r="I1283" s="541">
        <f t="shared" si="23"/>
        <v>152461.66142857136</v>
      </c>
      <c r="K1283" s="243"/>
    </row>
    <row r="1284" spans="2:11" ht="17" customHeight="1">
      <c r="B1284" s="253">
        <v>45821</v>
      </c>
      <c r="C1284" s="263" t="s">
        <v>283</v>
      </c>
      <c r="D1284" s="255" t="s">
        <v>508</v>
      </c>
      <c r="E1284" s="256">
        <v>339.84</v>
      </c>
      <c r="F1284" s="257"/>
      <c r="G1284" s="258" t="s">
        <v>276</v>
      </c>
      <c r="H1284" s="259"/>
      <c r="I1284" s="541">
        <f t="shared" si="23"/>
        <v>152801.50142857136</v>
      </c>
      <c r="K1284" s="243"/>
    </row>
    <row r="1285" spans="2:11" ht="17" customHeight="1">
      <c r="B1285" s="253">
        <v>45822</v>
      </c>
      <c r="C1285" s="263" t="s">
        <v>513</v>
      </c>
      <c r="D1285" s="255" t="s">
        <v>576</v>
      </c>
      <c r="E1285" s="256"/>
      <c r="F1285" s="257">
        <v>90</v>
      </c>
      <c r="G1285" s="258" t="s">
        <v>248</v>
      </c>
      <c r="H1285" s="259"/>
      <c r="I1285" s="541">
        <f t="shared" si="23"/>
        <v>152711.50142857136</v>
      </c>
      <c r="K1285" s="243"/>
    </row>
    <row r="1286" spans="2:11" ht="17" customHeight="1">
      <c r="B1286" s="253">
        <v>45822</v>
      </c>
      <c r="C1286" s="263" t="s">
        <v>283</v>
      </c>
      <c r="D1286" s="255" t="s">
        <v>283</v>
      </c>
      <c r="E1286" s="256">
        <f>1300.8-E1287</f>
        <v>1013.8599999999999</v>
      </c>
      <c r="F1286" s="257"/>
      <c r="G1286" s="258" t="s">
        <v>190</v>
      </c>
      <c r="H1286" s="259"/>
      <c r="I1286" s="541">
        <f t="shared" si="23"/>
        <v>153725.36142857134</v>
      </c>
      <c r="K1286" s="243"/>
    </row>
    <row r="1287" spans="2:11" ht="17" customHeight="1">
      <c r="B1287" s="253">
        <v>45822</v>
      </c>
      <c r="C1287" s="263" t="s">
        <v>283</v>
      </c>
      <c r="D1287" s="255" t="s">
        <v>508</v>
      </c>
      <c r="E1287" s="256">
        <v>286.94</v>
      </c>
      <c r="F1287" s="257"/>
      <c r="G1287" s="258" t="s">
        <v>276</v>
      </c>
      <c r="H1287" s="259"/>
      <c r="I1287" s="541">
        <f t="shared" si="23"/>
        <v>154012.30142857134</v>
      </c>
      <c r="K1287" s="243"/>
    </row>
    <row r="1288" spans="2:11" ht="17" customHeight="1">
      <c r="B1288" s="253">
        <v>45823</v>
      </c>
      <c r="C1288" s="263" t="s">
        <v>513</v>
      </c>
      <c r="D1288" s="255" t="s">
        <v>576</v>
      </c>
      <c r="E1288" s="256"/>
      <c r="F1288" s="257">
        <v>80</v>
      </c>
      <c r="G1288" s="258" t="s">
        <v>248</v>
      </c>
      <c r="H1288" s="259"/>
      <c r="I1288" s="541">
        <f t="shared" si="23"/>
        <v>153932.30142857134</v>
      </c>
      <c r="K1288" s="243"/>
    </row>
    <row r="1289" spans="2:11" ht="17" customHeight="1">
      <c r="B1289" s="253">
        <v>45823</v>
      </c>
      <c r="C1289" s="263" t="s">
        <v>513</v>
      </c>
      <c r="D1289" s="255" t="s">
        <v>688</v>
      </c>
      <c r="E1289" s="256"/>
      <c r="F1289" s="257">
        <v>50</v>
      </c>
      <c r="G1289" s="258" t="s">
        <v>248</v>
      </c>
      <c r="H1289" s="259"/>
      <c r="I1289" s="541">
        <f t="shared" si="23"/>
        <v>153882.30142857134</v>
      </c>
      <c r="K1289" s="243"/>
    </row>
    <row r="1290" spans="2:11" ht="17" customHeight="1">
      <c r="B1290" s="253">
        <v>45823</v>
      </c>
      <c r="C1290" s="263" t="s">
        <v>283</v>
      </c>
      <c r="D1290" s="255" t="s">
        <v>283</v>
      </c>
      <c r="E1290" s="256">
        <f>1457.5-E1291</f>
        <v>1289.6300000000001</v>
      </c>
      <c r="F1290" s="257"/>
      <c r="G1290" s="258" t="s">
        <v>190</v>
      </c>
      <c r="H1290" s="259"/>
      <c r="I1290" s="541">
        <f t="shared" si="23"/>
        <v>155171.93142857135</v>
      </c>
      <c r="K1290" s="243"/>
    </row>
    <row r="1291" spans="2:11" ht="17" customHeight="1">
      <c r="B1291" s="253">
        <v>45823</v>
      </c>
      <c r="C1291" s="263" t="s">
        <v>283</v>
      </c>
      <c r="D1291" s="255" t="s">
        <v>508</v>
      </c>
      <c r="E1291" s="256">
        <v>167.87</v>
      </c>
      <c r="F1291" s="257"/>
      <c r="G1291" s="258" t="s">
        <v>276</v>
      </c>
      <c r="H1291" s="259"/>
      <c r="I1291" s="541">
        <f t="shared" si="23"/>
        <v>155339.80142857134</v>
      </c>
      <c r="K1291" s="243"/>
    </row>
    <row r="1292" spans="2:11" ht="17" customHeight="1">
      <c r="B1292" s="253">
        <v>45824</v>
      </c>
      <c r="C1292" s="263" t="s">
        <v>117</v>
      </c>
      <c r="D1292" s="255" t="s">
        <v>667</v>
      </c>
      <c r="E1292" s="256"/>
      <c r="F1292" s="257">
        <v>57</v>
      </c>
      <c r="G1292" s="258" t="s">
        <v>207</v>
      </c>
      <c r="H1292" s="259"/>
      <c r="I1292" s="541">
        <f t="shared" si="23"/>
        <v>155282.80142857134</v>
      </c>
      <c r="K1292" s="243"/>
    </row>
    <row r="1293" spans="2:11" ht="17" customHeight="1">
      <c r="B1293" s="253">
        <v>45824</v>
      </c>
      <c r="C1293" s="263" t="s">
        <v>836</v>
      </c>
      <c r="D1293" s="255" t="s">
        <v>545</v>
      </c>
      <c r="E1293" s="256"/>
      <c r="F1293" s="257">
        <v>10</v>
      </c>
      <c r="G1293" s="258" t="s">
        <v>207</v>
      </c>
      <c r="H1293" s="259"/>
      <c r="I1293" s="541">
        <f t="shared" si="23"/>
        <v>155272.80142857134</v>
      </c>
      <c r="K1293" s="243"/>
    </row>
    <row r="1294" spans="2:11" ht="17" customHeight="1">
      <c r="B1294" s="253">
        <v>45824</v>
      </c>
      <c r="C1294" s="263" t="s">
        <v>837</v>
      </c>
      <c r="D1294" s="255" t="s">
        <v>545</v>
      </c>
      <c r="E1294" s="256"/>
      <c r="F1294" s="257">
        <v>16</v>
      </c>
      <c r="G1294" s="258" t="s">
        <v>207</v>
      </c>
      <c r="H1294" s="259"/>
      <c r="I1294" s="541">
        <f t="shared" si="23"/>
        <v>155256.80142857134</v>
      </c>
      <c r="K1294" s="243"/>
    </row>
    <row r="1295" spans="2:11" ht="17" customHeight="1">
      <c r="B1295" s="253">
        <v>45824</v>
      </c>
      <c r="C1295" s="263" t="s">
        <v>838</v>
      </c>
      <c r="D1295" s="255" t="s">
        <v>545</v>
      </c>
      <c r="E1295" s="256"/>
      <c r="F1295" s="257">
        <v>17</v>
      </c>
      <c r="G1295" s="258" t="s">
        <v>207</v>
      </c>
      <c r="H1295" s="259"/>
      <c r="I1295" s="541">
        <f t="shared" si="23"/>
        <v>155239.80142857134</v>
      </c>
      <c r="K1295" s="243"/>
    </row>
    <row r="1296" spans="2:11" ht="17" customHeight="1">
      <c r="B1296" s="253">
        <v>45824</v>
      </c>
      <c r="C1296" s="263" t="s">
        <v>839</v>
      </c>
      <c r="D1296" s="255" t="s">
        <v>545</v>
      </c>
      <c r="E1296" s="256"/>
      <c r="F1296" s="257">
        <v>310</v>
      </c>
      <c r="G1296" s="258" t="s">
        <v>207</v>
      </c>
      <c r="H1296" s="259"/>
      <c r="I1296" s="541">
        <f t="shared" si="23"/>
        <v>154929.80142857134</v>
      </c>
      <c r="K1296" s="243"/>
    </row>
    <row r="1297" spans="2:11" ht="17" customHeight="1">
      <c r="B1297" s="253">
        <v>45824</v>
      </c>
      <c r="C1297" s="263" t="s">
        <v>117</v>
      </c>
      <c r="D1297" s="255" t="s">
        <v>667</v>
      </c>
      <c r="E1297" s="256"/>
      <c r="F1297" s="257">
        <v>72</v>
      </c>
      <c r="G1297" s="258" t="s">
        <v>207</v>
      </c>
      <c r="H1297" s="259"/>
      <c r="I1297" s="541">
        <f t="shared" si="23"/>
        <v>154857.80142857134</v>
      </c>
      <c r="K1297" s="243"/>
    </row>
    <row r="1298" spans="2:11" ht="17" customHeight="1">
      <c r="B1298" s="253">
        <v>45824</v>
      </c>
      <c r="C1298" s="263" t="s">
        <v>117</v>
      </c>
      <c r="D1298" s="255" t="s">
        <v>650</v>
      </c>
      <c r="E1298" s="256"/>
      <c r="F1298" s="257">
        <v>2470</v>
      </c>
      <c r="G1298" s="258" t="s">
        <v>194</v>
      </c>
      <c r="H1298" s="259"/>
      <c r="I1298" s="541">
        <f t="shared" ref="I1298:I1361" si="24">I1297+E1298-F1298</f>
        <v>152387.80142857134</v>
      </c>
      <c r="K1298" s="243"/>
    </row>
    <row r="1299" spans="2:11" ht="17" customHeight="1">
      <c r="B1299" s="253">
        <v>45824</v>
      </c>
      <c r="C1299" s="263" t="s">
        <v>283</v>
      </c>
      <c r="D1299" s="255" t="s">
        <v>283</v>
      </c>
      <c r="E1299" s="256">
        <v>200</v>
      </c>
      <c r="F1299" s="257"/>
      <c r="G1299" s="258" t="s">
        <v>190</v>
      </c>
      <c r="H1299" s="259" t="s">
        <v>840</v>
      </c>
      <c r="I1299" s="541">
        <f t="shared" si="24"/>
        <v>152587.80142857134</v>
      </c>
      <c r="K1299" s="243"/>
    </row>
    <row r="1300" spans="2:11" ht="17" customHeight="1">
      <c r="B1300" s="253">
        <v>45824</v>
      </c>
      <c r="C1300" s="263" t="s">
        <v>283</v>
      </c>
      <c r="D1300" s="255" t="s">
        <v>283</v>
      </c>
      <c r="E1300" s="256">
        <v>354.12</v>
      </c>
      <c r="F1300" s="257"/>
      <c r="G1300" s="258" t="s">
        <v>190</v>
      </c>
      <c r="H1300" s="259"/>
      <c r="I1300" s="541">
        <f t="shared" si="24"/>
        <v>152941.92142857134</v>
      </c>
      <c r="K1300" s="243"/>
    </row>
    <row r="1301" spans="2:11" ht="17" customHeight="1">
      <c r="B1301" s="253">
        <v>45824</v>
      </c>
      <c r="C1301" s="263" t="s">
        <v>283</v>
      </c>
      <c r="D1301" s="255" t="s">
        <v>508</v>
      </c>
      <c r="E1301" s="256">
        <v>72.48</v>
      </c>
      <c r="F1301" s="257"/>
      <c r="G1301" s="258" t="s">
        <v>276</v>
      </c>
      <c r="H1301" s="259"/>
      <c r="I1301" s="541">
        <f t="shared" si="24"/>
        <v>153014.40142857135</v>
      </c>
      <c r="K1301" s="243"/>
    </row>
    <row r="1302" spans="2:11" ht="17" customHeight="1">
      <c r="B1302" s="253">
        <v>45825</v>
      </c>
      <c r="C1302" s="263" t="s">
        <v>286</v>
      </c>
      <c r="D1302" s="255" t="s">
        <v>520</v>
      </c>
      <c r="E1302" s="256"/>
      <c r="F1302" s="257">
        <v>60</v>
      </c>
      <c r="G1302" s="258" t="s">
        <v>139</v>
      </c>
      <c r="H1302" s="259"/>
      <c r="I1302" s="541">
        <f t="shared" si="24"/>
        <v>152954.40142857135</v>
      </c>
      <c r="K1302" s="243"/>
    </row>
    <row r="1303" spans="2:11" ht="17" customHeight="1">
      <c r="B1303" s="253">
        <v>45825</v>
      </c>
      <c r="C1303" s="263" t="s">
        <v>283</v>
      </c>
      <c r="D1303" s="255" t="s">
        <v>283</v>
      </c>
      <c r="E1303" s="256">
        <v>859.44</v>
      </c>
      <c r="F1303" s="257"/>
      <c r="G1303" s="258" t="s">
        <v>190</v>
      </c>
      <c r="H1303" s="259"/>
      <c r="I1303" s="541">
        <f t="shared" si="24"/>
        <v>153813.84142857135</v>
      </c>
      <c r="K1303" s="243"/>
    </row>
    <row r="1304" spans="2:11" ht="17" customHeight="1">
      <c r="B1304" s="253">
        <v>45825</v>
      </c>
      <c r="C1304" s="263" t="s">
        <v>283</v>
      </c>
      <c r="D1304" s="255" t="s">
        <v>508</v>
      </c>
      <c r="E1304" s="256">
        <v>171.91</v>
      </c>
      <c r="F1304" s="257"/>
      <c r="G1304" s="258" t="s">
        <v>276</v>
      </c>
      <c r="H1304" s="259"/>
      <c r="I1304" s="541">
        <f t="shared" si="24"/>
        <v>153985.75142857136</v>
      </c>
      <c r="K1304" s="243"/>
    </row>
    <row r="1305" spans="2:11" ht="17" customHeight="1">
      <c r="B1305" s="253">
        <v>45825</v>
      </c>
      <c r="C1305" s="263" t="s">
        <v>283</v>
      </c>
      <c r="D1305" s="255" t="s">
        <v>508</v>
      </c>
      <c r="E1305" s="256">
        <v>89.45</v>
      </c>
      <c r="F1305" s="257"/>
      <c r="G1305" s="258" t="s">
        <v>276</v>
      </c>
      <c r="H1305" s="629" t="s">
        <v>841</v>
      </c>
      <c r="I1305" s="541">
        <f t="shared" si="24"/>
        <v>154075.20142857137</v>
      </c>
      <c r="K1305" s="243"/>
    </row>
    <row r="1306" spans="2:11" ht="17" customHeight="1">
      <c r="B1306" s="253">
        <v>45826</v>
      </c>
      <c r="C1306" s="263" t="s">
        <v>117</v>
      </c>
      <c r="D1306" s="255" t="s">
        <v>533</v>
      </c>
      <c r="E1306" s="256"/>
      <c r="F1306" s="257">
        <v>250</v>
      </c>
      <c r="G1306" s="258" t="s">
        <v>230</v>
      </c>
      <c r="H1306" s="259"/>
      <c r="I1306" s="541">
        <f t="shared" si="24"/>
        <v>153825.20142857137</v>
      </c>
      <c r="K1306" s="243"/>
    </row>
    <row r="1307" spans="2:11" ht="17" customHeight="1">
      <c r="B1307" s="253">
        <v>45826</v>
      </c>
      <c r="C1307" s="263" t="s">
        <v>513</v>
      </c>
      <c r="D1307" s="255" t="s">
        <v>563</v>
      </c>
      <c r="E1307" s="256"/>
      <c r="F1307" s="257">
        <v>103</v>
      </c>
      <c r="G1307" s="258" t="s">
        <v>249</v>
      </c>
      <c r="H1307" s="259"/>
      <c r="I1307" s="541">
        <f t="shared" si="24"/>
        <v>153722.20142857137</v>
      </c>
      <c r="K1307" s="243"/>
    </row>
    <row r="1308" spans="2:11" ht="17" customHeight="1">
      <c r="B1308" s="253">
        <v>45826</v>
      </c>
      <c r="C1308" s="263" t="s">
        <v>283</v>
      </c>
      <c r="D1308" s="255" t="s">
        <v>283</v>
      </c>
      <c r="E1308" s="256">
        <f>1297-E1309</f>
        <v>1070.6500000000001</v>
      </c>
      <c r="F1308" s="257"/>
      <c r="G1308" s="258" t="s">
        <v>190</v>
      </c>
      <c r="H1308" s="259"/>
      <c r="I1308" s="541">
        <f t="shared" si="24"/>
        <v>154792.85142857136</v>
      </c>
      <c r="K1308" s="243"/>
    </row>
    <row r="1309" spans="2:11" ht="17" customHeight="1">
      <c r="B1309" s="253">
        <v>45826</v>
      </c>
      <c r="C1309" s="263" t="s">
        <v>283</v>
      </c>
      <c r="D1309" s="255" t="s">
        <v>508</v>
      </c>
      <c r="E1309" s="256">
        <v>226.35</v>
      </c>
      <c r="F1309" s="257"/>
      <c r="G1309" s="258" t="s">
        <v>276</v>
      </c>
      <c r="H1309" s="259"/>
      <c r="I1309" s="541">
        <f t="shared" si="24"/>
        <v>155019.20142857137</v>
      </c>
      <c r="J1309" s="232" t="s">
        <v>842</v>
      </c>
      <c r="K1309" s="243"/>
    </row>
    <row r="1310" spans="2:11" ht="17" customHeight="1">
      <c r="B1310" s="253">
        <v>45827</v>
      </c>
      <c r="C1310" s="263" t="s">
        <v>117</v>
      </c>
      <c r="D1310" s="255" t="s">
        <v>843</v>
      </c>
      <c r="E1310" s="256"/>
      <c r="F1310" s="257">
        <v>16</v>
      </c>
      <c r="G1310" s="258" t="s">
        <v>254</v>
      </c>
      <c r="H1310" s="259"/>
      <c r="I1310" s="541">
        <f t="shared" si="24"/>
        <v>155003.20142857137</v>
      </c>
      <c r="K1310" s="243"/>
    </row>
    <row r="1311" spans="2:11" ht="17" customHeight="1">
      <c r="B1311" s="253">
        <v>45827</v>
      </c>
      <c r="C1311" s="263" t="s">
        <v>117</v>
      </c>
      <c r="D1311" s="255" t="s">
        <v>306</v>
      </c>
      <c r="E1311" s="256"/>
      <c r="F1311" s="257">
        <v>312.10000000000002</v>
      </c>
      <c r="G1311" s="258" t="s">
        <v>194</v>
      </c>
      <c r="H1311" s="259"/>
      <c r="I1311" s="541">
        <f t="shared" si="24"/>
        <v>154691.10142857136</v>
      </c>
      <c r="K1311" s="243"/>
    </row>
    <row r="1312" spans="2:11" ht="17" customHeight="1">
      <c r="B1312" s="253">
        <v>45827</v>
      </c>
      <c r="C1312" s="263" t="s">
        <v>117</v>
      </c>
      <c r="D1312" s="255" t="s">
        <v>306</v>
      </c>
      <c r="E1312" s="256"/>
      <c r="F1312" s="257">
        <v>243</v>
      </c>
      <c r="G1312" s="258" t="s">
        <v>194</v>
      </c>
      <c r="H1312" s="259"/>
      <c r="I1312" s="541">
        <f t="shared" si="24"/>
        <v>154448.10142857136</v>
      </c>
      <c r="K1312" s="243"/>
    </row>
    <row r="1313" spans="2:11" ht="17" customHeight="1">
      <c r="B1313" s="253">
        <v>45827</v>
      </c>
      <c r="C1313" s="263" t="s">
        <v>117</v>
      </c>
      <c r="D1313" s="255" t="s">
        <v>306</v>
      </c>
      <c r="E1313" s="256"/>
      <c r="F1313" s="257">
        <v>160</v>
      </c>
      <c r="G1313" s="258" t="s">
        <v>194</v>
      </c>
      <c r="H1313" s="259"/>
      <c r="I1313" s="541">
        <f t="shared" si="24"/>
        <v>154288.10142857136</v>
      </c>
      <c r="K1313" s="243"/>
    </row>
    <row r="1314" spans="2:11" ht="17" customHeight="1">
      <c r="B1314" s="253">
        <v>45827</v>
      </c>
      <c r="C1314" s="263" t="s">
        <v>117</v>
      </c>
      <c r="D1314" s="255" t="s">
        <v>306</v>
      </c>
      <c r="E1314" s="256"/>
      <c r="F1314" s="257">
        <v>246.4</v>
      </c>
      <c r="G1314" s="258" t="s">
        <v>194</v>
      </c>
      <c r="H1314" s="259"/>
      <c r="I1314" s="541">
        <f t="shared" si="24"/>
        <v>154041.70142857137</v>
      </c>
      <c r="K1314" s="243"/>
    </row>
    <row r="1315" spans="2:11" ht="17" customHeight="1">
      <c r="B1315" s="253">
        <v>45827</v>
      </c>
      <c r="C1315" s="263" t="s">
        <v>117</v>
      </c>
      <c r="D1315" s="255" t="s">
        <v>797</v>
      </c>
      <c r="E1315" s="256">
        <v>50</v>
      </c>
      <c r="F1315" s="257"/>
      <c r="G1315" s="258" t="s">
        <v>195</v>
      </c>
      <c r="H1315" s="259"/>
      <c r="I1315" s="541">
        <f t="shared" si="24"/>
        <v>154091.70142857137</v>
      </c>
      <c r="K1315" s="243"/>
    </row>
    <row r="1316" spans="2:11" ht="17" customHeight="1">
      <c r="B1316" s="253">
        <v>45827</v>
      </c>
      <c r="C1316" s="263" t="s">
        <v>117</v>
      </c>
      <c r="D1316" s="255" t="s">
        <v>829</v>
      </c>
      <c r="E1316" s="256">
        <v>180</v>
      </c>
      <c r="F1316" s="257"/>
      <c r="G1316" s="258" t="s">
        <v>194</v>
      </c>
      <c r="H1316" s="259"/>
      <c r="I1316" s="541">
        <f t="shared" si="24"/>
        <v>154271.70142857137</v>
      </c>
      <c r="K1316" s="243"/>
    </row>
    <row r="1317" spans="2:11" ht="17" customHeight="1">
      <c r="B1317" s="253">
        <v>45827</v>
      </c>
      <c r="C1317" s="263" t="s">
        <v>117</v>
      </c>
      <c r="D1317" s="255" t="s">
        <v>798</v>
      </c>
      <c r="E1317" s="256">
        <v>100</v>
      </c>
      <c r="F1317" s="257"/>
      <c r="G1317" s="258" t="s">
        <v>195</v>
      </c>
      <c r="H1317" s="259"/>
      <c r="I1317" s="541">
        <f t="shared" si="24"/>
        <v>154371.70142857137</v>
      </c>
      <c r="K1317" s="243"/>
    </row>
    <row r="1318" spans="2:11" ht="17" customHeight="1">
      <c r="B1318" s="253">
        <v>45827</v>
      </c>
      <c r="C1318" s="263" t="s">
        <v>117</v>
      </c>
      <c r="D1318" s="255" t="s">
        <v>747</v>
      </c>
      <c r="E1318" s="256">
        <v>100</v>
      </c>
      <c r="F1318" s="257"/>
      <c r="G1318" s="258" t="s">
        <v>195</v>
      </c>
      <c r="H1318" s="259"/>
      <c r="I1318" s="541">
        <f t="shared" si="24"/>
        <v>154471.70142857137</v>
      </c>
      <c r="K1318" s="243"/>
    </row>
    <row r="1319" spans="2:11" ht="17" customHeight="1">
      <c r="B1319" s="253">
        <v>45827</v>
      </c>
      <c r="C1319" s="263" t="s">
        <v>513</v>
      </c>
      <c r="D1319" s="255" t="s">
        <v>30</v>
      </c>
      <c r="E1319" s="256">
        <v>100</v>
      </c>
      <c r="F1319" s="257"/>
      <c r="G1319" s="258" t="s">
        <v>245</v>
      </c>
      <c r="H1319" s="259"/>
      <c r="I1319" s="541">
        <f t="shared" si="24"/>
        <v>154571.70142857137</v>
      </c>
      <c r="K1319" s="243"/>
    </row>
    <row r="1320" spans="2:11" ht="17" customHeight="1">
      <c r="B1320" s="253">
        <v>45827</v>
      </c>
      <c r="C1320" s="263" t="s">
        <v>117</v>
      </c>
      <c r="D1320" s="255" t="s">
        <v>844</v>
      </c>
      <c r="E1320" s="256"/>
      <c r="F1320" s="257">
        <v>60</v>
      </c>
      <c r="G1320" s="258" t="s">
        <v>205</v>
      </c>
      <c r="H1320" s="259"/>
      <c r="I1320" s="541">
        <f t="shared" si="24"/>
        <v>154511.70142857137</v>
      </c>
      <c r="K1320" s="243"/>
    </row>
    <row r="1321" spans="2:11" ht="17" customHeight="1">
      <c r="B1321" s="253">
        <v>45827</v>
      </c>
      <c r="C1321" s="263" t="s">
        <v>513</v>
      </c>
      <c r="D1321" s="255" t="s">
        <v>31</v>
      </c>
      <c r="E1321" s="256"/>
      <c r="F1321" s="257">
        <v>60</v>
      </c>
      <c r="G1321" s="258" t="s">
        <v>245</v>
      </c>
      <c r="H1321" s="259"/>
      <c r="I1321" s="541">
        <f t="shared" si="24"/>
        <v>154451.70142857137</v>
      </c>
      <c r="K1321" s="243"/>
    </row>
    <row r="1322" spans="2:11" ht="17" customHeight="1">
      <c r="B1322" s="253">
        <v>45827</v>
      </c>
      <c r="C1322" s="263" t="s">
        <v>283</v>
      </c>
      <c r="D1322" s="255" t="s">
        <v>283</v>
      </c>
      <c r="E1322" s="256">
        <f>940.6-E1323</f>
        <v>805.35</v>
      </c>
      <c r="F1322" s="257"/>
      <c r="G1322" s="258" t="s">
        <v>190</v>
      </c>
      <c r="H1322" s="259"/>
      <c r="I1322" s="541">
        <f t="shared" si="24"/>
        <v>155257.05142857137</v>
      </c>
      <c r="K1322" s="243"/>
    </row>
    <row r="1323" spans="2:11" ht="17" customHeight="1">
      <c r="B1323" s="253">
        <v>45827</v>
      </c>
      <c r="C1323" s="263" t="s">
        <v>283</v>
      </c>
      <c r="D1323" s="255" t="s">
        <v>508</v>
      </c>
      <c r="E1323" s="256">
        <v>135.25</v>
      </c>
      <c r="F1323" s="257"/>
      <c r="G1323" s="258" t="s">
        <v>276</v>
      </c>
      <c r="H1323" s="259"/>
      <c r="I1323" s="541">
        <f t="shared" si="24"/>
        <v>155392.30142857137</v>
      </c>
      <c r="K1323" s="243"/>
    </row>
    <row r="1324" spans="2:11" ht="17" customHeight="1">
      <c r="B1324" s="253">
        <v>45828</v>
      </c>
      <c r="C1324" s="263" t="s">
        <v>845</v>
      </c>
      <c r="D1324" s="255" t="s">
        <v>512</v>
      </c>
      <c r="E1324" s="256"/>
      <c r="F1324" s="257">
        <f>25.75-0.99</f>
        <v>24.76</v>
      </c>
      <c r="G1324" s="258" t="s">
        <v>199</v>
      </c>
      <c r="H1324" s="259"/>
      <c r="I1324" s="541">
        <f t="shared" si="24"/>
        <v>155367.54142857136</v>
      </c>
      <c r="K1324" s="243"/>
    </row>
    <row r="1325" spans="2:11" ht="17" customHeight="1">
      <c r="B1325" s="253">
        <v>45828</v>
      </c>
      <c r="C1325" s="263" t="s">
        <v>845</v>
      </c>
      <c r="D1325" s="255" t="s">
        <v>512</v>
      </c>
      <c r="E1325" s="256"/>
      <c r="F1325" s="257">
        <v>0.99</v>
      </c>
      <c r="G1325" s="258" t="s">
        <v>274</v>
      </c>
      <c r="H1325" s="259"/>
      <c r="I1325" s="541">
        <f t="shared" si="24"/>
        <v>155366.55142857137</v>
      </c>
      <c r="K1325" s="243"/>
    </row>
    <row r="1326" spans="2:11" ht="17" customHeight="1">
      <c r="B1326" s="253">
        <v>45828</v>
      </c>
      <c r="C1326" s="263" t="s">
        <v>286</v>
      </c>
      <c r="D1326" s="255" t="s">
        <v>520</v>
      </c>
      <c r="E1326" s="256"/>
      <c r="F1326" s="257">
        <v>35</v>
      </c>
      <c r="G1326" s="258" t="s">
        <v>139</v>
      </c>
      <c r="H1326" s="259"/>
      <c r="I1326" s="541">
        <f t="shared" si="24"/>
        <v>155331.55142857137</v>
      </c>
      <c r="K1326" s="243"/>
    </row>
    <row r="1327" spans="2:11" ht="17" customHeight="1">
      <c r="B1327" s="253">
        <v>45828</v>
      </c>
      <c r="C1327" s="263" t="s">
        <v>117</v>
      </c>
      <c r="D1327" s="255" t="s">
        <v>846</v>
      </c>
      <c r="E1327" s="256"/>
      <c r="F1327" s="257">
        <v>140</v>
      </c>
      <c r="G1327" s="258" t="s">
        <v>201</v>
      </c>
      <c r="H1327" s="259"/>
      <c r="I1327" s="541">
        <f t="shared" si="24"/>
        <v>155191.55142857137</v>
      </c>
      <c r="K1327" s="243"/>
    </row>
    <row r="1328" spans="2:11" ht="17" customHeight="1">
      <c r="B1328" s="253">
        <v>45828</v>
      </c>
      <c r="C1328" s="263" t="s">
        <v>117</v>
      </c>
      <c r="D1328" s="255" t="s">
        <v>612</v>
      </c>
      <c r="E1328" s="256"/>
      <c r="F1328" s="257">
        <v>200</v>
      </c>
      <c r="G1328" s="258" t="s">
        <v>230</v>
      </c>
      <c r="H1328" s="259"/>
      <c r="I1328" s="541">
        <f t="shared" si="24"/>
        <v>154991.55142857137</v>
      </c>
      <c r="K1328" s="243"/>
    </row>
    <row r="1329" spans="2:11" ht="17" customHeight="1">
      <c r="B1329" s="253">
        <v>45828</v>
      </c>
      <c r="C1329" s="263" t="s">
        <v>283</v>
      </c>
      <c r="D1329" s="255" t="s">
        <v>283</v>
      </c>
      <c r="E1329" s="256">
        <f>2244.45-E1330</f>
        <v>1973.5499999999997</v>
      </c>
      <c r="F1329" s="257"/>
      <c r="G1329" s="258" t="s">
        <v>190</v>
      </c>
      <c r="H1329" s="259"/>
      <c r="I1329" s="541">
        <f t="shared" si="24"/>
        <v>156965.10142857136</v>
      </c>
      <c r="K1329" s="243"/>
    </row>
    <row r="1330" spans="2:11" ht="17" customHeight="1">
      <c r="B1330" s="253">
        <v>45828</v>
      </c>
      <c r="C1330" s="263" t="s">
        <v>283</v>
      </c>
      <c r="D1330" s="255" t="s">
        <v>508</v>
      </c>
      <c r="E1330" s="256">
        <v>270.89999999999998</v>
      </c>
      <c r="F1330" s="257"/>
      <c r="G1330" s="258" t="s">
        <v>276</v>
      </c>
      <c r="H1330" s="259"/>
      <c r="I1330" s="541">
        <f t="shared" si="24"/>
        <v>157236.00142857136</v>
      </c>
      <c r="K1330" s="243"/>
    </row>
    <row r="1331" spans="2:11" ht="17" customHeight="1">
      <c r="B1331" s="253">
        <v>45829</v>
      </c>
      <c r="C1331" s="263" t="s">
        <v>513</v>
      </c>
      <c r="D1331" s="255" t="s">
        <v>576</v>
      </c>
      <c r="E1331" s="256"/>
      <c r="F1331" s="257">
        <v>90</v>
      </c>
      <c r="G1331" s="258" t="s">
        <v>248</v>
      </c>
      <c r="H1331" s="259"/>
      <c r="I1331" s="541">
        <f t="shared" si="24"/>
        <v>157146.00142857136</v>
      </c>
      <c r="K1331" s="243"/>
    </row>
    <row r="1332" spans="2:11" ht="17" customHeight="1">
      <c r="B1332" s="253">
        <v>45829</v>
      </c>
      <c r="C1332" s="263" t="s">
        <v>117</v>
      </c>
      <c r="D1332" s="255" t="s">
        <v>615</v>
      </c>
      <c r="E1332" s="256"/>
      <c r="F1332" s="257">
        <v>20</v>
      </c>
      <c r="G1332" s="258" t="s">
        <v>199</v>
      </c>
      <c r="H1332" s="259"/>
      <c r="I1332" s="541">
        <f t="shared" si="24"/>
        <v>157126.00142857136</v>
      </c>
      <c r="K1332" s="243"/>
    </row>
    <row r="1333" spans="2:11" ht="17" customHeight="1">
      <c r="B1333" s="253">
        <v>45829</v>
      </c>
      <c r="C1333" s="263" t="s">
        <v>283</v>
      </c>
      <c r="D1333" s="255" t="s">
        <v>283</v>
      </c>
      <c r="E1333" s="256">
        <f>1217-E1334</f>
        <v>1029.95</v>
      </c>
      <c r="F1333" s="257"/>
      <c r="G1333" s="258" t="s">
        <v>190</v>
      </c>
      <c r="H1333" s="259"/>
      <c r="I1333" s="541">
        <f t="shared" si="24"/>
        <v>158155.95142857137</v>
      </c>
      <c r="K1333" s="243"/>
    </row>
    <row r="1334" spans="2:11" ht="17" customHeight="1">
      <c r="B1334" s="253">
        <v>45829</v>
      </c>
      <c r="C1334" s="263" t="s">
        <v>283</v>
      </c>
      <c r="D1334" s="255" t="s">
        <v>508</v>
      </c>
      <c r="E1334" s="256">
        <v>187.05</v>
      </c>
      <c r="F1334" s="257"/>
      <c r="G1334" s="258" t="s">
        <v>276</v>
      </c>
      <c r="H1334" s="259"/>
      <c r="I1334" s="541">
        <f t="shared" si="24"/>
        <v>158343.00142857136</v>
      </c>
      <c r="K1334" s="243"/>
    </row>
    <row r="1335" spans="2:11" ht="17" customHeight="1">
      <c r="B1335" s="253">
        <v>45829</v>
      </c>
      <c r="C1335" s="263" t="s">
        <v>283</v>
      </c>
      <c r="D1335" s="255" t="s">
        <v>283</v>
      </c>
      <c r="E1335" s="256">
        <v>200</v>
      </c>
      <c r="F1335" s="257"/>
      <c r="G1335" s="258" t="s">
        <v>190</v>
      </c>
      <c r="H1335" s="259" t="s">
        <v>847</v>
      </c>
      <c r="I1335" s="541">
        <f t="shared" si="24"/>
        <v>158543.00142857136</v>
      </c>
      <c r="K1335" s="243"/>
    </row>
    <row r="1336" spans="2:11" ht="17" customHeight="1">
      <c r="B1336" s="253">
        <v>45830</v>
      </c>
      <c r="C1336" s="263" t="s">
        <v>513</v>
      </c>
      <c r="D1336" s="255" t="s">
        <v>688</v>
      </c>
      <c r="E1336" s="256"/>
      <c r="F1336" s="257">
        <v>75</v>
      </c>
      <c r="G1336" s="258" t="s">
        <v>248</v>
      </c>
      <c r="H1336" s="259"/>
      <c r="I1336" s="541">
        <f t="shared" si="24"/>
        <v>158468.00142857136</v>
      </c>
      <c r="K1336" s="243"/>
    </row>
    <row r="1337" spans="2:11" ht="17" customHeight="1">
      <c r="B1337" s="253">
        <v>45830</v>
      </c>
      <c r="C1337" s="263" t="s">
        <v>117</v>
      </c>
      <c r="D1337" s="255" t="s">
        <v>797</v>
      </c>
      <c r="E1337" s="256">
        <v>50</v>
      </c>
      <c r="F1337" s="257"/>
      <c r="G1337" s="258" t="s">
        <v>195</v>
      </c>
      <c r="H1337" s="259"/>
      <c r="I1337" s="541">
        <f t="shared" si="24"/>
        <v>158518.00142857136</v>
      </c>
      <c r="K1337" s="243"/>
    </row>
    <row r="1338" spans="2:11" ht="17" customHeight="1">
      <c r="B1338" s="253">
        <v>45830</v>
      </c>
      <c r="C1338" s="263" t="s">
        <v>513</v>
      </c>
      <c r="D1338" s="255" t="s">
        <v>30</v>
      </c>
      <c r="E1338" s="256">
        <v>100</v>
      </c>
      <c r="F1338" s="257"/>
      <c r="G1338" s="258" t="s">
        <v>245</v>
      </c>
      <c r="H1338" s="259"/>
      <c r="I1338" s="541">
        <f t="shared" si="24"/>
        <v>158618.00142857136</v>
      </c>
      <c r="K1338" s="243"/>
    </row>
    <row r="1339" spans="2:11" ht="17" customHeight="1">
      <c r="B1339" s="253">
        <v>45830</v>
      </c>
      <c r="C1339" s="263" t="s">
        <v>117</v>
      </c>
      <c r="D1339" s="255" t="s">
        <v>798</v>
      </c>
      <c r="E1339" s="256">
        <v>100</v>
      </c>
      <c r="F1339" s="257"/>
      <c r="G1339" s="258" t="s">
        <v>195</v>
      </c>
      <c r="H1339" s="259"/>
      <c r="I1339" s="541">
        <f t="shared" si="24"/>
        <v>158718.00142857136</v>
      </c>
      <c r="K1339" s="243"/>
    </row>
    <row r="1340" spans="2:11" ht="17" customHeight="1">
      <c r="B1340" s="253">
        <v>45830</v>
      </c>
      <c r="C1340" s="263" t="s">
        <v>117</v>
      </c>
      <c r="D1340" s="255" t="s">
        <v>747</v>
      </c>
      <c r="E1340" s="256">
        <v>100</v>
      </c>
      <c r="F1340" s="257"/>
      <c r="G1340" s="258" t="s">
        <v>195</v>
      </c>
      <c r="H1340" s="259"/>
      <c r="I1340" s="541">
        <f t="shared" si="24"/>
        <v>158818.00142857136</v>
      </c>
      <c r="K1340" s="243"/>
    </row>
    <row r="1341" spans="2:11" ht="17" customHeight="1">
      <c r="B1341" s="253">
        <v>45830</v>
      </c>
      <c r="C1341" s="263" t="s">
        <v>283</v>
      </c>
      <c r="D1341" s="255" t="s">
        <v>283</v>
      </c>
      <c r="E1341" s="256">
        <f>1581-E1342</f>
        <v>1345.15</v>
      </c>
      <c r="F1341" s="257"/>
      <c r="G1341" s="258" t="s">
        <v>190</v>
      </c>
      <c r="H1341" s="259"/>
      <c r="I1341" s="541">
        <f t="shared" si="24"/>
        <v>160163.15142857135</v>
      </c>
      <c r="K1341" s="243"/>
    </row>
    <row r="1342" spans="2:11" ht="17" customHeight="1">
      <c r="B1342" s="253">
        <v>45830</v>
      </c>
      <c r="C1342" s="263" t="s">
        <v>283</v>
      </c>
      <c r="D1342" s="255" t="s">
        <v>508</v>
      </c>
      <c r="E1342" s="256">
        <v>235.85</v>
      </c>
      <c r="F1342" s="257"/>
      <c r="G1342" s="258" t="s">
        <v>276</v>
      </c>
      <c r="H1342" s="259"/>
      <c r="I1342" s="541">
        <f t="shared" si="24"/>
        <v>160399.00142857136</v>
      </c>
      <c r="K1342" s="243"/>
    </row>
    <row r="1343" spans="2:11" ht="17" customHeight="1">
      <c r="B1343" s="253">
        <v>45831</v>
      </c>
      <c r="C1343" s="263" t="s">
        <v>283</v>
      </c>
      <c r="D1343" s="255" t="s">
        <v>283</v>
      </c>
      <c r="E1343" s="256">
        <f>772.2-E1344</f>
        <v>628.02</v>
      </c>
      <c r="F1343" s="257"/>
      <c r="G1343" s="258" t="s">
        <v>190</v>
      </c>
      <c r="H1343" s="259"/>
      <c r="I1343" s="541">
        <f t="shared" si="24"/>
        <v>161027.02142857134</v>
      </c>
      <c r="K1343" s="243"/>
    </row>
    <row r="1344" spans="2:11" ht="17" customHeight="1">
      <c r="B1344" s="253">
        <v>45831</v>
      </c>
      <c r="C1344" s="263" t="s">
        <v>283</v>
      </c>
      <c r="D1344" s="255" t="s">
        <v>508</v>
      </c>
      <c r="E1344" s="256">
        <v>144.18</v>
      </c>
      <c r="F1344" s="257"/>
      <c r="G1344" s="258" t="s">
        <v>276</v>
      </c>
      <c r="H1344" s="259"/>
      <c r="I1344" s="541">
        <f t="shared" si="24"/>
        <v>161171.20142857134</v>
      </c>
      <c r="K1344" s="243"/>
    </row>
    <row r="1345" spans="2:11" ht="17" customHeight="1">
      <c r="B1345" s="253">
        <v>45832</v>
      </c>
      <c r="C1345" s="263" t="s">
        <v>286</v>
      </c>
      <c r="D1345" s="255" t="s">
        <v>520</v>
      </c>
      <c r="E1345" s="256"/>
      <c r="F1345" s="257">
        <v>100</v>
      </c>
      <c r="G1345" s="258" t="s">
        <v>139</v>
      </c>
      <c r="H1345" s="259"/>
      <c r="I1345" s="541">
        <f t="shared" si="24"/>
        <v>161071.20142857134</v>
      </c>
      <c r="K1345" s="243"/>
    </row>
    <row r="1346" spans="2:11" ht="17" customHeight="1">
      <c r="B1346" s="253">
        <v>45832</v>
      </c>
      <c r="C1346" s="263" t="s">
        <v>117</v>
      </c>
      <c r="D1346" s="255" t="s">
        <v>361</v>
      </c>
      <c r="E1346" s="256"/>
      <c r="F1346" s="257">
        <v>100</v>
      </c>
      <c r="G1346" s="258" t="s">
        <v>199</v>
      </c>
      <c r="H1346" s="259"/>
      <c r="I1346" s="541">
        <f t="shared" si="24"/>
        <v>160971.20142857134</v>
      </c>
      <c r="K1346" s="243"/>
    </row>
    <row r="1347" spans="2:11" ht="17" customHeight="1">
      <c r="B1347" s="253">
        <v>45832</v>
      </c>
      <c r="C1347" s="263" t="s">
        <v>513</v>
      </c>
      <c r="D1347" s="255" t="s">
        <v>563</v>
      </c>
      <c r="E1347" s="256"/>
      <c r="F1347" s="257">
        <v>105</v>
      </c>
      <c r="G1347" s="258" t="s">
        <v>249</v>
      </c>
      <c r="H1347" s="259"/>
      <c r="I1347" s="541">
        <f t="shared" si="24"/>
        <v>160866.20142857134</v>
      </c>
      <c r="K1347" s="243"/>
    </row>
    <row r="1348" spans="2:11" ht="17" customHeight="1">
      <c r="B1348" s="253">
        <v>45832</v>
      </c>
      <c r="C1348" s="263" t="s">
        <v>513</v>
      </c>
      <c r="D1348" s="255" t="s">
        <v>688</v>
      </c>
      <c r="E1348" s="256"/>
      <c r="F1348" s="257">
        <v>75</v>
      </c>
      <c r="G1348" s="258" t="s">
        <v>248</v>
      </c>
      <c r="H1348" s="259"/>
      <c r="I1348" s="541">
        <f t="shared" si="24"/>
        <v>160791.20142857134</v>
      </c>
      <c r="K1348" s="243"/>
    </row>
    <row r="1349" spans="2:11" ht="17" customHeight="1">
      <c r="B1349" s="253">
        <v>45832</v>
      </c>
      <c r="C1349" s="263" t="s">
        <v>117</v>
      </c>
      <c r="D1349" s="255" t="s">
        <v>848</v>
      </c>
      <c r="E1349" s="256">
        <v>70</v>
      </c>
      <c r="F1349" s="257"/>
      <c r="G1349" s="258" t="s">
        <v>203</v>
      </c>
      <c r="H1349" s="259"/>
      <c r="I1349" s="541">
        <f t="shared" si="24"/>
        <v>160861.20142857134</v>
      </c>
      <c r="K1349" s="243"/>
    </row>
    <row r="1350" spans="2:11" ht="17" customHeight="1">
      <c r="B1350" s="253">
        <v>45832</v>
      </c>
      <c r="C1350" s="263" t="s">
        <v>283</v>
      </c>
      <c r="D1350" s="255" t="s">
        <v>283</v>
      </c>
      <c r="E1350" s="256">
        <f>1019.9-157.78-86.18</f>
        <v>775.94</v>
      </c>
      <c r="F1350" s="257"/>
      <c r="G1350" s="258" t="s">
        <v>190</v>
      </c>
      <c r="H1350" s="259"/>
      <c r="I1350" s="541">
        <f t="shared" si="24"/>
        <v>161637.14142857134</v>
      </c>
      <c r="K1350" s="243"/>
    </row>
    <row r="1351" spans="2:11" ht="17" customHeight="1">
      <c r="B1351" s="253">
        <v>45832</v>
      </c>
      <c r="C1351" s="263" t="s">
        <v>283</v>
      </c>
      <c r="D1351" s="255" t="s">
        <v>508</v>
      </c>
      <c r="E1351" s="256">
        <v>157.78</v>
      </c>
      <c r="F1351" s="257"/>
      <c r="G1351" s="258" t="s">
        <v>276</v>
      </c>
      <c r="H1351" s="259"/>
      <c r="I1351" s="541">
        <f t="shared" si="24"/>
        <v>161794.92142857134</v>
      </c>
      <c r="K1351" s="243"/>
    </row>
    <row r="1352" spans="2:11" ht="17" customHeight="1">
      <c r="B1352" s="253">
        <v>45832</v>
      </c>
      <c r="C1352" s="263" t="s">
        <v>283</v>
      </c>
      <c r="D1352" s="255" t="s">
        <v>508</v>
      </c>
      <c r="E1352" s="256">
        <v>86.18</v>
      </c>
      <c r="F1352" s="257"/>
      <c r="G1352" s="258" t="s">
        <v>276</v>
      </c>
      <c r="H1352" s="259"/>
      <c r="I1352" s="541">
        <f t="shared" si="24"/>
        <v>161881.10142857133</v>
      </c>
      <c r="K1352" s="243"/>
    </row>
    <row r="1353" spans="2:11" ht="17" customHeight="1">
      <c r="B1353" s="253">
        <v>45833</v>
      </c>
      <c r="C1353" s="263" t="s">
        <v>117</v>
      </c>
      <c r="D1353" s="255" t="s">
        <v>361</v>
      </c>
      <c r="E1353" s="256"/>
      <c r="F1353" s="257">
        <v>22.7</v>
      </c>
      <c r="G1353" s="258" t="s">
        <v>199</v>
      </c>
      <c r="H1353" s="259"/>
      <c r="I1353" s="541">
        <f t="shared" si="24"/>
        <v>161858.40142857132</v>
      </c>
      <c r="K1353" s="243"/>
    </row>
    <row r="1354" spans="2:11" ht="17" customHeight="1">
      <c r="B1354" s="253">
        <v>45833</v>
      </c>
      <c r="C1354" s="263" t="s">
        <v>283</v>
      </c>
      <c r="D1354" s="255" t="s">
        <v>283</v>
      </c>
      <c r="E1354" s="256">
        <f>1092.9-E1355</f>
        <v>953.2</v>
      </c>
      <c r="F1354" s="257"/>
      <c r="G1354" s="258" t="s">
        <v>190</v>
      </c>
      <c r="H1354" s="259"/>
      <c r="I1354" s="541">
        <f t="shared" si="24"/>
        <v>162811.60142857133</v>
      </c>
      <c r="K1354" s="243"/>
    </row>
    <row r="1355" spans="2:11" ht="17" customHeight="1">
      <c r="B1355" s="253">
        <v>45833</v>
      </c>
      <c r="C1355" s="263" t="s">
        <v>283</v>
      </c>
      <c r="D1355" s="255" t="s">
        <v>508</v>
      </c>
      <c r="E1355" s="256">
        <v>139.69999999999999</v>
      </c>
      <c r="F1355" s="257"/>
      <c r="G1355" s="258" t="s">
        <v>276</v>
      </c>
      <c r="H1355" s="259"/>
      <c r="I1355" s="541">
        <f t="shared" si="24"/>
        <v>162951.30142857134</v>
      </c>
      <c r="K1355" s="243"/>
    </row>
    <row r="1356" spans="2:11" ht="17" customHeight="1">
      <c r="B1356" s="253">
        <v>45834</v>
      </c>
      <c r="C1356" s="263" t="s">
        <v>286</v>
      </c>
      <c r="D1356" s="255" t="s">
        <v>520</v>
      </c>
      <c r="E1356" s="256"/>
      <c r="F1356" s="257">
        <v>1035</v>
      </c>
      <c r="G1356" s="258" t="s">
        <v>139</v>
      </c>
      <c r="H1356" s="259"/>
      <c r="I1356" s="541">
        <f t="shared" si="24"/>
        <v>161916.30142857134</v>
      </c>
      <c r="K1356" s="243"/>
    </row>
    <row r="1357" spans="2:11" ht="17" customHeight="1">
      <c r="B1357" s="253">
        <v>45834</v>
      </c>
      <c r="C1357" s="263" t="s">
        <v>117</v>
      </c>
      <c r="D1357" s="255" t="s">
        <v>846</v>
      </c>
      <c r="E1357" s="256"/>
      <c r="F1357" s="257">
        <v>165</v>
      </c>
      <c r="G1357" s="258" t="s">
        <v>201</v>
      </c>
      <c r="H1357" s="259"/>
      <c r="I1357" s="541">
        <f t="shared" si="24"/>
        <v>161751.30142857134</v>
      </c>
      <c r="K1357" s="243"/>
    </row>
    <row r="1358" spans="2:11" ht="17" customHeight="1">
      <c r="B1358" s="253">
        <v>45834</v>
      </c>
      <c r="C1358" s="263" t="s">
        <v>513</v>
      </c>
      <c r="D1358" s="255" t="s">
        <v>31</v>
      </c>
      <c r="E1358" s="256"/>
      <c r="F1358" s="257">
        <v>70</v>
      </c>
      <c r="G1358" s="258" t="s">
        <v>245</v>
      </c>
      <c r="H1358" s="259"/>
      <c r="I1358" s="541">
        <f t="shared" si="24"/>
        <v>161681.30142857134</v>
      </c>
      <c r="K1358" s="243"/>
    </row>
    <row r="1359" spans="2:11" ht="17" customHeight="1">
      <c r="B1359" s="253">
        <v>45834</v>
      </c>
      <c r="C1359" s="263" t="s">
        <v>283</v>
      </c>
      <c r="D1359" s="255" t="s">
        <v>283</v>
      </c>
      <c r="E1359" s="256">
        <f>716.6-E1360</f>
        <v>618.07000000000005</v>
      </c>
      <c r="F1359" s="257"/>
      <c r="G1359" s="258" t="s">
        <v>190</v>
      </c>
      <c r="H1359" s="259"/>
      <c r="I1359" s="541">
        <f t="shared" si="24"/>
        <v>162299.37142857135</v>
      </c>
      <c r="K1359" s="243"/>
    </row>
    <row r="1360" spans="2:11" ht="17" customHeight="1">
      <c r="B1360" s="253">
        <v>45834</v>
      </c>
      <c r="C1360" s="263" t="s">
        <v>283</v>
      </c>
      <c r="D1360" s="255" t="s">
        <v>508</v>
      </c>
      <c r="E1360" s="256">
        <v>98.53</v>
      </c>
      <c r="F1360" s="257"/>
      <c r="G1360" s="258" t="s">
        <v>276</v>
      </c>
      <c r="H1360" s="259"/>
      <c r="I1360" s="541">
        <f t="shared" si="24"/>
        <v>162397.90142857135</v>
      </c>
      <c r="K1360" s="243"/>
    </row>
    <row r="1361" spans="2:11" ht="17" customHeight="1">
      <c r="B1361" s="253">
        <v>45835</v>
      </c>
      <c r="C1361" s="263" t="s">
        <v>849</v>
      </c>
      <c r="D1361" s="255" t="s">
        <v>512</v>
      </c>
      <c r="E1361" s="256"/>
      <c r="F1361" s="257">
        <f>18.4-0.71</f>
        <v>17.689999999999998</v>
      </c>
      <c r="G1361" s="258" t="s">
        <v>199</v>
      </c>
      <c r="H1361" s="259"/>
      <c r="I1361" s="541">
        <f t="shared" si="24"/>
        <v>162380.21142857135</v>
      </c>
      <c r="K1361" s="243"/>
    </row>
    <row r="1362" spans="2:11" ht="17" customHeight="1">
      <c r="B1362" s="253">
        <v>45835</v>
      </c>
      <c r="C1362" s="263" t="s">
        <v>849</v>
      </c>
      <c r="D1362" s="255" t="s">
        <v>512</v>
      </c>
      <c r="E1362" s="256"/>
      <c r="F1362" s="257">
        <v>0.71</v>
      </c>
      <c r="G1362" s="258" t="s">
        <v>274</v>
      </c>
      <c r="H1362" s="259"/>
      <c r="I1362" s="541">
        <f t="shared" ref="I1362:I1425" si="25">I1361+E1362-F1362</f>
        <v>162379.50142857136</v>
      </c>
      <c r="K1362" s="243"/>
    </row>
    <row r="1363" spans="2:11" ht="17" customHeight="1">
      <c r="B1363" s="253">
        <v>45835</v>
      </c>
      <c r="C1363" s="263" t="s">
        <v>117</v>
      </c>
      <c r="D1363" s="255" t="s">
        <v>507</v>
      </c>
      <c r="E1363" s="256"/>
      <c r="F1363" s="257">
        <v>22.8</v>
      </c>
      <c r="G1363" s="258" t="s">
        <v>199</v>
      </c>
      <c r="H1363" s="259"/>
      <c r="I1363" s="541">
        <f t="shared" si="25"/>
        <v>162356.70142857137</v>
      </c>
      <c r="K1363" s="243"/>
    </row>
    <row r="1364" spans="2:11" ht="17" customHeight="1">
      <c r="B1364" s="253">
        <v>45835</v>
      </c>
      <c r="C1364" s="263" t="s">
        <v>117</v>
      </c>
      <c r="D1364" s="255" t="s">
        <v>844</v>
      </c>
      <c r="E1364" s="256"/>
      <c r="F1364" s="257">
        <v>30</v>
      </c>
      <c r="G1364" s="258" t="s">
        <v>205</v>
      </c>
      <c r="H1364" s="259"/>
      <c r="I1364" s="541">
        <f t="shared" si="25"/>
        <v>162326.70142857137</v>
      </c>
      <c r="K1364" s="243"/>
    </row>
    <row r="1365" spans="2:11" ht="17" customHeight="1">
      <c r="B1365" s="253">
        <v>45835</v>
      </c>
      <c r="C1365" s="263" t="s">
        <v>117</v>
      </c>
      <c r="D1365" s="255" t="s">
        <v>850</v>
      </c>
      <c r="E1365" s="256"/>
      <c r="F1365" s="257">
        <v>20</v>
      </c>
      <c r="G1365" s="258" t="s">
        <v>199</v>
      </c>
      <c r="H1365" s="259"/>
      <c r="I1365" s="541">
        <f t="shared" si="25"/>
        <v>162306.70142857137</v>
      </c>
      <c r="K1365" s="243"/>
    </row>
    <row r="1366" spans="2:11" ht="17" customHeight="1">
      <c r="B1366" s="253">
        <v>45835</v>
      </c>
      <c r="C1366" s="263" t="s">
        <v>117</v>
      </c>
      <c r="D1366" s="255" t="s">
        <v>549</v>
      </c>
      <c r="E1366" s="256"/>
      <c r="F1366" s="257">
        <v>72.5</v>
      </c>
      <c r="G1366" s="258" t="s">
        <v>256</v>
      </c>
      <c r="H1366" s="259"/>
      <c r="I1366" s="541">
        <f t="shared" si="25"/>
        <v>162234.20142857137</v>
      </c>
      <c r="K1366" s="243"/>
    </row>
    <row r="1367" spans="2:11" ht="17" customHeight="1">
      <c r="B1367" s="253">
        <v>45835</v>
      </c>
      <c r="C1367" s="263" t="s">
        <v>117</v>
      </c>
      <c r="D1367" s="255" t="s">
        <v>835</v>
      </c>
      <c r="E1367" s="256"/>
      <c r="F1367" s="257">
        <v>200</v>
      </c>
      <c r="G1367" s="258" t="s">
        <v>230</v>
      </c>
      <c r="H1367" s="259"/>
      <c r="I1367" s="541">
        <f t="shared" si="25"/>
        <v>162034.20142857137</v>
      </c>
      <c r="K1367" s="243"/>
    </row>
    <row r="1368" spans="2:11" ht="17" customHeight="1">
      <c r="B1368" s="253">
        <v>45835</v>
      </c>
      <c r="C1368" s="263" t="s">
        <v>117</v>
      </c>
      <c r="D1368" s="255" t="s">
        <v>306</v>
      </c>
      <c r="E1368" s="256"/>
      <c r="F1368" s="257">
        <v>315.14999999999998</v>
      </c>
      <c r="G1368" s="258" t="s">
        <v>194</v>
      </c>
      <c r="H1368" s="259"/>
      <c r="I1368" s="541">
        <f t="shared" si="25"/>
        <v>161719.05142857137</v>
      </c>
      <c r="K1368" s="243"/>
    </row>
    <row r="1369" spans="2:11" ht="17" customHeight="1">
      <c r="B1369" s="253">
        <v>45835</v>
      </c>
      <c r="C1369" s="263" t="s">
        <v>117</v>
      </c>
      <c r="D1369" s="255" t="s">
        <v>306</v>
      </c>
      <c r="E1369" s="256"/>
      <c r="F1369" s="257">
        <v>1120.4000000000001</v>
      </c>
      <c r="G1369" s="258" t="s">
        <v>194</v>
      </c>
      <c r="H1369" s="259"/>
      <c r="I1369" s="541">
        <f t="shared" si="25"/>
        <v>160598.65142857138</v>
      </c>
      <c r="K1369" s="243"/>
    </row>
    <row r="1370" spans="2:11" ht="17" customHeight="1">
      <c r="B1370" s="253">
        <v>45835</v>
      </c>
      <c r="C1370" s="263" t="s">
        <v>117</v>
      </c>
      <c r="D1370" s="255" t="s">
        <v>306</v>
      </c>
      <c r="E1370" s="256"/>
      <c r="F1370" s="257">
        <v>282</v>
      </c>
      <c r="G1370" s="258"/>
      <c r="H1370" s="629" t="s">
        <v>841</v>
      </c>
      <c r="I1370" s="541">
        <f t="shared" si="25"/>
        <v>160316.65142857138</v>
      </c>
      <c r="K1370" s="243"/>
    </row>
    <row r="1371" spans="2:11" ht="17" customHeight="1">
      <c r="B1371" s="253">
        <v>45835</v>
      </c>
      <c r="C1371" s="263" t="s">
        <v>283</v>
      </c>
      <c r="D1371" s="255" t="s">
        <v>283</v>
      </c>
      <c r="E1371" s="256">
        <f>1649.4-E1372</f>
        <v>1337.3300000000002</v>
      </c>
      <c r="F1371" s="257"/>
      <c r="G1371" s="258" t="s">
        <v>190</v>
      </c>
      <c r="H1371" s="259"/>
      <c r="I1371" s="541">
        <f t="shared" si="25"/>
        <v>161653.98142857137</v>
      </c>
      <c r="K1371" s="243"/>
    </row>
    <row r="1372" spans="2:11" ht="17" customHeight="1">
      <c r="B1372" s="253">
        <v>45835</v>
      </c>
      <c r="C1372" s="263" t="s">
        <v>283</v>
      </c>
      <c r="D1372" s="255" t="s">
        <v>508</v>
      </c>
      <c r="E1372" s="256">
        <v>312.07</v>
      </c>
      <c r="F1372" s="257"/>
      <c r="G1372" s="258" t="s">
        <v>276</v>
      </c>
      <c r="H1372" s="259"/>
      <c r="I1372" s="541">
        <f t="shared" si="25"/>
        <v>161966.05142857137</v>
      </c>
      <c r="K1372" s="243"/>
    </row>
    <row r="1373" spans="2:11" ht="17" customHeight="1">
      <c r="B1373" s="253">
        <v>45836</v>
      </c>
      <c r="C1373" s="263" t="s">
        <v>117</v>
      </c>
      <c r="D1373" s="255" t="s">
        <v>349</v>
      </c>
      <c r="E1373" s="256"/>
      <c r="F1373" s="257">
        <v>720</v>
      </c>
      <c r="G1373" s="258" t="s">
        <v>199</v>
      </c>
      <c r="H1373" s="259"/>
      <c r="I1373" s="541">
        <f t="shared" si="25"/>
        <v>161246.05142857137</v>
      </c>
      <c r="K1373" s="243"/>
    </row>
    <row r="1374" spans="2:11" ht="17" customHeight="1">
      <c r="B1374" s="253">
        <v>45836</v>
      </c>
      <c r="C1374" s="263" t="s">
        <v>513</v>
      </c>
      <c r="D1374" s="255" t="s">
        <v>576</v>
      </c>
      <c r="E1374" s="256"/>
      <c r="F1374" s="257">
        <v>90</v>
      </c>
      <c r="G1374" s="258" t="s">
        <v>248</v>
      </c>
      <c r="H1374" s="259"/>
      <c r="I1374" s="541">
        <f t="shared" si="25"/>
        <v>161156.05142857137</v>
      </c>
      <c r="K1374" s="243"/>
    </row>
    <row r="1375" spans="2:11" ht="17" customHeight="1">
      <c r="B1375" s="253">
        <v>45836</v>
      </c>
      <c r="C1375" s="263" t="s">
        <v>286</v>
      </c>
      <c r="D1375" s="255" t="s">
        <v>520</v>
      </c>
      <c r="E1375" s="256"/>
      <c r="F1375" s="257">
        <v>20</v>
      </c>
      <c r="G1375" s="258" t="s">
        <v>139</v>
      </c>
      <c r="H1375" s="259"/>
      <c r="I1375" s="541">
        <f t="shared" si="25"/>
        <v>161136.05142857137</v>
      </c>
      <c r="K1375" s="243"/>
    </row>
    <row r="1376" spans="2:11" ht="17" customHeight="1">
      <c r="B1376" s="253">
        <v>45836</v>
      </c>
      <c r="C1376" s="263" t="s">
        <v>283</v>
      </c>
      <c r="D1376" s="255" t="s">
        <v>283</v>
      </c>
      <c r="E1376" s="256">
        <f>1810-E1377</f>
        <v>1534.8</v>
      </c>
      <c r="F1376" s="257"/>
      <c r="G1376" s="258" t="s">
        <v>190</v>
      </c>
      <c r="H1376" s="259"/>
      <c r="I1376" s="541">
        <f t="shared" si="25"/>
        <v>162670.85142857136</v>
      </c>
      <c r="K1376" s="243"/>
    </row>
    <row r="1377" spans="2:11" ht="17" customHeight="1">
      <c r="B1377" s="253">
        <v>45836</v>
      </c>
      <c r="C1377" s="263" t="s">
        <v>283</v>
      </c>
      <c r="D1377" s="255" t="s">
        <v>508</v>
      </c>
      <c r="E1377" s="256">
        <v>275.2</v>
      </c>
      <c r="F1377" s="257"/>
      <c r="G1377" s="258" t="s">
        <v>276</v>
      </c>
      <c r="H1377" s="259"/>
      <c r="I1377" s="541">
        <f t="shared" si="25"/>
        <v>162946.05142857137</v>
      </c>
      <c r="K1377" s="243"/>
    </row>
    <row r="1378" spans="2:11" ht="17" customHeight="1">
      <c r="B1378" s="253">
        <v>45837</v>
      </c>
      <c r="C1378" s="263" t="s">
        <v>117</v>
      </c>
      <c r="D1378" s="255" t="s">
        <v>851</v>
      </c>
      <c r="E1378" s="256"/>
      <c r="F1378" s="257">
        <v>20</v>
      </c>
      <c r="G1378" s="258" t="s">
        <v>199</v>
      </c>
      <c r="H1378" s="259"/>
      <c r="I1378" s="541">
        <f t="shared" si="25"/>
        <v>162926.05142857137</v>
      </c>
      <c r="K1378" s="243"/>
    </row>
    <row r="1379" spans="2:11" ht="17" customHeight="1">
      <c r="B1379" s="253">
        <v>45837</v>
      </c>
      <c r="C1379" s="263" t="s">
        <v>283</v>
      </c>
      <c r="D1379" s="255" t="s">
        <v>283</v>
      </c>
      <c r="E1379" s="256">
        <f>1160-E1380</f>
        <v>1014.22</v>
      </c>
      <c r="F1379" s="257"/>
      <c r="G1379" s="258" t="s">
        <v>190</v>
      </c>
      <c r="H1379" s="259"/>
      <c r="I1379" s="541">
        <f t="shared" si="25"/>
        <v>163940.27142857137</v>
      </c>
      <c r="K1379" s="243"/>
    </row>
    <row r="1380" spans="2:11" ht="17" customHeight="1">
      <c r="B1380" s="253">
        <v>45837</v>
      </c>
      <c r="C1380" s="263" t="s">
        <v>283</v>
      </c>
      <c r="D1380" s="255" t="s">
        <v>508</v>
      </c>
      <c r="E1380" s="256">
        <v>145.78</v>
      </c>
      <c r="F1380" s="257"/>
      <c r="G1380" s="258" t="s">
        <v>276</v>
      </c>
      <c r="H1380" s="259"/>
      <c r="I1380" s="541">
        <f t="shared" si="25"/>
        <v>164086.05142857137</v>
      </c>
      <c r="K1380" s="243"/>
    </row>
    <row r="1381" spans="2:11" ht="17" customHeight="1">
      <c r="B1381" s="253">
        <v>45838</v>
      </c>
      <c r="C1381" s="263" t="s">
        <v>286</v>
      </c>
      <c r="D1381" s="255" t="s">
        <v>520</v>
      </c>
      <c r="E1381" s="256"/>
      <c r="F1381" s="257">
        <f>628</f>
        <v>628</v>
      </c>
      <c r="G1381" s="258" t="s">
        <v>139</v>
      </c>
      <c r="H1381" s="259"/>
      <c r="I1381" s="541">
        <f t="shared" si="25"/>
        <v>163458.05142857137</v>
      </c>
      <c r="K1381" s="243"/>
    </row>
    <row r="1382" spans="2:11" ht="17" customHeight="1">
      <c r="B1382" s="253">
        <v>45838</v>
      </c>
      <c r="C1382" s="263" t="s">
        <v>852</v>
      </c>
      <c r="D1382" s="255" t="s">
        <v>853</v>
      </c>
      <c r="E1382" s="256"/>
      <c r="F1382" s="257">
        <v>49.35</v>
      </c>
      <c r="G1382" s="258" t="s">
        <v>208</v>
      </c>
      <c r="H1382" s="259"/>
      <c r="I1382" s="541">
        <f t="shared" si="25"/>
        <v>163408.70142857137</v>
      </c>
      <c r="K1382" s="243"/>
    </row>
    <row r="1383" spans="2:11" ht="17" customHeight="1">
      <c r="B1383" s="253">
        <v>45838</v>
      </c>
      <c r="C1383" s="263" t="s">
        <v>852</v>
      </c>
      <c r="D1383" s="255" t="s">
        <v>853</v>
      </c>
      <c r="E1383" s="256"/>
      <c r="F1383" s="257">
        <v>10.86</v>
      </c>
      <c r="G1383" s="258" t="s">
        <v>274</v>
      </c>
      <c r="H1383" s="259"/>
      <c r="I1383" s="541">
        <f t="shared" si="25"/>
        <v>163397.84142857138</v>
      </c>
      <c r="K1383" s="243"/>
    </row>
    <row r="1384" spans="2:11" ht="17" customHeight="1">
      <c r="B1384" s="253">
        <v>45838</v>
      </c>
      <c r="C1384" s="263" t="s">
        <v>117</v>
      </c>
      <c r="D1384" s="255" t="s">
        <v>846</v>
      </c>
      <c r="E1384" s="256"/>
      <c r="F1384" s="257">
        <v>108</v>
      </c>
      <c r="G1384" s="258" t="s">
        <v>201</v>
      </c>
      <c r="H1384" s="259"/>
      <c r="I1384" s="541">
        <f t="shared" si="25"/>
        <v>163289.84142857138</v>
      </c>
      <c r="K1384" s="243"/>
    </row>
    <row r="1385" spans="2:11" ht="17" customHeight="1">
      <c r="B1385" s="253">
        <v>45838</v>
      </c>
      <c r="C1385" s="265" t="s">
        <v>1831</v>
      </c>
      <c r="D1385" s="255" t="s">
        <v>854</v>
      </c>
      <c r="E1385" s="256"/>
      <c r="F1385" s="257">
        <v>195</v>
      </c>
      <c r="G1385" s="258" t="s">
        <v>218</v>
      </c>
      <c r="H1385" s="259"/>
      <c r="I1385" s="541">
        <f t="shared" si="25"/>
        <v>163094.84142857138</v>
      </c>
      <c r="K1385" s="243"/>
    </row>
    <row r="1386" spans="2:11" ht="17" customHeight="1">
      <c r="B1386" s="253">
        <v>45838</v>
      </c>
      <c r="C1386" s="265" t="s">
        <v>1831</v>
      </c>
      <c r="D1386" s="255" t="s">
        <v>854</v>
      </c>
      <c r="E1386" s="256"/>
      <c r="F1386" s="257">
        <v>42.9</v>
      </c>
      <c r="G1386" s="258" t="s">
        <v>274</v>
      </c>
      <c r="H1386" s="259"/>
      <c r="I1386" s="541">
        <f t="shared" si="25"/>
        <v>163051.94142857139</v>
      </c>
      <c r="K1386" s="243"/>
    </row>
    <row r="1387" spans="2:11" ht="17" customHeight="1">
      <c r="B1387" s="253">
        <v>45838</v>
      </c>
      <c r="C1387" s="263" t="s">
        <v>117</v>
      </c>
      <c r="D1387" s="255" t="s">
        <v>855</v>
      </c>
      <c r="E1387" s="256"/>
      <c r="F1387" s="257">
        <v>500</v>
      </c>
      <c r="G1387" s="258" t="s">
        <v>252</v>
      </c>
      <c r="H1387" s="259"/>
      <c r="I1387" s="541">
        <f t="shared" si="25"/>
        <v>162551.94142857139</v>
      </c>
      <c r="K1387" s="243"/>
    </row>
    <row r="1388" spans="2:11" ht="17" customHeight="1">
      <c r="B1388" s="253">
        <v>45838</v>
      </c>
      <c r="C1388" s="263" t="s">
        <v>513</v>
      </c>
      <c r="D1388" s="255" t="s">
        <v>563</v>
      </c>
      <c r="E1388" s="256"/>
      <c r="F1388" s="257">
        <v>105</v>
      </c>
      <c r="G1388" s="258" t="s">
        <v>249</v>
      </c>
      <c r="H1388" s="259"/>
      <c r="I1388" s="541">
        <f t="shared" si="25"/>
        <v>162446.94142857139</v>
      </c>
      <c r="K1388" s="243"/>
    </row>
    <row r="1389" spans="2:11" ht="17" customHeight="1">
      <c r="B1389" s="253">
        <v>45838</v>
      </c>
      <c r="C1389" s="263" t="s">
        <v>283</v>
      </c>
      <c r="D1389" s="255" t="s">
        <v>283</v>
      </c>
      <c r="E1389" s="256">
        <f>453.5-E1390</f>
        <v>287.73</v>
      </c>
      <c r="F1389" s="257"/>
      <c r="G1389" s="258" t="s">
        <v>190</v>
      </c>
      <c r="H1389" s="259"/>
      <c r="I1389" s="541">
        <f t="shared" si="25"/>
        <v>162734.6714285714</v>
      </c>
      <c r="K1389" s="243"/>
    </row>
    <row r="1390" spans="2:11" ht="17" customHeight="1">
      <c r="B1390" s="253">
        <v>45838</v>
      </c>
      <c r="C1390" s="263" t="s">
        <v>283</v>
      </c>
      <c r="D1390" s="255" t="s">
        <v>508</v>
      </c>
      <c r="E1390" s="256">
        <v>165.77</v>
      </c>
      <c r="F1390" s="257"/>
      <c r="G1390" s="258" t="s">
        <v>276</v>
      </c>
      <c r="H1390" s="259"/>
      <c r="I1390" s="541">
        <f t="shared" si="25"/>
        <v>162900.44142857139</v>
      </c>
      <c r="K1390" s="243"/>
    </row>
    <row r="1391" spans="2:11" ht="17" customHeight="1">
      <c r="B1391" s="253">
        <v>45839</v>
      </c>
      <c r="C1391" s="497" t="s">
        <v>541</v>
      </c>
      <c r="D1391" s="498" t="s">
        <v>542</v>
      </c>
      <c r="E1391" s="499"/>
      <c r="F1391" s="500">
        <v>10000</v>
      </c>
      <c r="G1391" s="501" t="s">
        <v>277</v>
      </c>
      <c r="H1391" s="259"/>
      <c r="I1391" s="541">
        <f t="shared" si="25"/>
        <v>152900.44142857139</v>
      </c>
      <c r="K1391" s="243"/>
    </row>
    <row r="1392" spans="2:11" ht="17" customHeight="1">
      <c r="B1392" s="253">
        <v>45839</v>
      </c>
      <c r="C1392" s="263" t="s">
        <v>283</v>
      </c>
      <c r="D1392" s="255" t="s">
        <v>283</v>
      </c>
      <c r="E1392" s="256">
        <f>1233-134.13-159.55</f>
        <v>939.31999999999994</v>
      </c>
      <c r="F1392" s="257"/>
      <c r="G1392" s="258" t="s">
        <v>190</v>
      </c>
      <c r="H1392" s="259"/>
      <c r="I1392" s="541">
        <f t="shared" si="25"/>
        <v>153839.76142857139</v>
      </c>
      <c r="K1392" s="243"/>
    </row>
    <row r="1393" spans="2:11" ht="17" customHeight="1">
      <c r="B1393" s="253">
        <v>45839</v>
      </c>
      <c r="C1393" s="263" t="s">
        <v>283</v>
      </c>
      <c r="D1393" s="255" t="s">
        <v>508</v>
      </c>
      <c r="E1393" s="256">
        <v>134.13</v>
      </c>
      <c r="F1393" s="257"/>
      <c r="G1393" s="258" t="s">
        <v>276</v>
      </c>
      <c r="H1393" s="259"/>
      <c r="I1393" s="541">
        <f t="shared" si="25"/>
        <v>153973.8914285714</v>
      </c>
      <c r="K1393" s="243"/>
    </row>
    <row r="1394" spans="2:11" ht="17" customHeight="1">
      <c r="B1394" s="253">
        <v>45839</v>
      </c>
      <c r="C1394" s="263" t="s">
        <v>283</v>
      </c>
      <c r="D1394" s="255" t="s">
        <v>508</v>
      </c>
      <c r="E1394" s="256">
        <v>159.55000000000001</v>
      </c>
      <c r="F1394" s="257"/>
      <c r="G1394" s="258" t="s">
        <v>276</v>
      </c>
      <c r="H1394" s="629" t="s">
        <v>841</v>
      </c>
      <c r="I1394" s="541">
        <f t="shared" si="25"/>
        <v>154133.44142857139</v>
      </c>
      <c r="K1394" s="243"/>
    </row>
    <row r="1395" spans="2:11" ht="17" customHeight="1">
      <c r="B1395" s="253">
        <v>45840</v>
      </c>
      <c r="C1395" s="263" t="s">
        <v>117</v>
      </c>
      <c r="D1395" s="255" t="s">
        <v>306</v>
      </c>
      <c r="E1395" s="256"/>
      <c r="F1395" s="257">
        <v>81</v>
      </c>
      <c r="G1395" s="258" t="s">
        <v>194</v>
      </c>
      <c r="H1395" s="259"/>
      <c r="I1395" s="541">
        <f t="shared" si="25"/>
        <v>154052.44142857139</v>
      </c>
      <c r="K1395" s="243"/>
    </row>
    <row r="1396" spans="2:11" ht="17" customHeight="1">
      <c r="B1396" s="253">
        <v>45840</v>
      </c>
      <c r="C1396" s="263" t="s">
        <v>117</v>
      </c>
      <c r="D1396" s="255" t="s">
        <v>306</v>
      </c>
      <c r="E1396" s="256"/>
      <c r="F1396" s="257">
        <v>282</v>
      </c>
      <c r="G1396" s="258"/>
      <c r="H1396" s="629" t="s">
        <v>841</v>
      </c>
      <c r="I1396" s="541">
        <f t="shared" si="25"/>
        <v>153770.44142857139</v>
      </c>
      <c r="K1396" s="243"/>
    </row>
    <row r="1397" spans="2:11" ht="17" customHeight="1">
      <c r="B1397" s="253">
        <v>45840</v>
      </c>
      <c r="C1397" s="263" t="s">
        <v>117</v>
      </c>
      <c r="D1397" s="255" t="s">
        <v>306</v>
      </c>
      <c r="E1397" s="256"/>
      <c r="F1397" s="257">
        <v>28.35</v>
      </c>
      <c r="G1397" s="258" t="s">
        <v>194</v>
      </c>
      <c r="H1397" s="259"/>
      <c r="I1397" s="541">
        <f t="shared" si="25"/>
        <v>153742.09142857138</v>
      </c>
      <c r="K1397" s="243"/>
    </row>
    <row r="1398" spans="2:11" ht="17" customHeight="1">
      <c r="B1398" s="253">
        <v>45840</v>
      </c>
      <c r="C1398" s="263" t="s">
        <v>117</v>
      </c>
      <c r="D1398" s="255" t="s">
        <v>306</v>
      </c>
      <c r="E1398" s="256"/>
      <c r="F1398" s="257">
        <v>182.2</v>
      </c>
      <c r="G1398" s="258" t="s">
        <v>194</v>
      </c>
      <c r="H1398" s="259"/>
      <c r="I1398" s="541">
        <f t="shared" si="25"/>
        <v>153559.89142857137</v>
      </c>
      <c r="K1398" s="243"/>
    </row>
    <row r="1399" spans="2:11" ht="17" customHeight="1">
      <c r="B1399" s="253">
        <v>45840</v>
      </c>
      <c r="C1399" s="263" t="s">
        <v>117</v>
      </c>
      <c r="D1399" s="255" t="s">
        <v>306</v>
      </c>
      <c r="E1399" s="256"/>
      <c r="F1399" s="257">
        <v>171.2</v>
      </c>
      <c r="G1399" s="258" t="s">
        <v>194</v>
      </c>
      <c r="H1399" s="259"/>
      <c r="I1399" s="541">
        <f t="shared" si="25"/>
        <v>153388.69142857136</v>
      </c>
      <c r="K1399" s="243"/>
    </row>
    <row r="1400" spans="2:11" ht="17" customHeight="1">
      <c r="B1400" s="253">
        <v>45840</v>
      </c>
      <c r="C1400" s="263" t="s">
        <v>117</v>
      </c>
      <c r="D1400" s="255" t="s">
        <v>306</v>
      </c>
      <c r="E1400" s="256"/>
      <c r="F1400" s="257">
        <v>1110.0999999999999</v>
      </c>
      <c r="G1400" s="258" t="s">
        <v>194</v>
      </c>
      <c r="H1400" s="259"/>
      <c r="I1400" s="541">
        <f t="shared" si="25"/>
        <v>152278.59142857135</v>
      </c>
      <c r="K1400" s="243"/>
    </row>
    <row r="1401" spans="2:11" ht="17" customHeight="1">
      <c r="B1401" s="253">
        <v>45840</v>
      </c>
      <c r="C1401" s="263" t="s">
        <v>283</v>
      </c>
      <c r="D1401" s="255" t="s">
        <v>283</v>
      </c>
      <c r="E1401" s="256">
        <f>1037-E1402</f>
        <v>923.99</v>
      </c>
      <c r="F1401" s="257"/>
      <c r="G1401" s="258" t="s">
        <v>190</v>
      </c>
      <c r="H1401" s="259"/>
      <c r="I1401" s="541">
        <f t="shared" si="25"/>
        <v>153202.58142857134</v>
      </c>
      <c r="K1401" s="243"/>
    </row>
    <row r="1402" spans="2:11" ht="17" customHeight="1">
      <c r="B1402" s="253">
        <v>45840</v>
      </c>
      <c r="C1402" s="263" t="s">
        <v>283</v>
      </c>
      <c r="D1402" s="255" t="s">
        <v>508</v>
      </c>
      <c r="E1402" s="256">
        <v>113.01</v>
      </c>
      <c r="F1402" s="257"/>
      <c r="G1402" s="258" t="s">
        <v>276</v>
      </c>
      <c r="H1402" s="259"/>
      <c r="I1402" s="541">
        <f t="shared" si="25"/>
        <v>153315.59142857135</v>
      </c>
      <c r="K1402" s="243"/>
    </row>
    <row r="1403" spans="2:11" ht="17" customHeight="1">
      <c r="B1403" s="253">
        <v>45841</v>
      </c>
      <c r="C1403" s="263" t="s">
        <v>117</v>
      </c>
      <c r="D1403" s="255" t="s">
        <v>798</v>
      </c>
      <c r="E1403" s="256">
        <v>100</v>
      </c>
      <c r="F1403" s="257"/>
      <c r="G1403" s="258" t="s">
        <v>195</v>
      </c>
      <c r="H1403" s="259"/>
      <c r="I1403" s="541">
        <f t="shared" si="25"/>
        <v>153415.59142857135</v>
      </c>
      <c r="K1403" s="243"/>
    </row>
    <row r="1404" spans="2:11" ht="17" customHeight="1">
      <c r="B1404" s="253">
        <v>45841</v>
      </c>
      <c r="C1404" s="263" t="s">
        <v>117</v>
      </c>
      <c r="D1404" s="255" t="s">
        <v>747</v>
      </c>
      <c r="E1404" s="256">
        <v>100</v>
      </c>
      <c r="F1404" s="257"/>
      <c r="G1404" s="258" t="s">
        <v>195</v>
      </c>
      <c r="H1404" s="259"/>
      <c r="I1404" s="541">
        <f t="shared" si="25"/>
        <v>153515.59142857135</v>
      </c>
      <c r="K1404" s="243"/>
    </row>
    <row r="1405" spans="2:11" ht="17" customHeight="1">
      <c r="B1405" s="253">
        <v>45841</v>
      </c>
      <c r="C1405" s="263" t="s">
        <v>117</v>
      </c>
      <c r="D1405" s="255" t="s">
        <v>797</v>
      </c>
      <c r="E1405" s="256">
        <v>50</v>
      </c>
      <c r="F1405" s="257"/>
      <c r="G1405" s="258" t="s">
        <v>195</v>
      </c>
      <c r="H1405" s="259"/>
      <c r="I1405" s="541">
        <f t="shared" si="25"/>
        <v>153565.59142857135</v>
      </c>
      <c r="K1405" s="243"/>
    </row>
    <row r="1406" spans="2:11" ht="17" customHeight="1">
      <c r="B1406" s="253">
        <v>45841</v>
      </c>
      <c r="C1406" s="263" t="s">
        <v>513</v>
      </c>
      <c r="D1406" s="255" t="s">
        <v>30</v>
      </c>
      <c r="E1406" s="256">
        <v>100</v>
      </c>
      <c r="F1406" s="257"/>
      <c r="G1406" s="258" t="s">
        <v>245</v>
      </c>
      <c r="H1406" s="259"/>
      <c r="I1406" s="541">
        <f t="shared" si="25"/>
        <v>153665.59142857135</v>
      </c>
      <c r="K1406" s="243"/>
    </row>
    <row r="1407" spans="2:11" ht="17" customHeight="1">
      <c r="B1407" s="253">
        <v>45841</v>
      </c>
      <c r="C1407" s="263" t="s">
        <v>117</v>
      </c>
      <c r="D1407" s="255" t="s">
        <v>829</v>
      </c>
      <c r="E1407" s="256">
        <v>1800</v>
      </c>
      <c r="F1407" s="257"/>
      <c r="G1407" s="258" t="s">
        <v>194</v>
      </c>
      <c r="H1407" s="259"/>
      <c r="I1407" s="541">
        <f t="shared" si="25"/>
        <v>155465.59142857135</v>
      </c>
      <c r="K1407" s="243"/>
    </row>
    <row r="1408" spans="2:11" ht="17" customHeight="1">
      <c r="B1408" s="253">
        <v>45841</v>
      </c>
      <c r="C1408" s="263" t="s">
        <v>117</v>
      </c>
      <c r="D1408" s="255" t="s">
        <v>822</v>
      </c>
      <c r="E1408" s="256"/>
      <c r="F1408" s="257">
        <v>628</v>
      </c>
      <c r="G1408" s="258" t="s">
        <v>194</v>
      </c>
      <c r="H1408" s="259"/>
      <c r="I1408" s="541">
        <f t="shared" si="25"/>
        <v>154837.59142857135</v>
      </c>
      <c r="K1408" s="243"/>
    </row>
    <row r="1409" spans="2:11" ht="17" customHeight="1">
      <c r="B1409" s="253">
        <v>45841</v>
      </c>
      <c r="C1409" s="265" t="s">
        <v>856</v>
      </c>
      <c r="D1409" s="255" t="s">
        <v>857</v>
      </c>
      <c r="E1409" s="256">
        <v>800</v>
      </c>
      <c r="F1409" s="257"/>
      <c r="G1409" s="501" t="s">
        <v>219</v>
      </c>
      <c r="H1409" s="259"/>
      <c r="I1409" s="541">
        <f t="shared" si="25"/>
        <v>155637.59142857135</v>
      </c>
      <c r="K1409" s="243"/>
    </row>
    <row r="1410" spans="2:11" ht="17" customHeight="1">
      <c r="B1410" s="253">
        <v>45841</v>
      </c>
      <c r="C1410" s="265" t="s">
        <v>737</v>
      </c>
      <c r="D1410" s="255" t="s">
        <v>414</v>
      </c>
      <c r="E1410" s="256">
        <v>190</v>
      </c>
      <c r="F1410" s="257"/>
      <c r="G1410" s="501" t="s">
        <v>207</v>
      </c>
      <c r="H1410" s="259"/>
      <c r="I1410" s="541">
        <f t="shared" si="25"/>
        <v>155827.59142857135</v>
      </c>
      <c r="K1410" s="243"/>
    </row>
    <row r="1411" spans="2:11" ht="17" customHeight="1">
      <c r="B1411" s="253">
        <v>45841</v>
      </c>
      <c r="C1411" s="265" t="s">
        <v>858</v>
      </c>
      <c r="D1411" s="255" t="s">
        <v>414</v>
      </c>
      <c r="E1411" s="256">
        <v>70</v>
      </c>
      <c r="F1411" s="257"/>
      <c r="G1411" s="258" t="s">
        <v>218</v>
      </c>
      <c r="H1411" s="259"/>
      <c r="I1411" s="541">
        <f t="shared" si="25"/>
        <v>155897.59142857135</v>
      </c>
      <c r="K1411" s="243"/>
    </row>
    <row r="1412" spans="2:11" ht="17" customHeight="1">
      <c r="B1412" s="253">
        <v>45841</v>
      </c>
      <c r="C1412" s="263" t="s">
        <v>117</v>
      </c>
      <c r="D1412" s="255" t="s">
        <v>859</v>
      </c>
      <c r="E1412" s="256">
        <v>242</v>
      </c>
      <c r="F1412" s="257"/>
      <c r="G1412" s="258" t="s">
        <v>159</v>
      </c>
      <c r="H1412" s="259"/>
      <c r="I1412" s="541">
        <f t="shared" si="25"/>
        <v>156139.59142857135</v>
      </c>
      <c r="K1412" s="243"/>
    </row>
    <row r="1413" spans="2:11" ht="17" customHeight="1">
      <c r="B1413" s="253">
        <v>45841</v>
      </c>
      <c r="C1413" s="263" t="s">
        <v>283</v>
      </c>
      <c r="D1413" s="255" t="s">
        <v>283</v>
      </c>
      <c r="E1413" s="256">
        <f>1060-E1414</f>
        <v>825.31999999999994</v>
      </c>
      <c r="F1413" s="257"/>
      <c r="G1413" s="258" t="s">
        <v>190</v>
      </c>
      <c r="H1413" s="259"/>
      <c r="I1413" s="541">
        <f t="shared" si="25"/>
        <v>156964.91142857136</v>
      </c>
      <c r="K1413" s="243"/>
    </row>
    <row r="1414" spans="2:11" ht="17" customHeight="1">
      <c r="B1414" s="253">
        <v>45841</v>
      </c>
      <c r="C1414" s="263" t="s">
        <v>283</v>
      </c>
      <c r="D1414" s="255" t="s">
        <v>508</v>
      </c>
      <c r="E1414" s="256">
        <v>234.68</v>
      </c>
      <c r="F1414" s="257"/>
      <c r="G1414" s="258" t="s">
        <v>276</v>
      </c>
      <c r="H1414" s="259"/>
      <c r="I1414" s="541">
        <f t="shared" si="25"/>
        <v>157199.59142857135</v>
      </c>
      <c r="K1414" s="243"/>
    </row>
    <row r="1415" spans="2:11" ht="17" customHeight="1">
      <c r="B1415" s="253">
        <v>45842</v>
      </c>
      <c r="C1415" s="263" t="s">
        <v>860</v>
      </c>
      <c r="D1415" s="255" t="s">
        <v>512</v>
      </c>
      <c r="E1415" s="256"/>
      <c r="F1415" s="257">
        <f>37.9-1.46</f>
        <v>36.44</v>
      </c>
      <c r="G1415" s="258" t="s">
        <v>199</v>
      </c>
      <c r="H1415" s="259"/>
      <c r="I1415" s="541">
        <f t="shared" si="25"/>
        <v>157163.15142857135</v>
      </c>
      <c r="K1415" s="243"/>
    </row>
    <row r="1416" spans="2:11" ht="17" customHeight="1">
      <c r="B1416" s="253">
        <v>45842</v>
      </c>
      <c r="C1416" s="263" t="s">
        <v>860</v>
      </c>
      <c r="D1416" s="255" t="s">
        <v>512</v>
      </c>
      <c r="E1416" s="256"/>
      <c r="F1416" s="257">
        <v>1.46</v>
      </c>
      <c r="G1416" s="258" t="s">
        <v>274</v>
      </c>
      <c r="H1416" s="259"/>
      <c r="I1416" s="541">
        <f t="shared" si="25"/>
        <v>157161.69142857136</v>
      </c>
      <c r="K1416" s="243"/>
    </row>
    <row r="1417" spans="2:11" ht="17" customHeight="1">
      <c r="B1417" s="253">
        <v>45842</v>
      </c>
      <c r="C1417" s="263" t="s">
        <v>117</v>
      </c>
      <c r="D1417" s="255" t="s">
        <v>861</v>
      </c>
      <c r="E1417" s="256"/>
      <c r="F1417" s="257">
        <v>30.8</v>
      </c>
      <c r="G1417" s="258" t="s">
        <v>199</v>
      </c>
      <c r="H1417" s="259"/>
      <c r="I1417" s="541">
        <f t="shared" si="25"/>
        <v>157130.89142857137</v>
      </c>
      <c r="K1417" s="243"/>
    </row>
    <row r="1418" spans="2:11" ht="17" customHeight="1">
      <c r="B1418" s="253">
        <v>45842</v>
      </c>
      <c r="C1418" s="263" t="s">
        <v>117</v>
      </c>
      <c r="D1418" s="255" t="s">
        <v>846</v>
      </c>
      <c r="E1418" s="256"/>
      <c r="F1418" s="257">
        <v>25</v>
      </c>
      <c r="G1418" s="258" t="s">
        <v>201</v>
      </c>
      <c r="H1418" s="259"/>
      <c r="I1418" s="541">
        <f t="shared" si="25"/>
        <v>157105.89142857137</v>
      </c>
      <c r="K1418" s="243"/>
    </row>
    <row r="1419" spans="2:11" ht="17" customHeight="1">
      <c r="B1419" s="253">
        <v>45842</v>
      </c>
      <c r="C1419" s="263" t="s">
        <v>286</v>
      </c>
      <c r="D1419" s="255" t="s">
        <v>520</v>
      </c>
      <c r="E1419" s="256"/>
      <c r="F1419" s="257">
        <v>35</v>
      </c>
      <c r="G1419" s="258" t="s">
        <v>139</v>
      </c>
      <c r="H1419" s="259"/>
      <c r="I1419" s="541">
        <f t="shared" si="25"/>
        <v>157070.89142857137</v>
      </c>
      <c r="K1419" s="243"/>
    </row>
    <row r="1420" spans="2:11" ht="17" customHeight="1">
      <c r="B1420" s="253">
        <v>45842</v>
      </c>
      <c r="C1420" s="263" t="s">
        <v>117</v>
      </c>
      <c r="D1420" s="255" t="s">
        <v>568</v>
      </c>
      <c r="E1420" s="256"/>
      <c r="F1420" s="257">
        <v>150</v>
      </c>
      <c r="G1420" s="258" t="s">
        <v>230</v>
      </c>
      <c r="H1420" s="259"/>
      <c r="I1420" s="541">
        <f t="shared" si="25"/>
        <v>156920.89142857137</v>
      </c>
      <c r="K1420" s="243"/>
    </row>
    <row r="1421" spans="2:11" ht="17" customHeight="1">
      <c r="B1421" s="253">
        <v>45842</v>
      </c>
      <c r="C1421" s="263" t="s">
        <v>283</v>
      </c>
      <c r="D1421" s="255" t="s">
        <v>283</v>
      </c>
      <c r="E1421" s="256">
        <f>2366.9-E1422</f>
        <v>2041.77</v>
      </c>
      <c r="F1421" s="257"/>
      <c r="G1421" s="258" t="s">
        <v>190</v>
      </c>
      <c r="H1421" s="259"/>
      <c r="I1421" s="541">
        <f t="shared" si="25"/>
        <v>158962.66142857136</v>
      </c>
      <c r="K1421" s="243"/>
    </row>
    <row r="1422" spans="2:11" ht="17" customHeight="1">
      <c r="B1422" s="253">
        <v>45842</v>
      </c>
      <c r="C1422" s="263" t="s">
        <v>283</v>
      </c>
      <c r="D1422" s="255" t="s">
        <v>508</v>
      </c>
      <c r="E1422" s="256">
        <v>325.13</v>
      </c>
      <c r="F1422" s="257"/>
      <c r="G1422" s="258" t="s">
        <v>276</v>
      </c>
      <c r="H1422" s="259"/>
      <c r="I1422" s="541">
        <f t="shared" si="25"/>
        <v>159287.79142857136</v>
      </c>
      <c r="K1422" s="243"/>
    </row>
    <row r="1423" spans="2:11" ht="17" customHeight="1">
      <c r="B1423" s="253">
        <v>45843</v>
      </c>
      <c r="C1423" s="497" t="s">
        <v>513</v>
      </c>
      <c r="D1423" s="498" t="s">
        <v>576</v>
      </c>
      <c r="E1423" s="499"/>
      <c r="F1423" s="500">
        <v>80</v>
      </c>
      <c r="G1423" s="501" t="s">
        <v>248</v>
      </c>
      <c r="H1423" s="259"/>
      <c r="I1423" s="541">
        <f t="shared" si="25"/>
        <v>159207.79142857136</v>
      </c>
      <c r="K1423" s="243"/>
    </row>
    <row r="1424" spans="2:11" ht="17" customHeight="1">
      <c r="B1424" s="253">
        <v>45843</v>
      </c>
      <c r="C1424" s="263" t="s">
        <v>286</v>
      </c>
      <c r="D1424" s="255" t="s">
        <v>520</v>
      </c>
      <c r="E1424" s="256"/>
      <c r="F1424" s="257">
        <v>150</v>
      </c>
      <c r="G1424" s="258" t="s">
        <v>139</v>
      </c>
      <c r="H1424" s="259"/>
      <c r="I1424" s="541">
        <f t="shared" si="25"/>
        <v>159057.79142857136</v>
      </c>
      <c r="K1424" s="243"/>
    </row>
    <row r="1425" spans="2:11" ht="17" customHeight="1">
      <c r="B1425" s="253">
        <v>45843</v>
      </c>
      <c r="C1425" s="263" t="s">
        <v>283</v>
      </c>
      <c r="D1425" s="255" t="s">
        <v>283</v>
      </c>
      <c r="E1425" s="256">
        <f>1478-E1426</f>
        <v>1238.4000000000001</v>
      </c>
      <c r="F1425" s="257"/>
      <c r="G1425" s="258" t="s">
        <v>190</v>
      </c>
      <c r="H1425" s="259"/>
      <c r="I1425" s="541">
        <f t="shared" si="25"/>
        <v>160296.19142857136</v>
      </c>
      <c r="K1425" s="243"/>
    </row>
    <row r="1426" spans="2:11" ht="17" customHeight="1">
      <c r="B1426" s="253">
        <v>45843</v>
      </c>
      <c r="C1426" s="263" t="s">
        <v>283</v>
      </c>
      <c r="D1426" s="255" t="s">
        <v>508</v>
      </c>
      <c r="E1426" s="256">
        <v>239.6</v>
      </c>
      <c r="F1426" s="257"/>
      <c r="G1426" s="258" t="s">
        <v>276</v>
      </c>
      <c r="H1426" s="259"/>
      <c r="I1426" s="541">
        <f t="shared" ref="I1426:I1490" si="26">I1425+E1426-F1426</f>
        <v>160535.79142857136</v>
      </c>
      <c r="K1426" s="243"/>
    </row>
    <row r="1427" spans="2:11" ht="17" customHeight="1">
      <c r="B1427" s="253">
        <v>45844</v>
      </c>
      <c r="C1427" s="263" t="s">
        <v>117</v>
      </c>
      <c r="D1427" s="255" t="s">
        <v>862</v>
      </c>
      <c r="E1427" s="256"/>
      <c r="F1427" s="257">
        <v>400</v>
      </c>
      <c r="G1427" s="258" t="s">
        <v>223</v>
      </c>
      <c r="H1427" s="259"/>
      <c r="I1427" s="541">
        <f t="shared" si="26"/>
        <v>160135.79142857136</v>
      </c>
      <c r="K1427" s="243"/>
    </row>
    <row r="1428" spans="2:11" ht="17" customHeight="1">
      <c r="B1428" s="253">
        <v>45844</v>
      </c>
      <c r="C1428" s="263" t="s">
        <v>117</v>
      </c>
      <c r="D1428" s="255" t="s">
        <v>650</v>
      </c>
      <c r="E1428" s="256"/>
      <c r="F1428" s="257">
        <v>2549</v>
      </c>
      <c r="G1428" s="258" t="s">
        <v>194</v>
      </c>
      <c r="H1428" s="259"/>
      <c r="I1428" s="541">
        <f t="shared" si="26"/>
        <v>157586.79142857136</v>
      </c>
      <c r="K1428" s="243"/>
    </row>
    <row r="1429" spans="2:11" ht="17" customHeight="1">
      <c r="B1429" s="253">
        <v>45844</v>
      </c>
      <c r="C1429" s="263" t="s">
        <v>283</v>
      </c>
      <c r="D1429" s="255" t="s">
        <v>283</v>
      </c>
      <c r="E1429" s="256">
        <f>1125.7-E1430</f>
        <v>951.80000000000007</v>
      </c>
      <c r="F1429" s="257"/>
      <c r="G1429" s="258" t="s">
        <v>190</v>
      </c>
      <c r="H1429" s="259"/>
      <c r="I1429" s="541">
        <f t="shared" si="26"/>
        <v>158538.59142857135</v>
      </c>
      <c r="K1429" s="243"/>
    </row>
    <row r="1430" spans="2:11" ht="17" customHeight="1">
      <c r="B1430" s="253">
        <v>45844</v>
      </c>
      <c r="C1430" s="263" t="s">
        <v>283</v>
      </c>
      <c r="D1430" s="255" t="s">
        <v>508</v>
      </c>
      <c r="E1430" s="256">
        <v>173.9</v>
      </c>
      <c r="F1430" s="257"/>
      <c r="G1430" s="258" t="s">
        <v>276</v>
      </c>
      <c r="H1430" s="259"/>
      <c r="I1430" s="541">
        <f t="shared" si="26"/>
        <v>158712.49142857135</v>
      </c>
      <c r="K1430" s="243"/>
    </row>
    <row r="1431" spans="2:11" ht="17" customHeight="1">
      <c r="B1431" s="253">
        <v>45845</v>
      </c>
      <c r="C1431" s="263" t="s">
        <v>117</v>
      </c>
      <c r="D1431" s="255" t="s">
        <v>846</v>
      </c>
      <c r="E1431" s="256"/>
      <c r="F1431" s="257">
        <v>295</v>
      </c>
      <c r="G1431" s="258" t="s">
        <v>194</v>
      </c>
      <c r="H1431" s="259"/>
      <c r="I1431" s="541">
        <f t="shared" si="26"/>
        <v>158417.49142857135</v>
      </c>
      <c r="K1431" s="243"/>
    </row>
    <row r="1432" spans="2:11" ht="17" customHeight="1">
      <c r="B1432" s="253">
        <v>45845</v>
      </c>
      <c r="C1432" s="263" t="s">
        <v>117</v>
      </c>
      <c r="D1432" s="255" t="s">
        <v>361</v>
      </c>
      <c r="E1432" s="256"/>
      <c r="F1432" s="257">
        <v>100</v>
      </c>
      <c r="G1432" s="258" t="s">
        <v>194</v>
      </c>
      <c r="H1432" s="259"/>
      <c r="I1432" s="541">
        <f t="shared" si="26"/>
        <v>158317.49142857135</v>
      </c>
      <c r="K1432" s="243"/>
    </row>
    <row r="1433" spans="2:11" ht="17" customHeight="1">
      <c r="B1433" s="253">
        <v>45845</v>
      </c>
      <c r="C1433" s="263" t="s">
        <v>283</v>
      </c>
      <c r="D1433" s="255" t="s">
        <v>283</v>
      </c>
      <c r="E1433" s="256">
        <f>243.7-E1434</f>
        <v>195.75</v>
      </c>
      <c r="F1433" s="257"/>
      <c r="G1433" s="258" t="s">
        <v>190</v>
      </c>
      <c r="H1433" s="259"/>
      <c r="I1433" s="541">
        <f t="shared" si="26"/>
        <v>158513.24142857135</v>
      </c>
      <c r="K1433" s="243"/>
    </row>
    <row r="1434" spans="2:11" ht="17" customHeight="1">
      <c r="B1434" s="253">
        <v>45845</v>
      </c>
      <c r="C1434" s="263" t="s">
        <v>283</v>
      </c>
      <c r="D1434" s="255" t="s">
        <v>508</v>
      </c>
      <c r="E1434" s="256">
        <v>47.95</v>
      </c>
      <c r="F1434" s="257"/>
      <c r="G1434" s="258" t="s">
        <v>276</v>
      </c>
      <c r="H1434" s="259"/>
      <c r="I1434" s="541">
        <f t="shared" si="26"/>
        <v>158561.19142857136</v>
      </c>
      <c r="K1434" s="243"/>
    </row>
    <row r="1435" spans="2:11" ht="17" customHeight="1">
      <c r="B1435" s="253">
        <v>45846</v>
      </c>
      <c r="C1435" s="497" t="s">
        <v>513</v>
      </c>
      <c r="D1435" s="498" t="s">
        <v>576</v>
      </c>
      <c r="E1435" s="499"/>
      <c r="F1435" s="500">
        <v>90</v>
      </c>
      <c r="G1435" s="501" t="s">
        <v>248</v>
      </c>
      <c r="H1435" s="259"/>
      <c r="I1435" s="541">
        <f t="shared" si="26"/>
        <v>158471.19142857136</v>
      </c>
      <c r="K1435" s="243"/>
    </row>
    <row r="1436" spans="2:11" ht="17" customHeight="1">
      <c r="B1436" s="253">
        <v>45846</v>
      </c>
      <c r="C1436" s="263" t="s">
        <v>513</v>
      </c>
      <c r="D1436" s="255" t="s">
        <v>563</v>
      </c>
      <c r="E1436" s="256"/>
      <c r="F1436" s="257">
        <v>105</v>
      </c>
      <c r="G1436" s="258" t="s">
        <v>249</v>
      </c>
      <c r="H1436" s="259"/>
      <c r="I1436" s="541">
        <f t="shared" si="26"/>
        <v>158366.19142857136</v>
      </c>
      <c r="K1436" s="243"/>
    </row>
    <row r="1437" spans="2:11" ht="17" customHeight="1">
      <c r="B1437" s="253">
        <v>45846</v>
      </c>
      <c r="C1437" s="263" t="s">
        <v>283</v>
      </c>
      <c r="D1437" s="255" t="s">
        <v>283</v>
      </c>
      <c r="E1437" s="256">
        <f>243.7-E1438</f>
        <v>195.75</v>
      </c>
      <c r="F1437" s="257"/>
      <c r="G1437" s="258" t="s">
        <v>190</v>
      </c>
      <c r="H1437" s="259"/>
      <c r="I1437" s="541">
        <f t="shared" si="26"/>
        <v>158561.94142857136</v>
      </c>
      <c r="K1437" s="243"/>
    </row>
    <row r="1438" spans="2:11" ht="17" customHeight="1">
      <c r="B1438" s="253">
        <v>45846</v>
      </c>
      <c r="C1438" s="263" t="s">
        <v>283</v>
      </c>
      <c r="D1438" s="255" t="s">
        <v>508</v>
      </c>
      <c r="E1438" s="256">
        <v>47.95</v>
      </c>
      <c r="F1438" s="257"/>
      <c r="G1438" s="258" t="s">
        <v>276</v>
      </c>
      <c r="H1438" s="259"/>
      <c r="I1438" s="541">
        <f t="shared" si="26"/>
        <v>158609.89142857137</v>
      </c>
      <c r="K1438" s="243"/>
    </row>
    <row r="1439" spans="2:11" ht="17" customHeight="1">
      <c r="B1439" s="253">
        <v>45847</v>
      </c>
      <c r="C1439" s="263" t="s">
        <v>513</v>
      </c>
      <c r="D1439" s="255" t="s">
        <v>694</v>
      </c>
      <c r="E1439" s="256"/>
      <c r="F1439" s="257">
        <v>70</v>
      </c>
      <c r="G1439" s="258" t="s">
        <v>245</v>
      </c>
      <c r="H1439" s="259"/>
      <c r="I1439" s="541">
        <f t="shared" si="26"/>
        <v>158539.89142857137</v>
      </c>
      <c r="K1439" s="243"/>
    </row>
    <row r="1440" spans="2:11" ht="17" customHeight="1">
      <c r="B1440" s="253">
        <v>45847</v>
      </c>
      <c r="C1440" s="263" t="s">
        <v>286</v>
      </c>
      <c r="D1440" s="255" t="s">
        <v>520</v>
      </c>
      <c r="E1440" s="256"/>
      <c r="F1440" s="257">
        <v>43.7</v>
      </c>
      <c r="G1440" s="258" t="s">
        <v>139</v>
      </c>
      <c r="H1440" s="259"/>
      <c r="I1440" s="541">
        <f t="shared" si="26"/>
        <v>158496.19142857136</v>
      </c>
      <c r="K1440" s="243"/>
    </row>
    <row r="1441" spans="2:11" ht="17" customHeight="1">
      <c r="B1441" s="253">
        <v>45847</v>
      </c>
      <c r="C1441" s="263" t="s">
        <v>117</v>
      </c>
      <c r="D1441" s="255" t="s">
        <v>863</v>
      </c>
      <c r="E1441" s="256">
        <v>125</v>
      </c>
      <c r="F1441" s="257"/>
      <c r="G1441" s="258" t="s">
        <v>194</v>
      </c>
      <c r="H1441" s="259"/>
      <c r="I1441" s="541">
        <f t="shared" si="26"/>
        <v>158621.19142857136</v>
      </c>
      <c r="K1441" s="243"/>
    </row>
    <row r="1442" spans="2:11" ht="17" customHeight="1">
      <c r="B1442" s="253">
        <v>45847</v>
      </c>
      <c r="C1442" s="263" t="s">
        <v>117</v>
      </c>
      <c r="D1442" s="255" t="s">
        <v>829</v>
      </c>
      <c r="E1442" s="256">
        <v>955</v>
      </c>
      <c r="F1442" s="257"/>
      <c r="G1442" s="258" t="s">
        <v>194</v>
      </c>
      <c r="H1442" s="259"/>
      <c r="I1442" s="541">
        <f t="shared" si="26"/>
        <v>159576.19142857136</v>
      </c>
      <c r="K1442" s="243"/>
    </row>
    <row r="1443" spans="2:11" ht="17" customHeight="1">
      <c r="B1443" s="253">
        <v>45847</v>
      </c>
      <c r="C1443" s="263" t="s">
        <v>117</v>
      </c>
      <c r="D1443" s="255" t="s">
        <v>864</v>
      </c>
      <c r="E1443" s="256"/>
      <c r="F1443" s="257">
        <v>4.7</v>
      </c>
      <c r="G1443" s="258" t="s">
        <v>217</v>
      </c>
      <c r="H1443" s="259"/>
      <c r="I1443" s="541">
        <f t="shared" si="26"/>
        <v>159571.49142857135</v>
      </c>
      <c r="K1443" s="243"/>
    </row>
    <row r="1444" spans="2:11" ht="17" customHeight="1">
      <c r="B1444" s="253">
        <v>45847</v>
      </c>
      <c r="C1444" s="263" t="s">
        <v>117</v>
      </c>
      <c r="D1444" s="255" t="s">
        <v>509</v>
      </c>
      <c r="E1444" s="256"/>
      <c r="F1444" s="257">
        <v>4.2</v>
      </c>
      <c r="G1444" s="258" t="s">
        <v>217</v>
      </c>
      <c r="H1444" s="259"/>
      <c r="I1444" s="541">
        <f t="shared" si="26"/>
        <v>159567.29142857133</v>
      </c>
      <c r="K1444" s="243"/>
    </row>
    <row r="1445" spans="2:11" ht="17" customHeight="1">
      <c r="B1445" s="253">
        <v>45847</v>
      </c>
      <c r="C1445" s="263" t="s">
        <v>117</v>
      </c>
      <c r="D1445" s="255" t="s">
        <v>306</v>
      </c>
      <c r="E1445" s="256"/>
      <c r="F1445" s="257">
        <v>324.60000000000002</v>
      </c>
      <c r="G1445" s="258" t="s">
        <v>194</v>
      </c>
      <c r="H1445" s="259"/>
      <c r="I1445" s="541">
        <f t="shared" si="26"/>
        <v>159242.69142857133</v>
      </c>
      <c r="K1445" s="243"/>
    </row>
    <row r="1446" spans="2:11" ht="17" customHeight="1">
      <c r="B1446" s="253">
        <v>45847</v>
      </c>
      <c r="C1446" s="263" t="s">
        <v>117</v>
      </c>
      <c r="D1446" s="255" t="s">
        <v>306</v>
      </c>
      <c r="E1446" s="256"/>
      <c r="F1446" s="257">
        <v>306.10000000000002</v>
      </c>
      <c r="G1446" s="258" t="s">
        <v>194</v>
      </c>
      <c r="H1446" s="259"/>
      <c r="I1446" s="541">
        <f t="shared" si="26"/>
        <v>158936.59142857132</v>
      </c>
      <c r="K1446" s="243"/>
    </row>
    <row r="1447" spans="2:11" ht="17" customHeight="1">
      <c r="B1447" s="253">
        <v>45847</v>
      </c>
      <c r="C1447" s="263" t="s">
        <v>513</v>
      </c>
      <c r="D1447" s="255" t="s">
        <v>699</v>
      </c>
      <c r="E1447" s="256"/>
      <c r="F1447" s="257">
        <v>40</v>
      </c>
      <c r="G1447" s="258" t="s">
        <v>245</v>
      </c>
      <c r="H1447" s="259"/>
      <c r="I1447" s="541">
        <f t="shared" si="26"/>
        <v>158896.59142857132</v>
      </c>
      <c r="K1447" s="243"/>
    </row>
    <row r="1448" spans="2:11" ht="17" customHeight="1">
      <c r="B1448" s="253">
        <v>45847</v>
      </c>
      <c r="C1448" s="263" t="s">
        <v>513</v>
      </c>
      <c r="D1448" s="255" t="s">
        <v>699</v>
      </c>
      <c r="E1448" s="256"/>
      <c r="F1448" s="257">
        <v>15</v>
      </c>
      <c r="G1448" s="258" t="s">
        <v>250</v>
      </c>
      <c r="H1448" s="259"/>
      <c r="I1448" s="541">
        <f t="shared" si="26"/>
        <v>158881.59142857132</v>
      </c>
      <c r="K1448" s="243"/>
    </row>
    <row r="1449" spans="2:11" ht="17" customHeight="1">
      <c r="B1449" s="253">
        <v>45847</v>
      </c>
      <c r="C1449" s="263" t="s">
        <v>283</v>
      </c>
      <c r="D1449" s="255" t="s">
        <v>283</v>
      </c>
      <c r="E1449" s="256">
        <f>857.3-E1450</f>
        <v>750.1099999999999</v>
      </c>
      <c r="F1449" s="257"/>
      <c r="G1449" s="258" t="s">
        <v>190</v>
      </c>
      <c r="H1449" s="259"/>
      <c r="I1449" s="541">
        <f t="shared" si="26"/>
        <v>159631.70142857131</v>
      </c>
      <c r="K1449" s="243"/>
    </row>
    <row r="1450" spans="2:11" ht="17" customHeight="1">
      <c r="B1450" s="253">
        <v>45847</v>
      </c>
      <c r="C1450" s="263" t="s">
        <v>283</v>
      </c>
      <c r="D1450" s="255" t="s">
        <v>508</v>
      </c>
      <c r="E1450" s="256">
        <v>107.19</v>
      </c>
      <c r="F1450" s="257"/>
      <c r="G1450" s="258" t="s">
        <v>276</v>
      </c>
      <c r="H1450" s="259"/>
      <c r="I1450" s="541">
        <f t="shared" si="26"/>
        <v>159738.89142857131</v>
      </c>
      <c r="K1450" s="243"/>
    </row>
    <row r="1451" spans="2:11" ht="17" customHeight="1">
      <c r="B1451" s="615">
        <v>45838</v>
      </c>
      <c r="C1451" s="263" t="s">
        <v>513</v>
      </c>
      <c r="D1451" s="255" t="s">
        <v>722</v>
      </c>
      <c r="E1451" s="256"/>
      <c r="F1451" s="257">
        <v>595</v>
      </c>
      <c r="G1451" s="258" t="s">
        <v>245</v>
      </c>
      <c r="H1451" s="525" t="s">
        <v>753</v>
      </c>
      <c r="I1451" s="541">
        <f t="shared" si="26"/>
        <v>159143.89142857131</v>
      </c>
      <c r="K1451" s="243"/>
    </row>
    <row r="1452" spans="2:11" ht="17" customHeight="1">
      <c r="B1452" s="615">
        <v>45838</v>
      </c>
      <c r="C1452" s="263" t="s">
        <v>513</v>
      </c>
      <c r="D1452" s="255" t="s">
        <v>25</v>
      </c>
      <c r="E1452" s="256"/>
      <c r="F1452" s="257">
        <v>485</v>
      </c>
      <c r="G1452" s="258" t="s">
        <v>246</v>
      </c>
      <c r="H1452" s="525" t="s">
        <v>753</v>
      </c>
      <c r="I1452" s="541">
        <f t="shared" si="26"/>
        <v>158658.89142857131</v>
      </c>
      <c r="K1452" s="243"/>
    </row>
    <row r="1453" spans="2:11" ht="17" customHeight="1">
      <c r="B1453" s="615">
        <v>45838</v>
      </c>
      <c r="C1453" s="263" t="s">
        <v>513</v>
      </c>
      <c r="D1453" s="255" t="s">
        <v>557</v>
      </c>
      <c r="E1453" s="256"/>
      <c r="F1453" s="257">
        <v>190</v>
      </c>
      <c r="G1453" s="258" t="s">
        <v>1859</v>
      </c>
      <c r="H1453" s="525" t="s">
        <v>753</v>
      </c>
      <c r="I1453" s="541">
        <f t="shared" si="26"/>
        <v>158468.89142857131</v>
      </c>
      <c r="K1453" s="243"/>
    </row>
    <row r="1454" spans="2:11" ht="17" customHeight="1">
      <c r="B1454" s="615">
        <v>45838</v>
      </c>
      <c r="C1454" s="263" t="s">
        <v>513</v>
      </c>
      <c r="D1454" s="255" t="s">
        <v>807</v>
      </c>
      <c r="E1454" s="256"/>
      <c r="F1454" s="257">
        <v>350</v>
      </c>
      <c r="G1454" s="258" t="s">
        <v>248</v>
      </c>
      <c r="H1454" s="525" t="s">
        <v>753</v>
      </c>
      <c r="I1454" s="541">
        <f t="shared" si="26"/>
        <v>158118.89142857131</v>
      </c>
      <c r="K1454" s="243"/>
    </row>
    <row r="1455" spans="2:11" ht="17" customHeight="1">
      <c r="B1455" s="615">
        <v>45838</v>
      </c>
      <c r="C1455" s="263" t="s">
        <v>513</v>
      </c>
      <c r="D1455" s="255" t="s">
        <v>28</v>
      </c>
      <c r="E1455" s="256"/>
      <c r="F1455" s="257">
        <v>920</v>
      </c>
      <c r="G1455" s="258" t="s">
        <v>243</v>
      </c>
      <c r="H1455" s="525" t="s">
        <v>753</v>
      </c>
      <c r="I1455" s="541">
        <f t="shared" si="26"/>
        <v>157198.89142857131</v>
      </c>
      <c r="K1455" s="243"/>
    </row>
    <row r="1456" spans="2:11" ht="17" customHeight="1">
      <c r="B1456" s="615">
        <v>45838</v>
      </c>
      <c r="C1456" s="263" t="s">
        <v>513</v>
      </c>
      <c r="D1456" s="255" t="s">
        <v>29</v>
      </c>
      <c r="E1456" s="256"/>
      <c r="F1456" s="257">
        <v>445</v>
      </c>
      <c r="G1456" s="258" t="s">
        <v>243</v>
      </c>
      <c r="H1456" s="525" t="s">
        <v>753</v>
      </c>
      <c r="I1456" s="541">
        <f t="shared" si="26"/>
        <v>156753.89142857131</v>
      </c>
      <c r="K1456" s="243"/>
    </row>
    <row r="1457" spans="2:11" ht="17" customHeight="1">
      <c r="B1457" s="615">
        <v>45838</v>
      </c>
      <c r="C1457" s="263" t="s">
        <v>513</v>
      </c>
      <c r="D1457" s="255" t="s">
        <v>559</v>
      </c>
      <c r="E1457" s="256"/>
      <c r="F1457" s="257">
        <v>770</v>
      </c>
      <c r="G1457" s="258" t="s">
        <v>243</v>
      </c>
      <c r="H1457" s="525" t="s">
        <v>753</v>
      </c>
      <c r="I1457" s="541">
        <f t="shared" si="26"/>
        <v>155983.89142857131</v>
      </c>
      <c r="K1457" s="243"/>
    </row>
    <row r="1458" spans="2:11" ht="17" customHeight="1">
      <c r="B1458" s="615">
        <v>45838</v>
      </c>
      <c r="C1458" s="263" t="s">
        <v>513</v>
      </c>
      <c r="D1458" s="255" t="s">
        <v>699</v>
      </c>
      <c r="E1458" s="256"/>
      <c r="F1458" s="257">
        <v>195</v>
      </c>
      <c r="G1458" s="258" t="s">
        <v>245</v>
      </c>
      <c r="H1458" s="525" t="s">
        <v>753</v>
      </c>
      <c r="I1458" s="541">
        <f t="shared" si="26"/>
        <v>155788.89142857131</v>
      </c>
      <c r="K1458" s="243"/>
    </row>
    <row r="1459" spans="2:11" ht="17" customHeight="1">
      <c r="B1459" s="615">
        <v>45838</v>
      </c>
      <c r="C1459" s="263" t="s">
        <v>513</v>
      </c>
      <c r="D1459" s="255" t="s">
        <v>24</v>
      </c>
      <c r="E1459" s="256"/>
      <c r="F1459" s="257">
        <v>170</v>
      </c>
      <c r="G1459" s="258" t="s">
        <v>245</v>
      </c>
      <c r="H1459" s="525" t="s">
        <v>753</v>
      </c>
      <c r="I1459" s="541">
        <f t="shared" si="26"/>
        <v>155618.89142857131</v>
      </c>
      <c r="K1459" s="243"/>
    </row>
    <row r="1460" spans="2:11" ht="17" customHeight="1">
      <c r="B1460" s="615">
        <v>45838</v>
      </c>
      <c r="C1460" s="263" t="s">
        <v>513</v>
      </c>
      <c r="D1460" s="255" t="s">
        <v>558</v>
      </c>
      <c r="E1460" s="256"/>
      <c r="F1460" s="257">
        <v>325</v>
      </c>
      <c r="G1460" s="258" t="s">
        <v>245</v>
      </c>
      <c r="H1460" s="525" t="s">
        <v>753</v>
      </c>
      <c r="I1460" s="541"/>
      <c r="K1460" s="243"/>
    </row>
    <row r="1461" spans="2:11" ht="17" customHeight="1">
      <c r="B1461" s="253">
        <v>45848</v>
      </c>
      <c r="C1461" s="263" t="s">
        <v>117</v>
      </c>
      <c r="D1461" s="255" t="s">
        <v>306</v>
      </c>
      <c r="E1461" s="256"/>
      <c r="F1461" s="257">
        <v>127</v>
      </c>
      <c r="G1461" s="258" t="s">
        <v>194</v>
      </c>
      <c r="H1461" s="259"/>
      <c r="I1461" s="541">
        <f>I1459+E1461-F1461</f>
        <v>155491.89142857131</v>
      </c>
      <c r="K1461" s="243"/>
    </row>
    <row r="1462" spans="2:11" ht="17" customHeight="1">
      <c r="B1462" s="253">
        <v>45848</v>
      </c>
      <c r="C1462" s="263" t="s">
        <v>513</v>
      </c>
      <c r="D1462" s="255" t="s">
        <v>31</v>
      </c>
      <c r="E1462" s="256"/>
      <c r="F1462" s="257">
        <v>95</v>
      </c>
      <c r="G1462" s="258" t="s">
        <v>245</v>
      </c>
      <c r="H1462" s="259"/>
      <c r="I1462" s="541">
        <f t="shared" si="26"/>
        <v>155396.89142857131</v>
      </c>
      <c r="K1462" s="243"/>
    </row>
    <row r="1463" spans="2:11" ht="17" customHeight="1">
      <c r="B1463" s="253">
        <v>45848</v>
      </c>
      <c r="C1463" s="263" t="s">
        <v>513</v>
      </c>
      <c r="D1463" s="255" t="s">
        <v>30</v>
      </c>
      <c r="E1463" s="256">
        <v>150</v>
      </c>
      <c r="F1463" s="257"/>
      <c r="G1463" s="258" t="s">
        <v>245</v>
      </c>
      <c r="H1463" s="259"/>
      <c r="I1463" s="541">
        <f t="shared" si="26"/>
        <v>155546.89142857131</v>
      </c>
      <c r="K1463" s="243"/>
    </row>
    <row r="1464" spans="2:11" ht="17" customHeight="1">
      <c r="B1464" s="253">
        <v>45848</v>
      </c>
      <c r="C1464" s="263" t="s">
        <v>117</v>
      </c>
      <c r="D1464" s="255" t="s">
        <v>550</v>
      </c>
      <c r="E1464" s="256"/>
      <c r="F1464" s="257">
        <v>1290</v>
      </c>
      <c r="G1464" s="258" t="s">
        <v>194</v>
      </c>
      <c r="H1464" s="259"/>
      <c r="I1464" s="541">
        <f t="shared" si="26"/>
        <v>154256.89142857131</v>
      </c>
      <c r="K1464" s="243"/>
    </row>
    <row r="1465" spans="2:11" ht="17" customHeight="1">
      <c r="B1465" s="253">
        <v>45848</v>
      </c>
      <c r="C1465" s="263" t="s">
        <v>117</v>
      </c>
      <c r="D1465" s="255" t="s">
        <v>666</v>
      </c>
      <c r="E1465" s="256"/>
      <c r="F1465" s="257">
        <v>42.93</v>
      </c>
      <c r="G1465" s="258" t="s">
        <v>208</v>
      </c>
      <c r="H1465" s="259"/>
      <c r="I1465" s="541">
        <f t="shared" si="26"/>
        <v>154213.96142857132</v>
      </c>
      <c r="K1465" s="243"/>
    </row>
    <row r="1466" spans="2:11" ht="17" customHeight="1">
      <c r="B1466" s="253">
        <v>45848</v>
      </c>
      <c r="C1466" s="263" t="s">
        <v>117</v>
      </c>
      <c r="D1466" s="255" t="s">
        <v>865</v>
      </c>
      <c r="E1466" s="256"/>
      <c r="F1466" s="257">
        <v>35.57</v>
      </c>
      <c r="G1466" s="258" t="s">
        <v>206</v>
      </c>
      <c r="H1466" s="259"/>
      <c r="I1466" s="541">
        <f t="shared" si="26"/>
        <v>154178.39142857131</v>
      </c>
      <c r="K1466" s="243"/>
    </row>
    <row r="1467" spans="2:11" ht="17" customHeight="1">
      <c r="B1467" s="253">
        <v>45848</v>
      </c>
      <c r="C1467" s="263" t="s">
        <v>283</v>
      </c>
      <c r="D1467" s="255" t="s">
        <v>283</v>
      </c>
      <c r="E1467" s="256">
        <f>917-E1468</f>
        <v>764.49</v>
      </c>
      <c r="F1467" s="257"/>
      <c r="G1467" s="258" t="s">
        <v>190</v>
      </c>
      <c r="H1467" s="259"/>
      <c r="I1467" s="541">
        <f t="shared" si="26"/>
        <v>154942.8814285713</v>
      </c>
      <c r="K1467" s="243"/>
    </row>
    <row r="1468" spans="2:11" ht="17" customHeight="1">
      <c r="B1468" s="253">
        <v>45848</v>
      </c>
      <c r="C1468" s="263" t="s">
        <v>283</v>
      </c>
      <c r="D1468" s="255" t="s">
        <v>508</v>
      </c>
      <c r="E1468" s="256">
        <v>152.51</v>
      </c>
      <c r="F1468" s="257"/>
      <c r="G1468" s="258" t="s">
        <v>276</v>
      </c>
      <c r="H1468" s="259"/>
      <c r="I1468" s="541">
        <f t="shared" si="26"/>
        <v>155095.39142857131</v>
      </c>
      <c r="K1468" s="243"/>
    </row>
    <row r="1469" spans="2:11" ht="17" customHeight="1">
      <c r="B1469" s="253">
        <v>45849</v>
      </c>
      <c r="C1469" s="263" t="s">
        <v>866</v>
      </c>
      <c r="D1469" s="255" t="s">
        <v>512</v>
      </c>
      <c r="E1469" s="256"/>
      <c r="F1469" s="257">
        <f>24.65-0.95</f>
        <v>23.7</v>
      </c>
      <c r="G1469" s="258" t="s">
        <v>199</v>
      </c>
      <c r="H1469" s="259"/>
      <c r="I1469" s="541">
        <f t="shared" si="26"/>
        <v>155071.6914285713</v>
      </c>
      <c r="K1469" s="243"/>
    </row>
    <row r="1470" spans="2:11" ht="17" customHeight="1">
      <c r="B1470" s="253">
        <v>45849</v>
      </c>
      <c r="C1470" s="263" t="s">
        <v>866</v>
      </c>
      <c r="D1470" s="255" t="s">
        <v>512</v>
      </c>
      <c r="E1470" s="256"/>
      <c r="F1470" s="257">
        <v>0.95</v>
      </c>
      <c r="G1470" s="258" t="s">
        <v>274</v>
      </c>
      <c r="H1470" s="259"/>
      <c r="I1470" s="541">
        <f t="shared" si="26"/>
        <v>155070.74142857129</v>
      </c>
      <c r="K1470" s="243"/>
    </row>
    <row r="1471" spans="2:11" ht="17" customHeight="1">
      <c r="B1471" s="253">
        <v>45849</v>
      </c>
      <c r="C1471" s="263" t="s">
        <v>117</v>
      </c>
      <c r="D1471" s="255" t="s">
        <v>867</v>
      </c>
      <c r="E1471" s="256"/>
      <c r="F1471" s="257">
        <v>150</v>
      </c>
      <c r="G1471" s="258" t="s">
        <v>230</v>
      </c>
      <c r="H1471" s="259"/>
      <c r="I1471" s="541">
        <f t="shared" si="26"/>
        <v>154920.74142857129</v>
      </c>
      <c r="K1471" s="243"/>
    </row>
    <row r="1472" spans="2:11" ht="17" customHeight="1">
      <c r="B1472" s="253">
        <v>45849</v>
      </c>
      <c r="C1472" s="263" t="s">
        <v>283</v>
      </c>
      <c r="D1472" s="255" t="s">
        <v>283</v>
      </c>
      <c r="E1472" s="256">
        <f>1717.05-E1473</f>
        <v>1527.52</v>
      </c>
      <c r="F1472" s="257"/>
      <c r="G1472" s="258" t="s">
        <v>190</v>
      </c>
      <c r="H1472" s="259"/>
      <c r="I1472" s="541">
        <f t="shared" si="26"/>
        <v>156448.26142857128</v>
      </c>
      <c r="K1472" s="243"/>
    </row>
    <row r="1473" spans="2:11" ht="17" customHeight="1">
      <c r="B1473" s="253">
        <v>45849</v>
      </c>
      <c r="C1473" s="263" t="s">
        <v>283</v>
      </c>
      <c r="D1473" s="255" t="s">
        <v>508</v>
      </c>
      <c r="E1473" s="256">
        <v>189.53</v>
      </c>
      <c r="F1473" s="257"/>
      <c r="G1473" s="258" t="s">
        <v>276</v>
      </c>
      <c r="H1473" s="259"/>
      <c r="I1473" s="541">
        <f t="shared" si="26"/>
        <v>156637.79142857128</v>
      </c>
      <c r="K1473" s="243"/>
    </row>
    <row r="1474" spans="2:11" ht="17" customHeight="1">
      <c r="B1474" s="253">
        <v>45850</v>
      </c>
      <c r="C1474" s="263" t="s">
        <v>513</v>
      </c>
      <c r="D1474" s="255" t="s">
        <v>688</v>
      </c>
      <c r="E1474" s="256"/>
      <c r="F1474" s="257">
        <v>50</v>
      </c>
      <c r="G1474" s="258" t="s">
        <v>248</v>
      </c>
      <c r="H1474" s="259"/>
      <c r="I1474" s="541">
        <f t="shared" si="26"/>
        <v>156587.79142857128</v>
      </c>
      <c r="K1474" s="243"/>
    </row>
    <row r="1475" spans="2:11" ht="17" customHeight="1">
      <c r="B1475" s="253">
        <v>45850</v>
      </c>
      <c r="C1475" s="263" t="s">
        <v>283</v>
      </c>
      <c r="D1475" s="255" t="s">
        <v>283</v>
      </c>
      <c r="E1475" s="256">
        <f>2013.5-E1476</f>
        <v>1752.24</v>
      </c>
      <c r="F1475" s="257"/>
      <c r="G1475" s="258" t="s">
        <v>190</v>
      </c>
      <c r="H1475" s="259"/>
      <c r="I1475" s="541">
        <f t="shared" si="26"/>
        <v>158340.03142857127</v>
      </c>
      <c r="K1475" s="243"/>
    </row>
    <row r="1476" spans="2:11" ht="17" customHeight="1">
      <c r="B1476" s="253">
        <v>45850</v>
      </c>
      <c r="C1476" s="263" t="s">
        <v>283</v>
      </c>
      <c r="D1476" s="255" t="s">
        <v>508</v>
      </c>
      <c r="E1476" s="256">
        <v>261.26</v>
      </c>
      <c r="F1476" s="257"/>
      <c r="G1476" s="258" t="s">
        <v>276</v>
      </c>
      <c r="H1476" s="259"/>
      <c r="I1476" s="541">
        <f t="shared" si="26"/>
        <v>158601.29142857128</v>
      </c>
      <c r="K1476" s="243"/>
    </row>
    <row r="1477" spans="2:11" ht="17" customHeight="1">
      <c r="B1477" s="253">
        <v>45851</v>
      </c>
      <c r="C1477" s="263" t="s">
        <v>283</v>
      </c>
      <c r="D1477" s="255" t="s">
        <v>283</v>
      </c>
      <c r="E1477" s="256">
        <f>1694-E1478</f>
        <v>1492.34</v>
      </c>
      <c r="F1477" s="257"/>
      <c r="G1477" s="258" t="s">
        <v>190</v>
      </c>
      <c r="H1477" s="259"/>
      <c r="I1477" s="541">
        <f t="shared" si="26"/>
        <v>160093.63142857127</v>
      </c>
      <c r="K1477" s="243"/>
    </row>
    <row r="1478" spans="2:11" ht="17" customHeight="1">
      <c r="B1478" s="253">
        <v>45851</v>
      </c>
      <c r="C1478" s="263" t="s">
        <v>283</v>
      </c>
      <c r="D1478" s="255" t="s">
        <v>508</v>
      </c>
      <c r="E1478" s="256">
        <v>201.66</v>
      </c>
      <c r="F1478" s="257"/>
      <c r="G1478" s="258" t="s">
        <v>276</v>
      </c>
      <c r="H1478" s="259"/>
      <c r="I1478" s="541">
        <f t="shared" si="26"/>
        <v>160295.29142857128</v>
      </c>
      <c r="K1478" s="243"/>
    </row>
    <row r="1479" spans="2:11" ht="17" customHeight="1">
      <c r="B1479" s="253">
        <v>45852</v>
      </c>
      <c r="C1479" s="263" t="s">
        <v>283</v>
      </c>
      <c r="D1479" s="255" t="s">
        <v>283</v>
      </c>
      <c r="E1479" s="256">
        <f>595-E1480</f>
        <v>506.2</v>
      </c>
      <c r="F1479" s="257"/>
      <c r="G1479" s="258" t="s">
        <v>190</v>
      </c>
      <c r="H1479" s="259"/>
      <c r="I1479" s="541">
        <f t="shared" si="26"/>
        <v>160801.49142857129</v>
      </c>
      <c r="K1479" s="243"/>
    </row>
    <row r="1480" spans="2:11" ht="17" customHeight="1">
      <c r="B1480" s="253">
        <v>45852</v>
      </c>
      <c r="C1480" s="263" t="s">
        <v>283</v>
      </c>
      <c r="D1480" s="255" t="s">
        <v>508</v>
      </c>
      <c r="E1480" s="256">
        <v>88.8</v>
      </c>
      <c r="F1480" s="257"/>
      <c r="G1480" s="258" t="s">
        <v>276</v>
      </c>
      <c r="H1480" s="259"/>
      <c r="I1480" s="541">
        <f t="shared" si="26"/>
        <v>160890.29142857128</v>
      </c>
      <c r="K1480" s="243"/>
    </row>
    <row r="1481" spans="2:11" ht="17" customHeight="1">
      <c r="B1481" s="253">
        <v>45853</v>
      </c>
      <c r="C1481" s="507" t="s">
        <v>117</v>
      </c>
      <c r="D1481" s="498" t="s">
        <v>846</v>
      </c>
      <c r="E1481" s="499"/>
      <c r="F1481" s="500">
        <v>104</v>
      </c>
      <c r="G1481" s="258" t="s">
        <v>201</v>
      </c>
      <c r="H1481" s="259"/>
      <c r="I1481" s="541">
        <f t="shared" si="26"/>
        <v>160786.29142857128</v>
      </c>
      <c r="K1481" s="243"/>
    </row>
    <row r="1482" spans="2:11" ht="17" customHeight="1">
      <c r="B1482" s="253">
        <v>45853</v>
      </c>
      <c r="C1482" s="497" t="s">
        <v>117</v>
      </c>
      <c r="D1482" s="498" t="s">
        <v>868</v>
      </c>
      <c r="E1482" s="499"/>
      <c r="F1482" s="500">
        <v>13</v>
      </c>
      <c r="G1482" s="258" t="s">
        <v>201</v>
      </c>
      <c r="H1482" s="259"/>
      <c r="I1482" s="541">
        <f t="shared" si="26"/>
        <v>160773.29142857128</v>
      </c>
      <c r="K1482" s="243"/>
    </row>
    <row r="1483" spans="2:11" ht="17" customHeight="1">
      <c r="B1483" s="253">
        <v>45853</v>
      </c>
      <c r="C1483" s="263" t="s">
        <v>283</v>
      </c>
      <c r="D1483" s="255" t="s">
        <v>283</v>
      </c>
      <c r="E1483" s="256">
        <f>1326-E1484</f>
        <v>1159.19</v>
      </c>
      <c r="F1483" s="257"/>
      <c r="G1483" s="258" t="s">
        <v>190</v>
      </c>
      <c r="H1483" s="259"/>
      <c r="I1483" s="541">
        <f t="shared" si="26"/>
        <v>161932.48142857128</v>
      </c>
      <c r="K1483" s="243"/>
    </row>
    <row r="1484" spans="2:11" ht="17" customHeight="1">
      <c r="B1484" s="253">
        <v>45853</v>
      </c>
      <c r="C1484" s="263" t="s">
        <v>283</v>
      </c>
      <c r="D1484" s="255" t="s">
        <v>508</v>
      </c>
      <c r="E1484" s="256">
        <v>166.81</v>
      </c>
      <c r="F1484" s="257"/>
      <c r="G1484" s="258" t="s">
        <v>276</v>
      </c>
      <c r="H1484" s="259"/>
      <c r="I1484" s="541">
        <f t="shared" si="26"/>
        <v>162099.29142857128</v>
      </c>
      <c r="K1484" s="243"/>
    </row>
    <row r="1485" spans="2:11" ht="17" customHeight="1">
      <c r="B1485" s="253">
        <v>45854</v>
      </c>
      <c r="C1485" s="497" t="s">
        <v>513</v>
      </c>
      <c r="D1485" s="498" t="s">
        <v>576</v>
      </c>
      <c r="E1485" s="499"/>
      <c r="F1485" s="500">
        <v>90</v>
      </c>
      <c r="G1485" s="258" t="s">
        <v>248</v>
      </c>
      <c r="H1485" s="259"/>
      <c r="I1485" s="541">
        <f t="shared" si="26"/>
        <v>162009.29142857128</v>
      </c>
      <c r="K1485" s="243"/>
    </row>
    <row r="1486" spans="2:11" ht="17" customHeight="1">
      <c r="B1486" s="253">
        <v>45854</v>
      </c>
      <c r="C1486" s="497" t="s">
        <v>513</v>
      </c>
      <c r="D1486" s="498" t="s">
        <v>573</v>
      </c>
      <c r="E1486" s="499"/>
      <c r="F1486" s="500">
        <v>35</v>
      </c>
      <c r="G1486" s="258" t="s">
        <v>249</v>
      </c>
      <c r="H1486" s="259"/>
      <c r="I1486" s="541">
        <f t="shared" si="26"/>
        <v>161974.29142857128</v>
      </c>
      <c r="K1486" s="243"/>
    </row>
    <row r="1487" spans="2:11" ht="17" customHeight="1">
      <c r="B1487" s="253">
        <v>45854</v>
      </c>
      <c r="C1487" s="497" t="s">
        <v>117</v>
      </c>
      <c r="D1487" s="498" t="s">
        <v>869</v>
      </c>
      <c r="E1487" s="499"/>
      <c r="F1487" s="500">
        <v>254.46</v>
      </c>
      <c r="G1487" s="258" t="s">
        <v>194</v>
      </c>
      <c r="H1487" s="259"/>
      <c r="I1487" s="541">
        <f t="shared" si="26"/>
        <v>161719.83142857128</v>
      </c>
      <c r="K1487" s="243"/>
    </row>
    <row r="1488" spans="2:11" ht="17" customHeight="1">
      <c r="B1488" s="253">
        <v>45854</v>
      </c>
      <c r="C1488" s="497" t="s">
        <v>117</v>
      </c>
      <c r="D1488" s="498" t="s">
        <v>846</v>
      </c>
      <c r="E1488" s="499"/>
      <c r="F1488" s="500">
        <v>50</v>
      </c>
      <c r="G1488" s="258" t="s">
        <v>201</v>
      </c>
      <c r="H1488" s="259"/>
      <c r="I1488" s="541">
        <f t="shared" si="26"/>
        <v>161669.83142857128</v>
      </c>
      <c r="K1488" s="243"/>
    </row>
    <row r="1489" spans="2:11" ht="17" customHeight="1">
      <c r="B1489" s="253">
        <v>45854</v>
      </c>
      <c r="C1489" s="497" t="s">
        <v>117</v>
      </c>
      <c r="D1489" s="498" t="s">
        <v>394</v>
      </c>
      <c r="E1489" s="499"/>
      <c r="F1489" s="500">
        <v>458.5</v>
      </c>
      <c r="G1489" s="258" t="s">
        <v>199</v>
      </c>
      <c r="H1489" s="259"/>
      <c r="I1489" s="541">
        <f t="shared" si="26"/>
        <v>161211.33142857128</v>
      </c>
      <c r="K1489" s="243"/>
    </row>
    <row r="1490" spans="2:11" ht="17" customHeight="1">
      <c r="B1490" s="253">
        <v>45854</v>
      </c>
      <c r="C1490" s="263" t="s">
        <v>513</v>
      </c>
      <c r="D1490" s="255" t="s">
        <v>699</v>
      </c>
      <c r="E1490" s="256"/>
      <c r="F1490" s="257">
        <v>40</v>
      </c>
      <c r="G1490" s="258" t="s">
        <v>245</v>
      </c>
      <c r="H1490" s="259"/>
      <c r="I1490" s="541">
        <f t="shared" si="26"/>
        <v>161171.33142857128</v>
      </c>
      <c r="K1490" s="243"/>
    </row>
    <row r="1491" spans="2:11" ht="17" customHeight="1">
      <c r="B1491" s="253">
        <v>45854</v>
      </c>
      <c r="C1491" s="263" t="s">
        <v>513</v>
      </c>
      <c r="D1491" s="255" t="s">
        <v>699</v>
      </c>
      <c r="E1491" s="256"/>
      <c r="F1491" s="257">
        <v>15</v>
      </c>
      <c r="G1491" s="258" t="s">
        <v>250</v>
      </c>
      <c r="H1491" s="259"/>
      <c r="I1491" s="541">
        <f t="shared" ref="I1491:I1554" si="27">I1490+E1491-F1491</f>
        <v>161156.33142857128</v>
      </c>
      <c r="K1491" s="243"/>
    </row>
    <row r="1492" spans="2:11" ht="17" customHeight="1">
      <c r="B1492" s="253">
        <v>45854</v>
      </c>
      <c r="C1492" s="507" t="s">
        <v>117</v>
      </c>
      <c r="D1492" s="505" t="s">
        <v>870</v>
      </c>
      <c r="E1492" s="499"/>
      <c r="F1492" s="500">
        <v>730</v>
      </c>
      <c r="G1492" s="258" t="s">
        <v>196</v>
      </c>
      <c r="H1492" s="259"/>
      <c r="I1492" s="541">
        <f t="shared" si="27"/>
        <v>160426.33142857128</v>
      </c>
      <c r="K1492" s="243"/>
    </row>
    <row r="1493" spans="2:11" ht="17" customHeight="1">
      <c r="B1493" s="253">
        <v>45854</v>
      </c>
      <c r="C1493" s="497" t="s">
        <v>117</v>
      </c>
      <c r="D1493" s="498" t="s">
        <v>650</v>
      </c>
      <c r="E1493" s="499"/>
      <c r="F1493" s="500">
        <v>725</v>
      </c>
      <c r="G1493" s="258" t="s">
        <v>194</v>
      </c>
      <c r="H1493" s="259"/>
      <c r="I1493" s="541">
        <f t="shared" si="27"/>
        <v>159701.33142857128</v>
      </c>
      <c r="K1493" s="243"/>
    </row>
    <row r="1494" spans="2:11" ht="17" customHeight="1">
      <c r="B1494" s="253">
        <v>45854</v>
      </c>
      <c r="C1494" s="263" t="s">
        <v>283</v>
      </c>
      <c r="D1494" s="255" t="s">
        <v>283</v>
      </c>
      <c r="E1494" s="256">
        <f>1102-E1495</f>
        <v>970.66</v>
      </c>
      <c r="F1494" s="257"/>
      <c r="G1494" s="258" t="s">
        <v>190</v>
      </c>
      <c r="H1494" s="259"/>
      <c r="I1494" s="541">
        <f t="shared" si="27"/>
        <v>160671.99142857129</v>
      </c>
      <c r="K1494" s="243"/>
    </row>
    <row r="1495" spans="2:11" ht="17" customHeight="1">
      <c r="B1495" s="253">
        <v>45854</v>
      </c>
      <c r="C1495" s="263" t="s">
        <v>283</v>
      </c>
      <c r="D1495" s="255" t="s">
        <v>508</v>
      </c>
      <c r="E1495" s="256">
        <v>131.34</v>
      </c>
      <c r="F1495" s="257"/>
      <c r="G1495" s="258" t="s">
        <v>276</v>
      </c>
      <c r="H1495" s="259"/>
      <c r="I1495" s="541">
        <f t="shared" si="27"/>
        <v>160803.33142857128</v>
      </c>
      <c r="K1495" s="243"/>
    </row>
    <row r="1496" spans="2:11" ht="17" customHeight="1">
      <c r="B1496" s="253">
        <v>45855</v>
      </c>
      <c r="C1496" s="497" t="s">
        <v>117</v>
      </c>
      <c r="D1496" s="498" t="s">
        <v>871</v>
      </c>
      <c r="E1496" s="499"/>
      <c r="F1496" s="500">
        <v>200</v>
      </c>
      <c r="G1496" s="258" t="s">
        <v>230</v>
      </c>
      <c r="H1496" s="259"/>
      <c r="I1496" s="541">
        <f t="shared" si="27"/>
        <v>160603.33142857128</v>
      </c>
      <c r="K1496" s="243"/>
    </row>
    <row r="1497" spans="2:11" ht="17" customHeight="1">
      <c r="B1497" s="253">
        <v>45855</v>
      </c>
      <c r="C1497" s="497" t="s">
        <v>513</v>
      </c>
      <c r="D1497" s="498" t="s">
        <v>31</v>
      </c>
      <c r="E1497" s="499"/>
      <c r="F1497" s="500">
        <v>120</v>
      </c>
      <c r="G1497" s="258" t="s">
        <v>245</v>
      </c>
      <c r="H1497" s="259"/>
      <c r="I1497" s="541">
        <f t="shared" si="27"/>
        <v>160483.33142857128</v>
      </c>
      <c r="K1497" s="243"/>
    </row>
    <row r="1498" spans="2:11" ht="17" customHeight="1">
      <c r="B1498" s="253">
        <v>45855</v>
      </c>
      <c r="C1498" s="497" t="s">
        <v>117</v>
      </c>
      <c r="D1498" s="498" t="s">
        <v>306</v>
      </c>
      <c r="E1498" s="499"/>
      <c r="F1498" s="500">
        <v>656.45</v>
      </c>
      <c r="G1498" s="258" t="s">
        <v>194</v>
      </c>
      <c r="H1498" s="259"/>
      <c r="I1498" s="541">
        <f t="shared" si="27"/>
        <v>159826.88142857127</v>
      </c>
      <c r="K1498" s="243"/>
    </row>
    <row r="1499" spans="2:11" ht="17" customHeight="1">
      <c r="B1499" s="253">
        <v>45855</v>
      </c>
      <c r="C1499" s="507" t="s">
        <v>117</v>
      </c>
      <c r="D1499" s="505" t="s">
        <v>306</v>
      </c>
      <c r="E1499" s="499"/>
      <c r="F1499" s="500">
        <v>124.4</v>
      </c>
      <c r="G1499" s="258" t="s">
        <v>194</v>
      </c>
      <c r="H1499" s="259"/>
      <c r="I1499" s="541">
        <f t="shared" si="27"/>
        <v>159702.48142857128</v>
      </c>
      <c r="K1499" s="243"/>
    </row>
    <row r="1500" spans="2:11" ht="17" customHeight="1">
      <c r="B1500" s="253">
        <v>45855</v>
      </c>
      <c r="C1500" s="507" t="s">
        <v>117</v>
      </c>
      <c r="D1500" s="505" t="s">
        <v>306</v>
      </c>
      <c r="E1500" s="499"/>
      <c r="F1500" s="500">
        <v>83.8</v>
      </c>
      <c r="G1500" s="258" t="s">
        <v>194</v>
      </c>
      <c r="H1500" s="259"/>
      <c r="I1500" s="541">
        <f t="shared" si="27"/>
        <v>159618.68142857129</v>
      </c>
      <c r="K1500" s="243"/>
    </row>
    <row r="1501" spans="2:11" ht="17" customHeight="1">
      <c r="B1501" s="253">
        <v>45855</v>
      </c>
      <c r="C1501" s="535">
        <v>182</v>
      </c>
      <c r="D1501" s="498" t="s">
        <v>872</v>
      </c>
      <c r="E1501" s="499"/>
      <c r="F1501" s="500">
        <f>98.5-8.95</f>
        <v>89.55</v>
      </c>
      <c r="G1501" s="258" t="s">
        <v>216</v>
      </c>
      <c r="H1501" s="259"/>
      <c r="I1501" s="541">
        <f t="shared" si="27"/>
        <v>159529.1314285713</v>
      </c>
      <c r="K1501" s="243"/>
    </row>
    <row r="1502" spans="2:11" ht="17" customHeight="1">
      <c r="B1502" s="253">
        <v>45855</v>
      </c>
      <c r="C1502" s="497">
        <v>182</v>
      </c>
      <c r="D1502" s="498" t="s">
        <v>872</v>
      </c>
      <c r="E1502" s="499"/>
      <c r="F1502" s="500">
        <v>8.9499999999999993</v>
      </c>
      <c r="G1502" s="258" t="s">
        <v>274</v>
      </c>
      <c r="H1502" s="259"/>
      <c r="I1502" s="541">
        <f t="shared" si="27"/>
        <v>159520.18142857129</v>
      </c>
      <c r="K1502" s="243"/>
    </row>
    <row r="1503" spans="2:11" ht="17" customHeight="1">
      <c r="B1503" s="253">
        <v>45855</v>
      </c>
      <c r="C1503" s="497" t="s">
        <v>513</v>
      </c>
      <c r="D1503" s="498" t="s">
        <v>873</v>
      </c>
      <c r="E1503" s="499"/>
      <c r="F1503" s="500">
        <v>330</v>
      </c>
      <c r="G1503" s="258" t="s">
        <v>248</v>
      </c>
      <c r="H1503" s="259"/>
      <c r="I1503" s="541">
        <f t="shared" si="27"/>
        <v>159190.18142857129</v>
      </c>
      <c r="K1503" s="243"/>
    </row>
    <row r="1504" spans="2:11" ht="17" customHeight="1">
      <c r="B1504" s="253">
        <v>45855</v>
      </c>
      <c r="C1504" s="263" t="s">
        <v>283</v>
      </c>
      <c r="D1504" s="255" t="s">
        <v>283</v>
      </c>
      <c r="E1504" s="256">
        <f>1533.5-E1505</f>
        <v>1334.21</v>
      </c>
      <c r="F1504" s="257"/>
      <c r="G1504" s="258" t="s">
        <v>190</v>
      </c>
      <c r="H1504" s="259"/>
      <c r="I1504" s="541">
        <f t="shared" si="27"/>
        <v>160524.39142857128</v>
      </c>
      <c r="K1504" s="243"/>
    </row>
    <row r="1505" spans="2:11" ht="17" customHeight="1">
      <c r="B1505" s="253">
        <v>45855</v>
      </c>
      <c r="C1505" s="263" t="s">
        <v>283</v>
      </c>
      <c r="D1505" s="255" t="s">
        <v>508</v>
      </c>
      <c r="E1505" s="256">
        <v>199.29</v>
      </c>
      <c r="F1505" s="257"/>
      <c r="G1505" s="258" t="s">
        <v>276</v>
      </c>
      <c r="H1505" s="259"/>
      <c r="I1505" s="541">
        <f t="shared" si="27"/>
        <v>160723.68142857129</v>
      </c>
      <c r="K1505" s="243"/>
    </row>
    <row r="1506" spans="2:11" ht="17" customHeight="1">
      <c r="B1506" s="253">
        <v>45856</v>
      </c>
      <c r="C1506" s="497" t="s">
        <v>117</v>
      </c>
      <c r="D1506" s="498" t="s">
        <v>874</v>
      </c>
      <c r="E1506" s="499"/>
      <c r="F1506" s="500">
        <v>250</v>
      </c>
      <c r="G1506" s="258" t="s">
        <v>230</v>
      </c>
      <c r="H1506" s="259"/>
      <c r="I1506" s="541">
        <f t="shared" si="27"/>
        <v>160473.68142857129</v>
      </c>
      <c r="K1506" s="243"/>
    </row>
    <row r="1507" spans="2:11" ht="17" customHeight="1">
      <c r="B1507" s="253">
        <v>45856</v>
      </c>
      <c r="C1507" s="497" t="s">
        <v>866</v>
      </c>
      <c r="D1507" s="498" t="s">
        <v>512</v>
      </c>
      <c r="E1507" s="499"/>
      <c r="F1507" s="500">
        <f>28.4-0.95</f>
        <v>27.45</v>
      </c>
      <c r="G1507" s="258" t="s">
        <v>199</v>
      </c>
      <c r="H1507" s="259"/>
      <c r="I1507" s="541">
        <f t="shared" si="27"/>
        <v>160446.23142857128</v>
      </c>
      <c r="K1507" s="243"/>
    </row>
    <row r="1508" spans="2:11" ht="17" customHeight="1">
      <c r="B1508" s="253">
        <v>45856</v>
      </c>
      <c r="C1508" s="535" t="s">
        <v>866</v>
      </c>
      <c r="D1508" s="498" t="s">
        <v>512</v>
      </c>
      <c r="E1508" s="499"/>
      <c r="F1508" s="500">
        <v>0.95</v>
      </c>
      <c r="G1508" s="258" t="s">
        <v>274</v>
      </c>
      <c r="H1508" s="259"/>
      <c r="I1508" s="541">
        <f t="shared" si="27"/>
        <v>160445.28142857127</v>
      </c>
      <c r="K1508" s="243"/>
    </row>
    <row r="1509" spans="2:11" ht="17" customHeight="1">
      <c r="B1509" s="253">
        <v>45856</v>
      </c>
      <c r="C1509" s="497" t="s">
        <v>513</v>
      </c>
      <c r="D1509" s="498" t="s">
        <v>30</v>
      </c>
      <c r="E1509" s="499">
        <v>100</v>
      </c>
      <c r="F1509" s="500"/>
      <c r="G1509" s="258" t="s">
        <v>245</v>
      </c>
      <c r="H1509" s="259"/>
      <c r="I1509" s="541">
        <f t="shared" si="27"/>
        <v>160545.28142857127</v>
      </c>
      <c r="K1509" s="243"/>
    </row>
    <row r="1510" spans="2:11" ht="17" customHeight="1">
      <c r="B1510" s="253">
        <v>45856</v>
      </c>
      <c r="C1510" s="497" t="s">
        <v>117</v>
      </c>
      <c r="D1510" s="498" t="s">
        <v>829</v>
      </c>
      <c r="E1510" s="499">
        <f>150+76+174+47.25</f>
        <v>447.25</v>
      </c>
      <c r="F1510" s="500"/>
      <c r="G1510" s="258" t="s">
        <v>194</v>
      </c>
      <c r="H1510" s="259"/>
      <c r="I1510" s="541">
        <f t="shared" si="27"/>
        <v>160992.53142857127</v>
      </c>
      <c r="K1510" s="243"/>
    </row>
    <row r="1511" spans="2:11" ht="17" customHeight="1">
      <c r="B1511" s="253">
        <v>45856</v>
      </c>
      <c r="C1511" s="497" t="s">
        <v>117</v>
      </c>
      <c r="D1511" s="498" t="s">
        <v>875</v>
      </c>
      <c r="E1511" s="499"/>
      <c r="F1511" s="500">
        <v>151</v>
      </c>
      <c r="G1511" s="258" t="s">
        <v>194</v>
      </c>
      <c r="H1511" s="259"/>
      <c r="I1511" s="541">
        <f t="shared" si="27"/>
        <v>160841.53142857127</v>
      </c>
      <c r="K1511" s="243"/>
    </row>
    <row r="1512" spans="2:11" ht="17" customHeight="1">
      <c r="B1512" s="253">
        <v>45856</v>
      </c>
      <c r="C1512" s="263" t="s">
        <v>283</v>
      </c>
      <c r="D1512" s="255" t="s">
        <v>283</v>
      </c>
      <c r="E1512" s="256">
        <f>1626.9-E1513</f>
        <v>1285.6600000000001</v>
      </c>
      <c r="F1512" s="257"/>
      <c r="G1512" s="258" t="s">
        <v>190</v>
      </c>
      <c r="H1512" s="259"/>
      <c r="I1512" s="541">
        <f t="shared" si="27"/>
        <v>162127.19142857127</v>
      </c>
      <c r="K1512" s="243"/>
    </row>
    <row r="1513" spans="2:11" ht="17" customHeight="1">
      <c r="B1513" s="253">
        <v>45856</v>
      </c>
      <c r="C1513" s="263" t="s">
        <v>283</v>
      </c>
      <c r="D1513" s="255" t="s">
        <v>508</v>
      </c>
      <c r="E1513" s="256">
        <v>341.24</v>
      </c>
      <c r="F1513" s="257"/>
      <c r="G1513" s="258" t="s">
        <v>276</v>
      </c>
      <c r="H1513" s="259"/>
      <c r="I1513" s="541">
        <f t="shared" si="27"/>
        <v>162468.43142857126</v>
      </c>
      <c r="K1513" s="243"/>
    </row>
    <row r="1514" spans="2:11" ht="17" customHeight="1">
      <c r="B1514" s="253">
        <v>45857</v>
      </c>
      <c r="C1514" s="497" t="s">
        <v>876</v>
      </c>
      <c r="D1514" s="498" t="s">
        <v>545</v>
      </c>
      <c r="E1514" s="499"/>
      <c r="F1514" s="500">
        <v>48.81</v>
      </c>
      <c r="G1514" s="258" t="s">
        <v>207</v>
      </c>
      <c r="H1514" s="259"/>
      <c r="I1514" s="541">
        <f t="shared" si="27"/>
        <v>162419.62142857126</v>
      </c>
      <c r="K1514" s="243"/>
    </row>
    <row r="1515" spans="2:11" ht="17" customHeight="1">
      <c r="B1515" s="253">
        <v>45857</v>
      </c>
      <c r="C1515" s="497" t="s">
        <v>877</v>
      </c>
      <c r="D1515" s="498" t="s">
        <v>545</v>
      </c>
      <c r="E1515" s="499"/>
      <c r="F1515" s="500">
        <v>29.44</v>
      </c>
      <c r="G1515" s="258" t="s">
        <v>1861</v>
      </c>
      <c r="H1515" s="259" t="s">
        <v>878</v>
      </c>
      <c r="I1515" s="541">
        <f t="shared" si="27"/>
        <v>162390.18142857126</v>
      </c>
      <c r="K1515" s="243"/>
    </row>
    <row r="1516" spans="2:11" ht="17" customHeight="1">
      <c r="B1516" s="253">
        <v>45857</v>
      </c>
      <c r="C1516" s="497" t="s">
        <v>879</v>
      </c>
      <c r="D1516" s="498" t="s">
        <v>545</v>
      </c>
      <c r="E1516" s="499"/>
      <c r="F1516" s="500">
        <v>35.619999999999997</v>
      </c>
      <c r="G1516" s="258" t="s">
        <v>1861</v>
      </c>
      <c r="H1516" s="259" t="s">
        <v>878</v>
      </c>
      <c r="I1516" s="541">
        <f t="shared" si="27"/>
        <v>162354.56142857127</v>
      </c>
      <c r="K1516" s="243"/>
    </row>
    <row r="1517" spans="2:11" ht="17" customHeight="1">
      <c r="B1517" s="253">
        <v>45857</v>
      </c>
      <c r="C1517" s="507" t="s">
        <v>880</v>
      </c>
      <c r="D1517" s="505" t="s">
        <v>545</v>
      </c>
      <c r="E1517" s="499"/>
      <c r="F1517" s="500">
        <v>61.36</v>
      </c>
      <c r="G1517" s="258" t="s">
        <v>1861</v>
      </c>
      <c r="H1517" s="259" t="s">
        <v>878</v>
      </c>
      <c r="I1517" s="541">
        <f t="shared" si="27"/>
        <v>162293.20142857128</v>
      </c>
      <c r="K1517" s="243"/>
    </row>
    <row r="1518" spans="2:11" ht="17" customHeight="1">
      <c r="B1518" s="253">
        <v>45857</v>
      </c>
      <c r="C1518" s="497" t="s">
        <v>881</v>
      </c>
      <c r="D1518" s="498" t="s">
        <v>545</v>
      </c>
      <c r="E1518" s="499"/>
      <c r="F1518" s="500">
        <v>26.98</v>
      </c>
      <c r="G1518" s="258" t="s">
        <v>207</v>
      </c>
      <c r="H1518" s="259"/>
      <c r="I1518" s="541">
        <f t="shared" si="27"/>
        <v>162266.22142857127</v>
      </c>
      <c r="K1518" s="243"/>
    </row>
    <row r="1519" spans="2:11" ht="17" customHeight="1">
      <c r="B1519" s="253">
        <v>45857</v>
      </c>
      <c r="C1519" s="497" t="s">
        <v>882</v>
      </c>
      <c r="D1519" s="498" t="s">
        <v>545</v>
      </c>
      <c r="E1519" s="499"/>
      <c r="F1519" s="500">
        <v>35.99</v>
      </c>
      <c r="G1519" s="258"/>
      <c r="H1519" s="262" t="s">
        <v>1824</v>
      </c>
      <c r="I1519" s="541">
        <f t="shared" si="27"/>
        <v>162230.23142857128</v>
      </c>
      <c r="K1519" s="243"/>
    </row>
    <row r="1520" spans="2:11" ht="17" customHeight="1">
      <c r="B1520" s="253">
        <v>45857</v>
      </c>
      <c r="C1520" s="497" t="s">
        <v>883</v>
      </c>
      <c r="D1520" s="498" t="s">
        <v>545</v>
      </c>
      <c r="E1520" s="499"/>
      <c r="F1520" s="500">
        <v>142.09</v>
      </c>
      <c r="G1520" s="258"/>
      <c r="H1520" s="262" t="s">
        <v>1824</v>
      </c>
      <c r="I1520" s="541">
        <f t="shared" si="27"/>
        <v>162088.14142857128</v>
      </c>
      <c r="K1520" s="243"/>
    </row>
    <row r="1521" spans="2:11" ht="17" customHeight="1">
      <c r="B1521" s="253">
        <v>45857</v>
      </c>
      <c r="C1521" s="507" t="s">
        <v>884</v>
      </c>
      <c r="D1521" s="505" t="s">
        <v>545</v>
      </c>
      <c r="E1521" s="499"/>
      <c r="F1521" s="500">
        <v>11.95</v>
      </c>
      <c r="G1521" s="258"/>
      <c r="H1521" s="262" t="s">
        <v>1824</v>
      </c>
      <c r="I1521" s="541">
        <f t="shared" si="27"/>
        <v>162076.19142857127</v>
      </c>
      <c r="K1521" s="243"/>
    </row>
    <row r="1522" spans="2:11" ht="17" customHeight="1">
      <c r="B1522" s="253">
        <v>45857</v>
      </c>
      <c r="C1522" s="497" t="s">
        <v>885</v>
      </c>
      <c r="D1522" s="505" t="s">
        <v>545</v>
      </c>
      <c r="E1522" s="499"/>
      <c r="F1522" s="500">
        <v>37.24</v>
      </c>
      <c r="G1522" s="258" t="s">
        <v>207</v>
      </c>
      <c r="H1522" s="259"/>
      <c r="I1522" s="541">
        <f t="shared" si="27"/>
        <v>162038.95142857128</v>
      </c>
      <c r="K1522" s="243"/>
    </row>
    <row r="1523" spans="2:11" ht="17" customHeight="1">
      <c r="B1523" s="253">
        <v>45857</v>
      </c>
      <c r="C1523" s="497" t="s">
        <v>886</v>
      </c>
      <c r="D1523" s="505" t="s">
        <v>545</v>
      </c>
      <c r="E1523" s="499"/>
      <c r="F1523" s="500">
        <v>29.98</v>
      </c>
      <c r="G1523" s="258" t="s">
        <v>207</v>
      </c>
      <c r="H1523" s="259"/>
      <c r="I1523" s="541">
        <f t="shared" si="27"/>
        <v>162008.97142857127</v>
      </c>
      <c r="K1523" s="243"/>
    </row>
    <row r="1524" spans="2:11" ht="17" customHeight="1">
      <c r="B1524" s="253">
        <v>45857</v>
      </c>
      <c r="C1524" s="497" t="s">
        <v>887</v>
      </c>
      <c r="D1524" s="505" t="s">
        <v>545</v>
      </c>
      <c r="E1524" s="499"/>
      <c r="F1524" s="500">
        <v>26.51</v>
      </c>
      <c r="G1524" s="258" t="s">
        <v>207</v>
      </c>
      <c r="H1524" s="259"/>
      <c r="I1524" s="541">
        <f t="shared" si="27"/>
        <v>161982.46142857126</v>
      </c>
      <c r="K1524" s="243"/>
    </row>
    <row r="1525" spans="2:11" ht="17" customHeight="1">
      <c r="B1525" s="253">
        <v>45857</v>
      </c>
      <c r="C1525" s="497" t="s">
        <v>513</v>
      </c>
      <c r="D1525" s="498" t="s">
        <v>31</v>
      </c>
      <c r="E1525" s="499"/>
      <c r="F1525" s="500">
        <v>110</v>
      </c>
      <c r="G1525" s="258" t="s">
        <v>245</v>
      </c>
      <c r="H1525" s="259"/>
      <c r="I1525" s="541">
        <f t="shared" si="27"/>
        <v>161872.46142857126</v>
      </c>
      <c r="K1525" s="243"/>
    </row>
    <row r="1526" spans="2:11" ht="17" customHeight="1">
      <c r="B1526" s="253">
        <v>45857</v>
      </c>
      <c r="C1526" s="497" t="s">
        <v>513</v>
      </c>
      <c r="D1526" s="498" t="s">
        <v>576</v>
      </c>
      <c r="E1526" s="499"/>
      <c r="F1526" s="500">
        <v>70</v>
      </c>
      <c r="G1526" s="258" t="s">
        <v>248</v>
      </c>
      <c r="H1526" s="259"/>
      <c r="I1526" s="541">
        <f t="shared" si="27"/>
        <v>161802.46142857126</v>
      </c>
      <c r="K1526" s="243"/>
    </row>
    <row r="1527" spans="2:11" ht="17" customHeight="1">
      <c r="B1527" s="253">
        <v>45857</v>
      </c>
      <c r="C1527" s="497">
        <v>1723</v>
      </c>
      <c r="D1527" s="498" t="s">
        <v>577</v>
      </c>
      <c r="E1527" s="499"/>
      <c r="F1527" s="500">
        <f>76.64-13.82</f>
        <v>62.82</v>
      </c>
      <c r="G1527" s="258" t="s">
        <v>205</v>
      </c>
      <c r="H1527" s="259"/>
      <c r="I1527" s="541">
        <f t="shared" si="27"/>
        <v>161739.64142857125</v>
      </c>
      <c r="K1527" s="243"/>
    </row>
    <row r="1528" spans="2:11" ht="17" customHeight="1">
      <c r="B1528" s="253">
        <v>45857</v>
      </c>
      <c r="C1528" s="497">
        <v>1723</v>
      </c>
      <c r="D1528" s="498" t="s">
        <v>577</v>
      </c>
      <c r="E1528" s="499"/>
      <c r="F1528" s="500">
        <v>13.82</v>
      </c>
      <c r="G1528" s="258" t="s">
        <v>274</v>
      </c>
      <c r="H1528" s="259"/>
      <c r="I1528" s="541">
        <f t="shared" si="27"/>
        <v>161725.82142857125</v>
      </c>
      <c r="K1528" s="243"/>
    </row>
    <row r="1529" spans="2:11" ht="17" customHeight="1">
      <c r="B1529" s="253">
        <v>45857</v>
      </c>
      <c r="C1529" s="497" t="s">
        <v>513</v>
      </c>
      <c r="D1529" s="498" t="s">
        <v>563</v>
      </c>
      <c r="E1529" s="499"/>
      <c r="F1529" s="500">
        <v>105</v>
      </c>
      <c r="G1529" s="258" t="s">
        <v>249</v>
      </c>
      <c r="H1529" s="259"/>
      <c r="I1529" s="541">
        <f t="shared" si="27"/>
        <v>161620.82142857125</v>
      </c>
      <c r="K1529" s="243"/>
    </row>
    <row r="1530" spans="2:11" ht="17" customHeight="1">
      <c r="B1530" s="253">
        <v>45857</v>
      </c>
      <c r="C1530" s="263" t="s">
        <v>283</v>
      </c>
      <c r="D1530" s="255" t="s">
        <v>283</v>
      </c>
      <c r="E1530" s="256">
        <f>1865.14-E1531</f>
        <v>1560.6100000000001</v>
      </c>
      <c r="F1530" s="257"/>
      <c r="G1530" s="258" t="s">
        <v>190</v>
      </c>
      <c r="H1530" s="259"/>
      <c r="I1530" s="541">
        <f t="shared" si="27"/>
        <v>163181.43142857123</v>
      </c>
      <c r="K1530" s="243"/>
    </row>
    <row r="1531" spans="2:11" ht="17" customHeight="1">
      <c r="B1531" s="253">
        <v>45857</v>
      </c>
      <c r="C1531" s="263" t="s">
        <v>283</v>
      </c>
      <c r="D1531" s="255" t="s">
        <v>508</v>
      </c>
      <c r="E1531" s="256">
        <v>304.52999999999997</v>
      </c>
      <c r="F1531" s="257"/>
      <c r="G1531" s="258" t="s">
        <v>276</v>
      </c>
      <c r="H1531" s="259"/>
      <c r="I1531" s="541">
        <f t="shared" si="27"/>
        <v>163485.96142857123</v>
      </c>
      <c r="K1531" s="243"/>
    </row>
    <row r="1532" spans="2:11" ht="17" customHeight="1">
      <c r="B1532" s="253">
        <v>45858</v>
      </c>
      <c r="C1532" s="497" t="s">
        <v>513</v>
      </c>
      <c r="D1532" s="498" t="s">
        <v>873</v>
      </c>
      <c r="E1532" s="499"/>
      <c r="F1532" s="500">
        <v>100</v>
      </c>
      <c r="G1532" s="258" t="s">
        <v>248</v>
      </c>
      <c r="H1532" s="259"/>
      <c r="I1532" s="541">
        <f t="shared" si="27"/>
        <v>163385.96142857123</v>
      </c>
      <c r="K1532" s="243"/>
    </row>
    <row r="1533" spans="2:11" ht="17" customHeight="1">
      <c r="B1533" s="253">
        <v>45858</v>
      </c>
      <c r="C1533" s="263" t="s">
        <v>283</v>
      </c>
      <c r="D1533" s="255" t="s">
        <v>283</v>
      </c>
      <c r="E1533" s="256">
        <f>1581-E1534</f>
        <v>1422.55</v>
      </c>
      <c r="F1533" s="257"/>
      <c r="G1533" s="258" t="s">
        <v>190</v>
      </c>
      <c r="H1533" s="259"/>
      <c r="I1533" s="541">
        <f t="shared" si="27"/>
        <v>164808.51142857122</v>
      </c>
      <c r="K1533" s="243"/>
    </row>
    <row r="1534" spans="2:11" ht="17" customHeight="1">
      <c r="B1534" s="253">
        <v>45858</v>
      </c>
      <c r="C1534" s="263" t="s">
        <v>283</v>
      </c>
      <c r="D1534" s="255" t="s">
        <v>508</v>
      </c>
      <c r="E1534" s="256">
        <v>158.44999999999999</v>
      </c>
      <c r="F1534" s="257"/>
      <c r="G1534" s="258" t="s">
        <v>276</v>
      </c>
      <c r="H1534" s="259"/>
      <c r="I1534" s="541">
        <f t="shared" si="27"/>
        <v>164966.96142857123</v>
      </c>
      <c r="K1534" s="243"/>
    </row>
    <row r="1535" spans="2:11" ht="17" customHeight="1">
      <c r="B1535" s="253">
        <v>45859</v>
      </c>
      <c r="C1535" s="497" t="s">
        <v>117</v>
      </c>
      <c r="D1535" s="498" t="s">
        <v>650</v>
      </c>
      <c r="E1535" s="499"/>
      <c r="F1535" s="500">
        <v>1279</v>
      </c>
      <c r="G1535" s="258" t="s">
        <v>194</v>
      </c>
      <c r="H1535" s="259"/>
      <c r="I1535" s="541">
        <f t="shared" si="27"/>
        <v>163687.96142857123</v>
      </c>
      <c r="K1535" s="243"/>
    </row>
    <row r="1536" spans="2:11" ht="17" customHeight="1">
      <c r="B1536" s="253">
        <v>45859</v>
      </c>
      <c r="C1536" s="263" t="s">
        <v>283</v>
      </c>
      <c r="D1536" s="255" t="s">
        <v>283</v>
      </c>
      <c r="E1536" s="256">
        <f>675.8-E1537</f>
        <v>593.57999999999993</v>
      </c>
      <c r="F1536" s="257"/>
      <c r="G1536" s="258" t="s">
        <v>190</v>
      </c>
      <c r="H1536" s="259"/>
      <c r="I1536" s="541">
        <f t="shared" si="27"/>
        <v>164281.54142857122</v>
      </c>
      <c r="K1536" s="243"/>
    </row>
    <row r="1537" spans="2:11" ht="17" customHeight="1">
      <c r="B1537" s="253">
        <v>45859</v>
      </c>
      <c r="C1537" s="263" t="s">
        <v>283</v>
      </c>
      <c r="D1537" s="255" t="s">
        <v>508</v>
      </c>
      <c r="E1537" s="256">
        <v>82.22</v>
      </c>
      <c r="F1537" s="257"/>
      <c r="G1537" s="258" t="s">
        <v>276</v>
      </c>
      <c r="H1537" s="259"/>
      <c r="I1537" s="541">
        <f t="shared" si="27"/>
        <v>164363.76142857122</v>
      </c>
      <c r="K1537" s="243"/>
    </row>
    <row r="1538" spans="2:11" ht="17" customHeight="1">
      <c r="B1538" s="253">
        <v>45860</v>
      </c>
      <c r="C1538" s="497" t="s">
        <v>513</v>
      </c>
      <c r="D1538" s="498" t="s">
        <v>563</v>
      </c>
      <c r="E1538" s="499"/>
      <c r="F1538" s="500">
        <v>105</v>
      </c>
      <c r="G1538" s="258" t="s">
        <v>249</v>
      </c>
      <c r="H1538" s="259"/>
      <c r="I1538" s="541">
        <f t="shared" si="27"/>
        <v>164258.76142857122</v>
      </c>
      <c r="K1538" s="243"/>
    </row>
    <row r="1539" spans="2:11" ht="17" customHeight="1">
      <c r="B1539" s="253">
        <v>45860</v>
      </c>
      <c r="C1539" s="497" t="s">
        <v>117</v>
      </c>
      <c r="D1539" s="498" t="s">
        <v>349</v>
      </c>
      <c r="E1539" s="499"/>
      <c r="F1539" s="500">
        <v>420.9</v>
      </c>
      <c r="G1539" s="258" t="s">
        <v>199</v>
      </c>
      <c r="H1539" s="259"/>
      <c r="I1539" s="541">
        <f t="shared" si="27"/>
        <v>163837.86142857122</v>
      </c>
      <c r="K1539" s="243"/>
    </row>
    <row r="1540" spans="2:11" ht="17" customHeight="1">
      <c r="B1540" s="253">
        <v>45860</v>
      </c>
      <c r="C1540" s="497" t="s">
        <v>117</v>
      </c>
      <c r="D1540" s="498" t="s">
        <v>682</v>
      </c>
      <c r="E1540" s="499"/>
      <c r="F1540" s="500">
        <v>610</v>
      </c>
      <c r="G1540" s="258" t="s">
        <v>223</v>
      </c>
      <c r="H1540" s="259"/>
      <c r="I1540" s="541">
        <f t="shared" si="27"/>
        <v>163227.86142857122</v>
      </c>
      <c r="K1540" s="243"/>
    </row>
    <row r="1541" spans="2:11" ht="17" customHeight="1">
      <c r="B1541" s="253">
        <v>45860</v>
      </c>
      <c r="C1541" s="497" t="s">
        <v>117</v>
      </c>
      <c r="D1541" s="498" t="s">
        <v>650</v>
      </c>
      <c r="E1541" s="499"/>
      <c r="F1541" s="500">
        <v>34.35</v>
      </c>
      <c r="G1541" s="258" t="s">
        <v>194</v>
      </c>
      <c r="H1541" s="259"/>
      <c r="I1541" s="541">
        <f t="shared" si="27"/>
        <v>163193.51142857122</v>
      </c>
      <c r="K1541" s="243"/>
    </row>
    <row r="1542" spans="2:11" ht="17" customHeight="1">
      <c r="B1542" s="253">
        <v>45860</v>
      </c>
      <c r="C1542" s="497" t="s">
        <v>513</v>
      </c>
      <c r="D1542" s="498" t="s">
        <v>1825</v>
      </c>
      <c r="E1542" s="499"/>
      <c r="F1542" s="500">
        <v>20</v>
      </c>
      <c r="G1542" s="258" t="s">
        <v>249</v>
      </c>
      <c r="H1542" s="259"/>
      <c r="I1542" s="541">
        <f t="shared" si="27"/>
        <v>163173.51142857122</v>
      </c>
      <c r="K1542" s="243"/>
    </row>
    <row r="1543" spans="2:11" ht="17" customHeight="1">
      <c r="B1543" s="253">
        <v>45860</v>
      </c>
      <c r="C1543" s="497" t="s">
        <v>117</v>
      </c>
      <c r="D1543" s="498" t="s">
        <v>846</v>
      </c>
      <c r="E1543" s="499"/>
      <c r="F1543" s="500">
        <v>145</v>
      </c>
      <c r="G1543" s="258" t="s">
        <v>201</v>
      </c>
      <c r="H1543" s="259"/>
      <c r="I1543" s="541">
        <f t="shared" si="27"/>
        <v>163028.51142857122</v>
      </c>
      <c r="K1543" s="243"/>
    </row>
    <row r="1544" spans="2:11" ht="17" customHeight="1">
      <c r="B1544" s="253">
        <v>45860</v>
      </c>
      <c r="C1544" s="263" t="s">
        <v>283</v>
      </c>
      <c r="D1544" s="255" t="s">
        <v>283</v>
      </c>
      <c r="E1544" s="256">
        <f>717.36-E1545</f>
        <v>635.14</v>
      </c>
      <c r="F1544" s="257"/>
      <c r="G1544" s="258" t="s">
        <v>190</v>
      </c>
      <c r="H1544" s="259"/>
      <c r="I1544" s="541">
        <f t="shared" si="27"/>
        <v>163663.65142857123</v>
      </c>
      <c r="K1544" s="243"/>
    </row>
    <row r="1545" spans="2:11" ht="17" customHeight="1">
      <c r="B1545" s="253">
        <v>45860</v>
      </c>
      <c r="C1545" s="263" t="s">
        <v>283</v>
      </c>
      <c r="D1545" s="255" t="s">
        <v>508</v>
      </c>
      <c r="E1545" s="256">
        <v>82.22</v>
      </c>
      <c r="F1545" s="257"/>
      <c r="G1545" s="258" t="s">
        <v>276</v>
      </c>
      <c r="H1545" s="259"/>
      <c r="I1545" s="541">
        <f t="shared" si="27"/>
        <v>163745.87142857123</v>
      </c>
      <c r="K1545" s="243"/>
    </row>
    <row r="1546" spans="2:11" ht="17" customHeight="1">
      <c r="B1546" s="253">
        <v>45860</v>
      </c>
      <c r="C1546" s="263" t="s">
        <v>283</v>
      </c>
      <c r="D1546" s="255" t="s">
        <v>283</v>
      </c>
      <c r="E1546" s="256">
        <v>200</v>
      </c>
      <c r="F1546" s="257"/>
      <c r="G1546" s="258" t="s">
        <v>190</v>
      </c>
      <c r="H1546" s="259" t="s">
        <v>1826</v>
      </c>
      <c r="I1546" s="541">
        <f t="shared" si="27"/>
        <v>163945.87142857123</v>
      </c>
      <c r="K1546" s="243"/>
    </row>
    <row r="1547" spans="2:11" ht="17" customHeight="1">
      <c r="B1547" s="253">
        <v>45861</v>
      </c>
      <c r="C1547" s="507" t="s">
        <v>286</v>
      </c>
      <c r="D1547" s="505" t="s">
        <v>520</v>
      </c>
      <c r="E1547" s="499"/>
      <c r="F1547" s="500">
        <v>35</v>
      </c>
      <c r="G1547" s="258" t="s">
        <v>139</v>
      </c>
      <c r="H1547" s="259"/>
      <c r="I1547" s="541">
        <f t="shared" si="27"/>
        <v>163910.87142857123</v>
      </c>
      <c r="K1547" s="243"/>
    </row>
    <row r="1548" spans="2:11" ht="17" customHeight="1">
      <c r="B1548" s="253">
        <v>45861</v>
      </c>
      <c r="C1548" s="497" t="s">
        <v>117</v>
      </c>
      <c r="D1548" s="505" t="s">
        <v>615</v>
      </c>
      <c r="E1548" s="499"/>
      <c r="F1548" s="500">
        <v>8</v>
      </c>
      <c r="G1548" s="258" t="s">
        <v>194</v>
      </c>
      <c r="H1548" s="259"/>
      <c r="I1548" s="541">
        <f t="shared" si="27"/>
        <v>163902.87142857123</v>
      </c>
      <c r="K1548" s="243"/>
    </row>
    <row r="1549" spans="2:11" ht="17" customHeight="1">
      <c r="B1549" s="253">
        <v>45861</v>
      </c>
      <c r="C1549" s="497" t="s">
        <v>513</v>
      </c>
      <c r="D1549" s="505" t="s">
        <v>31</v>
      </c>
      <c r="E1549" s="499"/>
      <c r="F1549" s="500">
        <v>105</v>
      </c>
      <c r="G1549" s="258" t="s">
        <v>209</v>
      </c>
      <c r="H1549" s="259"/>
      <c r="I1549" s="541">
        <f t="shared" si="27"/>
        <v>163797.87142857123</v>
      </c>
      <c r="K1549" s="243"/>
    </row>
    <row r="1550" spans="2:11" ht="17" customHeight="1">
      <c r="B1550" s="253">
        <v>45861</v>
      </c>
      <c r="C1550" s="497" t="s">
        <v>117</v>
      </c>
      <c r="D1550" s="498" t="s">
        <v>306</v>
      </c>
      <c r="E1550" s="499"/>
      <c r="F1550" s="500">
        <v>109.9</v>
      </c>
      <c r="G1550" s="258" t="s">
        <v>194</v>
      </c>
      <c r="H1550" s="259"/>
      <c r="I1550" s="541">
        <f t="shared" si="27"/>
        <v>163687.97142857124</v>
      </c>
      <c r="K1550" s="243"/>
    </row>
    <row r="1551" spans="2:11" ht="17" customHeight="1">
      <c r="B1551" s="253">
        <v>45861</v>
      </c>
      <c r="C1551" s="507" t="s">
        <v>117</v>
      </c>
      <c r="D1551" s="505" t="s">
        <v>306</v>
      </c>
      <c r="E1551" s="499"/>
      <c r="F1551" s="500">
        <v>2232.5500000000002</v>
      </c>
      <c r="G1551" s="258" t="s">
        <v>194</v>
      </c>
      <c r="H1551" s="259"/>
      <c r="I1551" s="541">
        <f t="shared" si="27"/>
        <v>161455.42142857125</v>
      </c>
      <c r="K1551" s="243"/>
    </row>
    <row r="1552" spans="2:11" ht="17" customHeight="1">
      <c r="B1552" s="253">
        <v>45861</v>
      </c>
      <c r="C1552" s="263" t="s">
        <v>283</v>
      </c>
      <c r="D1552" s="255" t="s">
        <v>283</v>
      </c>
      <c r="E1552" s="256">
        <f>1024-E1553</f>
        <v>885.95</v>
      </c>
      <c r="F1552" s="257"/>
      <c r="G1552" s="258" t="s">
        <v>190</v>
      </c>
      <c r="H1552" s="259"/>
      <c r="I1552" s="541">
        <f t="shared" si="27"/>
        <v>162341.37142857126</v>
      </c>
      <c r="K1552" s="243"/>
    </row>
    <row r="1553" spans="2:11" ht="17" customHeight="1">
      <c r="B1553" s="253">
        <v>45861</v>
      </c>
      <c r="C1553" s="263" t="s">
        <v>283</v>
      </c>
      <c r="D1553" s="255" t="s">
        <v>508</v>
      </c>
      <c r="E1553" s="256">
        <v>138.05000000000001</v>
      </c>
      <c r="F1553" s="257"/>
      <c r="G1553" s="258" t="s">
        <v>276</v>
      </c>
      <c r="H1553" s="259"/>
      <c r="I1553" s="541">
        <f t="shared" si="27"/>
        <v>162479.42142857125</v>
      </c>
      <c r="K1553" s="243"/>
    </row>
    <row r="1554" spans="2:11" ht="17" customHeight="1">
      <c r="B1554" s="253">
        <v>45862</v>
      </c>
      <c r="C1554" s="263" t="s">
        <v>513</v>
      </c>
      <c r="D1554" s="255" t="s">
        <v>873</v>
      </c>
      <c r="E1554" s="256"/>
      <c r="F1554" s="257">
        <v>20</v>
      </c>
      <c r="G1554" s="258" t="s">
        <v>248</v>
      </c>
      <c r="H1554" s="259"/>
      <c r="I1554" s="541">
        <f t="shared" si="27"/>
        <v>162459.42142857125</v>
      </c>
      <c r="K1554" s="243"/>
    </row>
    <row r="1555" spans="2:11" ht="17" customHeight="1">
      <c r="B1555" s="253">
        <v>45862</v>
      </c>
      <c r="C1555" s="263" t="s">
        <v>117</v>
      </c>
      <c r="D1555" s="255" t="s">
        <v>1827</v>
      </c>
      <c r="E1555" s="256"/>
      <c r="F1555" s="257">
        <v>85</v>
      </c>
      <c r="G1555" s="258" t="s">
        <v>207</v>
      </c>
      <c r="H1555" s="259"/>
      <c r="I1555" s="541">
        <f t="shared" ref="I1555:I1618" si="28">I1554+E1555-F1555</f>
        <v>162374.42142857125</v>
      </c>
      <c r="K1555" s="243"/>
    </row>
    <row r="1556" spans="2:11" ht="17" customHeight="1">
      <c r="B1556" s="253">
        <v>45862</v>
      </c>
      <c r="C1556" s="263" t="s">
        <v>283</v>
      </c>
      <c r="D1556" s="255" t="s">
        <v>283</v>
      </c>
      <c r="E1556" s="256">
        <f>1581.8-E1557</f>
        <v>1400.3999999999999</v>
      </c>
      <c r="F1556" s="257"/>
      <c r="G1556" s="258" t="s">
        <v>190</v>
      </c>
      <c r="H1556" s="259"/>
      <c r="I1556" s="541">
        <f t="shared" si="28"/>
        <v>163774.82142857125</v>
      </c>
      <c r="K1556" s="243"/>
    </row>
    <row r="1557" spans="2:11" ht="17" customHeight="1">
      <c r="B1557" s="253">
        <v>45862</v>
      </c>
      <c r="C1557" s="263" t="s">
        <v>283</v>
      </c>
      <c r="D1557" s="255" t="s">
        <v>508</v>
      </c>
      <c r="E1557" s="256">
        <v>181.4</v>
      </c>
      <c r="F1557" s="257"/>
      <c r="G1557" s="258" t="s">
        <v>276</v>
      </c>
      <c r="H1557" s="259"/>
      <c r="I1557" s="541">
        <f t="shared" si="28"/>
        <v>163956.22142857124</v>
      </c>
      <c r="K1557" s="243"/>
    </row>
    <row r="1558" spans="2:11" ht="17" customHeight="1">
      <c r="B1558" s="253">
        <v>45863</v>
      </c>
      <c r="C1558" s="263" t="s">
        <v>1828</v>
      </c>
      <c r="D1558" s="255" t="s">
        <v>512</v>
      </c>
      <c r="E1558" s="256"/>
      <c r="F1558" s="257">
        <f>47.4-1.82</f>
        <v>45.58</v>
      </c>
      <c r="G1558" s="258" t="s">
        <v>199</v>
      </c>
      <c r="H1558" s="259"/>
      <c r="I1558" s="541">
        <f t="shared" si="28"/>
        <v>163910.64142857125</v>
      </c>
      <c r="K1558" s="243"/>
    </row>
    <row r="1559" spans="2:11" ht="17" customHeight="1">
      <c r="B1559" s="253">
        <v>45863</v>
      </c>
      <c r="C1559" s="263" t="s">
        <v>1828</v>
      </c>
      <c r="D1559" s="255" t="s">
        <v>512</v>
      </c>
      <c r="E1559" s="256"/>
      <c r="F1559" s="257">
        <v>1.82</v>
      </c>
      <c r="G1559" s="258" t="s">
        <v>274</v>
      </c>
      <c r="H1559" s="259"/>
      <c r="I1559" s="541">
        <f t="shared" si="28"/>
        <v>163908.82142857125</v>
      </c>
      <c r="K1559" s="243"/>
    </row>
    <row r="1560" spans="2:11" ht="17" customHeight="1">
      <c r="B1560" s="253">
        <v>45863</v>
      </c>
      <c r="C1560" s="263" t="s">
        <v>117</v>
      </c>
      <c r="D1560" s="255" t="s">
        <v>1829</v>
      </c>
      <c r="E1560" s="256"/>
      <c r="F1560" s="257">
        <v>250</v>
      </c>
      <c r="G1560" s="258" t="s">
        <v>230</v>
      </c>
      <c r="H1560" s="259"/>
      <c r="I1560" s="541">
        <f t="shared" si="28"/>
        <v>163658.82142857125</v>
      </c>
      <c r="K1560" s="243"/>
    </row>
    <row r="1561" spans="2:11" ht="17" customHeight="1">
      <c r="B1561" s="253">
        <v>45863</v>
      </c>
      <c r="C1561" s="263" t="s">
        <v>513</v>
      </c>
      <c r="D1561" s="255" t="s">
        <v>1830</v>
      </c>
      <c r="E1561" s="256"/>
      <c r="F1561" s="257">
        <v>410</v>
      </c>
      <c r="G1561" s="258" t="s">
        <v>245</v>
      </c>
      <c r="H1561" s="259"/>
      <c r="I1561" s="541">
        <f t="shared" si="28"/>
        <v>163248.82142857125</v>
      </c>
      <c r="K1561" s="243"/>
    </row>
    <row r="1562" spans="2:11" ht="17" customHeight="1">
      <c r="B1562" s="253">
        <v>45863</v>
      </c>
      <c r="C1562" s="263" t="s">
        <v>117</v>
      </c>
      <c r="D1562" s="255" t="s">
        <v>306</v>
      </c>
      <c r="E1562" s="256">
        <v>495</v>
      </c>
      <c r="F1562" s="257"/>
      <c r="G1562" s="258" t="s">
        <v>194</v>
      </c>
      <c r="H1562" s="259"/>
      <c r="I1562" s="541">
        <f t="shared" si="28"/>
        <v>163743.82142857125</v>
      </c>
      <c r="K1562" s="243"/>
    </row>
    <row r="1563" spans="2:11" ht="17" customHeight="1">
      <c r="B1563" s="253">
        <v>45863</v>
      </c>
      <c r="C1563" s="263" t="s">
        <v>117</v>
      </c>
      <c r="D1563" s="255" t="s">
        <v>829</v>
      </c>
      <c r="E1563" s="256">
        <v>238</v>
      </c>
      <c r="F1563" s="257"/>
      <c r="G1563" s="258" t="s">
        <v>194</v>
      </c>
      <c r="H1563" s="259"/>
      <c r="I1563" s="541">
        <f t="shared" si="28"/>
        <v>163981.82142857125</v>
      </c>
      <c r="K1563" s="243"/>
    </row>
    <row r="1564" spans="2:11" ht="17" customHeight="1">
      <c r="B1564" s="253">
        <v>45863</v>
      </c>
      <c r="C1564" s="263" t="s">
        <v>117</v>
      </c>
      <c r="D1564" s="255" t="s">
        <v>797</v>
      </c>
      <c r="E1564" s="256">
        <v>250</v>
      </c>
      <c r="F1564" s="257"/>
      <c r="G1564" s="258" t="s">
        <v>195</v>
      </c>
      <c r="H1564" s="259"/>
      <c r="I1564" s="541">
        <f t="shared" si="28"/>
        <v>164231.82142857125</v>
      </c>
      <c r="K1564" s="243"/>
    </row>
    <row r="1565" spans="2:11" ht="17" customHeight="1">
      <c r="B1565" s="253">
        <v>45863</v>
      </c>
      <c r="C1565" s="263" t="s">
        <v>283</v>
      </c>
      <c r="D1565" s="255" t="s">
        <v>283</v>
      </c>
      <c r="E1565" s="256">
        <f>1900.8-E1566</f>
        <v>1603.11</v>
      </c>
      <c r="F1565" s="257"/>
      <c r="G1565" s="258" t="s">
        <v>190</v>
      </c>
      <c r="H1565" s="259"/>
      <c r="I1565" s="541">
        <f t="shared" si="28"/>
        <v>165834.93142857123</v>
      </c>
      <c r="K1565" s="243"/>
    </row>
    <row r="1566" spans="2:11" ht="17" customHeight="1">
      <c r="B1566" s="253">
        <v>45863</v>
      </c>
      <c r="C1566" s="263" t="s">
        <v>283</v>
      </c>
      <c r="D1566" s="255" t="s">
        <v>508</v>
      </c>
      <c r="E1566" s="256">
        <v>297.69</v>
      </c>
      <c r="F1566" s="257"/>
      <c r="G1566" s="258" t="s">
        <v>276</v>
      </c>
      <c r="H1566" s="259"/>
      <c r="I1566" s="541">
        <f t="shared" si="28"/>
        <v>166132.62142857123</v>
      </c>
      <c r="K1566" s="243"/>
    </row>
    <row r="1567" spans="2:11" ht="17" customHeight="1">
      <c r="B1567" s="253">
        <v>45864</v>
      </c>
      <c r="C1567" s="263" t="s">
        <v>117</v>
      </c>
      <c r="D1567" s="255" t="s">
        <v>543</v>
      </c>
      <c r="E1567" s="256"/>
      <c r="F1567" s="257">
        <v>80</v>
      </c>
      <c r="G1567" s="258" t="s">
        <v>234</v>
      </c>
      <c r="H1567" s="259"/>
      <c r="I1567" s="541">
        <f t="shared" si="28"/>
        <v>166052.62142857123</v>
      </c>
      <c r="K1567" s="243"/>
    </row>
    <row r="1568" spans="2:11" ht="17" customHeight="1">
      <c r="B1568" s="253">
        <v>45864</v>
      </c>
      <c r="C1568" s="263" t="s">
        <v>513</v>
      </c>
      <c r="D1568" s="255" t="s">
        <v>1832</v>
      </c>
      <c r="E1568" s="256"/>
      <c r="F1568" s="257">
        <v>60</v>
      </c>
      <c r="G1568" s="258" t="s">
        <v>245</v>
      </c>
      <c r="H1568" s="259"/>
      <c r="I1568" s="541">
        <f t="shared" si="28"/>
        <v>165992.62142857123</v>
      </c>
      <c r="K1568" s="243"/>
    </row>
    <row r="1569" spans="2:11" ht="17" customHeight="1">
      <c r="B1569" s="253">
        <v>45864</v>
      </c>
      <c r="C1569" s="263" t="s">
        <v>513</v>
      </c>
      <c r="D1569" s="255" t="s">
        <v>688</v>
      </c>
      <c r="E1569" s="256"/>
      <c r="F1569" s="257">
        <v>50</v>
      </c>
      <c r="G1569" s="258" t="s">
        <v>248</v>
      </c>
      <c r="H1569" s="259"/>
      <c r="I1569" s="541">
        <f t="shared" si="28"/>
        <v>165942.62142857123</v>
      </c>
      <c r="K1569" s="243"/>
    </row>
    <row r="1570" spans="2:11" ht="17" customHeight="1">
      <c r="B1570" s="253">
        <v>45864</v>
      </c>
      <c r="C1570" s="263" t="s">
        <v>513</v>
      </c>
      <c r="D1570" s="255" t="s">
        <v>873</v>
      </c>
      <c r="E1570" s="256"/>
      <c r="F1570" s="257">
        <v>65</v>
      </c>
      <c r="G1570" s="258" t="s">
        <v>248</v>
      </c>
      <c r="H1570" s="259"/>
      <c r="I1570" s="541">
        <f t="shared" si="28"/>
        <v>165877.62142857123</v>
      </c>
      <c r="K1570" s="243"/>
    </row>
    <row r="1571" spans="2:11" ht="17" customHeight="1">
      <c r="B1571" s="253">
        <v>45864</v>
      </c>
      <c r="C1571" s="263" t="s">
        <v>513</v>
      </c>
      <c r="D1571" s="255" t="s">
        <v>1830</v>
      </c>
      <c r="E1571" s="256"/>
      <c r="F1571" s="257">
        <v>75</v>
      </c>
      <c r="G1571" s="258" t="s">
        <v>245</v>
      </c>
      <c r="H1571" s="259"/>
      <c r="I1571" s="541">
        <f t="shared" si="28"/>
        <v>165802.62142857123</v>
      </c>
      <c r="K1571" s="243"/>
    </row>
    <row r="1572" spans="2:11" ht="17" customHeight="1">
      <c r="B1572" s="253">
        <v>45864</v>
      </c>
      <c r="C1572" s="263" t="s">
        <v>283</v>
      </c>
      <c r="D1572" s="255" t="s">
        <v>283</v>
      </c>
      <c r="E1572" s="256">
        <f>1892.4+400-E1573</f>
        <v>1975.7800000000002</v>
      </c>
      <c r="F1572" s="257"/>
      <c r="G1572" s="258" t="s">
        <v>190</v>
      </c>
      <c r="H1572" s="259"/>
      <c r="I1572" s="541">
        <f t="shared" si="28"/>
        <v>167778.40142857123</v>
      </c>
      <c r="K1572" s="243"/>
    </row>
    <row r="1573" spans="2:11" ht="17" customHeight="1">
      <c r="B1573" s="253">
        <v>45864</v>
      </c>
      <c r="C1573" s="263" t="s">
        <v>283</v>
      </c>
      <c r="D1573" s="255" t="s">
        <v>508</v>
      </c>
      <c r="E1573" s="256">
        <v>316.62</v>
      </c>
      <c r="F1573" s="257"/>
      <c r="G1573" s="258" t="s">
        <v>276</v>
      </c>
      <c r="H1573" s="259"/>
      <c r="I1573" s="541">
        <f t="shared" si="28"/>
        <v>168095.02142857123</v>
      </c>
      <c r="K1573" s="243"/>
    </row>
    <row r="1574" spans="2:11" ht="17" customHeight="1">
      <c r="B1574" s="253">
        <v>45865</v>
      </c>
      <c r="C1574" s="263" t="s">
        <v>117</v>
      </c>
      <c r="D1574" s="255" t="s">
        <v>823</v>
      </c>
      <c r="E1574" s="256"/>
      <c r="F1574" s="257">
        <f>28824.11-114-4120</f>
        <v>24590.11</v>
      </c>
      <c r="G1574" s="258"/>
      <c r="H1574" s="259"/>
      <c r="I1574" s="541">
        <f t="shared" si="28"/>
        <v>143504.91142857121</v>
      </c>
      <c r="K1574" s="243"/>
    </row>
    <row r="1575" spans="2:11" ht="17" customHeight="1">
      <c r="B1575" s="253">
        <v>45865</v>
      </c>
      <c r="C1575" s="263" t="s">
        <v>513</v>
      </c>
      <c r="D1575" s="255" t="s">
        <v>873</v>
      </c>
      <c r="E1575" s="256"/>
      <c r="F1575" s="257">
        <v>60</v>
      </c>
      <c r="G1575" s="258" t="s">
        <v>248</v>
      </c>
      <c r="H1575" s="259"/>
      <c r="I1575" s="541">
        <f t="shared" si="28"/>
        <v>143444.91142857121</v>
      </c>
      <c r="K1575" s="243"/>
    </row>
    <row r="1576" spans="2:11" ht="17" customHeight="1">
      <c r="B1576" s="253">
        <v>45865</v>
      </c>
      <c r="C1576" s="263" t="s">
        <v>513</v>
      </c>
      <c r="D1576" s="255" t="s">
        <v>688</v>
      </c>
      <c r="E1576" s="256"/>
      <c r="F1576" s="257">
        <v>70</v>
      </c>
      <c r="G1576" s="258" t="s">
        <v>248</v>
      </c>
      <c r="H1576" s="259"/>
      <c r="I1576" s="541">
        <f t="shared" si="28"/>
        <v>143374.91142857121</v>
      </c>
      <c r="K1576" s="243"/>
    </row>
    <row r="1577" spans="2:11" ht="17" customHeight="1">
      <c r="B1577" s="253">
        <v>45865</v>
      </c>
      <c r="C1577" s="263" t="s">
        <v>117</v>
      </c>
      <c r="D1577" s="255" t="s">
        <v>1834</v>
      </c>
      <c r="E1577" s="256"/>
      <c r="F1577" s="257">
        <v>45</v>
      </c>
      <c r="G1577" s="258" t="s">
        <v>252</v>
      </c>
      <c r="H1577" s="259"/>
      <c r="I1577" s="541">
        <f t="shared" si="28"/>
        <v>143329.91142857121</v>
      </c>
      <c r="K1577" s="243"/>
    </row>
    <row r="1578" spans="2:11" ht="17" customHeight="1">
      <c r="B1578" s="253">
        <v>45865</v>
      </c>
      <c r="C1578" s="263" t="s">
        <v>283</v>
      </c>
      <c r="D1578" s="255" t="s">
        <v>283</v>
      </c>
      <c r="E1578" s="256">
        <f>1337-E1579</f>
        <v>1176.99</v>
      </c>
      <c r="F1578" s="257"/>
      <c r="G1578" s="258" t="s">
        <v>190</v>
      </c>
      <c r="H1578" s="259"/>
      <c r="I1578" s="541">
        <f t="shared" si="28"/>
        <v>144506.9014285712</v>
      </c>
      <c r="K1578" s="243"/>
    </row>
    <row r="1579" spans="2:11" ht="17" customHeight="1">
      <c r="B1579" s="253">
        <v>45865</v>
      </c>
      <c r="C1579" s="263" t="s">
        <v>283</v>
      </c>
      <c r="D1579" s="255" t="s">
        <v>508</v>
      </c>
      <c r="E1579" s="256">
        <v>160.01</v>
      </c>
      <c r="F1579" s="257"/>
      <c r="G1579" s="258" t="s">
        <v>276</v>
      </c>
      <c r="H1579" s="259"/>
      <c r="I1579" s="541">
        <f t="shared" si="28"/>
        <v>144666.91142857121</v>
      </c>
      <c r="K1579" s="243"/>
    </row>
    <row r="1580" spans="2:11" ht="17" customHeight="1">
      <c r="B1580" s="253">
        <v>45866</v>
      </c>
      <c r="C1580" s="263" t="s">
        <v>117</v>
      </c>
      <c r="D1580" s="255" t="s">
        <v>792</v>
      </c>
      <c r="E1580" s="256"/>
      <c r="F1580" s="257">
        <v>18.5</v>
      </c>
      <c r="G1580" s="258" t="s">
        <v>208</v>
      </c>
      <c r="H1580" s="259"/>
      <c r="I1580" s="541">
        <f t="shared" si="28"/>
        <v>144648.41142857121</v>
      </c>
      <c r="K1580" s="243"/>
    </row>
    <row r="1581" spans="2:11" ht="17" customHeight="1">
      <c r="B1581" s="253">
        <v>45866</v>
      </c>
      <c r="C1581" s="263" t="s">
        <v>513</v>
      </c>
      <c r="D1581" s="255" t="s">
        <v>31</v>
      </c>
      <c r="E1581" s="256"/>
      <c r="F1581" s="257">
        <v>110</v>
      </c>
      <c r="G1581" s="258" t="s">
        <v>245</v>
      </c>
      <c r="H1581" s="259"/>
      <c r="I1581" s="541">
        <f t="shared" si="28"/>
        <v>144538.41142857121</v>
      </c>
      <c r="K1581" s="243"/>
    </row>
    <row r="1582" spans="2:11" ht="17" customHeight="1">
      <c r="B1582" s="253">
        <v>45866</v>
      </c>
      <c r="C1582" s="263" t="s">
        <v>117</v>
      </c>
      <c r="D1582" s="255" t="s">
        <v>306</v>
      </c>
      <c r="E1582" s="256"/>
      <c r="F1582" s="257">
        <v>243.35</v>
      </c>
      <c r="G1582" s="258"/>
      <c r="H1582" s="639" t="s">
        <v>502</v>
      </c>
      <c r="I1582" s="541">
        <f t="shared" si="28"/>
        <v>144295.06142857121</v>
      </c>
      <c r="K1582" s="243"/>
    </row>
    <row r="1583" spans="2:11" ht="17" customHeight="1">
      <c r="B1583" s="253">
        <v>45866</v>
      </c>
      <c r="C1583" s="263" t="s">
        <v>117</v>
      </c>
      <c r="D1583" s="255" t="s">
        <v>306</v>
      </c>
      <c r="E1583" s="256"/>
      <c r="F1583" s="257">
        <v>982.6</v>
      </c>
      <c r="G1583" s="258" t="s">
        <v>194</v>
      </c>
      <c r="H1583" s="259"/>
      <c r="I1583" s="541">
        <f t="shared" si="28"/>
        <v>143312.4614285712</v>
      </c>
      <c r="K1583" s="243"/>
    </row>
    <row r="1584" spans="2:11" ht="17" customHeight="1">
      <c r="B1584" s="253">
        <v>45866</v>
      </c>
      <c r="C1584" s="263" t="s">
        <v>117</v>
      </c>
      <c r="D1584" s="255" t="s">
        <v>306</v>
      </c>
      <c r="E1584" s="256"/>
      <c r="F1584" s="257">
        <v>687.2</v>
      </c>
      <c r="G1584" s="258" t="s">
        <v>194</v>
      </c>
      <c r="H1584" s="259"/>
      <c r="I1584" s="541">
        <f t="shared" si="28"/>
        <v>142625.26142857119</v>
      </c>
      <c r="K1584" s="243"/>
    </row>
    <row r="1585" spans="2:11" ht="17" customHeight="1">
      <c r="B1585" s="253">
        <v>45866</v>
      </c>
      <c r="C1585" s="263" t="s">
        <v>117</v>
      </c>
      <c r="D1585" s="255" t="s">
        <v>306</v>
      </c>
      <c r="E1585" s="256"/>
      <c r="F1585" s="257">
        <v>230</v>
      </c>
      <c r="G1585" s="258" t="s">
        <v>194</v>
      </c>
      <c r="H1585" s="259"/>
      <c r="I1585" s="541">
        <f t="shared" si="28"/>
        <v>142395.26142857119</v>
      </c>
      <c r="K1585" s="243"/>
    </row>
    <row r="1586" spans="2:11" ht="17" customHeight="1">
      <c r="B1586" s="253">
        <v>45866</v>
      </c>
      <c r="C1586" s="263" t="s">
        <v>117</v>
      </c>
      <c r="D1586" s="255" t="s">
        <v>509</v>
      </c>
      <c r="E1586" s="256"/>
      <c r="F1586" s="257">
        <v>2.8</v>
      </c>
      <c r="G1586" s="258" t="s">
        <v>252</v>
      </c>
      <c r="H1586" s="259"/>
      <c r="I1586" s="541">
        <f t="shared" si="28"/>
        <v>142392.4614285712</v>
      </c>
      <c r="K1586" s="243"/>
    </row>
    <row r="1587" spans="2:11" ht="17" customHeight="1">
      <c r="B1587" s="253">
        <v>45866</v>
      </c>
      <c r="C1587" s="263" t="s">
        <v>286</v>
      </c>
      <c r="D1587" s="255" t="s">
        <v>520</v>
      </c>
      <c r="E1587" s="256"/>
      <c r="F1587" s="257">
        <v>150</v>
      </c>
      <c r="G1587" s="258" t="s">
        <v>139</v>
      </c>
      <c r="H1587" s="259"/>
      <c r="I1587" s="541">
        <f t="shared" si="28"/>
        <v>142242.4614285712</v>
      </c>
      <c r="K1587" s="243"/>
    </row>
    <row r="1588" spans="2:11" ht="17" customHeight="1">
      <c r="B1588" s="253">
        <v>45866</v>
      </c>
      <c r="C1588" s="263" t="s">
        <v>283</v>
      </c>
      <c r="D1588" s="255" t="s">
        <v>283</v>
      </c>
      <c r="E1588" s="256">
        <f>566.4-E1589</f>
        <v>522.27</v>
      </c>
      <c r="F1588" s="257"/>
      <c r="G1588" s="258" t="s">
        <v>190</v>
      </c>
      <c r="H1588" s="259"/>
      <c r="I1588" s="541">
        <f t="shared" si="28"/>
        <v>142764.73142857119</v>
      </c>
      <c r="K1588" s="243"/>
    </row>
    <row r="1589" spans="2:11" ht="17" customHeight="1">
      <c r="B1589" s="253">
        <v>45866</v>
      </c>
      <c r="C1589" s="263" t="s">
        <v>283</v>
      </c>
      <c r="D1589" s="255" t="s">
        <v>508</v>
      </c>
      <c r="E1589" s="256">
        <v>44.13</v>
      </c>
      <c r="F1589" s="257"/>
      <c r="G1589" s="258" t="s">
        <v>276</v>
      </c>
      <c r="H1589" s="259"/>
      <c r="I1589" s="541">
        <f t="shared" si="28"/>
        <v>142808.8614285712</v>
      </c>
      <c r="K1589" s="243"/>
    </row>
    <row r="1590" spans="2:11" ht="17" customHeight="1">
      <c r="B1590" s="253">
        <v>45867</v>
      </c>
      <c r="C1590" s="263" t="s">
        <v>117</v>
      </c>
      <c r="D1590" s="255" t="s">
        <v>846</v>
      </c>
      <c r="E1590" s="256"/>
      <c r="F1590" s="257">
        <v>10</v>
      </c>
      <c r="G1590" s="258" t="s">
        <v>201</v>
      </c>
      <c r="H1590" s="259"/>
      <c r="I1590" s="541">
        <f t="shared" si="28"/>
        <v>142798.8614285712</v>
      </c>
      <c r="K1590" s="243"/>
    </row>
    <row r="1591" spans="2:11" ht="17" customHeight="1">
      <c r="B1591" s="253">
        <v>45867</v>
      </c>
      <c r="C1591" s="263" t="s">
        <v>513</v>
      </c>
      <c r="D1591" s="255" t="s">
        <v>563</v>
      </c>
      <c r="E1591" s="256"/>
      <c r="F1591" s="257">
        <v>120</v>
      </c>
      <c r="G1591" s="258" t="s">
        <v>249</v>
      </c>
      <c r="H1591" s="259"/>
      <c r="I1591" s="541">
        <f t="shared" si="28"/>
        <v>142678.8614285712</v>
      </c>
      <c r="K1591" s="243"/>
    </row>
    <row r="1592" spans="2:11" ht="17" customHeight="1">
      <c r="B1592" s="253">
        <v>45867</v>
      </c>
      <c r="C1592" s="263" t="s">
        <v>283</v>
      </c>
      <c r="D1592" s="255" t="s">
        <v>283</v>
      </c>
      <c r="E1592" s="256">
        <f>665-E1593</f>
        <v>563.15</v>
      </c>
      <c r="F1592" s="257"/>
      <c r="G1592" s="258" t="s">
        <v>190</v>
      </c>
      <c r="H1592" s="259"/>
      <c r="I1592" s="541">
        <f t="shared" si="28"/>
        <v>143242.01142857119</v>
      </c>
      <c r="K1592" s="243"/>
    </row>
    <row r="1593" spans="2:11" ht="17" customHeight="1">
      <c r="B1593" s="253">
        <v>45867</v>
      </c>
      <c r="C1593" s="263" t="s">
        <v>283</v>
      </c>
      <c r="D1593" s="255" t="s">
        <v>508</v>
      </c>
      <c r="E1593" s="256">
        <v>101.85</v>
      </c>
      <c r="F1593" s="257"/>
      <c r="G1593" s="258" t="s">
        <v>276</v>
      </c>
      <c r="H1593" s="259"/>
      <c r="I1593" s="541">
        <f t="shared" si="28"/>
        <v>143343.8614285712</v>
      </c>
      <c r="K1593" s="243"/>
    </row>
    <row r="1594" spans="2:11" ht="17" customHeight="1">
      <c r="B1594" s="674">
        <v>45868</v>
      </c>
      <c r="C1594" s="263" t="s">
        <v>513</v>
      </c>
      <c r="D1594" s="255" t="s">
        <v>688</v>
      </c>
      <c r="E1594" s="256"/>
      <c r="F1594" s="257">
        <v>72</v>
      </c>
      <c r="G1594" s="258" t="s">
        <v>248</v>
      </c>
      <c r="H1594" s="259"/>
      <c r="I1594" s="541">
        <f t="shared" si="28"/>
        <v>143271.8614285712</v>
      </c>
      <c r="K1594" s="243"/>
    </row>
    <row r="1595" spans="2:11" ht="17" customHeight="1">
      <c r="B1595" s="253">
        <v>45868</v>
      </c>
      <c r="C1595" s="263" t="s">
        <v>1881</v>
      </c>
      <c r="D1595" s="255" t="s">
        <v>1882</v>
      </c>
      <c r="E1595" s="256"/>
      <c r="F1595" s="257">
        <v>540</v>
      </c>
      <c r="G1595" s="258" t="s">
        <v>245</v>
      </c>
      <c r="H1595" s="259"/>
      <c r="I1595" s="541">
        <f t="shared" si="28"/>
        <v>142731.8614285712</v>
      </c>
      <c r="K1595" s="243"/>
    </row>
    <row r="1596" spans="2:11" ht="17" customHeight="1">
      <c r="B1596" s="253">
        <v>45868</v>
      </c>
      <c r="C1596" s="675" t="s">
        <v>117</v>
      </c>
      <c r="D1596" s="676" t="s">
        <v>798</v>
      </c>
      <c r="E1596" s="677">
        <v>100</v>
      </c>
      <c r="F1596" s="678"/>
      <c r="G1596" s="679" t="s">
        <v>195</v>
      </c>
      <c r="H1596" s="259"/>
      <c r="I1596" s="541">
        <f t="shared" si="28"/>
        <v>142831.8614285712</v>
      </c>
      <c r="K1596" s="243"/>
    </row>
    <row r="1597" spans="2:11" ht="17" customHeight="1">
      <c r="B1597" s="253">
        <v>45868</v>
      </c>
      <c r="C1597" s="263" t="s">
        <v>117</v>
      </c>
      <c r="D1597" s="255" t="s">
        <v>747</v>
      </c>
      <c r="E1597" s="256">
        <v>100</v>
      </c>
      <c r="F1597" s="257"/>
      <c r="G1597" s="258" t="s">
        <v>195</v>
      </c>
      <c r="H1597" s="259"/>
      <c r="I1597" s="541">
        <f t="shared" si="28"/>
        <v>142931.8614285712</v>
      </c>
      <c r="K1597" s="243"/>
    </row>
    <row r="1598" spans="2:11" ht="17" customHeight="1">
      <c r="B1598" s="253">
        <v>45868</v>
      </c>
      <c r="C1598" s="263" t="s">
        <v>117</v>
      </c>
      <c r="D1598" s="255" t="s">
        <v>797</v>
      </c>
      <c r="E1598" s="256">
        <v>50</v>
      </c>
      <c r="F1598" s="257"/>
      <c r="G1598" s="258" t="s">
        <v>195</v>
      </c>
      <c r="H1598" s="259"/>
      <c r="I1598" s="541">
        <f t="shared" si="28"/>
        <v>142981.8614285712</v>
      </c>
      <c r="K1598" s="243"/>
    </row>
    <row r="1599" spans="2:11" ht="17" customHeight="1">
      <c r="B1599" s="253">
        <v>45868</v>
      </c>
      <c r="C1599" s="263" t="s">
        <v>513</v>
      </c>
      <c r="D1599" s="255" t="s">
        <v>30</v>
      </c>
      <c r="E1599" s="256">
        <v>100</v>
      </c>
      <c r="F1599" s="257"/>
      <c r="G1599" s="258" t="s">
        <v>245</v>
      </c>
      <c r="H1599" s="259"/>
      <c r="I1599" s="541">
        <f t="shared" si="28"/>
        <v>143081.8614285712</v>
      </c>
      <c r="K1599" s="243"/>
    </row>
    <row r="1600" spans="2:11" ht="17" customHeight="1">
      <c r="B1600" s="253">
        <v>45868</v>
      </c>
      <c r="C1600" s="263" t="s">
        <v>117</v>
      </c>
      <c r="D1600" s="255" t="s">
        <v>829</v>
      </c>
      <c r="E1600" s="256">
        <v>1338</v>
      </c>
      <c r="F1600" s="257"/>
      <c r="G1600" s="258" t="s">
        <v>194</v>
      </c>
      <c r="H1600" s="259"/>
      <c r="I1600" s="541">
        <f t="shared" si="28"/>
        <v>144419.8614285712</v>
      </c>
      <c r="K1600" s="243"/>
    </row>
    <row r="1601" spans="2:11" ht="17" customHeight="1">
      <c r="B1601" s="253">
        <v>45868</v>
      </c>
      <c r="C1601" s="263" t="s">
        <v>117</v>
      </c>
      <c r="D1601" s="255" t="s">
        <v>1883</v>
      </c>
      <c r="E1601" s="256">
        <v>480</v>
      </c>
      <c r="F1601" s="257"/>
      <c r="G1601" s="258" t="s">
        <v>194</v>
      </c>
      <c r="H1601" s="259"/>
      <c r="I1601" s="541">
        <f t="shared" si="28"/>
        <v>144899.8614285712</v>
      </c>
      <c r="K1601" s="243"/>
    </row>
    <row r="1602" spans="2:11" ht="17" customHeight="1">
      <c r="B1602" s="253">
        <v>45868</v>
      </c>
      <c r="C1602" s="263" t="s">
        <v>117</v>
      </c>
      <c r="D1602" s="255" t="s">
        <v>846</v>
      </c>
      <c r="E1602" s="256"/>
      <c r="F1602" s="257">
        <v>150</v>
      </c>
      <c r="G1602" s="258" t="s">
        <v>201</v>
      </c>
      <c r="H1602" s="259"/>
      <c r="I1602" s="541">
        <f t="shared" si="28"/>
        <v>144749.8614285712</v>
      </c>
      <c r="K1602" s="243"/>
    </row>
    <row r="1603" spans="2:11" ht="17" customHeight="1">
      <c r="B1603" s="253">
        <v>45868</v>
      </c>
      <c r="C1603" s="263" t="s">
        <v>283</v>
      </c>
      <c r="D1603" s="255" t="s">
        <v>283</v>
      </c>
      <c r="E1603" s="256">
        <f>1312-E1604</f>
        <v>1133.06</v>
      </c>
      <c r="F1603" s="257"/>
      <c r="G1603" s="258" t="s">
        <v>190</v>
      </c>
      <c r="H1603" s="259"/>
      <c r="I1603" s="541">
        <f t="shared" si="28"/>
        <v>145882.92142857119</v>
      </c>
      <c r="K1603" s="243"/>
    </row>
    <row r="1604" spans="2:11" ht="17" customHeight="1">
      <c r="B1604" s="253">
        <v>45868</v>
      </c>
      <c r="C1604" s="263" t="s">
        <v>283</v>
      </c>
      <c r="D1604" s="255" t="s">
        <v>508</v>
      </c>
      <c r="E1604" s="256">
        <v>178.94</v>
      </c>
      <c r="F1604" s="257"/>
      <c r="G1604" s="258" t="s">
        <v>276</v>
      </c>
      <c r="H1604" s="259"/>
      <c r="I1604" s="541">
        <f t="shared" si="28"/>
        <v>146061.8614285712</v>
      </c>
      <c r="K1604" s="243"/>
    </row>
    <row r="1605" spans="2:11" ht="17" customHeight="1">
      <c r="B1605" s="253">
        <v>45869</v>
      </c>
      <c r="C1605" s="263" t="s">
        <v>513</v>
      </c>
      <c r="D1605" s="255" t="s">
        <v>576</v>
      </c>
      <c r="E1605" s="256"/>
      <c r="F1605" s="257">
        <v>75</v>
      </c>
      <c r="G1605" s="258" t="s">
        <v>248</v>
      </c>
      <c r="H1605" s="259"/>
      <c r="I1605" s="541">
        <f t="shared" si="28"/>
        <v>145986.8614285712</v>
      </c>
      <c r="K1605" s="243"/>
    </row>
    <row r="1606" spans="2:11" ht="17" customHeight="1">
      <c r="B1606" s="253">
        <v>45869</v>
      </c>
      <c r="C1606" s="263" t="s">
        <v>513</v>
      </c>
      <c r="D1606" s="255" t="s">
        <v>873</v>
      </c>
      <c r="E1606" s="256"/>
      <c r="F1606" s="257">
        <v>80</v>
      </c>
      <c r="G1606" s="258" t="s">
        <v>248</v>
      </c>
      <c r="H1606" s="259"/>
      <c r="I1606" s="541">
        <f t="shared" si="28"/>
        <v>145906.8614285712</v>
      </c>
      <c r="K1606" s="243"/>
    </row>
    <row r="1607" spans="2:11" ht="17" customHeight="1">
      <c r="B1607" s="253">
        <v>45869</v>
      </c>
      <c r="C1607" s="263" t="s">
        <v>117</v>
      </c>
      <c r="D1607" s="255" t="s">
        <v>869</v>
      </c>
      <c r="E1607" s="256"/>
      <c r="F1607" s="257">
        <v>34.950000000000003</v>
      </c>
      <c r="G1607" s="258" t="s">
        <v>199</v>
      </c>
      <c r="H1607" s="259"/>
      <c r="I1607" s="541">
        <f t="shared" si="28"/>
        <v>145871.91142857118</v>
      </c>
      <c r="K1607" s="243"/>
    </row>
    <row r="1608" spans="2:11" ht="17" customHeight="1">
      <c r="B1608" s="253">
        <v>45869</v>
      </c>
      <c r="C1608" s="263" t="s">
        <v>117</v>
      </c>
      <c r="D1608" s="255" t="s">
        <v>1884</v>
      </c>
      <c r="E1608" s="256"/>
      <c r="F1608" s="257">
        <v>43</v>
      </c>
      <c r="G1608" s="258" t="s">
        <v>199</v>
      </c>
      <c r="H1608" s="259"/>
      <c r="I1608" s="541">
        <f t="shared" si="28"/>
        <v>145828.91142857118</v>
      </c>
      <c r="K1608" s="243"/>
    </row>
    <row r="1609" spans="2:11" ht="17" customHeight="1">
      <c r="B1609" s="253">
        <v>45869</v>
      </c>
      <c r="C1609" s="675" t="s">
        <v>513</v>
      </c>
      <c r="D1609" s="255" t="s">
        <v>573</v>
      </c>
      <c r="E1609" s="256"/>
      <c r="F1609" s="257">
        <v>35</v>
      </c>
      <c r="G1609" s="258" t="s">
        <v>249</v>
      </c>
      <c r="H1609" s="259"/>
      <c r="I1609" s="541">
        <f t="shared" si="28"/>
        <v>145793.91142857118</v>
      </c>
      <c r="K1609" s="243"/>
    </row>
    <row r="1610" spans="2:11" ht="17" customHeight="1">
      <c r="B1610" s="253">
        <v>45869</v>
      </c>
      <c r="C1610" s="675" t="s">
        <v>117</v>
      </c>
      <c r="D1610" s="255" t="s">
        <v>1885</v>
      </c>
      <c r="E1610" s="256"/>
      <c r="F1610" s="257">
        <v>251</v>
      </c>
      <c r="G1610" s="258" t="s">
        <v>194</v>
      </c>
      <c r="H1610" s="259"/>
      <c r="I1610" s="541">
        <f t="shared" si="28"/>
        <v>145542.91142857118</v>
      </c>
      <c r="K1610" s="243"/>
    </row>
    <row r="1611" spans="2:11" ht="17" customHeight="1">
      <c r="B1611" s="253">
        <v>45869</v>
      </c>
      <c r="C1611" s="497" t="s">
        <v>541</v>
      </c>
      <c r="D1611" s="498" t="s">
        <v>542</v>
      </c>
      <c r="E1611" s="499"/>
      <c r="F1611" s="500">
        <v>10000</v>
      </c>
      <c r="G1611" s="501" t="s">
        <v>277</v>
      </c>
      <c r="H1611" s="259"/>
      <c r="I1611" s="541">
        <f t="shared" si="28"/>
        <v>135542.91142857118</v>
      </c>
      <c r="K1611" s="243"/>
    </row>
    <row r="1612" spans="2:11" ht="17" customHeight="1">
      <c r="B1612" s="253">
        <v>45869</v>
      </c>
      <c r="C1612" s="263" t="s">
        <v>283</v>
      </c>
      <c r="D1612" s="255" t="s">
        <v>283</v>
      </c>
      <c r="E1612" s="256">
        <f>1207.35-E1613</f>
        <v>1044.52</v>
      </c>
      <c r="F1612" s="257"/>
      <c r="G1612" s="258" t="s">
        <v>190</v>
      </c>
      <c r="H1612" s="259"/>
      <c r="I1612" s="541">
        <f t="shared" si="28"/>
        <v>136587.43142857117</v>
      </c>
      <c r="K1612" s="243"/>
    </row>
    <row r="1613" spans="2:11" ht="17" customHeight="1">
      <c r="B1613" s="253">
        <v>45869</v>
      </c>
      <c r="C1613" s="263" t="s">
        <v>283</v>
      </c>
      <c r="D1613" s="255" t="s">
        <v>508</v>
      </c>
      <c r="E1613" s="256">
        <v>162.83000000000001</v>
      </c>
      <c r="F1613" s="257"/>
      <c r="G1613" s="258" t="s">
        <v>276</v>
      </c>
      <c r="H1613" s="259"/>
      <c r="I1613" s="541">
        <f t="shared" si="28"/>
        <v>136750.26142857116</v>
      </c>
      <c r="K1613" s="243"/>
    </row>
    <row r="1614" spans="2:11" ht="17" customHeight="1">
      <c r="B1614" s="253">
        <v>45870</v>
      </c>
      <c r="C1614" s="263" t="s">
        <v>117</v>
      </c>
      <c r="D1614" s="255" t="s">
        <v>1886</v>
      </c>
      <c r="E1614" s="256"/>
      <c r="F1614" s="257">
        <v>30</v>
      </c>
      <c r="G1614" s="258" t="s">
        <v>218</v>
      </c>
      <c r="H1614" s="259"/>
      <c r="I1614" s="541">
        <f t="shared" si="28"/>
        <v>136720.26142857116</v>
      </c>
      <c r="K1614" s="243"/>
    </row>
    <row r="1615" spans="2:11" ht="17" customHeight="1">
      <c r="B1615" s="253">
        <v>45870</v>
      </c>
      <c r="C1615" s="497" t="s">
        <v>1888</v>
      </c>
      <c r="D1615" s="498" t="s">
        <v>1887</v>
      </c>
      <c r="E1615" s="499"/>
      <c r="F1615" s="500">
        <v>47.4</v>
      </c>
      <c r="G1615" s="501" t="s">
        <v>199</v>
      </c>
      <c r="H1615" s="262"/>
      <c r="I1615" s="541">
        <f t="shared" si="28"/>
        <v>136672.86142857117</v>
      </c>
      <c r="K1615" s="243"/>
    </row>
    <row r="1616" spans="2:11" ht="17" customHeight="1">
      <c r="B1616" s="253">
        <v>45870</v>
      </c>
      <c r="C1616" s="263" t="s">
        <v>1888</v>
      </c>
      <c r="D1616" s="498" t="s">
        <v>1887</v>
      </c>
      <c r="E1616" s="256"/>
      <c r="F1616" s="257"/>
      <c r="G1616" s="258" t="s">
        <v>274</v>
      </c>
      <c r="H1616" s="262"/>
      <c r="I1616" s="541">
        <f t="shared" si="28"/>
        <v>136672.86142857117</v>
      </c>
      <c r="K1616" s="243"/>
    </row>
    <row r="1617" spans="2:11" ht="17" customHeight="1">
      <c r="B1617" s="253">
        <v>45870</v>
      </c>
      <c r="C1617" s="263" t="s">
        <v>117</v>
      </c>
      <c r="D1617" s="255" t="s">
        <v>612</v>
      </c>
      <c r="E1617" s="256"/>
      <c r="F1617" s="257">
        <v>200</v>
      </c>
      <c r="G1617" s="258" t="s">
        <v>230</v>
      </c>
      <c r="H1617" s="259"/>
      <c r="I1617" s="541">
        <f t="shared" si="28"/>
        <v>136472.86142857117</v>
      </c>
      <c r="K1617" s="243"/>
    </row>
    <row r="1618" spans="2:11" ht="17" customHeight="1">
      <c r="B1618" s="253">
        <v>45870</v>
      </c>
      <c r="C1618" s="263" t="s">
        <v>513</v>
      </c>
      <c r="D1618" s="255" t="s">
        <v>31</v>
      </c>
      <c r="E1618" s="256"/>
      <c r="F1618" s="257">
        <v>125</v>
      </c>
      <c r="G1618" s="258" t="s">
        <v>245</v>
      </c>
      <c r="H1618" s="259"/>
      <c r="I1618" s="541">
        <f t="shared" si="28"/>
        <v>136347.86142857117</v>
      </c>
      <c r="K1618" s="243"/>
    </row>
    <row r="1619" spans="2:11" ht="17" customHeight="1">
      <c r="B1619" s="253">
        <v>45870</v>
      </c>
      <c r="C1619" s="263" t="s">
        <v>283</v>
      </c>
      <c r="D1619" s="255" t="s">
        <v>283</v>
      </c>
      <c r="E1619" s="256">
        <f>1303.8-E1620</f>
        <v>962.17</v>
      </c>
      <c r="F1619" s="257"/>
      <c r="G1619" s="258" t="s">
        <v>190</v>
      </c>
      <c r="H1619" s="259"/>
      <c r="I1619" s="541">
        <f t="shared" ref="I1619:I1682" si="29">I1618+E1619-F1619</f>
        <v>137310.03142857118</v>
      </c>
      <c r="K1619" s="243"/>
    </row>
    <row r="1620" spans="2:11" ht="17" customHeight="1">
      <c r="B1620" s="253">
        <v>45870</v>
      </c>
      <c r="C1620" s="263" t="s">
        <v>283</v>
      </c>
      <c r="D1620" s="255" t="s">
        <v>508</v>
      </c>
      <c r="E1620" s="256">
        <v>341.63</v>
      </c>
      <c r="F1620" s="257"/>
      <c r="G1620" s="258" t="s">
        <v>276</v>
      </c>
      <c r="H1620" s="259"/>
      <c r="I1620" s="541">
        <f t="shared" si="29"/>
        <v>137651.66142857118</v>
      </c>
      <c r="K1620" s="243"/>
    </row>
    <row r="1621" spans="2:11" ht="17" customHeight="1">
      <c r="B1621" s="674">
        <v>45871</v>
      </c>
      <c r="C1621" s="263" t="s">
        <v>513</v>
      </c>
      <c r="D1621" s="255" t="s">
        <v>873</v>
      </c>
      <c r="E1621" s="256"/>
      <c r="F1621" s="257">
        <v>50</v>
      </c>
      <c r="G1621" s="258" t="s">
        <v>248</v>
      </c>
      <c r="H1621" s="259"/>
      <c r="I1621" s="541">
        <f t="shared" si="29"/>
        <v>137601.66142857118</v>
      </c>
      <c r="K1621" s="243"/>
    </row>
    <row r="1622" spans="2:11" ht="17" customHeight="1">
      <c r="B1622" s="253">
        <v>45871</v>
      </c>
      <c r="C1622" s="263" t="s">
        <v>513</v>
      </c>
      <c r="D1622" s="255" t="s">
        <v>576</v>
      </c>
      <c r="E1622" s="256"/>
      <c r="F1622" s="257">
        <v>90</v>
      </c>
      <c r="G1622" s="258" t="s">
        <v>248</v>
      </c>
      <c r="H1622" s="259"/>
      <c r="I1622" s="541">
        <f t="shared" si="29"/>
        <v>137511.66142857118</v>
      </c>
      <c r="K1622" s="243"/>
    </row>
    <row r="1623" spans="2:11" ht="17" customHeight="1">
      <c r="B1623" s="253">
        <v>45871</v>
      </c>
      <c r="C1623" s="263" t="s">
        <v>513</v>
      </c>
      <c r="D1623" s="255" t="s">
        <v>688</v>
      </c>
      <c r="E1623" s="256"/>
      <c r="F1623" s="257">
        <v>75</v>
      </c>
      <c r="G1623" s="258" t="s">
        <v>248</v>
      </c>
      <c r="H1623" s="259"/>
      <c r="I1623" s="541">
        <f t="shared" si="29"/>
        <v>137436.66142857118</v>
      </c>
      <c r="K1623" s="243"/>
    </row>
    <row r="1624" spans="2:11" ht="17" customHeight="1">
      <c r="B1624" s="253">
        <v>45871</v>
      </c>
      <c r="C1624" s="263" t="s">
        <v>283</v>
      </c>
      <c r="D1624" s="255" t="s">
        <v>283</v>
      </c>
      <c r="E1624" s="256">
        <f>1355-E1625</f>
        <v>1121.5899999999999</v>
      </c>
      <c r="F1624" s="257"/>
      <c r="G1624" s="258" t="s">
        <v>190</v>
      </c>
      <c r="H1624" s="259"/>
      <c r="I1624" s="541">
        <f t="shared" si="29"/>
        <v>138558.25142857118</v>
      </c>
      <c r="K1624" s="243"/>
    </row>
    <row r="1625" spans="2:11" ht="17" customHeight="1">
      <c r="B1625" s="253">
        <v>45871</v>
      </c>
      <c r="C1625" s="263" t="s">
        <v>283</v>
      </c>
      <c r="D1625" s="255" t="s">
        <v>508</v>
      </c>
      <c r="E1625" s="256">
        <v>233.41</v>
      </c>
      <c r="F1625" s="257"/>
      <c r="G1625" s="258" t="s">
        <v>276</v>
      </c>
      <c r="H1625" s="262" t="s">
        <v>1889</v>
      </c>
      <c r="I1625" s="541">
        <f t="shared" si="29"/>
        <v>138791.66142857118</v>
      </c>
      <c r="K1625" s="243"/>
    </row>
    <row r="1626" spans="2:11" ht="17" customHeight="1">
      <c r="B1626" s="253">
        <v>45872</v>
      </c>
      <c r="C1626" s="263" t="s">
        <v>513</v>
      </c>
      <c r="D1626" s="255" t="s">
        <v>873</v>
      </c>
      <c r="E1626" s="256"/>
      <c r="F1626" s="257">
        <v>45</v>
      </c>
      <c r="G1626" s="258" t="s">
        <v>248</v>
      </c>
      <c r="H1626" s="259"/>
      <c r="I1626" s="541">
        <f t="shared" si="29"/>
        <v>138746.66142857118</v>
      </c>
      <c r="K1626" s="243"/>
    </row>
    <row r="1627" spans="2:11" ht="17" customHeight="1">
      <c r="B1627" s="253">
        <v>45872</v>
      </c>
      <c r="C1627" s="263" t="s">
        <v>513</v>
      </c>
      <c r="D1627" s="255" t="s">
        <v>576</v>
      </c>
      <c r="E1627" s="256"/>
      <c r="F1627" s="257">
        <v>90</v>
      </c>
      <c r="G1627" s="258" t="s">
        <v>248</v>
      </c>
      <c r="H1627" s="259"/>
      <c r="I1627" s="541">
        <f t="shared" si="29"/>
        <v>138656.66142857118</v>
      </c>
      <c r="K1627" s="243"/>
    </row>
    <row r="1628" spans="2:11" ht="17" customHeight="1">
      <c r="B1628" s="253">
        <v>45872</v>
      </c>
      <c r="C1628" s="263" t="s">
        <v>117</v>
      </c>
      <c r="D1628" s="255" t="s">
        <v>869</v>
      </c>
      <c r="E1628" s="256"/>
      <c r="F1628" s="257">
        <v>89.8</v>
      </c>
      <c r="G1628" s="258" t="s">
        <v>199</v>
      </c>
      <c r="H1628" s="259"/>
      <c r="I1628" s="541">
        <f t="shared" si="29"/>
        <v>138566.8614285712</v>
      </c>
      <c r="K1628" s="243"/>
    </row>
    <row r="1629" spans="2:11" ht="17" customHeight="1">
      <c r="B1629" s="253">
        <v>45872</v>
      </c>
      <c r="C1629" s="263" t="s">
        <v>513</v>
      </c>
      <c r="D1629" s="255" t="s">
        <v>573</v>
      </c>
      <c r="E1629" s="256"/>
      <c r="F1629" s="257">
        <v>25</v>
      </c>
      <c r="G1629" s="258" t="s">
        <v>249</v>
      </c>
      <c r="H1629" s="259"/>
      <c r="I1629" s="541">
        <f t="shared" si="29"/>
        <v>138541.8614285712</v>
      </c>
      <c r="K1629" s="243"/>
    </row>
    <row r="1630" spans="2:11" ht="17" customHeight="1">
      <c r="B1630" s="253">
        <v>45872</v>
      </c>
      <c r="C1630" s="263" t="s">
        <v>117</v>
      </c>
      <c r="D1630" s="255" t="s">
        <v>1890</v>
      </c>
      <c r="E1630" s="256"/>
      <c r="F1630" s="257">
        <v>9.8000000000000007</v>
      </c>
      <c r="G1630" s="258" t="s">
        <v>206</v>
      </c>
      <c r="H1630" s="259"/>
      <c r="I1630" s="541">
        <f t="shared" si="29"/>
        <v>138532.06142857121</v>
      </c>
      <c r="K1630" s="243"/>
    </row>
    <row r="1631" spans="2:11" ht="17" customHeight="1">
      <c r="B1631" s="253">
        <v>45872</v>
      </c>
      <c r="C1631" s="263" t="s">
        <v>283</v>
      </c>
      <c r="D1631" s="255" t="s">
        <v>283</v>
      </c>
      <c r="E1631" s="256">
        <f>1554.3-E1632</f>
        <v>1371.67</v>
      </c>
      <c r="F1631" s="257"/>
      <c r="G1631" s="258" t="s">
        <v>190</v>
      </c>
      <c r="H1631" s="259"/>
      <c r="I1631" s="541">
        <f t="shared" si="29"/>
        <v>139903.73142857122</v>
      </c>
      <c r="K1631" s="243"/>
    </row>
    <row r="1632" spans="2:11" ht="17" customHeight="1">
      <c r="B1632" s="253">
        <v>45872</v>
      </c>
      <c r="C1632" s="263" t="s">
        <v>283</v>
      </c>
      <c r="D1632" s="255" t="s">
        <v>508</v>
      </c>
      <c r="E1632" s="256">
        <v>182.63</v>
      </c>
      <c r="F1632" s="257"/>
      <c r="G1632" s="258" t="s">
        <v>276</v>
      </c>
      <c r="H1632" s="259"/>
      <c r="I1632" s="541">
        <f t="shared" si="29"/>
        <v>140086.36142857122</v>
      </c>
      <c r="K1632" s="243"/>
    </row>
    <row r="1633" spans="2:11" ht="17" customHeight="1">
      <c r="B1633" s="674">
        <v>45873</v>
      </c>
      <c r="C1633" s="263" t="s">
        <v>117</v>
      </c>
      <c r="D1633" s="255" t="s">
        <v>1891</v>
      </c>
      <c r="E1633" s="256"/>
      <c r="F1633" s="257">
        <v>15</v>
      </c>
      <c r="G1633" s="258" t="s">
        <v>206</v>
      </c>
      <c r="H1633" s="259"/>
      <c r="I1633" s="541">
        <f t="shared" si="29"/>
        <v>140071.36142857122</v>
      </c>
      <c r="K1633" s="243"/>
    </row>
    <row r="1634" spans="2:11" ht="17" customHeight="1">
      <c r="B1634" s="253">
        <v>45873</v>
      </c>
      <c r="C1634" s="263" t="s">
        <v>117</v>
      </c>
      <c r="D1634" s="255" t="s">
        <v>846</v>
      </c>
      <c r="E1634" s="256"/>
      <c r="F1634" s="257">
        <v>410</v>
      </c>
      <c r="G1634" s="258" t="s">
        <v>201</v>
      </c>
      <c r="H1634" s="259"/>
      <c r="I1634" s="541">
        <f t="shared" si="29"/>
        <v>139661.36142857122</v>
      </c>
      <c r="K1634" s="243"/>
    </row>
    <row r="1635" spans="2:11" ht="17" customHeight="1">
      <c r="B1635" s="253">
        <v>45873</v>
      </c>
      <c r="C1635" s="263" t="s">
        <v>117</v>
      </c>
      <c r="D1635" s="255" t="s">
        <v>650</v>
      </c>
      <c r="E1635" s="256"/>
      <c r="F1635" s="257">
        <v>1020</v>
      </c>
      <c r="G1635" s="258" t="s">
        <v>194</v>
      </c>
      <c r="H1635" s="259"/>
      <c r="I1635" s="541">
        <f t="shared" si="29"/>
        <v>138641.36142857122</v>
      </c>
      <c r="K1635" s="243"/>
    </row>
    <row r="1636" spans="2:11" ht="17" customHeight="1">
      <c r="B1636" s="253">
        <v>45873</v>
      </c>
      <c r="C1636" s="263" t="s">
        <v>117</v>
      </c>
      <c r="D1636" s="255" t="s">
        <v>572</v>
      </c>
      <c r="E1636" s="256"/>
      <c r="F1636" s="257">
        <v>55</v>
      </c>
      <c r="G1636" s="258" t="s">
        <v>256</v>
      </c>
      <c r="H1636" s="259"/>
      <c r="I1636" s="541">
        <f t="shared" si="29"/>
        <v>138586.36142857122</v>
      </c>
      <c r="K1636" s="243"/>
    </row>
    <row r="1637" spans="2:11" ht="17" customHeight="1">
      <c r="B1637" s="253">
        <v>45873</v>
      </c>
      <c r="C1637" s="263" t="s">
        <v>1893</v>
      </c>
      <c r="D1637" s="255" t="s">
        <v>1892</v>
      </c>
      <c r="E1637" s="256"/>
      <c r="F1637" s="257">
        <v>28.5</v>
      </c>
      <c r="G1637" s="258" t="s">
        <v>207</v>
      </c>
      <c r="H1637" s="259"/>
      <c r="I1637" s="541">
        <f t="shared" si="29"/>
        <v>138557.86142857122</v>
      </c>
      <c r="K1637" s="243"/>
    </row>
    <row r="1638" spans="2:11" ht="17" customHeight="1">
      <c r="B1638" s="253">
        <v>45873</v>
      </c>
      <c r="C1638" s="263" t="s">
        <v>1893</v>
      </c>
      <c r="D1638" s="255" t="s">
        <v>1892</v>
      </c>
      <c r="E1638" s="256"/>
      <c r="F1638" s="257">
        <v>5.14</v>
      </c>
      <c r="G1638" s="258" t="s">
        <v>274</v>
      </c>
      <c r="H1638" s="259"/>
      <c r="I1638" s="541">
        <f t="shared" si="29"/>
        <v>138552.72142857121</v>
      </c>
      <c r="K1638" s="243"/>
    </row>
    <row r="1639" spans="2:11" ht="17" customHeight="1">
      <c r="B1639" s="253">
        <v>45873</v>
      </c>
      <c r="C1639" s="497" t="s">
        <v>541</v>
      </c>
      <c r="D1639" s="498" t="s">
        <v>542</v>
      </c>
      <c r="E1639" s="499"/>
      <c r="F1639" s="500">
        <v>10000</v>
      </c>
      <c r="G1639" s="501" t="s">
        <v>277</v>
      </c>
      <c r="H1639" s="259"/>
      <c r="I1639" s="541">
        <f t="shared" si="29"/>
        <v>128552.72142857121</v>
      </c>
      <c r="K1639" s="243"/>
    </row>
    <row r="1640" spans="2:11" ht="17" customHeight="1">
      <c r="B1640" s="253">
        <v>45873</v>
      </c>
      <c r="C1640" s="263" t="s">
        <v>283</v>
      </c>
      <c r="D1640" s="255" t="s">
        <v>283</v>
      </c>
      <c r="E1640" s="256">
        <f>655.5-E1641</f>
        <v>583.85</v>
      </c>
      <c r="F1640" s="257"/>
      <c r="G1640" s="258" t="s">
        <v>190</v>
      </c>
      <c r="H1640" s="259"/>
      <c r="I1640" s="541">
        <f t="shared" si="29"/>
        <v>129136.57142857122</v>
      </c>
      <c r="K1640" s="243"/>
    </row>
    <row r="1641" spans="2:11" ht="17" customHeight="1">
      <c r="B1641" s="253">
        <v>45873</v>
      </c>
      <c r="C1641" s="263" t="s">
        <v>283</v>
      </c>
      <c r="D1641" s="255" t="s">
        <v>508</v>
      </c>
      <c r="E1641" s="256">
        <v>71.650000000000006</v>
      </c>
      <c r="F1641" s="257"/>
      <c r="G1641" s="258" t="s">
        <v>276</v>
      </c>
      <c r="H1641" s="259"/>
      <c r="I1641" s="541">
        <f t="shared" si="29"/>
        <v>129208.22142857121</v>
      </c>
      <c r="K1641" s="243"/>
    </row>
    <row r="1642" spans="2:11" ht="17" customHeight="1">
      <c r="B1642" s="253">
        <v>45874</v>
      </c>
      <c r="C1642" s="263" t="s">
        <v>513</v>
      </c>
      <c r="D1642" s="255" t="s">
        <v>576</v>
      </c>
      <c r="E1642" s="256"/>
      <c r="F1642" s="257">
        <v>90</v>
      </c>
      <c r="G1642" s="258" t="s">
        <v>248</v>
      </c>
      <c r="H1642" s="259"/>
      <c r="I1642" s="541">
        <f t="shared" si="29"/>
        <v>129118.22142857121</v>
      </c>
      <c r="K1642" s="243"/>
    </row>
    <row r="1643" spans="2:11" ht="17" customHeight="1">
      <c r="B1643" s="253">
        <v>45874</v>
      </c>
      <c r="C1643" s="263" t="s">
        <v>513</v>
      </c>
      <c r="D1643" s="255" t="s">
        <v>573</v>
      </c>
      <c r="E1643" s="256"/>
      <c r="F1643" s="257">
        <v>35</v>
      </c>
      <c r="G1643" s="258" t="s">
        <v>249</v>
      </c>
      <c r="H1643" s="259"/>
      <c r="I1643" s="541">
        <f t="shared" si="29"/>
        <v>129083.22142857121</v>
      </c>
      <c r="K1643" s="243"/>
    </row>
    <row r="1644" spans="2:11" ht="17" customHeight="1">
      <c r="B1644" s="253">
        <v>45874</v>
      </c>
      <c r="C1644" s="263" t="s">
        <v>513</v>
      </c>
      <c r="D1644" s="255" t="s">
        <v>688</v>
      </c>
      <c r="E1644" s="256"/>
      <c r="F1644" s="257">
        <v>72</v>
      </c>
      <c r="G1644" s="258" t="s">
        <v>245</v>
      </c>
      <c r="H1644" s="259"/>
      <c r="I1644" s="541">
        <f t="shared" si="29"/>
        <v>129011.22142857121</v>
      </c>
      <c r="K1644" s="243"/>
    </row>
    <row r="1645" spans="2:11" ht="17" customHeight="1">
      <c r="B1645" s="253">
        <v>45874</v>
      </c>
      <c r="C1645" s="263" t="s">
        <v>117</v>
      </c>
      <c r="D1645" s="255" t="s">
        <v>1894</v>
      </c>
      <c r="E1645" s="256">
        <v>200</v>
      </c>
      <c r="F1645" s="257"/>
      <c r="G1645" s="258" t="s">
        <v>195</v>
      </c>
      <c r="H1645" s="259"/>
      <c r="I1645" s="541">
        <f t="shared" si="29"/>
        <v>129211.22142857121</v>
      </c>
      <c r="K1645" s="243"/>
    </row>
    <row r="1646" spans="2:11" ht="17" customHeight="1">
      <c r="B1646" s="253">
        <v>45874</v>
      </c>
      <c r="C1646" s="263" t="s">
        <v>117</v>
      </c>
      <c r="D1646" s="255" t="s">
        <v>1895</v>
      </c>
      <c r="E1646" s="256">
        <v>200</v>
      </c>
      <c r="F1646" s="257"/>
      <c r="G1646" s="258" t="s">
        <v>195</v>
      </c>
      <c r="H1646" s="259"/>
      <c r="I1646" s="541">
        <f t="shared" si="29"/>
        <v>129411.22142857121</v>
      </c>
      <c r="K1646" s="243"/>
    </row>
    <row r="1647" spans="2:11" ht="17" customHeight="1">
      <c r="B1647" s="253">
        <v>45874</v>
      </c>
      <c r="C1647" s="263" t="s">
        <v>513</v>
      </c>
      <c r="D1647" s="255" t="s">
        <v>563</v>
      </c>
      <c r="E1647" s="256"/>
      <c r="F1647" s="257">
        <v>107</v>
      </c>
      <c r="G1647" s="258" t="s">
        <v>249</v>
      </c>
      <c r="H1647" s="259"/>
      <c r="I1647" s="541">
        <f t="shared" si="29"/>
        <v>129304.22142857121</v>
      </c>
      <c r="K1647" s="243"/>
    </row>
    <row r="1648" spans="2:11" ht="17" customHeight="1">
      <c r="B1648" s="253">
        <v>45874</v>
      </c>
      <c r="C1648" s="263" t="s">
        <v>876</v>
      </c>
      <c r="D1648" s="255" t="s">
        <v>545</v>
      </c>
      <c r="E1648" s="256"/>
      <c r="F1648" s="257">
        <v>49</v>
      </c>
      <c r="G1648" s="258" t="s">
        <v>207</v>
      </c>
      <c r="H1648" s="259"/>
      <c r="I1648" s="541">
        <f t="shared" si="29"/>
        <v>129255.22142857121</v>
      </c>
      <c r="K1648" s="243"/>
    </row>
    <row r="1649" spans="2:11" ht="17" customHeight="1">
      <c r="B1649" s="253">
        <v>45874</v>
      </c>
      <c r="C1649" s="263" t="s">
        <v>877</v>
      </c>
      <c r="D1649" s="255" t="s">
        <v>545</v>
      </c>
      <c r="E1649" s="256"/>
      <c r="F1649" s="257">
        <v>30</v>
      </c>
      <c r="G1649" s="258" t="s">
        <v>1861</v>
      </c>
      <c r="H1649" s="259"/>
      <c r="I1649" s="541">
        <f t="shared" si="29"/>
        <v>129225.22142857121</v>
      </c>
      <c r="K1649" s="243"/>
    </row>
    <row r="1650" spans="2:11" ht="17" customHeight="1">
      <c r="B1650" s="253">
        <v>45874</v>
      </c>
      <c r="C1650" s="263" t="s">
        <v>1867</v>
      </c>
      <c r="D1650" s="255" t="s">
        <v>545</v>
      </c>
      <c r="E1650" s="256"/>
      <c r="F1650" s="257">
        <v>245</v>
      </c>
      <c r="G1650" s="258" t="s">
        <v>1861</v>
      </c>
      <c r="H1650" s="259"/>
      <c r="I1650" s="541">
        <f t="shared" si="29"/>
        <v>128980.22142857121</v>
      </c>
      <c r="K1650" s="243"/>
    </row>
    <row r="1651" spans="2:11" ht="17" customHeight="1">
      <c r="B1651" s="674">
        <v>45874</v>
      </c>
      <c r="C1651" s="675" t="s">
        <v>283</v>
      </c>
      <c r="D1651" s="676" t="s">
        <v>283</v>
      </c>
      <c r="E1651" s="677">
        <f>1406-E1652</f>
        <v>1243.5</v>
      </c>
      <c r="F1651" s="678"/>
      <c r="G1651" s="258" t="s">
        <v>190</v>
      </c>
      <c r="H1651" s="259"/>
      <c r="I1651" s="541">
        <f t="shared" si="29"/>
        <v>130223.72142857121</v>
      </c>
      <c r="K1651" s="243"/>
    </row>
    <row r="1652" spans="2:11" ht="17" customHeight="1">
      <c r="B1652" s="674">
        <v>45874</v>
      </c>
      <c r="C1652" s="675" t="s">
        <v>283</v>
      </c>
      <c r="D1652" s="676" t="s">
        <v>508</v>
      </c>
      <c r="E1652" s="677">
        <v>162.5</v>
      </c>
      <c r="F1652" s="678"/>
      <c r="G1652" s="258" t="s">
        <v>276</v>
      </c>
      <c r="H1652" s="259"/>
      <c r="I1652" s="541">
        <f t="shared" si="29"/>
        <v>130386.22142857121</v>
      </c>
      <c r="K1652" s="243"/>
    </row>
    <row r="1653" spans="2:11" ht="17" customHeight="1">
      <c r="B1653" s="674">
        <v>45875</v>
      </c>
      <c r="C1653" s="263" t="s">
        <v>513</v>
      </c>
      <c r="D1653" s="255" t="s">
        <v>576</v>
      </c>
      <c r="E1653" s="256"/>
      <c r="F1653" s="257">
        <v>100</v>
      </c>
      <c r="G1653" s="258" t="s">
        <v>248</v>
      </c>
      <c r="H1653" s="259"/>
      <c r="I1653" s="541">
        <f t="shared" si="29"/>
        <v>130286.22142857121</v>
      </c>
      <c r="K1653" s="243"/>
    </row>
    <row r="1654" spans="2:11" ht="17" customHeight="1">
      <c r="B1654" s="674">
        <v>45875</v>
      </c>
      <c r="C1654" s="263" t="s">
        <v>117</v>
      </c>
      <c r="D1654" s="255" t="s">
        <v>509</v>
      </c>
      <c r="E1654" s="256"/>
      <c r="F1654" s="257">
        <v>6.8</v>
      </c>
      <c r="G1654" s="258" t="s">
        <v>252</v>
      </c>
      <c r="H1654" s="259"/>
      <c r="I1654" s="541">
        <f t="shared" si="29"/>
        <v>130279.42142857121</v>
      </c>
      <c r="K1654" s="243"/>
    </row>
    <row r="1655" spans="2:11" ht="17" customHeight="1">
      <c r="B1655" s="674">
        <v>45875</v>
      </c>
      <c r="C1655" s="263" t="s">
        <v>117</v>
      </c>
      <c r="D1655" s="255" t="s">
        <v>306</v>
      </c>
      <c r="E1655" s="256"/>
      <c r="F1655" s="257">
        <v>35.549999999999997</v>
      </c>
      <c r="G1655" s="258" t="s">
        <v>194</v>
      </c>
      <c r="H1655" s="259"/>
      <c r="I1655" s="541">
        <f t="shared" si="29"/>
        <v>130243.8714285712</v>
      </c>
      <c r="K1655" s="243"/>
    </row>
    <row r="1656" spans="2:11" ht="17" customHeight="1">
      <c r="B1656" s="674">
        <v>45875</v>
      </c>
      <c r="C1656" s="263" t="s">
        <v>117</v>
      </c>
      <c r="D1656" s="255" t="s">
        <v>306</v>
      </c>
      <c r="E1656" s="256"/>
      <c r="F1656" s="257">
        <v>324.7</v>
      </c>
      <c r="G1656" s="258" t="s">
        <v>194</v>
      </c>
      <c r="H1656" s="259"/>
      <c r="I1656" s="541">
        <f t="shared" si="29"/>
        <v>129919.17142857121</v>
      </c>
      <c r="K1656" s="243"/>
    </row>
    <row r="1657" spans="2:11" ht="17" customHeight="1">
      <c r="B1657" s="674">
        <v>45875</v>
      </c>
      <c r="C1657" s="263" t="s">
        <v>117</v>
      </c>
      <c r="D1657" s="255" t="s">
        <v>306</v>
      </c>
      <c r="E1657" s="256"/>
      <c r="F1657" s="257">
        <v>358.8</v>
      </c>
      <c r="G1657" s="258" t="s">
        <v>194</v>
      </c>
      <c r="H1657" s="259"/>
      <c r="I1657" s="541">
        <f t="shared" si="29"/>
        <v>129560.3714285712</v>
      </c>
      <c r="K1657" s="243"/>
    </row>
    <row r="1658" spans="2:11" ht="17" customHeight="1">
      <c r="B1658" s="674">
        <v>45875</v>
      </c>
      <c r="C1658" s="263" t="s">
        <v>117</v>
      </c>
      <c r="D1658" s="255" t="s">
        <v>306</v>
      </c>
      <c r="E1658" s="256"/>
      <c r="F1658" s="257">
        <v>216.7</v>
      </c>
      <c r="G1658" s="258" t="s">
        <v>194</v>
      </c>
      <c r="H1658" s="259"/>
      <c r="I1658" s="541">
        <f t="shared" si="29"/>
        <v>129343.67142857121</v>
      </c>
      <c r="K1658" s="243"/>
    </row>
    <row r="1659" spans="2:11" ht="17" customHeight="1">
      <c r="B1659" s="674">
        <v>45875</v>
      </c>
      <c r="C1659" s="263" t="s">
        <v>117</v>
      </c>
      <c r="D1659" s="255" t="s">
        <v>306</v>
      </c>
      <c r="E1659" s="256"/>
      <c r="F1659" s="257">
        <v>199.15</v>
      </c>
      <c r="G1659" s="258" t="s">
        <v>194</v>
      </c>
      <c r="H1659" s="259"/>
      <c r="I1659" s="541">
        <f t="shared" si="29"/>
        <v>129144.52142857121</v>
      </c>
      <c r="K1659" s="243"/>
    </row>
    <row r="1660" spans="2:11" ht="17" customHeight="1">
      <c r="B1660" s="674">
        <v>45875</v>
      </c>
      <c r="C1660" s="263" t="s">
        <v>117</v>
      </c>
      <c r="D1660" s="255" t="s">
        <v>306</v>
      </c>
      <c r="E1660" s="256"/>
      <c r="F1660" s="257">
        <v>112.45</v>
      </c>
      <c r="G1660" s="258" t="s">
        <v>194</v>
      </c>
      <c r="H1660" s="259"/>
      <c r="I1660" s="541">
        <f t="shared" si="29"/>
        <v>129032.07142857122</v>
      </c>
      <c r="K1660" s="243"/>
    </row>
    <row r="1661" spans="2:11" ht="17" customHeight="1">
      <c r="B1661" s="674">
        <v>45875</v>
      </c>
      <c r="C1661" s="263" t="s">
        <v>117</v>
      </c>
      <c r="D1661" s="255" t="s">
        <v>306</v>
      </c>
      <c r="E1661" s="256"/>
      <c r="F1661" s="257">
        <f>123.5-30.5</f>
        <v>93</v>
      </c>
      <c r="G1661" s="258" t="s">
        <v>194</v>
      </c>
      <c r="H1661" s="259"/>
      <c r="I1661" s="541">
        <f t="shared" si="29"/>
        <v>128939.07142857122</v>
      </c>
      <c r="K1661" s="243"/>
    </row>
    <row r="1662" spans="2:11" ht="17" customHeight="1">
      <c r="B1662" s="674">
        <v>45875</v>
      </c>
      <c r="C1662" s="263" t="s">
        <v>117</v>
      </c>
      <c r="D1662" s="255" t="s">
        <v>306</v>
      </c>
      <c r="E1662" s="256">
        <v>19.2</v>
      </c>
      <c r="F1662" s="257"/>
      <c r="G1662" s="258" t="s">
        <v>194</v>
      </c>
      <c r="H1662" s="259"/>
      <c r="I1662" s="541">
        <f t="shared" si="29"/>
        <v>128958.27142857121</v>
      </c>
      <c r="K1662" s="243"/>
    </row>
    <row r="1663" spans="2:11" ht="17" customHeight="1">
      <c r="B1663" s="674">
        <v>45875</v>
      </c>
      <c r="C1663" s="263" t="s">
        <v>420</v>
      </c>
      <c r="D1663" s="255" t="s">
        <v>1902</v>
      </c>
      <c r="E1663" s="256">
        <v>500</v>
      </c>
      <c r="F1663" s="257"/>
      <c r="G1663" s="258"/>
      <c r="H1663" s="681" t="s">
        <v>554</v>
      </c>
      <c r="I1663" s="541">
        <f t="shared" si="29"/>
        <v>129458.27142857121</v>
      </c>
      <c r="K1663" s="243"/>
    </row>
    <row r="1664" spans="2:11" ht="17" customHeight="1">
      <c r="B1664" s="674">
        <v>45875</v>
      </c>
      <c r="C1664" s="675" t="s">
        <v>283</v>
      </c>
      <c r="D1664" s="676" t="s">
        <v>283</v>
      </c>
      <c r="E1664" s="677">
        <f>916-E1665</f>
        <v>806.45</v>
      </c>
      <c r="F1664" s="678"/>
      <c r="G1664" s="258" t="s">
        <v>190</v>
      </c>
      <c r="H1664" s="259"/>
      <c r="I1664" s="541">
        <f t="shared" si="29"/>
        <v>130264.72142857121</v>
      </c>
      <c r="K1664" s="243"/>
    </row>
    <row r="1665" spans="2:11" ht="17" customHeight="1">
      <c r="B1665" s="674">
        <v>45875</v>
      </c>
      <c r="C1665" s="675" t="s">
        <v>283</v>
      </c>
      <c r="D1665" s="676" t="s">
        <v>508</v>
      </c>
      <c r="E1665" s="677">
        <v>109.55</v>
      </c>
      <c r="F1665" s="678"/>
      <c r="G1665" s="258" t="s">
        <v>276</v>
      </c>
      <c r="H1665" s="259"/>
      <c r="I1665" s="541">
        <f t="shared" si="29"/>
        <v>130374.27142857121</v>
      </c>
      <c r="K1665" s="243"/>
    </row>
    <row r="1666" spans="2:11" ht="17" customHeight="1">
      <c r="B1666" s="674">
        <v>45876</v>
      </c>
      <c r="C1666" s="263" t="s">
        <v>513</v>
      </c>
      <c r="D1666" s="255" t="s">
        <v>576</v>
      </c>
      <c r="E1666" s="256"/>
      <c r="F1666" s="257">
        <v>80</v>
      </c>
      <c r="G1666" s="258" t="s">
        <v>248</v>
      </c>
      <c r="H1666" s="259"/>
      <c r="I1666" s="541">
        <f t="shared" si="29"/>
        <v>130294.27142857121</v>
      </c>
      <c r="K1666" s="243"/>
    </row>
    <row r="1667" spans="2:11" ht="17" customHeight="1">
      <c r="B1667" s="674">
        <v>45876</v>
      </c>
      <c r="C1667" s="263" t="s">
        <v>513</v>
      </c>
      <c r="D1667" s="255" t="s">
        <v>873</v>
      </c>
      <c r="E1667" s="256"/>
      <c r="F1667" s="257">
        <v>50</v>
      </c>
      <c r="G1667" s="258" t="s">
        <v>248</v>
      </c>
      <c r="H1667" s="259"/>
      <c r="I1667" s="541">
        <f t="shared" si="29"/>
        <v>130244.27142857121</v>
      </c>
      <c r="K1667" s="243"/>
    </row>
    <row r="1668" spans="2:11" ht="17" customHeight="1">
      <c r="B1668" s="674">
        <v>45876</v>
      </c>
      <c r="C1668" s="263" t="s">
        <v>117</v>
      </c>
      <c r="D1668" s="255" t="s">
        <v>829</v>
      </c>
      <c r="E1668" s="256">
        <f>601.2+446.4+192+114+1025+1.4</f>
        <v>2380</v>
      </c>
      <c r="F1668" s="257"/>
      <c r="G1668" s="258" t="s">
        <v>194</v>
      </c>
      <c r="H1668" s="259"/>
      <c r="I1668" s="541">
        <f t="shared" si="29"/>
        <v>132624.2714285712</v>
      </c>
      <c r="K1668" s="243"/>
    </row>
    <row r="1669" spans="2:11" ht="17" customHeight="1">
      <c r="B1669" s="674">
        <v>45876</v>
      </c>
      <c r="C1669" s="675" t="s">
        <v>283</v>
      </c>
      <c r="D1669" s="676" t="s">
        <v>283</v>
      </c>
      <c r="E1669" s="677">
        <f>1671.2-E1670</f>
        <v>1522.98</v>
      </c>
      <c r="F1669" s="678"/>
      <c r="G1669" s="258" t="s">
        <v>190</v>
      </c>
      <c r="H1669" s="259"/>
      <c r="I1669" s="541">
        <f t="shared" si="29"/>
        <v>134147.25142857121</v>
      </c>
      <c r="K1669" s="243"/>
    </row>
    <row r="1670" spans="2:11" ht="17" customHeight="1">
      <c r="B1670" s="674">
        <v>45876</v>
      </c>
      <c r="C1670" s="675" t="s">
        <v>283</v>
      </c>
      <c r="D1670" s="676" t="s">
        <v>508</v>
      </c>
      <c r="E1670" s="677">
        <v>148.22</v>
      </c>
      <c r="F1670" s="678"/>
      <c r="G1670" s="258" t="s">
        <v>276</v>
      </c>
      <c r="H1670" s="259"/>
      <c r="I1670" s="541">
        <f t="shared" si="29"/>
        <v>134295.47142857121</v>
      </c>
      <c r="K1670" s="243"/>
    </row>
    <row r="1671" spans="2:11" ht="17" customHeight="1">
      <c r="B1671" s="674">
        <v>45877</v>
      </c>
      <c r="C1671" s="263" t="s">
        <v>1903</v>
      </c>
      <c r="D1671" s="255" t="s">
        <v>1887</v>
      </c>
      <c r="E1671" s="256"/>
      <c r="F1671" s="257">
        <f>18.95-0.73</f>
        <v>18.22</v>
      </c>
      <c r="G1671" s="258" t="s">
        <v>199</v>
      </c>
      <c r="H1671" s="259"/>
      <c r="I1671" s="541">
        <f t="shared" si="29"/>
        <v>134277.25142857121</v>
      </c>
      <c r="K1671" s="243"/>
    </row>
    <row r="1672" spans="2:11" ht="17" customHeight="1">
      <c r="B1672" s="674">
        <v>45877</v>
      </c>
      <c r="C1672" s="263" t="s">
        <v>1903</v>
      </c>
      <c r="D1672" s="255" t="s">
        <v>1887</v>
      </c>
      <c r="E1672" s="256"/>
      <c r="F1672" s="257">
        <v>0.73</v>
      </c>
      <c r="G1672" s="258" t="s">
        <v>274</v>
      </c>
      <c r="H1672" s="259"/>
      <c r="I1672" s="541">
        <f t="shared" si="29"/>
        <v>134276.5214285712</v>
      </c>
      <c r="K1672" s="243"/>
    </row>
    <row r="1673" spans="2:11" ht="17" customHeight="1">
      <c r="B1673" s="674">
        <v>45877</v>
      </c>
      <c r="C1673" s="263" t="s">
        <v>513</v>
      </c>
      <c r="D1673" s="255" t="s">
        <v>576</v>
      </c>
      <c r="E1673" s="256"/>
      <c r="F1673" s="257">
        <v>90</v>
      </c>
      <c r="G1673" s="258" t="s">
        <v>248</v>
      </c>
      <c r="H1673" s="259"/>
      <c r="I1673" s="541">
        <f t="shared" si="29"/>
        <v>134186.5214285712</v>
      </c>
      <c r="K1673" s="243"/>
    </row>
    <row r="1674" spans="2:11" ht="17" customHeight="1">
      <c r="B1674" s="674">
        <v>45877</v>
      </c>
      <c r="C1674" s="263" t="s">
        <v>117</v>
      </c>
      <c r="D1674" s="255" t="s">
        <v>835</v>
      </c>
      <c r="E1674" s="256"/>
      <c r="F1674" s="257">
        <v>200</v>
      </c>
      <c r="G1674" s="258" t="s">
        <v>230</v>
      </c>
      <c r="H1674" s="259"/>
      <c r="I1674" s="541">
        <f t="shared" si="29"/>
        <v>133986.5214285712</v>
      </c>
      <c r="K1674" s="243"/>
    </row>
    <row r="1675" spans="2:11" ht="17" customHeight="1">
      <c r="B1675" s="674">
        <v>45877</v>
      </c>
      <c r="C1675" s="263" t="s">
        <v>513</v>
      </c>
      <c r="D1675" s="255" t="s">
        <v>1832</v>
      </c>
      <c r="E1675" s="256"/>
      <c r="F1675" s="257">
        <v>60</v>
      </c>
      <c r="G1675" s="258" t="s">
        <v>245</v>
      </c>
      <c r="H1675" s="259"/>
      <c r="I1675" s="541">
        <f t="shared" si="29"/>
        <v>133926.5214285712</v>
      </c>
      <c r="K1675" s="243"/>
    </row>
    <row r="1676" spans="2:11" ht="17" customHeight="1">
      <c r="B1676" s="674">
        <v>45877</v>
      </c>
      <c r="C1676" s="263" t="s">
        <v>117</v>
      </c>
      <c r="D1676" s="255" t="s">
        <v>517</v>
      </c>
      <c r="E1676" s="256"/>
      <c r="F1676" s="257">
        <v>80</v>
      </c>
      <c r="G1676" s="258" t="s">
        <v>234</v>
      </c>
      <c r="H1676" s="259"/>
      <c r="I1676" s="541">
        <f t="shared" si="29"/>
        <v>133846.5214285712</v>
      </c>
      <c r="K1676" s="243"/>
    </row>
    <row r="1677" spans="2:11" ht="17" customHeight="1">
      <c r="B1677" s="674">
        <v>45877</v>
      </c>
      <c r="C1677" s="675" t="s">
        <v>283</v>
      </c>
      <c r="D1677" s="676" t="s">
        <v>283</v>
      </c>
      <c r="E1677" s="677">
        <f>1507.75-E1678</f>
        <v>1229.28</v>
      </c>
      <c r="F1677" s="678"/>
      <c r="G1677" s="258" t="s">
        <v>190</v>
      </c>
      <c r="H1677" s="259"/>
      <c r="I1677" s="541">
        <f t="shared" si="29"/>
        <v>135075.8014285712</v>
      </c>
      <c r="K1677" s="243"/>
    </row>
    <row r="1678" spans="2:11" ht="17" customHeight="1">
      <c r="B1678" s="674">
        <v>45877</v>
      </c>
      <c r="C1678" s="675" t="s">
        <v>283</v>
      </c>
      <c r="D1678" s="676" t="s">
        <v>508</v>
      </c>
      <c r="E1678" s="677">
        <v>278.47000000000003</v>
      </c>
      <c r="F1678" s="678"/>
      <c r="G1678" s="258" t="s">
        <v>276</v>
      </c>
      <c r="H1678" s="259"/>
      <c r="I1678" s="541">
        <f t="shared" si="29"/>
        <v>135354.2714285712</v>
      </c>
      <c r="K1678" s="243"/>
    </row>
    <row r="1679" spans="2:11" ht="17" customHeight="1">
      <c r="B1679" s="674">
        <v>45877</v>
      </c>
      <c r="C1679" s="675" t="s">
        <v>283</v>
      </c>
      <c r="D1679" s="676" t="s">
        <v>283</v>
      </c>
      <c r="E1679" s="677">
        <v>400</v>
      </c>
      <c r="F1679" s="678"/>
      <c r="G1679" s="258" t="s">
        <v>190</v>
      </c>
      <c r="H1679" s="259" t="s">
        <v>1908</v>
      </c>
      <c r="I1679" s="541">
        <f t="shared" si="29"/>
        <v>135754.2714285712</v>
      </c>
      <c r="K1679" s="243"/>
    </row>
    <row r="1680" spans="2:11" ht="17" customHeight="1">
      <c r="B1680" s="674">
        <v>45878</v>
      </c>
      <c r="C1680" s="263" t="s">
        <v>117</v>
      </c>
      <c r="D1680" s="255" t="s">
        <v>349</v>
      </c>
      <c r="E1680" s="256"/>
      <c r="F1680" s="257">
        <v>720</v>
      </c>
      <c r="G1680" s="258" t="s">
        <v>199</v>
      </c>
      <c r="H1680" s="259"/>
      <c r="I1680" s="541">
        <f t="shared" si="29"/>
        <v>135034.2714285712</v>
      </c>
      <c r="K1680" s="243"/>
    </row>
    <row r="1681" spans="2:11" ht="17" customHeight="1">
      <c r="B1681" s="674">
        <v>45878</v>
      </c>
      <c r="C1681" s="263" t="s">
        <v>1904</v>
      </c>
      <c r="D1681" s="255" t="s">
        <v>955</v>
      </c>
      <c r="E1681" s="256"/>
      <c r="F1681" s="257">
        <f>1450-57.84</f>
        <v>1392.16</v>
      </c>
      <c r="G1681" s="258" t="s">
        <v>201</v>
      </c>
      <c r="H1681" s="259"/>
      <c r="I1681" s="541">
        <f t="shared" si="29"/>
        <v>133642.1114285712</v>
      </c>
      <c r="K1681" s="243"/>
    </row>
    <row r="1682" spans="2:11" ht="17" customHeight="1">
      <c r="B1682" s="674">
        <v>45878</v>
      </c>
      <c r="C1682" s="263" t="s">
        <v>1904</v>
      </c>
      <c r="D1682" s="255" t="s">
        <v>955</v>
      </c>
      <c r="E1682" s="256"/>
      <c r="F1682" s="257">
        <v>57.84</v>
      </c>
      <c r="G1682" s="258" t="s">
        <v>274</v>
      </c>
      <c r="H1682" s="259"/>
      <c r="I1682" s="541">
        <f t="shared" si="29"/>
        <v>133584.2714285712</v>
      </c>
      <c r="K1682" s="243"/>
    </row>
    <row r="1683" spans="2:11" ht="17" customHeight="1">
      <c r="B1683" s="674">
        <v>45878</v>
      </c>
      <c r="C1683" s="263" t="s">
        <v>117</v>
      </c>
      <c r="D1683" s="255" t="s">
        <v>713</v>
      </c>
      <c r="E1683" s="256"/>
      <c r="F1683" s="257">
        <v>80</v>
      </c>
      <c r="G1683" s="258" t="s">
        <v>216</v>
      </c>
      <c r="H1683" s="259"/>
      <c r="I1683" s="541">
        <f t="shared" ref="I1683:I1718" si="30">I1682+E1683-F1683</f>
        <v>133504.2714285712</v>
      </c>
      <c r="K1683" s="243"/>
    </row>
    <row r="1684" spans="2:11" ht="17" customHeight="1">
      <c r="B1684" s="674">
        <v>45878</v>
      </c>
      <c r="C1684" s="263" t="s">
        <v>117</v>
      </c>
      <c r="D1684" s="255" t="s">
        <v>1905</v>
      </c>
      <c r="E1684" s="256">
        <v>30</v>
      </c>
      <c r="F1684" s="257"/>
      <c r="G1684" s="258" t="s">
        <v>201</v>
      </c>
      <c r="H1684" s="259"/>
      <c r="I1684" s="541">
        <f t="shared" si="30"/>
        <v>133534.2714285712</v>
      </c>
      <c r="K1684" s="243"/>
    </row>
    <row r="1685" spans="2:11" ht="17" customHeight="1">
      <c r="B1685" s="674">
        <v>45878</v>
      </c>
      <c r="C1685" s="263" t="s">
        <v>117</v>
      </c>
      <c r="D1685" s="255" t="s">
        <v>1906</v>
      </c>
      <c r="E1685" s="256">
        <v>1430</v>
      </c>
      <c r="F1685" s="257"/>
      <c r="G1685" s="258" t="s">
        <v>194</v>
      </c>
      <c r="H1685" s="259"/>
      <c r="I1685" s="541">
        <f t="shared" si="30"/>
        <v>134964.2714285712</v>
      </c>
      <c r="K1685" s="243"/>
    </row>
    <row r="1686" spans="2:11" ht="17" customHeight="1">
      <c r="B1686" s="674">
        <v>45878</v>
      </c>
      <c r="C1686" s="263" t="s">
        <v>117</v>
      </c>
      <c r="D1686" s="255" t="s">
        <v>1907</v>
      </c>
      <c r="E1686" s="256">
        <v>530</v>
      </c>
      <c r="F1686" s="257"/>
      <c r="G1686" s="258" t="s">
        <v>194</v>
      </c>
      <c r="H1686" s="259"/>
      <c r="I1686" s="541">
        <f t="shared" si="30"/>
        <v>135494.2714285712</v>
      </c>
      <c r="K1686" s="243"/>
    </row>
    <row r="1687" spans="2:11" ht="17" customHeight="1">
      <c r="B1687" s="674">
        <v>45878</v>
      </c>
      <c r="C1687" s="263" t="s">
        <v>117</v>
      </c>
      <c r="D1687" s="255" t="s">
        <v>517</v>
      </c>
      <c r="E1687" s="256"/>
      <c r="F1687" s="257">
        <v>80</v>
      </c>
      <c r="G1687" s="258" t="s">
        <v>234</v>
      </c>
      <c r="H1687" s="259"/>
      <c r="I1687" s="541">
        <f t="shared" si="30"/>
        <v>135414.2714285712</v>
      </c>
      <c r="K1687" s="243"/>
    </row>
    <row r="1688" spans="2:11" ht="17" customHeight="1">
      <c r="B1688" s="674">
        <v>45878</v>
      </c>
      <c r="C1688" s="675" t="s">
        <v>513</v>
      </c>
      <c r="D1688" s="676" t="s">
        <v>688</v>
      </c>
      <c r="E1688" s="677"/>
      <c r="F1688" s="678">
        <v>63</v>
      </c>
      <c r="G1688" s="258" t="s">
        <v>245</v>
      </c>
      <c r="H1688" s="259"/>
      <c r="I1688" s="541">
        <f t="shared" si="30"/>
        <v>135351.2714285712</v>
      </c>
      <c r="K1688" s="243"/>
    </row>
    <row r="1689" spans="2:11" ht="17" customHeight="1">
      <c r="B1689" s="674">
        <v>45878</v>
      </c>
      <c r="C1689" s="263" t="s">
        <v>513</v>
      </c>
      <c r="D1689" s="255" t="s">
        <v>31</v>
      </c>
      <c r="E1689" s="256"/>
      <c r="F1689" s="257">
        <v>90</v>
      </c>
      <c r="G1689" s="258" t="s">
        <v>245</v>
      </c>
      <c r="H1689" s="259"/>
      <c r="I1689" s="541">
        <f t="shared" si="30"/>
        <v>135261.2714285712</v>
      </c>
      <c r="K1689" s="243"/>
    </row>
    <row r="1690" spans="2:11" ht="17" customHeight="1">
      <c r="B1690" s="674">
        <v>45878</v>
      </c>
      <c r="C1690" s="263" t="s">
        <v>513</v>
      </c>
      <c r="D1690" s="255" t="s">
        <v>873</v>
      </c>
      <c r="E1690" s="256"/>
      <c r="F1690" s="257">
        <v>30</v>
      </c>
      <c r="G1690" s="258" t="s">
        <v>248</v>
      </c>
      <c r="H1690" s="259"/>
      <c r="I1690" s="541">
        <f t="shared" si="30"/>
        <v>135231.2714285712</v>
      </c>
      <c r="K1690" s="243"/>
    </row>
    <row r="1691" spans="2:11" ht="17" customHeight="1">
      <c r="B1691" s="674">
        <v>45878</v>
      </c>
      <c r="C1691" s="675" t="s">
        <v>283</v>
      </c>
      <c r="D1691" s="676" t="s">
        <v>283</v>
      </c>
      <c r="E1691" s="677">
        <f>1468.5-E1692</f>
        <v>1132.18</v>
      </c>
      <c r="F1691" s="678"/>
      <c r="G1691" s="258" t="s">
        <v>190</v>
      </c>
      <c r="H1691" s="259"/>
      <c r="I1691" s="541">
        <f t="shared" si="30"/>
        <v>136363.45142857119</v>
      </c>
      <c r="K1691" s="243"/>
    </row>
    <row r="1692" spans="2:11" ht="17" customHeight="1">
      <c r="B1692" s="674">
        <v>45878</v>
      </c>
      <c r="C1692" s="675" t="s">
        <v>283</v>
      </c>
      <c r="D1692" s="676" t="s">
        <v>508</v>
      </c>
      <c r="E1692" s="677">
        <f>250.04+86.28</f>
        <v>336.32</v>
      </c>
      <c r="F1692" s="678"/>
      <c r="G1692" s="258" t="s">
        <v>276</v>
      </c>
      <c r="H1692" s="259"/>
      <c r="I1692" s="541">
        <f t="shared" si="30"/>
        <v>136699.7714285712</v>
      </c>
      <c r="K1692" s="243"/>
    </row>
    <row r="1693" spans="2:11" ht="17" customHeight="1">
      <c r="B1693" s="674">
        <v>45878</v>
      </c>
      <c r="C1693" s="675" t="s">
        <v>283</v>
      </c>
      <c r="D1693" s="676" t="s">
        <v>283</v>
      </c>
      <c r="E1693" s="677">
        <v>93</v>
      </c>
      <c r="F1693" s="678"/>
      <c r="G1693" s="258" t="s">
        <v>190</v>
      </c>
      <c r="H1693" s="259" t="s">
        <v>1908</v>
      </c>
      <c r="I1693" s="541">
        <f t="shared" si="30"/>
        <v>136792.7714285712</v>
      </c>
      <c r="K1693" s="243"/>
    </row>
    <row r="1694" spans="2:11" ht="17" customHeight="1">
      <c r="B1694" s="674">
        <v>45879</v>
      </c>
      <c r="C1694" s="263" t="s">
        <v>513</v>
      </c>
      <c r="D1694" s="255" t="s">
        <v>1915</v>
      </c>
      <c r="E1694" s="256"/>
      <c r="F1694" s="257">
        <v>50</v>
      </c>
      <c r="G1694" s="258" t="s">
        <v>249</v>
      </c>
      <c r="H1694" s="259"/>
      <c r="I1694" s="541">
        <f t="shared" si="30"/>
        <v>136742.7714285712</v>
      </c>
      <c r="K1694" s="243"/>
    </row>
    <row r="1695" spans="2:11" ht="17" customHeight="1">
      <c r="B1695" s="674">
        <v>45879</v>
      </c>
      <c r="C1695" s="263" t="s">
        <v>513</v>
      </c>
      <c r="D1695" s="255" t="s">
        <v>873</v>
      </c>
      <c r="E1695" s="256"/>
      <c r="F1695" s="257">
        <v>35</v>
      </c>
      <c r="G1695" s="258" t="s">
        <v>248</v>
      </c>
      <c r="H1695" s="259"/>
      <c r="I1695" s="541">
        <f t="shared" si="30"/>
        <v>136707.7714285712</v>
      </c>
      <c r="K1695" s="243"/>
    </row>
    <row r="1696" spans="2:11" ht="17" customHeight="1">
      <c r="B1696" s="674">
        <v>45879</v>
      </c>
      <c r="C1696" s="263" t="s">
        <v>286</v>
      </c>
      <c r="D1696" s="255" t="s">
        <v>520</v>
      </c>
      <c r="E1696" s="256"/>
      <c r="F1696" s="257">
        <v>1000</v>
      </c>
      <c r="G1696" s="258" t="s">
        <v>139</v>
      </c>
      <c r="H1696" s="259"/>
      <c r="I1696" s="541">
        <f t="shared" si="30"/>
        <v>135707.7714285712</v>
      </c>
      <c r="K1696" s="243"/>
    </row>
    <row r="1697" spans="2:11" ht="17" customHeight="1">
      <c r="B1697" s="674">
        <v>45879</v>
      </c>
      <c r="C1697" s="263" t="s">
        <v>117</v>
      </c>
      <c r="D1697" s="255" t="s">
        <v>650</v>
      </c>
      <c r="E1697" s="256"/>
      <c r="F1697" s="257">
        <v>1777</v>
      </c>
      <c r="G1697" s="258" t="s">
        <v>194</v>
      </c>
      <c r="H1697" s="259"/>
      <c r="I1697" s="541">
        <f t="shared" si="30"/>
        <v>133930.7714285712</v>
      </c>
      <c r="K1697" s="243"/>
    </row>
    <row r="1698" spans="2:11" ht="17" customHeight="1">
      <c r="B1698" s="674">
        <v>45879</v>
      </c>
      <c r="C1698" s="675" t="s">
        <v>283</v>
      </c>
      <c r="D1698" s="676" t="s">
        <v>283</v>
      </c>
      <c r="E1698" s="677">
        <f>1390.8-E1699</f>
        <v>1230.1099999999999</v>
      </c>
      <c r="F1698" s="678"/>
      <c r="G1698" s="258" t="s">
        <v>190</v>
      </c>
      <c r="H1698" s="259"/>
      <c r="I1698" s="541">
        <f t="shared" si="30"/>
        <v>135160.88142857119</v>
      </c>
      <c r="K1698" s="243"/>
    </row>
    <row r="1699" spans="2:11" ht="17" customHeight="1">
      <c r="B1699" s="674">
        <v>45879</v>
      </c>
      <c r="C1699" s="675" t="s">
        <v>283</v>
      </c>
      <c r="D1699" s="676" t="s">
        <v>508</v>
      </c>
      <c r="E1699" s="677">
        <v>160.69</v>
      </c>
      <c r="F1699" s="678"/>
      <c r="G1699" s="258" t="s">
        <v>276</v>
      </c>
      <c r="H1699" s="259"/>
      <c r="I1699" s="541">
        <f t="shared" si="30"/>
        <v>135321.57142857119</v>
      </c>
      <c r="K1699" s="243"/>
    </row>
    <row r="1700" spans="2:11" ht="17" customHeight="1">
      <c r="B1700" s="674">
        <v>45880</v>
      </c>
      <c r="C1700" s="263" t="s">
        <v>513</v>
      </c>
      <c r="D1700" s="255" t="s">
        <v>31</v>
      </c>
      <c r="E1700" s="256"/>
      <c r="F1700" s="257">
        <v>105</v>
      </c>
      <c r="G1700" s="258" t="s">
        <v>245</v>
      </c>
      <c r="H1700" s="259"/>
      <c r="I1700" s="541">
        <f t="shared" si="30"/>
        <v>135216.57142857119</v>
      </c>
      <c r="K1700" s="243"/>
    </row>
    <row r="1701" spans="2:11" ht="17" customHeight="1">
      <c r="B1701" s="674">
        <v>45880</v>
      </c>
      <c r="C1701" s="675" t="s">
        <v>283</v>
      </c>
      <c r="D1701" s="676" t="s">
        <v>283</v>
      </c>
      <c r="E1701" s="677">
        <f>888-E1702</f>
        <v>758.95</v>
      </c>
      <c r="F1701" s="678"/>
      <c r="G1701" s="258" t="s">
        <v>190</v>
      </c>
      <c r="H1701" s="259"/>
      <c r="I1701" s="541">
        <f t="shared" si="30"/>
        <v>135975.5214285712</v>
      </c>
      <c r="K1701" s="243"/>
    </row>
    <row r="1702" spans="2:11" ht="17" customHeight="1">
      <c r="B1702" s="674">
        <v>45880</v>
      </c>
      <c r="C1702" s="675" t="s">
        <v>283</v>
      </c>
      <c r="D1702" s="676" t="s">
        <v>508</v>
      </c>
      <c r="E1702" s="677">
        <v>129.05000000000001</v>
      </c>
      <c r="F1702" s="678"/>
      <c r="G1702" s="258" t="s">
        <v>276</v>
      </c>
      <c r="H1702" s="259"/>
      <c r="I1702" s="541">
        <f t="shared" si="30"/>
        <v>136104.57142857119</v>
      </c>
      <c r="K1702" s="243"/>
    </row>
    <row r="1703" spans="2:11" ht="17" customHeight="1">
      <c r="B1703" s="674">
        <v>45881</v>
      </c>
      <c r="C1703" s="263" t="s">
        <v>117</v>
      </c>
      <c r="D1703" s="255" t="s">
        <v>1917</v>
      </c>
      <c r="E1703" s="256">
        <v>425</v>
      </c>
      <c r="F1703" s="257"/>
      <c r="G1703" s="258" t="s">
        <v>194</v>
      </c>
      <c r="H1703" s="259"/>
      <c r="I1703" s="541">
        <f t="shared" si="30"/>
        <v>136529.57142857119</v>
      </c>
      <c r="K1703" s="243"/>
    </row>
    <row r="1704" spans="2:11" ht="17" customHeight="1">
      <c r="B1704" s="674">
        <v>45881</v>
      </c>
      <c r="C1704" s="263" t="s">
        <v>117</v>
      </c>
      <c r="D1704" s="255" t="s">
        <v>1918</v>
      </c>
      <c r="E1704" s="256">
        <v>350</v>
      </c>
      <c r="F1704" s="257"/>
      <c r="G1704" s="258" t="s">
        <v>195</v>
      </c>
      <c r="H1704" s="259"/>
      <c r="I1704" s="541">
        <f t="shared" si="30"/>
        <v>136879.57142857119</v>
      </c>
      <c r="K1704" s="243"/>
    </row>
    <row r="1705" spans="2:11" ht="17" customHeight="1">
      <c r="B1705" s="674">
        <v>45881</v>
      </c>
      <c r="C1705" s="263" t="s">
        <v>117</v>
      </c>
      <c r="D1705" s="255" t="s">
        <v>1919</v>
      </c>
      <c r="E1705" s="256"/>
      <c r="F1705" s="257">
        <v>430</v>
      </c>
      <c r="G1705" s="258" t="s">
        <v>216</v>
      </c>
      <c r="H1705" s="259"/>
      <c r="I1705" s="541">
        <f t="shared" si="30"/>
        <v>136449.57142857119</v>
      </c>
      <c r="K1705" s="243"/>
    </row>
    <row r="1706" spans="2:11" ht="17" customHeight="1">
      <c r="B1706" s="615">
        <v>45868</v>
      </c>
      <c r="C1706" s="263" t="s">
        <v>513</v>
      </c>
      <c r="D1706" s="255" t="s">
        <v>722</v>
      </c>
      <c r="E1706" s="256"/>
      <c r="F1706" s="257">
        <v>1240</v>
      </c>
      <c r="G1706" s="258" t="s">
        <v>245</v>
      </c>
      <c r="H1706" s="525" t="s">
        <v>753</v>
      </c>
      <c r="I1706" s="541">
        <f t="shared" si="30"/>
        <v>135209.57142857119</v>
      </c>
      <c r="K1706" s="243"/>
    </row>
    <row r="1707" spans="2:11" ht="17" customHeight="1">
      <c r="B1707" s="615">
        <v>45868</v>
      </c>
      <c r="C1707" s="263" t="s">
        <v>513</v>
      </c>
      <c r="D1707" s="255" t="s">
        <v>25</v>
      </c>
      <c r="E1707" s="256"/>
      <c r="F1707" s="257">
        <v>315</v>
      </c>
      <c r="G1707" s="258" t="s">
        <v>246</v>
      </c>
      <c r="H1707" s="525" t="s">
        <v>753</v>
      </c>
      <c r="I1707" s="541">
        <f t="shared" si="30"/>
        <v>134894.57142857119</v>
      </c>
      <c r="K1707" s="243"/>
    </row>
    <row r="1708" spans="2:11" ht="17" customHeight="1">
      <c r="B1708" s="615">
        <v>45868</v>
      </c>
      <c r="C1708" s="263" t="s">
        <v>513</v>
      </c>
      <c r="D1708" s="255" t="s">
        <v>557</v>
      </c>
      <c r="E1708" s="256"/>
      <c r="F1708" s="257">
        <v>370</v>
      </c>
      <c r="G1708" s="258" t="s">
        <v>1859</v>
      </c>
      <c r="H1708" s="525" t="s">
        <v>753</v>
      </c>
      <c r="I1708" s="541">
        <f t="shared" si="30"/>
        <v>134524.57142857119</v>
      </c>
      <c r="K1708" s="243"/>
    </row>
    <row r="1709" spans="2:11" ht="17" customHeight="1">
      <c r="B1709" s="615">
        <v>45868</v>
      </c>
      <c r="C1709" s="263" t="s">
        <v>513</v>
      </c>
      <c r="D1709" s="255" t="s">
        <v>807</v>
      </c>
      <c r="E1709" s="256"/>
      <c r="F1709" s="257">
        <v>390</v>
      </c>
      <c r="G1709" s="258" t="s">
        <v>248</v>
      </c>
      <c r="H1709" s="525" t="s">
        <v>753</v>
      </c>
      <c r="I1709" s="541">
        <f t="shared" si="30"/>
        <v>134134.57142857119</v>
      </c>
      <c r="K1709" s="243"/>
    </row>
    <row r="1710" spans="2:11" ht="17" customHeight="1">
      <c r="B1710" s="615">
        <v>45868</v>
      </c>
      <c r="C1710" s="263" t="s">
        <v>513</v>
      </c>
      <c r="D1710" s="255" t="s">
        <v>28</v>
      </c>
      <c r="E1710" s="256"/>
      <c r="F1710" s="257">
        <v>655</v>
      </c>
      <c r="G1710" s="258" t="s">
        <v>243</v>
      </c>
      <c r="H1710" s="525" t="s">
        <v>753</v>
      </c>
      <c r="I1710" s="541">
        <f t="shared" si="30"/>
        <v>133479.57142857119</v>
      </c>
      <c r="K1710" s="243"/>
    </row>
    <row r="1711" spans="2:11" ht="17" customHeight="1">
      <c r="B1711" s="615">
        <v>45868</v>
      </c>
      <c r="C1711" s="263" t="s">
        <v>513</v>
      </c>
      <c r="D1711" s="255" t="s">
        <v>29</v>
      </c>
      <c r="E1711" s="256"/>
      <c r="F1711" s="257">
        <v>410</v>
      </c>
      <c r="G1711" s="258" t="s">
        <v>243</v>
      </c>
      <c r="H1711" s="525" t="s">
        <v>753</v>
      </c>
      <c r="I1711" s="541">
        <f t="shared" si="30"/>
        <v>133069.57142857119</v>
      </c>
      <c r="K1711" s="243"/>
    </row>
    <row r="1712" spans="2:11" ht="17" customHeight="1">
      <c r="B1712" s="615">
        <v>45868</v>
      </c>
      <c r="C1712" s="263" t="s">
        <v>513</v>
      </c>
      <c r="D1712" s="255" t="s">
        <v>559</v>
      </c>
      <c r="E1712" s="256"/>
      <c r="F1712" s="257">
        <v>745</v>
      </c>
      <c r="G1712" s="258" t="s">
        <v>243</v>
      </c>
      <c r="H1712" s="525" t="s">
        <v>753</v>
      </c>
      <c r="I1712" s="541">
        <f t="shared" si="30"/>
        <v>132324.57142857119</v>
      </c>
      <c r="K1712" s="243"/>
    </row>
    <row r="1713" spans="2:11" ht="17" customHeight="1">
      <c r="B1713" s="615">
        <v>45868</v>
      </c>
      <c r="C1713" s="263" t="s">
        <v>513</v>
      </c>
      <c r="D1713" s="255" t="s">
        <v>24</v>
      </c>
      <c r="E1713" s="256"/>
      <c r="F1713" s="257">
        <v>350</v>
      </c>
      <c r="G1713" s="258" t="s">
        <v>245</v>
      </c>
      <c r="H1713" s="525" t="s">
        <v>753</v>
      </c>
      <c r="I1713" s="541">
        <f t="shared" si="30"/>
        <v>131974.57142857119</v>
      </c>
      <c r="K1713" s="243"/>
    </row>
    <row r="1714" spans="2:11" ht="17" customHeight="1">
      <c r="B1714" s="615">
        <v>45868</v>
      </c>
      <c r="C1714" s="263" t="s">
        <v>513</v>
      </c>
      <c r="D1714" s="255" t="s">
        <v>558</v>
      </c>
      <c r="E1714" s="256"/>
      <c r="F1714" s="257">
        <v>215</v>
      </c>
      <c r="G1714" s="258" t="s">
        <v>245</v>
      </c>
      <c r="H1714" s="525" t="s">
        <v>753</v>
      </c>
      <c r="I1714" s="541">
        <f t="shared" si="30"/>
        <v>131759.57142857119</v>
      </c>
      <c r="K1714" s="243"/>
    </row>
    <row r="1715" spans="2:11" ht="17" customHeight="1">
      <c r="B1715" s="674">
        <v>45881</v>
      </c>
      <c r="C1715" s="263" t="s">
        <v>513</v>
      </c>
      <c r="D1715" s="255" t="s">
        <v>563</v>
      </c>
      <c r="E1715" s="256"/>
      <c r="F1715" s="257">
        <v>105</v>
      </c>
      <c r="G1715" s="258" t="s">
        <v>249</v>
      </c>
      <c r="H1715" s="259"/>
      <c r="I1715" s="541">
        <f t="shared" si="30"/>
        <v>131654.57142857119</v>
      </c>
      <c r="K1715" s="243"/>
    </row>
    <row r="1716" spans="2:11" ht="17" customHeight="1">
      <c r="B1716" s="674">
        <v>45881</v>
      </c>
      <c r="C1716" s="263" t="s">
        <v>117</v>
      </c>
      <c r="D1716" s="255" t="s">
        <v>831</v>
      </c>
      <c r="E1716" s="256"/>
      <c r="F1716" s="257">
        <v>28.19</v>
      </c>
      <c r="G1716" s="258" t="s">
        <v>252</v>
      </c>
      <c r="H1716" s="259"/>
      <c r="I1716" s="541">
        <f t="shared" si="30"/>
        <v>131626.38142857119</v>
      </c>
      <c r="K1716" s="243"/>
    </row>
    <row r="1717" spans="2:11" ht="17" customHeight="1">
      <c r="B1717" s="674">
        <v>45881</v>
      </c>
      <c r="C1717" s="263" t="s">
        <v>117</v>
      </c>
      <c r="D1717" s="255" t="s">
        <v>846</v>
      </c>
      <c r="E1717" s="256"/>
      <c r="F1717" s="257">
        <v>81.5</v>
      </c>
      <c r="G1717" s="258" t="s">
        <v>201</v>
      </c>
      <c r="H1717" s="259"/>
      <c r="I1717" s="541">
        <f t="shared" si="30"/>
        <v>131544.88142857119</v>
      </c>
      <c r="K1717" s="243"/>
    </row>
    <row r="1718" spans="2:11" ht="17" customHeight="1">
      <c r="B1718" s="674">
        <v>45881</v>
      </c>
      <c r="C1718" s="263" t="s">
        <v>117</v>
      </c>
      <c r="D1718" s="255" t="s">
        <v>549</v>
      </c>
      <c r="E1718" s="256"/>
      <c r="F1718" s="257">
        <v>67</v>
      </c>
      <c r="G1718" s="258" t="s">
        <v>256</v>
      </c>
      <c r="H1718" s="259"/>
      <c r="I1718" s="541">
        <f t="shared" si="30"/>
        <v>131477.88142857119</v>
      </c>
      <c r="K1718" s="243"/>
    </row>
    <row r="1719" spans="2:11" ht="17" customHeight="1">
      <c r="B1719" s="674">
        <v>45881</v>
      </c>
      <c r="C1719" s="675" t="s">
        <v>283</v>
      </c>
      <c r="D1719" s="676" t="s">
        <v>283</v>
      </c>
      <c r="E1719" s="677">
        <f>1461.29-E1720</f>
        <v>1327.31</v>
      </c>
      <c r="F1719" s="678"/>
      <c r="G1719" s="258" t="s">
        <v>190</v>
      </c>
      <c r="H1719" s="259"/>
      <c r="I1719" s="541">
        <f t="shared" ref="I1719:I1778" si="31">I1718+E1719-F1719</f>
        <v>132805.19142857118</v>
      </c>
      <c r="K1719" s="243"/>
    </row>
    <row r="1720" spans="2:11" ht="17" customHeight="1">
      <c r="B1720" s="674">
        <v>45881</v>
      </c>
      <c r="C1720" s="675" t="s">
        <v>283</v>
      </c>
      <c r="D1720" s="676" t="s">
        <v>508</v>
      </c>
      <c r="E1720" s="677">
        <v>133.97999999999999</v>
      </c>
      <c r="F1720" s="678"/>
      <c r="G1720" s="258" t="s">
        <v>276</v>
      </c>
      <c r="H1720" s="259"/>
      <c r="I1720" s="541">
        <f t="shared" si="31"/>
        <v>132939.17142857119</v>
      </c>
      <c r="K1720" s="243"/>
    </row>
    <row r="1721" spans="2:11" ht="17" customHeight="1">
      <c r="B1721" s="615">
        <v>45868</v>
      </c>
      <c r="C1721" s="263" t="s">
        <v>513</v>
      </c>
      <c r="D1721" s="255" t="s">
        <v>1926</v>
      </c>
      <c r="E1721" s="256"/>
      <c r="F1721" s="257">
        <v>90</v>
      </c>
      <c r="G1721" s="258" t="s">
        <v>248</v>
      </c>
      <c r="H1721" s="259"/>
      <c r="I1721" s="541">
        <f t="shared" si="31"/>
        <v>132849.17142857119</v>
      </c>
      <c r="K1721" s="243"/>
    </row>
    <row r="1722" spans="2:11" ht="17" customHeight="1">
      <c r="B1722" s="674">
        <v>45882</v>
      </c>
      <c r="C1722" s="263" t="s">
        <v>286</v>
      </c>
      <c r="D1722" s="255" t="s">
        <v>520</v>
      </c>
      <c r="E1722" s="256"/>
      <c r="F1722" s="257">
        <v>35</v>
      </c>
      <c r="G1722" s="258" t="s">
        <v>139</v>
      </c>
      <c r="H1722" s="259"/>
      <c r="I1722" s="541">
        <f t="shared" si="31"/>
        <v>132814.17142857119</v>
      </c>
      <c r="K1722" s="243"/>
    </row>
    <row r="1723" spans="2:11" ht="17" customHeight="1">
      <c r="B1723" s="674">
        <v>45882</v>
      </c>
      <c r="C1723" s="263" t="s">
        <v>1929</v>
      </c>
      <c r="D1723" s="255" t="s">
        <v>512</v>
      </c>
      <c r="E1723" s="256"/>
      <c r="F1723" s="257">
        <f>28.45-1.11</f>
        <v>27.34</v>
      </c>
      <c r="G1723" s="258" t="s">
        <v>199</v>
      </c>
      <c r="H1723" s="259"/>
      <c r="I1723" s="541">
        <f t="shared" si="31"/>
        <v>132786.8314285712</v>
      </c>
      <c r="K1723" s="243"/>
    </row>
    <row r="1724" spans="2:11" ht="17" customHeight="1">
      <c r="B1724" s="674">
        <v>45882</v>
      </c>
      <c r="C1724" s="263" t="s">
        <v>1929</v>
      </c>
      <c r="D1724" s="255" t="s">
        <v>512</v>
      </c>
      <c r="E1724" s="256"/>
      <c r="F1724" s="257">
        <v>1.1100000000000001</v>
      </c>
      <c r="G1724" s="258" t="s">
        <v>274</v>
      </c>
      <c r="H1724" s="259"/>
      <c r="I1724" s="541">
        <f t="shared" si="31"/>
        <v>132785.72142857121</v>
      </c>
      <c r="K1724" s="243"/>
    </row>
    <row r="1725" spans="2:11" ht="17" customHeight="1">
      <c r="B1725" s="674">
        <v>45882</v>
      </c>
      <c r="C1725" s="675" t="s">
        <v>283</v>
      </c>
      <c r="D1725" s="676" t="s">
        <v>283</v>
      </c>
      <c r="E1725" s="677">
        <f>1064.75-E1726</f>
        <v>901.9</v>
      </c>
      <c r="F1725" s="678"/>
      <c r="G1725" s="258" t="s">
        <v>190</v>
      </c>
      <c r="H1725" s="259"/>
      <c r="I1725" s="541">
        <f t="shared" si="31"/>
        <v>133687.6214285712</v>
      </c>
      <c r="K1725" s="243"/>
    </row>
    <row r="1726" spans="2:11" ht="17" customHeight="1">
      <c r="B1726" s="674">
        <v>45882</v>
      </c>
      <c r="C1726" s="675" t="s">
        <v>283</v>
      </c>
      <c r="D1726" s="676" t="s">
        <v>508</v>
      </c>
      <c r="E1726" s="677">
        <v>162.85</v>
      </c>
      <c r="F1726" s="678"/>
      <c r="G1726" s="258" t="s">
        <v>276</v>
      </c>
      <c r="H1726" s="259"/>
      <c r="I1726" s="541">
        <f t="shared" si="31"/>
        <v>133850.47142857121</v>
      </c>
      <c r="K1726" s="243"/>
    </row>
    <row r="1727" spans="2:11" ht="17" customHeight="1">
      <c r="B1727" s="674">
        <v>45883</v>
      </c>
      <c r="C1727" s="263" t="s">
        <v>117</v>
      </c>
      <c r="D1727" s="255" t="s">
        <v>306</v>
      </c>
      <c r="E1727" s="256"/>
      <c r="F1727" s="257">
        <f>971.5-334.45+409.6-765.6</f>
        <v>281.05000000000007</v>
      </c>
      <c r="G1727" s="258" t="s">
        <v>194</v>
      </c>
      <c r="H1727" s="259"/>
      <c r="I1727" s="541">
        <f t="shared" si="31"/>
        <v>133569.42142857122</v>
      </c>
      <c r="K1727" s="243"/>
    </row>
    <row r="1728" spans="2:11" ht="17" customHeight="1">
      <c r="B1728" s="674">
        <v>45883</v>
      </c>
      <c r="C1728" s="263" t="s">
        <v>117</v>
      </c>
      <c r="D1728" s="255" t="s">
        <v>306</v>
      </c>
      <c r="E1728" s="256"/>
      <c r="F1728" s="257">
        <v>88.35</v>
      </c>
      <c r="G1728" s="258" t="s">
        <v>194</v>
      </c>
      <c r="H1728" s="259"/>
      <c r="I1728" s="541">
        <f t="shared" si="31"/>
        <v>133481.07142857122</v>
      </c>
      <c r="K1728" s="243"/>
    </row>
    <row r="1729" spans="2:11" ht="17" customHeight="1">
      <c r="B1729" s="674">
        <v>45883</v>
      </c>
      <c r="C1729" s="263" t="s">
        <v>1932</v>
      </c>
      <c r="D1729" s="255" t="s">
        <v>545</v>
      </c>
      <c r="E1729" s="256"/>
      <c r="F1729" s="257">
        <v>20</v>
      </c>
      <c r="G1729" s="258" t="s">
        <v>208</v>
      </c>
      <c r="H1729" s="259"/>
      <c r="I1729" s="541">
        <f t="shared" si="31"/>
        <v>133461.07142857122</v>
      </c>
      <c r="K1729" s="243"/>
    </row>
    <row r="1730" spans="2:11" ht="17" customHeight="1">
      <c r="B1730" s="674">
        <v>45883</v>
      </c>
      <c r="C1730" s="263" t="s">
        <v>513</v>
      </c>
      <c r="D1730" s="255" t="s">
        <v>30</v>
      </c>
      <c r="E1730" s="256">
        <v>110</v>
      </c>
      <c r="F1730" s="257"/>
      <c r="G1730" s="258" t="s">
        <v>209</v>
      </c>
      <c r="H1730" s="259"/>
      <c r="I1730" s="541">
        <f t="shared" si="31"/>
        <v>133571.07142857122</v>
      </c>
      <c r="K1730" s="243"/>
    </row>
    <row r="1731" spans="2:11" ht="17" customHeight="1">
      <c r="B1731" s="674">
        <v>45883</v>
      </c>
      <c r="C1731" s="263" t="s">
        <v>513</v>
      </c>
      <c r="D1731" s="255" t="s">
        <v>873</v>
      </c>
      <c r="E1731" s="256"/>
      <c r="F1731" s="257">
        <v>50</v>
      </c>
      <c r="G1731" s="258" t="s">
        <v>209</v>
      </c>
      <c r="H1731" s="259"/>
      <c r="I1731" s="541">
        <f t="shared" si="31"/>
        <v>133521.07142857122</v>
      </c>
      <c r="K1731" s="243"/>
    </row>
    <row r="1732" spans="2:11" ht="17" customHeight="1">
      <c r="B1732" s="674">
        <v>45883</v>
      </c>
      <c r="C1732" s="675" t="s">
        <v>283</v>
      </c>
      <c r="D1732" s="676" t="s">
        <v>283</v>
      </c>
      <c r="E1732" s="677">
        <f>1588.7-E1733</f>
        <v>1323.6100000000001</v>
      </c>
      <c r="F1732" s="678"/>
      <c r="G1732" s="258" t="s">
        <v>190</v>
      </c>
      <c r="H1732" s="259"/>
      <c r="I1732" s="541">
        <f t="shared" si="31"/>
        <v>134844.6814285712</v>
      </c>
      <c r="K1732" s="243"/>
    </row>
    <row r="1733" spans="2:11" ht="17" customHeight="1">
      <c r="B1733" s="674">
        <v>45883</v>
      </c>
      <c r="C1733" s="675" t="s">
        <v>283</v>
      </c>
      <c r="D1733" s="676" t="s">
        <v>508</v>
      </c>
      <c r="E1733" s="677">
        <v>265.08999999999997</v>
      </c>
      <c r="F1733" s="678"/>
      <c r="G1733" s="258" t="s">
        <v>276</v>
      </c>
      <c r="H1733" s="259"/>
      <c r="I1733" s="541">
        <f t="shared" si="31"/>
        <v>135109.7714285712</v>
      </c>
      <c r="K1733" s="243"/>
    </row>
    <row r="1734" spans="2:11" ht="17" customHeight="1">
      <c r="B1734" s="674">
        <v>45884</v>
      </c>
      <c r="C1734" s="497" t="s">
        <v>541</v>
      </c>
      <c r="D1734" s="498" t="s">
        <v>542</v>
      </c>
      <c r="E1734" s="499"/>
      <c r="F1734" s="500">
        <v>10000</v>
      </c>
      <c r="G1734" s="501" t="s">
        <v>277</v>
      </c>
      <c r="H1734" s="259"/>
      <c r="I1734" s="541">
        <f t="shared" si="31"/>
        <v>125109.7714285712</v>
      </c>
      <c r="K1734" s="243"/>
    </row>
    <row r="1735" spans="2:11" ht="17" customHeight="1">
      <c r="B1735" s="674">
        <v>45884</v>
      </c>
      <c r="C1735" s="263" t="s">
        <v>117</v>
      </c>
      <c r="D1735" s="255" t="s">
        <v>1930</v>
      </c>
      <c r="E1735" s="256">
        <v>200</v>
      </c>
      <c r="F1735" s="257"/>
      <c r="G1735" s="258" t="s">
        <v>195</v>
      </c>
      <c r="H1735" s="259"/>
      <c r="I1735" s="541">
        <f t="shared" si="31"/>
        <v>125309.7714285712</v>
      </c>
      <c r="K1735" s="243"/>
    </row>
    <row r="1736" spans="2:11" ht="17" customHeight="1">
      <c r="B1736" s="674">
        <v>45884</v>
      </c>
      <c r="C1736" s="263" t="s">
        <v>117</v>
      </c>
      <c r="D1736" s="255" t="s">
        <v>1931</v>
      </c>
      <c r="E1736" s="256">
        <v>125</v>
      </c>
      <c r="F1736" s="257"/>
      <c r="G1736" s="258" t="s">
        <v>216</v>
      </c>
      <c r="H1736" s="259"/>
      <c r="I1736" s="541">
        <f t="shared" si="31"/>
        <v>125434.7714285712</v>
      </c>
      <c r="K1736" s="243"/>
    </row>
    <row r="1737" spans="2:11" ht="17" customHeight="1">
      <c r="B1737" s="674">
        <v>45884</v>
      </c>
      <c r="C1737" s="263" t="s">
        <v>117</v>
      </c>
      <c r="D1737" s="255" t="s">
        <v>1917</v>
      </c>
      <c r="E1737" s="256">
        <v>555</v>
      </c>
      <c r="F1737" s="257"/>
      <c r="G1737" s="258" t="s">
        <v>194</v>
      </c>
      <c r="H1737" s="259"/>
      <c r="I1737" s="541">
        <f t="shared" si="31"/>
        <v>125989.7714285712</v>
      </c>
      <c r="K1737" s="243"/>
    </row>
    <row r="1738" spans="2:11" ht="17" customHeight="1">
      <c r="B1738" s="674">
        <v>45885</v>
      </c>
      <c r="C1738" s="263" t="s">
        <v>1933</v>
      </c>
      <c r="D1738" s="255" t="s">
        <v>1823</v>
      </c>
      <c r="E1738" s="256"/>
      <c r="F1738" s="257">
        <v>200</v>
      </c>
      <c r="G1738" s="258" t="s">
        <v>274</v>
      </c>
      <c r="H1738" s="259"/>
      <c r="I1738" s="541">
        <f t="shared" si="31"/>
        <v>125789.7714285712</v>
      </c>
      <c r="K1738" s="243"/>
    </row>
    <row r="1739" spans="2:11" ht="17" customHeight="1">
      <c r="B1739" s="674">
        <v>45885</v>
      </c>
      <c r="C1739" s="263" t="s">
        <v>513</v>
      </c>
      <c r="D1739" s="255" t="s">
        <v>873</v>
      </c>
      <c r="E1739" s="256"/>
      <c r="F1739" s="257">
        <v>30</v>
      </c>
      <c r="G1739" s="258" t="s">
        <v>248</v>
      </c>
      <c r="H1739" s="259"/>
      <c r="I1739" s="541">
        <f t="shared" si="31"/>
        <v>125759.7714285712</v>
      </c>
      <c r="K1739" s="243"/>
    </row>
    <row r="1740" spans="2:11" ht="17" customHeight="1">
      <c r="B1740" s="674">
        <v>45885</v>
      </c>
      <c r="C1740" s="675" t="s">
        <v>283</v>
      </c>
      <c r="D1740" s="676" t="s">
        <v>283</v>
      </c>
      <c r="E1740" s="677">
        <f>1502.5-E1741</f>
        <v>1246.3399999999999</v>
      </c>
      <c r="F1740" s="678"/>
      <c r="G1740" s="258" t="s">
        <v>190</v>
      </c>
      <c r="H1740" s="259"/>
      <c r="I1740" s="541">
        <f t="shared" si="31"/>
        <v>127006.1114285712</v>
      </c>
      <c r="K1740" s="243"/>
    </row>
    <row r="1741" spans="2:11" ht="17" customHeight="1">
      <c r="B1741" s="674">
        <v>45885</v>
      </c>
      <c r="C1741" s="675" t="s">
        <v>283</v>
      </c>
      <c r="D1741" s="676" t="s">
        <v>508</v>
      </c>
      <c r="E1741" s="677">
        <v>256.16000000000003</v>
      </c>
      <c r="F1741" s="678"/>
      <c r="G1741" s="258" t="s">
        <v>276</v>
      </c>
      <c r="H1741" s="259"/>
      <c r="I1741" s="541">
        <f t="shared" si="31"/>
        <v>127262.2714285712</v>
      </c>
      <c r="K1741" s="243"/>
    </row>
    <row r="1742" spans="2:11" ht="17" customHeight="1">
      <c r="B1742" s="674">
        <v>45886</v>
      </c>
      <c r="C1742" s="263" t="s">
        <v>117</v>
      </c>
      <c r="D1742" s="255" t="s">
        <v>684</v>
      </c>
      <c r="E1742" s="256"/>
      <c r="F1742" s="257">
        <v>110</v>
      </c>
      <c r="G1742" s="258" t="s">
        <v>216</v>
      </c>
      <c r="H1742" s="259" t="s">
        <v>1934</v>
      </c>
      <c r="I1742" s="541">
        <f t="shared" si="31"/>
        <v>127152.2714285712</v>
      </c>
      <c r="K1742" s="243"/>
    </row>
    <row r="1743" spans="2:11" ht="17" customHeight="1">
      <c r="B1743" s="674">
        <v>45886</v>
      </c>
      <c r="C1743" s="263" t="s">
        <v>117</v>
      </c>
      <c r="D1743" s="255" t="s">
        <v>594</v>
      </c>
      <c r="E1743" s="256"/>
      <c r="F1743" s="257">
        <v>72</v>
      </c>
      <c r="G1743" s="258" t="s">
        <v>216</v>
      </c>
      <c r="H1743" s="259" t="s">
        <v>1934</v>
      </c>
      <c r="I1743" s="541">
        <f t="shared" si="31"/>
        <v>127080.2714285712</v>
      </c>
      <c r="K1743" s="243"/>
    </row>
    <row r="1744" spans="2:11" ht="17" customHeight="1">
      <c r="B1744" s="674">
        <v>45886</v>
      </c>
      <c r="C1744" s="263" t="s">
        <v>117</v>
      </c>
      <c r="D1744" s="255" t="s">
        <v>1935</v>
      </c>
      <c r="E1744" s="256"/>
      <c r="F1744" s="257">
        <v>15</v>
      </c>
      <c r="G1744" s="258" t="s">
        <v>216</v>
      </c>
      <c r="H1744" s="259"/>
      <c r="I1744" s="541">
        <f t="shared" si="31"/>
        <v>127065.2714285712</v>
      </c>
      <c r="K1744" s="243"/>
    </row>
    <row r="1745" spans="2:11" ht="17" customHeight="1">
      <c r="B1745" s="674">
        <v>45886</v>
      </c>
      <c r="C1745" s="263" t="s">
        <v>117</v>
      </c>
      <c r="D1745" s="255" t="s">
        <v>1936</v>
      </c>
      <c r="E1745" s="256"/>
      <c r="F1745" s="257">
        <v>212.3</v>
      </c>
      <c r="G1745" s="258" t="s">
        <v>207</v>
      </c>
      <c r="H1745" s="259"/>
      <c r="I1745" s="541">
        <f t="shared" si="31"/>
        <v>126852.9714285712</v>
      </c>
      <c r="K1745" s="243"/>
    </row>
    <row r="1746" spans="2:11" ht="17" customHeight="1">
      <c r="B1746" s="674">
        <v>45886</v>
      </c>
      <c r="C1746" s="263" t="s">
        <v>117</v>
      </c>
      <c r="D1746" s="255" t="s">
        <v>1822</v>
      </c>
      <c r="E1746" s="256"/>
      <c r="F1746" s="257">
        <f>57.3+71.93+1.02</f>
        <v>130.25000000000003</v>
      </c>
      <c r="G1746" s="258" t="s">
        <v>207</v>
      </c>
      <c r="H1746" s="259"/>
      <c r="I1746" s="541">
        <f t="shared" si="31"/>
        <v>126722.7214285712</v>
      </c>
      <c r="K1746" s="243"/>
    </row>
    <row r="1747" spans="2:11" ht="17" customHeight="1">
      <c r="B1747" s="674">
        <v>45886</v>
      </c>
      <c r="C1747" s="263" t="s">
        <v>117</v>
      </c>
      <c r="D1747" s="255" t="s">
        <v>667</v>
      </c>
      <c r="E1747" s="256"/>
      <c r="F1747" s="257">
        <v>165.45</v>
      </c>
      <c r="G1747" s="258" t="s">
        <v>207</v>
      </c>
      <c r="H1747" s="259"/>
      <c r="I1747" s="541">
        <f t="shared" si="31"/>
        <v>126557.2714285712</v>
      </c>
      <c r="K1747" s="243"/>
    </row>
    <row r="1748" spans="2:11" ht="17" customHeight="1">
      <c r="B1748" s="674">
        <v>45886</v>
      </c>
      <c r="C1748" s="263" t="s">
        <v>117</v>
      </c>
      <c r="D1748" s="255" t="s">
        <v>1937</v>
      </c>
      <c r="E1748" s="256"/>
      <c r="F1748" s="257">
        <v>110</v>
      </c>
      <c r="G1748" s="258" t="s">
        <v>216</v>
      </c>
      <c r="H1748" s="259"/>
      <c r="I1748" s="541">
        <f t="shared" si="31"/>
        <v>126447.2714285712</v>
      </c>
      <c r="K1748" s="243"/>
    </row>
    <row r="1749" spans="2:11" ht="17" customHeight="1">
      <c r="B1749" s="674">
        <v>45886</v>
      </c>
      <c r="C1749" s="263" t="s">
        <v>513</v>
      </c>
      <c r="D1749" s="255" t="s">
        <v>873</v>
      </c>
      <c r="E1749" s="256"/>
      <c r="F1749" s="257">
        <v>35</v>
      </c>
      <c r="G1749" s="258" t="s">
        <v>248</v>
      </c>
      <c r="H1749" s="259"/>
      <c r="I1749" s="541">
        <f t="shared" si="31"/>
        <v>126412.2714285712</v>
      </c>
      <c r="K1749" s="243"/>
    </row>
    <row r="1750" spans="2:11" ht="17" customHeight="1">
      <c r="B1750" s="674">
        <v>45886</v>
      </c>
      <c r="C1750" s="675" t="s">
        <v>283</v>
      </c>
      <c r="D1750" s="676" t="s">
        <v>283</v>
      </c>
      <c r="E1750" s="677">
        <f>1712.5-E1751</f>
        <v>1537.37</v>
      </c>
      <c r="F1750" s="678"/>
      <c r="G1750" s="258" t="s">
        <v>190</v>
      </c>
      <c r="H1750" s="259"/>
      <c r="I1750" s="541">
        <f t="shared" si="31"/>
        <v>127949.64142857119</v>
      </c>
      <c r="K1750" s="243"/>
    </row>
    <row r="1751" spans="2:11" ht="17" customHeight="1">
      <c r="B1751" s="674">
        <v>45886</v>
      </c>
      <c r="C1751" s="675" t="s">
        <v>283</v>
      </c>
      <c r="D1751" s="676" t="s">
        <v>508</v>
      </c>
      <c r="E1751" s="677">
        <v>175.13</v>
      </c>
      <c r="F1751" s="678"/>
      <c r="G1751" s="258" t="s">
        <v>276</v>
      </c>
      <c r="H1751" s="259"/>
      <c r="I1751" s="541">
        <f t="shared" si="31"/>
        <v>128124.7714285712</v>
      </c>
      <c r="K1751" s="243"/>
    </row>
    <row r="1752" spans="2:11" ht="17" customHeight="1">
      <c r="B1752" s="674">
        <v>45884</v>
      </c>
      <c r="C1752" s="497" t="s">
        <v>541</v>
      </c>
      <c r="D1752" s="498" t="s">
        <v>542</v>
      </c>
      <c r="E1752" s="499"/>
      <c r="F1752" s="500">
        <v>8950</v>
      </c>
      <c r="G1752" s="501" t="s">
        <v>277</v>
      </c>
      <c r="H1752" s="259"/>
      <c r="I1752" s="541">
        <f t="shared" si="31"/>
        <v>119174.7714285712</v>
      </c>
      <c r="K1752" s="243"/>
    </row>
    <row r="1753" spans="2:11" ht="17" customHeight="1">
      <c r="B1753" s="674">
        <v>45887</v>
      </c>
      <c r="C1753" s="263" t="s">
        <v>117</v>
      </c>
      <c r="D1753" s="255" t="s">
        <v>1946</v>
      </c>
      <c r="E1753" s="256"/>
      <c r="F1753" s="257">
        <v>25</v>
      </c>
      <c r="G1753" s="258" t="s">
        <v>208</v>
      </c>
      <c r="H1753" s="259"/>
      <c r="I1753" s="541">
        <f t="shared" si="31"/>
        <v>119149.7714285712</v>
      </c>
      <c r="K1753" s="243"/>
    </row>
    <row r="1754" spans="2:11" ht="17" customHeight="1">
      <c r="B1754" s="674">
        <v>45887</v>
      </c>
      <c r="C1754" s="263" t="s">
        <v>513</v>
      </c>
      <c r="D1754" s="255" t="s">
        <v>31</v>
      </c>
      <c r="E1754" s="256"/>
      <c r="F1754" s="257">
        <v>115</v>
      </c>
      <c r="G1754" s="258" t="s">
        <v>245</v>
      </c>
      <c r="H1754" s="259"/>
      <c r="I1754" s="541">
        <f t="shared" si="31"/>
        <v>119034.7714285712</v>
      </c>
      <c r="K1754" s="243"/>
    </row>
    <row r="1755" spans="2:11" ht="17" customHeight="1">
      <c r="B1755" s="674">
        <v>45887</v>
      </c>
      <c r="C1755" s="675" t="s">
        <v>283</v>
      </c>
      <c r="D1755" s="676" t="s">
        <v>283</v>
      </c>
      <c r="E1755" s="677">
        <f>1034-E1756</f>
        <v>905.55</v>
      </c>
      <c r="F1755" s="678"/>
      <c r="G1755" s="258" t="s">
        <v>190</v>
      </c>
      <c r="H1755" s="259"/>
      <c r="I1755" s="541">
        <f t="shared" si="31"/>
        <v>119940.3214285712</v>
      </c>
      <c r="K1755" s="243"/>
    </row>
    <row r="1756" spans="2:11" ht="17" customHeight="1">
      <c r="B1756" s="674">
        <v>45887</v>
      </c>
      <c r="C1756" s="675" t="s">
        <v>283</v>
      </c>
      <c r="D1756" s="676" t="s">
        <v>508</v>
      </c>
      <c r="E1756" s="677">
        <v>128.44999999999999</v>
      </c>
      <c r="F1756" s="678"/>
      <c r="G1756" s="258" t="s">
        <v>276</v>
      </c>
      <c r="H1756" s="259"/>
      <c r="I1756" s="541">
        <f t="shared" si="31"/>
        <v>120068.7714285712</v>
      </c>
      <c r="K1756" s="243"/>
    </row>
    <row r="1757" spans="2:11" ht="17" customHeight="1">
      <c r="B1757" s="674">
        <v>45888</v>
      </c>
      <c r="C1757" s="263" t="s">
        <v>117</v>
      </c>
      <c r="D1757" s="255" t="s">
        <v>846</v>
      </c>
      <c r="E1757" s="256"/>
      <c r="F1757" s="257">
        <v>89</v>
      </c>
      <c r="G1757" s="258" t="s">
        <v>201</v>
      </c>
      <c r="H1757" s="259"/>
      <c r="I1757" s="541">
        <f t="shared" si="31"/>
        <v>119979.7714285712</v>
      </c>
      <c r="K1757" s="243"/>
    </row>
    <row r="1758" spans="2:11" ht="17" customHeight="1">
      <c r="B1758" s="674">
        <v>45888</v>
      </c>
      <c r="C1758" s="263" t="s">
        <v>513</v>
      </c>
      <c r="D1758" s="255" t="s">
        <v>688</v>
      </c>
      <c r="E1758" s="256"/>
      <c r="F1758" s="257">
        <v>79</v>
      </c>
      <c r="G1758" s="258" t="s">
        <v>248</v>
      </c>
      <c r="H1758" s="259"/>
      <c r="I1758" s="541">
        <f t="shared" si="31"/>
        <v>119900.7714285712</v>
      </c>
      <c r="K1758" s="243"/>
    </row>
    <row r="1759" spans="2:11" ht="17" customHeight="1">
      <c r="B1759" s="674">
        <v>45888</v>
      </c>
      <c r="C1759" s="263" t="s">
        <v>117</v>
      </c>
      <c r="D1759" s="255" t="s">
        <v>1947</v>
      </c>
      <c r="E1759" s="256"/>
      <c r="F1759" s="257">
        <v>150</v>
      </c>
      <c r="G1759" s="258" t="s">
        <v>230</v>
      </c>
      <c r="H1759" s="259"/>
      <c r="I1759" s="541">
        <f t="shared" si="31"/>
        <v>119750.7714285712</v>
      </c>
      <c r="K1759" s="243"/>
    </row>
    <row r="1760" spans="2:11" ht="17" customHeight="1">
      <c r="B1760" s="674">
        <v>45888</v>
      </c>
      <c r="C1760" s="263" t="s">
        <v>117</v>
      </c>
      <c r="D1760" s="255" t="s">
        <v>650</v>
      </c>
      <c r="E1760" s="256"/>
      <c r="F1760" s="257">
        <v>675.1</v>
      </c>
      <c r="G1760" s="258" t="s">
        <v>194</v>
      </c>
      <c r="H1760" s="259"/>
      <c r="I1760" s="541">
        <f t="shared" si="31"/>
        <v>119075.67142857119</v>
      </c>
      <c r="K1760" s="243"/>
    </row>
    <row r="1761" spans="2:11" ht="17" customHeight="1">
      <c r="B1761" s="674">
        <v>45888</v>
      </c>
      <c r="C1761" s="675" t="s">
        <v>283</v>
      </c>
      <c r="D1761" s="676" t="s">
        <v>283</v>
      </c>
      <c r="E1761" s="677">
        <f>1701-E1762</f>
        <v>1477.9</v>
      </c>
      <c r="F1761" s="678"/>
      <c r="G1761" s="258" t="s">
        <v>190</v>
      </c>
      <c r="H1761" s="259"/>
      <c r="I1761" s="541">
        <f t="shared" si="31"/>
        <v>120553.57142857119</v>
      </c>
      <c r="K1761" s="243"/>
    </row>
    <row r="1762" spans="2:11" ht="17" customHeight="1">
      <c r="B1762" s="674">
        <v>45888</v>
      </c>
      <c r="C1762" s="675" t="s">
        <v>283</v>
      </c>
      <c r="D1762" s="676" t="s">
        <v>508</v>
      </c>
      <c r="E1762" s="677">
        <v>223.1</v>
      </c>
      <c r="F1762" s="678"/>
      <c r="G1762" s="258" t="s">
        <v>276</v>
      </c>
      <c r="H1762" s="259"/>
      <c r="I1762" s="541">
        <f t="shared" si="31"/>
        <v>120776.67142857119</v>
      </c>
      <c r="K1762" s="243"/>
    </row>
    <row r="1763" spans="2:11" ht="17" customHeight="1">
      <c r="B1763" s="674">
        <v>45889</v>
      </c>
      <c r="C1763" s="263" t="s">
        <v>286</v>
      </c>
      <c r="D1763" s="255" t="s">
        <v>520</v>
      </c>
      <c r="E1763" s="256"/>
      <c r="F1763" s="257">
        <f>35+114</f>
        <v>149</v>
      </c>
      <c r="G1763" s="258" t="s">
        <v>139</v>
      </c>
      <c r="H1763" s="259"/>
      <c r="I1763" s="541">
        <f t="shared" si="31"/>
        <v>120627.67142857119</v>
      </c>
      <c r="K1763" s="243"/>
    </row>
    <row r="1764" spans="2:11" ht="17" customHeight="1">
      <c r="B1764" s="674">
        <v>45889</v>
      </c>
      <c r="C1764" s="263" t="s">
        <v>513</v>
      </c>
      <c r="D1764" s="255" t="s">
        <v>576</v>
      </c>
      <c r="E1764" s="256"/>
      <c r="F1764" s="257">
        <v>90</v>
      </c>
      <c r="G1764" s="258" t="s">
        <v>248</v>
      </c>
      <c r="H1764" s="259"/>
      <c r="I1764" s="541">
        <f t="shared" si="31"/>
        <v>120537.67142857119</v>
      </c>
      <c r="K1764" s="243"/>
    </row>
    <row r="1765" spans="2:11" ht="17" customHeight="1">
      <c r="B1765" s="674">
        <v>45889</v>
      </c>
      <c r="C1765" s="263" t="s">
        <v>513</v>
      </c>
      <c r="D1765" s="255" t="s">
        <v>563</v>
      </c>
      <c r="E1765" s="256"/>
      <c r="F1765" s="257">
        <v>87.5</v>
      </c>
      <c r="G1765" s="258" t="s">
        <v>249</v>
      </c>
      <c r="H1765" s="259"/>
      <c r="I1765" s="541">
        <f t="shared" si="31"/>
        <v>120450.17142857119</v>
      </c>
      <c r="K1765" s="243"/>
    </row>
    <row r="1766" spans="2:11" ht="17" customHeight="1">
      <c r="B1766" s="674">
        <v>45889</v>
      </c>
      <c r="C1766" s="675" t="s">
        <v>283</v>
      </c>
      <c r="D1766" s="676" t="s">
        <v>283</v>
      </c>
      <c r="E1766" s="677">
        <f>1079-E1767</f>
        <v>942.68000000000006</v>
      </c>
      <c r="F1766" s="678"/>
      <c r="G1766" s="258" t="s">
        <v>190</v>
      </c>
      <c r="H1766" s="259"/>
      <c r="I1766" s="541">
        <f t="shared" si="31"/>
        <v>121392.85142857119</v>
      </c>
      <c r="K1766" s="243"/>
    </row>
    <row r="1767" spans="2:11" ht="17" customHeight="1">
      <c r="B1767" s="674">
        <v>45889</v>
      </c>
      <c r="C1767" s="675" t="s">
        <v>283</v>
      </c>
      <c r="D1767" s="676" t="s">
        <v>508</v>
      </c>
      <c r="E1767" s="677">
        <v>136.32</v>
      </c>
      <c r="F1767" s="678"/>
      <c r="G1767" s="258" t="s">
        <v>276</v>
      </c>
      <c r="H1767" s="259"/>
      <c r="I1767" s="541">
        <f t="shared" si="31"/>
        <v>121529.17142857119</v>
      </c>
      <c r="K1767" s="243"/>
    </row>
    <row r="1768" spans="2:11" ht="17" customHeight="1">
      <c r="B1768" s="674">
        <v>45890</v>
      </c>
      <c r="C1768" s="263" t="s">
        <v>513</v>
      </c>
      <c r="D1768" s="255" t="s">
        <v>873</v>
      </c>
      <c r="E1768" s="256"/>
      <c r="F1768" s="257">
        <v>56</v>
      </c>
      <c r="G1768" s="258" t="s">
        <v>248</v>
      </c>
      <c r="H1768" s="259"/>
      <c r="I1768" s="541">
        <f t="shared" si="31"/>
        <v>121473.17142857119</v>
      </c>
      <c r="K1768" s="243"/>
    </row>
    <row r="1769" spans="2:11" ht="17" customHeight="1">
      <c r="B1769" s="674">
        <v>45890</v>
      </c>
      <c r="C1769" s="675" t="s">
        <v>283</v>
      </c>
      <c r="D1769" s="676" t="s">
        <v>283</v>
      </c>
      <c r="E1769" s="677">
        <f>1370.3-E1770</f>
        <v>1109.53</v>
      </c>
      <c r="F1769" s="678"/>
      <c r="G1769" s="258" t="s">
        <v>190</v>
      </c>
      <c r="H1769" s="259"/>
      <c r="I1769" s="541">
        <f t="shared" si="31"/>
        <v>122582.70142857119</v>
      </c>
      <c r="K1769" s="243"/>
    </row>
    <row r="1770" spans="2:11" ht="17" customHeight="1">
      <c r="B1770" s="674">
        <v>45890</v>
      </c>
      <c r="C1770" s="675" t="s">
        <v>283</v>
      </c>
      <c r="D1770" s="676" t="s">
        <v>508</v>
      </c>
      <c r="E1770" s="677">
        <v>260.77</v>
      </c>
      <c r="F1770" s="678"/>
      <c r="G1770" s="258" t="s">
        <v>276</v>
      </c>
      <c r="H1770" s="259"/>
      <c r="I1770" s="541">
        <f t="shared" si="31"/>
        <v>122843.4714285712</v>
      </c>
      <c r="K1770" s="243"/>
    </row>
    <row r="1771" spans="2:11" ht="17" customHeight="1">
      <c r="B1771" s="674">
        <v>45891</v>
      </c>
      <c r="C1771" s="263" t="s">
        <v>117</v>
      </c>
      <c r="D1771" s="255" t="s">
        <v>1968</v>
      </c>
      <c r="E1771" s="256"/>
      <c r="F1771" s="257">
        <f>554.75+107.65+22.2</f>
        <v>684.6</v>
      </c>
      <c r="G1771" s="258"/>
      <c r="H1771" s="259" t="s">
        <v>1969</v>
      </c>
      <c r="I1771" s="541">
        <f t="shared" si="31"/>
        <v>122158.87142857119</v>
      </c>
      <c r="K1771" s="243"/>
    </row>
    <row r="1772" spans="2:11" ht="17" customHeight="1">
      <c r="B1772" s="674">
        <v>45891</v>
      </c>
      <c r="C1772" s="263" t="s">
        <v>117</v>
      </c>
      <c r="D1772" s="255" t="s">
        <v>306</v>
      </c>
      <c r="E1772" s="256"/>
      <c r="F1772" s="257">
        <v>204</v>
      </c>
      <c r="G1772" s="258" t="s">
        <v>194</v>
      </c>
      <c r="H1772" s="259"/>
      <c r="I1772" s="541">
        <f t="shared" si="31"/>
        <v>121954.87142857119</v>
      </c>
      <c r="K1772" s="243"/>
    </row>
    <row r="1773" spans="2:11" ht="17" customHeight="1">
      <c r="B1773" s="674">
        <v>45891</v>
      </c>
      <c r="C1773" s="263" t="s">
        <v>117</v>
      </c>
      <c r="D1773" s="255" t="s">
        <v>306</v>
      </c>
      <c r="E1773" s="256"/>
      <c r="F1773" s="257">
        <v>0.75</v>
      </c>
      <c r="G1773" s="258" t="s">
        <v>194</v>
      </c>
      <c r="H1773" s="259"/>
      <c r="I1773" s="541">
        <f t="shared" si="31"/>
        <v>121954.12142857119</v>
      </c>
      <c r="K1773" s="243"/>
    </row>
    <row r="1774" spans="2:11" ht="17" customHeight="1">
      <c r="B1774" s="674">
        <v>45891</v>
      </c>
      <c r="C1774" s="263" t="s">
        <v>117</v>
      </c>
      <c r="D1774" s="255" t="s">
        <v>306</v>
      </c>
      <c r="E1774" s="256"/>
      <c r="F1774" s="257">
        <f>193.55-107.65</f>
        <v>85.9</v>
      </c>
      <c r="G1774" s="258" t="s">
        <v>194</v>
      </c>
      <c r="H1774" s="259"/>
      <c r="I1774" s="541">
        <f t="shared" si="31"/>
        <v>121868.2214285712</v>
      </c>
      <c r="K1774" s="243"/>
    </row>
    <row r="1775" spans="2:11" ht="17" customHeight="1">
      <c r="B1775" s="674">
        <v>45891</v>
      </c>
      <c r="C1775" s="263" t="s">
        <v>117</v>
      </c>
      <c r="D1775" s="255" t="s">
        <v>306</v>
      </c>
      <c r="E1775" s="256"/>
      <c r="F1775" s="257">
        <v>400.4</v>
      </c>
      <c r="G1775" s="258" t="s">
        <v>194</v>
      </c>
      <c r="H1775" s="259"/>
      <c r="I1775" s="541">
        <f t="shared" si="31"/>
        <v>121467.8214285712</v>
      </c>
      <c r="K1775" s="243"/>
    </row>
    <row r="1776" spans="2:11" ht="17" customHeight="1">
      <c r="B1776" s="674">
        <v>45891</v>
      </c>
      <c r="C1776" s="263" t="s">
        <v>117</v>
      </c>
      <c r="D1776" s="255" t="s">
        <v>306</v>
      </c>
      <c r="E1776" s="256"/>
      <c r="F1776" s="257">
        <f>172.55-22.2</f>
        <v>150.35000000000002</v>
      </c>
      <c r="G1776" s="258" t="s">
        <v>199</v>
      </c>
      <c r="H1776" s="259"/>
      <c r="I1776" s="541">
        <f t="shared" si="31"/>
        <v>121317.4714285712</v>
      </c>
      <c r="K1776" s="243"/>
    </row>
    <row r="1777" spans="2:11" ht="17" customHeight="1">
      <c r="B1777" s="674">
        <v>45891</v>
      </c>
      <c r="C1777" s="263" t="s">
        <v>117</v>
      </c>
      <c r="D1777" s="255" t="s">
        <v>306</v>
      </c>
      <c r="E1777" s="256"/>
      <c r="F1777" s="257">
        <v>170.4</v>
      </c>
      <c r="G1777" s="258" t="s">
        <v>199</v>
      </c>
      <c r="H1777" s="259"/>
      <c r="I1777" s="541">
        <f t="shared" si="31"/>
        <v>121147.0714285712</v>
      </c>
      <c r="K1777" s="243"/>
    </row>
    <row r="1778" spans="2:11" ht="17" customHeight="1">
      <c r="B1778" s="674">
        <v>45891</v>
      </c>
      <c r="C1778" s="263" t="s">
        <v>1970</v>
      </c>
      <c r="D1778" s="255" t="s">
        <v>512</v>
      </c>
      <c r="E1778" s="256"/>
      <c r="F1778" s="257">
        <f>37.9-1.45</f>
        <v>36.449999999999996</v>
      </c>
      <c r="G1778" s="258" t="s">
        <v>199</v>
      </c>
      <c r="H1778" s="259"/>
      <c r="I1778" s="541">
        <f t="shared" si="31"/>
        <v>121110.6214285712</v>
      </c>
      <c r="K1778" s="243"/>
    </row>
    <row r="1779" spans="2:11" ht="17" customHeight="1">
      <c r="B1779" s="674">
        <v>45891</v>
      </c>
      <c r="C1779" s="263" t="s">
        <v>1970</v>
      </c>
      <c r="D1779" s="255" t="s">
        <v>512</v>
      </c>
      <c r="E1779" s="256"/>
      <c r="F1779" s="257">
        <v>1.45</v>
      </c>
      <c r="G1779" s="258" t="s">
        <v>274</v>
      </c>
      <c r="H1779" s="259"/>
      <c r="I1779" s="541">
        <f t="shared" ref="I1779:I1842" si="32">I1778+E1779-F1779</f>
        <v>121109.17142857121</v>
      </c>
      <c r="K1779" s="243"/>
    </row>
    <row r="1780" spans="2:11" ht="17" customHeight="1">
      <c r="B1780" s="674">
        <v>45891</v>
      </c>
      <c r="C1780" s="263" t="s">
        <v>117</v>
      </c>
      <c r="D1780" s="255" t="s">
        <v>507</v>
      </c>
      <c r="E1780" s="256"/>
      <c r="F1780" s="257">
        <v>7.5</v>
      </c>
      <c r="G1780" s="258" t="s">
        <v>199</v>
      </c>
      <c r="H1780" s="259"/>
      <c r="I1780" s="541">
        <f t="shared" si="32"/>
        <v>121101.67142857121</v>
      </c>
      <c r="K1780" s="243"/>
    </row>
    <row r="1781" spans="2:11" ht="17" customHeight="1">
      <c r="B1781" s="674">
        <v>45891</v>
      </c>
      <c r="C1781" s="263" t="s">
        <v>117</v>
      </c>
      <c r="D1781" s="255" t="s">
        <v>718</v>
      </c>
      <c r="E1781" s="256"/>
      <c r="F1781" s="257">
        <v>5.6</v>
      </c>
      <c r="G1781" s="258" t="s">
        <v>208</v>
      </c>
      <c r="H1781" s="259"/>
      <c r="I1781" s="541">
        <f t="shared" si="32"/>
        <v>121096.0714285712</v>
      </c>
      <c r="K1781" s="243"/>
    </row>
    <row r="1782" spans="2:11" ht="17" customHeight="1">
      <c r="B1782" s="674">
        <v>45891</v>
      </c>
      <c r="C1782" s="263" t="s">
        <v>117</v>
      </c>
      <c r="D1782" s="255" t="s">
        <v>861</v>
      </c>
      <c r="E1782" s="256"/>
      <c r="F1782" s="257">
        <v>35</v>
      </c>
      <c r="G1782" s="258" t="s">
        <v>199</v>
      </c>
      <c r="H1782" s="259"/>
      <c r="I1782" s="541">
        <f t="shared" si="32"/>
        <v>121061.0714285712</v>
      </c>
      <c r="K1782" s="243"/>
    </row>
    <row r="1783" spans="2:11" ht="17" customHeight="1">
      <c r="B1783" s="674">
        <v>45891</v>
      </c>
      <c r="C1783" s="263" t="s">
        <v>513</v>
      </c>
      <c r="D1783" s="255" t="s">
        <v>688</v>
      </c>
      <c r="E1783" s="256"/>
      <c r="F1783" s="257">
        <v>158</v>
      </c>
      <c r="G1783" s="258" t="s">
        <v>245</v>
      </c>
      <c r="H1783" s="259"/>
      <c r="I1783" s="541">
        <f t="shared" si="32"/>
        <v>120903.0714285712</v>
      </c>
      <c r="K1783" s="243"/>
    </row>
    <row r="1784" spans="2:11" ht="17" customHeight="1">
      <c r="B1784" s="674">
        <v>45891</v>
      </c>
      <c r="C1784" s="263" t="s">
        <v>117</v>
      </c>
      <c r="D1784" s="255" t="s">
        <v>1829</v>
      </c>
      <c r="E1784" s="256"/>
      <c r="F1784" s="257">
        <v>250</v>
      </c>
      <c r="G1784" s="258" t="s">
        <v>230</v>
      </c>
      <c r="H1784" s="259"/>
      <c r="I1784" s="541">
        <f t="shared" si="32"/>
        <v>120653.0714285712</v>
      </c>
      <c r="K1784" s="243"/>
    </row>
    <row r="1785" spans="2:11" ht="17" customHeight="1">
      <c r="B1785" s="674">
        <v>45891</v>
      </c>
      <c r="C1785" s="675" t="s">
        <v>283</v>
      </c>
      <c r="D1785" s="676" t="s">
        <v>283</v>
      </c>
      <c r="E1785" s="677">
        <f>1707.1+250-E1786</f>
        <v>1641.6599999999999</v>
      </c>
      <c r="F1785" s="678"/>
      <c r="G1785" s="258" t="s">
        <v>190</v>
      </c>
      <c r="H1785" s="259"/>
      <c r="I1785" s="541">
        <f t="shared" si="32"/>
        <v>122294.73142857121</v>
      </c>
      <c r="K1785" s="243"/>
    </row>
    <row r="1786" spans="2:11" ht="17" customHeight="1">
      <c r="B1786" s="674">
        <v>45891</v>
      </c>
      <c r="C1786" s="675" t="s">
        <v>283</v>
      </c>
      <c r="D1786" s="676" t="s">
        <v>508</v>
      </c>
      <c r="E1786" s="677">
        <v>315.44</v>
      </c>
      <c r="F1786" s="678"/>
      <c r="G1786" s="258" t="s">
        <v>276</v>
      </c>
      <c r="H1786" s="259"/>
      <c r="I1786" s="541">
        <f t="shared" si="32"/>
        <v>122610.17142857121</v>
      </c>
      <c r="K1786" s="243"/>
    </row>
    <row r="1787" spans="2:11" ht="17" customHeight="1">
      <c r="B1787" s="674">
        <v>45892</v>
      </c>
      <c r="C1787" s="263" t="s">
        <v>513</v>
      </c>
      <c r="D1787" s="255" t="s">
        <v>873</v>
      </c>
      <c r="E1787" s="256"/>
      <c r="F1787" s="257">
        <v>120</v>
      </c>
      <c r="G1787" s="258" t="s">
        <v>248</v>
      </c>
      <c r="H1787" s="259"/>
      <c r="I1787" s="541">
        <f t="shared" si="32"/>
        <v>122490.17142857121</v>
      </c>
      <c r="K1787" s="243"/>
    </row>
    <row r="1788" spans="2:11" ht="17" customHeight="1">
      <c r="B1788" s="674">
        <v>45892</v>
      </c>
      <c r="C1788" s="263" t="s">
        <v>513</v>
      </c>
      <c r="D1788" s="255" t="s">
        <v>514</v>
      </c>
      <c r="E1788" s="256"/>
      <c r="F1788" s="257">
        <v>56</v>
      </c>
      <c r="G1788" s="258" t="s">
        <v>248</v>
      </c>
      <c r="H1788" s="259"/>
      <c r="I1788" s="541">
        <f t="shared" si="32"/>
        <v>122434.17142857121</v>
      </c>
      <c r="K1788" s="243"/>
    </row>
    <row r="1789" spans="2:11" ht="17" customHeight="1">
      <c r="B1789" s="674">
        <v>45892</v>
      </c>
      <c r="C1789" s="263" t="s">
        <v>513</v>
      </c>
      <c r="D1789" s="255" t="s">
        <v>688</v>
      </c>
      <c r="E1789" s="256"/>
      <c r="F1789" s="257">
        <v>52</v>
      </c>
      <c r="G1789" s="258" t="s">
        <v>245</v>
      </c>
      <c r="H1789" s="259"/>
      <c r="I1789" s="541">
        <f t="shared" si="32"/>
        <v>122382.17142857121</v>
      </c>
      <c r="K1789" s="243"/>
    </row>
    <row r="1790" spans="2:11" ht="17" customHeight="1">
      <c r="B1790" s="674">
        <v>45892</v>
      </c>
      <c r="C1790" s="675" t="s">
        <v>283</v>
      </c>
      <c r="D1790" s="676" t="s">
        <v>283</v>
      </c>
      <c r="E1790" s="677">
        <f>1912.2-E1791</f>
        <v>1584</v>
      </c>
      <c r="F1790" s="678"/>
      <c r="G1790" s="258" t="s">
        <v>190</v>
      </c>
      <c r="H1790" s="259"/>
      <c r="I1790" s="541">
        <f t="shared" si="32"/>
        <v>123966.17142857121</v>
      </c>
      <c r="K1790" s="243"/>
    </row>
    <row r="1791" spans="2:11" ht="17" customHeight="1">
      <c r="B1791" s="674">
        <v>45892</v>
      </c>
      <c r="C1791" s="675" t="s">
        <v>283</v>
      </c>
      <c r="D1791" s="676" t="s">
        <v>508</v>
      </c>
      <c r="E1791" s="677">
        <v>328.2</v>
      </c>
      <c r="F1791" s="678"/>
      <c r="G1791" s="258" t="s">
        <v>276</v>
      </c>
      <c r="H1791" s="259"/>
      <c r="I1791" s="541">
        <f t="shared" si="32"/>
        <v>124294.3714285712</v>
      </c>
      <c r="K1791" s="243"/>
    </row>
    <row r="1792" spans="2:11" ht="17" customHeight="1">
      <c r="B1792" s="674">
        <v>45893</v>
      </c>
      <c r="C1792" s="263" t="s">
        <v>513</v>
      </c>
      <c r="D1792" s="255" t="s">
        <v>1830</v>
      </c>
      <c r="E1792" s="256"/>
      <c r="F1792" s="257">
        <v>465.5</v>
      </c>
      <c r="G1792" s="258" t="s">
        <v>245</v>
      </c>
      <c r="H1792" s="259"/>
      <c r="I1792" s="541">
        <f t="shared" si="32"/>
        <v>123828.8714285712</v>
      </c>
      <c r="K1792" s="243"/>
    </row>
    <row r="1793" spans="2:11" ht="17" customHeight="1">
      <c r="B1793" s="674">
        <v>45893</v>
      </c>
      <c r="C1793" s="263" t="s">
        <v>117</v>
      </c>
      <c r="D1793" s="255" t="s">
        <v>851</v>
      </c>
      <c r="E1793" s="256"/>
      <c r="F1793" s="257">
        <v>30</v>
      </c>
      <c r="G1793" s="258" t="s">
        <v>199</v>
      </c>
      <c r="H1793" s="259"/>
      <c r="I1793" s="541">
        <f t="shared" si="32"/>
        <v>123798.8714285712</v>
      </c>
      <c r="K1793" s="243"/>
    </row>
    <row r="1794" spans="2:11" ht="17" customHeight="1">
      <c r="B1794" s="674">
        <v>45893</v>
      </c>
      <c r="C1794" s="263" t="s">
        <v>513</v>
      </c>
      <c r="D1794" s="255" t="s">
        <v>514</v>
      </c>
      <c r="E1794" s="256"/>
      <c r="F1794" s="257">
        <v>63</v>
      </c>
      <c r="G1794" s="258" t="s">
        <v>248</v>
      </c>
      <c r="H1794" s="259"/>
      <c r="I1794" s="541">
        <f t="shared" si="32"/>
        <v>123735.8714285712</v>
      </c>
      <c r="K1794" s="243"/>
    </row>
    <row r="1795" spans="2:11" ht="17" customHeight="1">
      <c r="B1795" s="674">
        <v>45893</v>
      </c>
      <c r="C1795" s="263" t="s">
        <v>513</v>
      </c>
      <c r="D1795" s="255" t="s">
        <v>576</v>
      </c>
      <c r="E1795" s="256"/>
      <c r="F1795" s="257">
        <v>90</v>
      </c>
      <c r="G1795" s="258" t="s">
        <v>248</v>
      </c>
      <c r="H1795" s="259"/>
      <c r="I1795" s="541">
        <f t="shared" si="32"/>
        <v>123645.8714285712</v>
      </c>
      <c r="K1795" s="243"/>
    </row>
    <row r="1796" spans="2:11" ht="17" customHeight="1">
      <c r="B1796" s="674">
        <v>45893</v>
      </c>
      <c r="C1796" s="675" t="s">
        <v>283</v>
      </c>
      <c r="D1796" s="676" t="s">
        <v>283</v>
      </c>
      <c r="E1796" s="677">
        <f>1934.2-E1797</f>
        <v>1679.5</v>
      </c>
      <c r="F1796" s="678"/>
      <c r="G1796" s="258" t="s">
        <v>190</v>
      </c>
      <c r="H1796" s="259"/>
      <c r="I1796" s="541">
        <f t="shared" si="32"/>
        <v>125325.3714285712</v>
      </c>
      <c r="K1796" s="243"/>
    </row>
    <row r="1797" spans="2:11" ht="17" customHeight="1">
      <c r="B1797" s="674">
        <v>45893</v>
      </c>
      <c r="C1797" s="675" t="s">
        <v>283</v>
      </c>
      <c r="D1797" s="676" t="s">
        <v>508</v>
      </c>
      <c r="E1797" s="677">
        <v>254.7</v>
      </c>
      <c r="F1797" s="678"/>
      <c r="G1797" s="258" t="s">
        <v>276</v>
      </c>
      <c r="H1797" s="259"/>
      <c r="I1797" s="541">
        <f t="shared" si="32"/>
        <v>125580.0714285712</v>
      </c>
      <c r="K1797" s="243"/>
    </row>
    <row r="1798" spans="2:11" ht="17" customHeight="1">
      <c r="B1798" s="253">
        <v>45894</v>
      </c>
      <c r="C1798" s="263" t="s">
        <v>117</v>
      </c>
      <c r="D1798" s="255" t="s">
        <v>650</v>
      </c>
      <c r="E1798" s="256"/>
      <c r="F1798" s="257">
        <v>1165</v>
      </c>
      <c r="G1798" s="258" t="s">
        <v>194</v>
      </c>
      <c r="H1798" s="259"/>
      <c r="I1798" s="541">
        <f t="shared" si="32"/>
        <v>124415.0714285712</v>
      </c>
      <c r="K1798" s="243"/>
    </row>
    <row r="1799" spans="2:11" ht="17" customHeight="1">
      <c r="B1799" s="253">
        <v>45894</v>
      </c>
      <c r="C1799" s="675" t="s">
        <v>283</v>
      </c>
      <c r="D1799" s="676" t="s">
        <v>283</v>
      </c>
      <c r="E1799" s="677">
        <f>587.5-E1800</f>
        <v>474.03</v>
      </c>
      <c r="F1799" s="678"/>
      <c r="G1799" s="258" t="s">
        <v>190</v>
      </c>
      <c r="H1799" s="259"/>
      <c r="I1799" s="541">
        <f t="shared" si="32"/>
        <v>124889.1014285712</v>
      </c>
      <c r="K1799" s="243"/>
    </row>
    <row r="1800" spans="2:11" ht="17" customHeight="1">
      <c r="B1800" s="253">
        <v>45894</v>
      </c>
      <c r="C1800" s="675" t="s">
        <v>283</v>
      </c>
      <c r="D1800" s="676" t="s">
        <v>508</v>
      </c>
      <c r="E1800" s="677">
        <v>113.47</v>
      </c>
      <c r="F1800" s="678"/>
      <c r="G1800" s="258" t="s">
        <v>276</v>
      </c>
      <c r="H1800" s="259"/>
      <c r="I1800" s="541">
        <f t="shared" si="32"/>
        <v>125002.5714285712</v>
      </c>
      <c r="K1800" s="243"/>
    </row>
    <row r="1801" spans="2:11" ht="17" customHeight="1">
      <c r="B1801" s="253">
        <v>45895</v>
      </c>
      <c r="C1801" s="263" t="s">
        <v>117</v>
      </c>
      <c r="D1801" s="255" t="s">
        <v>846</v>
      </c>
      <c r="E1801" s="256"/>
      <c r="F1801" s="257">
        <v>50</v>
      </c>
      <c r="G1801" s="258" t="s">
        <v>201</v>
      </c>
      <c r="H1801" s="259"/>
      <c r="I1801" s="541">
        <f t="shared" si="32"/>
        <v>124952.5714285712</v>
      </c>
      <c r="K1801" s="243"/>
    </row>
    <row r="1802" spans="2:11" ht="17" customHeight="1">
      <c r="B1802" s="253">
        <v>45895</v>
      </c>
      <c r="C1802" s="263" t="s">
        <v>513</v>
      </c>
      <c r="D1802" s="255" t="s">
        <v>688</v>
      </c>
      <c r="E1802" s="256"/>
      <c r="F1802" s="257">
        <v>72</v>
      </c>
      <c r="G1802" s="258" t="s">
        <v>248</v>
      </c>
      <c r="H1802" s="259"/>
      <c r="I1802" s="541">
        <f t="shared" si="32"/>
        <v>124880.5714285712</v>
      </c>
      <c r="K1802" s="243"/>
    </row>
    <row r="1803" spans="2:11" ht="17" customHeight="1">
      <c r="B1803" s="253">
        <v>45895</v>
      </c>
      <c r="C1803" s="263" t="s">
        <v>286</v>
      </c>
      <c r="D1803" s="255" t="s">
        <v>520</v>
      </c>
      <c r="E1803" s="256"/>
      <c r="F1803" s="257">
        <v>35</v>
      </c>
      <c r="G1803" s="258" t="s">
        <v>139</v>
      </c>
      <c r="H1803" s="259"/>
      <c r="I1803" s="541">
        <f t="shared" si="32"/>
        <v>124845.5714285712</v>
      </c>
      <c r="K1803" s="243"/>
    </row>
    <row r="1804" spans="2:11" ht="17" customHeight="1">
      <c r="B1804" s="253">
        <v>45895</v>
      </c>
      <c r="C1804" s="263" t="s">
        <v>513</v>
      </c>
      <c r="D1804" s="255" t="s">
        <v>563</v>
      </c>
      <c r="E1804" s="256"/>
      <c r="F1804" s="257">
        <v>150</v>
      </c>
      <c r="G1804" s="258" t="s">
        <v>249</v>
      </c>
      <c r="H1804" s="259"/>
      <c r="I1804" s="541">
        <f t="shared" si="32"/>
        <v>124695.5714285712</v>
      </c>
      <c r="K1804" s="243"/>
    </row>
    <row r="1805" spans="2:11" ht="17" customHeight="1">
      <c r="B1805" s="253">
        <v>45895</v>
      </c>
      <c r="C1805" s="675" t="s">
        <v>283</v>
      </c>
      <c r="D1805" s="676" t="s">
        <v>283</v>
      </c>
      <c r="E1805" s="677">
        <f>1422.6-E1806</f>
        <v>1203.58</v>
      </c>
      <c r="F1805" s="678"/>
      <c r="G1805" s="258" t="s">
        <v>190</v>
      </c>
      <c r="H1805" s="259"/>
      <c r="I1805" s="541">
        <f t="shared" si="32"/>
        <v>125899.1514285712</v>
      </c>
      <c r="K1805" s="243"/>
    </row>
    <row r="1806" spans="2:11" ht="17" customHeight="1">
      <c r="B1806" s="253">
        <v>45895</v>
      </c>
      <c r="C1806" s="675" t="s">
        <v>283</v>
      </c>
      <c r="D1806" s="676" t="s">
        <v>508</v>
      </c>
      <c r="E1806" s="677">
        <v>219.02</v>
      </c>
      <c r="F1806" s="678"/>
      <c r="G1806" s="258" t="s">
        <v>276</v>
      </c>
      <c r="H1806" s="259"/>
      <c r="I1806" s="541">
        <f t="shared" si="32"/>
        <v>126118.17142857121</v>
      </c>
      <c r="K1806" s="243"/>
    </row>
    <row r="1807" spans="2:11" ht="17" customHeight="1">
      <c r="B1807" s="253">
        <v>45895</v>
      </c>
      <c r="C1807" s="675" t="s">
        <v>283</v>
      </c>
      <c r="D1807" s="676" t="s">
        <v>283</v>
      </c>
      <c r="E1807" s="677">
        <v>200</v>
      </c>
      <c r="F1807" s="678"/>
      <c r="G1807" s="258" t="s">
        <v>190</v>
      </c>
      <c r="H1807" s="259" t="s">
        <v>1973</v>
      </c>
      <c r="I1807" s="541">
        <f t="shared" si="32"/>
        <v>126318.17142857121</v>
      </c>
      <c r="K1807" s="243"/>
    </row>
    <row r="1808" spans="2:11" ht="17" customHeight="1">
      <c r="B1808" s="253">
        <v>45896</v>
      </c>
      <c r="C1808" s="263" t="s">
        <v>513</v>
      </c>
      <c r="D1808" s="255" t="s">
        <v>576</v>
      </c>
      <c r="E1808" s="256"/>
      <c r="F1808" s="257">
        <v>90</v>
      </c>
      <c r="G1808" s="258" t="s">
        <v>209</v>
      </c>
      <c r="H1808" s="259"/>
      <c r="I1808" s="541">
        <f t="shared" si="32"/>
        <v>126228.17142857121</v>
      </c>
      <c r="K1808" s="243"/>
    </row>
    <row r="1809" spans="2:11" ht="17" customHeight="1">
      <c r="B1809" s="253">
        <v>45896</v>
      </c>
      <c r="C1809" s="790" t="s">
        <v>117</v>
      </c>
      <c r="D1809" s="255" t="s">
        <v>724</v>
      </c>
      <c r="E1809" s="256"/>
      <c r="F1809" s="257">
        <v>320</v>
      </c>
      <c r="G1809" s="258" t="s">
        <v>193</v>
      </c>
      <c r="H1809" s="259"/>
      <c r="I1809" s="541">
        <f t="shared" si="32"/>
        <v>125908.17142857121</v>
      </c>
      <c r="K1809" s="243"/>
    </row>
    <row r="1810" spans="2:11" ht="17" customHeight="1">
      <c r="B1810" s="253">
        <v>45896</v>
      </c>
      <c r="C1810" s="263" t="s">
        <v>117</v>
      </c>
      <c r="D1810" s="255" t="s">
        <v>864</v>
      </c>
      <c r="E1810" s="256"/>
      <c r="F1810" s="257">
        <v>4</v>
      </c>
      <c r="G1810" s="258" t="s">
        <v>1866</v>
      </c>
      <c r="H1810" s="259"/>
      <c r="I1810" s="541">
        <f t="shared" si="32"/>
        <v>125904.17142857121</v>
      </c>
      <c r="K1810" s="243"/>
    </row>
    <row r="1811" spans="2:11" ht="17" customHeight="1">
      <c r="B1811" s="253">
        <v>45896</v>
      </c>
      <c r="C1811" s="675" t="s">
        <v>283</v>
      </c>
      <c r="D1811" s="676" t="s">
        <v>283</v>
      </c>
      <c r="E1811" s="677">
        <f>1422.6-E1812</f>
        <v>1203.58</v>
      </c>
      <c r="F1811" s="678"/>
      <c r="G1811" s="258" t="s">
        <v>190</v>
      </c>
      <c r="H1811" s="259"/>
      <c r="I1811" s="541">
        <f t="shared" si="32"/>
        <v>127107.75142857121</v>
      </c>
      <c r="K1811" s="243"/>
    </row>
    <row r="1812" spans="2:11" ht="17" customHeight="1">
      <c r="B1812" s="253">
        <v>45896</v>
      </c>
      <c r="C1812" s="675" t="s">
        <v>283</v>
      </c>
      <c r="D1812" s="676" t="s">
        <v>508</v>
      </c>
      <c r="E1812" s="677">
        <v>219.02</v>
      </c>
      <c r="F1812" s="678"/>
      <c r="G1812" s="258" t="s">
        <v>276</v>
      </c>
      <c r="H1812" s="259"/>
      <c r="I1812" s="541">
        <f t="shared" si="32"/>
        <v>127326.77142857121</v>
      </c>
      <c r="K1812" s="243"/>
    </row>
    <row r="1813" spans="2:11" ht="17" customHeight="1">
      <c r="B1813" s="253">
        <v>45897</v>
      </c>
      <c r="C1813" s="263" t="s">
        <v>513</v>
      </c>
      <c r="D1813" s="255" t="s">
        <v>873</v>
      </c>
      <c r="E1813" s="256"/>
      <c r="F1813" s="257">
        <v>15</v>
      </c>
      <c r="G1813" s="258" t="s">
        <v>248</v>
      </c>
      <c r="H1813" s="259"/>
      <c r="I1813" s="541">
        <f t="shared" si="32"/>
        <v>127311.77142857121</v>
      </c>
      <c r="K1813" s="243"/>
    </row>
    <row r="1814" spans="2:11" ht="17" customHeight="1">
      <c r="B1814" s="253">
        <v>45897</v>
      </c>
      <c r="C1814" s="675" t="s">
        <v>283</v>
      </c>
      <c r="D1814" s="676" t="s">
        <v>283</v>
      </c>
      <c r="E1814" s="677">
        <f>840-E1815</f>
        <v>705.68000000000006</v>
      </c>
      <c r="F1814" s="678"/>
      <c r="G1814" s="258" t="s">
        <v>190</v>
      </c>
      <c r="H1814" s="259"/>
      <c r="I1814" s="541">
        <f t="shared" si="32"/>
        <v>128017.45142857121</v>
      </c>
      <c r="K1814" s="243"/>
    </row>
    <row r="1815" spans="2:11" ht="17" customHeight="1">
      <c r="B1815" s="253">
        <v>45897</v>
      </c>
      <c r="C1815" s="675" t="s">
        <v>283</v>
      </c>
      <c r="D1815" s="676" t="s">
        <v>508</v>
      </c>
      <c r="E1815" s="677">
        <v>134.32</v>
      </c>
      <c r="F1815" s="678"/>
      <c r="G1815" s="258" t="s">
        <v>276</v>
      </c>
      <c r="H1815" s="259"/>
      <c r="I1815" s="541">
        <f t="shared" si="32"/>
        <v>128151.77142857121</v>
      </c>
      <c r="K1815" s="243"/>
    </row>
    <row r="1816" spans="2:11" ht="17" customHeight="1">
      <c r="B1816" s="253">
        <v>45898</v>
      </c>
      <c r="C1816" s="263" t="s">
        <v>117</v>
      </c>
      <c r="D1816" s="255" t="s">
        <v>306</v>
      </c>
      <c r="E1816" s="256"/>
      <c r="F1816" s="257">
        <v>816.5</v>
      </c>
      <c r="G1816" s="258" t="s">
        <v>194</v>
      </c>
      <c r="H1816" s="259"/>
      <c r="I1816" s="541">
        <f t="shared" si="32"/>
        <v>127335.27142857121</v>
      </c>
      <c r="K1816" s="243"/>
    </row>
    <row r="1817" spans="2:11" ht="17" customHeight="1">
      <c r="B1817" s="253">
        <v>45898</v>
      </c>
      <c r="C1817" s="263" t="s">
        <v>117</v>
      </c>
      <c r="D1817" s="255" t="s">
        <v>306</v>
      </c>
      <c r="E1817" s="256"/>
      <c r="F1817" s="257">
        <v>124.8</v>
      </c>
      <c r="G1817" s="258" t="s">
        <v>199</v>
      </c>
      <c r="H1817" s="259"/>
      <c r="I1817" s="541">
        <f t="shared" si="32"/>
        <v>127210.47142857121</v>
      </c>
      <c r="K1817" s="243"/>
    </row>
    <row r="1818" spans="2:11" ht="17" customHeight="1">
      <c r="B1818" s="253">
        <v>45898</v>
      </c>
      <c r="C1818" s="263" t="s">
        <v>1998</v>
      </c>
      <c r="D1818" s="255" t="s">
        <v>512</v>
      </c>
      <c r="E1818" s="256"/>
      <c r="F1818" s="257">
        <f>37.9-1.46</f>
        <v>36.44</v>
      </c>
      <c r="G1818" s="258" t="s">
        <v>199</v>
      </c>
      <c r="H1818" s="259"/>
      <c r="I1818" s="541">
        <f t="shared" si="32"/>
        <v>127174.03142857121</v>
      </c>
      <c r="K1818" s="243"/>
    </row>
    <row r="1819" spans="2:11" ht="17" customHeight="1">
      <c r="B1819" s="253">
        <v>45898</v>
      </c>
      <c r="C1819" s="263" t="s">
        <v>1998</v>
      </c>
      <c r="D1819" s="255" t="s">
        <v>512</v>
      </c>
      <c r="E1819" s="256"/>
      <c r="F1819" s="257">
        <v>1.46</v>
      </c>
      <c r="G1819" s="258" t="s">
        <v>274</v>
      </c>
      <c r="H1819" s="259"/>
      <c r="I1819" s="541">
        <f t="shared" si="32"/>
        <v>127172.5714285712</v>
      </c>
      <c r="K1819" s="243"/>
    </row>
    <row r="1820" spans="2:11" ht="17" customHeight="1">
      <c r="B1820" s="253">
        <v>45898</v>
      </c>
      <c r="C1820" s="263" t="s">
        <v>1999</v>
      </c>
      <c r="D1820" s="255" t="s">
        <v>646</v>
      </c>
      <c r="E1820" s="256"/>
      <c r="F1820" s="257">
        <f>84.5-15.25</f>
        <v>69.25</v>
      </c>
      <c r="G1820" s="258" t="s">
        <v>205</v>
      </c>
      <c r="H1820" s="259"/>
      <c r="I1820" s="541">
        <f t="shared" si="32"/>
        <v>127103.3214285712</v>
      </c>
      <c r="K1820" s="243"/>
    </row>
    <row r="1821" spans="2:11" ht="17" customHeight="1">
      <c r="B1821" s="253">
        <v>45898</v>
      </c>
      <c r="C1821" s="263" t="s">
        <v>1999</v>
      </c>
      <c r="D1821" s="255" t="s">
        <v>646</v>
      </c>
      <c r="E1821" s="256"/>
      <c r="F1821" s="257">
        <v>15.25</v>
      </c>
      <c r="G1821" s="258" t="s">
        <v>274</v>
      </c>
      <c r="H1821" s="259"/>
      <c r="I1821" s="541">
        <f t="shared" si="32"/>
        <v>127088.0714285712</v>
      </c>
      <c r="K1821" s="243"/>
    </row>
    <row r="1822" spans="2:11" ht="17" customHeight="1">
      <c r="B1822" s="253">
        <v>45898</v>
      </c>
      <c r="C1822" s="263" t="s">
        <v>117</v>
      </c>
      <c r="D1822" s="255" t="s">
        <v>835</v>
      </c>
      <c r="E1822" s="256"/>
      <c r="F1822" s="257">
        <v>200</v>
      </c>
      <c r="G1822" s="258" t="s">
        <v>230</v>
      </c>
      <c r="H1822" s="259"/>
      <c r="I1822" s="541">
        <f t="shared" si="32"/>
        <v>126888.0714285712</v>
      </c>
      <c r="K1822" s="243"/>
    </row>
    <row r="1823" spans="2:11" ht="17" customHeight="1">
      <c r="B1823" s="253">
        <v>45898</v>
      </c>
      <c r="C1823" s="675" t="s">
        <v>283</v>
      </c>
      <c r="D1823" s="676" t="s">
        <v>283</v>
      </c>
      <c r="E1823" s="677">
        <f>1880.4-E1824</f>
        <v>1637.1200000000001</v>
      </c>
      <c r="F1823" s="678"/>
      <c r="G1823" s="258" t="s">
        <v>190</v>
      </c>
      <c r="H1823" s="259"/>
      <c r="I1823" s="541">
        <f t="shared" si="32"/>
        <v>128525.1914285712</v>
      </c>
      <c r="K1823" s="243"/>
    </row>
    <row r="1824" spans="2:11" ht="17" customHeight="1">
      <c r="B1824" s="253">
        <v>45898</v>
      </c>
      <c r="C1824" s="675" t="s">
        <v>283</v>
      </c>
      <c r="D1824" s="676" t="s">
        <v>508</v>
      </c>
      <c r="E1824" s="677">
        <v>243.28</v>
      </c>
      <c r="F1824" s="678"/>
      <c r="G1824" s="258" t="s">
        <v>276</v>
      </c>
      <c r="H1824" s="259"/>
      <c r="I1824" s="541">
        <f t="shared" si="32"/>
        <v>128768.4714285712</v>
      </c>
      <c r="K1824" s="243"/>
    </row>
    <row r="1825" spans="2:11" ht="17" customHeight="1">
      <c r="B1825" s="253">
        <v>45899</v>
      </c>
      <c r="C1825" s="263" t="s">
        <v>117</v>
      </c>
      <c r="D1825" s="255" t="s">
        <v>1917</v>
      </c>
      <c r="E1825" s="256">
        <v>1615</v>
      </c>
      <c r="F1825" s="257"/>
      <c r="G1825" s="258" t="s">
        <v>194</v>
      </c>
      <c r="H1825" s="259"/>
      <c r="I1825" s="541">
        <f t="shared" si="32"/>
        <v>130383.4714285712</v>
      </c>
      <c r="K1825" s="243"/>
    </row>
    <row r="1826" spans="2:11" ht="17" customHeight="1">
      <c r="B1826" s="253">
        <v>45899</v>
      </c>
      <c r="C1826" s="263" t="s">
        <v>117</v>
      </c>
      <c r="D1826" s="255" t="s">
        <v>2001</v>
      </c>
      <c r="E1826" s="256">
        <v>300</v>
      </c>
      <c r="F1826" s="257"/>
      <c r="G1826" s="258" t="s">
        <v>195</v>
      </c>
      <c r="H1826" s="259"/>
      <c r="I1826" s="541">
        <f t="shared" si="32"/>
        <v>130683.4714285712</v>
      </c>
      <c r="K1826" s="243"/>
    </row>
    <row r="1827" spans="2:11" ht="17" customHeight="1">
      <c r="B1827" s="253">
        <v>45899</v>
      </c>
      <c r="C1827" s="263" t="s">
        <v>513</v>
      </c>
      <c r="D1827" s="255" t="s">
        <v>30</v>
      </c>
      <c r="E1827" s="256">
        <v>150</v>
      </c>
      <c r="F1827" s="257"/>
      <c r="G1827" s="258" t="s">
        <v>245</v>
      </c>
      <c r="H1827" s="259"/>
      <c r="I1827" s="541">
        <f t="shared" si="32"/>
        <v>130833.4714285712</v>
      </c>
      <c r="K1827" s="243"/>
    </row>
    <row r="1828" spans="2:11" ht="17" customHeight="1">
      <c r="B1828" s="253">
        <v>45899</v>
      </c>
      <c r="C1828" s="263" t="s">
        <v>513</v>
      </c>
      <c r="D1828" s="255" t="s">
        <v>29</v>
      </c>
      <c r="E1828" s="256"/>
      <c r="F1828" s="257">
        <v>300</v>
      </c>
      <c r="G1828" s="258" t="s">
        <v>243</v>
      </c>
      <c r="H1828" s="259"/>
      <c r="I1828" s="541">
        <f t="shared" si="32"/>
        <v>130533.4714285712</v>
      </c>
      <c r="K1828" s="243"/>
    </row>
    <row r="1829" spans="2:11" ht="17" customHeight="1">
      <c r="B1829" s="253">
        <v>45899</v>
      </c>
      <c r="C1829" s="263" t="s">
        <v>513</v>
      </c>
      <c r="D1829" s="255" t="s">
        <v>1882</v>
      </c>
      <c r="E1829" s="256"/>
      <c r="F1829" s="257">
        <v>150</v>
      </c>
      <c r="G1829" s="258" t="s">
        <v>245</v>
      </c>
      <c r="H1829" s="259"/>
      <c r="I1829" s="541">
        <f t="shared" si="32"/>
        <v>130383.4714285712</v>
      </c>
      <c r="K1829" s="243"/>
    </row>
    <row r="1830" spans="2:11" ht="17" customHeight="1">
      <c r="B1830" s="253">
        <v>45899</v>
      </c>
      <c r="C1830" s="675" t="s">
        <v>283</v>
      </c>
      <c r="D1830" s="676" t="s">
        <v>283</v>
      </c>
      <c r="E1830" s="677">
        <f>2217.2-E1831</f>
        <v>1971.6899999999998</v>
      </c>
      <c r="F1830" s="678"/>
      <c r="G1830" s="258" t="s">
        <v>190</v>
      </c>
      <c r="H1830" s="259"/>
      <c r="I1830" s="541">
        <f t="shared" si="32"/>
        <v>132355.16142857118</v>
      </c>
      <c r="K1830" s="243"/>
    </row>
    <row r="1831" spans="2:11" ht="17" customHeight="1">
      <c r="B1831" s="253">
        <v>45899</v>
      </c>
      <c r="C1831" s="675" t="s">
        <v>283</v>
      </c>
      <c r="D1831" s="676" t="s">
        <v>508</v>
      </c>
      <c r="E1831" s="677">
        <v>245.51</v>
      </c>
      <c r="F1831" s="678"/>
      <c r="G1831" s="258" t="s">
        <v>276</v>
      </c>
      <c r="H1831" s="259"/>
      <c r="I1831" s="541">
        <f t="shared" si="32"/>
        <v>132600.67142857119</v>
      </c>
      <c r="K1831" s="243"/>
    </row>
    <row r="1832" spans="2:11" ht="17" customHeight="1">
      <c r="B1832" s="253">
        <v>45900</v>
      </c>
      <c r="C1832" s="263" t="s">
        <v>513</v>
      </c>
      <c r="D1832" s="255" t="s">
        <v>873</v>
      </c>
      <c r="E1832" s="256"/>
      <c r="F1832" s="257">
        <v>50</v>
      </c>
      <c r="G1832" s="258" t="s">
        <v>248</v>
      </c>
      <c r="H1832" s="259"/>
      <c r="I1832" s="541">
        <f t="shared" si="32"/>
        <v>132550.67142857119</v>
      </c>
      <c r="K1832" s="243"/>
    </row>
    <row r="1833" spans="2:11" ht="17" customHeight="1">
      <c r="B1833" s="253">
        <v>45900</v>
      </c>
      <c r="C1833" s="263" t="s">
        <v>513</v>
      </c>
      <c r="D1833" s="255" t="s">
        <v>576</v>
      </c>
      <c r="E1833" s="256"/>
      <c r="F1833" s="257">
        <v>55</v>
      </c>
      <c r="G1833" s="258" t="s">
        <v>248</v>
      </c>
      <c r="H1833" s="259"/>
      <c r="I1833" s="541">
        <f t="shared" si="32"/>
        <v>132495.67142857119</v>
      </c>
      <c r="K1833" s="243"/>
    </row>
    <row r="1834" spans="2:11" ht="17" customHeight="1">
      <c r="B1834" s="253">
        <v>45900</v>
      </c>
      <c r="C1834" s="675" t="s">
        <v>283</v>
      </c>
      <c r="D1834" s="676" t="s">
        <v>283</v>
      </c>
      <c r="E1834" s="677">
        <f>2248.5-E1835</f>
        <v>2002.12</v>
      </c>
      <c r="F1834" s="678"/>
      <c r="G1834" s="258" t="s">
        <v>190</v>
      </c>
      <c r="H1834" s="259"/>
      <c r="I1834" s="541">
        <f t="shared" si="32"/>
        <v>134497.79142857119</v>
      </c>
      <c r="K1834" s="243"/>
    </row>
    <row r="1835" spans="2:11" ht="17" customHeight="1">
      <c r="B1835" s="253">
        <v>45900</v>
      </c>
      <c r="C1835" s="675" t="s">
        <v>283</v>
      </c>
      <c r="D1835" s="676" t="s">
        <v>508</v>
      </c>
      <c r="E1835" s="677">
        <v>246.38</v>
      </c>
      <c r="F1835" s="678"/>
      <c r="G1835" s="258" t="s">
        <v>276</v>
      </c>
      <c r="H1835" s="259"/>
      <c r="I1835" s="541">
        <f t="shared" si="32"/>
        <v>134744.17142857119</v>
      </c>
      <c r="K1835" s="243"/>
    </row>
    <row r="1836" spans="2:11" ht="17" customHeight="1">
      <c r="B1836" s="253">
        <v>45901</v>
      </c>
      <c r="C1836" s="263" t="s">
        <v>513</v>
      </c>
      <c r="D1836" s="255" t="s">
        <v>31</v>
      </c>
      <c r="E1836" s="256"/>
      <c r="F1836" s="257">
        <v>100</v>
      </c>
      <c r="G1836" s="258" t="s">
        <v>245</v>
      </c>
      <c r="H1836" s="259"/>
      <c r="I1836" s="541">
        <f t="shared" si="32"/>
        <v>134644.17142857119</v>
      </c>
      <c r="K1836" s="243"/>
    </row>
    <row r="1837" spans="2:11" ht="17" customHeight="1">
      <c r="B1837" s="253">
        <v>45901</v>
      </c>
      <c r="C1837" s="675" t="s">
        <v>283</v>
      </c>
      <c r="D1837" s="676" t="s">
        <v>283</v>
      </c>
      <c r="E1837" s="677">
        <f>645.6-E1838</f>
        <v>527.05000000000007</v>
      </c>
      <c r="F1837" s="678"/>
      <c r="G1837" s="258" t="s">
        <v>190</v>
      </c>
      <c r="H1837" s="259"/>
      <c r="I1837" s="541">
        <f t="shared" si="32"/>
        <v>135171.22142857118</v>
      </c>
      <c r="K1837" s="243"/>
    </row>
    <row r="1838" spans="2:11" ht="17" customHeight="1">
      <c r="B1838" s="253">
        <v>45901</v>
      </c>
      <c r="C1838" s="675" t="s">
        <v>283</v>
      </c>
      <c r="D1838" s="676" t="s">
        <v>508</v>
      </c>
      <c r="E1838" s="677">
        <v>118.55</v>
      </c>
      <c r="F1838" s="678"/>
      <c r="G1838" s="258" t="s">
        <v>276</v>
      </c>
      <c r="H1838" s="259"/>
      <c r="I1838" s="541">
        <f t="shared" si="32"/>
        <v>135289.77142857117</v>
      </c>
      <c r="K1838" s="243"/>
    </row>
    <row r="1839" spans="2:11" ht="17" customHeight="1">
      <c r="B1839" s="253">
        <v>45902</v>
      </c>
      <c r="C1839" s="263" t="s">
        <v>513</v>
      </c>
      <c r="D1839" s="255" t="s">
        <v>576</v>
      </c>
      <c r="E1839" s="256"/>
      <c r="F1839" s="257">
        <v>90</v>
      </c>
      <c r="G1839" s="258" t="s">
        <v>248</v>
      </c>
      <c r="H1839" s="259"/>
      <c r="I1839" s="541">
        <f t="shared" si="32"/>
        <v>135199.77142857117</v>
      </c>
      <c r="K1839" s="243"/>
    </row>
    <row r="1840" spans="2:11" ht="17" customHeight="1">
      <c r="B1840" s="253">
        <v>45902</v>
      </c>
      <c r="C1840" s="263" t="s">
        <v>117</v>
      </c>
      <c r="D1840" s="255" t="s">
        <v>2013</v>
      </c>
      <c r="E1840" s="256"/>
      <c r="F1840" s="257">
        <v>20</v>
      </c>
      <c r="G1840" s="258" t="s">
        <v>199</v>
      </c>
      <c r="H1840" s="259"/>
      <c r="I1840" s="541">
        <f t="shared" si="32"/>
        <v>135179.77142857117</v>
      </c>
      <c r="K1840" s="243"/>
    </row>
    <row r="1841" spans="2:11" ht="17" customHeight="1">
      <c r="B1841" s="253">
        <v>45902</v>
      </c>
      <c r="C1841" s="675" t="s">
        <v>283</v>
      </c>
      <c r="D1841" s="676" t="s">
        <v>283</v>
      </c>
      <c r="E1841" s="677">
        <f>953.3-E1842</f>
        <v>820.78</v>
      </c>
      <c r="F1841" s="678"/>
      <c r="G1841" s="258" t="s">
        <v>190</v>
      </c>
      <c r="H1841" s="259"/>
      <c r="I1841" s="541">
        <f t="shared" si="32"/>
        <v>136000.55142857117</v>
      </c>
      <c r="K1841" s="243"/>
    </row>
    <row r="1842" spans="2:11" ht="17" customHeight="1">
      <c r="B1842" s="253">
        <v>45902</v>
      </c>
      <c r="C1842" s="675" t="s">
        <v>283</v>
      </c>
      <c r="D1842" s="676" t="s">
        <v>508</v>
      </c>
      <c r="E1842" s="677">
        <v>132.52000000000001</v>
      </c>
      <c r="F1842" s="678"/>
      <c r="G1842" s="258" t="s">
        <v>276</v>
      </c>
      <c r="H1842" s="259"/>
      <c r="I1842" s="541">
        <f t="shared" si="32"/>
        <v>136133.07142857116</v>
      </c>
      <c r="K1842" s="243"/>
    </row>
    <row r="1843" spans="2:11" ht="17" customHeight="1">
      <c r="B1843" s="253">
        <v>45903</v>
      </c>
      <c r="C1843" s="263" t="s">
        <v>513</v>
      </c>
      <c r="D1843" s="255" t="s">
        <v>873</v>
      </c>
      <c r="E1843" s="256"/>
      <c r="F1843" s="257">
        <v>60</v>
      </c>
      <c r="G1843" s="258" t="s">
        <v>248</v>
      </c>
      <c r="H1843" s="259"/>
      <c r="I1843" s="541">
        <f t="shared" ref="I1843:I1906" si="33">I1842+E1843-F1843</f>
        <v>136073.07142857116</v>
      </c>
      <c r="K1843" s="243"/>
    </row>
    <row r="1844" spans="2:11" ht="17" customHeight="1">
      <c r="B1844" s="253">
        <v>45903</v>
      </c>
      <c r="C1844" s="263" t="s">
        <v>117</v>
      </c>
      <c r="D1844" s="255" t="s">
        <v>1886</v>
      </c>
      <c r="E1844" s="256"/>
      <c r="F1844" s="257">
        <v>30</v>
      </c>
      <c r="G1844" s="258"/>
      <c r="H1844" s="259"/>
      <c r="I1844" s="541">
        <f t="shared" si="33"/>
        <v>136043.07142857116</v>
      </c>
      <c r="K1844" s="243"/>
    </row>
    <row r="1845" spans="2:11" ht="17" customHeight="1">
      <c r="B1845" s="253">
        <v>45903</v>
      </c>
      <c r="C1845" s="675" t="s">
        <v>283</v>
      </c>
      <c r="D1845" s="676" t="s">
        <v>283</v>
      </c>
      <c r="E1845" s="677">
        <f>1238-E1846</f>
        <v>1162.95</v>
      </c>
      <c r="F1845" s="678"/>
      <c r="G1845" s="258" t="s">
        <v>190</v>
      </c>
      <c r="H1845" s="259"/>
      <c r="I1845" s="541">
        <f t="shared" si="33"/>
        <v>137206.02142857117</v>
      </c>
      <c r="K1845" s="243"/>
    </row>
    <row r="1846" spans="2:11" ht="17" customHeight="1">
      <c r="B1846" s="253">
        <v>45903</v>
      </c>
      <c r="C1846" s="675" t="s">
        <v>283</v>
      </c>
      <c r="D1846" s="676" t="s">
        <v>508</v>
      </c>
      <c r="E1846" s="677">
        <v>75.05</v>
      </c>
      <c r="F1846" s="678"/>
      <c r="G1846" s="258" t="s">
        <v>276</v>
      </c>
      <c r="H1846" s="259"/>
      <c r="I1846" s="541">
        <f t="shared" si="33"/>
        <v>137281.07142857116</v>
      </c>
      <c r="K1846" s="243"/>
    </row>
    <row r="1847" spans="2:11" ht="17" customHeight="1">
      <c r="B1847" s="253">
        <v>45904</v>
      </c>
      <c r="C1847" s="263" t="s">
        <v>117</v>
      </c>
      <c r="D1847" s="255" t="s">
        <v>306</v>
      </c>
      <c r="E1847" s="256"/>
      <c r="F1847" s="257">
        <v>1311.6</v>
      </c>
      <c r="G1847" s="258" t="s">
        <v>194</v>
      </c>
      <c r="H1847" s="259"/>
      <c r="I1847" s="541">
        <f t="shared" si="33"/>
        <v>135969.47142857115</v>
      </c>
      <c r="K1847" s="243"/>
    </row>
    <row r="1848" spans="2:11" ht="17" customHeight="1">
      <c r="B1848" s="253">
        <v>45904</v>
      </c>
      <c r="C1848" s="263" t="s">
        <v>117</v>
      </c>
      <c r="D1848" s="255" t="s">
        <v>306</v>
      </c>
      <c r="E1848" s="256"/>
      <c r="F1848" s="257">
        <v>328.25</v>
      </c>
      <c r="G1848" s="258" t="s">
        <v>194</v>
      </c>
      <c r="H1848" s="259"/>
      <c r="I1848" s="541">
        <f t="shared" si="33"/>
        <v>135641.22142857115</v>
      </c>
      <c r="K1848" s="243"/>
    </row>
    <row r="1849" spans="2:11" ht="17" customHeight="1">
      <c r="B1849" s="253">
        <v>45904</v>
      </c>
      <c r="C1849" s="263" t="s">
        <v>117</v>
      </c>
      <c r="D1849" s="255" t="s">
        <v>306</v>
      </c>
      <c r="E1849" s="256"/>
      <c r="F1849" s="257">
        <v>189.5</v>
      </c>
      <c r="G1849" s="258" t="s">
        <v>199</v>
      </c>
      <c r="H1849" s="259"/>
      <c r="I1849" s="541">
        <f t="shared" si="33"/>
        <v>135451.72142857115</v>
      </c>
      <c r="K1849" s="243"/>
    </row>
    <row r="1850" spans="2:11" ht="17" customHeight="1">
      <c r="B1850" s="253">
        <v>45904</v>
      </c>
      <c r="C1850" s="263" t="s">
        <v>117</v>
      </c>
      <c r="D1850" s="255" t="s">
        <v>713</v>
      </c>
      <c r="E1850" s="256"/>
      <c r="F1850" s="257">
        <v>55</v>
      </c>
      <c r="G1850" s="258" t="s">
        <v>216</v>
      </c>
      <c r="H1850" s="259"/>
      <c r="I1850" s="541">
        <f t="shared" si="33"/>
        <v>135396.72142857115</v>
      </c>
      <c r="K1850" s="243"/>
    </row>
    <row r="1851" spans="2:11" ht="17" customHeight="1">
      <c r="B1851" s="253">
        <v>45904</v>
      </c>
      <c r="C1851" s="263" t="s">
        <v>117</v>
      </c>
      <c r="D1851" s="255" t="s">
        <v>846</v>
      </c>
      <c r="E1851" s="256"/>
      <c r="F1851" s="257">
        <v>190</v>
      </c>
      <c r="G1851" s="258" t="s">
        <v>201</v>
      </c>
      <c r="H1851" s="259"/>
      <c r="I1851" s="541">
        <f t="shared" si="33"/>
        <v>135206.72142857115</v>
      </c>
      <c r="K1851" s="243"/>
    </row>
    <row r="1852" spans="2:11" ht="17" customHeight="1">
      <c r="B1852" s="253">
        <v>45904</v>
      </c>
      <c r="C1852" s="263" t="s">
        <v>117</v>
      </c>
      <c r="D1852" s="255" t="s">
        <v>1917</v>
      </c>
      <c r="E1852" s="256">
        <v>195</v>
      </c>
      <c r="F1852" s="257"/>
      <c r="G1852" s="258" t="s">
        <v>194</v>
      </c>
      <c r="H1852" s="813" t="s">
        <v>2052</v>
      </c>
      <c r="I1852" s="541">
        <f t="shared" si="33"/>
        <v>135401.72142857115</v>
      </c>
      <c r="K1852" s="243"/>
    </row>
    <row r="1853" spans="2:11" ht="17" customHeight="1">
      <c r="B1853" s="253">
        <v>45904</v>
      </c>
      <c r="C1853" s="263" t="s">
        <v>117</v>
      </c>
      <c r="D1853" s="255" t="s">
        <v>650</v>
      </c>
      <c r="E1853" s="256"/>
      <c r="F1853" s="257">
        <v>248</v>
      </c>
      <c r="G1853" s="258" t="s">
        <v>194</v>
      </c>
      <c r="H1853" s="259"/>
      <c r="I1853" s="541">
        <f t="shared" si="33"/>
        <v>135153.72142857115</v>
      </c>
      <c r="K1853" s="243"/>
    </row>
    <row r="1854" spans="2:11" ht="17" customHeight="1">
      <c r="B1854" s="253">
        <v>45904</v>
      </c>
      <c r="C1854" s="263" t="s">
        <v>286</v>
      </c>
      <c r="D1854" s="255" t="s">
        <v>520</v>
      </c>
      <c r="E1854" s="256"/>
      <c r="F1854" s="257">
        <v>35</v>
      </c>
      <c r="G1854" s="258" t="s">
        <v>139</v>
      </c>
      <c r="H1854" s="259"/>
      <c r="I1854" s="541">
        <f t="shared" si="33"/>
        <v>135118.72142857115</v>
      </c>
      <c r="K1854" s="243"/>
    </row>
    <row r="1855" spans="2:11" ht="17" customHeight="1">
      <c r="B1855" s="253">
        <v>45904</v>
      </c>
      <c r="C1855" s="263" t="s">
        <v>513</v>
      </c>
      <c r="D1855" s="255" t="s">
        <v>873</v>
      </c>
      <c r="E1855" s="256"/>
      <c r="F1855" s="257">
        <v>35</v>
      </c>
      <c r="G1855" s="258" t="s">
        <v>248</v>
      </c>
      <c r="H1855" s="259"/>
      <c r="I1855" s="541">
        <f t="shared" si="33"/>
        <v>135083.72142857115</v>
      </c>
      <c r="K1855" s="243"/>
    </row>
    <row r="1856" spans="2:11" ht="17" customHeight="1">
      <c r="B1856" s="253">
        <v>45904</v>
      </c>
      <c r="C1856" s="263" t="s">
        <v>513</v>
      </c>
      <c r="D1856" s="255" t="s">
        <v>688</v>
      </c>
      <c r="E1856" s="256"/>
      <c r="F1856" s="257">
        <v>35</v>
      </c>
      <c r="G1856" s="258" t="s">
        <v>248</v>
      </c>
      <c r="H1856" s="259"/>
      <c r="I1856" s="541">
        <f t="shared" si="33"/>
        <v>135048.72142857115</v>
      </c>
      <c r="K1856" s="243"/>
    </row>
    <row r="1857" spans="2:11" ht="17" customHeight="1">
      <c r="B1857" s="253">
        <v>45904</v>
      </c>
      <c r="C1857" s="263" t="s">
        <v>117</v>
      </c>
      <c r="D1857" s="255" t="s">
        <v>846</v>
      </c>
      <c r="E1857" s="256"/>
      <c r="F1857" s="257">
        <v>6</v>
      </c>
      <c r="G1857" s="258" t="s">
        <v>201</v>
      </c>
      <c r="H1857" s="259"/>
      <c r="I1857" s="541">
        <f t="shared" si="33"/>
        <v>135042.72142857115</v>
      </c>
      <c r="K1857" s="243"/>
    </row>
    <row r="1858" spans="2:11" ht="17" customHeight="1">
      <c r="B1858" s="253">
        <v>45904</v>
      </c>
      <c r="C1858" s="263" t="s">
        <v>117</v>
      </c>
      <c r="D1858" s="255" t="s">
        <v>2001</v>
      </c>
      <c r="E1858" s="256">
        <v>300</v>
      </c>
      <c r="F1858" s="257"/>
      <c r="G1858" s="258" t="s">
        <v>195</v>
      </c>
      <c r="H1858" s="259"/>
      <c r="I1858" s="541">
        <f t="shared" si="33"/>
        <v>135342.72142857115</v>
      </c>
      <c r="K1858" s="243"/>
    </row>
    <row r="1859" spans="2:11" ht="17" customHeight="1">
      <c r="B1859" s="253">
        <v>45904</v>
      </c>
      <c r="C1859" s="675" t="s">
        <v>283</v>
      </c>
      <c r="D1859" s="676" t="s">
        <v>283</v>
      </c>
      <c r="E1859" s="677">
        <f>1106.9-E1860</f>
        <v>978.00000000000011</v>
      </c>
      <c r="F1859" s="678"/>
      <c r="G1859" s="258" t="s">
        <v>190</v>
      </c>
      <c r="H1859" s="259"/>
      <c r="I1859" s="541">
        <f t="shared" si="33"/>
        <v>136320.72142857115</v>
      </c>
      <c r="K1859" s="243"/>
    </row>
    <row r="1860" spans="2:11" ht="17" customHeight="1">
      <c r="B1860" s="253">
        <v>45904</v>
      </c>
      <c r="C1860" s="675" t="s">
        <v>283</v>
      </c>
      <c r="D1860" s="676" t="s">
        <v>508</v>
      </c>
      <c r="E1860" s="677">
        <v>128.9</v>
      </c>
      <c r="F1860" s="678"/>
      <c r="G1860" s="258" t="s">
        <v>276</v>
      </c>
      <c r="H1860" s="259"/>
      <c r="I1860" s="541">
        <f t="shared" si="33"/>
        <v>136449.62142857115</v>
      </c>
      <c r="K1860" s="243"/>
    </row>
    <row r="1861" spans="2:11" ht="17" customHeight="1">
      <c r="B1861" s="253">
        <v>45905</v>
      </c>
      <c r="C1861" s="263" t="s">
        <v>2021</v>
      </c>
      <c r="D1861" s="255" t="s">
        <v>512</v>
      </c>
      <c r="E1861" s="256"/>
      <c r="F1861" s="257">
        <f>37.9-1.46</f>
        <v>36.44</v>
      </c>
      <c r="G1861" s="258" t="s">
        <v>199</v>
      </c>
      <c r="H1861" s="259"/>
      <c r="I1861" s="541">
        <f t="shared" si="33"/>
        <v>136413.18142857114</v>
      </c>
      <c r="K1861" s="243"/>
    </row>
    <row r="1862" spans="2:11" ht="17" customHeight="1">
      <c r="B1862" s="253">
        <v>45905</v>
      </c>
      <c r="C1862" s="263" t="s">
        <v>2021</v>
      </c>
      <c r="D1862" s="255" t="s">
        <v>512</v>
      </c>
      <c r="E1862" s="256"/>
      <c r="F1862" s="257">
        <v>1.46</v>
      </c>
      <c r="G1862" s="258" t="s">
        <v>274</v>
      </c>
      <c r="H1862" s="259"/>
      <c r="I1862" s="541">
        <f t="shared" si="33"/>
        <v>136411.72142857115</v>
      </c>
      <c r="K1862" s="243"/>
    </row>
    <row r="1863" spans="2:11" ht="17" customHeight="1">
      <c r="B1863" s="253">
        <v>45905</v>
      </c>
      <c r="C1863" s="675" t="s">
        <v>117</v>
      </c>
      <c r="D1863" s="676" t="s">
        <v>568</v>
      </c>
      <c r="E1863" s="677"/>
      <c r="F1863" s="678">
        <v>150</v>
      </c>
      <c r="G1863" s="258" t="s">
        <v>230</v>
      </c>
      <c r="H1863" s="259"/>
      <c r="I1863" s="541">
        <f t="shared" si="33"/>
        <v>136261.72142857115</v>
      </c>
      <c r="K1863" s="243"/>
    </row>
    <row r="1864" spans="2:11" ht="17" customHeight="1">
      <c r="B1864" s="253">
        <v>45905</v>
      </c>
      <c r="C1864" s="675" t="s">
        <v>283</v>
      </c>
      <c r="D1864" s="676" t="s">
        <v>283</v>
      </c>
      <c r="E1864" s="677">
        <f>1512.4-E1865</f>
        <v>1258.44</v>
      </c>
      <c r="F1864" s="678"/>
      <c r="G1864" s="258" t="s">
        <v>190</v>
      </c>
      <c r="H1864" s="259"/>
      <c r="I1864" s="541">
        <f t="shared" si="33"/>
        <v>137520.16142857115</v>
      </c>
      <c r="K1864" s="243"/>
    </row>
    <row r="1865" spans="2:11" ht="17" customHeight="1">
      <c r="B1865" s="253">
        <v>45905</v>
      </c>
      <c r="C1865" s="675" t="s">
        <v>283</v>
      </c>
      <c r="D1865" s="676" t="s">
        <v>508</v>
      </c>
      <c r="E1865" s="677">
        <v>253.96</v>
      </c>
      <c r="F1865" s="678"/>
      <c r="G1865" s="258" t="s">
        <v>276</v>
      </c>
      <c r="H1865" s="259"/>
      <c r="I1865" s="541">
        <f t="shared" si="33"/>
        <v>137774.12142857115</v>
      </c>
      <c r="K1865" s="243"/>
    </row>
    <row r="1866" spans="2:11" ht="17" customHeight="1">
      <c r="B1866" s="253">
        <v>45900</v>
      </c>
      <c r="C1866" s="263" t="s">
        <v>513</v>
      </c>
      <c r="D1866" s="255" t="s">
        <v>24</v>
      </c>
      <c r="E1866" s="256"/>
      <c r="F1866" s="257">
        <v>200</v>
      </c>
      <c r="G1866" s="258" t="s">
        <v>245</v>
      </c>
      <c r="H1866" s="259"/>
      <c r="I1866" s="541">
        <f t="shared" si="33"/>
        <v>137574.12142857115</v>
      </c>
      <c r="K1866" s="243"/>
    </row>
    <row r="1867" spans="2:11" ht="17" customHeight="1">
      <c r="B1867" s="253">
        <v>45906</v>
      </c>
      <c r="C1867" s="263" t="s">
        <v>117</v>
      </c>
      <c r="D1867" s="255" t="s">
        <v>2022</v>
      </c>
      <c r="E1867" s="256"/>
      <c r="F1867" s="257">
        <v>466</v>
      </c>
      <c r="G1867" s="258"/>
      <c r="H1867" s="812" t="s">
        <v>2026</v>
      </c>
      <c r="I1867" s="541">
        <f t="shared" si="33"/>
        <v>137108.12142857115</v>
      </c>
      <c r="K1867" s="243"/>
    </row>
    <row r="1868" spans="2:11" ht="17" customHeight="1">
      <c r="B1868" s="253">
        <v>45906</v>
      </c>
      <c r="C1868" s="675" t="s">
        <v>283</v>
      </c>
      <c r="D1868" s="676" t="s">
        <v>283</v>
      </c>
      <c r="E1868" s="677">
        <f>2128.8-E1869</f>
        <v>1841.0300000000002</v>
      </c>
      <c r="F1868" s="678"/>
      <c r="G1868" s="258" t="s">
        <v>190</v>
      </c>
      <c r="H1868" s="259"/>
      <c r="I1868" s="541">
        <f t="shared" si="33"/>
        <v>138949.15142857115</v>
      </c>
      <c r="K1868" s="243"/>
    </row>
    <row r="1869" spans="2:11" ht="17" customHeight="1">
      <c r="B1869" s="253">
        <v>45906</v>
      </c>
      <c r="C1869" s="675" t="s">
        <v>283</v>
      </c>
      <c r="D1869" s="676" t="s">
        <v>508</v>
      </c>
      <c r="E1869" s="677">
        <v>287.77</v>
      </c>
      <c r="F1869" s="678"/>
      <c r="G1869" s="258" t="s">
        <v>276</v>
      </c>
      <c r="H1869" s="259"/>
      <c r="I1869" s="541">
        <f t="shared" si="33"/>
        <v>139236.92142857114</v>
      </c>
      <c r="K1869" s="243"/>
    </row>
    <row r="1870" spans="2:11" ht="17" customHeight="1">
      <c r="B1870" s="253">
        <v>45907</v>
      </c>
      <c r="C1870" s="675" t="s">
        <v>513</v>
      </c>
      <c r="D1870" s="676" t="s">
        <v>535</v>
      </c>
      <c r="E1870" s="677"/>
      <c r="F1870" s="678">
        <f>521-F1871</f>
        <v>377.84000000000003</v>
      </c>
      <c r="G1870" s="258" t="s">
        <v>245</v>
      </c>
      <c r="H1870" s="259"/>
      <c r="I1870" s="541">
        <f t="shared" si="33"/>
        <v>138859.08142857114</v>
      </c>
      <c r="K1870" s="243"/>
    </row>
    <row r="1871" spans="2:11" ht="17" customHeight="1">
      <c r="B1871" s="253">
        <v>45907</v>
      </c>
      <c r="C1871" s="675" t="s">
        <v>513</v>
      </c>
      <c r="D1871" s="676" t="s">
        <v>535</v>
      </c>
      <c r="E1871" s="677"/>
      <c r="F1871" s="678">
        <v>143.16</v>
      </c>
      <c r="G1871" s="258" t="s">
        <v>250</v>
      </c>
      <c r="H1871" s="259"/>
      <c r="I1871" s="541">
        <f t="shared" si="33"/>
        <v>138715.92142857114</v>
      </c>
      <c r="K1871" s="243"/>
    </row>
    <row r="1872" spans="2:11" ht="17" customHeight="1">
      <c r="B1872" s="253">
        <v>45907</v>
      </c>
      <c r="C1872" s="263" t="s">
        <v>513</v>
      </c>
      <c r="D1872" s="255" t="s">
        <v>873</v>
      </c>
      <c r="E1872" s="256"/>
      <c r="F1872" s="257">
        <v>30</v>
      </c>
      <c r="G1872" s="258" t="s">
        <v>248</v>
      </c>
      <c r="H1872" s="259"/>
      <c r="I1872" s="541">
        <f t="shared" si="33"/>
        <v>138685.92142857114</v>
      </c>
      <c r="K1872" s="243"/>
    </row>
    <row r="1873" spans="2:11" ht="17" customHeight="1">
      <c r="B1873" s="253">
        <v>45907</v>
      </c>
      <c r="C1873" s="263" t="s">
        <v>513</v>
      </c>
      <c r="D1873" s="255" t="s">
        <v>576</v>
      </c>
      <c r="E1873" s="256"/>
      <c r="F1873" s="257">
        <v>35</v>
      </c>
      <c r="G1873" s="258" t="s">
        <v>248</v>
      </c>
      <c r="H1873" s="259"/>
      <c r="I1873" s="541">
        <f t="shared" si="33"/>
        <v>138650.92142857114</v>
      </c>
      <c r="K1873" s="243"/>
    </row>
    <row r="1874" spans="2:11" ht="17" customHeight="1">
      <c r="B1874" s="253">
        <v>45907</v>
      </c>
      <c r="C1874" s="263" t="s">
        <v>286</v>
      </c>
      <c r="D1874" s="255" t="s">
        <v>520</v>
      </c>
      <c r="E1874" s="256"/>
      <c r="F1874" s="257">
        <v>20</v>
      </c>
      <c r="G1874" s="258" t="s">
        <v>139</v>
      </c>
      <c r="H1874" s="259"/>
      <c r="I1874" s="541">
        <f t="shared" si="33"/>
        <v>138630.92142857114</v>
      </c>
      <c r="K1874" s="243"/>
    </row>
    <row r="1875" spans="2:11" ht="17" customHeight="1">
      <c r="B1875" s="253">
        <v>45907</v>
      </c>
      <c r="C1875" s="675" t="s">
        <v>283</v>
      </c>
      <c r="D1875" s="676" t="s">
        <v>283</v>
      </c>
      <c r="E1875" s="677">
        <f>2653-E1876</f>
        <v>2357.14</v>
      </c>
      <c r="F1875" s="678"/>
      <c r="G1875" s="258" t="s">
        <v>190</v>
      </c>
      <c r="H1875" s="259"/>
      <c r="I1875" s="541">
        <f t="shared" si="33"/>
        <v>140988.06142857115</v>
      </c>
      <c r="K1875" s="243"/>
    </row>
    <row r="1876" spans="2:11" ht="17" customHeight="1">
      <c r="B1876" s="253">
        <v>45907</v>
      </c>
      <c r="C1876" s="675" t="s">
        <v>283</v>
      </c>
      <c r="D1876" s="676" t="s">
        <v>508</v>
      </c>
      <c r="E1876" s="677">
        <v>295.86</v>
      </c>
      <c r="F1876" s="678"/>
      <c r="G1876" s="258" t="s">
        <v>276</v>
      </c>
      <c r="H1876" s="259"/>
      <c r="I1876" s="541">
        <f t="shared" si="33"/>
        <v>141283.92142857114</v>
      </c>
      <c r="K1876" s="243"/>
    </row>
    <row r="1877" spans="2:11" ht="17" customHeight="1">
      <c r="B1877" s="253">
        <v>45908</v>
      </c>
      <c r="C1877" s="263" t="s">
        <v>513</v>
      </c>
      <c r="D1877" s="255" t="s">
        <v>31</v>
      </c>
      <c r="E1877" s="256"/>
      <c r="F1877" s="257">
        <v>100</v>
      </c>
      <c r="G1877" s="258" t="s">
        <v>245</v>
      </c>
      <c r="H1877" s="259"/>
      <c r="I1877" s="541">
        <f t="shared" si="33"/>
        <v>141183.92142857114</v>
      </c>
      <c r="K1877" s="243"/>
    </row>
    <row r="1878" spans="2:11" ht="17" customHeight="1">
      <c r="B1878" s="253">
        <v>45908</v>
      </c>
      <c r="C1878" s="263" t="s">
        <v>117</v>
      </c>
      <c r="D1878" s="255" t="s">
        <v>2023</v>
      </c>
      <c r="E1878" s="256"/>
      <c r="F1878" s="257">
        <v>30</v>
      </c>
      <c r="G1878" s="258"/>
      <c r="H1878" s="812" t="s">
        <v>2026</v>
      </c>
      <c r="I1878" s="541">
        <f t="shared" si="33"/>
        <v>141153.92142857114</v>
      </c>
      <c r="K1878" s="243"/>
    </row>
    <row r="1879" spans="2:11" ht="17" customHeight="1">
      <c r="B1879" s="253">
        <v>45908</v>
      </c>
      <c r="C1879" s="675" t="s">
        <v>283</v>
      </c>
      <c r="D1879" s="676" t="s">
        <v>283</v>
      </c>
      <c r="E1879" s="677">
        <f>530.7-E1880</f>
        <v>444.32000000000005</v>
      </c>
      <c r="F1879" s="678"/>
      <c r="G1879" s="258" t="s">
        <v>190</v>
      </c>
      <c r="H1879" s="259"/>
      <c r="I1879" s="541">
        <f t="shared" si="33"/>
        <v>141598.24142857114</v>
      </c>
      <c r="K1879" s="243"/>
    </row>
    <row r="1880" spans="2:11" ht="17" customHeight="1">
      <c r="B1880" s="253">
        <v>45908</v>
      </c>
      <c r="C1880" s="675" t="s">
        <v>283</v>
      </c>
      <c r="D1880" s="676" t="s">
        <v>508</v>
      </c>
      <c r="E1880" s="677">
        <v>86.38</v>
      </c>
      <c r="F1880" s="678"/>
      <c r="G1880" s="258" t="s">
        <v>276</v>
      </c>
      <c r="H1880" s="259"/>
      <c r="I1880" s="541">
        <f t="shared" si="33"/>
        <v>141684.62142857115</v>
      </c>
      <c r="K1880" s="243"/>
    </row>
    <row r="1881" spans="2:11" ht="17" customHeight="1">
      <c r="B1881" s="253">
        <v>45909</v>
      </c>
      <c r="C1881" s="263" t="s">
        <v>117</v>
      </c>
      <c r="D1881" s="255" t="s">
        <v>861</v>
      </c>
      <c r="E1881" s="256"/>
      <c r="F1881" s="257">
        <v>44</v>
      </c>
      <c r="G1881" s="258" t="s">
        <v>199</v>
      </c>
      <c r="H1881" s="259"/>
      <c r="I1881" s="541">
        <f t="shared" si="33"/>
        <v>141640.62142857115</v>
      </c>
      <c r="K1881" s="243"/>
    </row>
    <row r="1882" spans="2:11" ht="17" customHeight="1">
      <c r="B1882" s="253">
        <v>45909</v>
      </c>
      <c r="C1882" s="263" t="s">
        <v>117</v>
      </c>
      <c r="D1882" s="255" t="s">
        <v>846</v>
      </c>
      <c r="E1882" s="256"/>
      <c r="F1882" s="257">
        <v>208</v>
      </c>
      <c r="G1882" s="258" t="s">
        <v>201</v>
      </c>
      <c r="H1882" s="259"/>
      <c r="I1882" s="541">
        <f t="shared" si="33"/>
        <v>141432.62142857115</v>
      </c>
      <c r="K1882" s="243"/>
    </row>
    <row r="1883" spans="2:11" ht="17" customHeight="1">
      <c r="B1883" s="253">
        <v>45909</v>
      </c>
      <c r="C1883" s="263" t="s">
        <v>117</v>
      </c>
      <c r="D1883" s="255" t="s">
        <v>816</v>
      </c>
      <c r="E1883" s="256"/>
      <c r="F1883" s="257">
        <v>60</v>
      </c>
      <c r="G1883" s="258" t="s">
        <v>252</v>
      </c>
      <c r="H1883" s="259"/>
      <c r="I1883" s="541">
        <f t="shared" si="33"/>
        <v>141372.62142857115</v>
      </c>
      <c r="K1883" s="243"/>
    </row>
    <row r="1884" spans="2:11" ht="17" customHeight="1">
      <c r="B1884" s="253">
        <v>45909</v>
      </c>
      <c r="C1884" s="263" t="s">
        <v>286</v>
      </c>
      <c r="D1884" s="255" t="s">
        <v>520</v>
      </c>
      <c r="E1884" s="256"/>
      <c r="F1884" s="257">
        <v>396</v>
      </c>
      <c r="G1884" s="258" t="s">
        <v>139</v>
      </c>
      <c r="H1884" s="259"/>
      <c r="I1884" s="541">
        <f t="shared" si="33"/>
        <v>140976.62142857115</v>
      </c>
      <c r="K1884" s="243"/>
    </row>
    <row r="1885" spans="2:11" ht="17" customHeight="1">
      <c r="B1885" s="253">
        <v>45909</v>
      </c>
      <c r="C1885" s="675" t="s">
        <v>283</v>
      </c>
      <c r="D1885" s="676" t="s">
        <v>283</v>
      </c>
      <c r="E1885" s="677">
        <f>1010.5-E1886</f>
        <v>956.14</v>
      </c>
      <c r="F1885" s="678"/>
      <c r="G1885" s="258" t="s">
        <v>190</v>
      </c>
      <c r="H1885" s="259"/>
      <c r="I1885" s="541">
        <f t="shared" si="33"/>
        <v>141932.76142857116</v>
      </c>
      <c r="K1885" s="243"/>
    </row>
    <row r="1886" spans="2:11" ht="17" customHeight="1">
      <c r="B1886" s="253">
        <v>45909</v>
      </c>
      <c r="C1886" s="675" t="s">
        <v>283</v>
      </c>
      <c r="D1886" s="676" t="s">
        <v>508</v>
      </c>
      <c r="E1886" s="677">
        <v>54.36</v>
      </c>
      <c r="F1886" s="678"/>
      <c r="G1886" s="258" t="s">
        <v>276</v>
      </c>
      <c r="H1886" s="259"/>
      <c r="I1886" s="541">
        <f t="shared" si="33"/>
        <v>141987.12142857115</v>
      </c>
      <c r="K1886" s="243"/>
    </row>
    <row r="1887" spans="2:11" ht="17" customHeight="1">
      <c r="B1887" s="253">
        <v>45910</v>
      </c>
      <c r="C1887" s="263" t="s">
        <v>117</v>
      </c>
      <c r="D1887" s="255" t="s">
        <v>650</v>
      </c>
      <c r="E1887" s="256"/>
      <c r="F1887" s="257">
        <v>4301</v>
      </c>
      <c r="G1887" s="258" t="s">
        <v>194</v>
      </c>
      <c r="H1887" s="259"/>
      <c r="I1887" s="541">
        <f t="shared" si="33"/>
        <v>137686.12142857115</v>
      </c>
      <c r="K1887" s="243"/>
    </row>
    <row r="1888" spans="2:11" ht="17" customHeight="1">
      <c r="B1888" s="253">
        <v>45910</v>
      </c>
      <c r="C1888" s="263" t="s">
        <v>513</v>
      </c>
      <c r="D1888" s="255" t="s">
        <v>2033</v>
      </c>
      <c r="E1888" s="256"/>
      <c r="F1888" s="257">
        <v>125</v>
      </c>
      <c r="G1888" s="258" t="s">
        <v>249</v>
      </c>
      <c r="H1888" s="259"/>
      <c r="I1888" s="541">
        <f t="shared" si="33"/>
        <v>137561.12142857115</v>
      </c>
      <c r="K1888" s="243"/>
    </row>
    <row r="1889" spans="2:11" ht="17" customHeight="1">
      <c r="B1889" s="253">
        <v>45910</v>
      </c>
      <c r="C1889" s="263" t="s">
        <v>117</v>
      </c>
      <c r="D1889" s="255" t="s">
        <v>2034</v>
      </c>
      <c r="E1889" s="256"/>
      <c r="F1889" s="257">
        <v>125</v>
      </c>
      <c r="G1889" s="258" t="s">
        <v>206</v>
      </c>
      <c r="H1889" s="259"/>
      <c r="I1889" s="541">
        <f t="shared" si="33"/>
        <v>137436.12142857115</v>
      </c>
      <c r="K1889" s="243"/>
    </row>
    <row r="1890" spans="2:11" ht="17" customHeight="1">
      <c r="B1890" s="253">
        <v>45910</v>
      </c>
      <c r="C1890" s="263" t="s">
        <v>117</v>
      </c>
      <c r="D1890" s="255" t="s">
        <v>615</v>
      </c>
      <c r="E1890" s="256"/>
      <c r="F1890" s="257">
        <v>3</v>
      </c>
      <c r="G1890" s="258" t="s">
        <v>206</v>
      </c>
      <c r="H1890" s="259"/>
      <c r="I1890" s="541">
        <f t="shared" si="33"/>
        <v>137433.12142857115</v>
      </c>
      <c r="K1890" s="243"/>
    </row>
    <row r="1891" spans="2:11" ht="17" customHeight="1">
      <c r="B1891" s="253">
        <v>45910</v>
      </c>
      <c r="C1891" s="675" t="s">
        <v>283</v>
      </c>
      <c r="D1891" s="676" t="s">
        <v>283</v>
      </c>
      <c r="E1891" s="677">
        <f>1010.5-E1892</f>
        <v>921.05</v>
      </c>
      <c r="F1891" s="678"/>
      <c r="G1891" s="258" t="s">
        <v>190</v>
      </c>
      <c r="H1891" s="259"/>
      <c r="I1891" s="541">
        <f t="shared" si="33"/>
        <v>138354.17142857114</v>
      </c>
      <c r="K1891" s="243"/>
    </row>
    <row r="1892" spans="2:11" ht="17" customHeight="1">
      <c r="B1892" s="253">
        <v>45910</v>
      </c>
      <c r="C1892" s="675" t="s">
        <v>283</v>
      </c>
      <c r="D1892" s="676" t="s">
        <v>508</v>
      </c>
      <c r="E1892" s="677">
        <v>89.45</v>
      </c>
      <c r="F1892" s="678"/>
      <c r="G1892" s="258" t="s">
        <v>276</v>
      </c>
      <c r="H1892" s="259"/>
      <c r="I1892" s="541">
        <f t="shared" si="33"/>
        <v>138443.62142857115</v>
      </c>
      <c r="K1892" s="243"/>
    </row>
    <row r="1893" spans="2:11" ht="17" customHeight="1">
      <c r="B1893" s="253">
        <v>45910</v>
      </c>
      <c r="C1893" s="675" t="s">
        <v>283</v>
      </c>
      <c r="D1893" s="676" t="s">
        <v>283</v>
      </c>
      <c r="E1893" s="677">
        <v>400</v>
      </c>
      <c r="F1893" s="678"/>
      <c r="G1893" s="258" t="s">
        <v>190</v>
      </c>
      <c r="H1893" s="259" t="s">
        <v>2035</v>
      </c>
      <c r="I1893" s="541">
        <f t="shared" si="33"/>
        <v>138843.62142857115</v>
      </c>
      <c r="K1893" s="243"/>
    </row>
    <row r="1894" spans="2:11" ht="17" customHeight="1">
      <c r="B1894" s="253">
        <v>45911</v>
      </c>
      <c r="C1894" s="263" t="s">
        <v>513</v>
      </c>
      <c r="D1894" s="255" t="s">
        <v>873</v>
      </c>
      <c r="E1894" s="256"/>
      <c r="F1894" s="257">
        <v>45</v>
      </c>
      <c r="G1894" s="258" t="s">
        <v>248</v>
      </c>
      <c r="H1894" s="259"/>
      <c r="I1894" s="541">
        <f t="shared" si="33"/>
        <v>138798.62142857115</v>
      </c>
      <c r="K1894" s="243"/>
    </row>
    <row r="1895" spans="2:11" ht="17" customHeight="1">
      <c r="B1895" s="253">
        <v>45911</v>
      </c>
      <c r="C1895" s="263" t="s">
        <v>117</v>
      </c>
      <c r="D1895" s="255" t="s">
        <v>394</v>
      </c>
      <c r="E1895" s="256"/>
      <c r="F1895" s="257">
        <v>178.2</v>
      </c>
      <c r="G1895" s="258" t="s">
        <v>199</v>
      </c>
      <c r="H1895" s="259"/>
      <c r="I1895" s="541">
        <f t="shared" si="33"/>
        <v>138620.42142857114</v>
      </c>
      <c r="K1895" s="243"/>
    </row>
    <row r="1896" spans="2:11" ht="17" customHeight="1">
      <c r="B1896" s="253">
        <v>45900</v>
      </c>
      <c r="C1896" s="263" t="s">
        <v>117</v>
      </c>
      <c r="D1896" s="255" t="s">
        <v>724</v>
      </c>
      <c r="E1896" s="256"/>
      <c r="F1896" s="257">
        <v>320</v>
      </c>
      <c r="G1896" s="258" t="s">
        <v>233</v>
      </c>
      <c r="H1896" s="259"/>
      <c r="I1896" s="541">
        <f t="shared" si="33"/>
        <v>138300.42142857114</v>
      </c>
      <c r="K1896" s="243"/>
    </row>
    <row r="1897" spans="2:11" ht="17" customHeight="1">
      <c r="B1897" s="253">
        <v>45911</v>
      </c>
      <c r="C1897" s="675" t="s">
        <v>283</v>
      </c>
      <c r="D1897" s="676" t="s">
        <v>283</v>
      </c>
      <c r="E1897" s="677">
        <f>1443.7-E1898</f>
        <v>1276.24</v>
      </c>
      <c r="F1897" s="678"/>
      <c r="G1897" s="258" t="s">
        <v>190</v>
      </c>
      <c r="H1897" s="259"/>
      <c r="I1897" s="541">
        <f t="shared" si="33"/>
        <v>139576.66142857113</v>
      </c>
      <c r="K1897" s="243"/>
    </row>
    <row r="1898" spans="2:11" ht="17" customHeight="1">
      <c r="B1898" s="253">
        <v>45911</v>
      </c>
      <c r="C1898" s="675" t="s">
        <v>283</v>
      </c>
      <c r="D1898" s="676" t="s">
        <v>508</v>
      </c>
      <c r="E1898" s="677">
        <v>167.46</v>
      </c>
      <c r="F1898" s="678"/>
      <c r="G1898" s="258" t="s">
        <v>276</v>
      </c>
      <c r="H1898" s="259"/>
      <c r="I1898" s="541">
        <f t="shared" si="33"/>
        <v>139744.12142857112</v>
      </c>
      <c r="K1898" s="243"/>
    </row>
    <row r="1899" spans="2:11" ht="17" customHeight="1">
      <c r="B1899" s="253">
        <v>45912</v>
      </c>
      <c r="C1899" s="263" t="s">
        <v>2042</v>
      </c>
      <c r="D1899" s="255" t="s">
        <v>512</v>
      </c>
      <c r="E1899" s="256"/>
      <c r="F1899" s="257">
        <f>36-1.39</f>
        <v>34.61</v>
      </c>
      <c r="G1899" s="258" t="s">
        <v>199</v>
      </c>
      <c r="H1899" s="259"/>
      <c r="I1899" s="541">
        <f t="shared" si="33"/>
        <v>139709.51142857113</v>
      </c>
      <c r="K1899" s="243"/>
    </row>
    <row r="1900" spans="2:11" ht="17" customHeight="1">
      <c r="B1900" s="253">
        <v>45912</v>
      </c>
      <c r="C1900" s="263" t="s">
        <v>2042</v>
      </c>
      <c r="D1900" s="255" t="s">
        <v>512</v>
      </c>
      <c r="E1900" s="256"/>
      <c r="F1900" s="257">
        <v>1.39</v>
      </c>
      <c r="G1900" s="258" t="s">
        <v>274</v>
      </c>
      <c r="H1900" s="259"/>
      <c r="I1900" s="541">
        <f t="shared" si="33"/>
        <v>139708.12142857112</v>
      </c>
      <c r="K1900" s="243"/>
    </row>
    <row r="1901" spans="2:11" ht="17" customHeight="1">
      <c r="B1901" s="253">
        <v>45912</v>
      </c>
      <c r="C1901" s="263" t="s">
        <v>117</v>
      </c>
      <c r="D1901" s="255" t="s">
        <v>306</v>
      </c>
      <c r="E1901" s="256"/>
      <c r="F1901" s="257">
        <v>276.55</v>
      </c>
      <c r="G1901" s="258" t="s">
        <v>194</v>
      </c>
      <c r="H1901" s="259"/>
      <c r="I1901" s="541">
        <f t="shared" si="33"/>
        <v>139431.57142857113</v>
      </c>
      <c r="K1901" s="243"/>
    </row>
    <row r="1902" spans="2:11" ht="17" customHeight="1">
      <c r="B1902" s="253">
        <v>45912</v>
      </c>
      <c r="C1902" s="263" t="s">
        <v>117</v>
      </c>
      <c r="D1902" s="255" t="s">
        <v>306</v>
      </c>
      <c r="E1902" s="256"/>
      <c r="F1902" s="257">
        <v>264.14999999999998</v>
      </c>
      <c r="G1902" s="258" t="s">
        <v>194</v>
      </c>
      <c r="H1902" s="259"/>
      <c r="I1902" s="541">
        <f t="shared" si="33"/>
        <v>139167.42142857114</v>
      </c>
      <c r="K1902" s="243"/>
    </row>
    <row r="1903" spans="2:11" ht="17" customHeight="1">
      <c r="B1903" s="253">
        <v>45912</v>
      </c>
      <c r="C1903" s="263" t="s">
        <v>117</v>
      </c>
      <c r="D1903" s="255" t="s">
        <v>1917</v>
      </c>
      <c r="E1903" s="256">
        <v>620</v>
      </c>
      <c r="F1903" s="257"/>
      <c r="G1903" s="258" t="s">
        <v>194</v>
      </c>
      <c r="H1903" s="259"/>
      <c r="I1903" s="541">
        <f t="shared" si="33"/>
        <v>139787.42142857114</v>
      </c>
      <c r="K1903" s="243"/>
    </row>
    <row r="1904" spans="2:11" ht="17" customHeight="1">
      <c r="B1904" s="253">
        <v>45912</v>
      </c>
      <c r="C1904" s="263" t="s">
        <v>117</v>
      </c>
      <c r="D1904" s="255" t="s">
        <v>2001</v>
      </c>
      <c r="E1904" s="256">
        <v>300</v>
      </c>
      <c r="F1904" s="257"/>
      <c r="G1904" s="258" t="s">
        <v>195</v>
      </c>
      <c r="H1904" s="259"/>
      <c r="I1904" s="541">
        <f t="shared" si="33"/>
        <v>140087.42142857114</v>
      </c>
      <c r="K1904" s="243"/>
    </row>
    <row r="1905" spans="2:11" ht="17" customHeight="1">
      <c r="B1905" s="253">
        <v>45912</v>
      </c>
      <c r="C1905" s="263" t="s">
        <v>117</v>
      </c>
      <c r="D1905" s="255" t="s">
        <v>835</v>
      </c>
      <c r="E1905" s="256"/>
      <c r="F1905" s="257">
        <v>200</v>
      </c>
      <c r="G1905" s="258" t="s">
        <v>230</v>
      </c>
      <c r="H1905" s="259"/>
      <c r="I1905" s="541">
        <f t="shared" si="33"/>
        <v>139887.42142857114</v>
      </c>
      <c r="K1905" s="243"/>
    </row>
    <row r="1906" spans="2:11" ht="17" customHeight="1">
      <c r="B1906" s="253">
        <v>45912</v>
      </c>
      <c r="C1906" s="263" t="s">
        <v>513</v>
      </c>
      <c r="D1906" s="255" t="s">
        <v>688</v>
      </c>
      <c r="E1906" s="256"/>
      <c r="F1906" s="257">
        <v>60</v>
      </c>
      <c r="G1906" s="258" t="s">
        <v>245</v>
      </c>
      <c r="H1906" s="259"/>
      <c r="I1906" s="541">
        <f t="shared" si="33"/>
        <v>139827.42142857114</v>
      </c>
      <c r="K1906" s="243"/>
    </row>
    <row r="1907" spans="2:11" ht="17" customHeight="1">
      <c r="B1907" s="253">
        <v>45912</v>
      </c>
      <c r="C1907" s="263" t="s">
        <v>513</v>
      </c>
      <c r="D1907" s="255" t="s">
        <v>873</v>
      </c>
      <c r="E1907" s="256"/>
      <c r="F1907" s="257">
        <v>15</v>
      </c>
      <c r="G1907" s="258" t="s">
        <v>248</v>
      </c>
      <c r="H1907" s="259"/>
      <c r="I1907" s="541">
        <f t="shared" ref="I1907:I1970" si="34">I1906+E1907-F1907</f>
        <v>139812.42142857114</v>
      </c>
      <c r="K1907" s="243"/>
    </row>
    <row r="1908" spans="2:11" ht="17" customHeight="1">
      <c r="B1908" s="253">
        <v>45912</v>
      </c>
      <c r="C1908" s="675" t="s">
        <v>283</v>
      </c>
      <c r="D1908" s="676" t="s">
        <v>283</v>
      </c>
      <c r="E1908" s="677">
        <f>1272-E1909</f>
        <v>912.95</v>
      </c>
      <c r="F1908" s="678"/>
      <c r="G1908" s="258" t="s">
        <v>190</v>
      </c>
      <c r="H1908" s="259"/>
      <c r="I1908" s="541">
        <f t="shared" si="34"/>
        <v>140725.37142857115</v>
      </c>
      <c r="K1908" s="243"/>
    </row>
    <row r="1909" spans="2:11" ht="17" customHeight="1">
      <c r="B1909" s="253">
        <v>45912</v>
      </c>
      <c r="C1909" s="675" t="s">
        <v>283</v>
      </c>
      <c r="D1909" s="676" t="s">
        <v>508</v>
      </c>
      <c r="E1909" s="677">
        <v>359.05</v>
      </c>
      <c r="F1909" s="678"/>
      <c r="G1909" s="258" t="s">
        <v>276</v>
      </c>
      <c r="H1909" s="259"/>
      <c r="I1909" s="541">
        <f t="shared" si="34"/>
        <v>141084.42142857114</v>
      </c>
      <c r="K1909" s="243"/>
    </row>
    <row r="1910" spans="2:11" ht="17" customHeight="1">
      <c r="B1910" s="253">
        <v>45912</v>
      </c>
      <c r="C1910" s="675" t="s">
        <v>283</v>
      </c>
      <c r="D1910" s="676" t="s">
        <v>283</v>
      </c>
      <c r="E1910" s="677">
        <v>200</v>
      </c>
      <c r="F1910" s="678"/>
      <c r="G1910" s="258" t="s">
        <v>190</v>
      </c>
      <c r="H1910" s="259" t="s">
        <v>2043</v>
      </c>
      <c r="I1910" s="541">
        <f t="shared" si="34"/>
        <v>141284.42142857114</v>
      </c>
      <c r="K1910" s="243"/>
    </row>
    <row r="1911" spans="2:11" ht="17" customHeight="1">
      <c r="B1911" s="253">
        <v>45913</v>
      </c>
      <c r="C1911" s="263" t="s">
        <v>513</v>
      </c>
      <c r="D1911" s="255" t="s">
        <v>576</v>
      </c>
      <c r="E1911" s="256"/>
      <c r="F1911" s="257">
        <v>40</v>
      </c>
      <c r="G1911" s="258" t="s">
        <v>248</v>
      </c>
      <c r="H1911" s="259"/>
      <c r="I1911" s="541">
        <f t="shared" si="34"/>
        <v>141244.42142857114</v>
      </c>
      <c r="K1911" s="243"/>
    </row>
    <row r="1912" spans="2:11" ht="17" customHeight="1">
      <c r="B1912" s="253">
        <v>45913</v>
      </c>
      <c r="C1912" s="675" t="s">
        <v>283</v>
      </c>
      <c r="D1912" s="676" t="s">
        <v>283</v>
      </c>
      <c r="E1912" s="677">
        <f>1272-E1913</f>
        <v>912.95</v>
      </c>
      <c r="F1912" s="678"/>
      <c r="G1912" s="258" t="s">
        <v>190</v>
      </c>
      <c r="H1912" s="259"/>
      <c r="I1912" s="541">
        <f t="shared" si="34"/>
        <v>142157.37142857115</v>
      </c>
      <c r="K1912" s="243"/>
    </row>
    <row r="1913" spans="2:11" ht="17" customHeight="1">
      <c r="B1913" s="253">
        <v>45913</v>
      </c>
      <c r="C1913" s="675" t="s">
        <v>283</v>
      </c>
      <c r="D1913" s="676" t="s">
        <v>508</v>
      </c>
      <c r="E1913" s="677">
        <v>359.05</v>
      </c>
      <c r="F1913" s="678"/>
      <c r="G1913" s="258" t="s">
        <v>276</v>
      </c>
      <c r="H1913" s="259"/>
      <c r="I1913" s="541">
        <f t="shared" si="34"/>
        <v>142516.42142857114</v>
      </c>
      <c r="K1913" s="243"/>
    </row>
    <row r="1914" spans="2:11" ht="17" customHeight="1">
      <c r="B1914" s="253">
        <v>45914</v>
      </c>
      <c r="C1914" s="263" t="s">
        <v>513</v>
      </c>
      <c r="D1914" s="255" t="s">
        <v>873</v>
      </c>
      <c r="E1914" s="256"/>
      <c r="F1914" s="257">
        <v>40</v>
      </c>
      <c r="G1914" s="258" t="s">
        <v>248</v>
      </c>
      <c r="H1914" s="259"/>
      <c r="I1914" s="541">
        <f t="shared" si="34"/>
        <v>142476.42142857114</v>
      </c>
      <c r="K1914" s="243"/>
    </row>
    <row r="1915" spans="2:11" ht="17" customHeight="1">
      <c r="B1915" s="253">
        <v>45914</v>
      </c>
      <c r="C1915" s="675" t="s">
        <v>283</v>
      </c>
      <c r="D1915" s="676" t="s">
        <v>283</v>
      </c>
      <c r="E1915" s="677">
        <f>1766.6-E1916</f>
        <v>1526.33</v>
      </c>
      <c r="F1915" s="678"/>
      <c r="G1915" s="258" t="s">
        <v>190</v>
      </c>
      <c r="H1915" s="259"/>
      <c r="I1915" s="541">
        <f t="shared" si="34"/>
        <v>144002.75142857112</v>
      </c>
      <c r="K1915" s="243"/>
    </row>
    <row r="1916" spans="2:11" ht="17" customHeight="1">
      <c r="B1916" s="253">
        <v>45914</v>
      </c>
      <c r="C1916" s="675" t="s">
        <v>283</v>
      </c>
      <c r="D1916" s="676" t="s">
        <v>508</v>
      </c>
      <c r="E1916" s="677">
        <v>240.27</v>
      </c>
      <c r="F1916" s="678"/>
      <c r="G1916" s="258" t="s">
        <v>276</v>
      </c>
      <c r="H1916" s="259"/>
      <c r="I1916" s="541">
        <f t="shared" si="34"/>
        <v>144243.02142857111</v>
      </c>
      <c r="K1916" s="243"/>
    </row>
    <row r="1917" spans="2:11" ht="17" customHeight="1">
      <c r="B1917" s="253">
        <v>45914</v>
      </c>
      <c r="C1917" s="675" t="s">
        <v>283</v>
      </c>
      <c r="D1917" s="676" t="s">
        <v>283</v>
      </c>
      <c r="E1917" s="677">
        <v>200</v>
      </c>
      <c r="F1917" s="678"/>
      <c r="G1917" s="258" t="s">
        <v>190</v>
      </c>
      <c r="H1917" s="259" t="s">
        <v>2044</v>
      </c>
      <c r="I1917" s="541">
        <f t="shared" si="34"/>
        <v>144443.02142857111</v>
      </c>
      <c r="K1917" s="243"/>
    </row>
    <row r="1918" spans="2:11" ht="17" customHeight="1">
      <c r="B1918" s="253">
        <v>45915</v>
      </c>
      <c r="C1918" s="263" t="s">
        <v>117</v>
      </c>
      <c r="D1918" s="255" t="s">
        <v>650</v>
      </c>
      <c r="E1918" s="256"/>
      <c r="F1918" s="257">
        <v>1485</v>
      </c>
      <c r="G1918" s="258" t="s">
        <v>194</v>
      </c>
      <c r="H1918" s="259"/>
      <c r="I1918" s="541">
        <f t="shared" si="34"/>
        <v>142958.02142857111</v>
      </c>
      <c r="K1918" s="243"/>
    </row>
    <row r="1919" spans="2:11" ht="17" customHeight="1">
      <c r="B1919" s="253">
        <v>45909</v>
      </c>
      <c r="C1919" s="263" t="s">
        <v>2045</v>
      </c>
      <c r="D1919" s="255" t="s">
        <v>545</v>
      </c>
      <c r="E1919" s="256"/>
      <c r="F1919" s="257">
        <v>27.5</v>
      </c>
      <c r="G1919" s="258" t="s">
        <v>205</v>
      </c>
      <c r="H1919" s="259"/>
      <c r="I1919" s="541">
        <f t="shared" si="34"/>
        <v>142930.52142857111</v>
      </c>
      <c r="K1919" s="243"/>
    </row>
    <row r="1920" spans="2:11" ht="17" customHeight="1">
      <c r="B1920" s="253">
        <v>45909</v>
      </c>
      <c r="C1920" s="263" t="s">
        <v>2046</v>
      </c>
      <c r="D1920" s="255" t="s">
        <v>545</v>
      </c>
      <c r="E1920" s="256"/>
      <c r="F1920" s="257">
        <v>31.36</v>
      </c>
      <c r="G1920" s="258" t="s">
        <v>205</v>
      </c>
      <c r="H1920" s="259"/>
      <c r="I1920" s="541">
        <f t="shared" si="34"/>
        <v>142899.16142857113</v>
      </c>
      <c r="K1920" s="243"/>
    </row>
    <row r="1921" spans="2:11" ht="17" customHeight="1">
      <c r="B1921" s="253">
        <v>45906</v>
      </c>
      <c r="C1921" s="263" t="s">
        <v>2047</v>
      </c>
      <c r="D1921" s="255" t="s">
        <v>545</v>
      </c>
      <c r="E1921" s="256"/>
      <c r="F1921" s="257">
        <v>26.92</v>
      </c>
      <c r="G1921" s="258" t="s">
        <v>208</v>
      </c>
      <c r="H1921" s="259"/>
      <c r="I1921" s="541">
        <f t="shared" si="34"/>
        <v>142872.24142857111</v>
      </c>
      <c r="K1921" s="243"/>
    </row>
    <row r="1922" spans="2:11" ht="17" customHeight="1">
      <c r="B1922" s="253">
        <v>45905</v>
      </c>
      <c r="C1922" s="263" t="s">
        <v>2048</v>
      </c>
      <c r="D1922" s="255" t="s">
        <v>545</v>
      </c>
      <c r="E1922" s="256"/>
      <c r="F1922" s="257">
        <v>40.049999999999997</v>
      </c>
      <c r="G1922" s="258" t="s">
        <v>205</v>
      </c>
      <c r="H1922" s="259"/>
      <c r="I1922" s="541">
        <f t="shared" si="34"/>
        <v>142832.19142857112</v>
      </c>
      <c r="K1922" s="243"/>
    </row>
    <row r="1923" spans="2:11" ht="17" customHeight="1">
      <c r="B1923" s="253">
        <v>45905</v>
      </c>
      <c r="C1923" s="263" t="s">
        <v>2049</v>
      </c>
      <c r="D1923" s="255" t="s">
        <v>545</v>
      </c>
      <c r="E1923" s="256"/>
      <c r="F1923" s="257">
        <v>9.99</v>
      </c>
      <c r="G1923" s="258" t="s">
        <v>208</v>
      </c>
      <c r="H1923" s="259"/>
      <c r="I1923" s="541">
        <f t="shared" si="34"/>
        <v>142822.20142857113</v>
      </c>
      <c r="K1923" s="243"/>
    </row>
    <row r="1924" spans="2:11" ht="17" customHeight="1">
      <c r="B1924" s="253">
        <v>45902</v>
      </c>
      <c r="C1924" s="263" t="s">
        <v>2050</v>
      </c>
      <c r="D1924" s="255" t="s">
        <v>545</v>
      </c>
      <c r="E1924" s="256"/>
      <c r="F1924" s="257">
        <v>19.07</v>
      </c>
      <c r="G1924" s="258" t="s">
        <v>208</v>
      </c>
      <c r="H1924" s="259"/>
      <c r="I1924" s="541">
        <f t="shared" si="34"/>
        <v>142803.13142857113</v>
      </c>
      <c r="K1924" s="243"/>
    </row>
    <row r="1925" spans="2:11" ht="17" customHeight="1">
      <c r="B1925" s="253">
        <v>45901</v>
      </c>
      <c r="C1925" s="263" t="s">
        <v>2051</v>
      </c>
      <c r="D1925" s="255" t="s">
        <v>545</v>
      </c>
      <c r="E1925" s="256"/>
      <c r="F1925" s="257">
        <v>6.49</v>
      </c>
      <c r="G1925" s="258" t="s">
        <v>208</v>
      </c>
      <c r="H1925" s="259"/>
      <c r="I1925" s="541">
        <f t="shared" si="34"/>
        <v>142796.64142857114</v>
      </c>
      <c r="K1925" s="243"/>
    </row>
    <row r="1926" spans="2:11" ht="17" customHeight="1">
      <c r="B1926" s="253">
        <v>45915</v>
      </c>
      <c r="C1926" s="675" t="s">
        <v>283</v>
      </c>
      <c r="D1926" s="676" t="s">
        <v>283</v>
      </c>
      <c r="E1926" s="677">
        <f>680-E1927</f>
        <v>598.28</v>
      </c>
      <c r="F1926" s="678"/>
      <c r="G1926" s="258" t="s">
        <v>190</v>
      </c>
      <c r="H1926" s="259"/>
      <c r="I1926" s="541">
        <f t="shared" si="34"/>
        <v>143394.92142857114</v>
      </c>
      <c r="K1926" s="243"/>
    </row>
    <row r="1927" spans="2:11" ht="17" customHeight="1">
      <c r="B1927" s="253">
        <v>45915</v>
      </c>
      <c r="C1927" s="675" t="s">
        <v>283</v>
      </c>
      <c r="D1927" s="676" t="s">
        <v>508</v>
      </c>
      <c r="E1927" s="677">
        <v>81.72</v>
      </c>
      <c r="F1927" s="678"/>
      <c r="G1927" s="258" t="s">
        <v>276</v>
      </c>
      <c r="H1927" s="259"/>
      <c r="I1927" s="541">
        <f t="shared" si="34"/>
        <v>143476.64142857114</v>
      </c>
      <c r="K1927" s="243"/>
    </row>
    <row r="1928" spans="2:11" ht="17" customHeight="1">
      <c r="B1928" s="615">
        <v>45899</v>
      </c>
      <c r="C1928" s="263" t="s">
        <v>513</v>
      </c>
      <c r="D1928" s="255" t="s">
        <v>722</v>
      </c>
      <c r="E1928" s="256"/>
      <c r="F1928" s="257">
        <v>1600</v>
      </c>
      <c r="G1928" s="258" t="s">
        <v>245</v>
      </c>
      <c r="H1928" s="525" t="s">
        <v>753</v>
      </c>
      <c r="I1928" s="541">
        <f t="shared" si="34"/>
        <v>141876.64142857114</v>
      </c>
      <c r="K1928" s="243"/>
    </row>
    <row r="1929" spans="2:11" ht="17" customHeight="1">
      <c r="B1929" s="615">
        <v>45899</v>
      </c>
      <c r="C1929" s="263" t="s">
        <v>513</v>
      </c>
      <c r="D1929" s="255" t="s">
        <v>25</v>
      </c>
      <c r="E1929" s="256"/>
      <c r="F1929" s="257">
        <v>385</v>
      </c>
      <c r="G1929" s="258" t="s">
        <v>246</v>
      </c>
      <c r="H1929" s="525" t="s">
        <v>753</v>
      </c>
      <c r="I1929" s="541">
        <f t="shared" si="34"/>
        <v>141491.64142857114</v>
      </c>
      <c r="K1929" s="243"/>
    </row>
    <row r="1930" spans="2:11" ht="17" customHeight="1">
      <c r="B1930" s="615">
        <v>45899</v>
      </c>
      <c r="C1930" s="263" t="s">
        <v>513</v>
      </c>
      <c r="D1930" s="255" t="s">
        <v>557</v>
      </c>
      <c r="E1930" s="256"/>
      <c r="F1930" s="257">
        <v>170</v>
      </c>
      <c r="G1930" s="258" t="s">
        <v>1859</v>
      </c>
      <c r="H1930" s="525" t="s">
        <v>753</v>
      </c>
      <c r="I1930" s="541">
        <f t="shared" si="34"/>
        <v>141321.64142857114</v>
      </c>
      <c r="K1930" s="243"/>
    </row>
    <row r="1931" spans="2:11" ht="17" customHeight="1">
      <c r="B1931" s="615">
        <v>45899</v>
      </c>
      <c r="C1931" s="263" t="s">
        <v>513</v>
      </c>
      <c r="D1931" s="255" t="s">
        <v>1926</v>
      </c>
      <c r="E1931" s="256">
        <v>27</v>
      </c>
      <c r="F1931" s="257"/>
      <c r="G1931" s="258" t="s">
        <v>246</v>
      </c>
      <c r="H1931" s="525" t="s">
        <v>753</v>
      </c>
      <c r="I1931" s="541">
        <f t="shared" si="34"/>
        <v>141348.64142857114</v>
      </c>
      <c r="K1931" s="243"/>
    </row>
    <row r="1932" spans="2:11" ht="17" customHeight="1">
      <c r="B1932" s="615">
        <v>45899</v>
      </c>
      <c r="C1932" s="263" t="s">
        <v>513</v>
      </c>
      <c r="D1932" s="255" t="s">
        <v>28</v>
      </c>
      <c r="E1932" s="256"/>
      <c r="F1932" s="257">
        <v>690</v>
      </c>
      <c r="G1932" s="258" t="s">
        <v>243</v>
      </c>
      <c r="H1932" s="525" t="s">
        <v>753</v>
      </c>
      <c r="I1932" s="541">
        <f t="shared" si="34"/>
        <v>140658.64142857114</v>
      </c>
      <c r="K1932" s="243"/>
    </row>
    <row r="1933" spans="2:11" ht="17" customHeight="1">
      <c r="B1933" s="615">
        <v>45899</v>
      </c>
      <c r="C1933" s="263" t="s">
        <v>513</v>
      </c>
      <c r="D1933" s="255" t="s">
        <v>29</v>
      </c>
      <c r="E1933" s="256"/>
      <c r="F1933" s="257">
        <v>400</v>
      </c>
      <c r="G1933" s="258" t="s">
        <v>243</v>
      </c>
      <c r="H1933" s="525" t="s">
        <v>753</v>
      </c>
      <c r="I1933" s="541">
        <f t="shared" si="34"/>
        <v>140258.64142857114</v>
      </c>
      <c r="K1933" s="243"/>
    </row>
    <row r="1934" spans="2:11" ht="17" customHeight="1">
      <c r="B1934" s="615">
        <v>45899</v>
      </c>
      <c r="C1934" s="263" t="s">
        <v>513</v>
      </c>
      <c r="D1934" s="255" t="s">
        <v>559</v>
      </c>
      <c r="E1934" s="256"/>
      <c r="F1934" s="257">
        <v>840</v>
      </c>
      <c r="G1934" s="258" t="s">
        <v>243</v>
      </c>
      <c r="H1934" s="525" t="s">
        <v>753</v>
      </c>
      <c r="I1934" s="541">
        <f t="shared" si="34"/>
        <v>139418.64142857114</v>
      </c>
      <c r="K1934" s="243"/>
    </row>
    <row r="1935" spans="2:11" ht="17" customHeight="1">
      <c r="B1935" s="615">
        <v>45899</v>
      </c>
      <c r="C1935" s="263" t="s">
        <v>513</v>
      </c>
      <c r="D1935" s="255" t="s">
        <v>24</v>
      </c>
      <c r="E1935" s="256"/>
      <c r="F1935" s="257">
        <f>1015-200</f>
        <v>815</v>
      </c>
      <c r="G1935" s="258" t="s">
        <v>245</v>
      </c>
      <c r="H1935" s="525" t="s">
        <v>753</v>
      </c>
      <c r="I1935" s="541">
        <f t="shared" si="34"/>
        <v>138603.64142857114</v>
      </c>
      <c r="K1935" s="243"/>
    </row>
    <row r="1936" spans="2:11" ht="17" customHeight="1">
      <c r="B1936" s="253">
        <v>45916</v>
      </c>
      <c r="C1936" s="263" t="s">
        <v>513</v>
      </c>
      <c r="D1936" s="255" t="s">
        <v>576</v>
      </c>
      <c r="E1936" s="256"/>
      <c r="F1936" s="257">
        <v>90</v>
      </c>
      <c r="G1936" s="258" t="s">
        <v>248</v>
      </c>
      <c r="H1936" s="259"/>
      <c r="I1936" s="541">
        <f t="shared" si="34"/>
        <v>138513.64142857114</v>
      </c>
      <c r="K1936" s="243"/>
    </row>
    <row r="1937" spans="2:11" ht="17" customHeight="1">
      <c r="B1937" s="253">
        <v>45916</v>
      </c>
      <c r="C1937" s="263" t="s">
        <v>117</v>
      </c>
      <c r="D1937" s="255" t="s">
        <v>846</v>
      </c>
      <c r="E1937" s="256"/>
      <c r="F1937" s="257">
        <v>58</v>
      </c>
      <c r="G1937" s="258" t="s">
        <v>201</v>
      </c>
      <c r="H1937" s="259"/>
      <c r="I1937" s="541">
        <f t="shared" si="34"/>
        <v>138455.64142857114</v>
      </c>
      <c r="K1937" s="243"/>
    </row>
    <row r="1938" spans="2:11" ht="17" customHeight="1">
      <c r="B1938" s="253">
        <v>45916</v>
      </c>
      <c r="C1938" s="675" t="s">
        <v>117</v>
      </c>
      <c r="D1938" s="676" t="s">
        <v>97</v>
      </c>
      <c r="E1938" s="677"/>
      <c r="F1938" s="678">
        <v>1030</v>
      </c>
      <c r="G1938" s="258" t="s">
        <v>194</v>
      </c>
      <c r="H1938" s="259"/>
      <c r="I1938" s="541">
        <f t="shared" si="34"/>
        <v>137425.64142857114</v>
      </c>
      <c r="K1938" s="243"/>
    </row>
    <row r="1939" spans="2:11" ht="17" customHeight="1">
      <c r="B1939" s="253">
        <v>45916</v>
      </c>
      <c r="C1939" s="675" t="s">
        <v>117</v>
      </c>
      <c r="D1939" s="255" t="s">
        <v>361</v>
      </c>
      <c r="E1939" s="677"/>
      <c r="F1939" s="678">
        <v>106.55</v>
      </c>
      <c r="G1939" s="258" t="s">
        <v>199</v>
      </c>
      <c r="H1939" s="259"/>
      <c r="I1939" s="541">
        <f t="shared" si="34"/>
        <v>137319.09142857115</v>
      </c>
      <c r="K1939" s="243"/>
    </row>
    <row r="1940" spans="2:11" ht="17" customHeight="1">
      <c r="B1940" s="253">
        <v>45916</v>
      </c>
      <c r="C1940" s="675" t="s">
        <v>283</v>
      </c>
      <c r="D1940" s="676" t="s">
        <v>283</v>
      </c>
      <c r="E1940" s="677">
        <f>608.2-E1941</f>
        <v>566.31000000000006</v>
      </c>
      <c r="F1940" s="678"/>
      <c r="G1940" s="258" t="s">
        <v>190</v>
      </c>
      <c r="H1940" s="259"/>
      <c r="I1940" s="541">
        <f t="shared" si="34"/>
        <v>137885.40142857115</v>
      </c>
      <c r="K1940" s="243"/>
    </row>
    <row r="1941" spans="2:11" ht="17" customHeight="1">
      <c r="B1941" s="253">
        <v>45916</v>
      </c>
      <c r="C1941" s="675" t="s">
        <v>283</v>
      </c>
      <c r="D1941" s="676" t="s">
        <v>508</v>
      </c>
      <c r="E1941" s="677">
        <v>41.89</v>
      </c>
      <c r="F1941" s="678"/>
      <c r="G1941" s="258" t="s">
        <v>276</v>
      </c>
      <c r="H1941" s="259"/>
      <c r="I1941" s="541">
        <f t="shared" si="34"/>
        <v>137927.29142857116</v>
      </c>
      <c r="K1941" s="243"/>
    </row>
    <row r="1942" spans="2:11" ht="17" customHeight="1">
      <c r="B1942" s="253">
        <v>45917</v>
      </c>
      <c r="C1942" s="263" t="s">
        <v>513</v>
      </c>
      <c r="D1942" s="255" t="s">
        <v>873</v>
      </c>
      <c r="E1942" s="256"/>
      <c r="F1942" s="257">
        <v>63</v>
      </c>
      <c r="G1942" s="258" t="s">
        <v>248</v>
      </c>
      <c r="H1942" s="259"/>
      <c r="I1942" s="541">
        <f t="shared" si="34"/>
        <v>137864.29142857116</v>
      </c>
      <c r="K1942" s="243"/>
    </row>
    <row r="1943" spans="2:11" ht="17" customHeight="1">
      <c r="B1943" s="253">
        <v>45917</v>
      </c>
      <c r="C1943" s="263" t="s">
        <v>117</v>
      </c>
      <c r="D1943" s="255" t="s">
        <v>97</v>
      </c>
      <c r="E1943" s="256"/>
      <c r="F1943" s="257">
        <v>1025</v>
      </c>
      <c r="G1943" s="258" t="s">
        <v>194</v>
      </c>
      <c r="H1943" s="259"/>
      <c r="I1943" s="541">
        <f t="shared" si="34"/>
        <v>136839.29142857116</v>
      </c>
      <c r="K1943" s="243"/>
    </row>
    <row r="1944" spans="2:11" ht="17" customHeight="1">
      <c r="B1944" s="253">
        <v>45917</v>
      </c>
      <c r="C1944" s="675" t="s">
        <v>283</v>
      </c>
      <c r="D1944" s="676" t="s">
        <v>283</v>
      </c>
      <c r="E1944" s="677">
        <f>1091.05-E1945</f>
        <v>976.68</v>
      </c>
      <c r="F1944" s="678"/>
      <c r="G1944" s="258" t="s">
        <v>190</v>
      </c>
      <c r="H1944" s="259"/>
      <c r="I1944" s="541">
        <f t="shared" si="34"/>
        <v>137815.97142857115</v>
      </c>
      <c r="K1944" s="243"/>
    </row>
    <row r="1945" spans="2:11" ht="17" customHeight="1">
      <c r="B1945" s="253">
        <v>45917</v>
      </c>
      <c r="C1945" s="675" t="s">
        <v>283</v>
      </c>
      <c r="D1945" s="676" t="s">
        <v>508</v>
      </c>
      <c r="E1945" s="677">
        <v>114.37</v>
      </c>
      <c r="F1945" s="678"/>
      <c r="G1945" s="258" t="s">
        <v>276</v>
      </c>
      <c r="H1945" s="259"/>
      <c r="I1945" s="541">
        <f t="shared" si="34"/>
        <v>137930.34142857115</v>
      </c>
      <c r="K1945" s="243"/>
    </row>
    <row r="1946" spans="2:11" ht="17" customHeight="1">
      <c r="B1946" s="253">
        <v>45918</v>
      </c>
      <c r="C1946" s="263" t="s">
        <v>513</v>
      </c>
      <c r="D1946" s="255" t="s">
        <v>2062</v>
      </c>
      <c r="E1946" s="256"/>
      <c r="F1946" s="257">
        <v>270</v>
      </c>
      <c r="G1946" s="258" t="s">
        <v>245</v>
      </c>
      <c r="H1946" s="259"/>
      <c r="I1946" s="541">
        <f t="shared" si="34"/>
        <v>137660.34142857115</v>
      </c>
      <c r="K1946" s="243"/>
    </row>
    <row r="1947" spans="2:11" ht="17" customHeight="1">
      <c r="B1947" s="253">
        <v>45918</v>
      </c>
      <c r="C1947" s="263" t="s">
        <v>286</v>
      </c>
      <c r="D1947" s="255" t="s">
        <v>520</v>
      </c>
      <c r="E1947" s="256"/>
      <c r="F1947" s="257">
        <v>35</v>
      </c>
      <c r="G1947" s="258" t="s">
        <v>139</v>
      </c>
      <c r="H1947" s="259"/>
      <c r="I1947" s="541">
        <f t="shared" si="34"/>
        <v>137625.34142857115</v>
      </c>
      <c r="K1947" s="243"/>
    </row>
    <row r="1948" spans="2:11" ht="17" customHeight="1">
      <c r="B1948" s="253">
        <v>45918</v>
      </c>
      <c r="C1948" s="263" t="s">
        <v>513</v>
      </c>
      <c r="D1948" s="255" t="s">
        <v>2063</v>
      </c>
      <c r="E1948" s="256"/>
      <c r="F1948" s="257">
        <v>295</v>
      </c>
      <c r="G1948" s="258" t="s">
        <v>249</v>
      </c>
      <c r="H1948" s="259"/>
      <c r="I1948" s="541">
        <f t="shared" si="34"/>
        <v>137330.34142857115</v>
      </c>
      <c r="K1948" s="243"/>
    </row>
    <row r="1949" spans="2:11" ht="17" customHeight="1">
      <c r="B1949" s="253">
        <v>45918</v>
      </c>
      <c r="C1949" s="263" t="s">
        <v>117</v>
      </c>
      <c r="D1949" s="255" t="s">
        <v>2001</v>
      </c>
      <c r="E1949" s="256">
        <v>200</v>
      </c>
      <c r="F1949" s="257"/>
      <c r="G1949" s="258" t="s">
        <v>195</v>
      </c>
      <c r="H1949" s="259"/>
      <c r="I1949" s="541">
        <f t="shared" si="34"/>
        <v>137530.34142857115</v>
      </c>
      <c r="K1949" s="243"/>
    </row>
    <row r="1950" spans="2:11" ht="17" customHeight="1">
      <c r="B1950" s="253">
        <v>45918</v>
      </c>
      <c r="C1950" s="675" t="s">
        <v>117</v>
      </c>
      <c r="D1950" s="676" t="s">
        <v>1917</v>
      </c>
      <c r="E1950" s="677">
        <v>157.5</v>
      </c>
      <c r="F1950" s="678"/>
      <c r="G1950" s="258" t="s">
        <v>194</v>
      </c>
      <c r="H1950" s="259"/>
      <c r="I1950" s="541">
        <f t="shared" si="34"/>
        <v>137687.84142857115</v>
      </c>
      <c r="K1950" s="243"/>
    </row>
    <row r="1951" spans="2:11" ht="17" customHeight="1">
      <c r="B1951" s="253">
        <v>45918</v>
      </c>
      <c r="C1951" s="263" t="s">
        <v>117</v>
      </c>
      <c r="D1951" s="255" t="s">
        <v>718</v>
      </c>
      <c r="E1951" s="256"/>
      <c r="F1951" s="257">
        <v>35</v>
      </c>
      <c r="G1951" s="258" t="s">
        <v>208</v>
      </c>
      <c r="H1951" s="259"/>
      <c r="I1951" s="541">
        <f t="shared" si="34"/>
        <v>137652.84142857115</v>
      </c>
      <c r="K1951" s="243"/>
    </row>
    <row r="1952" spans="2:11" ht="17" customHeight="1">
      <c r="B1952" s="253">
        <v>45918</v>
      </c>
      <c r="C1952" s="675" t="s">
        <v>283</v>
      </c>
      <c r="D1952" s="676" t="s">
        <v>283</v>
      </c>
      <c r="E1952" s="677">
        <f>1228-E1953</f>
        <v>1127.54</v>
      </c>
      <c r="F1952" s="678"/>
      <c r="G1952" s="258" t="s">
        <v>190</v>
      </c>
      <c r="H1952" s="259"/>
      <c r="I1952" s="541">
        <f t="shared" si="34"/>
        <v>138780.38142857116</v>
      </c>
      <c r="K1952" s="243"/>
    </row>
    <row r="1953" spans="2:11" ht="17" customHeight="1">
      <c r="B1953" s="253">
        <v>45918</v>
      </c>
      <c r="C1953" s="675" t="s">
        <v>283</v>
      </c>
      <c r="D1953" s="676" t="s">
        <v>508</v>
      </c>
      <c r="E1953" s="677">
        <v>100.46</v>
      </c>
      <c r="F1953" s="678"/>
      <c r="G1953" s="258" t="s">
        <v>276</v>
      </c>
      <c r="H1953" s="259"/>
      <c r="I1953" s="541">
        <f t="shared" si="34"/>
        <v>138880.84142857115</v>
      </c>
      <c r="K1953" s="243"/>
    </row>
    <row r="1954" spans="2:11" ht="17" customHeight="1">
      <c r="B1954" s="253">
        <v>45919</v>
      </c>
      <c r="C1954" s="263" t="s">
        <v>2069</v>
      </c>
      <c r="D1954" s="255" t="s">
        <v>512</v>
      </c>
      <c r="E1954" s="256"/>
      <c r="F1954" s="257">
        <f>43.5-1.67</f>
        <v>41.83</v>
      </c>
      <c r="G1954" s="258" t="s">
        <v>194</v>
      </c>
      <c r="H1954" s="259"/>
      <c r="I1954" s="541">
        <f t="shared" si="34"/>
        <v>138839.01142857116</v>
      </c>
      <c r="K1954" s="243"/>
    </row>
    <row r="1955" spans="2:11" ht="17" customHeight="1">
      <c r="B1955" s="253">
        <v>45919</v>
      </c>
      <c r="C1955" s="263" t="s">
        <v>2069</v>
      </c>
      <c r="D1955" s="255" t="s">
        <v>512</v>
      </c>
      <c r="E1955" s="256"/>
      <c r="F1955" s="257">
        <v>1.67</v>
      </c>
      <c r="G1955" s="258" t="s">
        <v>274</v>
      </c>
      <c r="H1955" s="259"/>
      <c r="I1955" s="541">
        <f t="shared" si="34"/>
        <v>138837.34142857115</v>
      </c>
      <c r="K1955" s="243"/>
    </row>
    <row r="1956" spans="2:11" ht="17" customHeight="1">
      <c r="B1956" s="253">
        <v>45919</v>
      </c>
      <c r="C1956" s="263" t="s">
        <v>117</v>
      </c>
      <c r="D1956" s="255" t="s">
        <v>1829</v>
      </c>
      <c r="E1956" s="256"/>
      <c r="F1956" s="257">
        <v>250</v>
      </c>
      <c r="G1956" s="258" t="s">
        <v>230</v>
      </c>
      <c r="H1956" s="259"/>
      <c r="I1956" s="541">
        <f t="shared" si="34"/>
        <v>138587.34142857115</v>
      </c>
      <c r="K1956" s="243"/>
    </row>
    <row r="1957" spans="2:11" ht="17" customHeight="1">
      <c r="B1957" s="253">
        <v>45919</v>
      </c>
      <c r="C1957" s="263" t="s">
        <v>513</v>
      </c>
      <c r="D1957" s="255" t="s">
        <v>2062</v>
      </c>
      <c r="E1957" s="256"/>
      <c r="F1957" s="257">
        <v>75</v>
      </c>
      <c r="G1957" s="258" t="s">
        <v>245</v>
      </c>
      <c r="H1957" s="259"/>
      <c r="I1957" s="541">
        <f t="shared" si="34"/>
        <v>138512.34142857115</v>
      </c>
      <c r="K1957" s="243"/>
    </row>
    <row r="1958" spans="2:11" ht="17" customHeight="1">
      <c r="B1958" s="253">
        <v>45919</v>
      </c>
      <c r="C1958" s="263" t="s">
        <v>117</v>
      </c>
      <c r="D1958" s="255" t="s">
        <v>816</v>
      </c>
      <c r="E1958" s="256"/>
      <c r="F1958" s="257">
        <v>45</v>
      </c>
      <c r="G1958" s="258" t="s">
        <v>252</v>
      </c>
      <c r="H1958" s="259"/>
      <c r="I1958" s="541">
        <f t="shared" si="34"/>
        <v>138467.34142857115</v>
      </c>
      <c r="K1958" s="243"/>
    </row>
    <row r="1959" spans="2:11" ht="17" customHeight="1">
      <c r="B1959" s="253">
        <v>45919</v>
      </c>
      <c r="C1959" s="675" t="s">
        <v>283</v>
      </c>
      <c r="D1959" s="676" t="s">
        <v>283</v>
      </c>
      <c r="E1959" s="677">
        <f>2140.7-E1960</f>
        <v>1861.8899999999999</v>
      </c>
      <c r="F1959" s="678"/>
      <c r="G1959" s="258" t="s">
        <v>190</v>
      </c>
      <c r="H1959" s="259"/>
      <c r="I1959" s="541">
        <f t="shared" si="34"/>
        <v>140329.23142857116</v>
      </c>
      <c r="K1959" s="243"/>
    </row>
    <row r="1960" spans="2:11" ht="17" customHeight="1">
      <c r="B1960" s="253">
        <v>45919</v>
      </c>
      <c r="C1960" s="675" t="s">
        <v>283</v>
      </c>
      <c r="D1960" s="676" t="s">
        <v>508</v>
      </c>
      <c r="E1960" s="677">
        <v>278.81</v>
      </c>
      <c r="F1960" s="678"/>
      <c r="G1960" s="258" t="s">
        <v>276</v>
      </c>
      <c r="H1960" s="259"/>
      <c r="I1960" s="541">
        <f t="shared" si="34"/>
        <v>140608.04142857116</v>
      </c>
      <c r="K1960" s="243"/>
    </row>
    <row r="1961" spans="2:11" ht="17" customHeight="1">
      <c r="B1961" s="253">
        <v>45920</v>
      </c>
      <c r="C1961" s="263" t="s">
        <v>513</v>
      </c>
      <c r="D1961" s="255" t="s">
        <v>873</v>
      </c>
      <c r="E1961" s="256"/>
      <c r="F1961" s="257">
        <v>50</v>
      </c>
      <c r="G1961" s="258" t="s">
        <v>248</v>
      </c>
      <c r="H1961" s="259"/>
      <c r="I1961" s="541">
        <f t="shared" si="34"/>
        <v>140558.04142857116</v>
      </c>
      <c r="K1961" s="243"/>
    </row>
    <row r="1962" spans="2:11" ht="17" customHeight="1">
      <c r="B1962" s="253">
        <v>45920</v>
      </c>
      <c r="C1962" s="263" t="s">
        <v>117</v>
      </c>
      <c r="D1962" s="255" t="s">
        <v>510</v>
      </c>
      <c r="E1962" s="256"/>
      <c r="F1962" s="257">
        <v>80</v>
      </c>
      <c r="G1962" s="258" t="s">
        <v>234</v>
      </c>
      <c r="H1962" s="259"/>
      <c r="I1962" s="541">
        <f t="shared" si="34"/>
        <v>140478.04142857116</v>
      </c>
      <c r="K1962" s="243"/>
    </row>
    <row r="1963" spans="2:11" ht="17" customHeight="1">
      <c r="B1963" s="253">
        <v>45920</v>
      </c>
      <c r="C1963" s="263" t="s">
        <v>513</v>
      </c>
      <c r="D1963" s="255" t="s">
        <v>2070</v>
      </c>
      <c r="E1963" s="256"/>
      <c r="F1963" s="257">
        <v>60</v>
      </c>
      <c r="G1963" s="258" t="s">
        <v>245</v>
      </c>
      <c r="H1963" s="259"/>
      <c r="I1963" s="541">
        <f t="shared" si="34"/>
        <v>140418.04142857116</v>
      </c>
      <c r="K1963" s="243"/>
    </row>
    <row r="1964" spans="2:11" ht="17" customHeight="1">
      <c r="B1964" s="253">
        <v>45920</v>
      </c>
      <c r="C1964" s="263" t="s">
        <v>513</v>
      </c>
      <c r="D1964" s="255" t="s">
        <v>2062</v>
      </c>
      <c r="E1964" s="256"/>
      <c r="F1964" s="257">
        <v>63</v>
      </c>
      <c r="G1964" s="258" t="s">
        <v>245</v>
      </c>
      <c r="H1964" s="259"/>
      <c r="I1964" s="541">
        <f t="shared" si="34"/>
        <v>140355.04142857116</v>
      </c>
      <c r="K1964" s="243"/>
    </row>
    <row r="1965" spans="2:11" ht="17" customHeight="1">
      <c r="B1965" s="615">
        <v>45899</v>
      </c>
      <c r="C1965" s="263" t="s">
        <v>513</v>
      </c>
      <c r="D1965" s="255" t="s">
        <v>1830</v>
      </c>
      <c r="E1965" s="256"/>
      <c r="F1965" s="257">
        <v>100</v>
      </c>
      <c r="G1965" s="258" t="s">
        <v>245</v>
      </c>
      <c r="H1965" s="259"/>
      <c r="I1965" s="541">
        <f t="shared" si="34"/>
        <v>140255.04142857116</v>
      </c>
      <c r="K1965" s="243"/>
    </row>
    <row r="1966" spans="2:11" ht="17" customHeight="1">
      <c r="B1966" s="253">
        <v>45920</v>
      </c>
      <c r="C1966" s="263" t="s">
        <v>117</v>
      </c>
      <c r="D1966" s="255" t="s">
        <v>306</v>
      </c>
      <c r="E1966" s="256"/>
      <c r="F1966" s="257">
        <v>159.05000000000001</v>
      </c>
      <c r="G1966" s="258" t="s">
        <v>194</v>
      </c>
      <c r="H1966" s="259"/>
      <c r="I1966" s="541">
        <f t="shared" si="34"/>
        <v>140095.99142857117</v>
      </c>
      <c r="K1966" s="243"/>
    </row>
    <row r="1967" spans="2:11" ht="17" customHeight="1">
      <c r="B1967" s="253">
        <v>45920</v>
      </c>
      <c r="C1967" s="263" t="s">
        <v>117</v>
      </c>
      <c r="D1967" s="255" t="s">
        <v>306</v>
      </c>
      <c r="E1967" s="256"/>
      <c r="F1967" s="257">
        <v>694.85</v>
      </c>
      <c r="G1967" s="258" t="s">
        <v>194</v>
      </c>
      <c r="H1967" s="259"/>
      <c r="I1967" s="541">
        <f t="shared" si="34"/>
        <v>139401.14142857117</v>
      </c>
      <c r="K1967" s="243"/>
    </row>
    <row r="1968" spans="2:11" ht="17" customHeight="1">
      <c r="B1968" s="253">
        <v>45920</v>
      </c>
      <c r="C1968" s="675" t="s">
        <v>117</v>
      </c>
      <c r="D1968" s="676" t="s">
        <v>2001</v>
      </c>
      <c r="E1968" s="677">
        <v>200</v>
      </c>
      <c r="F1968" s="678"/>
      <c r="G1968" s="258" t="s">
        <v>195</v>
      </c>
      <c r="H1968" s="259"/>
      <c r="I1968" s="541">
        <f t="shared" si="34"/>
        <v>139601.14142857117</v>
      </c>
      <c r="K1968" s="243"/>
    </row>
    <row r="1969" spans="2:11" ht="17" customHeight="1">
      <c r="B1969" s="253">
        <v>45920</v>
      </c>
      <c r="C1969" s="675" t="s">
        <v>117</v>
      </c>
      <c r="D1969" s="676" t="s">
        <v>1917</v>
      </c>
      <c r="E1969" s="677">
        <v>185</v>
      </c>
      <c r="F1969" s="678"/>
      <c r="G1969" s="258"/>
      <c r="H1969" s="259"/>
      <c r="I1969" s="541">
        <f t="shared" si="34"/>
        <v>139786.14142857117</v>
      </c>
      <c r="K1969" s="243"/>
    </row>
    <row r="1970" spans="2:11" ht="17" customHeight="1">
      <c r="B1970" s="253">
        <v>45920</v>
      </c>
      <c r="C1970" s="675" t="s">
        <v>283</v>
      </c>
      <c r="D1970" s="676" t="s">
        <v>283</v>
      </c>
      <c r="E1970" s="677">
        <f>1926-E1971</f>
        <v>1694.24</v>
      </c>
      <c r="F1970" s="678"/>
      <c r="G1970" s="258" t="s">
        <v>190</v>
      </c>
      <c r="H1970" s="259"/>
      <c r="I1970" s="541">
        <f t="shared" si="34"/>
        <v>141480.38142857116</v>
      </c>
      <c r="K1970" s="243"/>
    </row>
    <row r="1971" spans="2:11" ht="17" customHeight="1">
      <c r="B1971" s="253">
        <v>45920</v>
      </c>
      <c r="C1971" s="675" t="s">
        <v>283</v>
      </c>
      <c r="D1971" s="676" t="s">
        <v>508</v>
      </c>
      <c r="E1971" s="677">
        <v>231.76</v>
      </c>
      <c r="F1971" s="678"/>
      <c r="G1971" s="258" t="s">
        <v>276</v>
      </c>
      <c r="H1971" s="259"/>
      <c r="I1971" s="541">
        <f t="shared" ref="I1971:I2034" si="35">I1970+E1971-F1971</f>
        <v>141712.14142857117</v>
      </c>
      <c r="K1971" s="243"/>
    </row>
    <row r="1972" spans="2:11" ht="17" customHeight="1">
      <c r="B1972" s="253">
        <v>45921</v>
      </c>
      <c r="C1972" s="263" t="s">
        <v>513</v>
      </c>
      <c r="D1972" s="255" t="s">
        <v>688</v>
      </c>
      <c r="E1972" s="256"/>
      <c r="F1972" s="257">
        <v>55</v>
      </c>
      <c r="G1972" s="258" t="s">
        <v>248</v>
      </c>
      <c r="H1972" s="259"/>
      <c r="I1972" s="541">
        <f t="shared" si="35"/>
        <v>141657.14142857117</v>
      </c>
      <c r="K1972" s="243"/>
    </row>
    <row r="1973" spans="2:11" ht="17" customHeight="1">
      <c r="B1973" s="253">
        <v>45921</v>
      </c>
      <c r="C1973" s="263" t="s">
        <v>513</v>
      </c>
      <c r="D1973" s="255" t="s">
        <v>2062</v>
      </c>
      <c r="E1973" s="256"/>
      <c r="F1973" s="257">
        <v>60</v>
      </c>
      <c r="G1973" s="258" t="s">
        <v>245</v>
      </c>
      <c r="H1973" s="259"/>
      <c r="I1973" s="541">
        <f t="shared" si="35"/>
        <v>141597.14142857117</v>
      </c>
      <c r="K1973" s="243"/>
    </row>
    <row r="1974" spans="2:11" ht="17" customHeight="1">
      <c r="B1974" s="253">
        <v>45921</v>
      </c>
      <c r="C1974" s="263" t="s">
        <v>286</v>
      </c>
      <c r="D1974" s="255" t="s">
        <v>520</v>
      </c>
      <c r="E1974" s="256"/>
      <c r="F1974" s="257">
        <v>60</v>
      </c>
      <c r="G1974" s="258" t="s">
        <v>139</v>
      </c>
      <c r="H1974" s="259"/>
      <c r="I1974" s="541">
        <f t="shared" si="35"/>
        <v>141537.14142857117</v>
      </c>
      <c r="K1974" s="243"/>
    </row>
    <row r="1975" spans="2:11" ht="17" customHeight="1">
      <c r="B1975" s="253">
        <v>45921</v>
      </c>
      <c r="C1975" s="675" t="s">
        <v>283</v>
      </c>
      <c r="D1975" s="676" t="s">
        <v>283</v>
      </c>
      <c r="E1975" s="677">
        <f>1552.9-E1976</f>
        <v>1407.92</v>
      </c>
      <c r="F1975" s="678"/>
      <c r="G1975" s="258" t="s">
        <v>190</v>
      </c>
      <c r="H1975" s="259"/>
      <c r="I1975" s="541">
        <f t="shared" si="35"/>
        <v>142945.06142857118</v>
      </c>
      <c r="K1975" s="243"/>
    </row>
    <row r="1976" spans="2:11" ht="17" customHeight="1">
      <c r="B1976" s="253">
        <v>45921</v>
      </c>
      <c r="C1976" s="675" t="s">
        <v>283</v>
      </c>
      <c r="D1976" s="676" t="s">
        <v>508</v>
      </c>
      <c r="E1976" s="677">
        <v>144.97999999999999</v>
      </c>
      <c r="F1976" s="678"/>
      <c r="G1976" s="258" t="s">
        <v>276</v>
      </c>
      <c r="H1976" s="259"/>
      <c r="I1976" s="541">
        <f t="shared" si="35"/>
        <v>143090.04142857119</v>
      </c>
      <c r="K1976" s="243"/>
    </row>
    <row r="1977" spans="2:11" ht="17" customHeight="1">
      <c r="B1977" s="253">
        <v>45922</v>
      </c>
      <c r="C1977" s="263" t="s">
        <v>513</v>
      </c>
      <c r="D1977" s="255" t="s">
        <v>31</v>
      </c>
      <c r="E1977" s="256"/>
      <c r="F1977" s="257">
        <v>95</v>
      </c>
      <c r="G1977" s="258" t="s">
        <v>245</v>
      </c>
      <c r="H1977" s="259"/>
      <c r="I1977" s="541">
        <f t="shared" si="35"/>
        <v>142995.04142857119</v>
      </c>
      <c r="K1977" s="243"/>
    </row>
    <row r="1978" spans="2:11" ht="17" customHeight="1">
      <c r="B1978" s="253">
        <v>45922</v>
      </c>
      <c r="C1978" s="675" t="s">
        <v>283</v>
      </c>
      <c r="D1978" s="676" t="s">
        <v>283</v>
      </c>
      <c r="E1978" s="677">
        <f>360-E1979</f>
        <v>333.18</v>
      </c>
      <c r="F1978" s="678"/>
      <c r="G1978" s="258" t="s">
        <v>190</v>
      </c>
      <c r="H1978" s="259"/>
      <c r="I1978" s="541">
        <f t="shared" si="35"/>
        <v>143328.22142857118</v>
      </c>
      <c r="K1978" s="243"/>
    </row>
    <row r="1979" spans="2:11" ht="17" customHeight="1">
      <c r="B1979" s="253">
        <v>45922</v>
      </c>
      <c r="C1979" s="675" t="s">
        <v>283</v>
      </c>
      <c r="D1979" s="676" t="s">
        <v>508</v>
      </c>
      <c r="E1979" s="677">
        <v>26.82</v>
      </c>
      <c r="F1979" s="678"/>
      <c r="G1979" s="258" t="s">
        <v>276</v>
      </c>
      <c r="H1979" s="259"/>
      <c r="I1979" s="541">
        <f t="shared" si="35"/>
        <v>143355.04142857119</v>
      </c>
      <c r="K1979" s="243"/>
    </row>
    <row r="1980" spans="2:11" ht="17" customHeight="1">
      <c r="B1980" s="253">
        <v>45922</v>
      </c>
      <c r="C1980" s="497" t="s">
        <v>541</v>
      </c>
      <c r="D1980" s="498" t="s">
        <v>542</v>
      </c>
      <c r="E1980" s="499"/>
      <c r="F1980" s="500">
        <v>9950</v>
      </c>
      <c r="G1980" s="501" t="s">
        <v>277</v>
      </c>
      <c r="H1980" s="259"/>
      <c r="I1980" s="541">
        <f t="shared" si="35"/>
        <v>133405.04142857119</v>
      </c>
      <c r="K1980" s="243"/>
    </row>
    <row r="1981" spans="2:11" ht="17" customHeight="1">
      <c r="B1981" s="253">
        <v>45923</v>
      </c>
      <c r="C1981" s="263" t="s">
        <v>117</v>
      </c>
      <c r="D1981" s="255" t="s">
        <v>650</v>
      </c>
      <c r="E1981" s="256"/>
      <c r="F1981" s="257">
        <v>1285</v>
      </c>
      <c r="G1981" s="258" t="s">
        <v>194</v>
      </c>
      <c r="H1981" s="259"/>
      <c r="I1981" s="541">
        <f t="shared" si="35"/>
        <v>132120.04142857119</v>
      </c>
      <c r="K1981" s="243"/>
    </row>
    <row r="1982" spans="2:11" ht="17" customHeight="1">
      <c r="B1982" s="253">
        <v>45923</v>
      </c>
      <c r="C1982" s="263" t="s">
        <v>2071</v>
      </c>
      <c r="D1982" s="255" t="s">
        <v>646</v>
      </c>
      <c r="E1982" s="256"/>
      <c r="F1982" s="257">
        <f>45-8.15</f>
        <v>36.85</v>
      </c>
      <c r="G1982" s="258" t="s">
        <v>1865</v>
      </c>
      <c r="H1982" s="259"/>
      <c r="I1982" s="541">
        <f t="shared" si="35"/>
        <v>132083.19142857118</v>
      </c>
      <c r="K1982" s="243"/>
    </row>
    <row r="1983" spans="2:11" ht="17" customHeight="1">
      <c r="B1983" s="253">
        <v>45923</v>
      </c>
      <c r="C1983" s="263" t="s">
        <v>2071</v>
      </c>
      <c r="D1983" s="255" t="s">
        <v>646</v>
      </c>
      <c r="E1983" s="256"/>
      <c r="F1983" s="257">
        <v>8.15</v>
      </c>
      <c r="G1983" s="258" t="s">
        <v>274</v>
      </c>
      <c r="H1983" s="259"/>
      <c r="I1983" s="541">
        <f t="shared" si="35"/>
        <v>132075.04142857119</v>
      </c>
      <c r="K1983" s="243"/>
    </row>
    <row r="1984" spans="2:11" ht="17" customHeight="1">
      <c r="B1984" s="253">
        <v>45923</v>
      </c>
      <c r="C1984" s="263" t="s">
        <v>2072</v>
      </c>
      <c r="D1984" s="255" t="s">
        <v>545</v>
      </c>
      <c r="E1984" s="256"/>
      <c r="F1984" s="257">
        <v>10</v>
      </c>
      <c r="G1984" s="258" t="s">
        <v>202</v>
      </c>
      <c r="H1984" s="259"/>
      <c r="I1984" s="541">
        <f t="shared" si="35"/>
        <v>132065.04142857119</v>
      </c>
      <c r="K1984" s="243"/>
    </row>
    <row r="1985" spans="2:11" ht="17" customHeight="1">
      <c r="B1985" s="253">
        <v>45923</v>
      </c>
      <c r="C1985" s="263" t="s">
        <v>2073</v>
      </c>
      <c r="D1985" s="255" t="s">
        <v>545</v>
      </c>
      <c r="E1985" s="256"/>
      <c r="F1985" s="257">
        <v>15</v>
      </c>
      <c r="G1985" s="258" t="s">
        <v>208</v>
      </c>
      <c r="H1985" s="259"/>
      <c r="I1985" s="541">
        <f t="shared" si="35"/>
        <v>132050.04142857119</v>
      </c>
      <c r="K1985" s="243"/>
    </row>
    <row r="1986" spans="2:11" ht="17" customHeight="1">
      <c r="B1986" s="253">
        <v>45923</v>
      </c>
      <c r="C1986" s="263" t="s">
        <v>2074</v>
      </c>
      <c r="D1986" s="255" t="s">
        <v>545</v>
      </c>
      <c r="E1986" s="256"/>
      <c r="F1986" s="257">
        <v>14</v>
      </c>
      <c r="G1986" s="258" t="s">
        <v>208</v>
      </c>
      <c r="H1986" s="259"/>
      <c r="I1986" s="541">
        <f t="shared" si="35"/>
        <v>132036.04142857119</v>
      </c>
      <c r="K1986" s="243"/>
    </row>
    <row r="1987" spans="2:11" ht="17" customHeight="1">
      <c r="B1987" s="253">
        <v>45923</v>
      </c>
      <c r="C1987" s="263" t="s">
        <v>2075</v>
      </c>
      <c r="D1987" s="255" t="s">
        <v>545</v>
      </c>
      <c r="E1987" s="256"/>
      <c r="F1987" s="257">
        <v>21</v>
      </c>
      <c r="G1987" s="258" t="s">
        <v>1865</v>
      </c>
      <c r="H1987" s="259"/>
      <c r="I1987" s="541">
        <f t="shared" si="35"/>
        <v>132015.04142857119</v>
      </c>
      <c r="K1987" s="243"/>
    </row>
    <row r="1988" spans="2:11" ht="17" customHeight="1">
      <c r="B1988" s="253">
        <v>45923</v>
      </c>
      <c r="C1988" s="263" t="s">
        <v>117</v>
      </c>
      <c r="D1988" s="255" t="s">
        <v>861</v>
      </c>
      <c r="E1988" s="256"/>
      <c r="F1988" s="257">
        <v>44</v>
      </c>
      <c r="G1988" s="258" t="s">
        <v>199</v>
      </c>
      <c r="H1988" s="259"/>
      <c r="I1988" s="541">
        <f t="shared" si="35"/>
        <v>131971.04142857119</v>
      </c>
      <c r="K1988" s="243"/>
    </row>
    <row r="1989" spans="2:11" ht="17" customHeight="1">
      <c r="B1989" s="253">
        <v>45923</v>
      </c>
      <c r="C1989" s="263" t="s">
        <v>117</v>
      </c>
      <c r="D1989" s="255" t="s">
        <v>2078</v>
      </c>
      <c r="E1989" s="256"/>
      <c r="F1989" s="257">
        <v>2.5</v>
      </c>
      <c r="G1989" s="258" t="s">
        <v>208</v>
      </c>
      <c r="H1989" s="259"/>
      <c r="I1989" s="541">
        <f t="shared" si="35"/>
        <v>131968.54142857119</v>
      </c>
      <c r="K1989" s="243"/>
    </row>
    <row r="1990" spans="2:11" ht="17" customHeight="1">
      <c r="B1990" s="253">
        <v>45923</v>
      </c>
      <c r="C1990" s="263" t="s">
        <v>117</v>
      </c>
      <c r="D1990" s="255" t="s">
        <v>2079</v>
      </c>
      <c r="E1990" s="256"/>
      <c r="F1990" s="257">
        <v>6</v>
      </c>
      <c r="G1990" s="258" t="s">
        <v>208</v>
      </c>
      <c r="H1990" s="259"/>
      <c r="I1990" s="541">
        <f t="shared" si="35"/>
        <v>131962.54142857119</v>
      </c>
      <c r="K1990" s="243"/>
    </row>
    <row r="1991" spans="2:11" ht="17" customHeight="1">
      <c r="B1991" s="253">
        <v>45923</v>
      </c>
      <c r="C1991" s="263" t="s">
        <v>513</v>
      </c>
      <c r="D1991" s="255" t="s">
        <v>563</v>
      </c>
      <c r="E1991" s="256"/>
      <c r="F1991" s="257">
        <v>105</v>
      </c>
      <c r="G1991" s="258" t="str">
        <f>IFERROR(VLOOKUP(D1991,#REF!,2,FALSE),"_")</f>
        <v>_</v>
      </c>
      <c r="H1991" s="259"/>
      <c r="I1991" s="541">
        <f t="shared" si="35"/>
        <v>131857.54142857119</v>
      </c>
      <c r="K1991" s="243"/>
    </row>
    <row r="1992" spans="2:11" ht="17" customHeight="1">
      <c r="B1992" s="253">
        <v>45923</v>
      </c>
      <c r="C1992" s="675" t="s">
        <v>283</v>
      </c>
      <c r="D1992" s="676" t="s">
        <v>283</v>
      </c>
      <c r="E1992" s="677">
        <f>360.7-E1993</f>
        <v>318.36</v>
      </c>
      <c r="F1992" s="678"/>
      <c r="G1992" s="258" t="s">
        <v>190</v>
      </c>
      <c r="H1992" s="259"/>
      <c r="I1992" s="541">
        <f t="shared" si="35"/>
        <v>132175.90142857117</v>
      </c>
      <c r="K1992" s="243"/>
    </row>
    <row r="1993" spans="2:11" ht="17" customHeight="1">
      <c r="B1993" s="253">
        <v>45923</v>
      </c>
      <c r="C1993" s="675" t="s">
        <v>283</v>
      </c>
      <c r="D1993" s="676" t="s">
        <v>508</v>
      </c>
      <c r="E1993" s="677">
        <v>42.34</v>
      </c>
      <c r="F1993" s="678"/>
      <c r="G1993" s="258" t="s">
        <v>276</v>
      </c>
      <c r="H1993" s="259"/>
      <c r="I1993" s="541">
        <f t="shared" si="35"/>
        <v>132218.24142857117</v>
      </c>
      <c r="K1993" s="243"/>
    </row>
    <row r="1994" spans="2:11" ht="17" customHeight="1">
      <c r="B1994" s="253">
        <v>45924</v>
      </c>
      <c r="C1994" s="263" t="s">
        <v>117</v>
      </c>
      <c r="D1994" s="255" t="s">
        <v>2080</v>
      </c>
      <c r="E1994" s="256"/>
      <c r="F1994" s="257">
        <v>12.6</v>
      </c>
      <c r="G1994" s="258" t="s">
        <v>199</v>
      </c>
      <c r="H1994" s="259"/>
      <c r="I1994" s="541">
        <f t="shared" si="35"/>
        <v>132205.64142857117</v>
      </c>
      <c r="K1994" s="243"/>
    </row>
    <row r="1995" spans="2:11" ht="17" customHeight="1">
      <c r="B1995" s="253">
        <v>45924</v>
      </c>
      <c r="C1995" s="263" t="s">
        <v>117</v>
      </c>
      <c r="D1995" s="261" t="s">
        <v>505</v>
      </c>
      <c r="E1995" s="256"/>
      <c r="F1995" s="257">
        <v>35</v>
      </c>
      <c r="G1995" s="258" t="s">
        <v>139</v>
      </c>
      <c r="H1995" s="259"/>
      <c r="I1995" s="541">
        <f t="shared" si="35"/>
        <v>132170.64142857117</v>
      </c>
      <c r="K1995" s="243"/>
    </row>
    <row r="1996" spans="2:11" ht="17" customHeight="1">
      <c r="B1996" s="253">
        <v>45924</v>
      </c>
      <c r="C1996" s="263" t="s">
        <v>513</v>
      </c>
      <c r="D1996" s="255" t="s">
        <v>576</v>
      </c>
      <c r="E1996" s="256"/>
      <c r="F1996" s="257">
        <v>90</v>
      </c>
      <c r="G1996" s="258" t="s">
        <v>248</v>
      </c>
      <c r="H1996" s="259"/>
      <c r="I1996" s="541">
        <f t="shared" si="35"/>
        <v>132080.64142857117</v>
      </c>
      <c r="K1996" s="243"/>
    </row>
    <row r="1997" spans="2:11" ht="17" customHeight="1">
      <c r="B1997" s="253">
        <v>45924</v>
      </c>
      <c r="C1997" s="675" t="s">
        <v>283</v>
      </c>
      <c r="D1997" s="676" t="s">
        <v>283</v>
      </c>
      <c r="E1997" s="677">
        <f>595.3-E1998</f>
        <v>529.92999999999995</v>
      </c>
      <c r="F1997" s="678"/>
      <c r="G1997" s="258" t="s">
        <v>190</v>
      </c>
      <c r="H1997" s="259"/>
      <c r="I1997" s="541">
        <f t="shared" si="35"/>
        <v>132610.57142857116</v>
      </c>
      <c r="K1997" s="243"/>
    </row>
    <row r="1998" spans="2:11" ht="17" customHeight="1">
      <c r="B1998" s="253">
        <v>45924</v>
      </c>
      <c r="C1998" s="675" t="s">
        <v>283</v>
      </c>
      <c r="D1998" s="676" t="s">
        <v>508</v>
      </c>
      <c r="E1998" s="677">
        <v>65.37</v>
      </c>
      <c r="F1998" s="678"/>
      <c r="G1998" s="258" t="s">
        <v>276</v>
      </c>
      <c r="H1998" s="259"/>
      <c r="I1998" s="541">
        <f t="shared" si="35"/>
        <v>132675.94142857115</v>
      </c>
      <c r="K1998" s="243"/>
    </row>
    <row r="1999" spans="2:11" ht="17" customHeight="1">
      <c r="B1999" s="253">
        <v>45925</v>
      </c>
      <c r="C1999" s="263" t="s">
        <v>117</v>
      </c>
      <c r="D1999" s="255" t="s">
        <v>2081</v>
      </c>
      <c r="E1999" s="256"/>
      <c r="F1999" s="257">
        <v>6.3</v>
      </c>
      <c r="G1999" s="258" t="s">
        <v>201</v>
      </c>
      <c r="H1999" s="259"/>
      <c r="I1999" s="541">
        <f t="shared" si="35"/>
        <v>132669.64142857117</v>
      </c>
      <c r="K1999" s="243"/>
    </row>
    <row r="2000" spans="2:11" ht="17" customHeight="1">
      <c r="B2000" s="253">
        <v>45925</v>
      </c>
      <c r="C2000" s="263" t="s">
        <v>513</v>
      </c>
      <c r="D2000" s="255" t="s">
        <v>688</v>
      </c>
      <c r="E2000" s="256"/>
      <c r="F2000" s="257">
        <v>72</v>
      </c>
      <c r="G2000" s="258" t="s">
        <v>248</v>
      </c>
      <c r="H2000" s="259"/>
      <c r="I2000" s="541">
        <f t="shared" si="35"/>
        <v>132597.64142857117</v>
      </c>
      <c r="K2000" s="243"/>
    </row>
    <row r="2001" spans="2:11" ht="17" customHeight="1">
      <c r="B2001" s="253">
        <v>45925</v>
      </c>
      <c r="C2001" s="263" t="s">
        <v>117</v>
      </c>
      <c r="D2001" s="255" t="s">
        <v>846</v>
      </c>
      <c r="E2001" s="256"/>
      <c r="F2001" s="257">
        <v>50</v>
      </c>
      <c r="G2001" s="258" t="s">
        <v>201</v>
      </c>
      <c r="H2001" s="259"/>
      <c r="I2001" s="541">
        <f t="shared" si="35"/>
        <v>132547.64142857117</v>
      </c>
      <c r="K2001" s="243"/>
    </row>
    <row r="2002" spans="2:11" ht="17" customHeight="1">
      <c r="B2002" s="253">
        <v>45925</v>
      </c>
      <c r="C2002" s="675" t="s">
        <v>283</v>
      </c>
      <c r="D2002" s="676" t="s">
        <v>283</v>
      </c>
      <c r="E2002" s="677">
        <f>910.8-E2003</f>
        <v>809.48</v>
      </c>
      <c r="F2002" s="678"/>
      <c r="G2002" s="258" t="s">
        <v>190</v>
      </c>
      <c r="H2002" s="259"/>
      <c r="I2002" s="541">
        <f t="shared" si="35"/>
        <v>133357.12142857118</v>
      </c>
      <c r="K2002" s="243"/>
    </row>
    <row r="2003" spans="2:11" ht="17" customHeight="1">
      <c r="B2003" s="253">
        <v>45925</v>
      </c>
      <c r="C2003" s="675" t="s">
        <v>283</v>
      </c>
      <c r="D2003" s="676" t="s">
        <v>508</v>
      </c>
      <c r="E2003" s="677">
        <v>101.32</v>
      </c>
      <c r="F2003" s="678"/>
      <c r="G2003" s="258" t="s">
        <v>276</v>
      </c>
      <c r="H2003" s="259"/>
      <c r="I2003" s="541">
        <f t="shared" si="35"/>
        <v>133458.44142857118</v>
      </c>
      <c r="K2003" s="243"/>
    </row>
    <row r="2004" spans="2:11" ht="17" customHeight="1">
      <c r="B2004" s="253">
        <v>45926</v>
      </c>
      <c r="C2004" s="263" t="s">
        <v>513</v>
      </c>
      <c r="D2004" s="255" t="s">
        <v>2082</v>
      </c>
      <c r="E2004" s="256"/>
      <c r="F2004" s="257">
        <v>95</v>
      </c>
      <c r="G2004" s="258" t="s">
        <v>245</v>
      </c>
      <c r="H2004" s="259"/>
      <c r="I2004" s="541">
        <f t="shared" si="35"/>
        <v>133363.44142857118</v>
      </c>
      <c r="K2004" s="243"/>
    </row>
    <row r="2005" spans="2:11" ht="17" customHeight="1">
      <c r="B2005" s="253">
        <v>45926</v>
      </c>
      <c r="C2005" s="263" t="s">
        <v>2083</v>
      </c>
      <c r="D2005" s="255" t="s">
        <v>512</v>
      </c>
      <c r="E2005" s="256"/>
      <c r="F2005" s="257">
        <f>37.9-1.46</f>
        <v>36.44</v>
      </c>
      <c r="G2005" s="258" t="s">
        <v>199</v>
      </c>
      <c r="H2005" s="259"/>
      <c r="I2005" s="541">
        <f t="shared" si="35"/>
        <v>133327.00142857118</v>
      </c>
      <c r="K2005" s="243"/>
    </row>
    <row r="2006" spans="2:11" ht="17" customHeight="1">
      <c r="B2006" s="253">
        <v>45926</v>
      </c>
      <c r="C2006" s="263" t="s">
        <v>2083</v>
      </c>
      <c r="D2006" s="255" t="s">
        <v>512</v>
      </c>
      <c r="E2006" s="256"/>
      <c r="F2006" s="257">
        <v>1.46</v>
      </c>
      <c r="G2006" s="258" t="s">
        <v>274</v>
      </c>
      <c r="H2006" s="259"/>
      <c r="I2006" s="541">
        <f t="shared" si="35"/>
        <v>133325.54142857119</v>
      </c>
      <c r="K2006" s="243"/>
    </row>
    <row r="2007" spans="2:11" ht="17" customHeight="1">
      <c r="B2007" s="253">
        <v>45926</v>
      </c>
      <c r="C2007" s="675" t="s">
        <v>117</v>
      </c>
      <c r="D2007" s="676" t="s">
        <v>306</v>
      </c>
      <c r="E2007" s="677"/>
      <c r="F2007" s="678">
        <v>79.900000000000006</v>
      </c>
      <c r="G2007" s="258" t="s">
        <v>194</v>
      </c>
      <c r="H2007" s="259"/>
      <c r="I2007" s="541">
        <f t="shared" si="35"/>
        <v>133245.64142857119</v>
      </c>
      <c r="K2007" s="243"/>
    </row>
    <row r="2008" spans="2:11" ht="17" customHeight="1">
      <c r="B2008" s="253">
        <v>45926</v>
      </c>
      <c r="C2008" s="675" t="s">
        <v>117</v>
      </c>
      <c r="D2008" s="676" t="s">
        <v>306</v>
      </c>
      <c r="E2008" s="677"/>
      <c r="F2008" s="678">
        <v>210.9</v>
      </c>
      <c r="G2008" s="258" t="s">
        <v>194</v>
      </c>
      <c r="H2008" s="259"/>
      <c r="I2008" s="541">
        <f t="shared" si="35"/>
        <v>133034.7414285712</v>
      </c>
      <c r="K2008" s="243"/>
    </row>
    <row r="2009" spans="2:11" ht="17" customHeight="1">
      <c r="B2009" s="253">
        <v>45926</v>
      </c>
      <c r="C2009" s="675" t="s">
        <v>117</v>
      </c>
      <c r="D2009" s="676" t="s">
        <v>306</v>
      </c>
      <c r="E2009" s="256"/>
      <c r="F2009" s="257">
        <v>74.95</v>
      </c>
      <c r="G2009" s="258" t="s">
        <v>194</v>
      </c>
      <c r="H2009" s="259"/>
      <c r="I2009" s="541">
        <f t="shared" si="35"/>
        <v>132959.79142857119</v>
      </c>
      <c r="K2009" s="243"/>
    </row>
    <row r="2010" spans="2:11" ht="17" customHeight="1">
      <c r="B2010" s="253">
        <v>45926</v>
      </c>
      <c r="C2010" s="675" t="s">
        <v>117</v>
      </c>
      <c r="D2010" s="676" t="s">
        <v>306</v>
      </c>
      <c r="E2010" s="256"/>
      <c r="F2010" s="257">
        <v>241.55</v>
      </c>
      <c r="G2010" s="258" t="s">
        <v>194</v>
      </c>
      <c r="H2010" s="259"/>
      <c r="I2010" s="541">
        <f t="shared" si="35"/>
        <v>132718.2414285712</v>
      </c>
      <c r="K2010" s="243"/>
    </row>
    <row r="2011" spans="2:11" ht="17" customHeight="1">
      <c r="B2011" s="253">
        <v>45926</v>
      </c>
      <c r="C2011" s="675" t="s">
        <v>283</v>
      </c>
      <c r="D2011" s="676" t="s">
        <v>283</v>
      </c>
      <c r="E2011" s="677">
        <f>1490.4-E2012</f>
        <v>1276.6100000000001</v>
      </c>
      <c r="F2011" s="678"/>
      <c r="G2011" s="258" t="s">
        <v>190</v>
      </c>
      <c r="H2011" s="259"/>
      <c r="I2011" s="541">
        <f t="shared" si="35"/>
        <v>133994.85142857119</v>
      </c>
      <c r="K2011" s="243"/>
    </row>
    <row r="2012" spans="2:11" ht="17" customHeight="1">
      <c r="B2012" s="253">
        <v>45926</v>
      </c>
      <c r="C2012" s="675" t="s">
        <v>283</v>
      </c>
      <c r="D2012" s="676" t="s">
        <v>508</v>
      </c>
      <c r="E2012" s="677">
        <v>213.79</v>
      </c>
      <c r="F2012" s="678"/>
      <c r="G2012" s="258" t="s">
        <v>276</v>
      </c>
      <c r="H2012" s="259"/>
      <c r="I2012" s="541">
        <f t="shared" si="35"/>
        <v>134208.64142857119</v>
      </c>
      <c r="K2012" s="243"/>
    </row>
    <row r="2013" spans="2:11" ht="17" customHeight="1">
      <c r="B2013" s="253">
        <v>45927</v>
      </c>
      <c r="C2013" s="263" t="s">
        <v>117</v>
      </c>
      <c r="D2013" s="255" t="s">
        <v>2085</v>
      </c>
      <c r="E2013" s="256"/>
      <c r="F2013" s="257">
        <v>80</v>
      </c>
      <c r="G2013" s="258" t="s">
        <v>234</v>
      </c>
      <c r="H2013" s="259"/>
      <c r="I2013" s="541">
        <f t="shared" si="35"/>
        <v>134128.64142857119</v>
      </c>
      <c r="K2013" s="243"/>
    </row>
    <row r="2014" spans="2:11" ht="17" customHeight="1">
      <c r="B2014" s="253">
        <v>45927</v>
      </c>
      <c r="C2014" s="263" t="s">
        <v>513</v>
      </c>
      <c r="D2014" s="255" t="s">
        <v>2070</v>
      </c>
      <c r="E2014" s="256"/>
      <c r="F2014" s="257">
        <v>55</v>
      </c>
      <c r="G2014" s="258" t="s">
        <v>245</v>
      </c>
      <c r="H2014" s="259"/>
      <c r="I2014" s="541">
        <f t="shared" si="35"/>
        <v>134073.64142857119</v>
      </c>
      <c r="K2014" s="243"/>
    </row>
    <row r="2015" spans="2:11" ht="17" customHeight="1">
      <c r="B2015" s="253">
        <v>45927</v>
      </c>
      <c r="C2015" s="263" t="s">
        <v>513</v>
      </c>
      <c r="D2015" s="255" t="s">
        <v>688</v>
      </c>
      <c r="E2015" s="256"/>
      <c r="F2015" s="257">
        <v>64</v>
      </c>
      <c r="G2015" s="258" t="s">
        <v>248</v>
      </c>
      <c r="H2015" s="259"/>
      <c r="I2015" s="541">
        <f t="shared" si="35"/>
        <v>134009.64142857119</v>
      </c>
      <c r="K2015" s="243"/>
    </row>
    <row r="2016" spans="2:11" ht="17" customHeight="1">
      <c r="B2016" s="253">
        <v>45927</v>
      </c>
      <c r="C2016" s="263" t="s">
        <v>513</v>
      </c>
      <c r="D2016" s="255" t="s">
        <v>2082</v>
      </c>
      <c r="E2016" s="256"/>
      <c r="F2016" s="257">
        <v>60</v>
      </c>
      <c r="G2016" s="258" t="s">
        <v>245</v>
      </c>
      <c r="H2016" s="259"/>
      <c r="I2016" s="541">
        <f t="shared" si="35"/>
        <v>133949.64142857119</v>
      </c>
      <c r="K2016" s="243"/>
    </row>
    <row r="2017" spans="2:11" ht="17" customHeight="1">
      <c r="B2017" s="253">
        <v>45927</v>
      </c>
      <c r="C2017" s="675" t="s">
        <v>283</v>
      </c>
      <c r="D2017" s="676" t="s">
        <v>283</v>
      </c>
      <c r="E2017" s="677">
        <f>1713.5-E2018</f>
        <v>1475.8600000000001</v>
      </c>
      <c r="F2017" s="678"/>
      <c r="G2017" s="258" t="s">
        <v>190</v>
      </c>
      <c r="H2017" s="259"/>
      <c r="I2017" s="541">
        <f t="shared" si="35"/>
        <v>135425.50142857118</v>
      </c>
      <c r="K2017" s="243"/>
    </row>
    <row r="2018" spans="2:11" ht="17" customHeight="1">
      <c r="B2018" s="253">
        <v>45927</v>
      </c>
      <c r="C2018" s="675" t="s">
        <v>283</v>
      </c>
      <c r="D2018" s="676" t="s">
        <v>508</v>
      </c>
      <c r="E2018" s="677">
        <v>237.64</v>
      </c>
      <c r="F2018" s="678"/>
      <c r="G2018" s="258" t="s">
        <v>276</v>
      </c>
      <c r="H2018" s="259"/>
      <c r="I2018" s="541">
        <f t="shared" si="35"/>
        <v>135663.14142857119</v>
      </c>
      <c r="K2018" s="243"/>
    </row>
    <row r="2019" spans="2:11" ht="17" customHeight="1">
      <c r="B2019" s="253">
        <v>45927</v>
      </c>
      <c r="C2019" s="675" t="s">
        <v>283</v>
      </c>
      <c r="D2019" s="676" t="s">
        <v>283</v>
      </c>
      <c r="E2019" s="677">
        <v>600</v>
      </c>
      <c r="F2019" s="678"/>
      <c r="G2019" s="258" t="s">
        <v>190</v>
      </c>
      <c r="H2019" s="259" t="s">
        <v>2084</v>
      </c>
      <c r="I2019" s="541">
        <f t="shared" si="35"/>
        <v>136263.14142857119</v>
      </c>
      <c r="K2019" s="243"/>
    </row>
    <row r="2020" spans="2:11" ht="17" customHeight="1">
      <c r="B2020" s="253">
        <v>45928</v>
      </c>
      <c r="C2020" s="263" t="s">
        <v>513</v>
      </c>
      <c r="D2020" s="255" t="s">
        <v>873</v>
      </c>
      <c r="E2020" s="256"/>
      <c r="F2020" s="257">
        <v>56</v>
      </c>
      <c r="G2020" s="258" t="s">
        <v>248</v>
      </c>
      <c r="H2020" s="259"/>
      <c r="I2020" s="541">
        <f t="shared" si="35"/>
        <v>136207.14142857119</v>
      </c>
      <c r="K2020" s="243"/>
    </row>
    <row r="2021" spans="2:11" ht="17" customHeight="1">
      <c r="B2021" s="253">
        <v>45928</v>
      </c>
      <c r="C2021" s="263" t="s">
        <v>513</v>
      </c>
      <c r="D2021" s="255" t="s">
        <v>688</v>
      </c>
      <c r="E2021" s="256"/>
      <c r="F2021" s="257">
        <v>64</v>
      </c>
      <c r="G2021" s="258" t="s">
        <v>248</v>
      </c>
      <c r="H2021" s="259"/>
      <c r="I2021" s="541">
        <f t="shared" si="35"/>
        <v>136143.14142857119</v>
      </c>
      <c r="K2021" s="243"/>
    </row>
    <row r="2022" spans="2:11" ht="17" customHeight="1">
      <c r="B2022" s="253">
        <v>45928</v>
      </c>
      <c r="C2022" s="263" t="s">
        <v>513</v>
      </c>
      <c r="D2022" s="255" t="s">
        <v>576</v>
      </c>
      <c r="E2022" s="256"/>
      <c r="F2022" s="257">
        <v>60</v>
      </c>
      <c r="G2022" s="258" t="s">
        <v>248</v>
      </c>
      <c r="H2022" s="259"/>
      <c r="I2022" s="541">
        <f t="shared" si="35"/>
        <v>136083.14142857119</v>
      </c>
      <c r="K2022" s="243"/>
    </row>
    <row r="2023" spans="2:11" ht="17" customHeight="1">
      <c r="B2023" s="253">
        <v>45928</v>
      </c>
      <c r="C2023" s="263" t="s">
        <v>117</v>
      </c>
      <c r="D2023" s="255" t="s">
        <v>1917</v>
      </c>
      <c r="E2023" s="256">
        <v>355</v>
      </c>
      <c r="F2023" s="257"/>
      <c r="G2023" s="258" t="s">
        <v>194</v>
      </c>
      <c r="H2023" s="259"/>
      <c r="I2023" s="541">
        <f t="shared" si="35"/>
        <v>136438.14142857119</v>
      </c>
      <c r="K2023" s="243"/>
    </row>
    <row r="2024" spans="2:11" ht="17" customHeight="1">
      <c r="B2024" s="253">
        <v>45928</v>
      </c>
      <c r="C2024" s="263" t="s">
        <v>117</v>
      </c>
      <c r="D2024" s="255" t="s">
        <v>2001</v>
      </c>
      <c r="E2024" s="256">
        <v>100</v>
      </c>
      <c r="F2024" s="257"/>
      <c r="G2024" s="258" t="s">
        <v>195</v>
      </c>
      <c r="H2024" s="259"/>
      <c r="I2024" s="541">
        <f t="shared" si="35"/>
        <v>136538.14142857119</v>
      </c>
      <c r="K2024" s="243"/>
    </row>
    <row r="2025" spans="2:11" ht="17" customHeight="1">
      <c r="B2025" s="253">
        <v>45928</v>
      </c>
      <c r="C2025" s="263" t="s">
        <v>117</v>
      </c>
      <c r="D2025" s="255" t="s">
        <v>709</v>
      </c>
      <c r="E2025" s="256">
        <v>110</v>
      </c>
      <c r="F2025" s="257"/>
      <c r="G2025" s="258" t="s">
        <v>233</v>
      </c>
      <c r="H2025" s="259"/>
      <c r="I2025" s="541">
        <f t="shared" si="35"/>
        <v>136648.14142857119</v>
      </c>
      <c r="K2025" s="243"/>
    </row>
    <row r="2026" spans="2:11" ht="17" customHeight="1">
      <c r="B2026" s="253">
        <v>45928</v>
      </c>
      <c r="C2026" s="263" t="s">
        <v>117</v>
      </c>
      <c r="D2026" s="255" t="s">
        <v>650</v>
      </c>
      <c r="E2026" s="256"/>
      <c r="F2026" s="257">
        <v>1048</v>
      </c>
      <c r="G2026" s="258" t="s">
        <v>194</v>
      </c>
      <c r="H2026" s="259"/>
      <c r="I2026" s="541">
        <f t="shared" si="35"/>
        <v>135600.14142857119</v>
      </c>
      <c r="K2026" s="243"/>
    </row>
    <row r="2027" spans="2:11" ht="17" customHeight="1">
      <c r="B2027" s="253">
        <v>45928</v>
      </c>
      <c r="C2027" s="675" t="s">
        <v>283</v>
      </c>
      <c r="D2027" s="676" t="s">
        <v>283</v>
      </c>
      <c r="E2027" s="677">
        <f>1743.5-E2028</f>
        <v>1525.97</v>
      </c>
      <c r="F2027" s="678"/>
      <c r="G2027" s="258" t="s">
        <v>190</v>
      </c>
      <c r="H2027" s="259"/>
      <c r="I2027" s="541">
        <f t="shared" si="35"/>
        <v>137126.1114285712</v>
      </c>
      <c r="K2027" s="243"/>
    </row>
    <row r="2028" spans="2:11" ht="17" customHeight="1">
      <c r="B2028" s="253">
        <v>45928</v>
      </c>
      <c r="C2028" s="675" t="s">
        <v>283</v>
      </c>
      <c r="D2028" s="676" t="s">
        <v>508</v>
      </c>
      <c r="E2028" s="677">
        <v>217.53</v>
      </c>
      <c r="F2028" s="678"/>
      <c r="G2028" s="258" t="s">
        <v>276</v>
      </c>
      <c r="H2028" s="259"/>
      <c r="I2028" s="541">
        <f t="shared" si="35"/>
        <v>137343.64142857119</v>
      </c>
      <c r="K2028" s="243"/>
    </row>
    <row r="2029" spans="2:11" ht="17" customHeight="1">
      <c r="B2029" s="253">
        <v>45929</v>
      </c>
      <c r="C2029" s="263" t="s">
        <v>117</v>
      </c>
      <c r="D2029" s="255" t="s">
        <v>846</v>
      </c>
      <c r="E2029" s="256"/>
      <c r="F2029" s="257">
        <v>110</v>
      </c>
      <c r="G2029" s="258" t="s">
        <v>201</v>
      </c>
      <c r="H2029" s="259"/>
      <c r="I2029" s="541">
        <f t="shared" si="35"/>
        <v>137233.64142857119</v>
      </c>
      <c r="K2029" s="243"/>
    </row>
    <row r="2030" spans="2:11" ht="17" customHeight="1">
      <c r="B2030" s="253">
        <v>45929</v>
      </c>
      <c r="C2030" s="675" t="s">
        <v>283</v>
      </c>
      <c r="D2030" s="676" t="s">
        <v>283</v>
      </c>
      <c r="E2030" s="677">
        <f>654.4-E2031</f>
        <v>604.75</v>
      </c>
      <c r="F2030" s="678"/>
      <c r="G2030" s="258" t="s">
        <v>190</v>
      </c>
      <c r="H2030" s="259"/>
      <c r="I2030" s="541">
        <f t="shared" si="35"/>
        <v>137838.39142857119</v>
      </c>
      <c r="K2030" s="243"/>
    </row>
    <row r="2031" spans="2:11" ht="17" customHeight="1">
      <c r="B2031" s="253">
        <v>45929</v>
      </c>
      <c r="C2031" s="675" t="s">
        <v>283</v>
      </c>
      <c r="D2031" s="676" t="s">
        <v>508</v>
      </c>
      <c r="E2031" s="677">
        <v>49.65</v>
      </c>
      <c r="F2031" s="678"/>
      <c r="G2031" s="258" t="s">
        <v>276</v>
      </c>
      <c r="H2031" s="259"/>
      <c r="I2031" s="541">
        <f t="shared" si="35"/>
        <v>137888.04142857119</v>
      </c>
      <c r="K2031" s="243"/>
    </row>
    <row r="2032" spans="2:11" ht="17" customHeight="1">
      <c r="B2032" s="253">
        <v>45930</v>
      </c>
      <c r="C2032" s="263" t="s">
        <v>513</v>
      </c>
      <c r="D2032" s="255" t="s">
        <v>563</v>
      </c>
      <c r="E2032" s="256"/>
      <c r="F2032" s="257">
        <v>105</v>
      </c>
      <c r="G2032" s="258" t="s">
        <v>249</v>
      </c>
      <c r="H2032" s="259"/>
      <c r="I2032" s="541">
        <f t="shared" si="35"/>
        <v>137783.04142857119</v>
      </c>
      <c r="K2032" s="243"/>
    </row>
    <row r="2033" spans="2:11" ht="17" customHeight="1">
      <c r="B2033" s="253">
        <v>45930</v>
      </c>
      <c r="C2033" s="263" t="s">
        <v>513</v>
      </c>
      <c r="D2033" s="255" t="s">
        <v>31</v>
      </c>
      <c r="E2033" s="256"/>
      <c r="F2033" s="257">
        <v>110</v>
      </c>
      <c r="G2033" s="258" t="s">
        <v>245</v>
      </c>
      <c r="H2033" s="259"/>
      <c r="I2033" s="541">
        <f t="shared" si="35"/>
        <v>137673.04142857119</v>
      </c>
      <c r="K2033" s="243"/>
    </row>
    <row r="2034" spans="2:11" ht="17" customHeight="1">
      <c r="B2034" s="253">
        <v>45930</v>
      </c>
      <c r="C2034" s="263" t="s">
        <v>117</v>
      </c>
      <c r="D2034" s="255" t="s">
        <v>846</v>
      </c>
      <c r="E2034" s="256"/>
      <c r="F2034" s="257">
        <v>20</v>
      </c>
      <c r="G2034" s="258" t="s">
        <v>201</v>
      </c>
      <c r="H2034" s="259"/>
      <c r="I2034" s="541">
        <f t="shared" si="35"/>
        <v>137653.04142857119</v>
      </c>
      <c r="K2034" s="243"/>
    </row>
    <row r="2035" spans="2:11" ht="17" customHeight="1">
      <c r="B2035" s="253">
        <v>45930</v>
      </c>
      <c r="C2035" s="263" t="s">
        <v>286</v>
      </c>
      <c r="D2035" s="255" t="s">
        <v>520</v>
      </c>
      <c r="E2035" s="256"/>
      <c r="F2035" s="257">
        <v>85</v>
      </c>
      <c r="G2035" s="258" t="s">
        <v>139</v>
      </c>
      <c r="H2035" s="259"/>
      <c r="I2035" s="541">
        <f t="shared" ref="I2035:I2062" si="36">I2034+E2035-F2035</f>
        <v>137568.04142857119</v>
      </c>
      <c r="K2035" s="243"/>
    </row>
    <row r="2036" spans="2:11" ht="17" customHeight="1">
      <c r="B2036" s="253">
        <v>45930</v>
      </c>
      <c r="C2036" s="675" t="s">
        <v>283</v>
      </c>
      <c r="D2036" s="676" t="s">
        <v>283</v>
      </c>
      <c r="E2036" s="677">
        <f>775.4-E2037</f>
        <v>718.33999999999992</v>
      </c>
      <c r="F2036" s="678"/>
      <c r="G2036" s="258" t="s">
        <v>190</v>
      </c>
      <c r="H2036" s="259"/>
      <c r="I2036" s="541">
        <f t="shared" si="36"/>
        <v>138286.38142857119</v>
      </c>
      <c r="K2036" s="243"/>
    </row>
    <row r="2037" spans="2:11" ht="17" customHeight="1">
      <c r="B2037" s="253">
        <v>45930</v>
      </c>
      <c r="C2037" s="675" t="s">
        <v>283</v>
      </c>
      <c r="D2037" s="676" t="s">
        <v>508</v>
      </c>
      <c r="E2037" s="677">
        <v>57.06</v>
      </c>
      <c r="F2037" s="678"/>
      <c r="G2037" s="258" t="s">
        <v>276</v>
      </c>
      <c r="H2037" s="259"/>
      <c r="I2037" s="541">
        <f t="shared" si="36"/>
        <v>138343.44142857118</v>
      </c>
      <c r="K2037" s="243"/>
    </row>
    <row r="2038" spans="2:11" ht="17" customHeight="1">
      <c r="B2038" s="253">
        <v>45931</v>
      </c>
      <c r="C2038" s="263" t="s">
        <v>513</v>
      </c>
      <c r="D2038" s="255" t="s">
        <v>873</v>
      </c>
      <c r="E2038" s="256"/>
      <c r="F2038" s="257">
        <v>63</v>
      </c>
      <c r="G2038" s="258" t="s">
        <v>248</v>
      </c>
      <c r="H2038" s="259"/>
      <c r="I2038" s="541">
        <f t="shared" si="36"/>
        <v>138280.44142857118</v>
      </c>
      <c r="K2038" s="243"/>
    </row>
    <row r="2039" spans="2:11" ht="17" customHeight="1">
      <c r="B2039" s="253">
        <v>45931</v>
      </c>
      <c r="C2039" s="263" t="s">
        <v>117</v>
      </c>
      <c r="D2039" s="255" t="s">
        <v>713</v>
      </c>
      <c r="E2039" s="256"/>
      <c r="F2039" s="257">
        <v>20</v>
      </c>
      <c r="G2039" s="258" t="s">
        <v>216</v>
      </c>
      <c r="H2039" s="259"/>
      <c r="I2039" s="541">
        <f t="shared" si="36"/>
        <v>138260.44142857118</v>
      </c>
      <c r="K2039" s="243"/>
    </row>
    <row r="2040" spans="2:11" ht="17" customHeight="1">
      <c r="B2040" s="253">
        <v>45931</v>
      </c>
      <c r="C2040" s="675" t="s">
        <v>283</v>
      </c>
      <c r="D2040" s="676" t="s">
        <v>283</v>
      </c>
      <c r="E2040" s="677">
        <f>1047.8-E2041</f>
        <v>975.27</v>
      </c>
      <c r="F2040" s="678"/>
      <c r="G2040" s="258" t="s">
        <v>190</v>
      </c>
      <c r="H2040" s="259"/>
      <c r="I2040" s="541">
        <f t="shared" si="36"/>
        <v>139235.71142857117</v>
      </c>
      <c r="K2040" s="243"/>
    </row>
    <row r="2041" spans="2:11" ht="17" customHeight="1">
      <c r="B2041" s="253">
        <v>45931</v>
      </c>
      <c r="C2041" s="675" t="s">
        <v>283</v>
      </c>
      <c r="D2041" s="676" t="s">
        <v>508</v>
      </c>
      <c r="E2041" s="677">
        <v>72.53</v>
      </c>
      <c r="F2041" s="678"/>
      <c r="G2041" s="258" t="s">
        <v>276</v>
      </c>
      <c r="H2041" s="259"/>
      <c r="I2041" s="541">
        <f t="shared" si="36"/>
        <v>139308.24142857117</v>
      </c>
      <c r="K2041" s="243"/>
    </row>
    <row r="2042" spans="2:11" ht="17" customHeight="1">
      <c r="B2042" s="253">
        <v>45932</v>
      </c>
      <c r="C2042" s="263" t="s">
        <v>117</v>
      </c>
      <c r="D2042" s="255" t="s">
        <v>306</v>
      </c>
      <c r="E2042" s="256"/>
      <c r="F2042" s="257">
        <v>131.4</v>
      </c>
      <c r="G2042" s="258" t="s">
        <v>194</v>
      </c>
      <c r="H2042" s="259"/>
      <c r="I2042" s="541">
        <f t="shared" si="36"/>
        <v>139176.84142857118</v>
      </c>
      <c r="K2042" s="243"/>
    </row>
    <row r="2043" spans="2:11" ht="17" customHeight="1">
      <c r="B2043" s="253">
        <v>45932</v>
      </c>
      <c r="C2043" s="263" t="s">
        <v>117</v>
      </c>
      <c r="D2043" s="255" t="s">
        <v>306</v>
      </c>
      <c r="E2043" s="256"/>
      <c r="F2043" s="257">
        <v>21.9</v>
      </c>
      <c r="G2043" s="258" t="s">
        <v>194</v>
      </c>
      <c r="H2043" s="259"/>
      <c r="I2043" s="541">
        <f t="shared" si="36"/>
        <v>139154.94142857118</v>
      </c>
      <c r="K2043" s="243"/>
    </row>
    <row r="2044" spans="2:11" ht="17" customHeight="1">
      <c r="B2044" s="253">
        <v>45932</v>
      </c>
      <c r="C2044" s="263" t="s">
        <v>117</v>
      </c>
      <c r="D2044" s="255" t="s">
        <v>306</v>
      </c>
      <c r="E2044" s="256"/>
      <c r="F2044" s="257">
        <v>178</v>
      </c>
      <c r="G2044" s="258" t="s">
        <v>194</v>
      </c>
      <c r="H2044" s="259"/>
      <c r="I2044" s="541">
        <f t="shared" si="36"/>
        <v>138976.94142857118</v>
      </c>
      <c r="K2044" s="243"/>
    </row>
    <row r="2045" spans="2:11" ht="17" customHeight="1">
      <c r="B2045" s="253">
        <v>45932</v>
      </c>
      <c r="C2045" s="263" t="s">
        <v>117</v>
      </c>
      <c r="D2045" s="255" t="s">
        <v>306</v>
      </c>
      <c r="E2045" s="256"/>
      <c r="F2045" s="257">
        <v>538.6</v>
      </c>
      <c r="G2045" s="258" t="s">
        <v>194</v>
      </c>
      <c r="H2045" s="259"/>
      <c r="I2045" s="541">
        <f t="shared" si="36"/>
        <v>138438.34142857118</v>
      </c>
      <c r="K2045" s="243"/>
    </row>
    <row r="2046" spans="2:11" ht="17" customHeight="1">
      <c r="B2046" s="253">
        <v>45932</v>
      </c>
      <c r="C2046" s="263" t="s">
        <v>117</v>
      </c>
      <c r="D2046" s="255" t="s">
        <v>306</v>
      </c>
      <c r="E2046" s="256"/>
      <c r="F2046" s="257">
        <v>65.650000000000006</v>
      </c>
      <c r="G2046" s="258" t="s">
        <v>194</v>
      </c>
      <c r="H2046" s="259"/>
      <c r="I2046" s="541">
        <f t="shared" si="36"/>
        <v>138372.69142857118</v>
      </c>
      <c r="K2046" s="243"/>
    </row>
    <row r="2047" spans="2:11" ht="17" customHeight="1">
      <c r="B2047" s="253">
        <v>45932</v>
      </c>
      <c r="C2047" s="263" t="s">
        <v>117</v>
      </c>
      <c r="D2047" s="255" t="s">
        <v>306</v>
      </c>
      <c r="E2047" s="256"/>
      <c r="F2047" s="257">
        <v>144.75</v>
      </c>
      <c r="G2047" s="258" t="s">
        <v>194</v>
      </c>
      <c r="H2047" s="259"/>
      <c r="I2047" s="541">
        <f t="shared" si="36"/>
        <v>138227.94142857118</v>
      </c>
      <c r="K2047" s="243"/>
    </row>
    <row r="2048" spans="2:11" ht="17" customHeight="1">
      <c r="B2048" s="253">
        <v>45932</v>
      </c>
      <c r="C2048" s="675" t="s">
        <v>283</v>
      </c>
      <c r="D2048" s="676" t="s">
        <v>283</v>
      </c>
      <c r="E2048" s="677">
        <f>1058.8-E2049</f>
        <v>986.65</v>
      </c>
      <c r="F2048" s="678"/>
      <c r="G2048" s="258" t="s">
        <v>190</v>
      </c>
      <c r="H2048" s="259"/>
      <c r="I2048" s="541">
        <f t="shared" si="36"/>
        <v>139214.59142857118</v>
      </c>
      <c r="K2048" s="243"/>
    </row>
    <row r="2049" spans="2:11" ht="17" customHeight="1">
      <c r="B2049" s="253">
        <v>45932</v>
      </c>
      <c r="C2049" s="675" t="s">
        <v>283</v>
      </c>
      <c r="D2049" s="676" t="s">
        <v>508</v>
      </c>
      <c r="E2049" s="677">
        <v>72.150000000000006</v>
      </c>
      <c r="F2049" s="678"/>
      <c r="G2049" s="258" t="s">
        <v>276</v>
      </c>
      <c r="H2049" s="259"/>
      <c r="I2049" s="541">
        <f t="shared" si="36"/>
        <v>139286.74142857117</v>
      </c>
      <c r="K2049" s="243"/>
    </row>
    <row r="2050" spans="2:11" ht="17" customHeight="1">
      <c r="B2050" s="253">
        <v>45933</v>
      </c>
      <c r="C2050" s="263" t="s">
        <v>513</v>
      </c>
      <c r="D2050" s="255" t="s">
        <v>2082</v>
      </c>
      <c r="E2050" s="256"/>
      <c r="F2050" s="257">
        <v>60</v>
      </c>
      <c r="G2050" s="258" t="s">
        <v>245</v>
      </c>
      <c r="H2050" s="259"/>
      <c r="I2050" s="541">
        <f t="shared" si="36"/>
        <v>139226.74142857117</v>
      </c>
      <c r="K2050" s="243"/>
    </row>
    <row r="2051" spans="2:11" ht="17" customHeight="1">
      <c r="B2051" s="253">
        <v>45933</v>
      </c>
      <c r="C2051" s="263" t="s">
        <v>117</v>
      </c>
      <c r="D2051" s="255" t="s">
        <v>861</v>
      </c>
      <c r="E2051" s="256"/>
      <c r="F2051" s="257">
        <v>55</v>
      </c>
      <c r="G2051" s="258" t="s">
        <v>199</v>
      </c>
      <c r="H2051" s="259"/>
      <c r="I2051" s="541">
        <f t="shared" si="36"/>
        <v>139171.74142857117</v>
      </c>
      <c r="K2051" s="243"/>
    </row>
    <row r="2052" spans="2:11" ht="17" customHeight="1">
      <c r="B2052" s="253">
        <v>45933</v>
      </c>
      <c r="C2052" s="263" t="s">
        <v>2247</v>
      </c>
      <c r="D2052" s="255" t="s">
        <v>512</v>
      </c>
      <c r="E2052" s="256"/>
      <c r="F2052" s="257">
        <v>47.35</v>
      </c>
      <c r="G2052" s="258" t="s">
        <v>199</v>
      </c>
      <c r="H2052" s="259"/>
      <c r="I2052" s="541">
        <f t="shared" si="36"/>
        <v>139124.39142857117</v>
      </c>
      <c r="K2052" s="243"/>
    </row>
    <row r="2053" spans="2:11" ht="17" customHeight="1">
      <c r="B2053" s="253">
        <v>45933</v>
      </c>
      <c r="C2053" s="263" t="s">
        <v>2247</v>
      </c>
      <c r="D2053" s="255" t="s">
        <v>512</v>
      </c>
      <c r="E2053" s="256"/>
      <c r="F2053" s="257">
        <v>1.82</v>
      </c>
      <c r="G2053" s="258" t="s">
        <v>274</v>
      </c>
      <c r="H2053" s="259"/>
      <c r="I2053" s="541">
        <f t="shared" si="36"/>
        <v>139122.57142857116</v>
      </c>
      <c r="K2053" s="243"/>
    </row>
    <row r="2054" spans="2:11" ht="17" customHeight="1">
      <c r="B2054" s="253">
        <v>45933</v>
      </c>
      <c r="C2054" s="675" t="s">
        <v>283</v>
      </c>
      <c r="D2054" s="676" t="s">
        <v>283</v>
      </c>
      <c r="E2054" s="677">
        <f>977.15-E2055</f>
        <v>786.93</v>
      </c>
      <c r="F2054" s="678"/>
      <c r="G2054" s="258" t="s">
        <v>190</v>
      </c>
      <c r="H2054" s="259"/>
      <c r="I2054" s="541">
        <f t="shared" si="36"/>
        <v>139909.50142857115</v>
      </c>
      <c r="K2054" s="243"/>
    </row>
    <row r="2055" spans="2:11" ht="17" customHeight="1">
      <c r="B2055" s="253">
        <v>45933</v>
      </c>
      <c r="C2055" s="675" t="s">
        <v>283</v>
      </c>
      <c r="D2055" s="676" t="s">
        <v>508</v>
      </c>
      <c r="E2055" s="677">
        <v>190.22</v>
      </c>
      <c r="F2055" s="678"/>
      <c r="G2055" s="258" t="s">
        <v>276</v>
      </c>
      <c r="H2055" s="259"/>
      <c r="I2055" s="541">
        <f t="shared" si="36"/>
        <v>140099.72142857115</v>
      </c>
      <c r="K2055" s="243"/>
    </row>
    <row r="2056" spans="2:11" ht="17" customHeight="1">
      <c r="B2056" s="253">
        <v>45934</v>
      </c>
      <c r="C2056" s="263" t="s">
        <v>117</v>
      </c>
      <c r="D2056" s="255" t="s">
        <v>568</v>
      </c>
      <c r="E2056" s="256"/>
      <c r="F2056" s="257">
        <v>120</v>
      </c>
      <c r="G2056" s="258" t="s">
        <v>230</v>
      </c>
      <c r="H2056" s="259"/>
      <c r="I2056" s="541">
        <f t="shared" si="36"/>
        <v>139979.72142857115</v>
      </c>
      <c r="K2056" s="243"/>
    </row>
    <row r="2057" spans="2:11" ht="17" customHeight="1">
      <c r="B2057" s="253">
        <v>45934</v>
      </c>
      <c r="C2057" s="263" t="s">
        <v>117</v>
      </c>
      <c r="D2057" s="255" t="s">
        <v>2085</v>
      </c>
      <c r="E2057" s="256"/>
      <c r="F2057" s="257">
        <v>80</v>
      </c>
      <c r="G2057" s="258" t="s">
        <v>234</v>
      </c>
      <c r="H2057" s="259"/>
      <c r="I2057" s="541">
        <f t="shared" si="36"/>
        <v>139899.72142857115</v>
      </c>
      <c r="K2057" s="243"/>
    </row>
    <row r="2058" spans="2:11" ht="17" customHeight="1">
      <c r="B2058" s="253">
        <v>45934</v>
      </c>
      <c r="C2058" s="263" t="s">
        <v>513</v>
      </c>
      <c r="D2058" s="255" t="s">
        <v>873</v>
      </c>
      <c r="E2058" s="256"/>
      <c r="F2058" s="257">
        <v>30</v>
      </c>
      <c r="G2058" s="258" t="s">
        <v>248</v>
      </c>
      <c r="H2058" s="259"/>
      <c r="I2058" s="541">
        <f t="shared" si="36"/>
        <v>139869.72142857115</v>
      </c>
      <c r="K2058" s="243"/>
    </row>
    <row r="2059" spans="2:11" ht="17" customHeight="1">
      <c r="B2059" s="253">
        <v>45934</v>
      </c>
      <c r="C2059" s="263" t="s">
        <v>513</v>
      </c>
      <c r="D2059" s="255" t="s">
        <v>2070</v>
      </c>
      <c r="E2059" s="256"/>
      <c r="F2059" s="257">
        <v>60</v>
      </c>
      <c r="G2059" s="258" t="s">
        <v>245</v>
      </c>
      <c r="H2059" s="259"/>
      <c r="I2059" s="541">
        <f t="shared" si="36"/>
        <v>139809.72142857115</v>
      </c>
      <c r="K2059" s="243"/>
    </row>
    <row r="2060" spans="2:11" ht="17" customHeight="1">
      <c r="B2060" s="253">
        <v>45934</v>
      </c>
      <c r="C2060" s="263" t="s">
        <v>513</v>
      </c>
      <c r="D2060" s="255" t="s">
        <v>2082</v>
      </c>
      <c r="E2060" s="256"/>
      <c r="F2060" s="257">
        <v>95</v>
      </c>
      <c r="G2060" s="258" t="s">
        <v>245</v>
      </c>
      <c r="H2060" s="259"/>
      <c r="I2060" s="541">
        <f t="shared" si="36"/>
        <v>139714.72142857115</v>
      </c>
      <c r="K2060" s="243"/>
    </row>
    <row r="2061" spans="2:11" ht="17" customHeight="1">
      <c r="B2061" s="253">
        <v>45934</v>
      </c>
      <c r="C2061" s="675" t="s">
        <v>283</v>
      </c>
      <c r="D2061" s="676" t="s">
        <v>283</v>
      </c>
      <c r="E2061" s="677">
        <f>1316-E2062</f>
        <v>1057.05</v>
      </c>
      <c r="F2061" s="678"/>
      <c r="G2061" s="258" t="s">
        <v>190</v>
      </c>
      <c r="H2061" s="259" t="s">
        <v>2253</v>
      </c>
      <c r="I2061" s="541">
        <f t="shared" si="36"/>
        <v>140771.77142857114</v>
      </c>
      <c r="K2061" s="243"/>
    </row>
    <row r="2062" spans="2:11" ht="17" customHeight="1">
      <c r="B2062" s="253">
        <v>45934</v>
      </c>
      <c r="C2062" s="675" t="s">
        <v>283</v>
      </c>
      <c r="D2062" s="676" t="s">
        <v>508</v>
      </c>
      <c r="E2062" s="677">
        <v>258.95</v>
      </c>
      <c r="F2062" s="678"/>
      <c r="G2062" s="258" t="s">
        <v>276</v>
      </c>
      <c r="H2062" s="259"/>
      <c r="I2062" s="541">
        <f t="shared" si="36"/>
        <v>141030.72142857115</v>
      </c>
      <c r="K2062" s="243"/>
    </row>
    <row r="2063" spans="2:11" ht="17" customHeight="1">
      <c r="B2063" s="253">
        <v>45935</v>
      </c>
      <c r="C2063" s="263" t="s">
        <v>513</v>
      </c>
      <c r="D2063" s="255" t="s">
        <v>688</v>
      </c>
      <c r="E2063" s="256"/>
      <c r="F2063" s="257">
        <v>50</v>
      </c>
      <c r="G2063" s="258" t="s">
        <v>248</v>
      </c>
      <c r="H2063" s="259"/>
      <c r="I2063" s="541">
        <f t="shared" ref="I2063:I2093" si="37">I2062+E2063-F2063</f>
        <v>140980.72142857115</v>
      </c>
      <c r="K2063" s="243"/>
    </row>
    <row r="2064" spans="2:11" ht="17" customHeight="1">
      <c r="B2064" s="253">
        <v>45935</v>
      </c>
      <c r="C2064" s="263" t="s">
        <v>117</v>
      </c>
      <c r="D2064" s="255" t="s">
        <v>524</v>
      </c>
      <c r="E2064" s="256"/>
      <c r="F2064" s="257">
        <v>50</v>
      </c>
      <c r="G2064" s="258" t="s">
        <v>227</v>
      </c>
      <c r="H2064" s="259"/>
      <c r="I2064" s="541">
        <f t="shared" si="37"/>
        <v>140930.72142857115</v>
      </c>
      <c r="K2064" s="243"/>
    </row>
    <row r="2065" spans="2:11" ht="17" customHeight="1">
      <c r="B2065" s="253">
        <v>45935</v>
      </c>
      <c r="C2065" s="263" t="s">
        <v>513</v>
      </c>
      <c r="D2065" s="255" t="s">
        <v>2113</v>
      </c>
      <c r="E2065" s="256"/>
      <c r="F2065" s="257">
        <v>45</v>
      </c>
      <c r="G2065" s="258" t="s">
        <v>227</v>
      </c>
      <c r="H2065" s="259"/>
      <c r="I2065" s="541">
        <f t="shared" si="37"/>
        <v>140885.72142857115</v>
      </c>
      <c r="K2065" s="243"/>
    </row>
    <row r="2066" spans="2:11" ht="17" customHeight="1">
      <c r="B2066" s="253">
        <v>45935</v>
      </c>
      <c r="C2066" s="263" t="s">
        <v>513</v>
      </c>
      <c r="D2066" s="255" t="s">
        <v>2114</v>
      </c>
      <c r="E2066" s="256"/>
      <c r="F2066" s="257">
        <v>115</v>
      </c>
      <c r="G2066" s="258" t="s">
        <v>227</v>
      </c>
      <c r="H2066" s="259"/>
      <c r="I2066" s="541">
        <f t="shared" si="37"/>
        <v>140770.72142857115</v>
      </c>
      <c r="K2066" s="243"/>
    </row>
    <row r="2067" spans="2:11" ht="17" customHeight="1">
      <c r="B2067" s="253">
        <v>45935</v>
      </c>
      <c r="C2067" s="263" t="s">
        <v>513</v>
      </c>
      <c r="D2067" s="255" t="s">
        <v>2115</v>
      </c>
      <c r="E2067" s="256"/>
      <c r="F2067" s="257">
        <v>75</v>
      </c>
      <c r="G2067" s="258" t="s">
        <v>227</v>
      </c>
      <c r="H2067" s="259"/>
      <c r="I2067" s="541">
        <f t="shared" si="37"/>
        <v>140695.72142857115</v>
      </c>
      <c r="K2067" s="243"/>
    </row>
    <row r="2068" spans="2:11" ht="17" customHeight="1">
      <c r="B2068" s="253">
        <v>45935</v>
      </c>
      <c r="C2068" s="263" t="s">
        <v>513</v>
      </c>
      <c r="D2068" s="255" t="s">
        <v>2082</v>
      </c>
      <c r="E2068" s="256"/>
      <c r="F2068" s="257">
        <v>115</v>
      </c>
      <c r="G2068" s="258" t="s">
        <v>227</v>
      </c>
      <c r="H2068" s="259"/>
      <c r="I2068" s="541">
        <f t="shared" si="37"/>
        <v>140580.72142857115</v>
      </c>
      <c r="K2068" s="243"/>
    </row>
    <row r="2069" spans="2:11" ht="17" customHeight="1">
      <c r="B2069" s="253">
        <v>45935</v>
      </c>
      <c r="C2069" s="263" t="s">
        <v>513</v>
      </c>
      <c r="D2069" s="255" t="s">
        <v>2116</v>
      </c>
      <c r="E2069" s="256"/>
      <c r="F2069" s="257">
        <v>78</v>
      </c>
      <c r="G2069" s="258" t="s">
        <v>227</v>
      </c>
      <c r="H2069" s="259"/>
      <c r="I2069" s="541">
        <f t="shared" si="37"/>
        <v>140502.72142857115</v>
      </c>
      <c r="K2069" s="243"/>
    </row>
    <row r="2070" spans="2:11" ht="17" customHeight="1">
      <c r="B2070" s="253">
        <v>45935</v>
      </c>
      <c r="C2070" s="263" t="s">
        <v>513</v>
      </c>
      <c r="D2070" s="255" t="s">
        <v>2117</v>
      </c>
      <c r="E2070" s="256"/>
      <c r="F2070" s="257">
        <v>200</v>
      </c>
      <c r="G2070" s="258" t="s">
        <v>227</v>
      </c>
      <c r="H2070" s="259"/>
      <c r="I2070" s="541">
        <f t="shared" si="37"/>
        <v>140302.72142857115</v>
      </c>
      <c r="K2070" s="243"/>
    </row>
    <row r="2071" spans="2:11" ht="17" customHeight="1">
      <c r="B2071" s="253">
        <v>45935</v>
      </c>
      <c r="C2071" s="263" t="s">
        <v>117</v>
      </c>
      <c r="D2071" s="255" t="s">
        <v>566</v>
      </c>
      <c r="E2071" s="256"/>
      <c r="F2071" s="257">
        <v>80</v>
      </c>
      <c r="G2071" s="258" t="s">
        <v>229</v>
      </c>
      <c r="H2071" s="259"/>
      <c r="I2071" s="541">
        <f t="shared" si="37"/>
        <v>140222.72142857115</v>
      </c>
      <c r="K2071" s="243"/>
    </row>
    <row r="2072" spans="2:11" ht="17" customHeight="1">
      <c r="B2072" s="253">
        <v>45935</v>
      </c>
      <c r="C2072" s="263" t="s">
        <v>117</v>
      </c>
      <c r="D2072" s="255" t="s">
        <v>2118</v>
      </c>
      <c r="E2072" s="256"/>
      <c r="F2072" s="257">
        <v>30</v>
      </c>
      <c r="G2072" s="258" t="s">
        <v>229</v>
      </c>
      <c r="H2072" s="259"/>
      <c r="I2072" s="541">
        <f t="shared" si="37"/>
        <v>140192.72142857115</v>
      </c>
      <c r="K2072" s="243"/>
    </row>
    <row r="2073" spans="2:11" ht="17" customHeight="1">
      <c r="B2073" s="253">
        <v>45935</v>
      </c>
      <c r="C2073" s="263" t="s">
        <v>117</v>
      </c>
      <c r="D2073" s="255" t="s">
        <v>2119</v>
      </c>
      <c r="E2073" s="256"/>
      <c r="F2073" s="257">
        <v>30</v>
      </c>
      <c r="G2073" s="258" t="s">
        <v>229</v>
      </c>
      <c r="H2073" s="259"/>
      <c r="I2073" s="541">
        <f t="shared" si="37"/>
        <v>140162.72142857115</v>
      </c>
      <c r="K2073" s="243"/>
    </row>
    <row r="2074" spans="2:11" ht="17" customHeight="1">
      <c r="B2074" s="253">
        <v>45935</v>
      </c>
      <c r="C2074" s="263" t="s">
        <v>117</v>
      </c>
      <c r="D2074" s="255" t="s">
        <v>724</v>
      </c>
      <c r="E2074" s="256"/>
      <c r="F2074" s="257">
        <v>80</v>
      </c>
      <c r="G2074" s="258" t="s">
        <v>229</v>
      </c>
      <c r="H2074" s="259"/>
      <c r="I2074" s="541">
        <f t="shared" si="37"/>
        <v>140082.72142857115</v>
      </c>
      <c r="K2074" s="243"/>
    </row>
    <row r="2075" spans="2:11" ht="17" customHeight="1">
      <c r="B2075" s="253">
        <v>45935</v>
      </c>
      <c r="C2075" s="263" t="s">
        <v>117</v>
      </c>
      <c r="D2075" s="255" t="s">
        <v>531</v>
      </c>
      <c r="E2075" s="256"/>
      <c r="F2075" s="257">
        <v>50</v>
      </c>
      <c r="G2075" s="258" t="s">
        <v>229</v>
      </c>
      <c r="H2075" s="259"/>
      <c r="I2075" s="541">
        <f t="shared" si="37"/>
        <v>140032.72142857115</v>
      </c>
      <c r="K2075" s="243"/>
    </row>
    <row r="2076" spans="2:11" ht="17" customHeight="1">
      <c r="B2076" s="253">
        <v>45935</v>
      </c>
      <c r="C2076" s="263" t="s">
        <v>117</v>
      </c>
      <c r="D2076" s="255" t="s">
        <v>2120</v>
      </c>
      <c r="E2076" s="256"/>
      <c r="F2076" s="257">
        <v>100</v>
      </c>
      <c r="G2076" s="258" t="s">
        <v>229</v>
      </c>
      <c r="H2076" s="259"/>
      <c r="I2076" s="541">
        <f t="shared" si="37"/>
        <v>139932.72142857115</v>
      </c>
      <c r="K2076" s="243"/>
    </row>
    <row r="2077" spans="2:11" ht="17" customHeight="1">
      <c r="B2077" s="253">
        <v>45935</v>
      </c>
      <c r="C2077" s="263" t="s">
        <v>117</v>
      </c>
      <c r="D2077" s="255" t="s">
        <v>817</v>
      </c>
      <c r="E2077" s="256"/>
      <c r="F2077" s="257">
        <v>20</v>
      </c>
      <c r="G2077" s="258" t="s">
        <v>238</v>
      </c>
      <c r="H2077" s="259"/>
      <c r="I2077" s="541">
        <f t="shared" si="37"/>
        <v>139912.72142857115</v>
      </c>
      <c r="K2077" s="243"/>
    </row>
    <row r="2078" spans="2:11" ht="17" customHeight="1">
      <c r="B2078" s="253">
        <v>45935</v>
      </c>
      <c r="C2078" s="263" t="s">
        <v>117</v>
      </c>
      <c r="D2078" s="255" t="s">
        <v>568</v>
      </c>
      <c r="E2078" s="256"/>
      <c r="F2078" s="257">
        <v>120</v>
      </c>
      <c r="G2078" s="258" t="s">
        <v>230</v>
      </c>
      <c r="H2078" s="259"/>
      <c r="I2078" s="541">
        <f>I2077+E2078-F2078</f>
        <v>139792.72142857115</v>
      </c>
      <c r="K2078" s="243"/>
    </row>
    <row r="2079" spans="2:11" ht="17" customHeight="1">
      <c r="B2079" s="253">
        <v>45935</v>
      </c>
      <c r="C2079" s="263" t="s">
        <v>117</v>
      </c>
      <c r="D2079" s="255" t="s">
        <v>2121</v>
      </c>
      <c r="E2079" s="256"/>
      <c r="F2079" s="257">
        <v>300</v>
      </c>
      <c r="G2079" s="258" t="s">
        <v>230</v>
      </c>
      <c r="H2079" s="259"/>
      <c r="I2079" s="541">
        <f>I2078+E2079-F2079</f>
        <v>139492.72142857115</v>
      </c>
      <c r="K2079" s="243"/>
    </row>
    <row r="2080" spans="2:11" ht="17" customHeight="1">
      <c r="B2080" s="253">
        <v>45935</v>
      </c>
      <c r="C2080" s="263" t="s">
        <v>117</v>
      </c>
      <c r="D2080" s="255" t="s">
        <v>2122</v>
      </c>
      <c r="E2080" s="256"/>
      <c r="F2080" s="257">
        <v>400</v>
      </c>
      <c r="G2080" s="258" t="s">
        <v>231</v>
      </c>
      <c r="H2080" s="259"/>
      <c r="I2080" s="541">
        <f>I2079+E2080-F2080</f>
        <v>139092.72142857115</v>
      </c>
      <c r="K2080" s="243"/>
    </row>
    <row r="2081" spans="2:11" ht="17" customHeight="1">
      <c r="B2081" s="253">
        <v>45935</v>
      </c>
      <c r="C2081" s="263" t="s">
        <v>117</v>
      </c>
      <c r="D2081" s="255" t="s">
        <v>530</v>
      </c>
      <c r="E2081" s="256"/>
      <c r="F2081" s="257">
        <v>500</v>
      </c>
      <c r="G2081" s="258" t="s">
        <v>229</v>
      </c>
      <c r="H2081" s="259"/>
      <c r="I2081" s="541">
        <f>I2080+E2081-F2081</f>
        <v>138592.72142857115</v>
      </c>
      <c r="K2081" s="243"/>
    </row>
    <row r="2082" spans="2:11" ht="17" customHeight="1">
      <c r="B2082" s="253">
        <v>45935</v>
      </c>
      <c r="C2082" s="263" t="s">
        <v>117</v>
      </c>
      <c r="D2082" s="255" t="s">
        <v>2123</v>
      </c>
      <c r="E2082" s="256"/>
      <c r="F2082" s="257">
        <v>10</v>
      </c>
      <c r="G2082" s="258" t="s">
        <v>232</v>
      </c>
      <c r="H2082" s="259"/>
      <c r="I2082" s="541">
        <f t="shared" si="37"/>
        <v>138582.72142857115</v>
      </c>
      <c r="K2082" s="243"/>
    </row>
    <row r="2083" spans="2:11" ht="17" customHeight="1">
      <c r="B2083" s="253">
        <v>45935</v>
      </c>
      <c r="C2083" s="675" t="s">
        <v>283</v>
      </c>
      <c r="D2083" s="676" t="s">
        <v>283</v>
      </c>
      <c r="E2083" s="677">
        <f>4635-E2084</f>
        <v>4186.3900000000003</v>
      </c>
      <c r="F2083" s="678"/>
      <c r="G2083" s="258" t="s">
        <v>190</v>
      </c>
      <c r="H2083" s="259"/>
      <c r="I2083" s="541">
        <f t="shared" si="37"/>
        <v>142769.11142857117</v>
      </c>
      <c r="K2083" s="243"/>
    </row>
    <row r="2084" spans="2:11" ht="17" customHeight="1">
      <c r="B2084" s="253">
        <v>45935</v>
      </c>
      <c r="C2084" s="675" t="s">
        <v>283</v>
      </c>
      <c r="D2084" s="676" t="s">
        <v>508</v>
      </c>
      <c r="E2084" s="677">
        <v>448.61</v>
      </c>
      <c r="F2084" s="678"/>
      <c r="G2084" s="258" t="s">
        <v>276</v>
      </c>
      <c r="H2084" s="259"/>
      <c r="I2084" s="541">
        <f t="shared" si="37"/>
        <v>143217.72142857115</v>
      </c>
      <c r="K2084" s="243"/>
    </row>
    <row r="2085" spans="2:11" ht="17" customHeight="1">
      <c r="B2085" s="253">
        <v>45936</v>
      </c>
      <c r="C2085" s="263" t="s">
        <v>286</v>
      </c>
      <c r="D2085" s="255" t="s">
        <v>520</v>
      </c>
      <c r="E2085" s="256"/>
      <c r="F2085" s="257">
        <v>1000</v>
      </c>
      <c r="G2085" s="258" t="s">
        <v>139</v>
      </c>
      <c r="H2085" s="259"/>
      <c r="I2085" s="541">
        <f t="shared" si="37"/>
        <v>142217.72142857115</v>
      </c>
      <c r="K2085" s="243"/>
    </row>
    <row r="2086" spans="2:11" ht="17" customHeight="1">
      <c r="B2086" s="253">
        <v>45936</v>
      </c>
      <c r="C2086" s="263" t="s">
        <v>513</v>
      </c>
      <c r="D2086" s="255" t="s">
        <v>563</v>
      </c>
      <c r="E2086" s="256"/>
      <c r="F2086" s="257">
        <v>105</v>
      </c>
      <c r="G2086" s="258" t="s">
        <v>249</v>
      </c>
      <c r="H2086" s="259"/>
      <c r="I2086" s="541">
        <f t="shared" si="37"/>
        <v>142112.72142857115</v>
      </c>
      <c r="K2086" s="243"/>
    </row>
    <row r="2087" spans="2:11" ht="17" customHeight="1">
      <c r="B2087" s="253">
        <v>45936</v>
      </c>
      <c r="C2087" s="263" t="s">
        <v>2125</v>
      </c>
      <c r="D2087" s="255" t="s">
        <v>2124</v>
      </c>
      <c r="E2087" s="256"/>
      <c r="F2087" s="257">
        <v>23</v>
      </c>
      <c r="G2087" s="258" t="s">
        <v>208</v>
      </c>
      <c r="H2087" s="259"/>
      <c r="I2087" s="541">
        <f t="shared" si="37"/>
        <v>142089.72142857115</v>
      </c>
      <c r="K2087" s="243"/>
    </row>
    <row r="2088" spans="2:11" ht="17" customHeight="1">
      <c r="B2088" s="253">
        <v>45936</v>
      </c>
      <c r="C2088" s="263" t="s">
        <v>2126</v>
      </c>
      <c r="D2088" s="255" t="s">
        <v>2124</v>
      </c>
      <c r="E2088" s="256"/>
      <c r="F2088" s="257">
        <v>4.18</v>
      </c>
      <c r="G2088" s="258" t="s">
        <v>274</v>
      </c>
      <c r="H2088" s="259"/>
      <c r="I2088" s="541">
        <f t="shared" si="37"/>
        <v>142085.54142857116</v>
      </c>
      <c r="K2088" s="243"/>
    </row>
    <row r="2089" spans="2:11" ht="17" customHeight="1">
      <c r="B2089" s="253">
        <v>45936</v>
      </c>
      <c r="C2089" s="263" t="s">
        <v>2127</v>
      </c>
      <c r="D2089" s="255" t="s">
        <v>2124</v>
      </c>
      <c r="E2089" s="256"/>
      <c r="F2089" s="257">
        <v>131</v>
      </c>
      <c r="G2089" s="258" t="s">
        <v>208</v>
      </c>
      <c r="H2089" s="259"/>
      <c r="I2089" s="541">
        <f t="shared" si="37"/>
        <v>141954.54142857116</v>
      </c>
      <c r="K2089" s="243"/>
    </row>
    <row r="2090" spans="2:11" ht="17" customHeight="1">
      <c r="B2090" s="253">
        <v>45936</v>
      </c>
      <c r="C2090" s="263" t="s">
        <v>2128</v>
      </c>
      <c r="D2090" s="255" t="s">
        <v>2124</v>
      </c>
      <c r="E2090" s="256"/>
      <c r="F2090" s="257">
        <v>23.63</v>
      </c>
      <c r="G2090" s="258" t="s">
        <v>274</v>
      </c>
      <c r="H2090" s="259"/>
      <c r="I2090" s="541">
        <f t="shared" si="37"/>
        <v>141930.91142857115</v>
      </c>
      <c r="K2090" s="243"/>
    </row>
    <row r="2091" spans="2:11" ht="17" customHeight="1">
      <c r="B2091" s="253">
        <v>45936</v>
      </c>
      <c r="C2091" s="263" t="s">
        <v>117</v>
      </c>
      <c r="D2091" s="255" t="s">
        <v>2129</v>
      </c>
      <c r="E2091" s="256"/>
      <c r="F2091" s="257">
        <v>253</v>
      </c>
      <c r="G2091" s="258" t="s">
        <v>199</v>
      </c>
      <c r="H2091" s="262" t="s">
        <v>2130</v>
      </c>
      <c r="I2091" s="541">
        <f t="shared" si="37"/>
        <v>141677.91142857115</v>
      </c>
      <c r="K2091" s="243"/>
    </row>
    <row r="2092" spans="2:11" ht="17" customHeight="1">
      <c r="B2092" s="253">
        <v>45936</v>
      </c>
      <c r="C2092" s="263" t="s">
        <v>117</v>
      </c>
      <c r="D2092" s="255" t="s">
        <v>614</v>
      </c>
      <c r="E2092" s="256"/>
      <c r="F2092" s="257">
        <v>28</v>
      </c>
      <c r="G2092" s="258" t="s">
        <v>199</v>
      </c>
      <c r="H2092" s="259"/>
      <c r="I2092" s="541">
        <f t="shared" si="37"/>
        <v>141649.91142857115</v>
      </c>
      <c r="K2092" s="243"/>
    </row>
    <row r="2093" spans="2:11" ht="17" customHeight="1">
      <c r="B2093" s="253">
        <v>45936</v>
      </c>
      <c r="C2093" s="675" t="s">
        <v>283</v>
      </c>
      <c r="D2093" s="676" t="s">
        <v>283</v>
      </c>
      <c r="E2093" s="677">
        <f>297.6-E2094</f>
        <v>203.87</v>
      </c>
      <c r="F2093" s="678"/>
      <c r="G2093" s="258" t="s">
        <v>190</v>
      </c>
      <c r="H2093" s="259"/>
      <c r="I2093" s="541">
        <f t="shared" si="37"/>
        <v>141853.78142857115</v>
      </c>
      <c r="K2093" s="243"/>
    </row>
    <row r="2094" spans="2:11" ht="17" customHeight="1">
      <c r="B2094" s="253">
        <v>45936</v>
      </c>
      <c r="C2094" s="675" t="s">
        <v>283</v>
      </c>
      <c r="D2094" s="676" t="s">
        <v>508</v>
      </c>
      <c r="E2094" s="677">
        <v>93.73</v>
      </c>
      <c r="F2094" s="678"/>
      <c r="G2094" s="258" t="s">
        <v>276</v>
      </c>
      <c r="H2094" s="259"/>
      <c r="I2094" s="541">
        <f>I961+E2094-F2094</f>
        <v>144477.51142857116</v>
      </c>
      <c r="K2094" s="243"/>
    </row>
    <row r="2095" spans="2:11" ht="17" customHeight="1">
      <c r="B2095" s="253">
        <v>45937</v>
      </c>
      <c r="C2095" s="263" t="s">
        <v>117</v>
      </c>
      <c r="D2095" s="261" t="s">
        <v>308</v>
      </c>
      <c r="E2095" s="256"/>
      <c r="F2095" s="257">
        <v>87</v>
      </c>
      <c r="G2095" s="258" t="s">
        <v>201</v>
      </c>
      <c r="H2095" s="259"/>
      <c r="I2095" s="541">
        <f>I2094+E2095-F2095</f>
        <v>144390.51142857116</v>
      </c>
      <c r="K2095" s="243"/>
    </row>
    <row r="2096" spans="2:11" ht="17" customHeight="1">
      <c r="B2096" s="253">
        <v>45937</v>
      </c>
      <c r="C2096" s="675" t="s">
        <v>283</v>
      </c>
      <c r="D2096" s="676" t="s">
        <v>283</v>
      </c>
      <c r="E2096" s="677">
        <f>552.5-E2097</f>
        <v>476.78</v>
      </c>
      <c r="F2096" s="678"/>
      <c r="G2096" s="258" t="s">
        <v>190</v>
      </c>
      <c r="H2096" s="259"/>
      <c r="I2096" s="541">
        <f>I2095+E2096-F2096</f>
        <v>144867.29142857116</v>
      </c>
      <c r="K2096" s="243"/>
    </row>
    <row r="2097" spans="2:11" ht="17" customHeight="1">
      <c r="B2097" s="253">
        <v>45937</v>
      </c>
      <c r="C2097" s="675" t="s">
        <v>283</v>
      </c>
      <c r="D2097" s="676" t="s">
        <v>508</v>
      </c>
      <c r="E2097" s="677">
        <v>75.72</v>
      </c>
      <c r="F2097" s="678"/>
      <c r="G2097" s="258" t="s">
        <v>276</v>
      </c>
      <c r="H2097" s="835"/>
      <c r="I2097" s="541">
        <f>I2096+E2097-F2097</f>
        <v>144943.01142857116</v>
      </c>
      <c r="K2097" s="243"/>
    </row>
    <row r="2098" spans="2:11" ht="17" customHeight="1">
      <c r="B2098" s="253">
        <v>45937</v>
      </c>
      <c r="C2098" s="675" t="s">
        <v>283</v>
      </c>
      <c r="D2098" s="676" t="s">
        <v>283</v>
      </c>
      <c r="E2098" s="677">
        <v>200</v>
      </c>
      <c r="F2098" s="678"/>
      <c r="G2098" s="258" t="s">
        <v>190</v>
      </c>
      <c r="H2098" s="259" t="s">
        <v>2131</v>
      </c>
      <c r="I2098" s="541">
        <f t="shared" ref="I2098:I2161" si="38">I2097+E2099-F2099</f>
        <v>144903.01142857116</v>
      </c>
      <c r="K2098" s="243"/>
    </row>
    <row r="2099" spans="2:11" ht="17" customHeight="1">
      <c r="B2099" s="253">
        <v>45938</v>
      </c>
      <c r="C2099" s="263" t="s">
        <v>117</v>
      </c>
      <c r="D2099" s="261" t="s">
        <v>505</v>
      </c>
      <c r="E2099" s="256"/>
      <c r="F2099" s="257">
        <v>40</v>
      </c>
      <c r="G2099" s="258" t="s">
        <v>139</v>
      </c>
      <c r="H2099" s="259"/>
      <c r="I2099" s="541">
        <f t="shared" si="38"/>
        <v>144840.01142857116</v>
      </c>
      <c r="K2099" s="243"/>
    </row>
    <row r="2100" spans="2:11" ht="17" customHeight="1">
      <c r="B2100" s="253">
        <v>45938</v>
      </c>
      <c r="C2100" s="675" t="s">
        <v>513</v>
      </c>
      <c r="D2100" s="676" t="s">
        <v>873</v>
      </c>
      <c r="E2100" s="677"/>
      <c r="F2100" s="678">
        <v>63</v>
      </c>
      <c r="G2100" s="258" t="s">
        <v>248</v>
      </c>
      <c r="H2100" s="259"/>
      <c r="I2100" s="541">
        <f t="shared" si="38"/>
        <v>147255.01142857116</v>
      </c>
      <c r="K2100" s="243"/>
    </row>
    <row r="2101" spans="2:11" ht="17" customHeight="1">
      <c r="B2101" s="253">
        <v>45938</v>
      </c>
      <c r="C2101" s="263" t="s">
        <v>117</v>
      </c>
      <c r="D2101" s="839" t="s">
        <v>556</v>
      </c>
      <c r="E2101" s="256">
        <v>2415</v>
      </c>
      <c r="F2101" s="257"/>
      <c r="G2101" s="258"/>
      <c r="H2101" s="259"/>
      <c r="I2101" s="541">
        <f t="shared" si="38"/>
        <v>147135.01142857116</v>
      </c>
      <c r="K2101" s="243"/>
    </row>
    <row r="2102" spans="2:11" ht="17" customHeight="1">
      <c r="B2102" s="253">
        <v>45938</v>
      </c>
      <c r="C2102" s="263" t="s">
        <v>286</v>
      </c>
      <c r="D2102" s="255" t="s">
        <v>520</v>
      </c>
      <c r="E2102" s="256"/>
      <c r="F2102" s="257">
        <v>120</v>
      </c>
      <c r="G2102" s="258" t="s">
        <v>139</v>
      </c>
      <c r="H2102" s="259"/>
      <c r="I2102" s="541">
        <f t="shared" si="38"/>
        <v>147723.77142857117</v>
      </c>
      <c r="K2102" s="243"/>
    </row>
    <row r="2103" spans="2:11" ht="17" customHeight="1">
      <c r="B2103" s="253">
        <v>45938</v>
      </c>
      <c r="C2103" s="675" t="s">
        <v>283</v>
      </c>
      <c r="D2103" s="676" t="s">
        <v>283</v>
      </c>
      <c r="E2103" s="677">
        <f>634.7-E2104</f>
        <v>588.76</v>
      </c>
      <c r="F2103" s="678"/>
      <c r="G2103" s="258" t="s">
        <v>190</v>
      </c>
      <c r="H2103" s="259"/>
      <c r="I2103" s="541">
        <f t="shared" si="38"/>
        <v>147769.71142857117</v>
      </c>
      <c r="K2103" s="243"/>
    </row>
    <row r="2104" spans="2:11" ht="17" customHeight="1">
      <c r="B2104" s="253">
        <v>45938</v>
      </c>
      <c r="C2104" s="675" t="s">
        <v>283</v>
      </c>
      <c r="D2104" s="676" t="s">
        <v>508</v>
      </c>
      <c r="E2104" s="677">
        <v>45.94</v>
      </c>
      <c r="F2104" s="678"/>
      <c r="G2104" s="258" t="s">
        <v>276</v>
      </c>
      <c r="H2104" s="259"/>
      <c r="I2104" s="541">
        <f t="shared" si="38"/>
        <v>147751.71142857117</v>
      </c>
      <c r="K2104" s="243"/>
    </row>
    <row r="2105" spans="2:11" ht="17" customHeight="1">
      <c r="B2105" s="253">
        <v>45939</v>
      </c>
      <c r="C2105" s="263" t="s">
        <v>2132</v>
      </c>
      <c r="D2105" s="255" t="s">
        <v>545</v>
      </c>
      <c r="E2105" s="256"/>
      <c r="F2105" s="257">
        <v>18</v>
      </c>
      <c r="G2105" s="258" t="s">
        <v>202</v>
      </c>
      <c r="H2105" s="259" t="s">
        <v>2135</v>
      </c>
      <c r="I2105" s="541">
        <f t="shared" si="38"/>
        <v>147693.71142857117</v>
      </c>
      <c r="K2105" s="243"/>
    </row>
    <row r="2106" spans="2:11" ht="17" customHeight="1">
      <c r="B2106" s="253">
        <v>45939</v>
      </c>
      <c r="C2106" s="263" t="s">
        <v>2133</v>
      </c>
      <c r="D2106" s="255" t="s">
        <v>2134</v>
      </c>
      <c r="E2106" s="256"/>
      <c r="F2106" s="257">
        <v>58</v>
      </c>
      <c r="G2106" s="258" t="s">
        <v>202</v>
      </c>
      <c r="H2106" s="259" t="s">
        <v>355</v>
      </c>
      <c r="I2106" s="541">
        <f t="shared" si="38"/>
        <v>137693.71142857117</v>
      </c>
      <c r="K2106" s="243"/>
    </row>
    <row r="2107" spans="2:11" ht="17" customHeight="1">
      <c r="B2107" s="253">
        <v>45939</v>
      </c>
      <c r="C2107" s="497" t="s">
        <v>541</v>
      </c>
      <c r="D2107" s="498" t="s">
        <v>542</v>
      </c>
      <c r="E2107" s="499"/>
      <c r="F2107" s="500">
        <v>10000</v>
      </c>
      <c r="G2107" s="501" t="s">
        <v>277</v>
      </c>
      <c r="I2107" s="541">
        <f t="shared" si="38"/>
        <v>138347.79142857116</v>
      </c>
      <c r="K2107" s="243"/>
    </row>
    <row r="2108" spans="2:11" ht="17" customHeight="1">
      <c r="B2108" s="253">
        <v>45939</v>
      </c>
      <c r="C2108" s="675" t="s">
        <v>283</v>
      </c>
      <c r="D2108" s="676" t="s">
        <v>283</v>
      </c>
      <c r="E2108" s="677">
        <f>730-E2109</f>
        <v>654.08000000000004</v>
      </c>
      <c r="F2108" s="678"/>
      <c r="G2108" s="258" t="s">
        <v>190</v>
      </c>
      <c r="H2108" s="259"/>
      <c r="I2108" s="541">
        <f t="shared" si="38"/>
        <v>138423.71142857117</v>
      </c>
      <c r="K2108" s="243"/>
    </row>
    <row r="2109" spans="2:11" ht="17" customHeight="1">
      <c r="B2109" s="253">
        <v>45939</v>
      </c>
      <c r="C2109" s="675" t="s">
        <v>283</v>
      </c>
      <c r="D2109" s="676" t="s">
        <v>508</v>
      </c>
      <c r="E2109" s="677">
        <v>75.92</v>
      </c>
      <c r="F2109" s="678"/>
      <c r="G2109" s="258" t="s">
        <v>276</v>
      </c>
      <c r="H2109" s="835"/>
      <c r="I2109" s="541">
        <f t="shared" si="38"/>
        <v>138028.71142857117</v>
      </c>
      <c r="K2109" s="243"/>
    </row>
    <row r="2110" spans="2:11" ht="17" customHeight="1">
      <c r="B2110" s="736">
        <v>45930</v>
      </c>
      <c r="C2110" s="263" t="s">
        <v>513</v>
      </c>
      <c r="D2110" s="255" t="s">
        <v>722</v>
      </c>
      <c r="E2110" s="256"/>
      <c r="F2110" s="257">
        <v>395</v>
      </c>
      <c r="G2110" s="258" t="s">
        <v>245</v>
      </c>
      <c r="H2110" s="525" t="s">
        <v>753</v>
      </c>
      <c r="I2110" s="541">
        <f t="shared" si="38"/>
        <v>137668.71142857117</v>
      </c>
      <c r="K2110" s="243"/>
    </row>
    <row r="2111" spans="2:11" ht="17" customHeight="1">
      <c r="B2111" s="736">
        <v>45930</v>
      </c>
      <c r="C2111" s="263" t="s">
        <v>513</v>
      </c>
      <c r="D2111" s="255" t="s">
        <v>25</v>
      </c>
      <c r="E2111" s="256"/>
      <c r="F2111" s="257">
        <v>360</v>
      </c>
      <c r="G2111" s="258" t="s">
        <v>246</v>
      </c>
      <c r="H2111" s="525" t="s">
        <v>753</v>
      </c>
      <c r="I2111" s="541">
        <f t="shared" si="38"/>
        <v>137388.71142857117</v>
      </c>
      <c r="K2111" s="243"/>
    </row>
    <row r="2112" spans="2:11" ht="17" customHeight="1">
      <c r="B2112" s="736">
        <v>45930</v>
      </c>
      <c r="C2112" s="263" t="s">
        <v>513</v>
      </c>
      <c r="D2112" s="255" t="s">
        <v>557</v>
      </c>
      <c r="E2112" s="256"/>
      <c r="F2112" s="257">
        <v>280</v>
      </c>
      <c r="G2112" s="258" t="s">
        <v>1859</v>
      </c>
      <c r="H2112" s="525" t="s">
        <v>753</v>
      </c>
      <c r="I2112" s="541">
        <f t="shared" si="38"/>
        <v>137283.71142857117</v>
      </c>
      <c r="K2112" s="243"/>
    </row>
    <row r="2113" spans="2:11" ht="17" customHeight="1">
      <c r="B2113" s="736">
        <v>45930</v>
      </c>
      <c r="C2113" s="263" t="s">
        <v>513</v>
      </c>
      <c r="D2113" s="255" t="s">
        <v>1926</v>
      </c>
      <c r="E2113" s="256"/>
      <c r="F2113" s="257">
        <v>105</v>
      </c>
      <c r="G2113" s="258" t="s">
        <v>246</v>
      </c>
      <c r="H2113" s="525" t="s">
        <v>753</v>
      </c>
      <c r="I2113" s="541">
        <f t="shared" si="38"/>
        <v>136548.71142857117</v>
      </c>
      <c r="K2113" s="243"/>
    </row>
    <row r="2114" spans="2:11" ht="17" customHeight="1">
      <c r="B2114" s="736">
        <v>45930</v>
      </c>
      <c r="C2114" s="263" t="s">
        <v>513</v>
      </c>
      <c r="D2114" s="255" t="s">
        <v>28</v>
      </c>
      <c r="E2114" s="256"/>
      <c r="F2114" s="257">
        <v>735</v>
      </c>
      <c r="G2114" s="258" t="s">
        <v>243</v>
      </c>
      <c r="H2114" s="525" t="s">
        <v>753</v>
      </c>
      <c r="I2114" s="541">
        <f t="shared" si="38"/>
        <v>136198.71142857117</v>
      </c>
      <c r="K2114" s="243"/>
    </row>
    <row r="2115" spans="2:11" ht="17" customHeight="1">
      <c r="B2115" s="736">
        <v>45930</v>
      </c>
      <c r="C2115" s="263" t="s">
        <v>513</v>
      </c>
      <c r="D2115" s="255" t="s">
        <v>29</v>
      </c>
      <c r="E2115" s="256"/>
      <c r="F2115" s="257">
        <v>350</v>
      </c>
      <c r="G2115" s="258" t="s">
        <v>243</v>
      </c>
      <c r="H2115" s="525" t="s">
        <v>753</v>
      </c>
      <c r="I2115" s="541">
        <f t="shared" si="38"/>
        <v>135653.71142857117</v>
      </c>
      <c r="K2115" s="243"/>
    </row>
    <row r="2116" spans="2:11" ht="17" customHeight="1">
      <c r="B2116" s="736">
        <v>45930</v>
      </c>
      <c r="C2116" s="263" t="s">
        <v>513</v>
      </c>
      <c r="D2116" s="255" t="s">
        <v>559</v>
      </c>
      <c r="E2116" s="256"/>
      <c r="F2116" s="257">
        <v>545</v>
      </c>
      <c r="G2116" s="258" t="s">
        <v>243</v>
      </c>
      <c r="H2116" s="525" t="s">
        <v>753</v>
      </c>
      <c r="I2116" s="541">
        <f t="shared" si="38"/>
        <v>135527.71142857117</v>
      </c>
      <c r="K2116" s="243"/>
    </row>
    <row r="2117" spans="2:11" ht="17" customHeight="1">
      <c r="B2117" s="736">
        <v>45930</v>
      </c>
      <c r="C2117" s="263" t="s">
        <v>513</v>
      </c>
      <c r="D2117" s="255" t="s">
        <v>24</v>
      </c>
      <c r="E2117" s="256"/>
      <c r="F2117" s="257">
        <v>126</v>
      </c>
      <c r="G2117" s="258" t="s">
        <v>245</v>
      </c>
      <c r="H2117" s="525" t="s">
        <v>753</v>
      </c>
      <c r="I2117" s="541">
        <f t="shared" si="38"/>
        <v>135037.71142857117</v>
      </c>
      <c r="K2117" s="243"/>
    </row>
    <row r="2118" spans="2:11" ht="17" customHeight="1">
      <c r="B2118" s="736">
        <v>45930</v>
      </c>
      <c r="C2118" s="263" t="s">
        <v>513</v>
      </c>
      <c r="D2118" s="676" t="s">
        <v>1830</v>
      </c>
      <c r="E2118" s="677"/>
      <c r="F2118" s="678">
        <v>490</v>
      </c>
      <c r="G2118" s="258" t="s">
        <v>245</v>
      </c>
      <c r="H2118" s="525" t="s">
        <v>753</v>
      </c>
      <c r="I2118" s="541">
        <f t="shared" si="38"/>
        <v>135107.71142857117</v>
      </c>
      <c r="K2118" s="243"/>
    </row>
    <row r="2119" spans="2:11" ht="17" customHeight="1">
      <c r="B2119" s="736">
        <v>45930</v>
      </c>
      <c r="C2119" s="263" t="s">
        <v>513</v>
      </c>
      <c r="D2119" s="676" t="s">
        <v>558</v>
      </c>
      <c r="E2119" s="677">
        <v>70</v>
      </c>
      <c r="F2119" s="678"/>
      <c r="G2119" s="258" t="s">
        <v>245</v>
      </c>
      <c r="H2119" s="525" t="s">
        <v>753</v>
      </c>
      <c r="I2119" s="541">
        <f t="shared" si="38"/>
        <v>135079.26142857116</v>
      </c>
      <c r="K2119" s="243"/>
    </row>
    <row r="2120" spans="2:11" ht="17" customHeight="1">
      <c r="B2120" s="253">
        <v>45940</v>
      </c>
      <c r="C2120" s="263" t="s">
        <v>2248</v>
      </c>
      <c r="D2120" s="845" t="s">
        <v>512</v>
      </c>
      <c r="E2120" s="256"/>
      <c r="F2120" s="257">
        <v>28.45</v>
      </c>
      <c r="G2120" s="258" t="s">
        <v>199</v>
      </c>
      <c r="H2120" s="259"/>
      <c r="I2120" s="541">
        <f t="shared" si="38"/>
        <v>135078.15142857117</v>
      </c>
      <c r="K2120" s="243"/>
    </row>
    <row r="2121" spans="2:11" ht="17" customHeight="1">
      <c r="B2121" s="253">
        <v>45940</v>
      </c>
      <c r="C2121" s="675" t="s">
        <v>2248</v>
      </c>
      <c r="D2121" s="845" t="s">
        <v>512</v>
      </c>
      <c r="E2121" s="677"/>
      <c r="F2121" s="678">
        <v>1.1100000000000001</v>
      </c>
      <c r="G2121" s="258" t="s">
        <v>199</v>
      </c>
      <c r="H2121" s="259"/>
      <c r="I2121" s="541">
        <f t="shared" si="38"/>
        <v>135006.15142857117</v>
      </c>
      <c r="K2121" s="243"/>
    </row>
    <row r="2122" spans="2:11" ht="17" customHeight="1">
      <c r="B2122" s="253">
        <v>45940</v>
      </c>
      <c r="C2122" s="675" t="s">
        <v>513</v>
      </c>
      <c r="D2122" s="676" t="s">
        <v>2116</v>
      </c>
      <c r="E2122" s="677"/>
      <c r="F2122" s="678">
        <v>72</v>
      </c>
      <c r="G2122" s="258" t="s">
        <v>245</v>
      </c>
      <c r="H2122" s="259"/>
      <c r="I2122" s="541">
        <f t="shared" si="38"/>
        <v>134950.05142857117</v>
      </c>
      <c r="K2122" s="243"/>
    </row>
    <row r="2123" spans="2:11" ht="17" customHeight="1">
      <c r="B2123" s="253">
        <v>45940</v>
      </c>
      <c r="C2123" s="263" t="s">
        <v>117</v>
      </c>
      <c r="D2123" s="255" t="s">
        <v>306</v>
      </c>
      <c r="E2123" s="256"/>
      <c r="F2123" s="257">
        <v>56.1</v>
      </c>
      <c r="G2123" s="258" t="s">
        <v>194</v>
      </c>
      <c r="H2123" s="259"/>
      <c r="I2123" s="541">
        <f t="shared" si="38"/>
        <v>134678.25142857118</v>
      </c>
      <c r="K2123" s="243"/>
    </row>
    <row r="2124" spans="2:11" ht="17" customHeight="1">
      <c r="B2124" s="253">
        <v>45940</v>
      </c>
      <c r="C2124" s="263" t="s">
        <v>117</v>
      </c>
      <c r="D2124" s="255" t="s">
        <v>306</v>
      </c>
      <c r="E2124" s="256"/>
      <c r="F2124" s="257">
        <v>271.8</v>
      </c>
      <c r="G2124" s="258" t="s">
        <v>194</v>
      </c>
      <c r="H2124" s="259"/>
      <c r="I2124" s="541">
        <f t="shared" si="38"/>
        <v>134555.60142857119</v>
      </c>
      <c r="K2124" s="243"/>
    </row>
    <row r="2125" spans="2:11" ht="17" customHeight="1">
      <c r="B2125" s="253">
        <v>45940</v>
      </c>
      <c r="C2125" s="263" t="s">
        <v>117</v>
      </c>
      <c r="D2125" s="255" t="s">
        <v>306</v>
      </c>
      <c r="E2125" s="256"/>
      <c r="F2125" s="257">
        <v>122.65</v>
      </c>
      <c r="G2125" s="258" t="s">
        <v>194</v>
      </c>
      <c r="H2125" s="259"/>
      <c r="I2125" s="541">
        <f t="shared" si="38"/>
        <v>134382.0514285712</v>
      </c>
      <c r="K2125" s="243"/>
    </row>
    <row r="2126" spans="2:11" ht="17" customHeight="1">
      <c r="B2126" s="253">
        <v>45940</v>
      </c>
      <c r="C2126" s="263" t="s">
        <v>2138</v>
      </c>
      <c r="D2126" s="255" t="s">
        <v>2137</v>
      </c>
      <c r="E2126" s="256"/>
      <c r="F2126" s="257">
        <v>173.55</v>
      </c>
      <c r="G2126" s="258" t="s">
        <v>206</v>
      </c>
      <c r="H2126" s="259"/>
      <c r="I2126" s="541">
        <f t="shared" si="38"/>
        <v>134350.75142857121</v>
      </c>
      <c r="K2126" s="243"/>
    </row>
    <row r="2127" spans="2:11" ht="17" customHeight="1">
      <c r="B2127" s="253">
        <v>45940</v>
      </c>
      <c r="C2127" s="263" t="s">
        <v>2138</v>
      </c>
      <c r="D2127" s="255" t="s">
        <v>2137</v>
      </c>
      <c r="E2127" s="256"/>
      <c r="F2127" s="257">
        <v>31.3</v>
      </c>
      <c r="G2127" s="258" t="s">
        <v>274</v>
      </c>
      <c r="H2127" s="259"/>
      <c r="I2127" s="541">
        <f t="shared" si="38"/>
        <v>135974.47142857121</v>
      </c>
      <c r="K2127" s="243"/>
    </row>
    <row r="2128" spans="2:11" ht="17" customHeight="1">
      <c r="B2128" s="253">
        <v>45940</v>
      </c>
      <c r="C2128" s="675" t="s">
        <v>283</v>
      </c>
      <c r="D2128" s="676" t="s">
        <v>283</v>
      </c>
      <c r="E2128" s="677">
        <f>1901.35-E2129</f>
        <v>1623.7199999999998</v>
      </c>
      <c r="F2128" s="678"/>
      <c r="G2128" s="258" t="s">
        <v>190</v>
      </c>
      <c r="H2128" s="259"/>
      <c r="I2128" s="541">
        <f t="shared" si="38"/>
        <v>136252.10142857122</v>
      </c>
      <c r="K2128" s="243"/>
    </row>
    <row r="2129" spans="2:11" ht="17" customHeight="1">
      <c r="B2129" s="253">
        <v>45940</v>
      </c>
      <c r="C2129" s="675" t="s">
        <v>283</v>
      </c>
      <c r="D2129" s="676" t="s">
        <v>508</v>
      </c>
      <c r="E2129" s="677">
        <v>277.63</v>
      </c>
      <c r="F2129" s="678"/>
      <c r="G2129" s="258" t="s">
        <v>276</v>
      </c>
      <c r="H2129" s="259"/>
      <c r="I2129" s="541">
        <f t="shared" si="38"/>
        <v>136217.10142857122</v>
      </c>
      <c r="K2129" s="243"/>
    </row>
    <row r="2130" spans="2:11" ht="17" customHeight="1">
      <c r="B2130" s="253">
        <v>45941</v>
      </c>
      <c r="C2130" s="675" t="s">
        <v>513</v>
      </c>
      <c r="D2130" s="255" t="s">
        <v>873</v>
      </c>
      <c r="E2130" s="256"/>
      <c r="F2130" s="257">
        <v>35</v>
      </c>
      <c r="G2130" s="258" t="s">
        <v>248</v>
      </c>
      <c r="H2130" s="259"/>
      <c r="I2130" s="541">
        <f t="shared" si="38"/>
        <v>136157.10142857122</v>
      </c>
      <c r="K2130" s="243"/>
    </row>
    <row r="2131" spans="2:11" ht="17" customHeight="1">
      <c r="B2131" s="253">
        <v>45941</v>
      </c>
      <c r="C2131" s="675" t="s">
        <v>513</v>
      </c>
      <c r="D2131" s="255" t="s">
        <v>2070</v>
      </c>
      <c r="E2131" s="256"/>
      <c r="F2131" s="257">
        <v>60</v>
      </c>
      <c r="G2131" s="258" t="s">
        <v>245</v>
      </c>
      <c r="H2131" s="259"/>
      <c r="I2131" s="541">
        <f t="shared" si="38"/>
        <v>136082.10142857122</v>
      </c>
      <c r="K2131" s="243"/>
    </row>
    <row r="2132" spans="2:11" ht="17" customHeight="1">
      <c r="B2132" s="253">
        <v>45941</v>
      </c>
      <c r="C2132" s="675" t="s">
        <v>513</v>
      </c>
      <c r="D2132" s="255" t="s">
        <v>2116</v>
      </c>
      <c r="E2132" s="256"/>
      <c r="F2132" s="257">
        <v>75</v>
      </c>
      <c r="G2132" s="258" t="s">
        <v>245</v>
      </c>
      <c r="H2132" s="259"/>
      <c r="I2132" s="541">
        <f t="shared" si="38"/>
        <v>137783.16142857121</v>
      </c>
      <c r="K2132" s="243"/>
    </row>
    <row r="2133" spans="2:11" ht="17" customHeight="1">
      <c r="B2133" s="253">
        <v>45941</v>
      </c>
      <c r="C2133" s="675" t="s">
        <v>283</v>
      </c>
      <c r="D2133" s="676" t="s">
        <v>283</v>
      </c>
      <c r="E2133" s="677">
        <f>2033.3-E2134</f>
        <v>1701.06</v>
      </c>
      <c r="F2133" s="678"/>
      <c r="G2133" s="258" t="s">
        <v>190</v>
      </c>
      <c r="H2133" s="259"/>
      <c r="I2133" s="541">
        <f t="shared" si="38"/>
        <v>138115.4014285712</v>
      </c>
      <c r="K2133" s="243"/>
    </row>
    <row r="2134" spans="2:11" ht="17" customHeight="1">
      <c r="B2134" s="253">
        <v>45941</v>
      </c>
      <c r="C2134" s="675" t="s">
        <v>283</v>
      </c>
      <c r="D2134" s="676" t="s">
        <v>508</v>
      </c>
      <c r="E2134" s="677">
        <v>332.24</v>
      </c>
      <c r="F2134" s="678"/>
      <c r="G2134" s="258" t="s">
        <v>276</v>
      </c>
      <c r="H2134" s="259"/>
      <c r="I2134" s="541">
        <f t="shared" si="38"/>
        <v>138625.4014285712</v>
      </c>
      <c r="K2134" s="243"/>
    </row>
    <row r="2135" spans="2:11" ht="17" customHeight="1">
      <c r="B2135" s="253">
        <v>45941</v>
      </c>
      <c r="C2135" s="675" t="s">
        <v>283</v>
      </c>
      <c r="D2135" s="676" t="s">
        <v>283</v>
      </c>
      <c r="E2135" s="677">
        <v>510</v>
      </c>
      <c r="F2135" s="678"/>
      <c r="G2135" s="258" t="s">
        <v>190</v>
      </c>
      <c r="H2135" s="259" t="s">
        <v>2139</v>
      </c>
      <c r="I2135" s="541">
        <f t="shared" si="38"/>
        <v>138560.4014285712</v>
      </c>
      <c r="K2135" s="243"/>
    </row>
    <row r="2136" spans="2:11" ht="17" customHeight="1">
      <c r="B2136" s="253">
        <v>45942</v>
      </c>
      <c r="C2136" s="263" t="s">
        <v>513</v>
      </c>
      <c r="D2136" s="255" t="s">
        <v>688</v>
      </c>
      <c r="E2136" s="256"/>
      <c r="F2136" s="257">
        <v>65</v>
      </c>
      <c r="G2136" s="258" t="s">
        <v>248</v>
      </c>
      <c r="H2136" s="259"/>
      <c r="I2136" s="541">
        <f t="shared" si="38"/>
        <v>139564.82142857122</v>
      </c>
      <c r="K2136" s="243"/>
    </row>
    <row r="2137" spans="2:11" ht="17" customHeight="1">
      <c r="B2137" s="253">
        <v>45942</v>
      </c>
      <c r="C2137" s="675" t="s">
        <v>283</v>
      </c>
      <c r="D2137" s="676" t="s">
        <v>283</v>
      </c>
      <c r="E2137" s="677">
        <f>1148.5-E2138</f>
        <v>1004.42</v>
      </c>
      <c r="F2137" s="678"/>
      <c r="G2137" s="258" t="s">
        <v>190</v>
      </c>
      <c r="H2137" s="259"/>
      <c r="I2137" s="541">
        <f t="shared" si="38"/>
        <v>139708.9014285712</v>
      </c>
      <c r="K2137" s="243"/>
    </row>
    <row r="2138" spans="2:11" ht="17" customHeight="1">
      <c r="B2138" s="253">
        <v>45942</v>
      </c>
      <c r="C2138" s="675" t="s">
        <v>283</v>
      </c>
      <c r="D2138" s="676" t="s">
        <v>508</v>
      </c>
      <c r="E2138" s="677">
        <v>144.08000000000001</v>
      </c>
      <c r="F2138" s="678"/>
      <c r="G2138" s="258" t="s">
        <v>276</v>
      </c>
      <c r="H2138" s="259"/>
      <c r="I2138" s="541">
        <f t="shared" si="38"/>
        <v>134708.9014285712</v>
      </c>
      <c r="K2138" s="243"/>
    </row>
    <row r="2139" spans="2:11" ht="17" customHeight="1">
      <c r="B2139" s="253">
        <v>45943</v>
      </c>
      <c r="C2139" s="263" t="s">
        <v>117</v>
      </c>
      <c r="D2139" s="255" t="s">
        <v>2140</v>
      </c>
      <c r="E2139" s="256"/>
      <c r="F2139" s="257">
        <v>5000</v>
      </c>
      <c r="G2139" s="258" t="s">
        <v>194</v>
      </c>
      <c r="H2139" s="259"/>
      <c r="I2139" s="541">
        <f t="shared" si="38"/>
        <v>134628.9014285712</v>
      </c>
      <c r="K2139" s="243"/>
    </row>
    <row r="2140" spans="2:11" ht="17" customHeight="1">
      <c r="B2140" s="253">
        <v>45943</v>
      </c>
      <c r="C2140" s="263" t="s">
        <v>117</v>
      </c>
      <c r="D2140" s="255" t="s">
        <v>2085</v>
      </c>
      <c r="E2140" s="256"/>
      <c r="F2140" s="257">
        <v>80</v>
      </c>
      <c r="G2140" s="258" t="s">
        <v>234</v>
      </c>
      <c r="H2140" s="259"/>
      <c r="I2140" s="541">
        <f t="shared" si="38"/>
        <v>135112.23142857119</v>
      </c>
      <c r="K2140" s="243"/>
    </row>
    <row r="2141" spans="2:11" ht="17" customHeight="1">
      <c r="B2141" s="253">
        <v>45943</v>
      </c>
      <c r="C2141" s="675" t="s">
        <v>283</v>
      </c>
      <c r="D2141" s="676" t="s">
        <v>283</v>
      </c>
      <c r="E2141" s="677">
        <f>523.5-E2142</f>
        <v>483.33</v>
      </c>
      <c r="F2141" s="678"/>
      <c r="G2141" s="258" t="s">
        <v>190</v>
      </c>
      <c r="H2141" s="259"/>
      <c r="I2141" s="541">
        <f t="shared" si="38"/>
        <v>135152.4014285712</v>
      </c>
      <c r="K2141" s="243"/>
    </row>
    <row r="2142" spans="2:11" ht="17" customHeight="1">
      <c r="B2142" s="253">
        <v>45943</v>
      </c>
      <c r="C2142" s="675" t="s">
        <v>283</v>
      </c>
      <c r="D2142" s="676" t="s">
        <v>508</v>
      </c>
      <c r="E2142" s="677">
        <v>40.17</v>
      </c>
      <c r="F2142" s="678"/>
      <c r="G2142" s="258" t="s">
        <v>276</v>
      </c>
      <c r="H2142" s="259"/>
      <c r="I2142" s="541">
        <f t="shared" si="38"/>
        <v>135052.4014285712</v>
      </c>
      <c r="K2142" s="243"/>
    </row>
    <row r="2143" spans="2:11" ht="17" customHeight="1">
      <c r="B2143" s="253">
        <v>45944</v>
      </c>
      <c r="C2143" s="263" t="s">
        <v>286</v>
      </c>
      <c r="D2143" s="255" t="s">
        <v>520</v>
      </c>
      <c r="E2143" s="256"/>
      <c r="F2143" s="257">
        <v>100</v>
      </c>
      <c r="G2143" s="258" t="s">
        <v>139</v>
      </c>
      <c r="H2143" s="259"/>
      <c r="I2143" s="541">
        <f t="shared" si="38"/>
        <v>135470.04142857122</v>
      </c>
      <c r="K2143" s="243"/>
    </row>
    <row r="2144" spans="2:11" ht="17" customHeight="1">
      <c r="B2144" s="253">
        <v>45944</v>
      </c>
      <c r="C2144" s="675" t="s">
        <v>283</v>
      </c>
      <c r="D2144" s="676" t="s">
        <v>283</v>
      </c>
      <c r="E2144" s="677">
        <f>510.4-E2145</f>
        <v>417.64</v>
      </c>
      <c r="F2144" s="678"/>
      <c r="G2144" s="258" t="s">
        <v>190</v>
      </c>
      <c r="H2144" s="259"/>
      <c r="I2144" s="541">
        <f t="shared" si="38"/>
        <v>135562.80142857123</v>
      </c>
      <c r="K2144" s="243"/>
    </row>
    <row r="2145" spans="2:11" ht="17" customHeight="1">
      <c r="B2145" s="253">
        <v>45944</v>
      </c>
      <c r="C2145" s="675" t="s">
        <v>283</v>
      </c>
      <c r="D2145" s="676" t="s">
        <v>508</v>
      </c>
      <c r="E2145" s="677">
        <v>92.76</v>
      </c>
      <c r="F2145" s="678"/>
      <c r="G2145" s="258" t="s">
        <v>276</v>
      </c>
      <c r="H2145" s="259"/>
      <c r="I2145" s="541">
        <f t="shared" si="38"/>
        <v>135762.80142857123</v>
      </c>
      <c r="K2145" s="243"/>
    </row>
    <row r="2146" spans="2:11" ht="17" customHeight="1">
      <c r="B2146" s="253">
        <v>45944</v>
      </c>
      <c r="C2146" s="675" t="s">
        <v>283</v>
      </c>
      <c r="D2146" s="676" t="s">
        <v>283</v>
      </c>
      <c r="E2146" s="677">
        <v>200</v>
      </c>
      <c r="F2146" s="678"/>
      <c r="G2146" s="258" t="s">
        <v>190</v>
      </c>
      <c r="H2146" s="259" t="s">
        <v>1001</v>
      </c>
      <c r="I2146" s="541">
        <f t="shared" si="38"/>
        <v>135645.80142857123</v>
      </c>
      <c r="K2146" s="243"/>
    </row>
    <row r="2147" spans="2:11" ht="17" customHeight="1">
      <c r="B2147" s="253">
        <v>45945</v>
      </c>
      <c r="C2147" s="263" t="s">
        <v>117</v>
      </c>
      <c r="D2147" s="255" t="s">
        <v>846</v>
      </c>
      <c r="E2147" s="256"/>
      <c r="F2147" s="257">
        <v>117</v>
      </c>
      <c r="G2147" s="258" t="s">
        <v>201</v>
      </c>
      <c r="H2147" s="259"/>
      <c r="I2147" s="541">
        <f t="shared" si="38"/>
        <v>135584.10142857122</v>
      </c>
      <c r="K2147" s="243"/>
    </row>
    <row r="2148" spans="2:11" ht="17" customHeight="1">
      <c r="B2148" s="736">
        <v>45900</v>
      </c>
      <c r="C2148" s="263" t="s">
        <v>117</v>
      </c>
      <c r="D2148" s="255" t="s">
        <v>549</v>
      </c>
      <c r="E2148" s="256"/>
      <c r="F2148" s="257">
        <v>61.7</v>
      </c>
      <c r="G2148" s="258" t="s">
        <v>256</v>
      </c>
      <c r="H2148" s="259"/>
      <c r="I2148" s="541">
        <f t="shared" si="38"/>
        <v>135526.10142857122</v>
      </c>
      <c r="K2148" s="243"/>
    </row>
    <row r="2149" spans="2:11" ht="17" customHeight="1">
      <c r="B2149" s="736">
        <v>45930</v>
      </c>
      <c r="C2149" s="263" t="s">
        <v>117</v>
      </c>
      <c r="D2149" s="255" t="s">
        <v>549</v>
      </c>
      <c r="E2149" s="256"/>
      <c r="F2149" s="257">
        <v>58</v>
      </c>
      <c r="G2149" s="258" t="s">
        <v>256</v>
      </c>
      <c r="H2149" s="259"/>
      <c r="I2149" s="541">
        <f t="shared" si="38"/>
        <v>136179.72142857121</v>
      </c>
      <c r="K2149" s="243"/>
    </row>
    <row r="2150" spans="2:11" ht="17" customHeight="1">
      <c r="B2150" s="253">
        <v>45945</v>
      </c>
      <c r="C2150" s="675" t="s">
        <v>283</v>
      </c>
      <c r="D2150" s="676" t="s">
        <v>283</v>
      </c>
      <c r="E2150" s="677">
        <f>760.5-E2151</f>
        <v>653.62</v>
      </c>
      <c r="F2150" s="678"/>
      <c r="G2150" s="258" t="s">
        <v>190</v>
      </c>
      <c r="H2150" s="259"/>
      <c r="I2150" s="541">
        <f t="shared" si="38"/>
        <v>136286.60142857122</v>
      </c>
      <c r="K2150" s="243"/>
    </row>
    <row r="2151" spans="2:11" ht="17" customHeight="1">
      <c r="B2151" s="253">
        <v>45945</v>
      </c>
      <c r="C2151" s="675" t="s">
        <v>283</v>
      </c>
      <c r="D2151" s="676" t="s">
        <v>508</v>
      </c>
      <c r="E2151" s="677">
        <v>106.88</v>
      </c>
      <c r="F2151" s="678"/>
      <c r="G2151" s="258" t="s">
        <v>276</v>
      </c>
      <c r="H2151" s="259"/>
      <c r="I2151" s="541">
        <f t="shared" si="38"/>
        <v>136486.60142857122</v>
      </c>
      <c r="K2151" s="243"/>
    </row>
    <row r="2152" spans="2:11" ht="17" customHeight="1">
      <c r="B2152" s="253">
        <v>45945</v>
      </c>
      <c r="C2152" s="675" t="s">
        <v>283</v>
      </c>
      <c r="D2152" s="676" t="s">
        <v>283</v>
      </c>
      <c r="E2152" s="677">
        <v>200</v>
      </c>
      <c r="F2152" s="678"/>
      <c r="G2152" s="258" t="s">
        <v>190</v>
      </c>
      <c r="H2152" s="259" t="s">
        <v>2166</v>
      </c>
      <c r="I2152" s="541">
        <f t="shared" si="38"/>
        <v>136429.28142857121</v>
      </c>
      <c r="K2152" s="243"/>
    </row>
    <row r="2153" spans="2:11" ht="17" customHeight="1">
      <c r="B2153" s="253">
        <v>45946</v>
      </c>
      <c r="C2153" s="263" t="s">
        <v>2174</v>
      </c>
      <c r="D2153" s="255" t="s">
        <v>577</v>
      </c>
      <c r="E2153" s="256"/>
      <c r="F2153" s="257">
        <v>57.32</v>
      </c>
      <c r="G2153" s="258" t="s">
        <v>205</v>
      </c>
      <c r="H2153" s="259"/>
      <c r="I2153" s="541">
        <f t="shared" si="38"/>
        <v>136418.94142857121</v>
      </c>
      <c r="K2153" s="243"/>
    </row>
    <row r="2154" spans="2:11" ht="17" customHeight="1">
      <c r="B2154" s="253">
        <v>45946</v>
      </c>
      <c r="C2154" s="263" t="s">
        <v>2174</v>
      </c>
      <c r="D2154" s="255" t="s">
        <v>577</v>
      </c>
      <c r="E2154" s="256"/>
      <c r="F2154" s="257">
        <v>10.34</v>
      </c>
      <c r="G2154" s="258" t="s">
        <v>274</v>
      </c>
      <c r="H2154" s="259"/>
      <c r="I2154" s="541">
        <f t="shared" si="38"/>
        <v>136383.94142857121</v>
      </c>
      <c r="K2154" s="243"/>
    </row>
    <row r="2155" spans="2:11" ht="17" customHeight="1">
      <c r="B2155" s="253">
        <v>45946</v>
      </c>
      <c r="C2155" s="263" t="s">
        <v>117</v>
      </c>
      <c r="D2155" s="261" t="s">
        <v>505</v>
      </c>
      <c r="E2155" s="256"/>
      <c r="F2155" s="257">
        <v>35</v>
      </c>
      <c r="G2155" s="258" t="s">
        <v>139</v>
      </c>
      <c r="H2155" s="259"/>
      <c r="I2155" s="541">
        <f t="shared" si="38"/>
        <v>135953.94142857121</v>
      </c>
      <c r="K2155" s="243"/>
    </row>
    <row r="2156" spans="2:11" ht="17" customHeight="1">
      <c r="B2156" s="736">
        <v>45930</v>
      </c>
      <c r="C2156" s="263" t="s">
        <v>513</v>
      </c>
      <c r="D2156" s="255" t="s">
        <v>1830</v>
      </c>
      <c r="E2156" s="256"/>
      <c r="F2156" s="257">
        <v>430</v>
      </c>
      <c r="G2156" s="258" t="s">
        <v>245</v>
      </c>
      <c r="H2156" s="259"/>
      <c r="I2156" s="541">
        <f t="shared" si="38"/>
        <v>135453.94142857121</v>
      </c>
      <c r="K2156" s="243"/>
    </row>
    <row r="2157" spans="2:11" ht="17" customHeight="1">
      <c r="B2157" s="253">
        <v>45946</v>
      </c>
      <c r="C2157" s="263" t="s">
        <v>117</v>
      </c>
      <c r="D2157" s="255" t="s">
        <v>2175</v>
      </c>
      <c r="E2157" s="256"/>
      <c r="F2157" s="257">
        <v>500</v>
      </c>
      <c r="G2157" s="258" t="s">
        <v>216</v>
      </c>
      <c r="H2157" s="259"/>
      <c r="I2157" s="541">
        <f t="shared" si="38"/>
        <v>134096.89142857122</v>
      </c>
      <c r="K2157" s="243"/>
    </row>
    <row r="2158" spans="2:11" ht="17" customHeight="1">
      <c r="B2158" s="253">
        <v>45946</v>
      </c>
      <c r="C2158" s="263" t="s">
        <v>117</v>
      </c>
      <c r="D2158" s="255" t="s">
        <v>306</v>
      </c>
      <c r="E2158" s="256"/>
      <c r="F2158" s="257">
        <v>1357.05</v>
      </c>
      <c r="G2158" s="258" t="s">
        <v>194</v>
      </c>
      <c r="H2158" s="259"/>
      <c r="I2158" s="541">
        <f t="shared" si="38"/>
        <v>133914.94142857121</v>
      </c>
      <c r="K2158" s="243"/>
    </row>
    <row r="2159" spans="2:11" ht="17" customHeight="1">
      <c r="B2159" s="253">
        <v>45946</v>
      </c>
      <c r="C2159" s="263" t="s">
        <v>117</v>
      </c>
      <c r="D2159" s="255" t="s">
        <v>306</v>
      </c>
      <c r="E2159" s="256"/>
      <c r="F2159" s="257">
        <v>181.95</v>
      </c>
      <c r="G2159" s="258" t="s">
        <v>194</v>
      </c>
      <c r="H2159" s="259"/>
      <c r="I2159" s="541">
        <f t="shared" si="38"/>
        <v>133783.14142857122</v>
      </c>
      <c r="K2159" s="243"/>
    </row>
    <row r="2160" spans="2:11" ht="17" customHeight="1">
      <c r="B2160" s="253">
        <v>45946</v>
      </c>
      <c r="C2160" s="263" t="s">
        <v>117</v>
      </c>
      <c r="D2160" s="255" t="s">
        <v>306</v>
      </c>
      <c r="E2160" s="256"/>
      <c r="F2160" s="257">
        <v>131.80000000000001</v>
      </c>
      <c r="G2160" s="258" t="s">
        <v>194</v>
      </c>
      <c r="H2160" s="259"/>
      <c r="I2160" s="541">
        <f t="shared" si="38"/>
        <v>133647.94142857121</v>
      </c>
      <c r="K2160" s="243"/>
    </row>
    <row r="2161" spans="2:11" ht="17" customHeight="1">
      <c r="B2161" s="253">
        <v>45946</v>
      </c>
      <c r="C2161" s="263" t="s">
        <v>117</v>
      </c>
      <c r="D2161" s="255" t="s">
        <v>306</v>
      </c>
      <c r="E2161" s="256"/>
      <c r="F2161" s="257">
        <v>135.19999999999999</v>
      </c>
      <c r="G2161" s="258" t="s">
        <v>194</v>
      </c>
      <c r="H2161" s="259"/>
      <c r="I2161" s="541">
        <f t="shared" si="38"/>
        <v>134384.31142857121</v>
      </c>
      <c r="K2161" s="243"/>
    </row>
    <row r="2162" spans="2:11" ht="17" customHeight="1">
      <c r="B2162" s="253">
        <v>45946</v>
      </c>
      <c r="C2162" s="675" t="s">
        <v>283</v>
      </c>
      <c r="D2162" s="676" t="s">
        <v>283</v>
      </c>
      <c r="E2162" s="677">
        <f>872.82-E2163</f>
        <v>736.37000000000012</v>
      </c>
      <c r="F2162" s="678"/>
      <c r="G2162" s="258" t="s">
        <v>190</v>
      </c>
      <c r="H2162" s="259"/>
      <c r="I2162" s="541">
        <f t="shared" ref="I2162:I2228" si="39">I2161+E2163-F2163</f>
        <v>134520.76142857122</v>
      </c>
      <c r="K2162" s="243"/>
    </row>
    <row r="2163" spans="2:11" ht="17" customHeight="1">
      <c r="B2163" s="253">
        <v>45946</v>
      </c>
      <c r="C2163" s="675" t="s">
        <v>283</v>
      </c>
      <c r="D2163" s="676" t="s">
        <v>508</v>
      </c>
      <c r="E2163" s="677">
        <v>136.44999999999999</v>
      </c>
      <c r="F2163" s="678"/>
      <c r="G2163" s="258" t="s">
        <v>276</v>
      </c>
      <c r="H2163" s="259"/>
      <c r="I2163" s="541">
        <f t="shared" si="39"/>
        <v>134440.76142857122</v>
      </c>
      <c r="K2163" s="243"/>
    </row>
    <row r="2164" spans="2:11" ht="17" customHeight="1">
      <c r="B2164" s="253">
        <v>45947</v>
      </c>
      <c r="C2164" s="263" t="s">
        <v>117</v>
      </c>
      <c r="D2164" s="255" t="s">
        <v>517</v>
      </c>
      <c r="E2164" s="256"/>
      <c r="F2164" s="257">
        <v>80</v>
      </c>
      <c r="G2164" s="258" t="s">
        <v>234</v>
      </c>
      <c r="H2164" s="259"/>
      <c r="I2164" s="541">
        <f t="shared" si="39"/>
        <v>134395.96142857123</v>
      </c>
      <c r="K2164" s="243"/>
    </row>
    <row r="2165" spans="2:11" ht="17" customHeight="1">
      <c r="B2165" s="253">
        <v>45947</v>
      </c>
      <c r="C2165" s="263" t="s">
        <v>117</v>
      </c>
      <c r="D2165" s="255" t="s">
        <v>861</v>
      </c>
      <c r="E2165" s="256"/>
      <c r="F2165" s="257">
        <v>44.8</v>
      </c>
      <c r="G2165" s="258" t="s">
        <v>199</v>
      </c>
      <c r="H2165" s="259"/>
      <c r="I2165" s="541">
        <f t="shared" si="39"/>
        <v>134380.96142857123</v>
      </c>
      <c r="K2165" s="243"/>
    </row>
    <row r="2166" spans="2:11" ht="17" customHeight="1">
      <c r="B2166" s="253">
        <v>45947</v>
      </c>
      <c r="C2166" s="263" t="s">
        <v>117</v>
      </c>
      <c r="D2166" s="255" t="s">
        <v>808</v>
      </c>
      <c r="E2166" s="256"/>
      <c r="F2166" s="257">
        <v>15</v>
      </c>
      <c r="G2166" s="258" t="s">
        <v>201</v>
      </c>
      <c r="H2166" s="259"/>
      <c r="I2166" s="541">
        <f t="shared" si="39"/>
        <v>134344.11142857122</v>
      </c>
      <c r="K2166" s="243"/>
    </row>
    <row r="2167" spans="2:11" ht="17" customHeight="1">
      <c r="B2167" s="253">
        <v>45947</v>
      </c>
      <c r="C2167" s="263" t="s">
        <v>2249</v>
      </c>
      <c r="D2167" s="845" t="s">
        <v>512</v>
      </c>
      <c r="E2167" s="256"/>
      <c r="F2167" s="257">
        <v>36.85</v>
      </c>
      <c r="G2167" s="258" t="s">
        <v>199</v>
      </c>
      <c r="H2167" s="259"/>
      <c r="I2167" s="541">
        <f t="shared" si="39"/>
        <v>134342.69142857121</v>
      </c>
      <c r="K2167" s="243"/>
    </row>
    <row r="2168" spans="2:11" ht="17" customHeight="1">
      <c r="B2168" s="253">
        <v>45947</v>
      </c>
      <c r="C2168" s="263" t="s">
        <v>2249</v>
      </c>
      <c r="D2168" s="846" t="s">
        <v>512</v>
      </c>
      <c r="E2168" s="256"/>
      <c r="F2168" s="257">
        <v>1.42</v>
      </c>
      <c r="G2168" s="258" t="s">
        <v>274</v>
      </c>
      <c r="H2168" s="259"/>
      <c r="I2168" s="541">
        <f t="shared" si="39"/>
        <v>135466.0514285712</v>
      </c>
      <c r="K2168" s="243"/>
    </row>
    <row r="2169" spans="2:11" ht="17" customHeight="1">
      <c r="B2169" s="253">
        <v>45947</v>
      </c>
      <c r="C2169" s="675" t="s">
        <v>283</v>
      </c>
      <c r="D2169" s="676" t="s">
        <v>283</v>
      </c>
      <c r="E2169" s="677">
        <f>1299.65-E2170</f>
        <v>1123.3600000000001</v>
      </c>
      <c r="F2169" s="678"/>
      <c r="G2169" s="258" t="s">
        <v>190</v>
      </c>
      <c r="H2169" s="259"/>
      <c r="I2169" s="541">
        <f t="shared" si="39"/>
        <v>135642.34142857121</v>
      </c>
      <c r="K2169" s="243"/>
    </row>
    <row r="2170" spans="2:11" ht="17" customHeight="1">
      <c r="B2170" s="253">
        <v>45947</v>
      </c>
      <c r="C2170" s="675" t="s">
        <v>283</v>
      </c>
      <c r="D2170" s="676" t="s">
        <v>508</v>
      </c>
      <c r="E2170" s="677">
        <v>176.29</v>
      </c>
      <c r="F2170" s="678"/>
      <c r="G2170" s="258" t="s">
        <v>276</v>
      </c>
      <c r="H2170" s="259"/>
      <c r="I2170" s="541">
        <f t="shared" si="39"/>
        <v>135649.70142857119</v>
      </c>
      <c r="K2170" s="243"/>
    </row>
    <row r="2171" spans="2:11" ht="17" customHeight="1">
      <c r="B2171" s="253">
        <v>45947</v>
      </c>
      <c r="C2171" s="675" t="s">
        <v>283</v>
      </c>
      <c r="D2171" s="676" t="s">
        <v>283</v>
      </c>
      <c r="E2171" s="677">
        <f>62-E2172</f>
        <v>7.3599999999999994</v>
      </c>
      <c r="F2171" s="678"/>
      <c r="G2171" s="258" t="s">
        <v>190</v>
      </c>
      <c r="H2171" s="681" t="s">
        <v>2177</v>
      </c>
      <c r="I2171" s="541">
        <f t="shared" si="39"/>
        <v>135704.34142857121</v>
      </c>
      <c r="K2171" s="243"/>
    </row>
    <row r="2172" spans="2:11" ht="17" customHeight="1">
      <c r="B2172" s="253">
        <v>45947</v>
      </c>
      <c r="C2172" s="675" t="s">
        <v>283</v>
      </c>
      <c r="D2172" s="676" t="s">
        <v>508</v>
      </c>
      <c r="E2172" s="677">
        <v>54.64</v>
      </c>
      <c r="F2172" s="678"/>
      <c r="G2172" s="258" t="s">
        <v>276</v>
      </c>
      <c r="H2172" s="681" t="s">
        <v>2177</v>
      </c>
      <c r="I2172" s="541">
        <f t="shared" si="39"/>
        <v>135904.34142857121</v>
      </c>
      <c r="K2172" s="243"/>
    </row>
    <row r="2173" spans="2:11" ht="17" customHeight="1">
      <c r="B2173" s="253">
        <v>45947</v>
      </c>
      <c r="C2173" s="675" t="s">
        <v>283</v>
      </c>
      <c r="D2173" s="676" t="s">
        <v>283</v>
      </c>
      <c r="E2173" s="256">
        <v>200</v>
      </c>
      <c r="F2173" s="257"/>
      <c r="G2173" s="258" t="s">
        <v>190</v>
      </c>
      <c r="H2173" s="259" t="s">
        <v>2176</v>
      </c>
      <c r="I2173" s="541">
        <f t="shared" si="39"/>
        <v>135844.34142857121</v>
      </c>
      <c r="K2173" s="243"/>
    </row>
    <row r="2174" spans="2:11" ht="17" customHeight="1">
      <c r="B2174" s="253">
        <v>45948</v>
      </c>
      <c r="C2174" s="263" t="s">
        <v>513</v>
      </c>
      <c r="D2174" s="255" t="s">
        <v>2070</v>
      </c>
      <c r="E2174" s="256"/>
      <c r="F2174" s="257">
        <v>60</v>
      </c>
      <c r="G2174" s="258" t="s">
        <v>245</v>
      </c>
      <c r="H2174" s="259"/>
      <c r="I2174" s="541">
        <f t="shared" si="39"/>
        <v>135764.34142857121</v>
      </c>
      <c r="K2174" s="243"/>
    </row>
    <row r="2175" spans="2:11" ht="17" customHeight="1">
      <c r="B2175" s="253">
        <v>45948</v>
      </c>
      <c r="C2175" s="263" t="s">
        <v>117</v>
      </c>
      <c r="D2175" s="255" t="s">
        <v>543</v>
      </c>
      <c r="E2175" s="256"/>
      <c r="F2175" s="257">
        <v>80</v>
      </c>
      <c r="G2175" s="258" t="s">
        <v>234</v>
      </c>
      <c r="H2175" s="259"/>
      <c r="I2175" s="541">
        <f t="shared" si="39"/>
        <v>135722.34142857121</v>
      </c>
      <c r="K2175" s="243"/>
    </row>
    <row r="2176" spans="2:11" ht="17" customHeight="1">
      <c r="B2176" s="253">
        <v>45948</v>
      </c>
      <c r="C2176" s="263" t="s">
        <v>513</v>
      </c>
      <c r="D2176" s="255" t="s">
        <v>873</v>
      </c>
      <c r="E2176" s="256"/>
      <c r="F2176" s="257">
        <v>42</v>
      </c>
      <c r="G2176" s="258" t="s">
        <v>248</v>
      </c>
      <c r="H2176" s="259"/>
      <c r="I2176" s="541">
        <f t="shared" si="39"/>
        <v>136615.9614285712</v>
      </c>
      <c r="K2176" s="243"/>
    </row>
    <row r="2177" spans="2:11" ht="17" customHeight="1">
      <c r="B2177" s="253">
        <v>45948</v>
      </c>
      <c r="C2177" s="675" t="s">
        <v>283</v>
      </c>
      <c r="D2177" s="676" t="s">
        <v>283</v>
      </c>
      <c r="E2177" s="677">
        <f>1249.9-E2178</f>
        <v>893.62000000000012</v>
      </c>
      <c r="F2177" s="678"/>
      <c r="G2177" s="258" t="s">
        <v>190</v>
      </c>
      <c r="H2177" s="259"/>
      <c r="I2177" s="541">
        <f t="shared" si="39"/>
        <v>136972.2414285712</v>
      </c>
      <c r="K2177" s="243"/>
    </row>
    <row r="2178" spans="2:11" ht="17" customHeight="1">
      <c r="B2178" s="253">
        <v>45948</v>
      </c>
      <c r="C2178" s="675" t="s">
        <v>283</v>
      </c>
      <c r="D2178" s="676" t="s">
        <v>508</v>
      </c>
      <c r="E2178" s="677">
        <v>356.28</v>
      </c>
      <c r="F2178" s="678"/>
      <c r="G2178" s="258" t="s">
        <v>276</v>
      </c>
      <c r="H2178" s="259"/>
      <c r="I2178" s="541">
        <f t="shared" si="39"/>
        <v>137472.2414285712</v>
      </c>
      <c r="K2178" s="243"/>
    </row>
    <row r="2179" spans="2:11" ht="17" customHeight="1">
      <c r="B2179" s="253">
        <v>45948</v>
      </c>
      <c r="C2179" s="675" t="s">
        <v>283</v>
      </c>
      <c r="D2179" s="676" t="s">
        <v>283</v>
      </c>
      <c r="E2179" s="677">
        <v>500</v>
      </c>
      <c r="F2179" s="678"/>
      <c r="G2179" s="258" t="s">
        <v>190</v>
      </c>
      <c r="H2179" s="681" t="s">
        <v>2177</v>
      </c>
      <c r="I2179" s="541">
        <f t="shared" si="39"/>
        <v>137160.2414285712</v>
      </c>
      <c r="K2179" s="243"/>
    </row>
    <row r="2180" spans="2:11" ht="17" customHeight="1">
      <c r="B2180" s="253">
        <v>45949</v>
      </c>
      <c r="C2180" s="263" t="s">
        <v>513</v>
      </c>
      <c r="D2180" s="255" t="s">
        <v>2116</v>
      </c>
      <c r="E2180" s="256"/>
      <c r="F2180" s="257">
        <v>312</v>
      </c>
      <c r="G2180" s="258" t="s">
        <v>245</v>
      </c>
      <c r="H2180" s="259"/>
      <c r="I2180" s="541">
        <f t="shared" si="39"/>
        <v>137070.2414285712</v>
      </c>
      <c r="K2180" s="243"/>
    </row>
    <row r="2181" spans="2:11" ht="17" customHeight="1">
      <c r="B2181" s="253">
        <v>45949</v>
      </c>
      <c r="C2181" s="263" t="s">
        <v>513</v>
      </c>
      <c r="D2181" s="255" t="s">
        <v>576</v>
      </c>
      <c r="E2181" s="256"/>
      <c r="F2181" s="257">
        <v>90</v>
      </c>
      <c r="G2181" s="258" t="s">
        <v>248</v>
      </c>
      <c r="H2181" s="259"/>
      <c r="I2181" s="541">
        <f t="shared" si="39"/>
        <v>137015.2414285712</v>
      </c>
      <c r="K2181" s="243"/>
    </row>
    <row r="2182" spans="2:11" ht="17" customHeight="1">
      <c r="B2182" s="253">
        <v>45949</v>
      </c>
      <c r="C2182" s="263" t="s">
        <v>513</v>
      </c>
      <c r="D2182" s="255" t="s">
        <v>688</v>
      </c>
      <c r="E2182" s="256"/>
      <c r="F2182" s="257">
        <v>55</v>
      </c>
      <c r="G2182" s="258" t="s">
        <v>248</v>
      </c>
      <c r="H2182" s="259"/>
      <c r="I2182" s="541">
        <f t="shared" si="39"/>
        <v>136667.9914285712</v>
      </c>
      <c r="K2182" s="243"/>
    </row>
    <row r="2183" spans="2:11" ht="17" customHeight="1">
      <c r="B2183" s="253">
        <v>45949</v>
      </c>
      <c r="C2183" s="263" t="s">
        <v>117</v>
      </c>
      <c r="D2183" s="255" t="s">
        <v>383</v>
      </c>
      <c r="E2183" s="256"/>
      <c r="F2183" s="257">
        <v>347.25</v>
      </c>
      <c r="G2183" s="258" t="s">
        <v>199</v>
      </c>
      <c r="H2183" s="259"/>
      <c r="I2183" s="541">
        <f t="shared" si="39"/>
        <v>137507.5814285712</v>
      </c>
      <c r="K2183" s="243"/>
    </row>
    <row r="2184" spans="2:11" ht="17" customHeight="1">
      <c r="B2184" s="253">
        <v>45949</v>
      </c>
      <c r="C2184" s="675" t="s">
        <v>283</v>
      </c>
      <c r="D2184" s="676" t="s">
        <v>283</v>
      </c>
      <c r="E2184" s="677">
        <f>981.2-E2185</f>
        <v>839.59</v>
      </c>
      <c r="F2184" s="678"/>
      <c r="G2184" s="258" t="s">
        <v>190</v>
      </c>
      <c r="H2184" s="259"/>
      <c r="I2184" s="541">
        <f t="shared" si="39"/>
        <v>137649.19142857118</v>
      </c>
      <c r="K2184" s="243"/>
    </row>
    <row r="2185" spans="2:11" ht="17" customHeight="1">
      <c r="B2185" s="253">
        <v>45949</v>
      </c>
      <c r="C2185" s="675" t="s">
        <v>283</v>
      </c>
      <c r="D2185" s="676" t="s">
        <v>508</v>
      </c>
      <c r="E2185" s="677">
        <v>141.61000000000001</v>
      </c>
      <c r="F2185" s="678"/>
      <c r="G2185" s="258" t="s">
        <v>276</v>
      </c>
      <c r="H2185" s="259"/>
      <c r="I2185" s="541">
        <f t="shared" si="39"/>
        <v>138074.19142857118</v>
      </c>
      <c r="K2185" s="243"/>
    </row>
    <row r="2186" spans="2:11" ht="17" customHeight="1">
      <c r="B2186" s="253">
        <v>45951</v>
      </c>
      <c r="C2186" s="263" t="s">
        <v>117</v>
      </c>
      <c r="D2186" s="255" t="s">
        <v>1917</v>
      </c>
      <c r="E2186" s="256">
        <v>425</v>
      </c>
      <c r="F2186" s="257"/>
      <c r="G2186" s="258" t="s">
        <v>194</v>
      </c>
      <c r="H2186" s="259"/>
      <c r="I2186" s="541">
        <f t="shared" si="39"/>
        <v>137964.19142857118</v>
      </c>
      <c r="K2186" s="243"/>
    </row>
    <row r="2187" spans="2:11" ht="17" customHeight="1">
      <c r="B2187" s="253">
        <v>45951</v>
      </c>
      <c r="C2187" s="263" t="s">
        <v>117</v>
      </c>
      <c r="D2187" s="255" t="s">
        <v>361</v>
      </c>
      <c r="E2187" s="256"/>
      <c r="F2187" s="257">
        <v>110</v>
      </c>
      <c r="G2187" s="258" t="s">
        <v>199</v>
      </c>
      <c r="H2187" s="259"/>
      <c r="I2187" s="541">
        <f t="shared" si="39"/>
        <v>138333.37142857118</v>
      </c>
      <c r="K2187" s="243"/>
    </row>
    <row r="2188" spans="2:11" ht="17" customHeight="1">
      <c r="B2188" s="253">
        <v>45951</v>
      </c>
      <c r="C2188" s="675" t="s">
        <v>283</v>
      </c>
      <c r="D2188" s="676" t="s">
        <v>283</v>
      </c>
      <c r="E2188" s="677">
        <f>416.5-E2189</f>
        <v>369.18</v>
      </c>
      <c r="F2188" s="678"/>
      <c r="G2188" s="258" t="s">
        <v>190</v>
      </c>
      <c r="H2188" s="259"/>
      <c r="I2188" s="541">
        <f t="shared" si="39"/>
        <v>138380.69142857118</v>
      </c>
      <c r="K2188" s="243"/>
    </row>
    <row r="2189" spans="2:11" ht="17" customHeight="1">
      <c r="B2189" s="253">
        <v>45951</v>
      </c>
      <c r="C2189" s="675" t="s">
        <v>283</v>
      </c>
      <c r="D2189" s="676" t="s">
        <v>508</v>
      </c>
      <c r="E2189" s="677">
        <v>47.32</v>
      </c>
      <c r="F2189" s="678"/>
      <c r="G2189" s="258" t="s">
        <v>276</v>
      </c>
      <c r="H2189" s="259"/>
      <c r="I2189" s="541">
        <f t="shared" si="39"/>
        <v>137700.69142857118</v>
      </c>
      <c r="K2189" s="243"/>
    </row>
    <row r="2190" spans="2:11" ht="17" customHeight="1">
      <c r="B2190" s="253">
        <v>45952</v>
      </c>
      <c r="C2190" s="263" t="s">
        <v>117</v>
      </c>
      <c r="D2190" s="240" t="s">
        <v>97</v>
      </c>
      <c r="E2190" s="256"/>
      <c r="F2190" s="257">
        <v>680</v>
      </c>
      <c r="G2190" s="258" t="s">
        <v>194</v>
      </c>
      <c r="H2190" s="259"/>
      <c r="I2190" s="541">
        <f t="shared" si="39"/>
        <v>137108.69142857118</v>
      </c>
      <c r="K2190" s="243"/>
    </row>
    <row r="2191" spans="2:11" ht="17" customHeight="1">
      <c r="B2191" s="253">
        <v>45952</v>
      </c>
      <c r="C2191" s="263" t="s">
        <v>117</v>
      </c>
      <c r="D2191" s="255" t="s">
        <v>2192</v>
      </c>
      <c r="E2191" s="256"/>
      <c r="F2191" s="257">
        <v>592</v>
      </c>
      <c r="G2191" s="258" t="s">
        <v>199</v>
      </c>
      <c r="H2191" s="259"/>
      <c r="I2191" s="541">
        <f t="shared" si="39"/>
        <v>136109.19142857118</v>
      </c>
      <c r="K2191" s="243"/>
    </row>
    <row r="2192" spans="2:11" ht="17" customHeight="1">
      <c r="B2192" s="253">
        <v>45952</v>
      </c>
      <c r="C2192" s="263" t="s">
        <v>117</v>
      </c>
      <c r="D2192" s="255" t="s">
        <v>650</v>
      </c>
      <c r="E2192" s="256"/>
      <c r="F2192" s="257">
        <v>999.5</v>
      </c>
      <c r="G2192" s="258" t="s">
        <v>194</v>
      </c>
      <c r="H2192" s="259"/>
      <c r="I2192" s="541">
        <f t="shared" si="39"/>
        <v>136028.10142857119</v>
      </c>
      <c r="K2192" s="243"/>
    </row>
    <row r="2193" spans="2:11" ht="17" customHeight="1">
      <c r="B2193" s="253">
        <v>45952</v>
      </c>
      <c r="C2193" s="263" t="s">
        <v>2194</v>
      </c>
      <c r="D2193" s="255" t="s">
        <v>872</v>
      </c>
      <c r="E2193" s="256"/>
      <c r="F2193" s="257">
        <v>81.09</v>
      </c>
      <c r="G2193" s="258" t="s">
        <v>216</v>
      </c>
      <c r="H2193" s="259"/>
      <c r="I2193" s="541">
        <f t="shared" si="39"/>
        <v>136019.9914285712</v>
      </c>
      <c r="K2193" s="243"/>
    </row>
    <row r="2194" spans="2:11" ht="17" customHeight="1">
      <c r="B2194" s="253">
        <v>45952</v>
      </c>
      <c r="C2194" s="263" t="s">
        <v>2194</v>
      </c>
      <c r="D2194" s="255" t="s">
        <v>872</v>
      </c>
      <c r="E2194" s="256"/>
      <c r="F2194" s="257">
        <v>8.11</v>
      </c>
      <c r="G2194" s="258" t="s">
        <v>274</v>
      </c>
      <c r="H2194" s="259"/>
      <c r="I2194" s="541">
        <f t="shared" si="39"/>
        <v>135629.9914285712</v>
      </c>
      <c r="K2194" s="243"/>
    </row>
    <row r="2195" spans="2:11" ht="17" customHeight="1">
      <c r="B2195" s="253">
        <v>45952</v>
      </c>
      <c r="C2195" s="263" t="s">
        <v>117</v>
      </c>
      <c r="D2195" s="255" t="s">
        <v>2193</v>
      </c>
      <c r="E2195" s="256"/>
      <c r="F2195" s="257">
        <v>390</v>
      </c>
      <c r="G2195" s="258" t="s">
        <v>216</v>
      </c>
      <c r="H2195" s="259"/>
      <c r="I2195" s="541">
        <f t="shared" si="39"/>
        <v>136414.04142857119</v>
      </c>
      <c r="K2195" s="243"/>
    </row>
    <row r="2196" spans="2:11" ht="17" customHeight="1">
      <c r="B2196" s="253">
        <v>45952</v>
      </c>
      <c r="C2196" s="675" t="s">
        <v>283</v>
      </c>
      <c r="D2196" s="676" t="s">
        <v>283</v>
      </c>
      <c r="E2196" s="677">
        <f>857.4-E2197</f>
        <v>784.05</v>
      </c>
      <c r="F2196" s="678"/>
      <c r="G2196" s="258" t="s">
        <v>190</v>
      </c>
      <c r="H2196" s="259"/>
      <c r="I2196" s="541">
        <f t="shared" si="39"/>
        <v>136487.39142857119</v>
      </c>
      <c r="K2196" s="243"/>
    </row>
    <row r="2197" spans="2:11" ht="17" customHeight="1">
      <c r="B2197" s="253">
        <v>45952</v>
      </c>
      <c r="C2197" s="675" t="s">
        <v>283</v>
      </c>
      <c r="D2197" s="676" t="s">
        <v>508</v>
      </c>
      <c r="E2197" s="677">
        <v>73.349999999999994</v>
      </c>
      <c r="F2197" s="678"/>
      <c r="G2197" s="258" t="s">
        <v>276</v>
      </c>
      <c r="H2197" s="259"/>
      <c r="I2197" s="541">
        <f t="shared" si="39"/>
        <v>136452.39142857119</v>
      </c>
      <c r="K2197" s="243"/>
    </row>
    <row r="2198" spans="2:11" ht="17" customHeight="1">
      <c r="B2198" s="253">
        <v>45953</v>
      </c>
      <c r="C2198" s="263" t="s">
        <v>117</v>
      </c>
      <c r="D2198" s="255" t="s">
        <v>505</v>
      </c>
      <c r="E2198" s="256"/>
      <c r="F2198" s="257">
        <v>35</v>
      </c>
      <c r="G2198" s="258" t="s">
        <v>139</v>
      </c>
      <c r="H2198" s="259"/>
      <c r="I2198" s="541">
        <f t="shared" si="39"/>
        <v>136701.07142857119</v>
      </c>
      <c r="K2198" s="243"/>
    </row>
    <row r="2199" spans="2:11" ht="17" customHeight="1">
      <c r="B2199" s="253">
        <v>45953</v>
      </c>
      <c r="C2199" s="675" t="s">
        <v>283</v>
      </c>
      <c r="D2199" s="676" t="s">
        <v>283</v>
      </c>
      <c r="E2199" s="677">
        <f>281.5-E2200</f>
        <v>248.68</v>
      </c>
      <c r="F2199" s="678"/>
      <c r="G2199" s="258" t="s">
        <v>190</v>
      </c>
      <c r="H2199" s="259"/>
      <c r="I2199" s="541">
        <f t="shared" si="39"/>
        <v>136733.89142857119</v>
      </c>
      <c r="K2199" s="243"/>
    </row>
    <row r="2200" spans="2:11" ht="17" customHeight="1">
      <c r="B2200" s="253">
        <v>45953</v>
      </c>
      <c r="C2200" s="675" t="s">
        <v>283</v>
      </c>
      <c r="D2200" s="676" t="s">
        <v>508</v>
      </c>
      <c r="E2200" s="677">
        <v>32.82</v>
      </c>
      <c r="F2200" s="678"/>
      <c r="G2200" s="258" t="s">
        <v>276</v>
      </c>
      <c r="H2200" s="259"/>
      <c r="I2200" s="541">
        <f>I2199+E2202-F2202</f>
        <v>136653.89142857119</v>
      </c>
      <c r="K2200" s="243"/>
    </row>
    <row r="2201" spans="2:11" ht="17" customHeight="1">
      <c r="B2201" s="253">
        <v>45953</v>
      </c>
      <c r="C2201" s="675" t="s">
        <v>541</v>
      </c>
      <c r="D2201" s="676" t="s">
        <v>542</v>
      </c>
      <c r="E2201" s="677"/>
      <c r="F2201" s="678">
        <v>2000</v>
      </c>
      <c r="G2201" s="258" t="s">
        <v>277</v>
      </c>
      <c r="H2201" s="259"/>
      <c r="I2201" s="541">
        <f t="shared" ref="I2201:I2202" si="40">I2200+E2203-F2203</f>
        <v>136615.9914285712</v>
      </c>
      <c r="K2201" s="243"/>
    </row>
    <row r="2202" spans="2:11" ht="17" customHeight="1">
      <c r="B2202" s="253">
        <v>45954</v>
      </c>
      <c r="C2202" s="263" t="s">
        <v>117</v>
      </c>
      <c r="D2202" s="255" t="s">
        <v>517</v>
      </c>
      <c r="E2202" s="256"/>
      <c r="F2202" s="257">
        <v>80</v>
      </c>
      <c r="G2202" s="258" t="s">
        <v>234</v>
      </c>
      <c r="H2202" s="259"/>
      <c r="I2202" s="541">
        <f t="shared" si="40"/>
        <v>136614.53142857121</v>
      </c>
      <c r="K2202" s="243"/>
    </row>
    <row r="2203" spans="2:11" ht="17" customHeight="1">
      <c r="B2203" s="253">
        <v>45954</v>
      </c>
      <c r="C2203" s="263" t="s">
        <v>2252</v>
      </c>
      <c r="D2203" s="845" t="s">
        <v>512</v>
      </c>
      <c r="E2203" s="256"/>
      <c r="F2203" s="257">
        <v>37.9</v>
      </c>
      <c r="G2203" s="258" t="s">
        <v>199</v>
      </c>
      <c r="H2203" s="259"/>
      <c r="I2203" s="541">
        <f t="shared" si="39"/>
        <v>136613.07142857122</v>
      </c>
      <c r="K2203" s="243"/>
    </row>
    <row r="2204" spans="2:11" ht="17" customHeight="1">
      <c r="B2204" s="253">
        <v>45954</v>
      </c>
      <c r="C2204" s="263" t="s">
        <v>2252</v>
      </c>
      <c r="D2204" s="846" t="s">
        <v>512</v>
      </c>
      <c r="E2204" s="256"/>
      <c r="F2204" s="257">
        <v>1.46</v>
      </c>
      <c r="G2204" s="258" t="s">
        <v>274</v>
      </c>
      <c r="H2204" s="259"/>
      <c r="I2204" s="541">
        <f t="shared" si="39"/>
        <v>136518.82142857122</v>
      </c>
      <c r="K2204" s="243"/>
    </row>
    <row r="2205" spans="2:11" ht="17" customHeight="1">
      <c r="B2205" s="253">
        <v>45954</v>
      </c>
      <c r="C2205" s="263" t="s">
        <v>117</v>
      </c>
      <c r="D2205" s="255" t="s">
        <v>306</v>
      </c>
      <c r="E2205" s="256"/>
      <c r="F2205" s="257">
        <v>94.25</v>
      </c>
      <c r="G2205" s="258" t="s">
        <v>194</v>
      </c>
      <c r="H2205" s="259"/>
      <c r="I2205" s="541">
        <f t="shared" si="39"/>
        <v>136254.1214285712</v>
      </c>
      <c r="K2205" s="243"/>
    </row>
    <row r="2206" spans="2:11" ht="17" customHeight="1">
      <c r="B2206" s="253">
        <v>45954</v>
      </c>
      <c r="C2206" s="263" t="s">
        <v>117</v>
      </c>
      <c r="D2206" s="255" t="s">
        <v>306</v>
      </c>
      <c r="E2206" s="256"/>
      <c r="F2206" s="257">
        <v>264.7</v>
      </c>
      <c r="G2206" s="258" t="s">
        <v>194</v>
      </c>
      <c r="H2206" s="259"/>
      <c r="I2206" s="541">
        <f t="shared" si="39"/>
        <v>136105.57142857122</v>
      </c>
      <c r="K2206" s="243"/>
    </row>
    <row r="2207" spans="2:11" ht="17" customHeight="1">
      <c r="B2207" s="253">
        <v>45954</v>
      </c>
      <c r="C2207" s="263" t="s">
        <v>117</v>
      </c>
      <c r="D2207" s="255" t="s">
        <v>306</v>
      </c>
      <c r="E2207" s="256"/>
      <c r="F2207" s="257">
        <v>148.55000000000001</v>
      </c>
      <c r="G2207" s="258" t="s">
        <v>194</v>
      </c>
      <c r="H2207" s="259"/>
      <c r="I2207" s="541">
        <f t="shared" si="39"/>
        <v>136625.82142857122</v>
      </c>
      <c r="K2207" s="243"/>
    </row>
    <row r="2208" spans="2:11" ht="17" customHeight="1">
      <c r="B2208" s="253">
        <v>45954</v>
      </c>
      <c r="C2208" s="675" t="s">
        <v>283</v>
      </c>
      <c r="D2208" s="676" t="s">
        <v>283</v>
      </c>
      <c r="E2208" s="677">
        <f>928-E2209</f>
        <v>520.25</v>
      </c>
      <c r="F2208" s="678"/>
      <c r="G2208" s="258" t="s">
        <v>190</v>
      </c>
      <c r="H2208" s="259"/>
      <c r="I2208" s="541">
        <f t="shared" si="39"/>
        <v>137033.57142857122</v>
      </c>
      <c r="K2208" s="243"/>
    </row>
    <row r="2209" spans="2:11" ht="17" customHeight="1">
      <c r="B2209" s="253">
        <v>45954</v>
      </c>
      <c r="C2209" s="675" t="s">
        <v>283</v>
      </c>
      <c r="D2209" s="676" t="s">
        <v>508</v>
      </c>
      <c r="E2209" s="677">
        <v>407.75</v>
      </c>
      <c r="F2209" s="678"/>
      <c r="G2209" s="258" t="s">
        <v>276</v>
      </c>
      <c r="H2209" s="259"/>
      <c r="I2209" s="541">
        <f t="shared" si="39"/>
        <v>136993.57142857122</v>
      </c>
      <c r="K2209" s="243"/>
    </row>
    <row r="2210" spans="2:11" ht="17" customHeight="1">
      <c r="B2210" s="253">
        <v>45955</v>
      </c>
      <c r="C2210" s="263" t="s">
        <v>513</v>
      </c>
      <c r="D2210" s="255" t="s">
        <v>576</v>
      </c>
      <c r="E2210" s="256"/>
      <c r="F2210" s="257">
        <v>40</v>
      </c>
      <c r="G2210" s="258" t="s">
        <v>248</v>
      </c>
      <c r="H2210" s="259"/>
      <c r="I2210" s="541">
        <f t="shared" si="39"/>
        <v>136933.57142857122</v>
      </c>
      <c r="K2210" s="243"/>
    </row>
    <row r="2211" spans="2:11" ht="17" customHeight="1">
      <c r="B2211" s="253">
        <v>45955</v>
      </c>
      <c r="C2211" s="263" t="s">
        <v>513</v>
      </c>
      <c r="D2211" s="255" t="s">
        <v>2070</v>
      </c>
      <c r="E2211" s="256"/>
      <c r="F2211" s="257">
        <v>60</v>
      </c>
      <c r="G2211" s="258" t="s">
        <v>245</v>
      </c>
      <c r="H2211" s="259"/>
      <c r="I2211" s="541">
        <f t="shared" si="39"/>
        <v>136853.57142857122</v>
      </c>
      <c r="K2211" s="243"/>
    </row>
    <row r="2212" spans="2:11" ht="17" customHeight="1">
      <c r="B2212" s="253">
        <v>45955</v>
      </c>
      <c r="C2212" s="263" t="s">
        <v>117</v>
      </c>
      <c r="D2212" s="255" t="s">
        <v>543</v>
      </c>
      <c r="E2212" s="256"/>
      <c r="F2212" s="257">
        <v>80</v>
      </c>
      <c r="G2212" s="258" t="s">
        <v>234</v>
      </c>
      <c r="H2212" s="259"/>
      <c r="I2212" s="541">
        <f t="shared" si="39"/>
        <v>138964.04142857122</v>
      </c>
      <c r="K2212" s="243"/>
    </row>
    <row r="2213" spans="2:11" ht="17" customHeight="1">
      <c r="B2213" s="253">
        <v>45955</v>
      </c>
      <c r="C2213" s="675" t="s">
        <v>283</v>
      </c>
      <c r="D2213" s="676" t="s">
        <v>283</v>
      </c>
      <c r="E2213" s="677">
        <f>2442.6-E2214</f>
        <v>2110.4699999999998</v>
      </c>
      <c r="F2213" s="678"/>
      <c r="G2213" s="258" t="s">
        <v>190</v>
      </c>
      <c r="H2213" s="259"/>
      <c r="I2213" s="541">
        <f t="shared" si="39"/>
        <v>139296.17142857122</v>
      </c>
      <c r="K2213" s="243"/>
    </row>
    <row r="2214" spans="2:11" ht="17" customHeight="1">
      <c r="B2214" s="253">
        <v>45955</v>
      </c>
      <c r="C2214" s="675" t="s">
        <v>283</v>
      </c>
      <c r="D2214" s="676" t="s">
        <v>508</v>
      </c>
      <c r="E2214" s="677">
        <v>332.13</v>
      </c>
      <c r="F2214" s="678"/>
      <c r="G2214" s="258" t="s">
        <v>276</v>
      </c>
      <c r="H2214" s="259"/>
      <c r="I2214" s="541">
        <f t="shared" si="39"/>
        <v>139496.17142857122</v>
      </c>
      <c r="K2214" s="243"/>
    </row>
    <row r="2215" spans="2:11" ht="17" customHeight="1">
      <c r="B2215" s="253">
        <v>45955</v>
      </c>
      <c r="C2215" s="675" t="s">
        <v>283</v>
      </c>
      <c r="D2215" s="676" t="s">
        <v>283</v>
      </c>
      <c r="E2215" s="677">
        <v>200</v>
      </c>
      <c r="F2215" s="678"/>
      <c r="G2215" s="258" t="s">
        <v>190</v>
      </c>
      <c r="H2215" s="681" t="s">
        <v>2236</v>
      </c>
      <c r="I2215" s="541">
        <f t="shared" si="39"/>
        <v>139431.17142857122</v>
      </c>
      <c r="K2215" s="243"/>
    </row>
    <row r="2216" spans="2:11" ht="17" customHeight="1">
      <c r="B2216" s="253">
        <v>45956</v>
      </c>
      <c r="C2216" s="263" t="s">
        <v>513</v>
      </c>
      <c r="D2216" s="255" t="s">
        <v>688</v>
      </c>
      <c r="E2216" s="256"/>
      <c r="F2216" s="257">
        <v>65</v>
      </c>
      <c r="G2216" s="258" t="s">
        <v>248</v>
      </c>
      <c r="H2216" s="259"/>
      <c r="I2216" s="541">
        <f t="shared" si="39"/>
        <v>139391.17142857122</v>
      </c>
      <c r="K2216" s="243"/>
    </row>
    <row r="2217" spans="2:11" ht="17" customHeight="1">
      <c r="B2217" s="253">
        <v>45956</v>
      </c>
      <c r="C2217" s="263" t="s">
        <v>117</v>
      </c>
      <c r="D2217" s="255" t="s">
        <v>320</v>
      </c>
      <c r="E2217" s="256"/>
      <c r="F2217" s="257">
        <v>40</v>
      </c>
      <c r="G2217" s="841" t="s">
        <v>139</v>
      </c>
      <c r="H2217" s="259"/>
      <c r="I2217" s="541">
        <f t="shared" si="39"/>
        <v>139341.17142857122</v>
      </c>
      <c r="K2217" s="243"/>
    </row>
    <row r="2218" spans="2:11" ht="17" customHeight="1">
      <c r="B2218" s="253">
        <v>45956</v>
      </c>
      <c r="C2218" s="263" t="s">
        <v>117</v>
      </c>
      <c r="D2218" s="255" t="s">
        <v>2195</v>
      </c>
      <c r="E2218" s="256"/>
      <c r="F2218" s="257">
        <v>50</v>
      </c>
      <c r="G2218" s="258" t="s">
        <v>229</v>
      </c>
      <c r="H2218" s="259"/>
      <c r="I2218" s="541">
        <f t="shared" si="39"/>
        <v>139291.17142857122</v>
      </c>
      <c r="K2218" s="243"/>
    </row>
    <row r="2219" spans="2:11" ht="17" customHeight="1">
      <c r="B2219" s="253">
        <v>45956</v>
      </c>
      <c r="C2219" s="263" t="s">
        <v>117</v>
      </c>
      <c r="D2219" s="255" t="s">
        <v>2196</v>
      </c>
      <c r="E2219" s="256"/>
      <c r="F2219" s="257">
        <v>50</v>
      </c>
      <c r="G2219" s="258" t="s">
        <v>229</v>
      </c>
      <c r="H2219" s="259"/>
      <c r="I2219" s="541">
        <f t="shared" si="39"/>
        <v>139261.17142857122</v>
      </c>
      <c r="K2219" s="243"/>
    </row>
    <row r="2220" spans="2:11" ht="17" customHeight="1">
      <c r="B2220" s="253">
        <v>45956</v>
      </c>
      <c r="C2220" s="263" t="s">
        <v>117</v>
      </c>
      <c r="D2220" s="255" t="s">
        <v>2118</v>
      </c>
      <c r="E2220" s="256"/>
      <c r="F2220" s="257">
        <v>30</v>
      </c>
      <c r="G2220" s="258" t="s">
        <v>229</v>
      </c>
      <c r="H2220" s="259"/>
      <c r="I2220" s="541">
        <f t="shared" si="39"/>
        <v>139231.17142857122</v>
      </c>
      <c r="K2220" s="243"/>
    </row>
    <row r="2221" spans="2:11" ht="17" customHeight="1">
      <c r="B2221" s="253">
        <v>45956</v>
      </c>
      <c r="C2221" s="263" t="s">
        <v>117</v>
      </c>
      <c r="D2221" s="255" t="s">
        <v>2119</v>
      </c>
      <c r="E2221" s="256"/>
      <c r="F2221" s="257">
        <v>30</v>
      </c>
      <c r="G2221" s="258" t="s">
        <v>229</v>
      </c>
      <c r="H2221" s="259"/>
      <c r="I2221" s="541">
        <f t="shared" si="39"/>
        <v>139151.17142857122</v>
      </c>
      <c r="K2221" s="243"/>
    </row>
    <row r="2222" spans="2:11" ht="17" customHeight="1">
      <c r="B2222" s="253">
        <v>45956</v>
      </c>
      <c r="C2222" s="263" t="s">
        <v>117</v>
      </c>
      <c r="D2222" s="255" t="s">
        <v>724</v>
      </c>
      <c r="E2222" s="256"/>
      <c r="F2222" s="257">
        <v>80</v>
      </c>
      <c r="G2222" s="258" t="s">
        <v>233</v>
      </c>
      <c r="H2222" s="259"/>
      <c r="I2222" s="541">
        <f t="shared" si="39"/>
        <v>139001.17142857122</v>
      </c>
      <c r="K2222" s="243"/>
    </row>
    <row r="2223" spans="2:11" ht="17" customHeight="1">
      <c r="B2223" s="253">
        <v>45956</v>
      </c>
      <c r="C2223" s="263" t="s">
        <v>117</v>
      </c>
      <c r="D2223" s="255" t="s">
        <v>531</v>
      </c>
      <c r="E2223" s="256"/>
      <c r="F2223" s="257">
        <v>150</v>
      </c>
      <c r="G2223" s="258" t="s">
        <v>230</v>
      </c>
      <c r="H2223" s="259"/>
      <c r="I2223" s="541">
        <f t="shared" si="39"/>
        <v>138901.17142857122</v>
      </c>
      <c r="K2223" s="243"/>
    </row>
    <row r="2224" spans="2:11" ht="17" customHeight="1">
      <c r="B2224" s="253">
        <v>45956</v>
      </c>
      <c r="C2224" s="263" t="s">
        <v>117</v>
      </c>
      <c r="D2224" s="255" t="s">
        <v>2120</v>
      </c>
      <c r="E2224" s="256"/>
      <c r="F2224" s="257">
        <v>100</v>
      </c>
      <c r="G2224" s="258" t="s">
        <v>229</v>
      </c>
      <c r="H2224" s="259"/>
      <c r="I2224" s="541">
        <f t="shared" si="39"/>
        <v>138881.17142857122</v>
      </c>
      <c r="K2224" s="243"/>
    </row>
    <row r="2225" spans="2:11" ht="17" customHeight="1">
      <c r="B2225" s="253">
        <v>45956</v>
      </c>
      <c r="C2225" s="263" t="s">
        <v>117</v>
      </c>
      <c r="D2225" s="255" t="s">
        <v>817</v>
      </c>
      <c r="E2225" s="256"/>
      <c r="F2225" s="257">
        <v>20</v>
      </c>
      <c r="G2225" s="258" t="s">
        <v>238</v>
      </c>
      <c r="H2225" s="259"/>
      <c r="I2225" s="541">
        <f t="shared" si="39"/>
        <v>138531.17142857122</v>
      </c>
      <c r="K2225" s="243"/>
    </row>
    <row r="2226" spans="2:11" ht="17" customHeight="1">
      <c r="B2226" s="253">
        <v>45956</v>
      </c>
      <c r="C2226" s="263" t="s">
        <v>117</v>
      </c>
      <c r="D2226" s="255" t="s">
        <v>2197</v>
      </c>
      <c r="E2226" s="256"/>
      <c r="F2226" s="257">
        <v>350</v>
      </c>
      <c r="G2226" s="258" t="s">
        <v>230</v>
      </c>
      <c r="H2226" s="259"/>
      <c r="I2226" s="541">
        <f t="shared" si="39"/>
        <v>138031.17142857122</v>
      </c>
      <c r="K2226" s="243"/>
    </row>
    <row r="2227" spans="2:11" ht="17" customHeight="1">
      <c r="B2227" s="253">
        <v>45956</v>
      </c>
      <c r="C2227" s="263" t="s">
        <v>117</v>
      </c>
      <c r="D2227" s="255" t="s">
        <v>530</v>
      </c>
      <c r="E2227" s="256"/>
      <c r="F2227" s="257">
        <v>500</v>
      </c>
      <c r="G2227" s="258" t="s">
        <v>229</v>
      </c>
      <c r="H2227" s="259"/>
      <c r="I2227" s="541">
        <f t="shared" si="39"/>
        <v>138021.17142857122</v>
      </c>
      <c r="K2227" s="243"/>
    </row>
    <row r="2228" spans="2:11" ht="17" customHeight="1">
      <c r="B2228" s="253">
        <v>45956</v>
      </c>
      <c r="C2228" s="263" t="s">
        <v>117</v>
      </c>
      <c r="D2228" s="255" t="s">
        <v>2123</v>
      </c>
      <c r="E2228" s="256"/>
      <c r="F2228" s="257">
        <v>10</v>
      </c>
      <c r="G2228" s="258" t="s">
        <v>232</v>
      </c>
      <c r="H2228" s="259"/>
      <c r="I2228" s="541">
        <f t="shared" si="39"/>
        <v>141587.66142857121</v>
      </c>
      <c r="K2228" s="243"/>
    </row>
    <row r="2229" spans="2:11" ht="17" customHeight="1">
      <c r="B2229" s="253">
        <v>45956</v>
      </c>
      <c r="C2229" s="675" t="s">
        <v>283</v>
      </c>
      <c r="D2229" s="676" t="s">
        <v>283</v>
      </c>
      <c r="E2229" s="677">
        <f>3870.8-E2230</f>
        <v>3566.4900000000002</v>
      </c>
      <c r="F2229" s="678"/>
      <c r="G2229" s="258" t="s">
        <v>190</v>
      </c>
      <c r="H2229" s="259"/>
      <c r="I2229" s="541">
        <f t="shared" ref="I2229:I2291" si="41">I2228+E2230-F2230</f>
        <v>141891.97142857121</v>
      </c>
      <c r="K2229" s="243"/>
    </row>
    <row r="2230" spans="2:11" ht="17" customHeight="1">
      <c r="B2230" s="253">
        <v>45956</v>
      </c>
      <c r="C2230" s="675" t="s">
        <v>283</v>
      </c>
      <c r="D2230" s="676" t="s">
        <v>508</v>
      </c>
      <c r="E2230" s="677">
        <v>304.31</v>
      </c>
      <c r="F2230" s="678"/>
      <c r="G2230" s="258" t="s">
        <v>276</v>
      </c>
      <c r="H2230" s="259"/>
      <c r="I2230" s="541">
        <f t="shared" si="41"/>
        <v>132141.97142857121</v>
      </c>
      <c r="K2230" s="243"/>
    </row>
    <row r="2231" spans="2:11" ht="17" customHeight="1">
      <c r="B2231" s="253">
        <v>45957</v>
      </c>
      <c r="C2231" s="497" t="s">
        <v>541</v>
      </c>
      <c r="D2231" s="498" t="s">
        <v>542</v>
      </c>
      <c r="E2231" s="499"/>
      <c r="F2231" s="500">
        <v>9750</v>
      </c>
      <c r="G2231" s="501" t="s">
        <v>277</v>
      </c>
      <c r="H2231" s="259"/>
      <c r="I2231" s="541">
        <f t="shared" si="41"/>
        <v>132441.00142857121</v>
      </c>
      <c r="K2231" s="243"/>
    </row>
    <row r="2232" spans="2:11" ht="17" customHeight="1">
      <c r="B2232" s="253">
        <v>45957</v>
      </c>
      <c r="C2232" s="675" t="s">
        <v>283</v>
      </c>
      <c r="D2232" s="676" t="s">
        <v>283</v>
      </c>
      <c r="E2232" s="677">
        <f>325-E2233</f>
        <v>299.02999999999997</v>
      </c>
      <c r="F2232" s="678"/>
      <c r="G2232" s="258" t="s">
        <v>190</v>
      </c>
      <c r="H2232" s="259"/>
      <c r="I2232" s="541">
        <f t="shared" si="41"/>
        <v>132466.97142857121</v>
      </c>
      <c r="K2232" s="243"/>
    </row>
    <row r="2233" spans="2:11" ht="17" customHeight="1">
      <c r="B2233" s="253">
        <v>45957</v>
      </c>
      <c r="C2233" s="675" t="s">
        <v>283</v>
      </c>
      <c r="D2233" s="676" t="s">
        <v>508</v>
      </c>
      <c r="E2233" s="677">
        <v>25.97</v>
      </c>
      <c r="F2233" s="678"/>
      <c r="G2233" s="258" t="s">
        <v>276</v>
      </c>
      <c r="H2233" s="259"/>
      <c r="I2233" s="541">
        <f t="shared" si="41"/>
        <v>132431.97142857121</v>
      </c>
      <c r="K2233" s="243"/>
    </row>
    <row r="2234" spans="2:11" ht="17" customHeight="1">
      <c r="B2234" s="253">
        <v>45958</v>
      </c>
      <c r="C2234" s="263" t="s">
        <v>286</v>
      </c>
      <c r="D2234" s="255" t="s">
        <v>520</v>
      </c>
      <c r="E2234" s="256"/>
      <c r="F2234" s="257">
        <v>35</v>
      </c>
      <c r="G2234" s="258" t="s">
        <v>139</v>
      </c>
      <c r="H2234" s="259"/>
      <c r="I2234" s="541">
        <f t="shared" si="41"/>
        <v>132335.97142857121</v>
      </c>
      <c r="K2234" s="243"/>
    </row>
    <row r="2235" spans="2:11" ht="17" customHeight="1">
      <c r="B2235" s="253">
        <v>45958</v>
      </c>
      <c r="C2235" s="263" t="s">
        <v>117</v>
      </c>
      <c r="D2235" s="255" t="s">
        <v>846</v>
      </c>
      <c r="E2235" s="256"/>
      <c r="F2235" s="257">
        <v>96</v>
      </c>
      <c r="G2235" s="258" t="s">
        <v>201</v>
      </c>
      <c r="H2235" s="259"/>
      <c r="I2235" s="541">
        <f t="shared" si="41"/>
        <v>132135.97142857121</v>
      </c>
      <c r="K2235" s="243"/>
    </row>
    <row r="2236" spans="2:11" ht="17" customHeight="1">
      <c r="B2236" s="253">
        <v>45958</v>
      </c>
      <c r="C2236" s="263" t="s">
        <v>286</v>
      </c>
      <c r="D2236" s="255" t="s">
        <v>520</v>
      </c>
      <c r="E2236" s="256"/>
      <c r="F2236" s="257">
        <v>200</v>
      </c>
      <c r="G2236" s="258" t="s">
        <v>139</v>
      </c>
      <c r="H2236" s="259"/>
      <c r="I2236" s="541">
        <f t="shared" si="41"/>
        <v>132520.01142857122</v>
      </c>
      <c r="K2236" s="243"/>
    </row>
    <row r="2237" spans="2:11" ht="17" customHeight="1">
      <c r="B2237" s="253">
        <v>45958</v>
      </c>
      <c r="C2237" s="675" t="s">
        <v>283</v>
      </c>
      <c r="D2237" s="676" t="s">
        <v>283</v>
      </c>
      <c r="E2237" s="677">
        <f>435.3-E2238</f>
        <v>384.04</v>
      </c>
      <c r="F2237" s="678"/>
      <c r="G2237" s="258" t="s">
        <v>190</v>
      </c>
      <c r="H2237" s="259"/>
      <c r="I2237" s="541">
        <f t="shared" si="41"/>
        <v>132571.27142857123</v>
      </c>
      <c r="K2237" s="243"/>
    </row>
    <row r="2238" spans="2:11" ht="17" customHeight="1">
      <c r="B2238" s="253">
        <v>45958</v>
      </c>
      <c r="C2238" s="675" t="s">
        <v>283</v>
      </c>
      <c r="D2238" s="676" t="s">
        <v>508</v>
      </c>
      <c r="E2238" s="677">
        <v>51.26</v>
      </c>
      <c r="F2238" s="678"/>
      <c r="G2238" s="258" t="s">
        <v>276</v>
      </c>
      <c r="H2238" s="259"/>
      <c r="I2238" s="541">
        <f t="shared" si="41"/>
        <v>132515.27142857123</v>
      </c>
      <c r="K2238" s="243"/>
    </row>
    <row r="2239" spans="2:11" ht="17" customHeight="1">
      <c r="B2239" s="253">
        <v>45959</v>
      </c>
      <c r="C2239" s="263" t="s">
        <v>513</v>
      </c>
      <c r="D2239" s="255" t="s">
        <v>873</v>
      </c>
      <c r="E2239" s="256"/>
      <c r="F2239" s="257">
        <v>56</v>
      </c>
      <c r="G2239" s="258" t="s">
        <v>248</v>
      </c>
      <c r="H2239" s="259"/>
      <c r="I2239" s="541">
        <f t="shared" si="41"/>
        <v>132415.27142857123</v>
      </c>
      <c r="K2239" s="243"/>
    </row>
    <row r="2240" spans="2:11" ht="17" customHeight="1">
      <c r="B2240" s="253">
        <v>45959</v>
      </c>
      <c r="C2240" s="263" t="s">
        <v>286</v>
      </c>
      <c r="D2240" s="255" t="s">
        <v>520</v>
      </c>
      <c r="E2240" s="256"/>
      <c r="F2240" s="257">
        <v>100</v>
      </c>
      <c r="G2240" s="258" t="s">
        <v>139</v>
      </c>
      <c r="H2240" s="259"/>
      <c r="I2240" s="541">
        <f t="shared" si="41"/>
        <v>132854.90142857123</v>
      </c>
      <c r="K2240" s="243"/>
    </row>
    <row r="2241" spans="2:11" ht="17" customHeight="1">
      <c r="B2241" s="253">
        <v>45959</v>
      </c>
      <c r="C2241" s="675" t="s">
        <v>283</v>
      </c>
      <c r="D2241" s="676" t="s">
        <v>283</v>
      </c>
      <c r="E2241" s="677">
        <f>469.5-E2242</f>
        <v>439.63</v>
      </c>
      <c r="F2241" s="678"/>
      <c r="G2241" s="258" t="s">
        <v>190</v>
      </c>
      <c r="H2241" s="259"/>
      <c r="I2241" s="541">
        <f t="shared" si="41"/>
        <v>132884.77142857123</v>
      </c>
      <c r="K2241" s="243"/>
    </row>
    <row r="2242" spans="2:11" ht="17" customHeight="1">
      <c r="B2242" s="253">
        <v>45959</v>
      </c>
      <c r="C2242" s="675" t="s">
        <v>283</v>
      </c>
      <c r="D2242" s="676" t="s">
        <v>508</v>
      </c>
      <c r="E2242" s="677">
        <v>29.87</v>
      </c>
      <c r="F2242" s="678"/>
      <c r="G2242" s="258" t="s">
        <v>276</v>
      </c>
      <c r="H2242" s="259"/>
      <c r="I2242" s="541">
        <f t="shared" si="41"/>
        <v>133282.33142857123</v>
      </c>
      <c r="K2242" s="243"/>
    </row>
    <row r="2243" spans="2:11" ht="17" customHeight="1">
      <c r="B2243" s="253">
        <v>45960</v>
      </c>
      <c r="C2243" s="675" t="s">
        <v>283</v>
      </c>
      <c r="D2243" s="676" t="s">
        <v>283</v>
      </c>
      <c r="E2243" s="677">
        <f>449.3-E2244</f>
        <v>397.56</v>
      </c>
      <c r="F2243" s="678"/>
      <c r="G2243" s="258" t="s">
        <v>190</v>
      </c>
      <c r="H2243" s="259"/>
      <c r="I2243" s="541">
        <f t="shared" si="41"/>
        <v>133334.07142857122</v>
      </c>
      <c r="K2243" s="243"/>
    </row>
    <row r="2244" spans="2:11" ht="17" customHeight="1">
      <c r="B2244" s="253">
        <v>45960</v>
      </c>
      <c r="C2244" s="675" t="s">
        <v>283</v>
      </c>
      <c r="D2244" s="676" t="s">
        <v>508</v>
      </c>
      <c r="E2244" s="677">
        <v>51.74</v>
      </c>
      <c r="F2244" s="678"/>
      <c r="G2244" s="258" t="s">
        <v>276</v>
      </c>
      <c r="H2244" s="259"/>
      <c r="I2244" s="541">
        <f t="shared" si="41"/>
        <v>123334.07142857122</v>
      </c>
      <c r="K2244" s="243"/>
    </row>
    <row r="2245" spans="2:11" ht="17" customHeight="1">
      <c r="B2245" s="253">
        <v>45960</v>
      </c>
      <c r="C2245" s="497" t="s">
        <v>541</v>
      </c>
      <c r="D2245" s="498" t="s">
        <v>542</v>
      </c>
      <c r="E2245" s="499"/>
      <c r="F2245" s="500">
        <v>10000</v>
      </c>
      <c r="G2245" s="501" t="s">
        <v>277</v>
      </c>
      <c r="H2245" s="259"/>
      <c r="I2245" s="541">
        <f t="shared" si="41"/>
        <v>123254.07142857122</v>
      </c>
      <c r="K2245" s="243"/>
    </row>
    <row r="2246" spans="2:11" ht="17" customHeight="1">
      <c r="B2246" s="253">
        <v>45961</v>
      </c>
      <c r="C2246" s="263" t="s">
        <v>117</v>
      </c>
      <c r="D2246" s="255" t="s">
        <v>517</v>
      </c>
      <c r="E2246" s="256"/>
      <c r="F2246" s="257">
        <v>80</v>
      </c>
      <c r="G2246" s="258" t="s">
        <v>230</v>
      </c>
      <c r="H2246" s="259"/>
      <c r="I2246" s="541">
        <f t="shared" si="41"/>
        <v>123208.52142857121</v>
      </c>
      <c r="K2246" s="243"/>
    </row>
    <row r="2247" spans="2:11" ht="17" customHeight="1">
      <c r="B2247" s="253">
        <v>45961</v>
      </c>
      <c r="C2247" s="263" t="s">
        <v>2250</v>
      </c>
      <c r="D2247" s="845" t="s">
        <v>512</v>
      </c>
      <c r="E2247" s="256"/>
      <c r="F2247" s="257">
        <v>45.55</v>
      </c>
      <c r="G2247" s="258" t="s">
        <v>199</v>
      </c>
      <c r="H2247" s="259"/>
      <c r="I2247" s="541">
        <f t="shared" si="41"/>
        <v>123206.77142857121</v>
      </c>
      <c r="K2247" s="243"/>
    </row>
    <row r="2248" spans="2:11" ht="17" customHeight="1">
      <c r="B2248" s="253">
        <v>45961</v>
      </c>
      <c r="C2248" s="263" t="s">
        <v>2250</v>
      </c>
      <c r="D2248" s="846" t="s">
        <v>512</v>
      </c>
      <c r="E2248" s="256"/>
      <c r="F2248" s="257">
        <v>1.75</v>
      </c>
      <c r="G2248" s="258" t="s">
        <v>274</v>
      </c>
      <c r="H2248" s="259"/>
      <c r="I2248" s="541">
        <f t="shared" si="41"/>
        <v>123006.77142857121</v>
      </c>
      <c r="K2248" s="243"/>
    </row>
    <row r="2249" spans="2:11" ht="17" customHeight="1">
      <c r="B2249" s="253">
        <v>45961</v>
      </c>
      <c r="C2249" s="263" t="s">
        <v>286</v>
      </c>
      <c r="D2249" s="255" t="s">
        <v>520</v>
      </c>
      <c r="E2249" s="256"/>
      <c r="F2249" s="257">
        <v>200</v>
      </c>
      <c r="G2249" s="258" t="s">
        <v>139</v>
      </c>
      <c r="H2249" s="259"/>
      <c r="I2249" s="541">
        <f t="shared" si="41"/>
        <v>124476.04142857122</v>
      </c>
      <c r="K2249" s="243"/>
    </row>
    <row r="2250" spans="2:11" ht="17" customHeight="1">
      <c r="B2250" s="253">
        <v>45961</v>
      </c>
      <c r="C2250" s="675" t="s">
        <v>283</v>
      </c>
      <c r="D2250" s="676" t="s">
        <v>283</v>
      </c>
      <c r="E2250" s="677">
        <f>1623.95-E2251</f>
        <v>1469.27</v>
      </c>
      <c r="F2250" s="678"/>
      <c r="G2250" s="258" t="s">
        <v>190</v>
      </c>
      <c r="H2250" s="259"/>
      <c r="I2250" s="541">
        <f t="shared" si="41"/>
        <v>124630.72142857121</v>
      </c>
      <c r="K2250" s="243"/>
    </row>
    <row r="2251" spans="2:11" ht="17" customHeight="1">
      <c r="B2251" s="253">
        <v>45961</v>
      </c>
      <c r="C2251" s="675" t="s">
        <v>283</v>
      </c>
      <c r="D2251" s="676" t="s">
        <v>508</v>
      </c>
      <c r="E2251" s="677">
        <v>154.68</v>
      </c>
      <c r="F2251" s="678"/>
      <c r="G2251" s="258" t="s">
        <v>276</v>
      </c>
      <c r="H2251" s="259"/>
      <c r="I2251" s="541">
        <f t="shared" si="41"/>
        <v>124494.36142857121</v>
      </c>
      <c r="K2251" s="243"/>
    </row>
    <row r="2252" spans="2:11" ht="17" customHeight="1">
      <c r="B2252" s="253">
        <v>45961</v>
      </c>
      <c r="C2252" s="675" t="s">
        <v>283</v>
      </c>
      <c r="D2252" s="676" t="s">
        <v>283</v>
      </c>
      <c r="E2252" s="677">
        <f>85-E2253</f>
        <v>-136.36000000000001</v>
      </c>
      <c r="F2252" s="678"/>
      <c r="G2252" s="258" t="s">
        <v>190</v>
      </c>
      <c r="H2252" s="681" t="s">
        <v>2236</v>
      </c>
      <c r="I2252" s="541">
        <f t="shared" si="41"/>
        <v>124715.72142857121</v>
      </c>
      <c r="K2252" s="243"/>
    </row>
    <row r="2253" spans="2:11" ht="17" customHeight="1">
      <c r="B2253" s="253">
        <v>45961</v>
      </c>
      <c r="C2253" s="675" t="s">
        <v>283</v>
      </c>
      <c r="D2253" s="676" t="s">
        <v>508</v>
      </c>
      <c r="E2253" s="677">
        <v>221.36</v>
      </c>
      <c r="F2253" s="678"/>
      <c r="G2253" s="258" t="s">
        <v>276</v>
      </c>
      <c r="H2253" s="259"/>
      <c r="I2253" s="541">
        <f t="shared" si="41"/>
        <v>124615.72142857121</v>
      </c>
      <c r="K2253" s="243"/>
    </row>
    <row r="2254" spans="2:11" ht="17" customHeight="1">
      <c r="B2254" s="253">
        <v>45962</v>
      </c>
      <c r="C2254" s="263" t="s">
        <v>117</v>
      </c>
      <c r="D2254" s="255" t="s">
        <v>2231</v>
      </c>
      <c r="E2254" s="256"/>
      <c r="F2254" s="257">
        <v>100</v>
      </c>
      <c r="G2254" s="258" t="s">
        <v>223</v>
      </c>
      <c r="H2254" s="259"/>
      <c r="I2254" s="541">
        <f t="shared" si="41"/>
        <v>124600.72142857121</v>
      </c>
      <c r="K2254" s="243"/>
    </row>
    <row r="2255" spans="2:11" ht="17" customHeight="1">
      <c r="B2255" s="253">
        <v>45962</v>
      </c>
      <c r="C2255" s="263" t="s">
        <v>513</v>
      </c>
      <c r="D2255" s="255" t="s">
        <v>873</v>
      </c>
      <c r="E2255" s="256"/>
      <c r="F2255" s="257">
        <v>15</v>
      </c>
      <c r="G2255" s="258" t="s">
        <v>248</v>
      </c>
      <c r="H2255" s="259"/>
      <c r="I2255" s="541">
        <f t="shared" si="41"/>
        <v>124509.72142857121</v>
      </c>
      <c r="K2255" s="243"/>
    </row>
    <row r="2256" spans="2:11" ht="17" customHeight="1">
      <c r="B2256" s="253">
        <v>45962</v>
      </c>
      <c r="C2256" s="263" t="s">
        <v>117</v>
      </c>
      <c r="D2256" s="255" t="s">
        <v>869</v>
      </c>
      <c r="E2256" s="256"/>
      <c r="F2256" s="257">
        <v>91</v>
      </c>
      <c r="G2256" s="258" t="s">
        <v>194</v>
      </c>
      <c r="H2256" s="259"/>
      <c r="I2256" s="541">
        <f t="shared" si="41"/>
        <v>124355.82142857122</v>
      </c>
      <c r="K2256" s="243"/>
    </row>
    <row r="2257" spans="2:11" ht="17" customHeight="1">
      <c r="B2257" s="253">
        <v>45962</v>
      </c>
      <c r="C2257" s="263" t="s">
        <v>117</v>
      </c>
      <c r="D2257" s="255" t="s">
        <v>306</v>
      </c>
      <c r="E2257" s="256"/>
      <c r="F2257" s="257">
        <v>153.9</v>
      </c>
      <c r="G2257" s="258" t="s">
        <v>194</v>
      </c>
      <c r="H2257" s="259"/>
      <c r="I2257" s="541">
        <f t="shared" si="41"/>
        <v>123794.92142857122</v>
      </c>
      <c r="K2257" s="243"/>
    </row>
    <row r="2258" spans="2:11" ht="17" customHeight="1">
      <c r="B2258" s="253">
        <v>45962</v>
      </c>
      <c r="C2258" s="263" t="s">
        <v>117</v>
      </c>
      <c r="D2258" s="255" t="s">
        <v>306</v>
      </c>
      <c r="E2258" s="256"/>
      <c r="F2258" s="257">
        <v>560.9</v>
      </c>
      <c r="G2258" s="258" t="s">
        <v>194</v>
      </c>
      <c r="H2258" s="543"/>
      <c r="I2258" s="541">
        <f t="shared" si="41"/>
        <v>123678.02142857123</v>
      </c>
      <c r="K2258" s="243"/>
    </row>
    <row r="2259" spans="2:11" ht="17" customHeight="1">
      <c r="B2259" s="253">
        <v>45962</v>
      </c>
      <c r="C2259" s="263" t="s">
        <v>117</v>
      </c>
      <c r="D2259" s="255" t="s">
        <v>306</v>
      </c>
      <c r="E2259" s="256"/>
      <c r="F2259" s="257">
        <v>116.9</v>
      </c>
      <c r="G2259" s="258" t="s">
        <v>194</v>
      </c>
      <c r="H2259" s="259"/>
      <c r="I2259" s="541">
        <f t="shared" si="41"/>
        <v>123602.62142857123</v>
      </c>
      <c r="K2259" s="243"/>
    </row>
    <row r="2260" spans="2:11" ht="17" customHeight="1">
      <c r="B2260" s="253">
        <v>45962</v>
      </c>
      <c r="C2260" s="263" t="s">
        <v>117</v>
      </c>
      <c r="D2260" s="255" t="s">
        <v>306</v>
      </c>
      <c r="E2260" s="256"/>
      <c r="F2260" s="257">
        <v>75.400000000000006</v>
      </c>
      <c r="G2260" s="258" t="s">
        <v>194</v>
      </c>
      <c r="H2260" s="543"/>
      <c r="I2260" s="541">
        <f t="shared" si="41"/>
        <v>123282.62142857123</v>
      </c>
      <c r="K2260" s="243"/>
    </row>
    <row r="2261" spans="2:11" ht="17" customHeight="1">
      <c r="B2261" s="253">
        <v>45962</v>
      </c>
      <c r="C2261" s="263" t="s">
        <v>117</v>
      </c>
      <c r="D2261" s="255" t="s">
        <v>2232</v>
      </c>
      <c r="E2261" s="256"/>
      <c r="F2261" s="257">
        <v>320</v>
      </c>
      <c r="G2261" s="258" t="s">
        <v>233</v>
      </c>
      <c r="H2261" s="543"/>
      <c r="I2261" s="541">
        <f t="shared" si="41"/>
        <v>123222.62142857123</v>
      </c>
      <c r="K2261" s="243"/>
    </row>
    <row r="2262" spans="2:11" ht="17" customHeight="1">
      <c r="B2262" s="253">
        <v>45962</v>
      </c>
      <c r="C2262" s="263" t="s">
        <v>513</v>
      </c>
      <c r="D2262" s="255" t="s">
        <v>2070</v>
      </c>
      <c r="E2262" s="256"/>
      <c r="F2262" s="257">
        <v>60</v>
      </c>
      <c r="G2262" s="258" t="s">
        <v>227</v>
      </c>
      <c r="H2262" s="259"/>
      <c r="I2262" s="541">
        <f t="shared" si="41"/>
        <v>123142.62142857123</v>
      </c>
      <c r="K2262" s="243"/>
    </row>
    <row r="2263" spans="2:11" ht="17" customHeight="1">
      <c r="B2263" s="253">
        <v>45962</v>
      </c>
      <c r="C2263" s="263" t="s">
        <v>513</v>
      </c>
      <c r="D2263" s="255" t="s">
        <v>2233</v>
      </c>
      <c r="E2263" s="256"/>
      <c r="F2263" s="257">
        <v>80</v>
      </c>
      <c r="G2263" s="258" t="s">
        <v>245</v>
      </c>
      <c r="H2263" s="259"/>
      <c r="I2263" s="541">
        <f t="shared" si="41"/>
        <v>122812.62142857123</v>
      </c>
      <c r="K2263" s="243"/>
    </row>
    <row r="2264" spans="2:11" ht="17" customHeight="1">
      <c r="B2264" s="253">
        <v>45962</v>
      </c>
      <c r="C2264" s="263" t="s">
        <v>513</v>
      </c>
      <c r="D2264" s="255" t="s">
        <v>534</v>
      </c>
      <c r="E2264" s="256"/>
      <c r="F2264" s="257">
        <v>330</v>
      </c>
      <c r="G2264" s="258" t="s">
        <v>227</v>
      </c>
      <c r="H2264" s="259"/>
      <c r="I2264" s="541">
        <f t="shared" si="41"/>
        <v>122732.62142857123</v>
      </c>
      <c r="K2264" s="243"/>
    </row>
    <row r="2265" spans="2:11" ht="17" customHeight="1">
      <c r="B2265" s="253">
        <v>45962</v>
      </c>
      <c r="C2265" s="263" t="s">
        <v>117</v>
      </c>
      <c r="D2265" s="255" t="s">
        <v>2234</v>
      </c>
      <c r="E2265" s="256"/>
      <c r="F2265" s="257">
        <v>80</v>
      </c>
      <c r="G2265" s="258" t="s">
        <v>231</v>
      </c>
      <c r="H2265" s="259"/>
      <c r="I2265" s="541">
        <f t="shared" si="41"/>
        <v>122682.62142857123</v>
      </c>
      <c r="K2265" s="243"/>
    </row>
    <row r="2266" spans="2:11" ht="17" customHeight="1">
      <c r="B2266" s="253">
        <v>45962</v>
      </c>
      <c r="C2266" s="263" t="s">
        <v>117</v>
      </c>
      <c r="D2266" s="255" t="s">
        <v>2235</v>
      </c>
      <c r="E2266" s="256"/>
      <c r="F2266" s="257">
        <v>50</v>
      </c>
      <c r="G2266" s="258" t="s">
        <v>229</v>
      </c>
      <c r="H2266" s="259"/>
      <c r="I2266" s="541">
        <f t="shared" si="41"/>
        <v>122632.62142857123</v>
      </c>
      <c r="K2266" s="243"/>
    </row>
    <row r="2267" spans="2:11" ht="17" customHeight="1">
      <c r="B2267" s="253">
        <v>45962</v>
      </c>
      <c r="C2267" s="263" t="s">
        <v>117</v>
      </c>
      <c r="D2267" s="255" t="s">
        <v>2195</v>
      </c>
      <c r="E2267" s="256"/>
      <c r="F2267" s="257">
        <v>50</v>
      </c>
      <c r="G2267" s="258" t="s">
        <v>229</v>
      </c>
      <c r="H2267" s="259"/>
      <c r="I2267" s="541">
        <f t="shared" si="41"/>
        <v>122552.62142857123</v>
      </c>
      <c r="K2267" s="243"/>
    </row>
    <row r="2268" spans="2:11" ht="17" customHeight="1">
      <c r="B2268" s="253">
        <v>45962</v>
      </c>
      <c r="C2268" s="263" t="s">
        <v>117</v>
      </c>
      <c r="D2268" s="255" t="s">
        <v>566</v>
      </c>
      <c r="E2268" s="256"/>
      <c r="F2268" s="257">
        <v>80</v>
      </c>
      <c r="G2268" s="258" t="s">
        <v>229</v>
      </c>
      <c r="H2268" s="259"/>
      <c r="I2268" s="541">
        <f t="shared" si="41"/>
        <v>122402.62142857123</v>
      </c>
      <c r="K2268" s="243"/>
    </row>
    <row r="2269" spans="2:11" ht="17" customHeight="1">
      <c r="B2269" s="253">
        <v>45962</v>
      </c>
      <c r="C2269" s="263" t="s">
        <v>117</v>
      </c>
      <c r="D2269" s="255" t="s">
        <v>568</v>
      </c>
      <c r="E2269" s="256"/>
      <c r="F2269" s="257">
        <v>150</v>
      </c>
      <c r="G2269" s="258" t="s">
        <v>230</v>
      </c>
      <c r="H2269" s="259"/>
      <c r="I2269" s="541">
        <f t="shared" si="41"/>
        <v>122322.62142857123</v>
      </c>
      <c r="K2269" s="243"/>
    </row>
    <row r="2270" spans="2:11" ht="17" customHeight="1">
      <c r="B2270" s="253">
        <v>45962</v>
      </c>
      <c r="C2270" s="263" t="s">
        <v>117</v>
      </c>
      <c r="D2270" s="255" t="s">
        <v>2232</v>
      </c>
      <c r="E2270" s="256"/>
      <c r="F2270" s="257">
        <v>80</v>
      </c>
      <c r="G2270" s="258" t="s">
        <v>233</v>
      </c>
      <c r="H2270" s="259"/>
      <c r="I2270" s="541">
        <f t="shared" si="41"/>
        <v>122272.62142857123</v>
      </c>
      <c r="K2270" s="243"/>
    </row>
    <row r="2271" spans="2:11" ht="17" customHeight="1">
      <c r="B2271" s="253">
        <v>45962</v>
      </c>
      <c r="C2271" s="263" t="s">
        <v>117</v>
      </c>
      <c r="D2271" s="255" t="s">
        <v>531</v>
      </c>
      <c r="E2271" s="256"/>
      <c r="F2271" s="257">
        <v>50</v>
      </c>
      <c r="G2271" s="258" t="s">
        <v>229</v>
      </c>
      <c r="H2271" s="259"/>
      <c r="I2271" s="541">
        <f t="shared" si="41"/>
        <v>122172.62142857123</v>
      </c>
      <c r="K2271" s="243"/>
    </row>
    <row r="2272" spans="2:11" ht="17" customHeight="1">
      <c r="B2272" s="253">
        <v>45962</v>
      </c>
      <c r="C2272" s="263" t="s">
        <v>117</v>
      </c>
      <c r="D2272" s="255" t="s">
        <v>525</v>
      </c>
      <c r="E2272" s="256"/>
      <c r="F2272" s="257">
        <v>100</v>
      </c>
      <c r="G2272" s="258" t="s">
        <v>229</v>
      </c>
      <c r="H2272" s="259"/>
      <c r="I2272" s="541">
        <f t="shared" si="41"/>
        <v>122152.62142857123</v>
      </c>
      <c r="K2272" s="243"/>
    </row>
    <row r="2273" spans="2:11" ht="17" customHeight="1">
      <c r="B2273" s="253">
        <v>45962</v>
      </c>
      <c r="C2273" s="263" t="s">
        <v>117</v>
      </c>
      <c r="D2273" s="255" t="s">
        <v>817</v>
      </c>
      <c r="E2273" s="256"/>
      <c r="F2273" s="257">
        <v>20</v>
      </c>
      <c r="G2273" s="258" t="s">
        <v>238</v>
      </c>
      <c r="H2273" s="259"/>
      <c r="I2273" s="541">
        <f t="shared" si="41"/>
        <v>121852.62142857123</v>
      </c>
      <c r="K2273" s="243"/>
    </row>
    <row r="2274" spans="2:11" ht="17" customHeight="1">
      <c r="B2274" s="253">
        <v>45962</v>
      </c>
      <c r="C2274" s="263" t="s">
        <v>117</v>
      </c>
      <c r="D2274" s="255" t="s">
        <v>628</v>
      </c>
      <c r="E2274" s="256"/>
      <c r="F2274" s="257">
        <v>300</v>
      </c>
      <c r="G2274" s="258" t="s">
        <v>230</v>
      </c>
      <c r="H2274" s="259"/>
      <c r="I2274" s="541">
        <f t="shared" si="41"/>
        <v>121552.62142857123</v>
      </c>
      <c r="K2274" s="243"/>
    </row>
    <row r="2275" spans="2:11" ht="17" customHeight="1">
      <c r="B2275" s="253">
        <v>45962</v>
      </c>
      <c r="C2275" s="263" t="s">
        <v>117</v>
      </c>
      <c r="D2275" s="255" t="s">
        <v>530</v>
      </c>
      <c r="E2275" s="256"/>
      <c r="F2275" s="257">
        <v>300</v>
      </c>
      <c r="G2275" s="258" t="s">
        <v>229</v>
      </c>
      <c r="H2275" s="259"/>
      <c r="I2275" s="541">
        <f t="shared" si="41"/>
        <v>121542.62142857123</v>
      </c>
      <c r="K2275" s="243"/>
    </row>
    <row r="2276" spans="2:11" ht="17" customHeight="1">
      <c r="B2276" s="253">
        <v>45962</v>
      </c>
      <c r="C2276" s="263" t="s">
        <v>117</v>
      </c>
      <c r="D2276" s="255" t="s">
        <v>2123</v>
      </c>
      <c r="E2276" s="256"/>
      <c r="F2276" s="257">
        <v>10</v>
      </c>
      <c r="G2276" s="258" t="s">
        <v>232</v>
      </c>
      <c r="H2276" s="259"/>
      <c r="I2276" s="541">
        <f t="shared" ref="I2276:I2281" si="42">I2275+E2277-F2277</f>
        <v>126624.47142857124</v>
      </c>
      <c r="K2276" s="243"/>
    </row>
    <row r="2277" spans="2:11" ht="17" customHeight="1">
      <c r="B2277" s="253">
        <v>45962</v>
      </c>
      <c r="C2277" s="675" t="s">
        <v>283</v>
      </c>
      <c r="D2277" s="676" t="s">
        <v>283</v>
      </c>
      <c r="E2277" s="677">
        <f>5537.7-E2278</f>
        <v>5081.8499999999995</v>
      </c>
      <c r="F2277" s="678"/>
      <c r="G2277" s="258" t="s">
        <v>190</v>
      </c>
      <c r="H2277" s="259"/>
      <c r="I2277" s="541">
        <f t="shared" si="42"/>
        <v>127080.32142857125</v>
      </c>
      <c r="K2277" s="243"/>
    </row>
    <row r="2278" spans="2:11" ht="17" customHeight="1">
      <c r="B2278" s="253">
        <v>45962</v>
      </c>
      <c r="C2278" s="675" t="s">
        <v>283</v>
      </c>
      <c r="D2278" s="676" t="s">
        <v>508</v>
      </c>
      <c r="E2278" s="677">
        <v>455.85</v>
      </c>
      <c r="F2278" s="678"/>
      <c r="G2278" s="258" t="s">
        <v>276</v>
      </c>
      <c r="H2278" s="259"/>
      <c r="I2278" s="541">
        <f t="shared" si="42"/>
        <v>127040.32142857125</v>
      </c>
      <c r="K2278" s="243"/>
    </row>
    <row r="2279" spans="2:11" ht="17" customHeight="1">
      <c r="B2279" s="253">
        <v>45963</v>
      </c>
      <c r="C2279" s="263" t="s">
        <v>513</v>
      </c>
      <c r="D2279" s="255" t="s">
        <v>688</v>
      </c>
      <c r="E2279" s="256"/>
      <c r="F2279" s="257">
        <v>40</v>
      </c>
      <c r="G2279" s="258" t="s">
        <v>248</v>
      </c>
      <c r="H2279" s="259"/>
      <c r="I2279" s="541">
        <f t="shared" si="42"/>
        <v>127647.89142857125</v>
      </c>
      <c r="K2279" s="243"/>
    </row>
    <row r="2280" spans="2:11" ht="17" customHeight="1">
      <c r="B2280" s="253">
        <v>45963</v>
      </c>
      <c r="C2280" s="675" t="s">
        <v>283</v>
      </c>
      <c r="D2280" s="676" t="s">
        <v>283</v>
      </c>
      <c r="E2280" s="677">
        <f>657.8-E2281</f>
        <v>607.56999999999994</v>
      </c>
      <c r="F2280" s="678"/>
      <c r="G2280" s="258" t="s">
        <v>190</v>
      </c>
      <c r="H2280" s="259"/>
      <c r="I2280" s="541">
        <f t="shared" si="42"/>
        <v>127698.12142857125</v>
      </c>
      <c r="K2280" s="243"/>
    </row>
    <row r="2281" spans="2:11" ht="17" customHeight="1">
      <c r="B2281" s="253">
        <v>45963</v>
      </c>
      <c r="C2281" s="675" t="s">
        <v>283</v>
      </c>
      <c r="D2281" s="676" t="s">
        <v>508</v>
      </c>
      <c r="E2281" s="677">
        <v>50.23</v>
      </c>
      <c r="F2281" s="678"/>
      <c r="G2281" s="258" t="s">
        <v>276</v>
      </c>
      <c r="H2281" s="259"/>
      <c r="I2281" s="541">
        <f t="shared" si="42"/>
        <v>128041.76142857125</v>
      </c>
      <c r="K2281" s="243"/>
    </row>
    <row r="2282" spans="2:11" ht="17" customHeight="1">
      <c r="B2282" s="253">
        <v>45964</v>
      </c>
      <c r="C2282" s="675" t="s">
        <v>283</v>
      </c>
      <c r="D2282" s="676" t="s">
        <v>283</v>
      </c>
      <c r="E2282" s="677">
        <f>370-E2283</f>
        <v>343.64</v>
      </c>
      <c r="F2282" s="678"/>
      <c r="G2282" s="258" t="s">
        <v>190</v>
      </c>
      <c r="H2282" s="259"/>
      <c r="I2282" s="541">
        <f t="shared" si="41"/>
        <v>128068.12142857125</v>
      </c>
      <c r="K2282" s="243"/>
    </row>
    <row r="2283" spans="2:11" ht="17" customHeight="1">
      <c r="B2283" s="253">
        <v>45964</v>
      </c>
      <c r="C2283" s="675" t="s">
        <v>283</v>
      </c>
      <c r="D2283" s="676" t="s">
        <v>508</v>
      </c>
      <c r="E2283" s="677">
        <v>26.36</v>
      </c>
      <c r="F2283" s="678"/>
      <c r="G2283" s="258" t="s">
        <v>276</v>
      </c>
      <c r="H2283" s="259"/>
      <c r="I2283" s="541">
        <f t="shared" si="41"/>
        <v>128025.12142857125</v>
      </c>
      <c r="K2283" s="243"/>
    </row>
    <row r="2284" spans="2:11" ht="17" customHeight="1">
      <c r="B2284" s="253">
        <v>45965</v>
      </c>
      <c r="C2284" s="263" t="s">
        <v>117</v>
      </c>
      <c r="D2284" s="255" t="s">
        <v>846</v>
      </c>
      <c r="E2284" s="256"/>
      <c r="F2284" s="257">
        <v>43</v>
      </c>
      <c r="G2284" s="258" t="s">
        <v>201</v>
      </c>
      <c r="H2284" s="259"/>
      <c r="I2284" s="541">
        <f t="shared" si="41"/>
        <v>126775.12142857125</v>
      </c>
      <c r="K2284" s="243"/>
    </row>
    <row r="2285" spans="2:11" ht="17" customHeight="1">
      <c r="B2285" s="253">
        <v>45965</v>
      </c>
      <c r="C2285" s="263" t="s">
        <v>286</v>
      </c>
      <c r="D2285" s="255" t="s">
        <v>520</v>
      </c>
      <c r="E2285" s="256"/>
      <c r="F2285" s="257">
        <v>1250</v>
      </c>
      <c r="G2285" s="258" t="s">
        <v>139</v>
      </c>
      <c r="H2285" s="259"/>
      <c r="I2285" s="541">
        <f t="shared" si="41"/>
        <v>127282.90142857125</v>
      </c>
      <c r="K2285" s="243"/>
    </row>
    <row r="2286" spans="2:11" ht="17" customHeight="1">
      <c r="B2286" s="253">
        <v>45965</v>
      </c>
      <c r="C2286" s="675" t="s">
        <v>283</v>
      </c>
      <c r="D2286" s="676" t="s">
        <v>283</v>
      </c>
      <c r="E2286" s="677">
        <f>549.4-E2287</f>
        <v>507.78</v>
      </c>
      <c r="F2286" s="678"/>
      <c r="G2286" s="258" t="s">
        <v>190</v>
      </c>
      <c r="H2286" s="259"/>
      <c r="I2286" s="541">
        <f t="shared" si="41"/>
        <v>127324.52142857124</v>
      </c>
      <c r="K2286" s="243"/>
    </row>
    <row r="2287" spans="2:11" ht="17" customHeight="1">
      <c r="B2287" s="253">
        <v>45965</v>
      </c>
      <c r="C2287" s="675" t="s">
        <v>283</v>
      </c>
      <c r="D2287" s="676" t="s">
        <v>508</v>
      </c>
      <c r="E2287" s="677">
        <v>41.62</v>
      </c>
      <c r="F2287" s="678"/>
      <c r="G2287" s="258" t="s">
        <v>276</v>
      </c>
      <c r="H2287" s="259"/>
      <c r="I2287" s="541">
        <f t="shared" si="41"/>
        <v>127259.52142857124</v>
      </c>
      <c r="K2287" s="243"/>
    </row>
    <row r="2288" spans="2:11" ht="17" customHeight="1">
      <c r="B2288" s="253">
        <v>45966</v>
      </c>
      <c r="C2288" s="263" t="s">
        <v>513</v>
      </c>
      <c r="D2288" s="255" t="s">
        <v>873</v>
      </c>
      <c r="E2288" s="256"/>
      <c r="F2288" s="257">
        <v>65</v>
      </c>
      <c r="G2288" s="258" t="s">
        <v>248</v>
      </c>
      <c r="H2288" s="259"/>
      <c r="I2288" s="541">
        <f t="shared" si="41"/>
        <v>127224.52142857124</v>
      </c>
      <c r="K2288" s="243"/>
    </row>
    <row r="2289" spans="2:11" ht="17" customHeight="1">
      <c r="B2289" s="253">
        <v>45966</v>
      </c>
      <c r="C2289" s="263" t="s">
        <v>286</v>
      </c>
      <c r="D2289" s="255" t="s">
        <v>520</v>
      </c>
      <c r="E2289" s="256"/>
      <c r="F2289" s="257">
        <v>35</v>
      </c>
      <c r="G2289" s="258" t="s">
        <v>139</v>
      </c>
      <c r="H2289" s="259"/>
      <c r="I2289" s="541">
        <f t="shared" si="41"/>
        <v>126874.52142857124</v>
      </c>
      <c r="K2289" s="243"/>
    </row>
    <row r="2290" spans="2:11" ht="17" customHeight="1">
      <c r="B2290" s="253">
        <v>45966</v>
      </c>
      <c r="C2290" s="263" t="s">
        <v>117</v>
      </c>
      <c r="D2290" s="255" t="s">
        <v>2245</v>
      </c>
      <c r="E2290" s="256"/>
      <c r="F2290" s="257">
        <v>350</v>
      </c>
      <c r="G2290" s="258" t="s">
        <v>207</v>
      </c>
      <c r="H2290" s="259"/>
      <c r="I2290" s="541">
        <f t="shared" si="41"/>
        <v>127431.90142857125</v>
      </c>
      <c r="K2290" s="243"/>
    </row>
    <row r="2291" spans="2:11" ht="17" customHeight="1">
      <c r="B2291" s="253">
        <v>45966</v>
      </c>
      <c r="C2291" s="675" t="s">
        <v>283</v>
      </c>
      <c r="D2291" s="676" t="s">
        <v>283</v>
      </c>
      <c r="E2291" s="677">
        <f>610.9-E2292</f>
        <v>557.38</v>
      </c>
      <c r="F2291" s="678"/>
      <c r="G2291" s="258" t="s">
        <v>190</v>
      </c>
      <c r="H2291" s="259"/>
      <c r="I2291" s="541">
        <f t="shared" si="41"/>
        <v>127485.42142857125</v>
      </c>
      <c r="K2291" s="243"/>
    </row>
    <row r="2292" spans="2:11" ht="17" customHeight="1">
      <c r="B2292" s="253">
        <v>45966</v>
      </c>
      <c r="C2292" s="675" t="s">
        <v>283</v>
      </c>
      <c r="D2292" s="676" t="s">
        <v>508</v>
      </c>
      <c r="E2292" s="677">
        <v>53.52</v>
      </c>
      <c r="F2292" s="678"/>
      <c r="G2292" s="258" t="s">
        <v>276</v>
      </c>
      <c r="H2292" s="259"/>
      <c r="I2292" s="541">
        <f t="shared" ref="I2292:I2322" si="43">I2291+E2293-F2293</f>
        <v>127184.22142857125</v>
      </c>
      <c r="K2292" s="243"/>
    </row>
    <row r="2293" spans="2:11" ht="17" customHeight="1">
      <c r="B2293" s="253">
        <v>45967</v>
      </c>
      <c r="C2293" s="263" t="s">
        <v>117</v>
      </c>
      <c r="D2293" s="255" t="s">
        <v>306</v>
      </c>
      <c r="E2293" s="256"/>
      <c r="F2293" s="257">
        <v>301.2</v>
      </c>
      <c r="G2293" s="258" t="s">
        <v>194</v>
      </c>
      <c r="H2293" s="259"/>
      <c r="I2293" s="541">
        <f t="shared" si="43"/>
        <v>127157.27142857126</v>
      </c>
      <c r="K2293" s="243"/>
    </row>
    <row r="2294" spans="2:11" ht="17" customHeight="1">
      <c r="B2294" s="253">
        <v>45967</v>
      </c>
      <c r="C2294" s="263" t="s">
        <v>117</v>
      </c>
      <c r="D2294" s="255" t="s">
        <v>306</v>
      </c>
      <c r="E2294" s="256"/>
      <c r="F2294" s="257">
        <v>26.95</v>
      </c>
      <c r="G2294" s="258" t="s">
        <v>194</v>
      </c>
      <c r="H2294" s="259"/>
      <c r="I2294" s="541">
        <f t="shared" si="43"/>
        <v>127879.69142857126</v>
      </c>
      <c r="K2294" s="243"/>
    </row>
    <row r="2295" spans="2:11" ht="17" customHeight="1">
      <c r="B2295" s="253">
        <v>45967</v>
      </c>
      <c r="C2295" s="675" t="s">
        <v>283</v>
      </c>
      <c r="D2295" s="676" t="s">
        <v>283</v>
      </c>
      <c r="E2295" s="677">
        <f>778-E2296</f>
        <v>722.42</v>
      </c>
      <c r="F2295" s="678"/>
      <c r="G2295" s="258" t="s">
        <v>190</v>
      </c>
      <c r="H2295" s="259"/>
      <c r="I2295" s="541">
        <f t="shared" si="43"/>
        <v>127935.27142857126</v>
      </c>
      <c r="K2295" s="243"/>
    </row>
    <row r="2296" spans="2:11" ht="17" customHeight="1">
      <c r="B2296" s="253">
        <v>45967</v>
      </c>
      <c r="C2296" s="675" t="s">
        <v>283</v>
      </c>
      <c r="D2296" s="676" t="s">
        <v>508</v>
      </c>
      <c r="E2296" s="677">
        <v>55.58</v>
      </c>
      <c r="F2296" s="678"/>
      <c r="G2296" s="258" t="s">
        <v>276</v>
      </c>
      <c r="H2296" s="259"/>
      <c r="I2296" s="541">
        <f t="shared" si="43"/>
        <v>127897.37142857126</v>
      </c>
      <c r="K2296" s="243"/>
    </row>
    <row r="2297" spans="2:11" ht="17" customHeight="1">
      <c r="B2297" s="253">
        <v>45968</v>
      </c>
      <c r="C2297" s="263" t="s">
        <v>2251</v>
      </c>
      <c r="D2297" s="845" t="s">
        <v>512</v>
      </c>
      <c r="E2297" s="256"/>
      <c r="F2297" s="257">
        <v>37.9</v>
      </c>
      <c r="G2297" s="258" t="s">
        <v>199</v>
      </c>
      <c r="H2297" s="259"/>
      <c r="I2297" s="541">
        <f t="shared" si="43"/>
        <v>127895.91142857126</v>
      </c>
      <c r="K2297" s="243"/>
    </row>
    <row r="2298" spans="2:11" ht="17" customHeight="1">
      <c r="B2298" s="253">
        <v>45968</v>
      </c>
      <c r="C2298" s="263" t="s">
        <v>2251</v>
      </c>
      <c r="D2298" s="846" t="s">
        <v>512</v>
      </c>
      <c r="E2298" s="256"/>
      <c r="F2298" s="257">
        <v>1.46</v>
      </c>
      <c r="G2298" s="258" t="s">
        <v>274</v>
      </c>
      <c r="H2298" s="259"/>
      <c r="I2298" s="541">
        <f t="shared" si="43"/>
        <v>129231.31142857125</v>
      </c>
      <c r="K2298" s="243"/>
    </row>
    <row r="2299" spans="2:11" ht="17" customHeight="1">
      <c r="B2299" s="253">
        <v>45968</v>
      </c>
      <c r="C2299" s="675" t="s">
        <v>283</v>
      </c>
      <c r="D2299" s="676" t="s">
        <v>283</v>
      </c>
      <c r="E2299" s="677">
        <f>1492.4-E2300</f>
        <v>1335.4</v>
      </c>
      <c r="F2299" s="678"/>
      <c r="G2299" s="258" t="s">
        <v>190</v>
      </c>
      <c r="H2299" s="259"/>
      <c r="I2299" s="541">
        <f t="shared" si="43"/>
        <v>129388.31142857125</v>
      </c>
      <c r="K2299" s="243"/>
    </row>
    <row r="2300" spans="2:11" ht="17" customHeight="1">
      <c r="B2300" s="253">
        <v>45968</v>
      </c>
      <c r="C2300" s="675" t="s">
        <v>283</v>
      </c>
      <c r="D2300" s="676" t="s">
        <v>508</v>
      </c>
      <c r="E2300" s="677">
        <v>157</v>
      </c>
      <c r="F2300" s="678"/>
      <c r="G2300" s="258" t="s">
        <v>276</v>
      </c>
      <c r="H2300" s="259"/>
      <c r="I2300" s="541">
        <f t="shared" si="43"/>
        <v>129588.31142857125</v>
      </c>
      <c r="K2300" s="243"/>
    </row>
    <row r="2301" spans="2:11" ht="17" customHeight="1">
      <c r="B2301" s="253">
        <v>45968</v>
      </c>
      <c r="C2301" s="675" t="s">
        <v>283</v>
      </c>
      <c r="D2301" s="676" t="s">
        <v>283</v>
      </c>
      <c r="E2301" s="677">
        <v>200</v>
      </c>
      <c r="F2301" s="678"/>
      <c r="G2301" s="258" t="s">
        <v>190</v>
      </c>
      <c r="H2301" s="259" t="s">
        <v>2297</v>
      </c>
      <c r="I2301" s="541">
        <f t="shared" si="43"/>
        <v>129508.31142857125</v>
      </c>
      <c r="K2301" s="243"/>
    </row>
    <row r="2302" spans="2:11" ht="17" customHeight="1">
      <c r="B2302" s="253">
        <v>45969</v>
      </c>
      <c r="C2302" s="263" t="s">
        <v>117</v>
      </c>
      <c r="D2302" s="255" t="s">
        <v>510</v>
      </c>
      <c r="E2302" s="256"/>
      <c r="F2302" s="257">
        <v>80</v>
      </c>
      <c r="G2302" s="258" t="s">
        <v>234</v>
      </c>
      <c r="H2302" s="259"/>
      <c r="I2302" s="541">
        <f t="shared" si="43"/>
        <v>129493.31142857125</v>
      </c>
      <c r="K2302" s="243"/>
    </row>
    <row r="2303" spans="2:11" ht="17" customHeight="1">
      <c r="B2303" s="253">
        <v>45969</v>
      </c>
      <c r="C2303" s="263" t="s">
        <v>513</v>
      </c>
      <c r="D2303" s="255" t="s">
        <v>873</v>
      </c>
      <c r="E2303" s="256"/>
      <c r="F2303" s="257">
        <v>15</v>
      </c>
      <c r="G2303" s="258" t="s">
        <v>248</v>
      </c>
      <c r="H2303" s="259"/>
      <c r="I2303" s="541">
        <f t="shared" si="43"/>
        <v>129433.31142857125</v>
      </c>
      <c r="K2303" s="243"/>
    </row>
    <row r="2304" spans="2:11" ht="17" customHeight="1">
      <c r="B2304" s="253">
        <v>45969</v>
      </c>
      <c r="C2304" s="263" t="s">
        <v>513</v>
      </c>
      <c r="D2304" s="255" t="s">
        <v>2070</v>
      </c>
      <c r="E2304" s="256"/>
      <c r="F2304" s="257">
        <v>60</v>
      </c>
      <c r="G2304" s="258" t="s">
        <v>245</v>
      </c>
      <c r="H2304" s="259"/>
      <c r="I2304" s="541">
        <f t="shared" si="43"/>
        <v>129361.31142857125</v>
      </c>
      <c r="K2304" s="243"/>
    </row>
    <row r="2305" spans="2:11" ht="17" customHeight="1">
      <c r="B2305" s="253">
        <v>45969</v>
      </c>
      <c r="C2305" s="263" t="s">
        <v>513</v>
      </c>
      <c r="D2305" s="255" t="s">
        <v>534</v>
      </c>
      <c r="E2305" s="256"/>
      <c r="F2305" s="257">
        <v>72</v>
      </c>
      <c r="G2305" s="258" t="s">
        <v>245</v>
      </c>
      <c r="H2305" s="259"/>
      <c r="I2305" s="541">
        <f t="shared" si="43"/>
        <v>128761.31142857125</v>
      </c>
      <c r="K2305" s="243"/>
    </row>
    <row r="2306" spans="2:11" ht="17" customHeight="1">
      <c r="B2306" s="253">
        <v>45969</v>
      </c>
      <c r="C2306" s="263" t="s">
        <v>286</v>
      </c>
      <c r="D2306" s="255" t="s">
        <v>520</v>
      </c>
      <c r="E2306" s="256"/>
      <c r="F2306" s="257">
        <v>600</v>
      </c>
      <c r="G2306" s="258" t="s">
        <v>139</v>
      </c>
      <c r="H2306" s="259"/>
      <c r="I2306" s="541">
        <f t="shared" si="43"/>
        <v>129771.70142857125</v>
      </c>
      <c r="K2306" s="243"/>
    </row>
    <row r="2307" spans="2:11" ht="17" customHeight="1">
      <c r="B2307" s="253">
        <v>45969</v>
      </c>
      <c r="C2307" s="675" t="s">
        <v>283</v>
      </c>
      <c r="D2307" s="676" t="s">
        <v>283</v>
      </c>
      <c r="E2307" s="677">
        <f>1274.7-E2308</f>
        <v>1010.3900000000001</v>
      </c>
      <c r="F2307" s="678"/>
      <c r="G2307" s="258" t="s">
        <v>190</v>
      </c>
      <c r="H2307" s="259"/>
      <c r="I2307" s="541">
        <f t="shared" si="43"/>
        <v>130036.01142857125</v>
      </c>
      <c r="K2307" s="243"/>
    </row>
    <row r="2308" spans="2:11" ht="17" customHeight="1">
      <c r="B2308" s="253">
        <v>45969</v>
      </c>
      <c r="C2308" s="675" t="s">
        <v>283</v>
      </c>
      <c r="D2308" s="676" t="s">
        <v>508</v>
      </c>
      <c r="E2308" s="677">
        <v>264.31</v>
      </c>
      <c r="F2308" s="678"/>
      <c r="G2308" s="258" t="s">
        <v>276</v>
      </c>
      <c r="H2308" s="259"/>
      <c r="I2308" s="541">
        <f t="shared" si="43"/>
        <v>130536.01142857125</v>
      </c>
      <c r="K2308" s="243"/>
    </row>
    <row r="2309" spans="2:11" ht="17" customHeight="1">
      <c r="B2309" s="253">
        <v>45969</v>
      </c>
      <c r="C2309" s="675" t="s">
        <v>283</v>
      </c>
      <c r="D2309" s="676" t="s">
        <v>283</v>
      </c>
      <c r="E2309" s="677">
        <v>500</v>
      </c>
      <c r="F2309" s="678"/>
      <c r="G2309" s="258" t="s">
        <v>190</v>
      </c>
      <c r="H2309" s="681" t="s">
        <v>2177</v>
      </c>
      <c r="I2309" s="541">
        <f t="shared" si="43"/>
        <v>130506.01142857125</v>
      </c>
      <c r="K2309" s="243"/>
    </row>
    <row r="2310" spans="2:11" ht="17" customHeight="1">
      <c r="B2310" s="253">
        <v>45970</v>
      </c>
      <c r="C2310" s="263" t="s">
        <v>117</v>
      </c>
      <c r="D2310" s="255" t="s">
        <v>2272</v>
      </c>
      <c r="E2310" s="256"/>
      <c r="F2310" s="257">
        <v>30</v>
      </c>
      <c r="G2310" s="258" t="s">
        <v>218</v>
      </c>
      <c r="H2310" s="259"/>
      <c r="I2310" s="541">
        <f t="shared" si="43"/>
        <v>131226.48142857125</v>
      </c>
      <c r="K2310" s="243"/>
    </row>
    <row r="2311" spans="2:11" ht="17" customHeight="1">
      <c r="B2311" s="253">
        <v>45970</v>
      </c>
      <c r="C2311" s="675" t="s">
        <v>283</v>
      </c>
      <c r="D2311" s="676" t="s">
        <v>283</v>
      </c>
      <c r="E2311" s="677">
        <f>915-E2312</f>
        <v>720.47</v>
      </c>
      <c r="F2311" s="678"/>
      <c r="G2311" s="258" t="s">
        <v>190</v>
      </c>
      <c r="H2311" s="259"/>
      <c r="I2311" s="541">
        <f t="shared" si="43"/>
        <v>131421.01142857125</v>
      </c>
      <c r="K2311" s="243"/>
    </row>
    <row r="2312" spans="2:11" ht="17" customHeight="1">
      <c r="B2312" s="253">
        <v>45970</v>
      </c>
      <c r="C2312" s="675" t="s">
        <v>283</v>
      </c>
      <c r="D2312" s="676" t="s">
        <v>508</v>
      </c>
      <c r="E2312" s="677">
        <v>194.53</v>
      </c>
      <c r="F2312" s="678"/>
      <c r="G2312" s="258" t="s">
        <v>276</v>
      </c>
      <c r="H2312" s="259"/>
      <c r="I2312" s="541">
        <f t="shared" si="43"/>
        <v>131621.01142857125</v>
      </c>
      <c r="K2312" s="243"/>
    </row>
    <row r="2313" spans="2:11" ht="17" customHeight="1">
      <c r="B2313" s="253">
        <v>45970</v>
      </c>
      <c r="C2313" s="675" t="s">
        <v>283</v>
      </c>
      <c r="D2313" s="676" t="s">
        <v>283</v>
      </c>
      <c r="E2313" s="677">
        <v>200</v>
      </c>
      <c r="F2313" s="678"/>
      <c r="G2313" s="258" t="s">
        <v>190</v>
      </c>
      <c r="H2313" s="262" t="s">
        <v>2273</v>
      </c>
      <c r="I2313" s="541">
        <f t="shared" si="43"/>
        <v>131522.71142857126</v>
      </c>
      <c r="K2313" s="243"/>
    </row>
    <row r="2314" spans="2:11" ht="17" customHeight="1">
      <c r="B2314" s="253">
        <v>45971</v>
      </c>
      <c r="C2314" s="263" t="s">
        <v>117</v>
      </c>
      <c r="D2314" s="255" t="s">
        <v>577</v>
      </c>
      <c r="E2314" s="256"/>
      <c r="F2314" s="257">
        <v>98.3</v>
      </c>
      <c r="G2314" s="258" t="s">
        <v>205</v>
      </c>
      <c r="H2314" s="259"/>
      <c r="I2314" s="541">
        <f t="shared" si="43"/>
        <v>131317.71142857126</v>
      </c>
      <c r="K2314" s="243"/>
    </row>
    <row r="2315" spans="2:11" ht="17" customHeight="1">
      <c r="B2315" s="253">
        <v>45971</v>
      </c>
      <c r="C2315" s="263" t="s">
        <v>2277</v>
      </c>
      <c r="D2315" s="255" t="s">
        <v>2124</v>
      </c>
      <c r="E2315" s="256"/>
      <c r="F2315" s="257">
        <v>205</v>
      </c>
      <c r="G2315" s="258" t="s">
        <v>208</v>
      </c>
      <c r="H2315" s="259"/>
      <c r="I2315" s="541">
        <f t="shared" si="43"/>
        <v>131280.83142857125</v>
      </c>
      <c r="K2315" s="243"/>
    </row>
    <row r="2316" spans="2:11" ht="17" customHeight="1">
      <c r="B2316" s="253">
        <v>45971</v>
      </c>
      <c r="C2316" s="263" t="s">
        <v>2277</v>
      </c>
      <c r="D2316" s="255" t="s">
        <v>2124</v>
      </c>
      <c r="E2316" s="256"/>
      <c r="F2316" s="257">
        <v>36.880000000000003</v>
      </c>
      <c r="G2316" s="258" t="s">
        <v>274</v>
      </c>
      <c r="H2316" s="259"/>
      <c r="I2316" s="541">
        <f t="shared" si="43"/>
        <v>131270.83142857125</v>
      </c>
      <c r="K2316" s="243"/>
    </row>
    <row r="2317" spans="2:11" ht="17" customHeight="1">
      <c r="B2317" s="253">
        <v>45971</v>
      </c>
      <c r="C2317" s="263" t="s">
        <v>2278</v>
      </c>
      <c r="D2317" s="255" t="s">
        <v>2124</v>
      </c>
      <c r="E2317" s="256"/>
      <c r="F2317" s="257">
        <v>10</v>
      </c>
      <c r="G2317" s="258" t="s">
        <v>208</v>
      </c>
      <c r="H2317" s="259"/>
      <c r="I2317" s="541">
        <f t="shared" si="43"/>
        <v>131268.96142857126</v>
      </c>
      <c r="K2317" s="243"/>
    </row>
    <row r="2318" spans="2:11" ht="17" customHeight="1">
      <c r="B2318" s="253">
        <v>45971</v>
      </c>
      <c r="C2318" s="263" t="s">
        <v>2278</v>
      </c>
      <c r="D2318" s="255" t="s">
        <v>2124</v>
      </c>
      <c r="E2318" s="256"/>
      <c r="F2318" s="257">
        <v>1.87</v>
      </c>
      <c r="G2318" s="258" t="s">
        <v>274</v>
      </c>
      <c r="H2318" s="259"/>
      <c r="I2318" s="541">
        <f t="shared" si="43"/>
        <v>131108.96142857126</v>
      </c>
      <c r="K2318" s="243"/>
    </row>
    <row r="2319" spans="2:11" ht="17" customHeight="1">
      <c r="B2319" s="253">
        <v>45971</v>
      </c>
      <c r="C2319" s="263" t="s">
        <v>2275</v>
      </c>
      <c r="D2319" s="255" t="s">
        <v>2276</v>
      </c>
      <c r="E2319" s="256"/>
      <c r="F2319" s="257">
        <v>160</v>
      </c>
      <c r="G2319" s="841"/>
      <c r="H2319" s="597" t="s">
        <v>714</v>
      </c>
      <c r="I2319" s="541">
        <f t="shared" si="43"/>
        <v>131080.16142857127</v>
      </c>
      <c r="K2319" s="243"/>
    </row>
    <row r="2320" spans="2:11" ht="17" customHeight="1">
      <c r="B2320" s="253">
        <v>45971</v>
      </c>
      <c r="C2320" s="263" t="s">
        <v>2275</v>
      </c>
      <c r="D2320" s="255" t="s">
        <v>2276</v>
      </c>
      <c r="E2320" s="256"/>
      <c r="F2320" s="257">
        <v>28.8</v>
      </c>
      <c r="G2320" s="841"/>
      <c r="H2320" s="597" t="s">
        <v>714</v>
      </c>
      <c r="I2320" s="541">
        <f t="shared" si="43"/>
        <v>131125.10142857127</v>
      </c>
      <c r="K2320" s="243"/>
    </row>
    <row r="2321" spans="2:11" ht="17" customHeight="1">
      <c r="B2321" s="253">
        <v>45971</v>
      </c>
      <c r="C2321" s="675" t="s">
        <v>283</v>
      </c>
      <c r="D2321" s="676" t="s">
        <v>283</v>
      </c>
      <c r="E2321" s="677">
        <f>103.3-E2322</f>
        <v>44.94</v>
      </c>
      <c r="F2321" s="678"/>
      <c r="G2321" s="258" t="s">
        <v>190</v>
      </c>
      <c r="H2321" s="259"/>
      <c r="I2321" s="541">
        <f t="shared" si="43"/>
        <v>131183.46142857126</v>
      </c>
      <c r="K2321" s="243"/>
    </row>
    <row r="2322" spans="2:11" ht="17" customHeight="1">
      <c r="B2322" s="253">
        <v>45971</v>
      </c>
      <c r="C2322" s="675" t="s">
        <v>283</v>
      </c>
      <c r="D2322" s="676" t="s">
        <v>508</v>
      </c>
      <c r="E2322" s="677">
        <v>58.36</v>
      </c>
      <c r="F2322" s="678"/>
      <c r="G2322" s="258" t="s">
        <v>276</v>
      </c>
      <c r="H2322" s="259"/>
      <c r="I2322" s="541">
        <f t="shared" si="43"/>
        <v>131383.46142857126</v>
      </c>
      <c r="K2322" s="243"/>
    </row>
    <row r="2323" spans="2:11" ht="17" customHeight="1">
      <c r="B2323" s="253">
        <v>45971</v>
      </c>
      <c r="C2323" s="675" t="s">
        <v>283</v>
      </c>
      <c r="D2323" s="676" t="s">
        <v>283</v>
      </c>
      <c r="E2323" s="677">
        <v>200</v>
      </c>
      <c r="F2323" s="678"/>
      <c r="G2323" s="258" t="s">
        <v>190</v>
      </c>
      <c r="H2323" s="259" t="s">
        <v>2274</v>
      </c>
      <c r="I2323" s="541">
        <f>I2322+E2325-F2325</f>
        <v>130938.46142857126</v>
      </c>
      <c r="K2323" s="243"/>
    </row>
    <row r="2324" spans="2:11" ht="17" customHeight="1">
      <c r="B2324" s="253">
        <v>45971</v>
      </c>
      <c r="C2324" s="263" t="s">
        <v>117</v>
      </c>
      <c r="D2324" s="255" t="s">
        <v>846</v>
      </c>
      <c r="E2324" s="256"/>
      <c r="F2324" s="257">
        <v>36</v>
      </c>
      <c r="G2324" s="258" t="s">
        <v>201</v>
      </c>
      <c r="H2324" s="259"/>
      <c r="I2324" s="541">
        <f t="shared" ref="I2324:I2387" si="44">I2323+E2326-F2326</f>
        <v>130613.46142857126</v>
      </c>
      <c r="K2324" s="243"/>
    </row>
    <row r="2325" spans="2:11" ht="17" customHeight="1">
      <c r="B2325" s="736">
        <v>45961</v>
      </c>
      <c r="C2325" s="263" t="s">
        <v>513</v>
      </c>
      <c r="D2325" s="255" t="s">
        <v>722</v>
      </c>
      <c r="E2325" s="256"/>
      <c r="F2325" s="257">
        <v>445</v>
      </c>
      <c r="G2325" s="258" t="s">
        <v>245</v>
      </c>
      <c r="H2325" s="259"/>
      <c r="I2325" s="541">
        <f t="shared" si="44"/>
        <v>130373.46142857126</v>
      </c>
      <c r="K2325" s="243"/>
    </row>
    <row r="2326" spans="2:11" ht="17" customHeight="1">
      <c r="B2326" s="736">
        <v>45961</v>
      </c>
      <c r="C2326" s="263" t="s">
        <v>513</v>
      </c>
      <c r="D2326" s="255" t="s">
        <v>25</v>
      </c>
      <c r="E2326" s="256"/>
      <c r="F2326" s="257">
        <v>325</v>
      </c>
      <c r="G2326" s="258" t="s">
        <v>246</v>
      </c>
      <c r="H2326" s="259"/>
      <c r="I2326" s="541">
        <f t="shared" si="44"/>
        <v>130392.46142857126</v>
      </c>
      <c r="K2326" s="243"/>
    </row>
    <row r="2327" spans="2:11" ht="17" customHeight="1">
      <c r="B2327" s="736">
        <v>45961</v>
      </c>
      <c r="C2327" s="263" t="s">
        <v>513</v>
      </c>
      <c r="D2327" s="255" t="s">
        <v>557</v>
      </c>
      <c r="E2327" s="256"/>
      <c r="F2327" s="257">
        <v>240</v>
      </c>
      <c r="G2327" s="258" t="s">
        <v>1859</v>
      </c>
      <c r="H2327" s="259"/>
      <c r="I2327" s="541">
        <f t="shared" si="44"/>
        <v>129687.46142857126</v>
      </c>
      <c r="K2327" s="243"/>
    </row>
    <row r="2328" spans="2:11" ht="17" customHeight="1">
      <c r="B2328" s="736">
        <v>45961</v>
      </c>
      <c r="C2328" s="263" t="s">
        <v>513</v>
      </c>
      <c r="D2328" s="255" t="s">
        <v>1926</v>
      </c>
      <c r="E2328" s="256">
        <v>19</v>
      </c>
      <c r="F2328" s="257"/>
      <c r="G2328" s="258" t="s">
        <v>246</v>
      </c>
      <c r="H2328" s="259"/>
      <c r="I2328" s="541">
        <f t="shared" si="44"/>
        <v>129352.46142857126</v>
      </c>
      <c r="K2328" s="243"/>
    </row>
    <row r="2329" spans="2:11" ht="17" customHeight="1">
      <c r="B2329" s="736">
        <v>45961</v>
      </c>
      <c r="C2329" s="263" t="s">
        <v>513</v>
      </c>
      <c r="D2329" s="255" t="s">
        <v>28</v>
      </c>
      <c r="E2329" s="256"/>
      <c r="F2329" s="257">
        <v>705</v>
      </c>
      <c r="G2329" s="258" t="s">
        <v>243</v>
      </c>
      <c r="H2329" s="259"/>
      <c r="I2329" s="541">
        <f t="shared" si="44"/>
        <v>128827.46142857126</v>
      </c>
      <c r="K2329" s="243"/>
    </row>
    <row r="2330" spans="2:11" ht="17" customHeight="1">
      <c r="B2330" s="736">
        <v>45961</v>
      </c>
      <c r="C2330" s="263" t="s">
        <v>513</v>
      </c>
      <c r="D2330" s="255" t="s">
        <v>29</v>
      </c>
      <c r="E2330" s="256"/>
      <c r="F2330" s="257">
        <v>335</v>
      </c>
      <c r="G2330" s="258" t="s">
        <v>243</v>
      </c>
      <c r="H2330" s="259"/>
      <c r="I2330" s="541">
        <f t="shared" si="44"/>
        <v>128312.46142857126</v>
      </c>
      <c r="K2330" s="243"/>
    </row>
    <row r="2331" spans="2:11" ht="17" customHeight="1">
      <c r="B2331" s="736">
        <v>45961</v>
      </c>
      <c r="C2331" s="263" t="s">
        <v>513</v>
      </c>
      <c r="D2331" s="255" t="s">
        <v>559</v>
      </c>
      <c r="E2331" s="256"/>
      <c r="F2331" s="257">
        <v>525</v>
      </c>
      <c r="G2331" s="258" t="s">
        <v>243</v>
      </c>
      <c r="H2331" s="259"/>
      <c r="I2331" s="541">
        <f t="shared" si="44"/>
        <v>127767.46142857126</v>
      </c>
      <c r="K2331" s="243"/>
    </row>
    <row r="2332" spans="2:11" ht="17" customHeight="1">
      <c r="B2332" s="736">
        <v>45961</v>
      </c>
      <c r="C2332" s="263" t="s">
        <v>513</v>
      </c>
      <c r="D2332" s="255" t="s">
        <v>2388</v>
      </c>
      <c r="E2332" s="256"/>
      <c r="F2332" s="257">
        <v>515</v>
      </c>
      <c r="G2332" s="258" t="s">
        <v>249</v>
      </c>
      <c r="H2332" s="259"/>
      <c r="I2332" s="541">
        <f t="shared" si="44"/>
        <v>127719.46142857126</v>
      </c>
      <c r="K2332" s="243"/>
    </row>
    <row r="2333" spans="2:11" ht="17" customHeight="1">
      <c r="B2333" s="736">
        <v>45961</v>
      </c>
      <c r="C2333" s="263" t="s">
        <v>513</v>
      </c>
      <c r="D2333" s="676" t="s">
        <v>1830</v>
      </c>
      <c r="E2333" s="677"/>
      <c r="F2333" s="678">
        <v>545</v>
      </c>
      <c r="G2333" s="258" t="s">
        <v>245</v>
      </c>
      <c r="H2333" s="259"/>
      <c r="I2333" s="541">
        <f t="shared" si="44"/>
        <v>128020.09142857126</v>
      </c>
      <c r="K2333" s="243"/>
    </row>
    <row r="2334" spans="2:11" ht="17" customHeight="1">
      <c r="B2334" s="736">
        <v>45961</v>
      </c>
      <c r="C2334" s="263" t="s">
        <v>513</v>
      </c>
      <c r="D2334" s="676" t="s">
        <v>558</v>
      </c>
      <c r="E2334" s="677"/>
      <c r="F2334" s="678">
        <v>48</v>
      </c>
      <c r="G2334" s="258" t="s">
        <v>245</v>
      </c>
      <c r="H2334" s="259"/>
      <c r="I2334" s="541">
        <f t="shared" si="44"/>
        <v>128060.86142857127</v>
      </c>
      <c r="K2334" s="243"/>
    </row>
    <row r="2335" spans="2:11" ht="17" customHeight="1">
      <c r="B2335" s="253">
        <v>45972</v>
      </c>
      <c r="C2335" s="675" t="s">
        <v>283</v>
      </c>
      <c r="D2335" s="676" t="s">
        <v>283</v>
      </c>
      <c r="E2335" s="677">
        <f>341.4-E2336</f>
        <v>300.63</v>
      </c>
      <c r="F2335" s="678"/>
      <c r="G2335" s="258" t="s">
        <v>190</v>
      </c>
      <c r="H2335" s="259"/>
      <c r="I2335" s="541">
        <f t="shared" si="44"/>
        <v>128025.86142857127</v>
      </c>
      <c r="K2335" s="243"/>
    </row>
    <row r="2336" spans="2:11" ht="17" customHeight="1">
      <c r="B2336" s="253">
        <v>45972</v>
      </c>
      <c r="C2336" s="675" t="s">
        <v>283</v>
      </c>
      <c r="D2336" s="676" t="s">
        <v>508</v>
      </c>
      <c r="E2336" s="677">
        <v>40.770000000000003</v>
      </c>
      <c r="F2336" s="678"/>
      <c r="G2336" s="258" t="s">
        <v>276</v>
      </c>
      <c r="H2336" s="259"/>
      <c r="I2336" s="541">
        <f t="shared" si="44"/>
        <v>128483.16142857127</v>
      </c>
      <c r="K2336" s="243"/>
    </row>
    <row r="2337" spans="2:11" ht="17" customHeight="1">
      <c r="B2337" s="253">
        <v>45973</v>
      </c>
      <c r="C2337" s="263" t="s">
        <v>286</v>
      </c>
      <c r="D2337" s="255" t="s">
        <v>520</v>
      </c>
      <c r="E2337" s="256"/>
      <c r="F2337" s="257">
        <v>35</v>
      </c>
      <c r="G2337" s="258" t="s">
        <v>139</v>
      </c>
      <c r="H2337" s="259"/>
      <c r="I2337" s="541">
        <f t="shared" si="44"/>
        <v>128520.16142857127</v>
      </c>
      <c r="K2337" s="243"/>
    </row>
    <row r="2338" spans="2:11" ht="17" customHeight="1">
      <c r="B2338" s="253">
        <v>45973</v>
      </c>
      <c r="C2338" s="675" t="s">
        <v>283</v>
      </c>
      <c r="D2338" s="676" t="s">
        <v>283</v>
      </c>
      <c r="E2338" s="677">
        <f>494.3-E2339</f>
        <v>457.3</v>
      </c>
      <c r="F2338" s="678"/>
      <c r="G2338" s="258" t="s">
        <v>190</v>
      </c>
      <c r="H2338" s="259"/>
      <c r="I2338" s="541">
        <f t="shared" si="44"/>
        <v>128430.16142857127</v>
      </c>
      <c r="K2338" s="243"/>
    </row>
    <row r="2339" spans="2:11" ht="17" customHeight="1">
      <c r="B2339" s="253">
        <v>45973</v>
      </c>
      <c r="C2339" s="675" t="s">
        <v>283</v>
      </c>
      <c r="D2339" s="676" t="s">
        <v>508</v>
      </c>
      <c r="E2339" s="677">
        <v>37</v>
      </c>
      <c r="F2339" s="678"/>
      <c r="G2339" s="258" t="s">
        <v>276</v>
      </c>
      <c r="H2339" s="259"/>
      <c r="I2339" s="541">
        <f t="shared" si="44"/>
        <v>126430.16142857127</v>
      </c>
      <c r="K2339" s="243"/>
    </row>
    <row r="2340" spans="2:11" ht="17" customHeight="1">
      <c r="B2340" s="253">
        <v>45974</v>
      </c>
      <c r="C2340" s="263" t="s">
        <v>513</v>
      </c>
      <c r="D2340" s="255" t="s">
        <v>576</v>
      </c>
      <c r="E2340" s="256"/>
      <c r="F2340" s="257">
        <v>90</v>
      </c>
      <c r="G2340" s="258" t="s">
        <v>248</v>
      </c>
      <c r="H2340" s="259"/>
      <c r="I2340" s="541">
        <f t="shared" si="44"/>
        <v>125950.16142857127</v>
      </c>
      <c r="K2340" s="243"/>
    </row>
    <row r="2341" spans="2:11" ht="17" customHeight="1">
      <c r="B2341" s="253">
        <v>45974</v>
      </c>
      <c r="C2341" s="263" t="s">
        <v>286</v>
      </c>
      <c r="D2341" s="255" t="s">
        <v>520</v>
      </c>
      <c r="E2341" s="256"/>
      <c r="F2341" s="257">
        <v>2000</v>
      </c>
      <c r="G2341" s="258" t="s">
        <v>139</v>
      </c>
      <c r="H2341" s="259"/>
      <c r="I2341" s="541">
        <f t="shared" si="44"/>
        <v>126514.89142857127</v>
      </c>
      <c r="K2341" s="243"/>
    </row>
    <row r="2342" spans="2:11" ht="17" customHeight="1">
      <c r="B2342" s="253">
        <v>45974</v>
      </c>
      <c r="C2342" s="263" t="s">
        <v>117</v>
      </c>
      <c r="D2342" s="255" t="s">
        <v>2279</v>
      </c>
      <c r="E2342" s="256"/>
      <c r="F2342" s="257">
        <v>480</v>
      </c>
      <c r="G2342" s="258" t="s">
        <v>194</v>
      </c>
      <c r="H2342" s="259"/>
      <c r="I2342" s="541">
        <f t="shared" si="44"/>
        <v>126572.66142857127</v>
      </c>
      <c r="K2342" s="243"/>
    </row>
    <row r="2343" spans="2:11" ht="17" customHeight="1">
      <c r="B2343" s="253">
        <v>45974</v>
      </c>
      <c r="C2343" s="675" t="s">
        <v>283</v>
      </c>
      <c r="D2343" s="676" t="s">
        <v>283</v>
      </c>
      <c r="E2343" s="677">
        <f>622.5-E2344</f>
        <v>564.73</v>
      </c>
      <c r="F2343" s="678"/>
      <c r="G2343" s="258" t="s">
        <v>190</v>
      </c>
      <c r="H2343" s="259"/>
      <c r="I2343" s="541">
        <f t="shared" si="44"/>
        <v>126525.26142857128</v>
      </c>
      <c r="K2343" s="243"/>
    </row>
    <row r="2344" spans="2:11" ht="17" customHeight="1">
      <c r="B2344" s="253">
        <v>45974</v>
      </c>
      <c r="C2344" s="675" t="s">
        <v>283</v>
      </c>
      <c r="D2344" s="676" t="s">
        <v>508</v>
      </c>
      <c r="E2344" s="677">
        <v>57.77</v>
      </c>
      <c r="F2344" s="678"/>
      <c r="G2344" s="258" t="s">
        <v>276</v>
      </c>
      <c r="H2344" s="259"/>
      <c r="I2344" s="541">
        <f t="shared" si="44"/>
        <v>126523.44142857127</v>
      </c>
      <c r="K2344" s="243"/>
    </row>
    <row r="2345" spans="2:11" ht="17" customHeight="1">
      <c r="B2345" s="253">
        <v>45975</v>
      </c>
      <c r="C2345" s="263" t="s">
        <v>2280</v>
      </c>
      <c r="D2345" s="845" t="s">
        <v>512</v>
      </c>
      <c r="E2345" s="256"/>
      <c r="F2345" s="257">
        <v>47.4</v>
      </c>
      <c r="G2345" s="258" t="s">
        <v>199</v>
      </c>
      <c r="H2345" s="259"/>
      <c r="I2345" s="541">
        <f t="shared" si="44"/>
        <v>126453.44142857127</v>
      </c>
      <c r="K2345" s="243"/>
    </row>
    <row r="2346" spans="2:11" ht="17" customHeight="1">
      <c r="B2346" s="253">
        <v>45975</v>
      </c>
      <c r="C2346" s="263" t="s">
        <v>2280</v>
      </c>
      <c r="D2346" s="846" t="s">
        <v>512</v>
      </c>
      <c r="E2346" s="256"/>
      <c r="F2346" s="257">
        <v>1.82</v>
      </c>
      <c r="G2346" s="258" t="s">
        <v>274</v>
      </c>
      <c r="H2346" s="259"/>
      <c r="I2346" s="541">
        <f t="shared" si="44"/>
        <v>126253.44142857127</v>
      </c>
      <c r="K2346" s="243"/>
    </row>
    <row r="2347" spans="2:11" ht="17" customHeight="1">
      <c r="B2347" s="253">
        <v>45975</v>
      </c>
      <c r="C2347" s="263" t="s">
        <v>117</v>
      </c>
      <c r="D2347" s="255" t="s">
        <v>2281</v>
      </c>
      <c r="E2347" s="256"/>
      <c r="F2347" s="257">
        <v>70</v>
      </c>
      <c r="G2347" s="258" t="s">
        <v>231</v>
      </c>
      <c r="H2347" s="259"/>
      <c r="I2347" s="541">
        <f t="shared" si="44"/>
        <v>125675.24142857127</v>
      </c>
      <c r="K2347" s="243"/>
    </row>
    <row r="2348" spans="2:11" ht="17" customHeight="1">
      <c r="B2348" s="253">
        <v>45975</v>
      </c>
      <c r="C2348" s="263" t="s">
        <v>117</v>
      </c>
      <c r="D2348" s="255" t="s">
        <v>2282</v>
      </c>
      <c r="E2348" s="256"/>
      <c r="F2348" s="257">
        <v>200</v>
      </c>
      <c r="G2348" s="258" t="s">
        <v>216</v>
      </c>
      <c r="H2348" s="259"/>
      <c r="I2348" s="541">
        <f t="shared" si="44"/>
        <v>125624.24142857127</v>
      </c>
      <c r="K2348" s="243"/>
    </row>
    <row r="2349" spans="2:11" ht="17" customHeight="1">
      <c r="B2349" s="253">
        <v>45975</v>
      </c>
      <c r="C2349" s="263" t="s">
        <v>117</v>
      </c>
      <c r="D2349" s="255" t="s">
        <v>306</v>
      </c>
      <c r="E2349" s="256"/>
      <c r="F2349" s="257">
        <v>578.20000000000005</v>
      </c>
      <c r="G2349" s="258" t="s">
        <v>194</v>
      </c>
      <c r="H2349" s="259"/>
      <c r="I2349" s="541">
        <f t="shared" si="44"/>
        <v>125544.24142857127</v>
      </c>
      <c r="K2349" s="243"/>
    </row>
    <row r="2350" spans="2:11" ht="17" customHeight="1">
      <c r="B2350" s="253">
        <v>45975</v>
      </c>
      <c r="C2350" s="263" t="s">
        <v>117</v>
      </c>
      <c r="D2350" s="255" t="s">
        <v>861</v>
      </c>
      <c r="E2350" s="256"/>
      <c r="F2350" s="257">
        <v>51</v>
      </c>
      <c r="G2350" s="258" t="s">
        <v>199</v>
      </c>
      <c r="H2350" s="259"/>
      <c r="I2350" s="541">
        <f t="shared" si="44"/>
        <v>125536.97142857127</v>
      </c>
      <c r="K2350" s="243"/>
    </row>
    <row r="2351" spans="2:11" ht="17" customHeight="1">
      <c r="B2351" s="253">
        <v>45975</v>
      </c>
      <c r="C2351" s="263" t="s">
        <v>2283</v>
      </c>
      <c r="D2351" s="255" t="s">
        <v>2284</v>
      </c>
      <c r="E2351" s="256"/>
      <c r="F2351" s="257">
        <v>80</v>
      </c>
      <c r="G2351" s="258" t="s">
        <v>216</v>
      </c>
      <c r="H2351" s="259"/>
      <c r="I2351" s="541">
        <f t="shared" si="44"/>
        <v>126723.73142857126</v>
      </c>
      <c r="K2351" s="243"/>
    </row>
    <row r="2352" spans="2:11" ht="17" customHeight="1">
      <c r="B2352" s="253">
        <v>45975</v>
      </c>
      <c r="C2352" s="263" t="s">
        <v>2283</v>
      </c>
      <c r="D2352" s="255" t="s">
        <v>2284</v>
      </c>
      <c r="E2352" s="256"/>
      <c r="F2352" s="257">
        <v>7.27</v>
      </c>
      <c r="G2352" s="258" t="s">
        <v>274</v>
      </c>
      <c r="H2352" s="259"/>
      <c r="I2352" s="541">
        <f t="shared" si="44"/>
        <v>126969.87142857126</v>
      </c>
      <c r="K2352" s="243"/>
    </row>
    <row r="2353" spans="2:11" ht="17" customHeight="1">
      <c r="B2353" s="253">
        <v>45975</v>
      </c>
      <c r="C2353" s="675" t="s">
        <v>283</v>
      </c>
      <c r="D2353" s="676" t="s">
        <v>283</v>
      </c>
      <c r="E2353" s="677">
        <f>1432.9-E2354</f>
        <v>1186.7600000000002</v>
      </c>
      <c r="F2353" s="678"/>
      <c r="G2353" s="258" t="s">
        <v>190</v>
      </c>
      <c r="H2353" s="259"/>
      <c r="I2353" s="541">
        <f t="shared" si="44"/>
        <v>126899.87142857126</v>
      </c>
      <c r="K2353" s="243"/>
    </row>
    <row r="2354" spans="2:11" ht="17" customHeight="1">
      <c r="B2354" s="253">
        <v>45975</v>
      </c>
      <c r="C2354" s="675" t="s">
        <v>283</v>
      </c>
      <c r="D2354" s="676" t="s">
        <v>508</v>
      </c>
      <c r="E2354" s="677">
        <v>246.14</v>
      </c>
      <c r="F2354" s="678"/>
      <c r="G2354" s="258" t="s">
        <v>276</v>
      </c>
      <c r="H2354" s="259"/>
      <c r="I2354" s="541">
        <f t="shared" si="44"/>
        <v>126819.87142857126</v>
      </c>
      <c r="K2354" s="243"/>
    </row>
    <row r="2355" spans="2:11" ht="17" customHeight="1">
      <c r="B2355" s="253">
        <v>45976</v>
      </c>
      <c r="C2355" s="263" t="s">
        <v>513</v>
      </c>
      <c r="D2355" s="255" t="s">
        <v>688</v>
      </c>
      <c r="E2355" s="256"/>
      <c r="F2355" s="257">
        <v>70</v>
      </c>
      <c r="G2355" s="258" t="s">
        <v>248</v>
      </c>
      <c r="H2355" s="259"/>
      <c r="I2355" s="541">
        <f t="shared" si="44"/>
        <v>128497.34142857126</v>
      </c>
      <c r="K2355" s="243"/>
    </row>
    <row r="2356" spans="2:11" ht="17" customHeight="1">
      <c r="B2356" s="253">
        <v>45976</v>
      </c>
      <c r="C2356" s="263" t="s">
        <v>117</v>
      </c>
      <c r="D2356" s="255" t="s">
        <v>543</v>
      </c>
      <c r="E2356" s="256"/>
      <c r="F2356" s="257">
        <v>80</v>
      </c>
      <c r="G2356" s="258" t="s">
        <v>234</v>
      </c>
      <c r="H2356" s="259"/>
      <c r="I2356" s="541">
        <f t="shared" si="44"/>
        <v>128704.87142857126</v>
      </c>
      <c r="K2356" s="243"/>
    </row>
    <row r="2357" spans="2:11" ht="17" customHeight="1">
      <c r="B2357" s="253">
        <v>45976</v>
      </c>
      <c r="C2357" s="675" t="s">
        <v>283</v>
      </c>
      <c r="D2357" s="676" t="s">
        <v>283</v>
      </c>
      <c r="E2357" s="677">
        <f>1885-E2358</f>
        <v>1677.47</v>
      </c>
      <c r="F2357" s="678"/>
      <c r="G2357" s="258" t="s">
        <v>190</v>
      </c>
      <c r="H2357" s="259"/>
      <c r="I2357" s="541">
        <f t="shared" si="44"/>
        <v>129404.87142857126</v>
      </c>
      <c r="K2357" s="243"/>
    </row>
    <row r="2358" spans="2:11" ht="17" customHeight="1">
      <c r="B2358" s="253">
        <v>45976</v>
      </c>
      <c r="C2358" s="675" t="s">
        <v>283</v>
      </c>
      <c r="D2358" s="676" t="s">
        <v>508</v>
      </c>
      <c r="E2358" s="677">
        <v>207.53</v>
      </c>
      <c r="F2358" s="678"/>
      <c r="G2358" s="258" t="s">
        <v>276</v>
      </c>
      <c r="H2358" s="259"/>
      <c r="I2358" s="541">
        <f t="shared" si="44"/>
        <v>129329.87142857126</v>
      </c>
      <c r="K2358" s="243"/>
    </row>
    <row r="2359" spans="2:11" ht="17" customHeight="1">
      <c r="B2359" s="253">
        <v>45976</v>
      </c>
      <c r="C2359" s="675" t="s">
        <v>283</v>
      </c>
      <c r="D2359" s="676" t="s">
        <v>283</v>
      </c>
      <c r="E2359" s="677">
        <v>700</v>
      </c>
      <c r="F2359" s="678"/>
      <c r="G2359" s="258" t="s">
        <v>190</v>
      </c>
      <c r="H2359" s="850" t="s">
        <v>2177</v>
      </c>
      <c r="I2359" s="541">
        <f t="shared" si="44"/>
        <v>126710.87142857126</v>
      </c>
      <c r="K2359" s="243"/>
    </row>
    <row r="2360" spans="2:11" ht="17" customHeight="1">
      <c r="B2360" s="253">
        <v>45977</v>
      </c>
      <c r="C2360" s="263" t="s">
        <v>513</v>
      </c>
      <c r="D2360" s="255" t="s">
        <v>688</v>
      </c>
      <c r="E2360" s="256"/>
      <c r="F2360" s="257">
        <v>75</v>
      </c>
      <c r="G2360" s="258" t="s">
        <v>248</v>
      </c>
      <c r="H2360" s="259"/>
      <c r="I2360" s="541">
        <f t="shared" si="44"/>
        <v>126670.87142857126</v>
      </c>
      <c r="K2360" s="243"/>
    </row>
    <row r="2361" spans="2:11" ht="17" customHeight="1">
      <c r="B2361" s="253">
        <v>45977</v>
      </c>
      <c r="C2361" s="263" t="s">
        <v>117</v>
      </c>
      <c r="D2361" s="255" t="s">
        <v>332</v>
      </c>
      <c r="E2361" s="256"/>
      <c r="F2361" s="257">
        <v>2619</v>
      </c>
      <c r="G2361" s="258"/>
      <c r="H2361" s="597" t="s">
        <v>714</v>
      </c>
      <c r="I2361" s="541">
        <f t="shared" si="44"/>
        <v>126620.87142857126</v>
      </c>
      <c r="K2361" s="243"/>
    </row>
    <row r="2362" spans="2:11" ht="17" customHeight="1">
      <c r="B2362" s="253">
        <v>45977</v>
      </c>
      <c r="C2362" s="263" t="s">
        <v>513</v>
      </c>
      <c r="D2362" s="255" t="s">
        <v>576</v>
      </c>
      <c r="E2362" s="256"/>
      <c r="F2362" s="257">
        <v>40</v>
      </c>
      <c r="G2362" s="258" t="s">
        <v>248</v>
      </c>
      <c r="H2362" s="266"/>
      <c r="I2362" s="541">
        <f t="shared" si="44"/>
        <v>126540.87142857126</v>
      </c>
      <c r="K2362" s="243"/>
    </row>
    <row r="2363" spans="2:11" ht="17" customHeight="1">
      <c r="B2363" s="253">
        <v>45977</v>
      </c>
      <c r="C2363" s="263" t="s">
        <v>117</v>
      </c>
      <c r="D2363" s="255" t="s">
        <v>2195</v>
      </c>
      <c r="E2363" s="256"/>
      <c r="F2363" s="257">
        <v>50</v>
      </c>
      <c r="G2363" s="258" t="s">
        <v>229</v>
      </c>
      <c r="H2363" s="259"/>
      <c r="I2363" s="541">
        <f t="shared" si="44"/>
        <v>126490.87142857126</v>
      </c>
      <c r="K2363" s="243"/>
    </row>
    <row r="2364" spans="2:11" ht="17" customHeight="1">
      <c r="B2364" s="253">
        <v>45977</v>
      </c>
      <c r="C2364" s="263" t="s">
        <v>117</v>
      </c>
      <c r="D2364" s="255" t="s">
        <v>566</v>
      </c>
      <c r="E2364" s="256"/>
      <c r="F2364" s="257">
        <v>80</v>
      </c>
      <c r="G2364" s="258" t="s">
        <v>229</v>
      </c>
      <c r="H2364" s="259"/>
      <c r="I2364" s="541">
        <f t="shared" si="44"/>
        <v>126410.87142857126</v>
      </c>
      <c r="K2364" s="243"/>
    </row>
    <row r="2365" spans="2:11" ht="17" customHeight="1">
      <c r="B2365" s="253">
        <v>45977</v>
      </c>
      <c r="C2365" s="263" t="s">
        <v>117</v>
      </c>
      <c r="D2365" s="255" t="s">
        <v>2196</v>
      </c>
      <c r="E2365" s="256"/>
      <c r="F2365" s="257">
        <v>50</v>
      </c>
      <c r="G2365" s="258" t="s">
        <v>229</v>
      </c>
      <c r="H2365" s="259"/>
      <c r="I2365" s="541">
        <f t="shared" si="44"/>
        <v>126260.87142857126</v>
      </c>
      <c r="K2365" s="243"/>
    </row>
    <row r="2366" spans="2:11" ht="17" customHeight="1">
      <c r="B2366" s="253">
        <v>45977</v>
      </c>
      <c r="C2366" s="263" t="s">
        <v>117</v>
      </c>
      <c r="D2366" s="255" t="s">
        <v>2232</v>
      </c>
      <c r="E2366" s="256"/>
      <c r="F2366" s="257">
        <v>80</v>
      </c>
      <c r="G2366" s="258" t="s">
        <v>233</v>
      </c>
      <c r="H2366" s="259"/>
      <c r="I2366" s="541">
        <f t="shared" si="44"/>
        <v>126160.87142857126</v>
      </c>
      <c r="K2366" s="243"/>
    </row>
    <row r="2367" spans="2:11" ht="17" customHeight="1">
      <c r="B2367" s="253">
        <v>45977</v>
      </c>
      <c r="C2367" s="263" t="s">
        <v>117</v>
      </c>
      <c r="D2367" s="255" t="s">
        <v>2286</v>
      </c>
      <c r="E2367" s="256"/>
      <c r="F2367" s="257">
        <v>150</v>
      </c>
      <c r="G2367" s="258" t="s">
        <v>230</v>
      </c>
      <c r="H2367" s="259"/>
      <c r="I2367" s="541">
        <f t="shared" si="44"/>
        <v>126140.87142857126</v>
      </c>
      <c r="K2367" s="243"/>
    </row>
    <row r="2368" spans="2:11" ht="17" customHeight="1">
      <c r="B2368" s="253">
        <v>45977</v>
      </c>
      <c r="C2368" s="263" t="s">
        <v>117</v>
      </c>
      <c r="D2368" s="255" t="s">
        <v>525</v>
      </c>
      <c r="E2368" s="256"/>
      <c r="F2368" s="257">
        <v>100</v>
      </c>
      <c r="G2368" s="258" t="s">
        <v>229</v>
      </c>
      <c r="H2368" s="259"/>
      <c r="I2368" s="541">
        <f t="shared" si="44"/>
        <v>125840.87142857126</v>
      </c>
      <c r="K2368" s="243"/>
    </row>
    <row r="2369" spans="2:11" ht="17" customHeight="1">
      <c r="B2369" s="253">
        <v>45977</v>
      </c>
      <c r="C2369" s="263" t="s">
        <v>117</v>
      </c>
      <c r="D2369" s="255" t="s">
        <v>817</v>
      </c>
      <c r="E2369" s="256"/>
      <c r="F2369" s="257">
        <v>20</v>
      </c>
      <c r="G2369" s="258" t="s">
        <v>238</v>
      </c>
      <c r="H2369" s="259"/>
      <c r="I2369" s="541">
        <f t="shared" si="44"/>
        <v>125340.87142857126</v>
      </c>
      <c r="K2369" s="243"/>
    </row>
    <row r="2370" spans="2:11" ht="17" customHeight="1">
      <c r="B2370" s="253">
        <v>45977</v>
      </c>
      <c r="C2370" s="263" t="s">
        <v>117</v>
      </c>
      <c r="D2370" s="255" t="s">
        <v>587</v>
      </c>
      <c r="E2370" s="256"/>
      <c r="F2370" s="257">
        <v>300</v>
      </c>
      <c r="G2370" s="258" t="s">
        <v>230</v>
      </c>
      <c r="H2370" s="259"/>
      <c r="I2370" s="541">
        <f t="shared" si="44"/>
        <v>125330.87142857126</v>
      </c>
      <c r="K2370" s="243"/>
    </row>
    <row r="2371" spans="2:11" ht="17" customHeight="1">
      <c r="B2371" s="253">
        <v>45977</v>
      </c>
      <c r="C2371" s="263" t="s">
        <v>117</v>
      </c>
      <c r="D2371" s="255" t="s">
        <v>530</v>
      </c>
      <c r="E2371" s="256"/>
      <c r="F2371" s="257">
        <v>500</v>
      </c>
      <c r="G2371" s="258" t="s">
        <v>229</v>
      </c>
      <c r="H2371" s="259"/>
      <c r="I2371" s="541">
        <f t="shared" si="44"/>
        <v>128765.32142857126</v>
      </c>
      <c r="K2371" s="243"/>
    </row>
    <row r="2372" spans="2:11" ht="17" customHeight="1">
      <c r="B2372" s="253">
        <v>45977</v>
      </c>
      <c r="C2372" s="263" t="s">
        <v>117</v>
      </c>
      <c r="D2372" s="255" t="s">
        <v>2123</v>
      </c>
      <c r="E2372" s="256"/>
      <c r="F2372" s="257">
        <v>10</v>
      </c>
      <c r="G2372" s="258" t="s">
        <v>232</v>
      </c>
      <c r="H2372" s="259"/>
      <c r="I2372" s="541">
        <f t="shared" si="44"/>
        <v>128981.37142857126</v>
      </c>
      <c r="K2372" s="243"/>
    </row>
    <row r="2373" spans="2:11" ht="17" customHeight="1">
      <c r="B2373" s="253">
        <v>45977</v>
      </c>
      <c r="C2373" s="675" t="s">
        <v>283</v>
      </c>
      <c r="D2373" s="676" t="s">
        <v>283</v>
      </c>
      <c r="E2373" s="677">
        <f>3650.5-E2374</f>
        <v>3434.45</v>
      </c>
      <c r="F2373" s="678"/>
      <c r="G2373" s="258" t="s">
        <v>190</v>
      </c>
      <c r="H2373" s="259"/>
      <c r="I2373" s="541">
        <f t="shared" si="44"/>
        <v>128953.37142857126</v>
      </c>
      <c r="K2373" s="243"/>
    </row>
    <row r="2374" spans="2:11" ht="17" customHeight="1">
      <c r="B2374" s="253">
        <v>45977</v>
      </c>
      <c r="C2374" s="675" t="s">
        <v>283</v>
      </c>
      <c r="D2374" s="676" t="s">
        <v>508</v>
      </c>
      <c r="E2374" s="677">
        <v>216.05</v>
      </c>
      <c r="F2374" s="678"/>
      <c r="G2374" s="258" t="s">
        <v>276</v>
      </c>
      <c r="H2374" s="871"/>
      <c r="I2374" s="541">
        <f t="shared" si="44"/>
        <v>129093.42142857127</v>
      </c>
      <c r="K2374" s="243"/>
    </row>
    <row r="2375" spans="2:11" ht="17" customHeight="1">
      <c r="B2375" s="253">
        <v>45978</v>
      </c>
      <c r="C2375" s="263" t="s">
        <v>117</v>
      </c>
      <c r="D2375" s="255" t="s">
        <v>516</v>
      </c>
      <c r="E2375" s="256"/>
      <c r="F2375" s="257">
        <v>28</v>
      </c>
      <c r="G2375" s="258" t="s">
        <v>201</v>
      </c>
      <c r="H2375" s="259"/>
      <c r="I2375" s="541">
        <f t="shared" si="44"/>
        <v>129106.37142857126</v>
      </c>
      <c r="K2375" s="243"/>
    </row>
    <row r="2376" spans="2:11" ht="17" customHeight="1">
      <c r="B2376" s="253">
        <v>45978</v>
      </c>
      <c r="C2376" s="675" t="s">
        <v>283</v>
      </c>
      <c r="D2376" s="676" t="s">
        <v>283</v>
      </c>
      <c r="E2376" s="677">
        <f>153-E2377</f>
        <v>140.05000000000001</v>
      </c>
      <c r="F2376" s="678"/>
      <c r="G2376" s="258" t="s">
        <v>190</v>
      </c>
      <c r="H2376" s="259"/>
      <c r="I2376" s="541">
        <f t="shared" si="44"/>
        <v>129033.37142857126</v>
      </c>
      <c r="K2376" s="243"/>
    </row>
    <row r="2377" spans="2:11" ht="17" customHeight="1">
      <c r="B2377" s="253">
        <v>45978</v>
      </c>
      <c r="C2377" s="675" t="s">
        <v>283</v>
      </c>
      <c r="D2377" s="676" t="s">
        <v>508</v>
      </c>
      <c r="E2377" s="677">
        <v>12.95</v>
      </c>
      <c r="F2377" s="678"/>
      <c r="G2377" s="258" t="s">
        <v>276</v>
      </c>
      <c r="H2377" s="259"/>
      <c r="I2377" s="541">
        <f t="shared" si="44"/>
        <v>129523.40142857126</v>
      </c>
      <c r="K2377" s="243"/>
    </row>
    <row r="2378" spans="2:11" ht="17" customHeight="1">
      <c r="B2378" s="253">
        <v>45979</v>
      </c>
      <c r="C2378" s="263" t="s">
        <v>117</v>
      </c>
      <c r="D2378" s="255" t="s">
        <v>516</v>
      </c>
      <c r="E2378" s="256"/>
      <c r="F2378" s="257">
        <v>73</v>
      </c>
      <c r="G2378" s="258" t="s">
        <v>201</v>
      </c>
      <c r="H2378" s="259"/>
      <c r="I2378" s="541">
        <f t="shared" si="44"/>
        <v>129572.17142857127</v>
      </c>
      <c r="K2378" s="243"/>
    </row>
    <row r="2379" spans="2:11" ht="17" customHeight="1">
      <c r="B2379" s="253">
        <v>45979</v>
      </c>
      <c r="C2379" s="675" t="s">
        <v>283</v>
      </c>
      <c r="D2379" s="676" t="s">
        <v>283</v>
      </c>
      <c r="E2379" s="677">
        <f>538.8-E2380</f>
        <v>490.03</v>
      </c>
      <c r="F2379" s="678"/>
      <c r="G2379" s="258" t="s">
        <v>190</v>
      </c>
      <c r="H2379" s="259"/>
      <c r="I2379" s="541">
        <f t="shared" si="44"/>
        <v>129507.17142857127</v>
      </c>
      <c r="K2379" s="243"/>
    </row>
    <row r="2380" spans="2:11" ht="17" customHeight="1">
      <c r="B2380" s="253">
        <v>45979</v>
      </c>
      <c r="C2380" s="675" t="s">
        <v>283</v>
      </c>
      <c r="D2380" s="676" t="s">
        <v>508</v>
      </c>
      <c r="E2380" s="677">
        <v>48.77</v>
      </c>
      <c r="F2380" s="678"/>
      <c r="G2380" s="258" t="s">
        <v>276</v>
      </c>
      <c r="H2380" s="259"/>
      <c r="I2380" s="541">
        <f t="shared" si="44"/>
        <v>129501.97142857127</v>
      </c>
      <c r="K2380" s="243"/>
    </row>
    <row r="2381" spans="2:11" ht="17" customHeight="1">
      <c r="B2381" s="253">
        <v>45980</v>
      </c>
      <c r="C2381" s="263" t="s">
        <v>513</v>
      </c>
      <c r="D2381" s="255" t="s">
        <v>873</v>
      </c>
      <c r="E2381" s="256"/>
      <c r="F2381" s="257">
        <v>65</v>
      </c>
      <c r="G2381" s="258" t="s">
        <v>248</v>
      </c>
      <c r="H2381" s="259"/>
      <c r="I2381" s="541">
        <f t="shared" si="44"/>
        <v>129490.67142857127</v>
      </c>
      <c r="K2381" s="243"/>
    </row>
    <row r="2382" spans="2:11" ht="17" customHeight="1">
      <c r="B2382" s="253">
        <v>45980</v>
      </c>
      <c r="C2382" s="263" t="s">
        <v>117</v>
      </c>
      <c r="D2382" s="255" t="s">
        <v>2287</v>
      </c>
      <c r="E2382" s="256"/>
      <c r="F2382" s="257">
        <v>5.2</v>
      </c>
      <c r="G2382" s="258" t="s">
        <v>201</v>
      </c>
      <c r="H2382" s="259"/>
      <c r="I2382" s="541">
        <f t="shared" si="44"/>
        <v>129784.79142857126</v>
      </c>
      <c r="K2382" s="243"/>
    </row>
    <row r="2383" spans="2:11" ht="17" customHeight="1">
      <c r="B2383" s="253">
        <v>45980</v>
      </c>
      <c r="C2383" s="263" t="s">
        <v>117</v>
      </c>
      <c r="D2383" s="255" t="s">
        <v>2288</v>
      </c>
      <c r="E2383" s="256"/>
      <c r="F2383" s="257">
        <v>11.3</v>
      </c>
      <c r="G2383" s="258" t="s">
        <v>199</v>
      </c>
      <c r="H2383" s="259"/>
      <c r="I2383" s="541">
        <f t="shared" si="44"/>
        <v>129866.17142857127</v>
      </c>
      <c r="K2383" s="243"/>
    </row>
    <row r="2384" spans="2:11" ht="17" customHeight="1">
      <c r="B2384" s="253">
        <v>45980</v>
      </c>
      <c r="C2384" s="675" t="s">
        <v>283</v>
      </c>
      <c r="D2384" s="676" t="s">
        <v>283</v>
      </c>
      <c r="E2384" s="677">
        <f>375.5-E2385</f>
        <v>294.12</v>
      </c>
      <c r="F2384" s="678"/>
      <c r="G2384" s="258" t="s">
        <v>190</v>
      </c>
      <c r="H2384" s="259"/>
      <c r="I2384" s="541">
        <f t="shared" si="44"/>
        <v>129754.67142857127</v>
      </c>
      <c r="K2384" s="243"/>
    </row>
    <row r="2385" spans="2:11" ht="17" customHeight="1">
      <c r="B2385" s="253">
        <v>45980</v>
      </c>
      <c r="C2385" s="675" t="s">
        <v>283</v>
      </c>
      <c r="D2385" s="676" t="s">
        <v>508</v>
      </c>
      <c r="E2385" s="677">
        <v>81.38</v>
      </c>
      <c r="F2385" s="678"/>
      <c r="G2385" s="258" t="s">
        <v>276</v>
      </c>
      <c r="H2385" s="259"/>
      <c r="I2385" s="541">
        <f t="shared" si="44"/>
        <v>130154.22142857127</v>
      </c>
      <c r="K2385" s="243"/>
    </row>
    <row r="2386" spans="2:11" ht="17" customHeight="1">
      <c r="B2386" s="253">
        <v>45981</v>
      </c>
      <c r="C2386" s="263" t="s">
        <v>117</v>
      </c>
      <c r="D2386" s="255" t="s">
        <v>306</v>
      </c>
      <c r="E2386" s="256"/>
      <c r="F2386" s="257">
        <v>111.5</v>
      </c>
      <c r="G2386" s="258" t="s">
        <v>194</v>
      </c>
      <c r="H2386" s="259"/>
      <c r="I2386" s="541">
        <f t="shared" si="44"/>
        <v>130202.97142857127</v>
      </c>
      <c r="K2386" s="243"/>
    </row>
    <row r="2387" spans="2:11" ht="17" customHeight="1">
      <c r="B2387" s="253">
        <v>45981</v>
      </c>
      <c r="C2387" s="675" t="s">
        <v>283</v>
      </c>
      <c r="D2387" s="676" t="s">
        <v>283</v>
      </c>
      <c r="E2387" s="677">
        <f>448.3-E2388</f>
        <v>399.55</v>
      </c>
      <c r="F2387" s="678"/>
      <c r="G2387" s="258" t="s">
        <v>190</v>
      </c>
      <c r="H2387" s="259"/>
      <c r="I2387" s="541">
        <f t="shared" si="44"/>
        <v>130156.21142857127</v>
      </c>
      <c r="K2387" s="243"/>
    </row>
    <row r="2388" spans="2:11" ht="17" customHeight="1">
      <c r="B2388" s="253">
        <v>45981</v>
      </c>
      <c r="C2388" s="675" t="s">
        <v>283</v>
      </c>
      <c r="D2388" s="676" t="s">
        <v>508</v>
      </c>
      <c r="E2388" s="677">
        <v>48.75</v>
      </c>
      <c r="F2388" s="678"/>
      <c r="G2388" s="258" t="s">
        <v>276</v>
      </c>
      <c r="H2388" s="259"/>
      <c r="I2388" s="541">
        <f t="shared" ref="I2388:I2443" si="45">I2387+E2390-F2390</f>
        <v>130145.97142857127</v>
      </c>
      <c r="K2388" s="243"/>
    </row>
    <row r="2389" spans="2:11" ht="17" customHeight="1">
      <c r="B2389" s="253">
        <v>45982</v>
      </c>
      <c r="C2389" s="263" t="s">
        <v>2289</v>
      </c>
      <c r="D2389" s="255" t="s">
        <v>646</v>
      </c>
      <c r="E2389" s="256"/>
      <c r="F2389" s="257">
        <v>46.76</v>
      </c>
      <c r="G2389" s="258"/>
      <c r="H2389" s="597" t="s">
        <v>714</v>
      </c>
      <c r="I2389" s="541">
        <f t="shared" si="45"/>
        <v>130110.97142857127</v>
      </c>
      <c r="K2389" s="243"/>
    </row>
    <row r="2390" spans="2:11" ht="17" customHeight="1">
      <c r="B2390" s="253">
        <v>45982</v>
      </c>
      <c r="C2390" s="263" t="s">
        <v>2289</v>
      </c>
      <c r="D2390" s="255" t="s">
        <v>646</v>
      </c>
      <c r="E2390" s="256"/>
      <c r="F2390" s="257">
        <v>10.24</v>
      </c>
      <c r="G2390" s="258"/>
      <c r="H2390" s="597" t="s">
        <v>714</v>
      </c>
      <c r="I2390" s="541">
        <f t="shared" si="45"/>
        <v>130073.07142857127</v>
      </c>
      <c r="K2390" s="243"/>
    </row>
    <row r="2391" spans="2:11" ht="17" customHeight="1">
      <c r="B2391" s="253">
        <v>45982</v>
      </c>
      <c r="C2391" s="263" t="s">
        <v>286</v>
      </c>
      <c r="D2391" s="255" t="s">
        <v>520</v>
      </c>
      <c r="E2391" s="256"/>
      <c r="F2391" s="257">
        <v>35</v>
      </c>
      <c r="G2391" s="258" t="s">
        <v>139</v>
      </c>
      <c r="H2391" s="259"/>
      <c r="I2391" s="541">
        <f t="shared" si="45"/>
        <v>130071.61142857127</v>
      </c>
      <c r="K2391" s="243"/>
    </row>
    <row r="2392" spans="2:11" ht="17" customHeight="1">
      <c r="B2392" s="253">
        <v>45982</v>
      </c>
      <c r="C2392" s="851" t="s">
        <v>2290</v>
      </c>
      <c r="D2392" s="852" t="s">
        <v>512</v>
      </c>
      <c r="E2392" s="853"/>
      <c r="F2392" s="854">
        <v>37.9</v>
      </c>
      <c r="G2392" s="855" t="s">
        <v>199</v>
      </c>
      <c r="H2392" s="259"/>
      <c r="I2392" s="541">
        <f t="shared" si="45"/>
        <v>130491.54142857126</v>
      </c>
      <c r="K2392" s="243"/>
    </row>
    <row r="2393" spans="2:11" ht="17" customHeight="1">
      <c r="B2393" s="253">
        <v>45982</v>
      </c>
      <c r="C2393" s="856" t="s">
        <v>2290</v>
      </c>
      <c r="D2393" s="857" t="s">
        <v>512</v>
      </c>
      <c r="E2393" s="858"/>
      <c r="F2393" s="859">
        <v>1.46</v>
      </c>
      <c r="G2393" s="860" t="s">
        <v>274</v>
      </c>
      <c r="H2393" s="259"/>
      <c r="I2393" s="541">
        <f t="shared" si="45"/>
        <v>130568.51142857126</v>
      </c>
      <c r="K2393" s="243"/>
    </row>
    <row r="2394" spans="2:11" ht="17" customHeight="1">
      <c r="B2394" s="253">
        <v>45982</v>
      </c>
      <c r="C2394" s="675" t="s">
        <v>283</v>
      </c>
      <c r="D2394" s="676" t="s">
        <v>283</v>
      </c>
      <c r="E2394" s="677">
        <f>496.9-E2395</f>
        <v>419.92999999999995</v>
      </c>
      <c r="F2394" s="678"/>
      <c r="G2394" s="258" t="s">
        <v>190</v>
      </c>
      <c r="H2394" s="259"/>
      <c r="I2394" s="541">
        <f t="shared" si="45"/>
        <v>130508.51142857126</v>
      </c>
      <c r="K2394" s="243"/>
    </row>
    <row r="2395" spans="2:11" ht="17" customHeight="1">
      <c r="B2395" s="253">
        <v>45982</v>
      </c>
      <c r="C2395" s="675" t="s">
        <v>283</v>
      </c>
      <c r="D2395" s="676" t="s">
        <v>508</v>
      </c>
      <c r="E2395" s="677">
        <v>76.97</v>
      </c>
      <c r="F2395" s="678"/>
      <c r="G2395" s="258" t="s">
        <v>276</v>
      </c>
      <c r="H2395" s="259"/>
      <c r="I2395" s="541">
        <f t="shared" si="45"/>
        <v>130428.51142857126</v>
      </c>
      <c r="K2395" s="243"/>
    </row>
    <row r="2396" spans="2:11" ht="17" customHeight="1">
      <c r="B2396" s="253">
        <v>45983</v>
      </c>
      <c r="C2396" s="263" t="s">
        <v>513</v>
      </c>
      <c r="D2396" s="255" t="s">
        <v>2070</v>
      </c>
      <c r="E2396" s="256"/>
      <c r="F2396" s="257">
        <v>60</v>
      </c>
      <c r="G2396" s="258" t="s">
        <v>245</v>
      </c>
      <c r="H2396" s="259"/>
      <c r="I2396" s="541">
        <f t="shared" si="45"/>
        <v>130962.56142857127</v>
      </c>
      <c r="K2396" s="243"/>
    </row>
    <row r="2397" spans="2:11" ht="17" customHeight="1">
      <c r="B2397" s="253">
        <v>45983</v>
      </c>
      <c r="C2397" s="263" t="s">
        <v>117</v>
      </c>
      <c r="D2397" s="255" t="s">
        <v>2285</v>
      </c>
      <c r="E2397" s="256"/>
      <c r="F2397" s="257">
        <v>80</v>
      </c>
      <c r="G2397" s="258" t="s">
        <v>234</v>
      </c>
      <c r="H2397" s="259"/>
      <c r="I2397" s="541">
        <f t="shared" si="45"/>
        <v>131178.91142857127</v>
      </c>
      <c r="K2397" s="243"/>
    </row>
    <row r="2398" spans="2:11" ht="17" customHeight="1">
      <c r="B2398" s="253">
        <v>45983</v>
      </c>
      <c r="C2398" s="675" t="s">
        <v>283</v>
      </c>
      <c r="D2398" s="676" t="s">
        <v>283</v>
      </c>
      <c r="E2398" s="677">
        <f>750.4-E2399</f>
        <v>534.04999999999995</v>
      </c>
      <c r="F2398" s="678"/>
      <c r="G2398" s="258" t="s">
        <v>190</v>
      </c>
      <c r="H2398" s="259"/>
      <c r="I2398" s="541">
        <f t="shared" si="45"/>
        <v>131678.91142857127</v>
      </c>
      <c r="K2398" s="243"/>
    </row>
    <row r="2399" spans="2:11" ht="17" customHeight="1">
      <c r="B2399" s="253">
        <v>45983</v>
      </c>
      <c r="C2399" s="675" t="s">
        <v>283</v>
      </c>
      <c r="D2399" s="676" t="s">
        <v>508</v>
      </c>
      <c r="E2399" s="677">
        <v>216.35</v>
      </c>
      <c r="F2399" s="678"/>
      <c r="G2399" s="258" t="s">
        <v>276</v>
      </c>
      <c r="H2399" s="259"/>
      <c r="I2399" s="541">
        <f t="shared" si="45"/>
        <v>131643.91142857127</v>
      </c>
      <c r="K2399" s="243"/>
    </row>
    <row r="2400" spans="2:11" ht="17" customHeight="1">
      <c r="B2400" s="253">
        <v>45983</v>
      </c>
      <c r="C2400" s="675" t="s">
        <v>283</v>
      </c>
      <c r="D2400" s="676" t="s">
        <v>283</v>
      </c>
      <c r="E2400" s="677">
        <v>500</v>
      </c>
      <c r="F2400" s="678"/>
      <c r="G2400" s="258" t="s">
        <v>190</v>
      </c>
      <c r="H2400" s="681" t="s">
        <v>2177</v>
      </c>
      <c r="I2400" s="541">
        <f t="shared" si="45"/>
        <v>132108.54142857128</v>
      </c>
      <c r="K2400" s="243"/>
    </row>
    <row r="2401" spans="2:11" ht="17" customHeight="1">
      <c r="B2401" s="253">
        <v>45984</v>
      </c>
      <c r="C2401" s="263" t="s">
        <v>513</v>
      </c>
      <c r="D2401" s="255" t="s">
        <v>688</v>
      </c>
      <c r="E2401" s="256"/>
      <c r="F2401" s="257">
        <v>35</v>
      </c>
      <c r="G2401" s="258" t="s">
        <v>248</v>
      </c>
      <c r="H2401" s="259"/>
      <c r="I2401" s="541">
        <f t="shared" si="45"/>
        <v>132190.41142857127</v>
      </c>
      <c r="K2401" s="243"/>
    </row>
    <row r="2402" spans="2:11" ht="17" customHeight="1">
      <c r="B2402" s="253">
        <v>45984</v>
      </c>
      <c r="C2402" s="675" t="s">
        <v>283</v>
      </c>
      <c r="D2402" s="676" t="s">
        <v>283</v>
      </c>
      <c r="E2402" s="677">
        <f>546.5-E2403</f>
        <v>464.63</v>
      </c>
      <c r="F2402" s="678"/>
      <c r="G2402" s="258" t="s">
        <v>190</v>
      </c>
      <c r="H2402" s="259"/>
      <c r="I2402" s="541">
        <f t="shared" si="45"/>
        <v>130832.41142857127</v>
      </c>
      <c r="K2402" s="243"/>
    </row>
    <row r="2403" spans="2:11" ht="17" customHeight="1">
      <c r="B2403" s="253">
        <v>45984</v>
      </c>
      <c r="C2403" s="675" t="s">
        <v>283</v>
      </c>
      <c r="D2403" s="676" t="s">
        <v>508</v>
      </c>
      <c r="E2403" s="677">
        <v>81.87</v>
      </c>
      <c r="F2403" s="678"/>
      <c r="G2403" s="258" t="s">
        <v>276</v>
      </c>
      <c r="H2403" s="259"/>
      <c r="I2403" s="541">
        <f t="shared" si="45"/>
        <v>130911.23142857128</v>
      </c>
      <c r="K2403" s="243"/>
    </row>
    <row r="2404" spans="2:11" ht="17" customHeight="1">
      <c r="B2404" s="253">
        <v>45985</v>
      </c>
      <c r="C2404" s="263" t="s">
        <v>117</v>
      </c>
      <c r="D2404" s="255" t="s">
        <v>2291</v>
      </c>
      <c r="E2404" s="256"/>
      <c r="F2404" s="257">
        <v>1358</v>
      </c>
      <c r="G2404" s="258" t="s">
        <v>194</v>
      </c>
      <c r="H2404" s="259"/>
      <c r="I2404" s="541">
        <f t="shared" si="45"/>
        <v>130927.41142857127</v>
      </c>
      <c r="K2404" s="243"/>
    </row>
    <row r="2405" spans="2:11" ht="17" customHeight="1">
      <c r="B2405" s="253">
        <v>45985</v>
      </c>
      <c r="C2405" s="675" t="s">
        <v>283</v>
      </c>
      <c r="D2405" s="676" t="s">
        <v>283</v>
      </c>
      <c r="E2405" s="677">
        <f>95-E2406</f>
        <v>78.819999999999993</v>
      </c>
      <c r="F2405" s="678"/>
      <c r="G2405" s="258" t="s">
        <v>190</v>
      </c>
      <c r="H2405" s="259"/>
      <c r="I2405" s="541">
        <f t="shared" si="45"/>
        <v>130889.41142857127</v>
      </c>
      <c r="K2405" s="243"/>
    </row>
    <row r="2406" spans="2:11" ht="17" customHeight="1">
      <c r="B2406" s="253">
        <v>45985</v>
      </c>
      <c r="C2406" s="675" t="s">
        <v>283</v>
      </c>
      <c r="D2406" s="676" t="s">
        <v>508</v>
      </c>
      <c r="E2406" s="677">
        <v>16.18</v>
      </c>
      <c r="F2406" s="678"/>
      <c r="G2406" s="258" t="s">
        <v>276</v>
      </c>
      <c r="H2406" s="259"/>
      <c r="I2406" s="541">
        <f t="shared" si="45"/>
        <v>130860.41142857127</v>
      </c>
      <c r="K2406" s="243"/>
    </row>
    <row r="2407" spans="2:11" ht="17" customHeight="1">
      <c r="B2407" s="253">
        <v>45986</v>
      </c>
      <c r="C2407" s="263" t="s">
        <v>117</v>
      </c>
      <c r="D2407" s="255" t="s">
        <v>846</v>
      </c>
      <c r="E2407" s="256"/>
      <c r="F2407" s="257">
        <v>38</v>
      </c>
      <c r="G2407" s="258" t="s">
        <v>201</v>
      </c>
      <c r="H2407" s="259"/>
      <c r="I2407" s="541">
        <f t="shared" si="45"/>
        <v>130810.41142857127</v>
      </c>
      <c r="K2407" s="243"/>
    </row>
    <row r="2408" spans="2:11" ht="17" customHeight="1">
      <c r="B2408" s="253">
        <v>45986</v>
      </c>
      <c r="C2408" s="263" t="s">
        <v>117</v>
      </c>
      <c r="D2408" s="255" t="s">
        <v>846</v>
      </c>
      <c r="E2408" s="256"/>
      <c r="F2408" s="257">
        <v>29</v>
      </c>
      <c r="G2408" s="258"/>
      <c r="H2408" s="597" t="s">
        <v>714</v>
      </c>
      <c r="I2408" s="541">
        <f t="shared" si="45"/>
        <v>130775.41142857127</v>
      </c>
      <c r="K2408" s="243"/>
    </row>
    <row r="2409" spans="2:11" ht="17" customHeight="1">
      <c r="B2409" s="253">
        <v>45987</v>
      </c>
      <c r="C2409" s="263" t="s">
        <v>513</v>
      </c>
      <c r="D2409" s="255" t="s">
        <v>873</v>
      </c>
      <c r="E2409" s="256"/>
      <c r="F2409" s="257">
        <v>50</v>
      </c>
      <c r="G2409" s="258" t="s">
        <v>248</v>
      </c>
      <c r="H2409" s="259"/>
      <c r="I2409" s="541">
        <f t="shared" si="45"/>
        <v>130769.81142857127</v>
      </c>
      <c r="K2409" s="243"/>
    </row>
    <row r="2410" spans="2:11" ht="17" customHeight="1">
      <c r="B2410" s="253">
        <v>45987</v>
      </c>
      <c r="C2410" s="263" t="s">
        <v>286</v>
      </c>
      <c r="D2410" s="255" t="s">
        <v>520</v>
      </c>
      <c r="E2410" s="256"/>
      <c r="F2410" s="257">
        <v>35</v>
      </c>
      <c r="G2410" s="258" t="s">
        <v>139</v>
      </c>
      <c r="H2410" s="259"/>
      <c r="I2410" s="541">
        <f t="shared" si="45"/>
        <v>131173.17142857125</v>
      </c>
      <c r="K2410" s="243"/>
    </row>
    <row r="2411" spans="2:11" ht="17" customHeight="1">
      <c r="B2411" s="253">
        <v>45987</v>
      </c>
      <c r="C2411" s="263" t="s">
        <v>117</v>
      </c>
      <c r="D2411" s="255" t="s">
        <v>2287</v>
      </c>
      <c r="E2411" s="256"/>
      <c r="F2411" s="257">
        <v>5.6</v>
      </c>
      <c r="G2411" s="258" t="s">
        <v>201</v>
      </c>
      <c r="H2411" s="259"/>
      <c r="I2411" s="541">
        <f t="shared" si="45"/>
        <v>131213.61142857125</v>
      </c>
      <c r="K2411" s="243"/>
    </row>
    <row r="2412" spans="2:11" ht="17" customHeight="1">
      <c r="B2412" s="253">
        <v>45987</v>
      </c>
      <c r="C2412" s="675" t="s">
        <v>283</v>
      </c>
      <c r="D2412" s="676" t="s">
        <v>283</v>
      </c>
      <c r="E2412" s="677">
        <f>443.8-E2413</f>
        <v>403.36</v>
      </c>
      <c r="F2412" s="678"/>
      <c r="G2412" s="258" t="s">
        <v>190</v>
      </c>
      <c r="H2412" s="259"/>
      <c r="I2412" s="541">
        <f t="shared" si="45"/>
        <v>133216.61142857125</v>
      </c>
      <c r="K2412" s="243"/>
    </row>
    <row r="2413" spans="2:11" ht="17" customHeight="1">
      <c r="B2413" s="253">
        <v>45987</v>
      </c>
      <c r="C2413" s="675" t="s">
        <v>283</v>
      </c>
      <c r="D2413" s="676" t="s">
        <v>508</v>
      </c>
      <c r="E2413" s="677">
        <v>40.44</v>
      </c>
      <c r="F2413" s="678"/>
      <c r="G2413" s="258" t="s">
        <v>276</v>
      </c>
      <c r="H2413" s="259"/>
      <c r="I2413" s="541">
        <f t="shared" si="45"/>
        <v>133703.80142857126</v>
      </c>
      <c r="K2413" s="243"/>
    </row>
    <row r="2414" spans="2:11" ht="17" customHeight="1">
      <c r="B2414" s="253">
        <v>45987</v>
      </c>
      <c r="C2414" s="263" t="s">
        <v>117</v>
      </c>
      <c r="D2414" s="255" t="s">
        <v>714</v>
      </c>
      <c r="E2414" s="256">
        <v>2003</v>
      </c>
      <c r="F2414" s="257"/>
      <c r="G2414" s="258"/>
      <c r="H2414" s="262"/>
      <c r="I2414" s="541">
        <f t="shared" si="45"/>
        <v>133763.61142857125</v>
      </c>
      <c r="K2414" s="243"/>
    </row>
    <row r="2415" spans="2:11" ht="17" customHeight="1">
      <c r="B2415" s="253">
        <v>45988</v>
      </c>
      <c r="C2415" s="675" t="s">
        <v>283</v>
      </c>
      <c r="D2415" s="676" t="s">
        <v>283</v>
      </c>
      <c r="E2415" s="677">
        <f>547-E2416</f>
        <v>487.19</v>
      </c>
      <c r="F2415" s="678"/>
      <c r="G2415" s="258" t="s">
        <v>190</v>
      </c>
      <c r="H2415" s="259"/>
      <c r="I2415" s="541">
        <f t="shared" si="45"/>
        <v>133745.61142857125</v>
      </c>
      <c r="K2415" s="243"/>
    </row>
    <row r="2416" spans="2:11" ht="17" customHeight="1">
      <c r="B2416" s="253">
        <v>45988</v>
      </c>
      <c r="C2416" s="675" t="s">
        <v>283</v>
      </c>
      <c r="D2416" s="676" t="s">
        <v>508</v>
      </c>
      <c r="E2416" s="677">
        <v>59.81</v>
      </c>
      <c r="F2416" s="678"/>
      <c r="G2416" s="258" t="s">
        <v>276</v>
      </c>
      <c r="H2416" s="259"/>
      <c r="I2416" s="541">
        <f t="shared" si="45"/>
        <v>133707.81142857127</v>
      </c>
      <c r="K2416" s="243"/>
    </row>
    <row r="2417" spans="2:11" ht="17" customHeight="1">
      <c r="B2417" s="253">
        <v>45989</v>
      </c>
      <c r="C2417" s="263" t="s">
        <v>117</v>
      </c>
      <c r="D2417" s="255" t="s">
        <v>2295</v>
      </c>
      <c r="E2417" s="256"/>
      <c r="F2417" s="257">
        <v>18</v>
      </c>
      <c r="G2417" s="258" t="s">
        <v>208</v>
      </c>
      <c r="H2417" s="259"/>
      <c r="I2417" s="541">
        <f t="shared" si="45"/>
        <v>133705.36142857125</v>
      </c>
      <c r="K2417" s="243"/>
    </row>
    <row r="2418" spans="2:11" ht="17" customHeight="1">
      <c r="B2418" s="253">
        <v>45989</v>
      </c>
      <c r="C2418" s="263" t="s">
        <v>2296</v>
      </c>
      <c r="D2418" s="255" t="s">
        <v>512</v>
      </c>
      <c r="E2418" s="256"/>
      <c r="F2418" s="257">
        <v>37.799999999999997</v>
      </c>
      <c r="G2418" s="258" t="s">
        <v>199</v>
      </c>
      <c r="H2418" s="259"/>
      <c r="I2418" s="541">
        <f t="shared" si="45"/>
        <v>133645.36142857125</v>
      </c>
      <c r="K2418" s="243"/>
    </row>
    <row r="2419" spans="2:11" ht="17" customHeight="1">
      <c r="B2419" s="253">
        <v>45989</v>
      </c>
      <c r="C2419" s="263" t="s">
        <v>2296</v>
      </c>
      <c r="D2419" s="255" t="s">
        <v>512</v>
      </c>
      <c r="E2419" s="256"/>
      <c r="F2419" s="257">
        <v>2.4500000000000002</v>
      </c>
      <c r="G2419" s="258" t="s">
        <v>274</v>
      </c>
      <c r="H2419" s="259"/>
      <c r="I2419" s="541">
        <f t="shared" si="45"/>
        <v>133145.36142857125</v>
      </c>
      <c r="K2419" s="243"/>
    </row>
    <row r="2420" spans="2:11" ht="17" customHeight="1">
      <c r="B2420" s="253">
        <v>45989</v>
      </c>
      <c r="C2420" s="263" t="s">
        <v>513</v>
      </c>
      <c r="D2420" s="255" t="s">
        <v>31</v>
      </c>
      <c r="E2420" s="256"/>
      <c r="F2420" s="257">
        <v>60</v>
      </c>
      <c r="G2420" s="258" t="s">
        <v>245</v>
      </c>
      <c r="H2420" s="259"/>
      <c r="I2420" s="541">
        <f t="shared" si="45"/>
        <v>133922.06142857127</v>
      </c>
      <c r="K2420" s="243"/>
    </row>
    <row r="2421" spans="2:11" ht="17" customHeight="1">
      <c r="B2421" s="253">
        <v>45989</v>
      </c>
      <c r="C2421" s="263" t="s">
        <v>286</v>
      </c>
      <c r="D2421" s="255" t="s">
        <v>520</v>
      </c>
      <c r="E2421" s="256"/>
      <c r="F2421" s="257">
        <v>500</v>
      </c>
      <c r="G2421" s="258" t="s">
        <v>139</v>
      </c>
      <c r="H2421" s="259"/>
      <c r="I2421" s="541">
        <f t="shared" si="45"/>
        <v>133986.16142857127</v>
      </c>
      <c r="K2421" s="243"/>
    </row>
    <row r="2422" spans="2:11" ht="17" customHeight="1">
      <c r="B2422" s="253">
        <v>45989</v>
      </c>
      <c r="C2422" s="675" t="s">
        <v>283</v>
      </c>
      <c r="D2422" s="676" t="s">
        <v>283</v>
      </c>
      <c r="E2422" s="677">
        <f>840.8-E2423</f>
        <v>776.69999999999993</v>
      </c>
      <c r="F2422" s="678"/>
      <c r="G2422" s="258" t="s">
        <v>190</v>
      </c>
      <c r="H2422" s="259"/>
      <c r="I2422" s="541">
        <f t="shared" si="45"/>
        <v>135065.01142857128</v>
      </c>
      <c r="K2422" s="243"/>
    </row>
    <row r="2423" spans="2:11" ht="17" customHeight="1">
      <c r="B2423" s="253">
        <v>45989</v>
      </c>
      <c r="C2423" s="675" t="s">
        <v>283</v>
      </c>
      <c r="D2423" s="676" t="s">
        <v>508</v>
      </c>
      <c r="E2423" s="677">
        <v>64.099999999999994</v>
      </c>
      <c r="F2423" s="678"/>
      <c r="G2423" s="258" t="s">
        <v>276</v>
      </c>
      <c r="H2423" s="259"/>
      <c r="I2423" s="541">
        <f t="shared" si="45"/>
        <v>135227.46142857129</v>
      </c>
      <c r="K2423" s="243"/>
    </row>
    <row r="2424" spans="2:11" ht="17" customHeight="1">
      <c r="B2424" s="253">
        <v>45990</v>
      </c>
      <c r="C2424" s="675" t="s">
        <v>283</v>
      </c>
      <c r="D2424" s="676" t="s">
        <v>283</v>
      </c>
      <c r="E2424" s="677">
        <f>1241.3-E2425</f>
        <v>1078.8499999999999</v>
      </c>
      <c r="F2424" s="678"/>
      <c r="G2424" s="258" t="s">
        <v>190</v>
      </c>
      <c r="H2424" s="259"/>
      <c r="I2424" s="541">
        <f t="shared" si="45"/>
        <v>135898.86142857128</v>
      </c>
      <c r="K2424" s="243"/>
    </row>
    <row r="2425" spans="2:11" ht="17" customHeight="1">
      <c r="B2425" s="253">
        <v>45990</v>
      </c>
      <c r="C2425" s="675" t="s">
        <v>283</v>
      </c>
      <c r="D2425" s="676" t="s">
        <v>508</v>
      </c>
      <c r="E2425" s="677">
        <v>162.44999999999999</v>
      </c>
      <c r="F2425" s="678"/>
      <c r="G2425" s="258" t="s">
        <v>276</v>
      </c>
      <c r="H2425" s="259"/>
      <c r="I2425" s="541">
        <f t="shared" si="45"/>
        <v>135987.96142857129</v>
      </c>
      <c r="K2425" s="243"/>
    </row>
    <row r="2426" spans="2:11" ht="17" customHeight="1">
      <c r="B2426" s="253">
        <v>45991</v>
      </c>
      <c r="C2426" s="675" t="s">
        <v>283</v>
      </c>
      <c r="D2426" s="676" t="s">
        <v>283</v>
      </c>
      <c r="E2426" s="677">
        <f>760.5-E2427</f>
        <v>671.4</v>
      </c>
      <c r="F2426" s="678"/>
      <c r="G2426" s="258" t="s">
        <v>190</v>
      </c>
      <c r="H2426" s="259"/>
      <c r="I2426" s="541">
        <f t="shared" si="45"/>
        <v>135972.76142857128</v>
      </c>
      <c r="K2426" s="243"/>
    </row>
    <row r="2427" spans="2:11" ht="17" customHeight="1">
      <c r="B2427" s="253">
        <v>45991</v>
      </c>
      <c r="C2427" s="675" t="s">
        <v>283</v>
      </c>
      <c r="D2427" s="676" t="s">
        <v>508</v>
      </c>
      <c r="E2427" s="677">
        <v>89.1</v>
      </c>
      <c r="F2427" s="678"/>
      <c r="G2427" s="258" t="s">
        <v>276</v>
      </c>
      <c r="H2427" s="259"/>
      <c r="I2427" s="541">
        <f t="shared" si="45"/>
        <v>135957.76142857128</v>
      </c>
      <c r="K2427" s="243"/>
    </row>
    <row r="2428" spans="2:11" ht="17" customHeight="1">
      <c r="B2428" s="253">
        <v>45957</v>
      </c>
      <c r="C2428" s="263" t="s">
        <v>2320</v>
      </c>
      <c r="D2428" s="255" t="s">
        <v>545</v>
      </c>
      <c r="E2428" s="256"/>
      <c r="F2428" s="257">
        <v>15.2</v>
      </c>
      <c r="G2428" s="258" t="s">
        <v>205</v>
      </c>
      <c r="H2428" s="259"/>
      <c r="I2428" s="541">
        <f t="shared" si="45"/>
        <v>135947.76142857128</v>
      </c>
      <c r="K2428" s="243"/>
    </row>
    <row r="2429" spans="2:11" ht="17" customHeight="1">
      <c r="B2429" s="253">
        <v>45957</v>
      </c>
      <c r="C2429" s="263" t="s">
        <v>2321</v>
      </c>
      <c r="D2429" s="255" t="s">
        <v>545</v>
      </c>
      <c r="E2429" s="256"/>
      <c r="F2429" s="257">
        <v>15</v>
      </c>
      <c r="G2429" s="258" t="s">
        <v>208</v>
      </c>
      <c r="H2429" s="259"/>
      <c r="I2429" s="541">
        <f t="shared" si="45"/>
        <v>135785.76142857128</v>
      </c>
      <c r="K2429" s="243"/>
    </row>
    <row r="2430" spans="2:11" ht="17" customHeight="1">
      <c r="B2430" s="253">
        <v>45957</v>
      </c>
      <c r="C2430" s="263" t="s">
        <v>2322</v>
      </c>
      <c r="D2430" s="255" t="s">
        <v>545</v>
      </c>
      <c r="E2430" s="256"/>
      <c r="F2430" s="257">
        <v>10</v>
      </c>
      <c r="G2430" s="258" t="s">
        <v>208</v>
      </c>
      <c r="H2430" s="259"/>
      <c r="I2430" s="541">
        <f t="shared" si="45"/>
        <v>135776.76142857128</v>
      </c>
      <c r="K2430" s="243"/>
    </row>
    <row r="2431" spans="2:11" ht="17" customHeight="1">
      <c r="B2431" s="253">
        <v>45957</v>
      </c>
      <c r="C2431" s="263" t="s">
        <v>2323</v>
      </c>
      <c r="D2431" s="255" t="s">
        <v>545</v>
      </c>
      <c r="E2431" s="256"/>
      <c r="F2431" s="257">
        <v>162</v>
      </c>
      <c r="G2431" s="258" t="s">
        <v>207</v>
      </c>
      <c r="H2431" s="259"/>
      <c r="I2431" s="541">
        <f t="shared" si="45"/>
        <v>135757.36142857128</v>
      </c>
      <c r="K2431" s="243"/>
    </row>
    <row r="2432" spans="2:11" ht="17" customHeight="1">
      <c r="B2432" s="253">
        <v>45960</v>
      </c>
      <c r="C2432" s="263" t="s">
        <v>2324</v>
      </c>
      <c r="D2432" s="255" t="s">
        <v>545</v>
      </c>
      <c r="E2432" s="256"/>
      <c r="F2432" s="257">
        <v>9</v>
      </c>
      <c r="G2432" s="258" t="s">
        <v>208</v>
      </c>
      <c r="H2432" s="259"/>
      <c r="I2432" s="541">
        <f t="shared" si="45"/>
        <v>135748.66142857127</v>
      </c>
      <c r="K2432" s="243"/>
    </row>
    <row r="2433" spans="2:11" ht="17" customHeight="1">
      <c r="B2433" s="253">
        <v>45962</v>
      </c>
      <c r="C2433" s="263" t="s">
        <v>2325</v>
      </c>
      <c r="D2433" s="255" t="s">
        <v>545</v>
      </c>
      <c r="E2433" s="256"/>
      <c r="F2433" s="257">
        <v>19.399999999999999</v>
      </c>
      <c r="G2433" s="258" t="s">
        <v>207</v>
      </c>
      <c r="H2433" s="259"/>
      <c r="I2433" s="541">
        <f t="shared" si="45"/>
        <v>135723.66142857127</v>
      </c>
      <c r="K2433" s="243"/>
    </row>
    <row r="2434" spans="2:11" ht="17" customHeight="1">
      <c r="B2434" s="253">
        <v>45964</v>
      </c>
      <c r="C2434" s="263" t="s">
        <v>2326</v>
      </c>
      <c r="D2434" s="255" t="s">
        <v>545</v>
      </c>
      <c r="E2434" s="256"/>
      <c r="F2434" s="257">
        <v>8.6999999999999993</v>
      </c>
      <c r="G2434" s="258" t="s">
        <v>208</v>
      </c>
      <c r="H2434" s="259"/>
      <c r="I2434" s="541">
        <f t="shared" si="45"/>
        <v>135701.66142857127</v>
      </c>
      <c r="K2434" s="243"/>
    </row>
    <row r="2435" spans="2:11" ht="17" customHeight="1">
      <c r="B2435" s="253">
        <v>45971</v>
      </c>
      <c r="C2435" s="263" t="s">
        <v>2327</v>
      </c>
      <c r="D2435" s="255" t="s">
        <v>545</v>
      </c>
      <c r="E2435" s="256"/>
      <c r="F2435" s="257">
        <v>25</v>
      </c>
      <c r="G2435" s="258" t="s">
        <v>207</v>
      </c>
      <c r="H2435" s="259"/>
      <c r="I2435" s="541">
        <f t="shared" si="45"/>
        <v>135693.67142857128</v>
      </c>
      <c r="K2435" s="243"/>
    </row>
    <row r="2436" spans="2:11" ht="17" customHeight="1">
      <c r="B2436" s="253">
        <v>45971</v>
      </c>
      <c r="C2436" s="263" t="s">
        <v>2328</v>
      </c>
      <c r="D2436" s="255" t="s">
        <v>545</v>
      </c>
      <c r="E2436" s="256"/>
      <c r="F2436" s="257">
        <v>22</v>
      </c>
      <c r="G2436" s="258" t="s">
        <v>207</v>
      </c>
      <c r="H2436" s="259"/>
      <c r="I2436" s="541">
        <f t="shared" si="45"/>
        <v>135673.87142857129</v>
      </c>
      <c r="K2436" s="243"/>
    </row>
    <row r="2437" spans="2:11" ht="17" customHeight="1">
      <c r="B2437" s="253">
        <v>45973</v>
      </c>
      <c r="C2437" s="263" t="s">
        <v>2329</v>
      </c>
      <c r="D2437" s="255" t="s">
        <v>545</v>
      </c>
      <c r="E2437" s="256"/>
      <c r="F2437" s="257">
        <v>7.99</v>
      </c>
      <c r="G2437" s="258" t="s">
        <v>207</v>
      </c>
      <c r="H2437" s="259"/>
      <c r="I2437" s="541">
        <f t="shared" si="45"/>
        <v>135661.87142857129</v>
      </c>
      <c r="K2437" s="243"/>
    </row>
    <row r="2438" spans="2:11" ht="17" customHeight="1">
      <c r="B2438" s="253">
        <v>45981</v>
      </c>
      <c r="C2438" s="263" t="s">
        <v>2330</v>
      </c>
      <c r="D2438" s="255" t="s">
        <v>545</v>
      </c>
      <c r="E2438" s="256"/>
      <c r="F2438" s="257">
        <v>19.8</v>
      </c>
      <c r="G2438" s="258" t="s">
        <v>207</v>
      </c>
      <c r="H2438" s="259"/>
      <c r="I2438" s="541">
        <f t="shared" si="45"/>
        <v>135643.87142857129</v>
      </c>
      <c r="K2438" s="243"/>
    </row>
    <row r="2439" spans="2:11" ht="17" customHeight="1">
      <c r="B2439" s="253">
        <v>45983</v>
      </c>
      <c r="C2439" s="263" t="s">
        <v>2331</v>
      </c>
      <c r="D2439" s="255" t="s">
        <v>545</v>
      </c>
      <c r="E2439" s="256"/>
      <c r="F2439" s="257">
        <v>12</v>
      </c>
      <c r="G2439" s="258" t="s">
        <v>207</v>
      </c>
      <c r="H2439" s="259"/>
      <c r="I2439" s="541">
        <f t="shared" si="45"/>
        <v>135626.87142857129</v>
      </c>
      <c r="K2439" s="243"/>
    </row>
    <row r="2440" spans="2:11" ht="17" customHeight="1">
      <c r="B2440" s="253">
        <v>45985</v>
      </c>
      <c r="C2440" s="263" t="s">
        <v>2332</v>
      </c>
      <c r="D2440" s="255" t="s">
        <v>545</v>
      </c>
      <c r="E2440" s="256"/>
      <c r="F2440" s="257">
        <v>18</v>
      </c>
      <c r="G2440" s="258" t="s">
        <v>207</v>
      </c>
      <c r="H2440" s="259"/>
      <c r="I2440" s="541">
        <f t="shared" si="45"/>
        <v>135487.6614285713</v>
      </c>
      <c r="K2440" s="243"/>
    </row>
    <row r="2441" spans="2:11" ht="17" customHeight="1">
      <c r="B2441" s="253">
        <v>45986</v>
      </c>
      <c r="C2441" s="263" t="s">
        <v>2333</v>
      </c>
      <c r="D2441" s="255" t="s">
        <v>545</v>
      </c>
      <c r="E2441" s="256"/>
      <c r="F2441" s="257">
        <v>17</v>
      </c>
      <c r="G2441" s="258" t="s">
        <v>207</v>
      </c>
      <c r="H2441" s="259"/>
      <c r="I2441" s="541">
        <f t="shared" si="45"/>
        <v>135473.6614285713</v>
      </c>
      <c r="K2441" s="243"/>
    </row>
    <row r="2442" spans="2:11" ht="17" customHeight="1">
      <c r="B2442" s="253">
        <v>45986</v>
      </c>
      <c r="C2442" s="263" t="s">
        <v>2334</v>
      </c>
      <c r="D2442" s="255" t="s">
        <v>545</v>
      </c>
      <c r="E2442" s="256"/>
      <c r="F2442" s="257">
        <v>139.21</v>
      </c>
      <c r="G2442" s="258" t="s">
        <v>207</v>
      </c>
      <c r="H2442" s="259"/>
      <c r="I2442" s="541">
        <f t="shared" si="45"/>
        <v>135445.6614285713</v>
      </c>
      <c r="K2442" s="243"/>
    </row>
    <row r="2443" spans="2:11" ht="17" customHeight="1">
      <c r="B2443" s="253">
        <v>45989</v>
      </c>
      <c r="C2443" s="263" t="s">
        <v>2335</v>
      </c>
      <c r="D2443" s="255" t="s">
        <v>545</v>
      </c>
      <c r="E2443" s="256"/>
      <c r="F2443" s="257">
        <v>14</v>
      </c>
      <c r="G2443" s="258" t="s">
        <v>207</v>
      </c>
      <c r="H2443" s="259"/>
      <c r="I2443" s="541">
        <f t="shared" si="45"/>
        <v>135433.46142857129</v>
      </c>
      <c r="K2443" s="243"/>
    </row>
    <row r="2444" spans="2:11" ht="17" customHeight="1">
      <c r="B2444" s="253">
        <v>45991</v>
      </c>
      <c r="C2444" s="263" t="s">
        <v>2336</v>
      </c>
      <c r="D2444" s="255" t="s">
        <v>545</v>
      </c>
      <c r="E2444" s="256"/>
      <c r="F2444" s="257">
        <v>28</v>
      </c>
      <c r="G2444" s="258" t="s">
        <v>207</v>
      </c>
      <c r="H2444" s="259"/>
      <c r="I2444" s="541">
        <f t="shared" ref="I2444:I2473" si="46">I2443+E2445-F2445</f>
        <v>135421.26142857128</v>
      </c>
      <c r="K2444" s="243"/>
    </row>
    <row r="2445" spans="2:11" ht="17" customHeight="1">
      <c r="B2445" s="253">
        <v>45992</v>
      </c>
      <c r="C2445" s="263" t="s">
        <v>2337</v>
      </c>
      <c r="D2445" s="255" t="s">
        <v>545</v>
      </c>
      <c r="E2445" s="256"/>
      <c r="F2445" s="257">
        <v>12.2</v>
      </c>
      <c r="G2445" s="258" t="s">
        <v>207</v>
      </c>
      <c r="H2445" s="259"/>
      <c r="I2445" s="541">
        <f t="shared" si="46"/>
        <v>127421.26142857128</v>
      </c>
      <c r="K2445" s="243"/>
    </row>
    <row r="2446" spans="2:11" ht="17" customHeight="1">
      <c r="B2446" s="496">
        <v>45992</v>
      </c>
      <c r="C2446" s="497" t="s">
        <v>541</v>
      </c>
      <c r="D2446" s="498" t="s">
        <v>542</v>
      </c>
      <c r="E2446" s="499"/>
      <c r="F2446" s="500">
        <v>8000</v>
      </c>
      <c r="G2446" s="501" t="s">
        <v>277</v>
      </c>
      <c r="H2446" s="259"/>
      <c r="I2446" s="541">
        <f t="shared" si="46"/>
        <v>127410.26142857128</v>
      </c>
      <c r="K2446" s="243"/>
    </row>
    <row r="2447" spans="2:11" ht="17" customHeight="1">
      <c r="B2447" s="253">
        <v>45993</v>
      </c>
      <c r="C2447" s="263" t="s">
        <v>2338</v>
      </c>
      <c r="D2447" s="255" t="s">
        <v>545</v>
      </c>
      <c r="E2447" s="256"/>
      <c r="F2447" s="257">
        <v>11</v>
      </c>
      <c r="G2447" s="258" t="s">
        <v>207</v>
      </c>
      <c r="H2447" s="259"/>
      <c r="I2447" s="541">
        <f t="shared" si="46"/>
        <v>127390.26142857128</v>
      </c>
      <c r="K2447" s="243"/>
    </row>
    <row r="2448" spans="2:11" ht="17" customHeight="1">
      <c r="B2448" s="253">
        <v>45993</v>
      </c>
      <c r="C2448" s="263" t="s">
        <v>2339</v>
      </c>
      <c r="D2448" s="255" t="s">
        <v>545</v>
      </c>
      <c r="E2448" s="256"/>
      <c r="F2448" s="257">
        <v>20</v>
      </c>
      <c r="G2448" s="258" t="s">
        <v>207</v>
      </c>
      <c r="H2448" s="259"/>
      <c r="I2448" s="541">
        <f t="shared" si="46"/>
        <v>127537.67142857128</v>
      </c>
      <c r="K2448" s="243"/>
    </row>
    <row r="2449" spans="2:11" ht="17" customHeight="1">
      <c r="B2449" s="496">
        <v>45992</v>
      </c>
      <c r="C2449" s="675" t="s">
        <v>283</v>
      </c>
      <c r="D2449" s="676" t="s">
        <v>283</v>
      </c>
      <c r="E2449" s="677">
        <f>176-E2450</f>
        <v>147.41</v>
      </c>
      <c r="F2449" s="678"/>
      <c r="G2449" s="258" t="s">
        <v>190</v>
      </c>
      <c r="H2449" s="259"/>
      <c r="I2449" s="541">
        <f t="shared" si="46"/>
        <v>127566.26142857128</v>
      </c>
      <c r="K2449" s="243"/>
    </row>
    <row r="2450" spans="2:11" ht="17" customHeight="1">
      <c r="B2450" s="496">
        <v>45992</v>
      </c>
      <c r="C2450" s="675" t="s">
        <v>283</v>
      </c>
      <c r="D2450" s="676" t="s">
        <v>508</v>
      </c>
      <c r="E2450" s="677">
        <v>28.59</v>
      </c>
      <c r="F2450" s="678"/>
      <c r="G2450" s="258" t="s">
        <v>276</v>
      </c>
      <c r="H2450" s="259"/>
      <c r="I2450" s="541">
        <f t="shared" si="46"/>
        <v>127506.26142857128</v>
      </c>
      <c r="K2450" s="243"/>
    </row>
    <row r="2451" spans="2:11" ht="17" customHeight="1">
      <c r="B2451" s="496">
        <v>45993</v>
      </c>
      <c r="C2451" s="675" t="s">
        <v>117</v>
      </c>
      <c r="D2451" s="676" t="s">
        <v>846</v>
      </c>
      <c r="E2451" s="677"/>
      <c r="F2451" s="678">
        <v>60</v>
      </c>
      <c r="G2451" s="501" t="s">
        <v>201</v>
      </c>
      <c r="H2451" s="259"/>
      <c r="I2451" s="541">
        <f t="shared" si="46"/>
        <v>127455.26142857128</v>
      </c>
      <c r="K2451" s="243"/>
    </row>
    <row r="2452" spans="2:11" ht="17" customHeight="1">
      <c r="B2452" s="496">
        <v>45993</v>
      </c>
      <c r="C2452" s="675" t="s">
        <v>117</v>
      </c>
      <c r="D2452" s="676" t="s">
        <v>2350</v>
      </c>
      <c r="E2452" s="677"/>
      <c r="F2452" s="678">
        <v>51</v>
      </c>
      <c r="G2452" s="258"/>
      <c r="H2452" s="597" t="s">
        <v>714</v>
      </c>
      <c r="I2452" s="541">
        <f t="shared" si="46"/>
        <v>127365.26142857128</v>
      </c>
      <c r="K2452" s="243"/>
    </row>
    <row r="2453" spans="2:11" ht="17" customHeight="1">
      <c r="B2453" s="496">
        <v>45993</v>
      </c>
      <c r="C2453" s="497" t="s">
        <v>513</v>
      </c>
      <c r="D2453" s="498" t="s">
        <v>31</v>
      </c>
      <c r="E2453" s="499"/>
      <c r="F2453" s="500">
        <v>90</v>
      </c>
      <c r="G2453" s="501" t="s">
        <v>245</v>
      </c>
      <c r="H2453" s="259"/>
      <c r="I2453" s="541">
        <f t="shared" si="46"/>
        <v>127872.26142857128</v>
      </c>
      <c r="K2453" s="243"/>
    </row>
    <row r="2454" spans="2:11" ht="17" customHeight="1">
      <c r="B2454" s="496">
        <v>45993</v>
      </c>
      <c r="C2454" s="675" t="s">
        <v>283</v>
      </c>
      <c r="D2454" s="676" t="s">
        <v>283</v>
      </c>
      <c r="E2454" s="677">
        <f>548.3-E2455</f>
        <v>506.99999999999994</v>
      </c>
      <c r="F2454" s="678"/>
      <c r="G2454" s="258" t="s">
        <v>190</v>
      </c>
      <c r="H2454" s="259"/>
      <c r="I2454" s="541">
        <f t="shared" si="46"/>
        <v>127913.56142857128</v>
      </c>
      <c r="K2454" s="243"/>
    </row>
    <row r="2455" spans="2:11" ht="17" customHeight="1">
      <c r="B2455" s="496">
        <v>45993</v>
      </c>
      <c r="C2455" s="675" t="s">
        <v>283</v>
      </c>
      <c r="D2455" s="676" t="s">
        <v>508</v>
      </c>
      <c r="E2455" s="677">
        <v>41.3</v>
      </c>
      <c r="F2455" s="678"/>
      <c r="G2455" s="258" t="s">
        <v>276</v>
      </c>
      <c r="H2455" s="259"/>
      <c r="I2455" s="541">
        <f t="shared" si="46"/>
        <v>127818.56142857128</v>
      </c>
      <c r="K2455" s="243"/>
    </row>
    <row r="2456" spans="2:11" ht="17" customHeight="1">
      <c r="B2456" s="496">
        <v>45994</v>
      </c>
      <c r="C2456" s="497" t="s">
        <v>513</v>
      </c>
      <c r="D2456" s="498" t="s">
        <v>31</v>
      </c>
      <c r="E2456" s="499"/>
      <c r="F2456" s="500">
        <v>95</v>
      </c>
      <c r="G2456" s="501" t="s">
        <v>245</v>
      </c>
      <c r="H2456" s="259"/>
      <c r="I2456" s="541">
        <f t="shared" si="46"/>
        <v>127817.16142857129</v>
      </c>
      <c r="K2456" s="243"/>
    </row>
    <row r="2457" spans="2:11" ht="17" customHeight="1">
      <c r="B2457" s="496">
        <v>45994</v>
      </c>
      <c r="C2457" s="263" t="s">
        <v>117</v>
      </c>
      <c r="D2457" s="255" t="s">
        <v>2351</v>
      </c>
      <c r="E2457" s="256"/>
      <c r="F2457" s="257">
        <v>1.4</v>
      </c>
      <c r="G2457" s="841" t="s">
        <v>252</v>
      </c>
      <c r="H2457" s="259"/>
      <c r="I2457" s="541">
        <f t="shared" si="46"/>
        <v>127809.76142857129</v>
      </c>
      <c r="K2457" s="243"/>
    </row>
    <row r="2458" spans="2:11" ht="17" customHeight="1">
      <c r="B2458" s="496">
        <v>45994</v>
      </c>
      <c r="C2458" s="263" t="s">
        <v>117</v>
      </c>
      <c r="D2458" s="255" t="s">
        <v>2352</v>
      </c>
      <c r="E2458" s="256"/>
      <c r="F2458" s="257">
        <v>7.4</v>
      </c>
      <c r="G2458" s="841" t="s">
        <v>252</v>
      </c>
      <c r="H2458" s="259"/>
      <c r="I2458" s="541">
        <f t="shared" si="46"/>
        <v>127638.21142857129</v>
      </c>
      <c r="K2458" s="243"/>
    </row>
    <row r="2459" spans="2:11" ht="17" customHeight="1">
      <c r="B2459" s="496">
        <v>45994</v>
      </c>
      <c r="C2459" s="866" t="s">
        <v>117</v>
      </c>
      <c r="D2459" s="505" t="s">
        <v>306</v>
      </c>
      <c r="E2459" s="619"/>
      <c r="F2459" s="620">
        <v>171.55</v>
      </c>
      <c r="G2459" s="258" t="s">
        <v>194</v>
      </c>
      <c r="H2459" s="259"/>
      <c r="I2459" s="541">
        <f t="shared" si="46"/>
        <v>127578.66142857129</v>
      </c>
      <c r="K2459" s="243"/>
    </row>
    <row r="2460" spans="2:11" ht="17" customHeight="1">
      <c r="B2460" s="496">
        <v>45994</v>
      </c>
      <c r="C2460" s="263" t="s">
        <v>2353</v>
      </c>
      <c r="D2460" s="255" t="s">
        <v>2354</v>
      </c>
      <c r="E2460" s="256"/>
      <c r="F2460" s="257">
        <v>59.55</v>
      </c>
      <c r="G2460" s="258" t="s">
        <v>208</v>
      </c>
      <c r="H2460" s="259"/>
      <c r="I2460" s="541">
        <f t="shared" si="46"/>
        <v>127565.56142857128</v>
      </c>
      <c r="K2460" s="243"/>
    </row>
    <row r="2461" spans="2:11" ht="17" customHeight="1">
      <c r="B2461" s="496">
        <v>45994</v>
      </c>
      <c r="C2461" s="263" t="s">
        <v>2353</v>
      </c>
      <c r="D2461" s="255" t="s">
        <v>2354</v>
      </c>
      <c r="E2461" s="256"/>
      <c r="F2461" s="257">
        <v>13.1</v>
      </c>
      <c r="G2461" s="258" t="s">
        <v>274</v>
      </c>
      <c r="H2461" s="259"/>
      <c r="I2461" s="541">
        <f t="shared" si="46"/>
        <v>127917.16142857129</v>
      </c>
      <c r="K2461" s="243"/>
    </row>
    <row r="2462" spans="2:11" ht="17" customHeight="1">
      <c r="B2462" s="496">
        <v>45994</v>
      </c>
      <c r="C2462" s="675" t="s">
        <v>283</v>
      </c>
      <c r="D2462" s="676" t="s">
        <v>283</v>
      </c>
      <c r="E2462" s="677">
        <f>397-E2463</f>
        <v>351.6</v>
      </c>
      <c r="F2462" s="678"/>
      <c r="G2462" s="258" t="s">
        <v>190</v>
      </c>
      <c r="H2462" s="259"/>
      <c r="I2462" s="541">
        <f t="shared" si="46"/>
        <v>127962.56142857128</v>
      </c>
      <c r="K2462" s="243"/>
    </row>
    <row r="2463" spans="2:11" ht="17" customHeight="1">
      <c r="B2463" s="496">
        <v>45994</v>
      </c>
      <c r="C2463" s="675" t="s">
        <v>283</v>
      </c>
      <c r="D2463" s="676" t="s">
        <v>508</v>
      </c>
      <c r="E2463" s="677">
        <v>45.4</v>
      </c>
      <c r="F2463" s="678"/>
      <c r="G2463" s="258" t="s">
        <v>276</v>
      </c>
      <c r="H2463" s="259"/>
      <c r="I2463" s="541">
        <f t="shared" si="46"/>
        <v>119012.56142857128</v>
      </c>
      <c r="K2463" s="243"/>
    </row>
    <row r="2464" spans="2:11" ht="17" customHeight="1">
      <c r="B2464" s="253">
        <v>45995</v>
      </c>
      <c r="C2464" s="861" t="s">
        <v>541</v>
      </c>
      <c r="D2464" s="862" t="s">
        <v>542</v>
      </c>
      <c r="E2464" s="619"/>
      <c r="F2464" s="620">
        <v>8950</v>
      </c>
      <c r="G2464" s="621" t="s">
        <v>277</v>
      </c>
      <c r="H2464" s="259"/>
      <c r="I2464" s="541">
        <f t="shared" si="46"/>
        <v>118997.56142857128</v>
      </c>
      <c r="K2464" s="243"/>
    </row>
    <row r="2465" spans="2:11" ht="17" customHeight="1">
      <c r="B2465" s="253">
        <v>45995</v>
      </c>
      <c r="C2465" s="263" t="s">
        <v>117</v>
      </c>
      <c r="D2465" s="255" t="s">
        <v>577</v>
      </c>
      <c r="E2465" s="256"/>
      <c r="F2465" s="257">
        <v>15</v>
      </c>
      <c r="G2465" s="258"/>
      <c r="H2465" s="597" t="s">
        <v>714</v>
      </c>
      <c r="I2465" s="541">
        <f t="shared" si="46"/>
        <v>119565.59142857128</v>
      </c>
      <c r="K2465" s="243"/>
    </row>
    <row r="2466" spans="2:11" ht="17" customHeight="1">
      <c r="B2466" s="253">
        <v>45995</v>
      </c>
      <c r="C2466" s="675" t="s">
        <v>283</v>
      </c>
      <c r="D2466" s="676" t="s">
        <v>283</v>
      </c>
      <c r="E2466" s="677">
        <f>672.4-E2467</f>
        <v>568.03</v>
      </c>
      <c r="F2466" s="678"/>
      <c r="G2466" s="258" t="s">
        <v>190</v>
      </c>
      <c r="H2466" s="259"/>
      <c r="I2466" s="541">
        <f t="shared" si="46"/>
        <v>119669.96142857127</v>
      </c>
      <c r="K2466" s="243"/>
    </row>
    <row r="2467" spans="2:11" ht="17" customHeight="1">
      <c r="B2467" s="253">
        <v>45995</v>
      </c>
      <c r="C2467" s="675" t="s">
        <v>283</v>
      </c>
      <c r="D2467" s="676" t="s">
        <v>508</v>
      </c>
      <c r="E2467" s="677">
        <v>104.37</v>
      </c>
      <c r="F2467" s="678"/>
      <c r="G2467" s="258" t="s">
        <v>276</v>
      </c>
      <c r="H2467" s="259"/>
      <c r="I2467" s="541">
        <f t="shared" si="46"/>
        <v>119632.06142857128</v>
      </c>
      <c r="K2467" s="243"/>
    </row>
    <row r="2468" spans="2:11" ht="17" customHeight="1">
      <c r="B2468" s="253">
        <v>45996</v>
      </c>
      <c r="C2468" s="263" t="s">
        <v>2355</v>
      </c>
      <c r="D2468" s="255" t="s">
        <v>512</v>
      </c>
      <c r="E2468" s="256"/>
      <c r="F2468" s="257">
        <v>37.9</v>
      </c>
      <c r="G2468" s="258" t="s">
        <v>199</v>
      </c>
      <c r="H2468" s="259"/>
      <c r="I2468" s="541">
        <f t="shared" si="46"/>
        <v>119630.61142857128</v>
      </c>
      <c r="K2468" s="243"/>
    </row>
    <row r="2469" spans="2:11" ht="17" customHeight="1">
      <c r="B2469" s="253">
        <v>45996</v>
      </c>
      <c r="C2469" s="263" t="s">
        <v>2355</v>
      </c>
      <c r="D2469" s="255" t="s">
        <v>512</v>
      </c>
      <c r="E2469" s="256"/>
      <c r="F2469" s="257">
        <v>1.45</v>
      </c>
      <c r="G2469" s="258" t="s">
        <v>274</v>
      </c>
      <c r="H2469" s="259"/>
      <c r="I2469" s="541">
        <f t="shared" si="46"/>
        <v>119595.61142857128</v>
      </c>
      <c r="K2469" s="243"/>
    </row>
    <row r="2470" spans="2:11" ht="17" customHeight="1">
      <c r="B2470" s="253">
        <v>45996</v>
      </c>
      <c r="C2470" s="263" t="s">
        <v>117</v>
      </c>
      <c r="D2470" s="255" t="s">
        <v>505</v>
      </c>
      <c r="E2470" s="256"/>
      <c r="F2470" s="257">
        <v>35</v>
      </c>
      <c r="G2470" s="258" t="s">
        <v>139</v>
      </c>
      <c r="H2470" s="259"/>
      <c r="I2470" s="541">
        <f t="shared" si="46"/>
        <v>120308.99142857129</v>
      </c>
      <c r="K2470" s="243"/>
    </row>
    <row r="2471" spans="2:11" ht="17" customHeight="1">
      <c r="B2471" s="253">
        <v>45996</v>
      </c>
      <c r="C2471" s="675" t="s">
        <v>283</v>
      </c>
      <c r="D2471" s="676" t="s">
        <v>283</v>
      </c>
      <c r="E2471" s="677">
        <f>872.9-E2472</f>
        <v>713.38</v>
      </c>
      <c r="F2471" s="678"/>
      <c r="G2471" s="258" t="s">
        <v>190</v>
      </c>
      <c r="H2471" s="259"/>
      <c r="I2471" s="541">
        <f t="shared" si="46"/>
        <v>120468.51142857129</v>
      </c>
      <c r="K2471" s="243"/>
    </row>
    <row r="2472" spans="2:11" ht="17" customHeight="1">
      <c r="B2472" s="253">
        <v>45996</v>
      </c>
      <c r="C2472" s="675" t="s">
        <v>283</v>
      </c>
      <c r="D2472" s="676" t="s">
        <v>508</v>
      </c>
      <c r="E2472" s="677">
        <v>159.52000000000001</v>
      </c>
      <c r="F2472" s="678"/>
      <c r="G2472" s="258" t="s">
        <v>276</v>
      </c>
      <c r="H2472" s="259"/>
      <c r="I2472" s="541">
        <f t="shared" si="46"/>
        <v>120388.51142857129</v>
      </c>
      <c r="K2472" s="243"/>
    </row>
    <row r="2473" spans="2:11" ht="17" customHeight="1">
      <c r="B2473" s="253">
        <v>45997</v>
      </c>
      <c r="C2473" s="263" t="s">
        <v>117</v>
      </c>
      <c r="D2473" s="255" t="s">
        <v>543</v>
      </c>
      <c r="E2473" s="256"/>
      <c r="F2473" s="257">
        <v>80</v>
      </c>
      <c r="G2473" s="841" t="s">
        <v>234</v>
      </c>
      <c r="H2473" s="259"/>
      <c r="I2473" s="541">
        <f t="shared" si="46"/>
        <v>120338.51142857129</v>
      </c>
      <c r="K2473" s="243"/>
    </row>
    <row r="2474" spans="2:11" ht="17" customHeight="1">
      <c r="B2474" s="253">
        <v>45997</v>
      </c>
      <c r="C2474" s="263" t="s">
        <v>513</v>
      </c>
      <c r="D2474" s="255" t="s">
        <v>2408</v>
      </c>
      <c r="E2474" s="256"/>
      <c r="F2474" s="257">
        <v>50</v>
      </c>
      <c r="G2474" s="841" t="s">
        <v>245</v>
      </c>
      <c r="H2474" s="259"/>
      <c r="I2474" s="541">
        <f t="shared" ref="I2474:I2505" si="47">I2473+E2475-F2475</f>
        <v>121366.87142857129</v>
      </c>
      <c r="K2474" s="243"/>
    </row>
    <row r="2475" spans="2:11" ht="17" customHeight="1">
      <c r="B2475" s="253">
        <v>45997</v>
      </c>
      <c r="C2475" s="675" t="s">
        <v>283</v>
      </c>
      <c r="D2475" s="676" t="s">
        <v>283</v>
      </c>
      <c r="E2475" s="677">
        <f>1131.2-E2476</f>
        <v>1028.3600000000001</v>
      </c>
      <c r="F2475" s="678"/>
      <c r="G2475" s="258" t="s">
        <v>190</v>
      </c>
      <c r="H2475" s="871"/>
      <c r="I2475" s="541">
        <f t="shared" si="47"/>
        <v>121469.71142857129</v>
      </c>
      <c r="K2475" s="243"/>
    </row>
    <row r="2476" spans="2:11" ht="17" customHeight="1">
      <c r="B2476" s="253">
        <v>45997</v>
      </c>
      <c r="C2476" s="675" t="s">
        <v>283</v>
      </c>
      <c r="D2476" s="676" t="s">
        <v>508</v>
      </c>
      <c r="E2476" s="677">
        <v>102.84</v>
      </c>
      <c r="F2476" s="678"/>
      <c r="G2476" s="258" t="s">
        <v>276</v>
      </c>
      <c r="H2476" s="871"/>
      <c r="I2476" s="541">
        <f t="shared" si="47"/>
        <v>121419.71142857129</v>
      </c>
      <c r="K2476" s="243"/>
    </row>
    <row r="2477" spans="2:11" ht="17" customHeight="1">
      <c r="B2477" s="253">
        <v>45998</v>
      </c>
      <c r="C2477" s="263" t="s">
        <v>117</v>
      </c>
      <c r="D2477" s="255" t="s">
        <v>2359</v>
      </c>
      <c r="E2477" s="256"/>
      <c r="F2477" s="257">
        <v>50</v>
      </c>
      <c r="G2477" s="258" t="s">
        <v>229</v>
      </c>
      <c r="H2477" s="259"/>
      <c r="I2477" s="541">
        <f t="shared" si="47"/>
        <v>121369.71142857129</v>
      </c>
      <c r="K2477" s="243"/>
    </row>
    <row r="2478" spans="2:11" ht="17" customHeight="1">
      <c r="B2478" s="253">
        <v>45998</v>
      </c>
      <c r="C2478" s="263" t="s">
        <v>117</v>
      </c>
      <c r="D2478" s="255" t="s">
        <v>2195</v>
      </c>
      <c r="E2478" s="256"/>
      <c r="F2478" s="257">
        <v>50</v>
      </c>
      <c r="G2478" s="258" t="s">
        <v>229</v>
      </c>
      <c r="H2478" s="259"/>
      <c r="I2478" s="541">
        <f t="shared" si="47"/>
        <v>121339.71142857129</v>
      </c>
      <c r="K2478" s="243"/>
    </row>
    <row r="2479" spans="2:11" ht="17" customHeight="1">
      <c r="B2479" s="253">
        <v>45998</v>
      </c>
      <c r="C2479" s="263" t="s">
        <v>117</v>
      </c>
      <c r="D2479" s="255" t="s">
        <v>2357</v>
      </c>
      <c r="E2479" s="256"/>
      <c r="F2479" s="257">
        <v>30</v>
      </c>
      <c r="G2479" s="258" t="s">
        <v>229</v>
      </c>
      <c r="H2479" s="259"/>
      <c r="I2479" s="541">
        <f t="shared" si="47"/>
        <v>121309.71142857129</v>
      </c>
      <c r="K2479" s="243"/>
    </row>
    <row r="2480" spans="2:11" ht="17" customHeight="1">
      <c r="B2480" s="253">
        <v>45998</v>
      </c>
      <c r="C2480" s="263" t="s">
        <v>117</v>
      </c>
      <c r="D2480" s="255" t="s">
        <v>2118</v>
      </c>
      <c r="E2480" s="256"/>
      <c r="F2480" s="257">
        <v>30</v>
      </c>
      <c r="G2480" s="258" t="s">
        <v>229</v>
      </c>
      <c r="H2480" s="259"/>
      <c r="I2480" s="541">
        <f t="shared" si="47"/>
        <v>121279.71142857129</v>
      </c>
      <c r="K2480" s="243"/>
    </row>
    <row r="2481" spans="2:11" ht="17" customHeight="1">
      <c r="B2481" s="253">
        <v>45998</v>
      </c>
      <c r="C2481" s="263" t="s">
        <v>117</v>
      </c>
      <c r="D2481" s="255" t="s">
        <v>2358</v>
      </c>
      <c r="E2481" s="256"/>
      <c r="F2481" s="257">
        <v>30</v>
      </c>
      <c r="G2481" s="258" t="s">
        <v>229</v>
      </c>
      <c r="H2481" s="259"/>
      <c r="I2481" s="541">
        <f t="shared" si="47"/>
        <v>121189.71142857129</v>
      </c>
      <c r="K2481" s="243"/>
    </row>
    <row r="2482" spans="2:11" ht="17" customHeight="1">
      <c r="B2482" s="253">
        <v>45998</v>
      </c>
      <c r="C2482" s="263" t="s">
        <v>117</v>
      </c>
      <c r="D2482" s="255" t="s">
        <v>726</v>
      </c>
      <c r="E2482" s="256"/>
      <c r="F2482" s="257">
        <v>90</v>
      </c>
      <c r="G2482" s="258" t="s">
        <v>233</v>
      </c>
      <c r="H2482" s="259"/>
      <c r="I2482" s="541">
        <f t="shared" si="47"/>
        <v>121129.71142857129</v>
      </c>
      <c r="K2482" s="243"/>
    </row>
    <row r="2483" spans="2:11" ht="17" customHeight="1">
      <c r="B2483" s="253">
        <v>45998</v>
      </c>
      <c r="C2483" s="263" t="s">
        <v>117</v>
      </c>
      <c r="D2483" s="255" t="s">
        <v>566</v>
      </c>
      <c r="E2483" s="256"/>
      <c r="F2483" s="257">
        <v>60</v>
      </c>
      <c r="G2483" s="258" t="s">
        <v>229</v>
      </c>
      <c r="H2483" s="259"/>
      <c r="I2483" s="541">
        <f t="shared" si="47"/>
        <v>121079.71142857129</v>
      </c>
      <c r="K2483" s="243"/>
    </row>
    <row r="2484" spans="2:11" ht="17" customHeight="1">
      <c r="B2484" s="253">
        <v>45998</v>
      </c>
      <c r="C2484" s="263" t="s">
        <v>117</v>
      </c>
      <c r="D2484" s="255" t="s">
        <v>2196</v>
      </c>
      <c r="E2484" s="256"/>
      <c r="F2484" s="257">
        <v>50</v>
      </c>
      <c r="G2484" s="258" t="s">
        <v>229</v>
      </c>
      <c r="H2484" s="259"/>
      <c r="I2484" s="541">
        <f t="shared" si="47"/>
        <v>120999.71142857129</v>
      </c>
      <c r="K2484" s="243"/>
    </row>
    <row r="2485" spans="2:11" ht="17" customHeight="1">
      <c r="B2485" s="253">
        <v>45998</v>
      </c>
      <c r="C2485" s="263" t="s">
        <v>117</v>
      </c>
      <c r="D2485" s="255" t="s">
        <v>724</v>
      </c>
      <c r="E2485" s="256"/>
      <c r="F2485" s="257">
        <v>80</v>
      </c>
      <c r="G2485" s="258" t="s">
        <v>233</v>
      </c>
      <c r="H2485" s="259"/>
      <c r="I2485" s="541">
        <f t="shared" si="47"/>
        <v>120949.71142857129</v>
      </c>
      <c r="K2485" s="243"/>
    </row>
    <row r="2486" spans="2:11" ht="17" customHeight="1">
      <c r="B2486" s="253">
        <v>45998</v>
      </c>
      <c r="C2486" s="263" t="s">
        <v>117</v>
      </c>
      <c r="D2486" s="255" t="s">
        <v>531</v>
      </c>
      <c r="E2486" s="256"/>
      <c r="F2486" s="257">
        <v>50</v>
      </c>
      <c r="G2486" s="258" t="s">
        <v>229</v>
      </c>
      <c r="H2486" s="259"/>
      <c r="I2486" s="541">
        <f t="shared" si="47"/>
        <v>120849.71142857129</v>
      </c>
      <c r="K2486" s="243"/>
    </row>
    <row r="2487" spans="2:11" ht="17" customHeight="1">
      <c r="B2487" s="253">
        <v>45998</v>
      </c>
      <c r="C2487" s="263" t="s">
        <v>117</v>
      </c>
      <c r="D2487" s="255" t="s">
        <v>525</v>
      </c>
      <c r="E2487" s="256"/>
      <c r="F2487" s="257">
        <v>100</v>
      </c>
      <c r="G2487" s="258" t="s">
        <v>229</v>
      </c>
      <c r="H2487" s="259"/>
      <c r="I2487" s="541">
        <f t="shared" si="47"/>
        <v>120829.71142857129</v>
      </c>
      <c r="K2487" s="243"/>
    </row>
    <row r="2488" spans="2:11" ht="17" customHeight="1">
      <c r="B2488" s="253">
        <v>45998</v>
      </c>
      <c r="C2488" s="263" t="s">
        <v>117</v>
      </c>
      <c r="D2488" s="255" t="s">
        <v>817</v>
      </c>
      <c r="E2488" s="256"/>
      <c r="F2488" s="257">
        <v>20</v>
      </c>
      <c r="G2488" s="258" t="s">
        <v>238</v>
      </c>
      <c r="H2488" s="259"/>
      <c r="I2488" s="541">
        <f t="shared" si="47"/>
        <v>120709.71142857129</v>
      </c>
      <c r="K2488" s="243"/>
    </row>
    <row r="2489" spans="2:11" ht="17" customHeight="1">
      <c r="B2489" s="253">
        <v>45998</v>
      </c>
      <c r="C2489" s="263" t="s">
        <v>117</v>
      </c>
      <c r="D2489" s="255" t="s">
        <v>2003</v>
      </c>
      <c r="E2489" s="256"/>
      <c r="F2489" s="257">
        <v>120</v>
      </c>
      <c r="G2489" s="258" t="s">
        <v>230</v>
      </c>
      <c r="H2489" s="259"/>
      <c r="I2489" s="541">
        <f t="shared" si="47"/>
        <v>120409.71142857129</v>
      </c>
      <c r="K2489" s="243"/>
    </row>
    <row r="2490" spans="2:11" ht="17" customHeight="1">
      <c r="B2490" s="253">
        <v>45998</v>
      </c>
      <c r="C2490" s="263" t="s">
        <v>117</v>
      </c>
      <c r="D2490" s="255" t="s">
        <v>628</v>
      </c>
      <c r="E2490" s="256"/>
      <c r="F2490" s="257">
        <v>300</v>
      </c>
      <c r="G2490" s="258" t="s">
        <v>230</v>
      </c>
      <c r="H2490" s="259"/>
      <c r="I2490" s="541">
        <f t="shared" si="47"/>
        <v>120009.71142857129</v>
      </c>
      <c r="K2490" s="243"/>
    </row>
    <row r="2491" spans="2:11" ht="17" customHeight="1">
      <c r="B2491" s="253">
        <v>45998</v>
      </c>
      <c r="C2491" s="263" t="s">
        <v>117</v>
      </c>
      <c r="D2491" s="255" t="s">
        <v>530</v>
      </c>
      <c r="E2491" s="256"/>
      <c r="F2491" s="257">
        <v>400</v>
      </c>
      <c r="G2491" s="258" t="s">
        <v>229</v>
      </c>
      <c r="H2491" s="259"/>
      <c r="I2491" s="541">
        <f t="shared" si="47"/>
        <v>119999.71142857129</v>
      </c>
      <c r="K2491" s="243"/>
    </row>
    <row r="2492" spans="2:11" ht="17" customHeight="1">
      <c r="B2492" s="253">
        <v>45998</v>
      </c>
      <c r="C2492" s="263" t="s">
        <v>117</v>
      </c>
      <c r="D2492" s="255" t="s">
        <v>2123</v>
      </c>
      <c r="E2492" s="256"/>
      <c r="F2492" s="257">
        <v>10</v>
      </c>
      <c r="G2492" s="258" t="s">
        <v>232</v>
      </c>
      <c r="H2492" s="259"/>
      <c r="I2492" s="541">
        <f t="shared" si="47"/>
        <v>124716.43142857129</v>
      </c>
      <c r="K2492" s="243"/>
    </row>
    <row r="2493" spans="2:11" ht="17" customHeight="1">
      <c r="B2493" s="253">
        <v>45998</v>
      </c>
      <c r="C2493" s="675" t="s">
        <v>283</v>
      </c>
      <c r="D2493" s="676" t="s">
        <v>283</v>
      </c>
      <c r="E2493" s="677">
        <f>5095.8-E2494</f>
        <v>4716.72</v>
      </c>
      <c r="F2493" s="678"/>
      <c r="G2493" s="258" t="s">
        <v>190</v>
      </c>
      <c r="H2493" s="259"/>
      <c r="I2493" s="541">
        <f t="shared" si="47"/>
        <v>125095.51142857129</v>
      </c>
      <c r="K2493" s="243"/>
    </row>
    <row r="2494" spans="2:11" ht="17" customHeight="1">
      <c r="B2494" s="253">
        <v>45998</v>
      </c>
      <c r="C2494" s="675" t="s">
        <v>283</v>
      </c>
      <c r="D2494" s="676" t="s">
        <v>508</v>
      </c>
      <c r="E2494" s="677">
        <v>379.08</v>
      </c>
      <c r="F2494" s="678"/>
      <c r="G2494" s="258" t="s">
        <v>276</v>
      </c>
      <c r="H2494" s="259"/>
      <c r="I2494" s="541">
        <f t="shared" si="47"/>
        <v>130832.65142857129</v>
      </c>
      <c r="K2494" s="243"/>
    </row>
    <row r="2495" spans="2:11" ht="17" customHeight="1">
      <c r="B2495" s="253">
        <v>45999</v>
      </c>
      <c r="C2495" s="675" t="s">
        <v>283</v>
      </c>
      <c r="D2495" s="676" t="s">
        <v>283</v>
      </c>
      <c r="E2495" s="677">
        <f>5815-E2496</f>
        <v>5737.14</v>
      </c>
      <c r="F2495" s="678"/>
      <c r="G2495" s="258" t="s">
        <v>190</v>
      </c>
      <c r="H2495" s="259"/>
      <c r="I2495" s="541">
        <f t="shared" si="47"/>
        <v>130910.51142857129</v>
      </c>
      <c r="K2495" s="243"/>
    </row>
    <row r="2496" spans="2:11" ht="17" customHeight="1">
      <c r="B2496" s="253">
        <v>45999</v>
      </c>
      <c r="C2496" s="675" t="s">
        <v>283</v>
      </c>
      <c r="D2496" s="676" t="s">
        <v>508</v>
      </c>
      <c r="E2496" s="677">
        <v>77.86</v>
      </c>
      <c r="F2496" s="678"/>
      <c r="G2496" s="258" t="s">
        <v>276</v>
      </c>
      <c r="H2496" s="259"/>
      <c r="I2496" s="541">
        <f t="shared" si="47"/>
        <v>130867.51142857129</v>
      </c>
      <c r="K2496" s="243"/>
    </row>
    <row r="2497" spans="2:11" ht="17" customHeight="1">
      <c r="B2497" s="253">
        <v>46000</v>
      </c>
      <c r="C2497" s="263" t="s">
        <v>117</v>
      </c>
      <c r="D2497" s="255" t="s">
        <v>861</v>
      </c>
      <c r="E2497" s="256"/>
      <c r="F2497" s="257">
        <v>43</v>
      </c>
      <c r="G2497" s="258" t="s">
        <v>199</v>
      </c>
      <c r="H2497" s="259"/>
      <c r="I2497" s="541">
        <f t="shared" si="47"/>
        <v>130967.3314285713</v>
      </c>
      <c r="K2497" s="243"/>
    </row>
    <row r="2498" spans="2:11" ht="17" customHeight="1">
      <c r="B2498" s="253">
        <v>46000</v>
      </c>
      <c r="C2498" s="675" t="s">
        <v>283</v>
      </c>
      <c r="D2498" s="676" t="s">
        <v>283</v>
      </c>
      <c r="E2498" s="677">
        <f>116-E2499</f>
        <v>99.82</v>
      </c>
      <c r="F2498" s="678"/>
      <c r="G2498" s="258" t="s">
        <v>190</v>
      </c>
      <c r="H2498" s="259"/>
      <c r="I2498" s="541">
        <f t="shared" si="47"/>
        <v>130983.51142857129</v>
      </c>
      <c r="K2498" s="243"/>
    </row>
    <row r="2499" spans="2:11" ht="17" customHeight="1">
      <c r="B2499" s="253">
        <v>46000</v>
      </c>
      <c r="C2499" s="675" t="s">
        <v>283</v>
      </c>
      <c r="D2499" s="676" t="s">
        <v>508</v>
      </c>
      <c r="E2499" s="677">
        <v>16.18</v>
      </c>
      <c r="F2499" s="678"/>
      <c r="G2499" s="258" t="s">
        <v>276</v>
      </c>
      <c r="H2499" s="259"/>
      <c r="I2499" s="541">
        <f t="shared" si="47"/>
        <v>130948.51142857129</v>
      </c>
      <c r="K2499" s="243"/>
    </row>
    <row r="2500" spans="2:11" ht="17" customHeight="1">
      <c r="B2500" s="253">
        <v>46001</v>
      </c>
      <c r="C2500" s="263" t="s">
        <v>286</v>
      </c>
      <c r="D2500" s="255" t="s">
        <v>520</v>
      </c>
      <c r="E2500" s="256"/>
      <c r="F2500" s="257">
        <v>35</v>
      </c>
      <c r="G2500" s="258" t="s">
        <v>139</v>
      </c>
      <c r="H2500" s="259"/>
      <c r="I2500" s="541">
        <f t="shared" si="47"/>
        <v>130912.51142857129</v>
      </c>
      <c r="K2500" s="243"/>
    </row>
    <row r="2501" spans="2:11" ht="17" customHeight="1">
      <c r="B2501" s="253">
        <v>46001</v>
      </c>
      <c r="C2501" s="263" t="s">
        <v>117</v>
      </c>
      <c r="D2501" s="255" t="s">
        <v>846</v>
      </c>
      <c r="E2501" s="256"/>
      <c r="F2501" s="257">
        <v>36</v>
      </c>
      <c r="G2501" s="258" t="s">
        <v>201</v>
      </c>
      <c r="H2501" s="259"/>
      <c r="I2501" s="541">
        <f t="shared" si="47"/>
        <v>130849.51142857129</v>
      </c>
      <c r="K2501" s="243"/>
    </row>
    <row r="2502" spans="2:11" ht="17" customHeight="1">
      <c r="B2502" s="253">
        <v>46001</v>
      </c>
      <c r="C2502" s="263" t="s">
        <v>513</v>
      </c>
      <c r="D2502" s="255" t="s">
        <v>873</v>
      </c>
      <c r="E2502" s="256"/>
      <c r="F2502" s="257">
        <v>63</v>
      </c>
      <c r="G2502" s="258" t="s">
        <v>248</v>
      </c>
      <c r="H2502" s="259"/>
      <c r="I2502" s="541">
        <f t="shared" si="47"/>
        <v>131177.11142857128</v>
      </c>
      <c r="K2502" s="243"/>
    </row>
    <row r="2503" spans="2:11" ht="17" customHeight="1">
      <c r="B2503" s="253">
        <v>46001</v>
      </c>
      <c r="C2503" s="675" t="s">
        <v>283</v>
      </c>
      <c r="D2503" s="676" t="s">
        <v>283</v>
      </c>
      <c r="E2503" s="677">
        <f>349.7-E2504</f>
        <v>327.59999999999997</v>
      </c>
      <c r="F2503" s="678"/>
      <c r="G2503" s="258" t="s">
        <v>190</v>
      </c>
      <c r="H2503" s="259"/>
      <c r="I2503" s="541">
        <f t="shared" si="47"/>
        <v>131199.21142857129</v>
      </c>
      <c r="K2503" s="243"/>
    </row>
    <row r="2504" spans="2:11" ht="17" customHeight="1">
      <c r="B2504" s="253">
        <v>46001</v>
      </c>
      <c r="C2504" s="675" t="s">
        <v>283</v>
      </c>
      <c r="D2504" s="676" t="s">
        <v>508</v>
      </c>
      <c r="E2504" s="677">
        <v>22.1</v>
      </c>
      <c r="F2504" s="678"/>
      <c r="G2504" s="258" t="s">
        <v>276</v>
      </c>
      <c r="H2504" s="259"/>
      <c r="I2504" s="541">
        <f t="shared" si="47"/>
        <v>131223.21142857129</v>
      </c>
      <c r="K2504" s="243"/>
    </row>
    <row r="2505" spans="2:11" ht="17" customHeight="1">
      <c r="B2505" s="736">
        <v>45991</v>
      </c>
      <c r="C2505" s="263" t="s">
        <v>513</v>
      </c>
      <c r="D2505" s="255" t="s">
        <v>722</v>
      </c>
      <c r="E2505" s="256">
        <v>24</v>
      </c>
      <c r="F2505" s="257"/>
      <c r="G2505" s="258" t="s">
        <v>245</v>
      </c>
      <c r="H2505" s="259"/>
      <c r="I2505" s="541">
        <f t="shared" si="47"/>
        <v>129328.21142857129</v>
      </c>
      <c r="K2505" s="243"/>
    </row>
    <row r="2506" spans="2:11" ht="17" customHeight="1">
      <c r="B2506" s="736">
        <v>45991</v>
      </c>
      <c r="C2506" s="263" t="s">
        <v>513</v>
      </c>
      <c r="D2506" s="255" t="s">
        <v>25</v>
      </c>
      <c r="E2506" s="256"/>
      <c r="F2506" s="257">
        <v>1895</v>
      </c>
      <c r="G2506" s="258" t="s">
        <v>246</v>
      </c>
      <c r="H2506" s="259"/>
      <c r="I2506" s="541">
        <f t="shared" ref="I2506:I2537" si="48">I2505+E2507-F2507</f>
        <v>127773.21142857129</v>
      </c>
      <c r="K2506" s="243"/>
    </row>
    <row r="2507" spans="2:11" ht="17" customHeight="1">
      <c r="B2507" s="736">
        <v>45991</v>
      </c>
      <c r="C2507" s="263" t="s">
        <v>513</v>
      </c>
      <c r="D2507" s="255" t="s">
        <v>557</v>
      </c>
      <c r="E2507" s="256"/>
      <c r="F2507" s="257">
        <v>1555</v>
      </c>
      <c r="G2507" s="258" t="s">
        <v>1859</v>
      </c>
      <c r="H2507" s="259"/>
      <c r="I2507" s="541">
        <f t="shared" si="48"/>
        <v>127333.21142857129</v>
      </c>
      <c r="K2507" s="243"/>
    </row>
    <row r="2508" spans="2:11" ht="17" customHeight="1">
      <c r="B2508" s="736">
        <v>45991</v>
      </c>
      <c r="C2508" s="263" t="s">
        <v>513</v>
      </c>
      <c r="D2508" s="255" t="s">
        <v>1926</v>
      </c>
      <c r="E2508" s="256"/>
      <c r="F2508" s="257">
        <v>440</v>
      </c>
      <c r="G2508" s="258" t="s">
        <v>246</v>
      </c>
      <c r="H2508" s="259"/>
      <c r="I2508" s="541">
        <f t="shared" si="48"/>
        <v>124613.21142857129</v>
      </c>
      <c r="K2508" s="243"/>
    </row>
    <row r="2509" spans="2:11" ht="17" customHeight="1">
      <c r="B2509" s="736">
        <v>45991</v>
      </c>
      <c r="C2509" s="263" t="s">
        <v>513</v>
      </c>
      <c r="D2509" s="255" t="s">
        <v>28</v>
      </c>
      <c r="E2509" s="256"/>
      <c r="F2509" s="257">
        <v>2720</v>
      </c>
      <c r="G2509" s="258" t="s">
        <v>243</v>
      </c>
      <c r="H2509" s="259"/>
      <c r="I2509" s="541">
        <f t="shared" si="48"/>
        <v>122598.21142857129</v>
      </c>
      <c r="K2509" s="243"/>
    </row>
    <row r="2510" spans="2:11" ht="17" customHeight="1">
      <c r="B2510" s="736">
        <v>45991</v>
      </c>
      <c r="C2510" s="263" t="s">
        <v>513</v>
      </c>
      <c r="D2510" s="255" t="s">
        <v>29</v>
      </c>
      <c r="E2510" s="256"/>
      <c r="F2510" s="257">
        <v>2015</v>
      </c>
      <c r="G2510" s="258" t="s">
        <v>243</v>
      </c>
      <c r="H2510" s="259"/>
      <c r="I2510" s="541">
        <f t="shared" si="48"/>
        <v>120120.21142857129</v>
      </c>
      <c r="K2510" s="243"/>
    </row>
    <row r="2511" spans="2:11" ht="17" customHeight="1">
      <c r="B2511" s="736">
        <v>45991</v>
      </c>
      <c r="C2511" s="263" t="s">
        <v>513</v>
      </c>
      <c r="D2511" s="255" t="s">
        <v>559</v>
      </c>
      <c r="E2511" s="256"/>
      <c r="F2511" s="257">
        <v>2478</v>
      </c>
      <c r="G2511" s="258" t="s">
        <v>243</v>
      </c>
      <c r="H2511" s="259"/>
      <c r="I2511" s="541">
        <f t="shared" si="48"/>
        <v>119720.21142857129</v>
      </c>
      <c r="K2511" s="243"/>
    </row>
    <row r="2512" spans="2:11" ht="17" customHeight="1">
      <c r="B2512" s="736">
        <v>45991</v>
      </c>
      <c r="C2512" s="263" t="s">
        <v>513</v>
      </c>
      <c r="D2512" s="255" t="s">
        <v>2388</v>
      </c>
      <c r="E2512" s="256"/>
      <c r="F2512" s="257">
        <v>400</v>
      </c>
      <c r="G2512" s="258" t="s">
        <v>249</v>
      </c>
      <c r="H2512" s="259"/>
      <c r="I2512" s="541">
        <f t="shared" si="48"/>
        <v>119040.21142857129</v>
      </c>
      <c r="K2512" s="243"/>
    </row>
    <row r="2513" spans="2:11" ht="17" customHeight="1">
      <c r="B2513" s="736">
        <v>45991</v>
      </c>
      <c r="C2513" s="263" t="s">
        <v>513</v>
      </c>
      <c r="D2513" s="676" t="s">
        <v>1830</v>
      </c>
      <c r="E2513" s="677"/>
      <c r="F2513" s="678">
        <v>680</v>
      </c>
      <c r="G2513" s="258" t="s">
        <v>245</v>
      </c>
      <c r="H2513" s="259"/>
      <c r="I2513" s="541">
        <f t="shared" si="48"/>
        <v>118750.21142857129</v>
      </c>
      <c r="K2513" s="243"/>
    </row>
    <row r="2514" spans="2:11" ht="17" customHeight="1">
      <c r="B2514" s="736">
        <v>45991</v>
      </c>
      <c r="C2514" s="263" t="s">
        <v>513</v>
      </c>
      <c r="D2514" s="676" t="s">
        <v>558</v>
      </c>
      <c r="E2514" s="677"/>
      <c r="F2514" s="678">
        <v>290</v>
      </c>
      <c r="G2514" s="258" t="s">
        <v>245</v>
      </c>
      <c r="H2514" s="259"/>
      <c r="I2514" s="541">
        <f t="shared" si="48"/>
        <v>118660.21142857129</v>
      </c>
      <c r="K2514" s="243"/>
    </row>
    <row r="2515" spans="2:11" ht="17" customHeight="1">
      <c r="B2515" s="253">
        <v>46002</v>
      </c>
      <c r="C2515" s="263" t="s">
        <v>513</v>
      </c>
      <c r="D2515" s="255" t="s">
        <v>576</v>
      </c>
      <c r="E2515" s="256"/>
      <c r="F2515" s="257">
        <v>90</v>
      </c>
      <c r="G2515" s="258" t="s">
        <v>248</v>
      </c>
      <c r="H2515" s="259"/>
      <c r="I2515" s="541">
        <f t="shared" si="48"/>
        <v>119120.21142857129</v>
      </c>
      <c r="K2515" s="243"/>
    </row>
    <row r="2516" spans="2:11" ht="17" customHeight="1">
      <c r="B2516" s="253">
        <v>46002</v>
      </c>
      <c r="C2516" s="263" t="s">
        <v>117</v>
      </c>
      <c r="D2516" s="255" t="s">
        <v>682</v>
      </c>
      <c r="E2516" s="256">
        <v>460</v>
      </c>
      <c r="F2516" s="257"/>
      <c r="G2516" s="258" t="s">
        <v>233</v>
      </c>
      <c r="H2516" s="259" t="s">
        <v>502</v>
      </c>
      <c r="I2516" s="541">
        <f t="shared" si="48"/>
        <v>118862.21142857129</v>
      </c>
      <c r="K2516" s="243"/>
    </row>
    <row r="2517" spans="2:11" ht="17" customHeight="1">
      <c r="B2517" s="253">
        <v>46002</v>
      </c>
      <c r="C2517" s="263" t="s">
        <v>117</v>
      </c>
      <c r="D2517" s="255" t="s">
        <v>383</v>
      </c>
      <c r="E2517" s="256"/>
      <c r="F2517" s="257">
        <v>258</v>
      </c>
      <c r="G2517" s="258" t="s">
        <v>199</v>
      </c>
      <c r="H2517" s="259"/>
      <c r="I2517" s="541">
        <f t="shared" si="48"/>
        <v>118812.21142857129</v>
      </c>
      <c r="K2517" s="243"/>
    </row>
    <row r="2518" spans="2:11" ht="17" customHeight="1">
      <c r="B2518" s="253">
        <v>46002</v>
      </c>
      <c r="C2518" s="263" t="s">
        <v>117</v>
      </c>
      <c r="D2518" s="255" t="s">
        <v>713</v>
      </c>
      <c r="E2518" s="256"/>
      <c r="F2518" s="257">
        <v>50</v>
      </c>
      <c r="G2518" s="258" t="s">
        <v>216</v>
      </c>
      <c r="H2518" s="259"/>
      <c r="I2518" s="541">
        <f t="shared" si="48"/>
        <v>118633.91142857129</v>
      </c>
      <c r="K2518" s="243"/>
    </row>
    <row r="2519" spans="2:11" ht="17" customHeight="1">
      <c r="B2519" s="253">
        <v>46002</v>
      </c>
      <c r="C2519" s="263" t="s">
        <v>117</v>
      </c>
      <c r="D2519" s="255" t="s">
        <v>306</v>
      </c>
      <c r="E2519" s="256"/>
      <c r="F2519" s="257">
        <v>178.3</v>
      </c>
      <c r="G2519" s="258" t="s">
        <v>194</v>
      </c>
      <c r="H2519" s="259"/>
      <c r="I2519" s="541">
        <f t="shared" si="48"/>
        <v>119045.46142857129</v>
      </c>
      <c r="K2519" s="243"/>
    </row>
    <row r="2520" spans="2:11" ht="17" customHeight="1">
      <c r="B2520" s="253">
        <v>46002</v>
      </c>
      <c r="C2520" s="675" t="s">
        <v>283</v>
      </c>
      <c r="D2520" s="676" t="s">
        <v>283</v>
      </c>
      <c r="E2520" s="677">
        <f>465.7-E2521</f>
        <v>411.55</v>
      </c>
      <c r="F2520" s="678"/>
      <c r="G2520" s="258" t="s">
        <v>190</v>
      </c>
      <c r="H2520" s="259"/>
      <c r="I2520" s="541">
        <f t="shared" si="48"/>
        <v>119099.61142857128</v>
      </c>
      <c r="K2520" s="243"/>
    </row>
    <row r="2521" spans="2:11" ht="17" customHeight="1">
      <c r="B2521" s="253">
        <v>46002</v>
      </c>
      <c r="C2521" s="675" t="s">
        <v>283</v>
      </c>
      <c r="D2521" s="676" t="s">
        <v>508</v>
      </c>
      <c r="E2521" s="677">
        <v>54.15</v>
      </c>
      <c r="F2521" s="678"/>
      <c r="G2521" s="258" t="s">
        <v>276</v>
      </c>
      <c r="H2521" s="259"/>
      <c r="I2521" s="541">
        <f t="shared" si="48"/>
        <v>119051.71142857129</v>
      </c>
      <c r="K2521" s="243"/>
    </row>
    <row r="2522" spans="2:11" ht="17" customHeight="1">
      <c r="B2522" s="253">
        <v>46003</v>
      </c>
      <c r="C2522" s="263" t="s">
        <v>2392</v>
      </c>
      <c r="D2522" s="255" t="s">
        <v>512</v>
      </c>
      <c r="E2522" s="256"/>
      <c r="F2522" s="257">
        <v>47.9</v>
      </c>
      <c r="G2522" s="258" t="s">
        <v>199</v>
      </c>
      <c r="H2522" s="259"/>
      <c r="I2522" s="541">
        <f t="shared" si="48"/>
        <v>119049.87142857129</v>
      </c>
      <c r="K2522" s="243"/>
    </row>
    <row r="2523" spans="2:11" ht="17" customHeight="1">
      <c r="B2523" s="253">
        <v>46003</v>
      </c>
      <c r="C2523" s="263" t="s">
        <v>2392</v>
      </c>
      <c r="D2523" s="255" t="s">
        <v>512</v>
      </c>
      <c r="E2523" s="256"/>
      <c r="F2523" s="257">
        <v>1.84</v>
      </c>
      <c r="G2523" s="258" t="s">
        <v>274</v>
      </c>
      <c r="H2523" s="259"/>
      <c r="I2523" s="541">
        <f t="shared" si="48"/>
        <v>118984.87142857129</v>
      </c>
      <c r="K2523" s="243"/>
    </row>
    <row r="2524" spans="2:11" ht="17" customHeight="1">
      <c r="B2524" s="253">
        <v>46003</v>
      </c>
      <c r="C2524" s="263" t="s">
        <v>286</v>
      </c>
      <c r="D2524" s="255" t="s">
        <v>520</v>
      </c>
      <c r="E2524" s="256"/>
      <c r="F2524" s="257">
        <v>65</v>
      </c>
      <c r="G2524" s="258" t="s">
        <v>139</v>
      </c>
      <c r="H2524" s="259"/>
      <c r="I2524" s="541">
        <f t="shared" si="48"/>
        <v>118920.87142857129</v>
      </c>
      <c r="K2524" s="243"/>
    </row>
    <row r="2525" spans="2:11" ht="17" customHeight="1">
      <c r="B2525" s="253">
        <v>46003</v>
      </c>
      <c r="C2525" s="263" t="s">
        <v>2393</v>
      </c>
      <c r="D2525" s="255" t="s">
        <v>578</v>
      </c>
      <c r="E2525" s="256"/>
      <c r="F2525" s="257">
        <v>64</v>
      </c>
      <c r="G2525" s="258"/>
      <c r="H2525" s="597" t="s">
        <v>714</v>
      </c>
      <c r="I2525" s="541">
        <f t="shared" si="48"/>
        <v>118906.07142857129</v>
      </c>
      <c r="K2525" s="243"/>
    </row>
    <row r="2526" spans="2:11" ht="17" customHeight="1">
      <c r="B2526" s="253">
        <v>46003</v>
      </c>
      <c r="C2526" s="263" t="s">
        <v>2393</v>
      </c>
      <c r="D2526" s="255" t="s">
        <v>578</v>
      </c>
      <c r="E2526" s="256"/>
      <c r="F2526" s="257">
        <v>14.8</v>
      </c>
      <c r="G2526" s="258"/>
      <c r="H2526" s="597" t="s">
        <v>714</v>
      </c>
      <c r="I2526" s="541">
        <f t="shared" si="48"/>
        <v>118875.06142857129</v>
      </c>
      <c r="K2526" s="243"/>
    </row>
    <row r="2527" spans="2:11" ht="17" customHeight="1">
      <c r="B2527" s="253">
        <v>46003</v>
      </c>
      <c r="C2527" s="263" t="s">
        <v>2395</v>
      </c>
      <c r="D2527" s="255" t="s">
        <v>960</v>
      </c>
      <c r="E2527" s="256"/>
      <c r="F2527" s="257">
        <v>31.01</v>
      </c>
      <c r="G2527" s="258"/>
      <c r="H2527" s="597" t="s">
        <v>714</v>
      </c>
      <c r="I2527" s="541">
        <f t="shared" si="48"/>
        <v>118868.24142857129</v>
      </c>
      <c r="K2527" s="243"/>
    </row>
    <row r="2528" spans="2:11" ht="17" customHeight="1">
      <c r="B2528" s="253">
        <v>46003</v>
      </c>
      <c r="C2528" s="497" t="s">
        <v>2396</v>
      </c>
      <c r="D2528" s="498" t="s">
        <v>2394</v>
      </c>
      <c r="E2528" s="499"/>
      <c r="F2528" s="500">
        <v>6.82</v>
      </c>
      <c r="G2528" s="501"/>
      <c r="H2528" s="597" t="s">
        <v>714</v>
      </c>
      <c r="I2528" s="541">
        <f t="shared" si="48"/>
        <v>119429.81142857129</v>
      </c>
      <c r="K2528" s="243"/>
    </row>
    <row r="2529" spans="2:11" ht="17" customHeight="1">
      <c r="B2529" s="253">
        <v>46003</v>
      </c>
      <c r="C2529" s="675" t="s">
        <v>283</v>
      </c>
      <c r="D2529" s="676" t="s">
        <v>283</v>
      </c>
      <c r="E2529" s="677">
        <f>629.5-E2530</f>
        <v>561.56999999999994</v>
      </c>
      <c r="F2529" s="678"/>
      <c r="G2529" s="258" t="s">
        <v>190</v>
      </c>
      <c r="H2529" s="259"/>
      <c r="I2529" s="541">
        <f t="shared" si="48"/>
        <v>119497.74142857129</v>
      </c>
      <c r="K2529" s="243"/>
    </row>
    <row r="2530" spans="2:11" ht="17" customHeight="1">
      <c r="B2530" s="253">
        <v>46003</v>
      </c>
      <c r="C2530" s="675" t="s">
        <v>283</v>
      </c>
      <c r="D2530" s="676" t="s">
        <v>508</v>
      </c>
      <c r="E2530" s="677">
        <v>67.930000000000007</v>
      </c>
      <c r="F2530" s="678"/>
      <c r="G2530" s="258" t="s">
        <v>276</v>
      </c>
      <c r="H2530" s="259"/>
      <c r="I2530" s="541">
        <f t="shared" si="48"/>
        <v>119417.74142857129</v>
      </c>
      <c r="K2530" s="243"/>
    </row>
    <row r="2531" spans="2:11" ht="17" customHeight="1">
      <c r="B2531" s="253">
        <v>46004</v>
      </c>
      <c r="C2531" s="263" t="s">
        <v>117</v>
      </c>
      <c r="D2531" s="255" t="s">
        <v>543</v>
      </c>
      <c r="E2531" s="256"/>
      <c r="F2531" s="257">
        <v>80</v>
      </c>
      <c r="G2531" s="258" t="s">
        <v>234</v>
      </c>
      <c r="H2531" s="259"/>
      <c r="I2531" s="541">
        <f t="shared" si="48"/>
        <v>119367.74142857129</v>
      </c>
      <c r="K2531" s="243"/>
    </row>
    <row r="2532" spans="2:11" ht="17" customHeight="1">
      <c r="B2532" s="253">
        <v>46004</v>
      </c>
      <c r="C2532" s="263" t="s">
        <v>513</v>
      </c>
      <c r="D2532" s="255" t="s">
        <v>2356</v>
      </c>
      <c r="E2532" s="256"/>
      <c r="F2532" s="257">
        <v>50</v>
      </c>
      <c r="G2532" s="258" t="s">
        <v>245</v>
      </c>
      <c r="H2532" s="259"/>
      <c r="I2532" s="541">
        <f t="shared" si="48"/>
        <v>119849.98142857129</v>
      </c>
      <c r="K2532" s="243"/>
    </row>
    <row r="2533" spans="2:11" ht="17" customHeight="1">
      <c r="B2533" s="253">
        <v>46004</v>
      </c>
      <c r="C2533" s="675" t="s">
        <v>283</v>
      </c>
      <c r="D2533" s="676" t="s">
        <v>283</v>
      </c>
      <c r="E2533" s="677">
        <f>680.2-E2534</f>
        <v>482.24</v>
      </c>
      <c r="F2533" s="678"/>
      <c r="G2533" s="258" t="s">
        <v>190</v>
      </c>
      <c r="H2533" s="259"/>
      <c r="I2533" s="541">
        <f t="shared" si="48"/>
        <v>120047.9414285713</v>
      </c>
      <c r="K2533" s="243"/>
    </row>
    <row r="2534" spans="2:11" ht="17" customHeight="1">
      <c r="B2534" s="253">
        <v>46004</v>
      </c>
      <c r="C2534" s="675" t="s">
        <v>283</v>
      </c>
      <c r="D2534" s="676" t="s">
        <v>508</v>
      </c>
      <c r="E2534" s="677">
        <v>197.96</v>
      </c>
      <c r="F2534" s="678"/>
      <c r="G2534" s="258" t="s">
        <v>276</v>
      </c>
      <c r="H2534" s="259"/>
      <c r="I2534" s="541">
        <f t="shared" si="48"/>
        <v>120547.9414285713</v>
      </c>
      <c r="K2534" s="243"/>
    </row>
    <row r="2535" spans="2:11" ht="17" customHeight="1">
      <c r="B2535" s="253">
        <v>46004</v>
      </c>
      <c r="C2535" s="675" t="s">
        <v>283</v>
      </c>
      <c r="D2535" s="676" t="s">
        <v>283</v>
      </c>
      <c r="E2535" s="256">
        <v>500</v>
      </c>
      <c r="F2535" s="257"/>
      <c r="G2535" s="258" t="s">
        <v>190</v>
      </c>
      <c r="H2535" s="681" t="s">
        <v>2177</v>
      </c>
      <c r="I2535" s="541">
        <f t="shared" si="48"/>
        <v>121313.1114285713</v>
      </c>
      <c r="K2535" s="243"/>
    </row>
    <row r="2536" spans="2:11" ht="17" customHeight="1">
      <c r="B2536" s="253">
        <v>46005</v>
      </c>
      <c r="C2536" s="675" t="s">
        <v>283</v>
      </c>
      <c r="D2536" s="676" t="s">
        <v>283</v>
      </c>
      <c r="E2536" s="677">
        <f>845.8-E2537</f>
        <v>765.17</v>
      </c>
      <c r="F2536" s="678"/>
      <c r="G2536" s="258" t="s">
        <v>190</v>
      </c>
      <c r="H2536" s="259"/>
      <c r="I2536" s="541">
        <f t="shared" si="48"/>
        <v>121393.7414285713</v>
      </c>
      <c r="K2536" s="243"/>
    </row>
    <row r="2537" spans="2:11" ht="17" customHeight="1">
      <c r="B2537" s="253">
        <v>46005</v>
      </c>
      <c r="C2537" s="675" t="s">
        <v>283</v>
      </c>
      <c r="D2537" s="676" t="s">
        <v>508</v>
      </c>
      <c r="E2537" s="677">
        <v>80.63</v>
      </c>
      <c r="F2537" s="678"/>
      <c r="G2537" s="258" t="s">
        <v>276</v>
      </c>
      <c r="H2537" s="259"/>
      <c r="I2537" s="541">
        <f t="shared" si="48"/>
        <v>121388.56142857131</v>
      </c>
      <c r="K2537" s="243"/>
    </row>
    <row r="2538" spans="2:11" ht="17" customHeight="1">
      <c r="B2538" s="253">
        <v>46007</v>
      </c>
      <c r="C2538" s="263" t="s">
        <v>117</v>
      </c>
      <c r="D2538" s="255" t="s">
        <v>2398</v>
      </c>
      <c r="E2538" s="256"/>
      <c r="F2538" s="257">
        <v>5.18</v>
      </c>
      <c r="G2538" s="258"/>
      <c r="H2538" s="597" t="s">
        <v>714</v>
      </c>
      <c r="I2538" s="541">
        <f t="shared" ref="I2538:I2569" si="49">I2537+E2539-F2539</f>
        <v>121373.38142857132</v>
      </c>
      <c r="K2538" s="243"/>
    </row>
    <row r="2539" spans="2:11" ht="17" customHeight="1">
      <c r="B2539" s="253">
        <v>46007</v>
      </c>
      <c r="C2539" s="497" t="s">
        <v>117</v>
      </c>
      <c r="D2539" s="498" t="s">
        <v>846</v>
      </c>
      <c r="E2539" s="499"/>
      <c r="F2539" s="500">
        <v>15.18</v>
      </c>
      <c r="G2539" s="501"/>
      <c r="H2539" s="870" t="s">
        <v>714</v>
      </c>
      <c r="I2539" s="541">
        <f t="shared" si="49"/>
        <v>121308.38142857132</v>
      </c>
      <c r="K2539" s="243"/>
    </row>
    <row r="2540" spans="2:11" ht="17" customHeight="1">
      <c r="B2540" s="253">
        <v>46007</v>
      </c>
      <c r="C2540" s="263" t="s">
        <v>513</v>
      </c>
      <c r="D2540" s="255" t="s">
        <v>873</v>
      </c>
      <c r="E2540" s="256"/>
      <c r="F2540" s="257">
        <v>65</v>
      </c>
      <c r="G2540" s="258" t="s">
        <v>248</v>
      </c>
      <c r="H2540" s="259"/>
      <c r="I2540" s="541">
        <f t="shared" si="49"/>
        <v>121298.38142857132</v>
      </c>
      <c r="K2540" s="243"/>
    </row>
    <row r="2541" spans="2:11" ht="17" customHeight="1">
      <c r="B2541" s="253">
        <v>46007</v>
      </c>
      <c r="C2541" s="263" t="s">
        <v>117</v>
      </c>
      <c r="D2541" s="255" t="s">
        <v>1483</v>
      </c>
      <c r="E2541" s="256"/>
      <c r="F2541" s="257">
        <v>10</v>
      </c>
      <c r="G2541" s="258" t="s">
        <v>139</v>
      </c>
      <c r="H2541" s="259"/>
      <c r="I2541" s="541">
        <f t="shared" si="49"/>
        <v>120716.68142857132</v>
      </c>
      <c r="K2541" s="243"/>
    </row>
    <row r="2542" spans="2:11" ht="17" customHeight="1">
      <c r="B2542" s="253">
        <v>46007</v>
      </c>
      <c r="C2542" s="263" t="s">
        <v>2400</v>
      </c>
      <c r="D2542" s="255" t="s">
        <v>2399</v>
      </c>
      <c r="E2542" s="256"/>
      <c r="F2542" s="257">
        <v>581.70000000000005</v>
      </c>
      <c r="G2542" s="258" t="s">
        <v>201</v>
      </c>
      <c r="H2542" s="259"/>
      <c r="I2542" s="541">
        <f t="shared" si="49"/>
        <v>120694.31142857132</v>
      </c>
      <c r="K2542" s="243"/>
    </row>
    <row r="2543" spans="2:11" ht="17" customHeight="1">
      <c r="B2543" s="253">
        <v>46007</v>
      </c>
      <c r="C2543" s="263" t="s">
        <v>2400</v>
      </c>
      <c r="D2543" s="255" t="s">
        <v>2399</v>
      </c>
      <c r="E2543" s="499"/>
      <c r="F2543" s="500">
        <v>22.37</v>
      </c>
      <c r="G2543" s="501" t="s">
        <v>274</v>
      </c>
      <c r="H2543" s="259"/>
      <c r="I2543" s="541">
        <f t="shared" si="49"/>
        <v>120619.41142857133</v>
      </c>
      <c r="K2543" s="243"/>
    </row>
    <row r="2544" spans="2:11" ht="17" customHeight="1">
      <c r="B2544" s="253">
        <v>46007</v>
      </c>
      <c r="C2544" s="497" t="s">
        <v>117</v>
      </c>
      <c r="D2544" s="498" t="s">
        <v>2407</v>
      </c>
      <c r="E2544" s="499"/>
      <c r="F2544" s="500">
        <v>74.900000000000006</v>
      </c>
      <c r="G2544" s="501" t="s">
        <v>201</v>
      </c>
      <c r="H2544" s="259"/>
      <c r="I2544" s="541">
        <f t="shared" si="49"/>
        <v>120965.00142857133</v>
      </c>
      <c r="K2544" s="243"/>
    </row>
    <row r="2545" spans="2:11" ht="17" customHeight="1">
      <c r="B2545" s="253">
        <v>46007</v>
      </c>
      <c r="C2545" s="675" t="s">
        <v>283</v>
      </c>
      <c r="D2545" s="676" t="s">
        <v>283</v>
      </c>
      <c r="E2545" s="677">
        <f>390.06-E2546</f>
        <v>345.59000000000003</v>
      </c>
      <c r="F2545" s="678"/>
      <c r="G2545" s="258" t="s">
        <v>190</v>
      </c>
      <c r="H2545" s="259"/>
      <c r="I2545" s="541">
        <f t="shared" si="49"/>
        <v>121009.47142857133</v>
      </c>
      <c r="K2545" s="243"/>
    </row>
    <row r="2546" spans="2:11" ht="17" customHeight="1">
      <c r="B2546" s="253">
        <v>46007</v>
      </c>
      <c r="C2546" s="675" t="s">
        <v>283</v>
      </c>
      <c r="D2546" s="676" t="s">
        <v>508</v>
      </c>
      <c r="E2546" s="677">
        <v>44.47</v>
      </c>
      <c r="F2546" s="678"/>
      <c r="G2546" s="258" t="s">
        <v>276</v>
      </c>
      <c r="H2546" s="259"/>
      <c r="I2546" s="541">
        <f t="shared" si="49"/>
        <v>111009.47142857133</v>
      </c>
      <c r="K2546" s="243"/>
    </row>
    <row r="2547" spans="2:11" ht="17" customHeight="1">
      <c r="B2547" s="253">
        <v>46007</v>
      </c>
      <c r="C2547" s="497" t="s">
        <v>541</v>
      </c>
      <c r="D2547" s="498" t="s">
        <v>542</v>
      </c>
      <c r="E2547" s="499"/>
      <c r="F2547" s="500">
        <v>10000</v>
      </c>
      <c r="G2547" s="501" t="s">
        <v>277</v>
      </c>
      <c r="H2547" s="259"/>
      <c r="I2547" s="541">
        <f t="shared" si="49"/>
        <v>110974.47142857133</v>
      </c>
      <c r="K2547" s="243"/>
    </row>
    <row r="2548" spans="2:11" ht="17" customHeight="1">
      <c r="B2548" s="253">
        <v>46008</v>
      </c>
      <c r="C2548" s="263" t="s">
        <v>286</v>
      </c>
      <c r="D2548" s="255" t="s">
        <v>520</v>
      </c>
      <c r="E2548" s="256"/>
      <c r="F2548" s="257">
        <v>35</v>
      </c>
      <c r="G2548" s="258" t="s">
        <v>139</v>
      </c>
      <c r="H2548" s="259"/>
      <c r="I2548" s="541">
        <f t="shared" si="49"/>
        <v>110911.47142857133</v>
      </c>
      <c r="K2548" s="243"/>
    </row>
    <row r="2549" spans="2:11" ht="17" customHeight="1">
      <c r="B2549" s="253">
        <v>46008</v>
      </c>
      <c r="C2549" s="263" t="s">
        <v>513</v>
      </c>
      <c r="D2549" s="255" t="s">
        <v>873</v>
      </c>
      <c r="E2549" s="256"/>
      <c r="F2549" s="257">
        <v>63</v>
      </c>
      <c r="G2549" s="258" t="s">
        <v>248</v>
      </c>
      <c r="H2549" s="259"/>
      <c r="I2549" s="541">
        <f t="shared" si="49"/>
        <v>110346.97142857133</v>
      </c>
      <c r="K2549" s="243"/>
    </row>
    <row r="2550" spans="2:11" ht="17" customHeight="1">
      <c r="B2550" s="253">
        <v>46008</v>
      </c>
      <c r="C2550" s="497" t="s">
        <v>117</v>
      </c>
      <c r="D2550" s="498" t="s">
        <v>349</v>
      </c>
      <c r="E2550" s="499"/>
      <c r="F2550" s="500">
        <v>564.5</v>
      </c>
      <c r="G2550" s="501" t="s">
        <v>199</v>
      </c>
      <c r="H2550" s="259"/>
      <c r="I2550" s="541">
        <f t="shared" si="49"/>
        <v>110301.97142857133</v>
      </c>
      <c r="K2550" s="243"/>
    </row>
    <row r="2551" spans="2:11" ht="17" customHeight="1">
      <c r="B2551" s="253">
        <v>46008</v>
      </c>
      <c r="C2551" s="263" t="s">
        <v>2401</v>
      </c>
      <c r="D2551" s="255" t="s">
        <v>960</v>
      </c>
      <c r="E2551" s="256"/>
      <c r="F2551" s="257">
        <v>45</v>
      </c>
      <c r="G2551" s="258" t="s">
        <v>208</v>
      </c>
      <c r="H2551" s="259"/>
      <c r="I2551" s="541">
        <f t="shared" si="49"/>
        <v>110292.07142857133</v>
      </c>
      <c r="K2551" s="243"/>
    </row>
    <row r="2552" spans="2:11" ht="17" customHeight="1">
      <c r="B2552" s="253">
        <v>46008</v>
      </c>
      <c r="C2552" s="263" t="s">
        <v>2401</v>
      </c>
      <c r="D2552" s="498" t="s">
        <v>2394</v>
      </c>
      <c r="E2552" s="499"/>
      <c r="F2552" s="500">
        <v>9.9</v>
      </c>
      <c r="G2552" s="501" t="s">
        <v>274</v>
      </c>
      <c r="H2552" s="259"/>
      <c r="I2552" s="541">
        <f t="shared" si="49"/>
        <v>110539.26142857134</v>
      </c>
      <c r="K2552" s="243"/>
    </row>
    <row r="2553" spans="2:11" ht="17" customHeight="1">
      <c r="B2553" s="253">
        <v>46008</v>
      </c>
      <c r="C2553" s="675" t="s">
        <v>283</v>
      </c>
      <c r="D2553" s="676" t="s">
        <v>283</v>
      </c>
      <c r="E2553" s="677">
        <f>285-E2554</f>
        <v>247.19</v>
      </c>
      <c r="F2553" s="678"/>
      <c r="G2553" s="258" t="s">
        <v>190</v>
      </c>
      <c r="H2553" s="259"/>
      <c r="I2553" s="541">
        <f t="shared" si="49"/>
        <v>110577.07142857133</v>
      </c>
      <c r="K2553" s="243"/>
    </row>
    <row r="2554" spans="2:11" ht="17" customHeight="1">
      <c r="B2554" s="253">
        <v>46008</v>
      </c>
      <c r="C2554" s="675" t="s">
        <v>283</v>
      </c>
      <c r="D2554" s="676" t="s">
        <v>508</v>
      </c>
      <c r="E2554" s="677">
        <v>37.81</v>
      </c>
      <c r="F2554" s="678"/>
      <c r="G2554" s="258" t="s">
        <v>276</v>
      </c>
      <c r="H2554" s="259"/>
      <c r="I2554" s="541">
        <f t="shared" si="49"/>
        <v>110447.07142857133</v>
      </c>
      <c r="K2554" s="243"/>
    </row>
    <row r="2555" spans="2:11" ht="17" customHeight="1">
      <c r="B2555" s="253">
        <v>46009</v>
      </c>
      <c r="C2555" s="263" t="s">
        <v>117</v>
      </c>
      <c r="D2555" s="255" t="s">
        <v>594</v>
      </c>
      <c r="E2555" s="256"/>
      <c r="F2555" s="257">
        <v>130</v>
      </c>
      <c r="G2555" s="258" t="s">
        <v>256</v>
      </c>
      <c r="H2555" s="259"/>
      <c r="I2555" s="541">
        <f t="shared" si="49"/>
        <v>110386.57142857133</v>
      </c>
      <c r="K2555" s="243"/>
    </row>
    <row r="2556" spans="2:11" ht="17" customHeight="1">
      <c r="B2556" s="253">
        <v>46009</v>
      </c>
      <c r="C2556" s="263" t="s">
        <v>2402</v>
      </c>
      <c r="D2556" s="255" t="s">
        <v>306</v>
      </c>
      <c r="E2556" s="256"/>
      <c r="F2556" s="257">
        <v>60.5</v>
      </c>
      <c r="G2556" s="258" t="s">
        <v>194</v>
      </c>
      <c r="H2556" s="259"/>
      <c r="I2556" s="541">
        <f t="shared" si="49"/>
        <v>110354.01142857134</v>
      </c>
      <c r="K2556" s="243"/>
    </row>
    <row r="2557" spans="2:11" ht="17" customHeight="1">
      <c r="B2557" s="253">
        <v>46009</v>
      </c>
      <c r="C2557" s="263" t="s">
        <v>2402</v>
      </c>
      <c r="D2557" s="255" t="s">
        <v>306</v>
      </c>
      <c r="E2557" s="256"/>
      <c r="F2557" s="257">
        <v>32.56</v>
      </c>
      <c r="G2557" s="258" t="s">
        <v>274</v>
      </c>
      <c r="H2557" s="259"/>
      <c r="I2557" s="541">
        <f t="shared" si="49"/>
        <v>110216.21142857133</v>
      </c>
      <c r="K2557" s="243"/>
    </row>
    <row r="2558" spans="2:11" ht="17" customHeight="1">
      <c r="B2558" s="253">
        <v>46009</v>
      </c>
      <c r="C2558" s="263" t="s">
        <v>117</v>
      </c>
      <c r="D2558" s="255" t="s">
        <v>306</v>
      </c>
      <c r="E2558" s="256"/>
      <c r="F2558" s="257">
        <v>137.80000000000001</v>
      </c>
      <c r="G2558" s="258" t="s">
        <v>194</v>
      </c>
      <c r="H2558" s="259"/>
      <c r="I2558" s="541">
        <f t="shared" si="49"/>
        <v>110159.16142857133</v>
      </c>
      <c r="K2558" s="243"/>
    </row>
    <row r="2559" spans="2:11" ht="17" customHeight="1">
      <c r="B2559" s="253">
        <v>46009</v>
      </c>
      <c r="C2559" s="263" t="s">
        <v>117</v>
      </c>
      <c r="D2559" s="255" t="s">
        <v>306</v>
      </c>
      <c r="E2559" s="256"/>
      <c r="F2559" s="257">
        <v>57.05</v>
      </c>
      <c r="G2559" s="258" t="s">
        <v>194</v>
      </c>
      <c r="H2559" s="259"/>
      <c r="I2559" s="541">
        <f t="shared" si="49"/>
        <v>109631.26142857134</v>
      </c>
      <c r="K2559" s="243"/>
    </row>
    <row r="2560" spans="2:11" ht="17" customHeight="1">
      <c r="B2560" s="253">
        <v>46009</v>
      </c>
      <c r="C2560" s="263" t="s">
        <v>117</v>
      </c>
      <c r="D2560" s="255" t="s">
        <v>306</v>
      </c>
      <c r="E2560" s="256"/>
      <c r="F2560" s="257">
        <v>527.9</v>
      </c>
      <c r="G2560" s="258" t="s">
        <v>194</v>
      </c>
      <c r="H2560" s="259"/>
      <c r="I2560" s="541">
        <f t="shared" si="49"/>
        <v>109373.56142857134</v>
      </c>
      <c r="K2560" s="243"/>
    </row>
    <row r="2561" spans="2:11" ht="17" customHeight="1">
      <c r="B2561" s="253">
        <v>46009</v>
      </c>
      <c r="C2561" s="263" t="s">
        <v>117</v>
      </c>
      <c r="D2561" s="255" t="s">
        <v>306</v>
      </c>
      <c r="E2561" s="256"/>
      <c r="F2561" s="257">
        <v>257.7</v>
      </c>
      <c r="G2561" s="258" t="s">
        <v>194</v>
      </c>
      <c r="H2561" s="259"/>
      <c r="I2561" s="541">
        <f t="shared" si="49"/>
        <v>109933.75142857134</v>
      </c>
      <c r="K2561" s="243"/>
    </row>
    <row r="2562" spans="2:11" ht="17" customHeight="1">
      <c r="B2562" s="253">
        <v>46009</v>
      </c>
      <c r="C2562" s="675" t="s">
        <v>283</v>
      </c>
      <c r="D2562" s="676" t="s">
        <v>283</v>
      </c>
      <c r="E2562" s="677">
        <f>620-E2563</f>
        <v>560.19000000000005</v>
      </c>
      <c r="F2562" s="678"/>
      <c r="G2562" s="258" t="s">
        <v>190</v>
      </c>
      <c r="H2562" s="259"/>
      <c r="I2562" s="541">
        <f t="shared" si="49"/>
        <v>109993.56142857134</v>
      </c>
      <c r="K2562" s="243"/>
    </row>
    <row r="2563" spans="2:11" ht="17" customHeight="1">
      <c r="B2563" s="253">
        <v>46009</v>
      </c>
      <c r="C2563" s="675" t="s">
        <v>283</v>
      </c>
      <c r="D2563" s="676" t="s">
        <v>508</v>
      </c>
      <c r="E2563" s="677">
        <v>59.81</v>
      </c>
      <c r="F2563" s="678"/>
      <c r="G2563" s="258" t="s">
        <v>276</v>
      </c>
      <c r="H2563" s="259"/>
      <c r="I2563" s="541">
        <f t="shared" si="49"/>
        <v>110193.56142857134</v>
      </c>
      <c r="K2563" s="243"/>
    </row>
    <row r="2564" spans="2:11" ht="17" customHeight="1">
      <c r="B2564" s="253">
        <v>46009</v>
      </c>
      <c r="C2564" s="675" t="s">
        <v>283</v>
      </c>
      <c r="D2564" s="676" t="s">
        <v>283</v>
      </c>
      <c r="E2564" s="677">
        <v>200</v>
      </c>
      <c r="F2564" s="678"/>
      <c r="G2564" s="258" t="s">
        <v>190</v>
      </c>
      <c r="H2564" s="259" t="s">
        <v>2403</v>
      </c>
      <c r="I2564" s="541">
        <f t="shared" si="49"/>
        <v>110136.71142857133</v>
      </c>
      <c r="K2564" s="243"/>
    </row>
    <row r="2565" spans="2:11" ht="17" customHeight="1">
      <c r="B2565" s="253">
        <v>46010</v>
      </c>
      <c r="C2565" s="263" t="s">
        <v>2404</v>
      </c>
      <c r="D2565" s="255" t="s">
        <v>512</v>
      </c>
      <c r="E2565" s="256"/>
      <c r="F2565" s="257">
        <v>56.85</v>
      </c>
      <c r="G2565" s="258" t="s">
        <v>199</v>
      </c>
      <c r="H2565" s="259"/>
      <c r="I2565" s="541">
        <f t="shared" si="49"/>
        <v>110134.52142857133</v>
      </c>
      <c r="K2565" s="243"/>
    </row>
    <row r="2566" spans="2:11" ht="17" customHeight="1">
      <c r="B2566" s="253">
        <v>46010</v>
      </c>
      <c r="C2566" s="263" t="s">
        <v>2404</v>
      </c>
      <c r="D2566" s="255" t="s">
        <v>512</v>
      </c>
      <c r="E2566" s="256"/>
      <c r="F2566" s="257">
        <v>2.19</v>
      </c>
      <c r="G2566" s="258" t="s">
        <v>274</v>
      </c>
      <c r="H2566" s="259"/>
      <c r="I2566" s="541">
        <f t="shared" si="49"/>
        <v>110767.52142857133</v>
      </c>
      <c r="K2566" s="243"/>
    </row>
    <row r="2567" spans="2:11" ht="17" customHeight="1">
      <c r="B2567" s="253">
        <v>46010</v>
      </c>
      <c r="C2567" s="675" t="s">
        <v>283</v>
      </c>
      <c r="D2567" s="676" t="s">
        <v>283</v>
      </c>
      <c r="E2567" s="677">
        <f>720.35-E2568</f>
        <v>633</v>
      </c>
      <c r="F2567" s="678"/>
      <c r="G2567" s="258" t="s">
        <v>190</v>
      </c>
      <c r="H2567" s="259"/>
      <c r="I2567" s="541">
        <f t="shared" si="49"/>
        <v>110854.87142857134</v>
      </c>
      <c r="K2567" s="243"/>
    </row>
    <row r="2568" spans="2:11" ht="17" customHeight="1">
      <c r="B2568" s="253">
        <v>46010</v>
      </c>
      <c r="C2568" s="675" t="s">
        <v>283</v>
      </c>
      <c r="D2568" s="676" t="s">
        <v>508</v>
      </c>
      <c r="E2568" s="677">
        <v>87.35</v>
      </c>
      <c r="F2568" s="678"/>
      <c r="G2568" s="258" t="s">
        <v>276</v>
      </c>
      <c r="H2568" s="259"/>
      <c r="I2568" s="541">
        <f t="shared" si="49"/>
        <v>111054.87142857134</v>
      </c>
      <c r="K2568" s="243"/>
    </row>
    <row r="2569" spans="2:11" ht="17" customHeight="1">
      <c r="B2569" s="253">
        <v>46010</v>
      </c>
      <c r="C2569" s="675" t="s">
        <v>283</v>
      </c>
      <c r="D2569" s="676" t="s">
        <v>283</v>
      </c>
      <c r="E2569" s="677">
        <v>200</v>
      </c>
      <c r="F2569" s="678"/>
      <c r="G2569" s="258" t="s">
        <v>190</v>
      </c>
      <c r="H2569" s="259" t="s">
        <v>2405</v>
      </c>
      <c r="I2569" s="541">
        <f t="shared" si="49"/>
        <v>110999.87142857134</v>
      </c>
      <c r="K2569" s="243"/>
    </row>
    <row r="2570" spans="2:11" ht="17" customHeight="1">
      <c r="B2570" s="253">
        <v>46011</v>
      </c>
      <c r="C2570" s="263" t="s">
        <v>513</v>
      </c>
      <c r="D2570" s="255" t="s">
        <v>2356</v>
      </c>
      <c r="E2570" s="256"/>
      <c r="F2570" s="257">
        <v>55</v>
      </c>
      <c r="G2570" s="258" t="s">
        <v>245</v>
      </c>
      <c r="H2570" s="259"/>
      <c r="I2570" s="541">
        <f t="shared" ref="I2570:I2601" si="50">I2569+E2571-F2571</f>
        <v>110919.87142857134</v>
      </c>
      <c r="K2570" s="243"/>
    </row>
    <row r="2571" spans="2:11" ht="17" customHeight="1">
      <c r="B2571" s="253">
        <v>46011</v>
      </c>
      <c r="C2571" s="263" t="s">
        <v>117</v>
      </c>
      <c r="D2571" s="255" t="s">
        <v>2397</v>
      </c>
      <c r="E2571" s="256"/>
      <c r="F2571" s="257">
        <v>80</v>
      </c>
      <c r="G2571" s="258" t="s">
        <v>234</v>
      </c>
      <c r="H2571" s="259"/>
      <c r="I2571" s="541">
        <f t="shared" si="50"/>
        <v>110859.87142857134</v>
      </c>
      <c r="K2571" s="243"/>
    </row>
    <row r="2572" spans="2:11" ht="17" customHeight="1">
      <c r="B2572" s="253">
        <v>46011</v>
      </c>
      <c r="C2572" s="263" t="s">
        <v>513</v>
      </c>
      <c r="D2572" s="255" t="s">
        <v>688</v>
      </c>
      <c r="E2572" s="256"/>
      <c r="F2572" s="257">
        <v>60</v>
      </c>
      <c r="G2572" s="258" t="s">
        <v>245</v>
      </c>
      <c r="H2572" s="259"/>
      <c r="I2572" s="541">
        <f t="shared" si="50"/>
        <v>111886.42142857134</v>
      </c>
      <c r="K2572" s="243"/>
    </row>
    <row r="2573" spans="2:11" ht="17" customHeight="1">
      <c r="B2573" s="253">
        <v>46011</v>
      </c>
      <c r="C2573" s="675" t="s">
        <v>283</v>
      </c>
      <c r="D2573" s="676" t="s">
        <v>283</v>
      </c>
      <c r="E2573" s="677">
        <f>1082-E2574</f>
        <v>1026.55</v>
      </c>
      <c r="F2573" s="678"/>
      <c r="G2573" s="258" t="s">
        <v>190</v>
      </c>
      <c r="H2573" s="259"/>
      <c r="I2573" s="541">
        <f t="shared" si="50"/>
        <v>111941.87142857134</v>
      </c>
      <c r="K2573" s="243"/>
    </row>
    <row r="2574" spans="2:11" ht="17" customHeight="1">
      <c r="B2574" s="253">
        <v>46011</v>
      </c>
      <c r="C2574" s="675" t="s">
        <v>283</v>
      </c>
      <c r="D2574" s="676" t="s">
        <v>508</v>
      </c>
      <c r="E2574" s="677">
        <v>55.45</v>
      </c>
      <c r="F2574" s="678"/>
      <c r="G2574" s="258" t="s">
        <v>276</v>
      </c>
      <c r="H2574" s="259"/>
      <c r="I2574" s="541">
        <f t="shared" si="50"/>
        <v>112441.87142857134</v>
      </c>
      <c r="K2574" s="243"/>
    </row>
    <row r="2575" spans="2:11" ht="17" customHeight="1">
      <c r="B2575" s="253">
        <v>46011</v>
      </c>
      <c r="C2575" s="675" t="s">
        <v>283</v>
      </c>
      <c r="D2575" s="676" t="s">
        <v>283</v>
      </c>
      <c r="E2575" s="677">
        <v>500</v>
      </c>
      <c r="F2575" s="678"/>
      <c r="G2575" s="258" t="s">
        <v>190</v>
      </c>
      <c r="H2575" s="681" t="s">
        <v>2177</v>
      </c>
      <c r="I2575" s="541">
        <f t="shared" si="50"/>
        <v>113053.41142857133</v>
      </c>
      <c r="K2575" s="243"/>
    </row>
    <row r="2576" spans="2:11" ht="17" customHeight="1">
      <c r="B2576" s="253">
        <v>46012</v>
      </c>
      <c r="C2576" s="675" t="s">
        <v>283</v>
      </c>
      <c r="D2576" s="676" t="s">
        <v>283</v>
      </c>
      <c r="E2576" s="677">
        <f>680.5-E2577</f>
        <v>611.54</v>
      </c>
      <c r="F2576" s="678"/>
      <c r="G2576" s="258" t="s">
        <v>190</v>
      </c>
      <c r="H2576" s="259"/>
      <c r="I2576" s="541">
        <f t="shared" si="50"/>
        <v>113122.37142857134</v>
      </c>
      <c r="K2576" s="243"/>
    </row>
    <row r="2577" spans="2:11" ht="17" customHeight="1">
      <c r="B2577" s="253">
        <v>46012</v>
      </c>
      <c r="C2577" s="675" t="s">
        <v>283</v>
      </c>
      <c r="D2577" s="676" t="s">
        <v>508</v>
      </c>
      <c r="E2577" s="677">
        <v>68.959999999999994</v>
      </c>
      <c r="F2577" s="678"/>
      <c r="G2577" s="258" t="s">
        <v>276</v>
      </c>
      <c r="H2577" s="259"/>
      <c r="I2577" s="541">
        <f t="shared" si="50"/>
        <v>113322.37142857134</v>
      </c>
      <c r="K2577" s="243"/>
    </row>
    <row r="2578" spans="2:11" ht="17" customHeight="1">
      <c r="B2578" s="253">
        <v>46012</v>
      </c>
      <c r="C2578" s="675" t="s">
        <v>283</v>
      </c>
      <c r="D2578" s="676" t="s">
        <v>283</v>
      </c>
      <c r="E2578" s="677">
        <v>200</v>
      </c>
      <c r="F2578" s="678"/>
      <c r="G2578" s="258" t="s">
        <v>190</v>
      </c>
      <c r="H2578" s="259" t="s">
        <v>2406</v>
      </c>
      <c r="I2578" s="541">
        <f t="shared" si="50"/>
        <v>103322.37142857134</v>
      </c>
      <c r="K2578" s="243"/>
    </row>
    <row r="2579" spans="2:11" ht="17" customHeight="1">
      <c r="B2579" s="496">
        <v>45648</v>
      </c>
      <c r="C2579" s="497" t="s">
        <v>541</v>
      </c>
      <c r="D2579" s="498" t="s">
        <v>542</v>
      </c>
      <c r="E2579" s="499"/>
      <c r="F2579" s="500">
        <v>10000</v>
      </c>
      <c r="G2579" s="501" t="s">
        <v>277</v>
      </c>
      <c r="H2579" s="259"/>
      <c r="I2579" s="541">
        <f t="shared" si="50"/>
        <v>103272.37142857134</v>
      </c>
      <c r="K2579" s="243"/>
    </row>
    <row r="2580" spans="2:11" ht="17" customHeight="1">
      <c r="B2580" s="496">
        <v>45648</v>
      </c>
      <c r="C2580" s="263" t="s">
        <v>513</v>
      </c>
      <c r="D2580" s="255" t="s">
        <v>2356</v>
      </c>
      <c r="E2580" s="256"/>
      <c r="F2580" s="257">
        <v>50</v>
      </c>
      <c r="G2580" s="258" t="s">
        <v>245</v>
      </c>
      <c r="H2580" s="259"/>
      <c r="I2580" s="541">
        <f t="shared" si="50"/>
        <v>103192.37142857134</v>
      </c>
      <c r="K2580" s="243"/>
    </row>
    <row r="2581" spans="2:11" ht="17" customHeight="1">
      <c r="B2581" s="496">
        <v>45648</v>
      </c>
      <c r="C2581" s="263" t="s">
        <v>117</v>
      </c>
      <c r="D2581" s="255" t="s">
        <v>2397</v>
      </c>
      <c r="E2581" s="256"/>
      <c r="F2581" s="257">
        <v>80</v>
      </c>
      <c r="G2581" s="258" t="s">
        <v>234</v>
      </c>
      <c r="H2581" s="259"/>
      <c r="I2581" s="541">
        <f t="shared" si="50"/>
        <v>102997.67142857134</v>
      </c>
      <c r="K2581" s="243"/>
    </row>
    <row r="2582" spans="2:11" ht="17" customHeight="1">
      <c r="B2582" s="496">
        <v>45648</v>
      </c>
      <c r="C2582" s="263" t="s">
        <v>117</v>
      </c>
      <c r="D2582" s="255" t="s">
        <v>306</v>
      </c>
      <c r="E2582" s="256"/>
      <c r="F2582" s="257">
        <v>194.7</v>
      </c>
      <c r="G2582" s="258" t="s">
        <v>194</v>
      </c>
      <c r="H2582" s="259"/>
      <c r="I2582" s="541">
        <f t="shared" si="50"/>
        <v>102933.87142857134</v>
      </c>
      <c r="K2582" s="243"/>
    </row>
    <row r="2583" spans="2:11" ht="17" customHeight="1">
      <c r="B2583" s="496">
        <v>45648</v>
      </c>
      <c r="C2583" s="263" t="s">
        <v>117</v>
      </c>
      <c r="D2583" s="255" t="s">
        <v>306</v>
      </c>
      <c r="E2583" s="256"/>
      <c r="F2583" s="257">
        <v>63.8</v>
      </c>
      <c r="G2583" s="258" t="s">
        <v>194</v>
      </c>
      <c r="H2583" s="259"/>
      <c r="I2583" s="541">
        <f t="shared" si="50"/>
        <v>102895.87142857134</v>
      </c>
      <c r="K2583" s="243"/>
    </row>
    <row r="2584" spans="2:11" ht="17" customHeight="1">
      <c r="B2584" s="496">
        <v>45648</v>
      </c>
      <c r="C2584" s="263" t="s">
        <v>117</v>
      </c>
      <c r="D2584" s="255" t="s">
        <v>846</v>
      </c>
      <c r="E2584" s="256"/>
      <c r="F2584" s="257">
        <v>38</v>
      </c>
      <c r="G2584" s="258"/>
      <c r="H2584" s="870" t="s">
        <v>714</v>
      </c>
      <c r="I2584" s="541">
        <f t="shared" si="50"/>
        <v>102795.87142857134</v>
      </c>
      <c r="K2584" s="243"/>
    </row>
    <row r="2585" spans="2:11" ht="17" customHeight="1">
      <c r="B2585" s="496">
        <v>45648</v>
      </c>
      <c r="C2585" s="263" t="s">
        <v>117</v>
      </c>
      <c r="D2585" s="255" t="s">
        <v>846</v>
      </c>
      <c r="E2585" s="256"/>
      <c r="F2585" s="257">
        <v>100</v>
      </c>
      <c r="G2585" s="258" t="s">
        <v>201</v>
      </c>
      <c r="H2585" s="259"/>
      <c r="I2585" s="541">
        <f t="shared" si="50"/>
        <v>103236.01142857134</v>
      </c>
      <c r="K2585" s="243"/>
    </row>
    <row r="2586" spans="2:11" ht="17" customHeight="1">
      <c r="B2586" s="496">
        <v>45648</v>
      </c>
      <c r="C2586" s="675" t="s">
        <v>283</v>
      </c>
      <c r="D2586" s="676" t="s">
        <v>283</v>
      </c>
      <c r="E2586" s="677">
        <f>545.5-E2587</f>
        <v>440.14</v>
      </c>
      <c r="F2586" s="678"/>
      <c r="G2586" s="258" t="s">
        <v>190</v>
      </c>
      <c r="H2586" s="259"/>
      <c r="I2586" s="541">
        <f t="shared" si="50"/>
        <v>103341.37142857134</v>
      </c>
      <c r="K2586" s="243"/>
    </row>
    <row r="2587" spans="2:11" ht="17" customHeight="1">
      <c r="B2587" s="496">
        <v>45648</v>
      </c>
      <c r="C2587" s="675" t="s">
        <v>283</v>
      </c>
      <c r="D2587" s="676" t="s">
        <v>508</v>
      </c>
      <c r="E2587" s="677">
        <v>105.36</v>
      </c>
      <c r="F2587" s="678"/>
      <c r="G2587" s="258" t="s">
        <v>276</v>
      </c>
      <c r="H2587" s="259"/>
      <c r="I2587" s="541">
        <f t="shared" si="50"/>
        <v>95341.371428571336</v>
      </c>
      <c r="K2587" s="243"/>
    </row>
    <row r="2588" spans="2:11" ht="17" customHeight="1">
      <c r="B2588" s="496">
        <v>45649</v>
      </c>
      <c r="C2588" s="497" t="s">
        <v>541</v>
      </c>
      <c r="D2588" s="498" t="s">
        <v>542</v>
      </c>
      <c r="E2588" s="499"/>
      <c r="F2588" s="500">
        <v>8000</v>
      </c>
      <c r="G2588" s="501" t="s">
        <v>277</v>
      </c>
      <c r="H2588" s="259"/>
      <c r="I2588" s="541">
        <f t="shared" si="50"/>
        <v>93341.371428571336</v>
      </c>
      <c r="K2588" s="243"/>
    </row>
    <row r="2589" spans="2:11" ht="17" customHeight="1">
      <c r="B2589" s="496">
        <v>45649</v>
      </c>
      <c r="C2589" s="497" t="s">
        <v>541</v>
      </c>
      <c r="D2589" s="498" t="s">
        <v>542</v>
      </c>
      <c r="E2589" s="499"/>
      <c r="F2589" s="500">
        <v>2000</v>
      </c>
      <c r="G2589" s="501" t="s">
        <v>277</v>
      </c>
      <c r="H2589" s="259"/>
      <c r="I2589" s="541">
        <f t="shared" si="50"/>
        <v>93341.371428571336</v>
      </c>
      <c r="K2589" s="243"/>
    </row>
    <row r="2590" spans="2:11" ht="17" customHeight="1">
      <c r="B2590" s="253"/>
      <c r="C2590" s="263"/>
      <c r="D2590" s="255"/>
      <c r="E2590" s="256"/>
      <c r="F2590" s="257"/>
      <c r="G2590" s="258"/>
      <c r="H2590" s="259"/>
      <c r="I2590" s="541">
        <f t="shared" si="50"/>
        <v>93341.371428571336</v>
      </c>
      <c r="K2590" s="243"/>
    </row>
    <row r="2591" spans="2:11" ht="17" customHeight="1">
      <c r="B2591" s="253"/>
      <c r="C2591" s="263"/>
      <c r="D2591" s="255"/>
      <c r="E2591" s="256"/>
      <c r="F2591" s="257"/>
      <c r="G2591" s="258"/>
      <c r="H2591" s="259"/>
      <c r="I2591" s="541">
        <f t="shared" si="50"/>
        <v>93341.371428571336</v>
      </c>
      <c r="K2591" s="243"/>
    </row>
    <row r="2592" spans="2:11" ht="17" customHeight="1">
      <c r="B2592" s="253"/>
      <c r="C2592" s="263"/>
      <c r="D2592" s="255"/>
      <c r="E2592" s="256"/>
      <c r="F2592" s="257"/>
      <c r="G2592" s="258"/>
      <c r="H2592" s="259"/>
      <c r="I2592" s="541">
        <f t="shared" si="50"/>
        <v>93341.371428571336</v>
      </c>
      <c r="K2592" s="243"/>
    </row>
    <row r="2593" spans="2:11" ht="17" customHeight="1">
      <c r="B2593" s="253"/>
      <c r="C2593" s="263"/>
      <c r="D2593" s="255"/>
      <c r="E2593" s="256"/>
      <c r="F2593" s="257"/>
      <c r="G2593" s="258"/>
      <c r="H2593" s="259"/>
      <c r="I2593" s="541">
        <f t="shared" si="50"/>
        <v>93341.371428571336</v>
      </c>
      <c r="K2593" s="243"/>
    </row>
    <row r="2594" spans="2:11" ht="17" customHeight="1">
      <c r="B2594" s="253"/>
      <c r="C2594" s="263"/>
      <c r="D2594" s="255"/>
      <c r="E2594" s="256"/>
      <c r="F2594" s="257"/>
      <c r="G2594" s="258"/>
      <c r="H2594" s="259"/>
      <c r="I2594" s="541">
        <f t="shared" si="50"/>
        <v>93341.371428571336</v>
      </c>
      <c r="K2594" s="243"/>
    </row>
    <row r="2595" spans="2:11" ht="17" customHeight="1">
      <c r="B2595" s="253"/>
      <c r="C2595" s="263"/>
      <c r="D2595" s="255"/>
      <c r="E2595" s="256"/>
      <c r="F2595" s="257"/>
      <c r="G2595" s="258"/>
      <c r="H2595" s="259"/>
      <c r="I2595" s="541">
        <f t="shared" si="50"/>
        <v>93341.371428571336</v>
      </c>
      <c r="K2595" s="243"/>
    </row>
    <row r="2596" spans="2:11" ht="17" customHeight="1">
      <c r="B2596" s="253"/>
      <c r="C2596" s="263"/>
      <c r="D2596" s="255"/>
      <c r="E2596" s="256"/>
      <c r="F2596" s="257"/>
      <c r="G2596" s="258"/>
      <c r="H2596" s="259"/>
      <c r="I2596" s="541">
        <f t="shared" si="50"/>
        <v>93341.371428571336</v>
      </c>
      <c r="K2596" s="243"/>
    </row>
    <row r="2597" spans="2:11" ht="17" customHeight="1">
      <c r="B2597" s="253"/>
      <c r="C2597" s="263"/>
      <c r="D2597" s="255"/>
      <c r="E2597" s="256"/>
      <c r="F2597" s="257"/>
      <c r="G2597" s="258"/>
      <c r="H2597" s="259"/>
      <c r="I2597" s="541">
        <f t="shared" si="50"/>
        <v>93341.371428571336</v>
      </c>
      <c r="K2597" s="243"/>
    </row>
    <row r="2598" spans="2:11" ht="17" customHeight="1">
      <c r="B2598" s="253"/>
      <c r="C2598" s="263"/>
      <c r="D2598" s="255"/>
      <c r="E2598" s="256"/>
      <c r="F2598" s="257"/>
      <c r="G2598" s="258"/>
      <c r="H2598" s="259"/>
      <c r="I2598" s="541">
        <f t="shared" si="50"/>
        <v>93341.371428571336</v>
      </c>
      <c r="K2598" s="243"/>
    </row>
    <row r="2599" spans="2:11" ht="17" customHeight="1">
      <c r="B2599" s="253"/>
      <c r="C2599" s="263"/>
      <c r="D2599" s="255"/>
      <c r="E2599" s="256"/>
      <c r="F2599" s="257"/>
      <c r="G2599" s="258"/>
      <c r="H2599" s="259"/>
      <c r="I2599" s="541">
        <f t="shared" si="50"/>
        <v>93341.371428571336</v>
      </c>
      <c r="K2599" s="243"/>
    </row>
    <row r="2600" spans="2:11" ht="17" customHeight="1">
      <c r="B2600" s="253"/>
      <c r="C2600" s="263"/>
      <c r="D2600" s="255"/>
      <c r="E2600" s="256"/>
      <c r="F2600" s="257"/>
      <c r="G2600" s="258"/>
      <c r="H2600" s="259"/>
      <c r="I2600" s="541">
        <f t="shared" si="50"/>
        <v>93341.371428571336</v>
      </c>
      <c r="K2600" s="243"/>
    </row>
    <row r="2601" spans="2:11" ht="17" customHeight="1">
      <c r="B2601" s="253"/>
      <c r="C2601" s="263"/>
      <c r="D2601" s="255"/>
      <c r="E2601" s="256"/>
      <c r="F2601" s="257"/>
      <c r="G2601" s="258"/>
      <c r="H2601" s="259"/>
      <c r="I2601" s="541">
        <f t="shared" si="50"/>
        <v>93341.371428571336</v>
      </c>
      <c r="K2601" s="243"/>
    </row>
    <row r="2602" spans="2:11" ht="17" customHeight="1">
      <c r="B2602" s="253"/>
      <c r="C2602" s="263"/>
      <c r="D2602" s="255"/>
      <c r="E2602" s="256"/>
      <c r="F2602" s="257"/>
      <c r="G2602" s="258"/>
      <c r="H2602" s="259"/>
      <c r="I2602" s="541">
        <f t="shared" ref="I2602:I2633" si="51">I2601+E2603-F2603</f>
        <v>93341.371428571336</v>
      </c>
      <c r="K2602" s="243"/>
    </row>
    <row r="2603" spans="2:11" ht="17" customHeight="1">
      <c r="B2603" s="253"/>
      <c r="C2603" s="263"/>
      <c r="D2603" s="255"/>
      <c r="E2603" s="256"/>
      <c r="F2603" s="257"/>
      <c r="G2603" s="258"/>
      <c r="H2603" s="259"/>
      <c r="I2603" s="541">
        <f t="shared" si="51"/>
        <v>93341.371428571336</v>
      </c>
      <c r="K2603" s="243"/>
    </row>
    <row r="2604" spans="2:11" ht="17" customHeight="1">
      <c r="B2604" s="253"/>
      <c r="C2604" s="263"/>
      <c r="D2604" s="255"/>
      <c r="E2604" s="256"/>
      <c r="F2604" s="257"/>
      <c r="G2604" s="258"/>
      <c r="H2604" s="259"/>
      <c r="I2604" s="541">
        <f t="shared" si="51"/>
        <v>93341.371428571336</v>
      </c>
      <c r="K2604" s="243"/>
    </row>
    <row r="2605" spans="2:11" ht="17" customHeight="1">
      <c r="B2605" s="253"/>
      <c r="C2605" s="263"/>
      <c r="D2605" s="255"/>
      <c r="E2605" s="256"/>
      <c r="F2605" s="257"/>
      <c r="G2605" s="258"/>
      <c r="H2605" s="259"/>
      <c r="I2605" s="541">
        <f t="shared" si="51"/>
        <v>93341.371428571336</v>
      </c>
      <c r="K2605" s="243"/>
    </row>
    <row r="2606" spans="2:11" ht="17" customHeight="1">
      <c r="B2606" s="253"/>
      <c r="C2606" s="263"/>
      <c r="D2606" s="255"/>
      <c r="E2606" s="256"/>
      <c r="F2606" s="257"/>
      <c r="G2606" s="258"/>
      <c r="H2606" s="259"/>
      <c r="I2606" s="541">
        <f t="shared" si="51"/>
        <v>93341.371428571336</v>
      </c>
      <c r="K2606" s="243"/>
    </row>
    <row r="2607" spans="2:11" ht="17" customHeight="1">
      <c r="B2607" s="253"/>
      <c r="C2607" s="263"/>
      <c r="D2607" s="255"/>
      <c r="E2607" s="256"/>
      <c r="F2607" s="257"/>
      <c r="G2607" s="258"/>
      <c r="H2607" s="259"/>
      <c r="I2607" s="541">
        <f t="shared" si="51"/>
        <v>93341.371428571336</v>
      </c>
      <c r="K2607" s="243"/>
    </row>
    <row r="2608" spans="2:11" ht="17" customHeight="1">
      <c r="B2608" s="253"/>
      <c r="C2608" s="263"/>
      <c r="D2608" s="255"/>
      <c r="E2608" s="256"/>
      <c r="F2608" s="257"/>
      <c r="G2608" s="258"/>
      <c r="H2608" s="259"/>
      <c r="I2608" s="541">
        <f t="shared" si="51"/>
        <v>93341.371428571336</v>
      </c>
      <c r="K2608" s="243"/>
    </row>
    <row r="2609" spans="2:11" ht="17" customHeight="1">
      <c r="B2609" s="253"/>
      <c r="C2609" s="263"/>
      <c r="D2609" s="255"/>
      <c r="E2609" s="256"/>
      <c r="F2609" s="257"/>
      <c r="G2609" s="258"/>
      <c r="H2609" s="259"/>
      <c r="I2609" s="541">
        <f t="shared" si="51"/>
        <v>93341.371428571336</v>
      </c>
      <c r="K2609" s="243"/>
    </row>
    <row r="2610" spans="2:11" ht="17" customHeight="1">
      <c r="B2610" s="253"/>
      <c r="C2610" s="263"/>
      <c r="D2610" s="255"/>
      <c r="E2610" s="256"/>
      <c r="F2610" s="257"/>
      <c r="G2610" s="258"/>
      <c r="H2610" s="259"/>
      <c r="I2610" s="541">
        <f t="shared" si="51"/>
        <v>93341.371428571336</v>
      </c>
      <c r="K2610" s="243"/>
    </row>
    <row r="2611" spans="2:11" ht="17" customHeight="1">
      <c r="B2611" s="253"/>
      <c r="C2611" s="263"/>
      <c r="D2611" s="255"/>
      <c r="E2611" s="256"/>
      <c r="F2611" s="257"/>
      <c r="G2611" s="258"/>
      <c r="H2611" s="259"/>
      <c r="I2611" s="541">
        <f t="shared" si="51"/>
        <v>93341.371428571336</v>
      </c>
      <c r="K2611" s="243"/>
    </row>
    <row r="2612" spans="2:11" ht="17" customHeight="1">
      <c r="B2612" s="253"/>
      <c r="C2612" s="263"/>
      <c r="D2612" s="255"/>
      <c r="E2612" s="256"/>
      <c r="F2612" s="257"/>
      <c r="G2612" s="258"/>
      <c r="H2612" s="259"/>
      <c r="I2612" s="541">
        <f t="shared" si="51"/>
        <v>93341.371428571336</v>
      </c>
      <c r="K2612" s="243"/>
    </row>
    <row r="2613" spans="2:11" ht="17" customHeight="1">
      <c r="B2613" s="253"/>
      <c r="C2613" s="263"/>
      <c r="D2613" s="255"/>
      <c r="E2613" s="256"/>
      <c r="F2613" s="257"/>
      <c r="G2613" s="258"/>
      <c r="H2613" s="259"/>
      <c r="I2613" s="541">
        <f t="shared" si="51"/>
        <v>93341.371428571336</v>
      </c>
      <c r="K2613" s="243"/>
    </row>
    <row r="2614" spans="2:11" ht="17" customHeight="1">
      <c r="B2614" s="253"/>
      <c r="C2614" s="263"/>
      <c r="D2614" s="255"/>
      <c r="E2614" s="256"/>
      <c r="F2614" s="257"/>
      <c r="G2614" s="258"/>
      <c r="H2614" s="259"/>
      <c r="I2614" s="541">
        <f t="shared" si="51"/>
        <v>93341.371428571336</v>
      </c>
      <c r="K2614" s="243"/>
    </row>
    <row r="2615" spans="2:11" ht="17" customHeight="1">
      <c r="B2615" s="253"/>
      <c r="C2615" s="263"/>
      <c r="D2615" s="255"/>
      <c r="E2615" s="256"/>
      <c r="F2615" s="257"/>
      <c r="G2615" s="258"/>
      <c r="H2615" s="259"/>
      <c r="I2615" s="541">
        <f t="shared" si="51"/>
        <v>93341.371428571336</v>
      </c>
      <c r="K2615" s="243"/>
    </row>
    <row r="2616" spans="2:11" ht="17" customHeight="1">
      <c r="B2616" s="253"/>
      <c r="C2616" s="263"/>
      <c r="D2616" s="255"/>
      <c r="E2616" s="256"/>
      <c r="F2616" s="257"/>
      <c r="G2616" s="258"/>
      <c r="H2616" s="259"/>
      <c r="I2616" s="541">
        <f t="shared" si="51"/>
        <v>93341.371428571336</v>
      </c>
      <c r="K2616" s="243"/>
    </row>
    <row r="2617" spans="2:11" ht="17" customHeight="1">
      <c r="B2617" s="253"/>
      <c r="C2617" s="263"/>
      <c r="D2617" s="255"/>
      <c r="E2617" s="256"/>
      <c r="F2617" s="257"/>
      <c r="G2617" s="258"/>
      <c r="H2617" s="259"/>
      <c r="I2617" s="541">
        <f t="shared" si="51"/>
        <v>93341.371428571336</v>
      </c>
      <c r="K2617" s="243"/>
    </row>
    <row r="2618" spans="2:11" ht="17" customHeight="1">
      <c r="B2618" s="253"/>
      <c r="C2618" s="263"/>
      <c r="D2618" s="255"/>
      <c r="E2618" s="256"/>
      <c r="F2618" s="257"/>
      <c r="G2618" s="258"/>
      <c r="H2618" s="259"/>
      <c r="I2618" s="541">
        <f t="shared" si="51"/>
        <v>93341.371428571336</v>
      </c>
      <c r="K2618" s="243"/>
    </row>
    <row r="2619" spans="2:11" ht="17" customHeight="1">
      <c r="B2619" s="253"/>
      <c r="C2619" s="263"/>
      <c r="D2619" s="255"/>
      <c r="E2619" s="256"/>
      <c r="F2619" s="257"/>
      <c r="G2619" s="258"/>
      <c r="H2619" s="259"/>
      <c r="I2619" s="541">
        <f t="shared" si="51"/>
        <v>93341.371428571336</v>
      </c>
      <c r="K2619" s="243"/>
    </row>
    <row r="2620" spans="2:11" ht="17" customHeight="1">
      <c r="B2620" s="253"/>
      <c r="C2620" s="263"/>
      <c r="D2620" s="255"/>
      <c r="E2620" s="256"/>
      <c r="F2620" s="257"/>
      <c r="G2620" s="258"/>
      <c r="H2620" s="259"/>
      <c r="I2620" s="541">
        <f t="shared" si="51"/>
        <v>93341.371428571336</v>
      </c>
      <c r="K2620" s="243"/>
    </row>
    <row r="2621" spans="2:11" ht="17" customHeight="1">
      <c r="B2621" s="253"/>
      <c r="C2621" s="263"/>
      <c r="D2621" s="255"/>
      <c r="E2621" s="256"/>
      <c r="F2621" s="257"/>
      <c r="G2621" s="258"/>
      <c r="H2621" s="259"/>
      <c r="I2621" s="541">
        <f t="shared" si="51"/>
        <v>93341.371428571336</v>
      </c>
      <c r="K2621" s="243"/>
    </row>
    <row r="2622" spans="2:11" ht="17" customHeight="1">
      <c r="B2622" s="253"/>
      <c r="C2622" s="263"/>
      <c r="D2622" s="255"/>
      <c r="E2622" s="256"/>
      <c r="F2622" s="257"/>
      <c r="G2622" s="258"/>
      <c r="H2622" s="259"/>
      <c r="I2622" s="541">
        <f t="shared" si="51"/>
        <v>93341.371428571336</v>
      </c>
      <c r="K2622" s="243"/>
    </row>
    <row r="2623" spans="2:11" ht="17" customHeight="1">
      <c r="B2623" s="253"/>
      <c r="C2623" s="263"/>
      <c r="D2623" s="255"/>
      <c r="E2623" s="256"/>
      <c r="F2623" s="257"/>
      <c r="G2623" s="258"/>
      <c r="H2623" s="259"/>
      <c r="I2623" s="541">
        <f t="shared" si="51"/>
        <v>93341.371428571336</v>
      </c>
      <c r="K2623" s="243"/>
    </row>
    <row r="2624" spans="2:11" ht="17" customHeight="1">
      <c r="B2624" s="253"/>
      <c r="C2624" s="263"/>
      <c r="D2624" s="255"/>
      <c r="E2624" s="256"/>
      <c r="F2624" s="257"/>
      <c r="G2624" s="258"/>
      <c r="H2624" s="259"/>
      <c r="I2624" s="541">
        <f t="shared" si="51"/>
        <v>93341.371428571336</v>
      </c>
      <c r="K2624" s="243"/>
    </row>
    <row r="2625" spans="2:11" ht="17" customHeight="1">
      <c r="B2625" s="253"/>
      <c r="C2625" s="263"/>
      <c r="D2625" s="255"/>
      <c r="E2625" s="256"/>
      <c r="F2625" s="257"/>
      <c r="G2625" s="258"/>
      <c r="H2625" s="259"/>
      <c r="I2625" s="541">
        <f t="shared" si="51"/>
        <v>93341.371428571336</v>
      </c>
      <c r="K2625" s="243"/>
    </row>
    <row r="2626" spans="2:11" ht="17" customHeight="1">
      <c r="B2626" s="253"/>
      <c r="C2626" s="263"/>
      <c r="D2626" s="255"/>
      <c r="E2626" s="256"/>
      <c r="F2626" s="257"/>
      <c r="G2626" s="258"/>
      <c r="H2626" s="259"/>
      <c r="I2626" s="541">
        <f t="shared" si="51"/>
        <v>93341.371428571336</v>
      </c>
      <c r="K2626" s="243"/>
    </row>
    <row r="2627" spans="2:11" ht="17" customHeight="1">
      <c r="B2627" s="253"/>
      <c r="C2627" s="263"/>
      <c r="D2627" s="255"/>
      <c r="E2627" s="256"/>
      <c r="F2627" s="257"/>
      <c r="G2627" s="258"/>
      <c r="H2627" s="259"/>
      <c r="I2627" s="541">
        <f t="shared" si="51"/>
        <v>93341.371428571336</v>
      </c>
      <c r="K2627" s="243"/>
    </row>
    <row r="2628" spans="2:11" ht="17" customHeight="1">
      <c r="B2628" s="253"/>
      <c r="C2628" s="263"/>
      <c r="D2628" s="255"/>
      <c r="E2628" s="256"/>
      <c r="F2628" s="257"/>
      <c r="G2628" s="258"/>
      <c r="H2628" s="259"/>
      <c r="I2628" s="541">
        <f t="shared" si="51"/>
        <v>93341.371428571336</v>
      </c>
      <c r="K2628" s="243"/>
    </row>
    <row r="2629" spans="2:11" ht="17" customHeight="1">
      <c r="B2629" s="253"/>
      <c r="C2629" s="263"/>
      <c r="D2629" s="255"/>
      <c r="E2629" s="256"/>
      <c r="F2629" s="257"/>
      <c r="G2629" s="258"/>
      <c r="H2629" s="259"/>
      <c r="I2629" s="541">
        <f t="shared" si="51"/>
        <v>93341.371428571336</v>
      </c>
      <c r="K2629" s="243"/>
    </row>
    <row r="2630" spans="2:11" ht="17" customHeight="1">
      <c r="B2630" s="253"/>
      <c r="C2630" s="263"/>
      <c r="D2630" s="255"/>
      <c r="E2630" s="256"/>
      <c r="F2630" s="257"/>
      <c r="G2630" s="258"/>
      <c r="H2630" s="259"/>
      <c r="I2630" s="541">
        <f t="shared" si="51"/>
        <v>93341.371428571336</v>
      </c>
      <c r="K2630" s="243"/>
    </row>
    <row r="2631" spans="2:11" ht="17" customHeight="1">
      <c r="B2631" s="253"/>
      <c r="C2631" s="263"/>
      <c r="D2631" s="255"/>
      <c r="E2631" s="256"/>
      <c r="F2631" s="257"/>
      <c r="G2631" s="258"/>
      <c r="H2631" s="259"/>
      <c r="I2631" s="541">
        <f t="shared" si="51"/>
        <v>93341.371428571336</v>
      </c>
      <c r="K2631" s="243"/>
    </row>
    <row r="2632" spans="2:11" ht="17" customHeight="1">
      <c r="B2632" s="253"/>
      <c r="C2632" s="263"/>
      <c r="D2632" s="255"/>
      <c r="E2632" s="256"/>
      <c r="F2632" s="257"/>
      <c r="G2632" s="258"/>
      <c r="H2632" s="259"/>
      <c r="I2632" s="541">
        <f t="shared" si="51"/>
        <v>93341.371428571336</v>
      </c>
      <c r="K2632" s="243"/>
    </row>
    <row r="2633" spans="2:11" ht="17" customHeight="1">
      <c r="B2633" s="253"/>
      <c r="C2633" s="263"/>
      <c r="D2633" s="255"/>
      <c r="E2633" s="256"/>
      <c r="F2633" s="257"/>
      <c r="G2633" s="258"/>
      <c r="H2633" s="259"/>
      <c r="I2633" s="541">
        <f t="shared" si="51"/>
        <v>93341.371428571336</v>
      </c>
      <c r="K2633" s="243"/>
    </row>
    <row r="2634" spans="2:11" ht="17" customHeight="1">
      <c r="B2634" s="253"/>
      <c r="C2634" s="263"/>
      <c r="D2634" s="255"/>
      <c r="E2634" s="256"/>
      <c r="F2634" s="257"/>
      <c r="G2634" s="258"/>
      <c r="H2634" s="259"/>
      <c r="I2634" s="541">
        <f t="shared" ref="I2634:I2665" si="52">I2633+E2635-F2635</f>
        <v>93341.371428571336</v>
      </c>
      <c r="K2634" s="243"/>
    </row>
    <row r="2635" spans="2:11" ht="17" customHeight="1">
      <c r="B2635" s="253"/>
      <c r="C2635" s="263"/>
      <c r="D2635" s="255"/>
      <c r="E2635" s="256"/>
      <c r="F2635" s="257"/>
      <c r="G2635" s="258"/>
      <c r="H2635" s="259"/>
      <c r="I2635" s="541">
        <f t="shared" si="52"/>
        <v>93341.371428571336</v>
      </c>
      <c r="K2635" s="243"/>
    </row>
    <row r="2636" spans="2:11" ht="17" customHeight="1">
      <c r="B2636" s="253"/>
      <c r="C2636" s="263"/>
      <c r="D2636" s="255"/>
      <c r="E2636" s="256"/>
      <c r="F2636" s="257"/>
      <c r="G2636" s="258"/>
      <c r="H2636" s="259"/>
      <c r="I2636" s="541">
        <f t="shared" si="52"/>
        <v>93341.371428571336</v>
      </c>
      <c r="K2636" s="243"/>
    </row>
    <row r="2637" spans="2:11" ht="17" customHeight="1">
      <c r="B2637" s="253"/>
      <c r="C2637" s="263"/>
      <c r="D2637" s="255"/>
      <c r="E2637" s="256"/>
      <c r="F2637" s="257"/>
      <c r="G2637" s="258"/>
      <c r="H2637" s="259"/>
      <c r="I2637" s="541">
        <f t="shared" si="52"/>
        <v>93341.371428571336</v>
      </c>
      <c r="K2637" s="243"/>
    </row>
    <row r="2638" spans="2:11" ht="17" customHeight="1">
      <c r="B2638" s="253"/>
      <c r="C2638" s="263"/>
      <c r="D2638" s="255"/>
      <c r="E2638" s="256"/>
      <c r="F2638" s="257"/>
      <c r="G2638" s="258"/>
      <c r="H2638" s="259"/>
      <c r="I2638" s="541">
        <f t="shared" si="52"/>
        <v>93341.371428571336</v>
      </c>
      <c r="K2638" s="243"/>
    </row>
    <row r="2639" spans="2:11" ht="17" customHeight="1">
      <c r="B2639" s="253"/>
      <c r="C2639" s="263"/>
      <c r="D2639" s="255"/>
      <c r="E2639" s="256"/>
      <c r="F2639" s="257"/>
      <c r="G2639" s="258"/>
      <c r="H2639" s="259"/>
      <c r="I2639" s="541">
        <f t="shared" si="52"/>
        <v>93341.371428571336</v>
      </c>
      <c r="K2639" s="243"/>
    </row>
    <row r="2640" spans="2:11" ht="17" customHeight="1">
      <c r="B2640" s="253"/>
      <c r="C2640" s="263"/>
      <c r="D2640" s="255"/>
      <c r="E2640" s="256"/>
      <c r="F2640" s="257"/>
      <c r="G2640" s="258"/>
      <c r="H2640" s="259"/>
      <c r="I2640" s="541">
        <f t="shared" si="52"/>
        <v>93341.371428571336</v>
      </c>
      <c r="K2640" s="243"/>
    </row>
    <row r="2641" spans="2:11" ht="17" customHeight="1">
      <c r="B2641" s="253"/>
      <c r="C2641" s="263"/>
      <c r="D2641" s="255"/>
      <c r="E2641" s="256"/>
      <c r="F2641" s="257"/>
      <c r="G2641" s="258"/>
      <c r="H2641" s="259"/>
      <c r="I2641" s="541">
        <f t="shared" si="52"/>
        <v>93341.371428571336</v>
      </c>
      <c r="K2641" s="243"/>
    </row>
    <row r="2642" spans="2:11" ht="17" customHeight="1">
      <c r="B2642" s="253"/>
      <c r="C2642" s="263"/>
      <c r="D2642" s="255"/>
      <c r="E2642" s="256"/>
      <c r="F2642" s="257"/>
      <c r="G2642" s="258"/>
      <c r="H2642" s="259"/>
      <c r="I2642" s="541">
        <f t="shared" si="52"/>
        <v>93341.371428571336</v>
      </c>
      <c r="K2642" s="243"/>
    </row>
    <row r="2643" spans="2:11" ht="17" customHeight="1">
      <c r="B2643" s="253"/>
      <c r="C2643" s="263"/>
      <c r="D2643" s="255"/>
      <c r="E2643" s="256"/>
      <c r="F2643" s="257"/>
      <c r="G2643" s="258"/>
      <c r="H2643" s="259"/>
      <c r="I2643" s="541">
        <f t="shared" si="52"/>
        <v>93341.371428571336</v>
      </c>
      <c r="K2643" s="243"/>
    </row>
    <row r="2644" spans="2:11" ht="17" customHeight="1">
      <c r="B2644" s="253"/>
      <c r="C2644" s="263"/>
      <c r="D2644" s="255"/>
      <c r="E2644" s="256"/>
      <c r="F2644" s="257"/>
      <c r="G2644" s="258"/>
      <c r="H2644" s="259"/>
      <c r="I2644" s="541">
        <f t="shared" si="52"/>
        <v>93341.371428571336</v>
      </c>
      <c r="K2644" s="243"/>
    </row>
    <row r="2645" spans="2:11" ht="17" customHeight="1">
      <c r="B2645" s="253"/>
      <c r="C2645" s="263"/>
      <c r="D2645" s="255"/>
      <c r="E2645" s="256"/>
      <c r="F2645" s="257"/>
      <c r="G2645" s="258"/>
      <c r="H2645" s="259"/>
      <c r="I2645" s="541">
        <f t="shared" si="52"/>
        <v>93341.371428571336</v>
      </c>
      <c r="K2645" s="243"/>
    </row>
    <row r="2646" spans="2:11" ht="17" customHeight="1">
      <c r="B2646" s="253"/>
      <c r="C2646" s="263"/>
      <c r="D2646" s="255"/>
      <c r="E2646" s="256"/>
      <c r="F2646" s="257"/>
      <c r="G2646" s="258"/>
      <c r="H2646" s="259"/>
      <c r="I2646" s="541">
        <f t="shared" si="52"/>
        <v>93341.371428571336</v>
      </c>
      <c r="K2646" s="243"/>
    </row>
    <row r="2647" spans="2:11" ht="17" customHeight="1">
      <c r="B2647" s="253"/>
      <c r="C2647" s="263"/>
      <c r="D2647" s="255"/>
      <c r="E2647" s="256"/>
      <c r="F2647" s="257"/>
      <c r="G2647" s="258"/>
      <c r="H2647" s="259"/>
      <c r="I2647" s="541">
        <f t="shared" si="52"/>
        <v>93341.371428571336</v>
      </c>
      <c r="K2647" s="243"/>
    </row>
    <row r="2648" spans="2:11" ht="17" customHeight="1">
      <c r="B2648" s="253"/>
      <c r="C2648" s="263"/>
      <c r="D2648" s="255"/>
      <c r="E2648" s="256"/>
      <c r="F2648" s="257"/>
      <c r="G2648" s="258"/>
      <c r="H2648" s="259"/>
      <c r="I2648" s="541">
        <f t="shared" si="52"/>
        <v>93341.371428571336</v>
      </c>
      <c r="K2648" s="243"/>
    </row>
    <row r="2649" spans="2:11" ht="17" customHeight="1">
      <c r="B2649" s="253"/>
      <c r="C2649" s="263"/>
      <c r="D2649" s="255"/>
      <c r="E2649" s="256"/>
      <c r="F2649" s="257"/>
      <c r="G2649" s="258"/>
      <c r="H2649" s="259"/>
      <c r="I2649" s="541">
        <f t="shared" si="52"/>
        <v>93341.371428571336</v>
      </c>
      <c r="K2649" s="243"/>
    </row>
    <row r="2650" spans="2:11" ht="17" customHeight="1">
      <c r="B2650" s="253"/>
      <c r="C2650" s="263"/>
      <c r="D2650" s="255"/>
      <c r="E2650" s="256"/>
      <c r="F2650" s="257"/>
      <c r="G2650" s="258"/>
      <c r="H2650" s="259"/>
      <c r="I2650" s="541">
        <f t="shared" si="52"/>
        <v>93341.371428571336</v>
      </c>
      <c r="K2650" s="243"/>
    </row>
    <row r="2651" spans="2:11" ht="17" customHeight="1">
      <c r="B2651" s="253"/>
      <c r="C2651" s="263"/>
      <c r="D2651" s="255"/>
      <c r="E2651" s="256"/>
      <c r="F2651" s="257"/>
      <c r="G2651" s="258"/>
      <c r="H2651" s="259"/>
      <c r="I2651" s="541">
        <f t="shared" si="52"/>
        <v>93341.371428571336</v>
      </c>
      <c r="K2651" s="243"/>
    </row>
    <row r="2652" spans="2:11" ht="17" customHeight="1">
      <c r="B2652" s="253"/>
      <c r="C2652" s="263"/>
      <c r="D2652" s="255"/>
      <c r="E2652" s="256"/>
      <c r="F2652" s="257"/>
      <c r="G2652" s="258"/>
      <c r="H2652" s="259"/>
      <c r="I2652" s="541">
        <f t="shared" si="52"/>
        <v>93341.371428571336</v>
      </c>
      <c r="K2652" s="243"/>
    </row>
    <row r="2653" spans="2:11" ht="17" customHeight="1">
      <c r="B2653" s="253"/>
      <c r="C2653" s="263"/>
      <c r="D2653" s="255"/>
      <c r="E2653" s="256"/>
      <c r="F2653" s="257"/>
      <c r="G2653" s="258"/>
      <c r="H2653" s="259"/>
      <c r="I2653" s="541">
        <f t="shared" si="52"/>
        <v>93341.371428571336</v>
      </c>
      <c r="K2653" s="243"/>
    </row>
    <row r="2654" spans="2:11" ht="17" customHeight="1">
      <c r="B2654" s="253"/>
      <c r="C2654" s="263"/>
      <c r="D2654" s="255"/>
      <c r="E2654" s="256"/>
      <c r="F2654" s="257"/>
      <c r="G2654" s="258"/>
      <c r="H2654" s="259"/>
      <c r="I2654" s="541">
        <f t="shared" si="52"/>
        <v>93341.371428571336</v>
      </c>
      <c r="K2654" s="243"/>
    </row>
    <row r="2655" spans="2:11" ht="17" customHeight="1">
      <c r="B2655" s="253"/>
      <c r="C2655" s="263"/>
      <c r="D2655" s="255"/>
      <c r="E2655" s="256"/>
      <c r="F2655" s="257"/>
      <c r="G2655" s="258"/>
      <c r="H2655" s="259"/>
      <c r="I2655" s="541">
        <f t="shared" si="52"/>
        <v>93341.371428571336</v>
      </c>
      <c r="K2655" s="243"/>
    </row>
    <row r="2656" spans="2:11" ht="17" customHeight="1">
      <c r="B2656" s="253"/>
      <c r="C2656" s="263"/>
      <c r="D2656" s="255"/>
      <c r="E2656" s="256"/>
      <c r="F2656" s="257"/>
      <c r="G2656" s="258"/>
      <c r="H2656" s="259"/>
      <c r="I2656" s="541">
        <f t="shared" si="52"/>
        <v>93341.371428571336</v>
      </c>
      <c r="K2656" s="243"/>
    </row>
    <row r="2657" spans="2:11" ht="17" customHeight="1">
      <c r="B2657" s="253"/>
      <c r="C2657" s="263"/>
      <c r="D2657" s="255"/>
      <c r="E2657" s="256"/>
      <c r="F2657" s="257"/>
      <c r="G2657" s="258"/>
      <c r="H2657" s="259"/>
      <c r="I2657" s="541">
        <f t="shared" si="52"/>
        <v>93341.371428571336</v>
      </c>
      <c r="K2657" s="243"/>
    </row>
    <row r="2658" spans="2:11" ht="17" customHeight="1">
      <c r="B2658" s="253"/>
      <c r="C2658" s="263"/>
      <c r="D2658" s="255"/>
      <c r="E2658" s="256"/>
      <c r="F2658" s="257"/>
      <c r="G2658" s="258"/>
      <c r="H2658" s="259"/>
      <c r="I2658" s="541">
        <f t="shared" si="52"/>
        <v>93341.371428571336</v>
      </c>
      <c r="K2658" s="243"/>
    </row>
    <row r="2659" spans="2:11" ht="17" customHeight="1">
      <c r="B2659" s="253"/>
      <c r="C2659" s="263"/>
      <c r="D2659" s="255"/>
      <c r="E2659" s="256"/>
      <c r="F2659" s="257"/>
      <c r="G2659" s="258"/>
      <c r="H2659" s="259"/>
      <c r="I2659" s="541">
        <f t="shared" si="52"/>
        <v>93341.371428571336</v>
      </c>
      <c r="K2659" s="243"/>
    </row>
    <row r="2660" spans="2:11" ht="17" customHeight="1">
      <c r="B2660" s="253"/>
      <c r="C2660" s="263"/>
      <c r="D2660" s="255"/>
      <c r="E2660" s="256"/>
      <c r="F2660" s="257"/>
      <c r="G2660" s="258"/>
      <c r="H2660" s="259"/>
      <c r="I2660" s="541">
        <f t="shared" si="52"/>
        <v>93341.371428571336</v>
      </c>
      <c r="K2660" s="243"/>
    </row>
    <row r="2661" spans="2:11" ht="17" customHeight="1">
      <c r="B2661" s="253"/>
      <c r="C2661" s="263"/>
      <c r="D2661" s="255"/>
      <c r="E2661" s="256"/>
      <c r="F2661" s="257"/>
      <c r="G2661" s="258"/>
      <c r="H2661" s="259"/>
      <c r="I2661" s="541">
        <f t="shared" si="52"/>
        <v>93341.371428571336</v>
      </c>
      <c r="K2661" s="243"/>
    </row>
    <row r="2662" spans="2:11" ht="17" customHeight="1">
      <c r="B2662" s="253"/>
      <c r="C2662" s="263"/>
      <c r="D2662" s="255"/>
      <c r="E2662" s="256"/>
      <c r="F2662" s="257"/>
      <c r="G2662" s="258"/>
      <c r="H2662" s="259"/>
      <c r="I2662" s="541">
        <f t="shared" si="52"/>
        <v>93341.371428571336</v>
      </c>
      <c r="K2662" s="243"/>
    </row>
    <row r="2663" spans="2:11" ht="17" customHeight="1">
      <c r="B2663" s="253"/>
      <c r="C2663" s="263"/>
      <c r="D2663" s="255"/>
      <c r="E2663" s="256"/>
      <c r="F2663" s="257"/>
      <c r="G2663" s="258"/>
      <c r="H2663" s="259"/>
      <c r="I2663" s="541">
        <f t="shared" si="52"/>
        <v>93341.371428571336</v>
      </c>
      <c r="K2663" s="243"/>
    </row>
    <row r="2664" spans="2:11" ht="17" customHeight="1">
      <c r="B2664" s="253"/>
      <c r="C2664" s="263"/>
      <c r="D2664" s="255"/>
      <c r="E2664" s="256"/>
      <c r="F2664" s="257"/>
      <c r="G2664" s="258"/>
      <c r="H2664" s="259"/>
      <c r="I2664" s="541">
        <f t="shared" si="52"/>
        <v>93341.371428571336</v>
      </c>
      <c r="K2664" s="243"/>
    </row>
    <row r="2665" spans="2:11" ht="17" customHeight="1">
      <c r="B2665" s="253"/>
      <c r="C2665" s="263"/>
      <c r="D2665" s="255"/>
      <c r="E2665" s="256"/>
      <c r="F2665" s="257"/>
      <c r="G2665" s="258"/>
      <c r="H2665" s="259"/>
      <c r="I2665" s="541">
        <f t="shared" si="52"/>
        <v>93341.371428571336</v>
      </c>
      <c r="K2665" s="243"/>
    </row>
    <row r="2666" spans="2:11" ht="17" customHeight="1">
      <c r="B2666" s="253"/>
      <c r="C2666" s="263"/>
      <c r="D2666" s="255"/>
      <c r="E2666" s="256"/>
      <c r="F2666" s="257"/>
      <c r="G2666" s="258"/>
      <c r="H2666" s="259"/>
      <c r="I2666" s="541">
        <f t="shared" ref="I2666:I2713" si="53">I2665+E2667-F2667</f>
        <v>93341.371428571336</v>
      </c>
      <c r="K2666" s="243"/>
    </row>
    <row r="2667" spans="2:11" ht="17" customHeight="1">
      <c r="B2667" s="253"/>
      <c r="C2667" s="263"/>
      <c r="D2667" s="255"/>
      <c r="E2667" s="256"/>
      <c r="F2667" s="257"/>
      <c r="G2667" s="258"/>
      <c r="H2667" s="259"/>
      <c r="I2667" s="541">
        <f t="shared" si="53"/>
        <v>93341.371428571336</v>
      </c>
      <c r="K2667" s="243"/>
    </row>
    <row r="2668" spans="2:11" ht="17" customHeight="1">
      <c r="B2668" s="253"/>
      <c r="C2668" s="263"/>
      <c r="D2668" s="255"/>
      <c r="E2668" s="256"/>
      <c r="F2668" s="257"/>
      <c r="G2668" s="258"/>
      <c r="H2668" s="259"/>
      <c r="I2668" s="541">
        <f t="shared" si="53"/>
        <v>93341.371428571336</v>
      </c>
      <c r="K2668" s="243"/>
    </row>
    <row r="2669" spans="2:11" ht="17" customHeight="1">
      <c r="B2669" s="253"/>
      <c r="C2669" s="263"/>
      <c r="D2669" s="255"/>
      <c r="E2669" s="256"/>
      <c r="F2669" s="257"/>
      <c r="G2669" s="258"/>
      <c r="H2669" s="259"/>
      <c r="I2669" s="541">
        <f t="shared" si="53"/>
        <v>93341.371428571336</v>
      </c>
      <c r="K2669" s="243"/>
    </row>
    <row r="2670" spans="2:11" ht="17" customHeight="1">
      <c r="B2670" s="253"/>
      <c r="C2670" s="263"/>
      <c r="D2670" s="255"/>
      <c r="E2670" s="256"/>
      <c r="F2670" s="257"/>
      <c r="G2670" s="258"/>
      <c r="H2670" s="259"/>
      <c r="I2670" s="541">
        <f t="shared" si="53"/>
        <v>93341.371428571336</v>
      </c>
      <c r="K2670" s="243"/>
    </row>
    <row r="2671" spans="2:11" ht="17" customHeight="1">
      <c r="B2671" s="253"/>
      <c r="C2671" s="263"/>
      <c r="D2671" s="255"/>
      <c r="E2671" s="256"/>
      <c r="F2671" s="257"/>
      <c r="G2671" s="258"/>
      <c r="H2671" s="259"/>
      <c r="I2671" s="541">
        <f t="shared" si="53"/>
        <v>93341.371428571336</v>
      </c>
      <c r="K2671" s="243"/>
    </row>
    <row r="2672" spans="2:11" ht="17" customHeight="1">
      <c r="B2672" s="253"/>
      <c r="C2672" s="263"/>
      <c r="D2672" s="255"/>
      <c r="E2672" s="256"/>
      <c r="F2672" s="257"/>
      <c r="G2672" s="258"/>
      <c r="H2672" s="259"/>
      <c r="I2672" s="541">
        <f t="shared" si="53"/>
        <v>93341.371428571336</v>
      </c>
      <c r="K2672" s="243"/>
    </row>
    <row r="2673" spans="2:11" ht="17" customHeight="1">
      <c r="B2673" s="253"/>
      <c r="C2673" s="263"/>
      <c r="D2673" s="255"/>
      <c r="E2673" s="256"/>
      <c r="F2673" s="257"/>
      <c r="G2673" s="258"/>
      <c r="H2673" s="259"/>
      <c r="I2673" s="541">
        <f t="shared" si="53"/>
        <v>93341.371428571336</v>
      </c>
      <c r="K2673" s="243"/>
    </row>
    <row r="2674" spans="2:11" ht="17" customHeight="1">
      <c r="B2674" s="253"/>
      <c r="C2674" s="263"/>
      <c r="D2674" s="255"/>
      <c r="E2674" s="256"/>
      <c r="F2674" s="257"/>
      <c r="G2674" s="258"/>
      <c r="H2674" s="259"/>
      <c r="I2674" s="541">
        <f t="shared" si="53"/>
        <v>93341.371428571336</v>
      </c>
      <c r="K2674" s="243"/>
    </row>
    <row r="2675" spans="2:11" ht="17" customHeight="1">
      <c r="B2675" s="253"/>
      <c r="C2675" s="263"/>
      <c r="D2675" s="255"/>
      <c r="E2675" s="256"/>
      <c r="F2675" s="257"/>
      <c r="G2675" s="258"/>
      <c r="H2675" s="259"/>
      <c r="I2675" s="541">
        <f t="shared" si="53"/>
        <v>93341.371428571336</v>
      </c>
      <c r="K2675" s="243"/>
    </row>
    <row r="2676" spans="2:11" ht="17" customHeight="1">
      <c r="B2676" s="253"/>
      <c r="C2676" s="263"/>
      <c r="D2676" s="255"/>
      <c r="E2676" s="256"/>
      <c r="F2676" s="257"/>
      <c r="G2676" s="258"/>
      <c r="H2676" s="259"/>
      <c r="I2676" s="541">
        <f t="shared" si="53"/>
        <v>93341.371428571336</v>
      </c>
      <c r="K2676" s="243"/>
    </row>
    <row r="2677" spans="2:11" ht="17" customHeight="1">
      <c r="B2677" s="253"/>
      <c r="C2677" s="263"/>
      <c r="D2677" s="255"/>
      <c r="E2677" s="256"/>
      <c r="F2677" s="257"/>
      <c r="G2677" s="258"/>
      <c r="H2677" s="259"/>
      <c r="I2677" s="541">
        <f t="shared" si="53"/>
        <v>93341.371428571336</v>
      </c>
      <c r="K2677" s="243"/>
    </row>
    <row r="2678" spans="2:11" ht="17" customHeight="1">
      <c r="B2678" s="253"/>
      <c r="C2678" s="263"/>
      <c r="D2678" s="255"/>
      <c r="E2678" s="256"/>
      <c r="F2678" s="257"/>
      <c r="G2678" s="258"/>
      <c r="H2678" s="259"/>
      <c r="I2678" s="541">
        <f t="shared" si="53"/>
        <v>93341.371428571336</v>
      </c>
      <c r="K2678" s="243"/>
    </row>
    <row r="2679" spans="2:11" ht="17" customHeight="1">
      <c r="B2679" s="253"/>
      <c r="C2679" s="263"/>
      <c r="D2679" s="255"/>
      <c r="E2679" s="256"/>
      <c r="F2679" s="257"/>
      <c r="G2679" s="258"/>
      <c r="H2679" s="259"/>
      <c r="I2679" s="541">
        <f t="shared" si="53"/>
        <v>93341.371428571336</v>
      </c>
      <c r="K2679" s="243"/>
    </row>
    <row r="2680" spans="2:11" ht="17" customHeight="1">
      <c r="B2680" s="253"/>
      <c r="C2680" s="263"/>
      <c r="D2680" s="255"/>
      <c r="E2680" s="256"/>
      <c r="F2680" s="257"/>
      <c r="G2680" s="258"/>
      <c r="H2680" s="259"/>
      <c r="I2680" s="541">
        <f t="shared" si="53"/>
        <v>93341.371428571336</v>
      </c>
      <c r="K2680" s="243"/>
    </row>
    <row r="2681" spans="2:11" ht="17" customHeight="1">
      <c r="B2681" s="253"/>
      <c r="C2681" s="263"/>
      <c r="D2681" s="255"/>
      <c r="E2681" s="256"/>
      <c r="F2681" s="257"/>
      <c r="G2681" s="258"/>
      <c r="H2681" s="259"/>
      <c r="I2681" s="541">
        <f t="shared" si="53"/>
        <v>93341.371428571336</v>
      </c>
      <c r="K2681" s="243"/>
    </row>
    <row r="2682" spans="2:11" ht="17" customHeight="1">
      <c r="B2682" s="253"/>
      <c r="C2682" s="263"/>
      <c r="D2682" s="255"/>
      <c r="E2682" s="256"/>
      <c r="F2682" s="257"/>
      <c r="G2682" s="258"/>
      <c r="H2682" s="259"/>
      <c r="I2682" s="541">
        <f t="shared" si="53"/>
        <v>93341.371428571336</v>
      </c>
      <c r="K2682" s="243"/>
    </row>
    <row r="2683" spans="2:11" ht="17" customHeight="1">
      <c r="B2683" s="253"/>
      <c r="C2683" s="263"/>
      <c r="D2683" s="255"/>
      <c r="E2683" s="256"/>
      <c r="F2683" s="257"/>
      <c r="G2683" s="258"/>
      <c r="H2683" s="259"/>
      <c r="I2683" s="541">
        <f t="shared" si="53"/>
        <v>93341.371428571336</v>
      </c>
      <c r="K2683" s="243"/>
    </row>
    <row r="2684" spans="2:11" ht="17" customHeight="1">
      <c r="B2684" s="253"/>
      <c r="C2684" s="263"/>
      <c r="D2684" s="255"/>
      <c r="E2684" s="256"/>
      <c r="F2684" s="257"/>
      <c r="G2684" s="258"/>
      <c r="H2684" s="259"/>
      <c r="I2684" s="541">
        <f t="shared" si="53"/>
        <v>93341.371428571336</v>
      </c>
      <c r="K2684" s="243"/>
    </row>
    <row r="2685" spans="2:11" ht="17" customHeight="1">
      <c r="B2685" s="253"/>
      <c r="C2685" s="263"/>
      <c r="D2685" s="255"/>
      <c r="E2685" s="256"/>
      <c r="F2685" s="257"/>
      <c r="G2685" s="258"/>
      <c r="H2685" s="259"/>
      <c r="I2685" s="541">
        <f t="shared" si="53"/>
        <v>93341.371428571336</v>
      </c>
      <c r="K2685" s="243"/>
    </row>
    <row r="2686" spans="2:11" ht="17" customHeight="1">
      <c r="B2686" s="253"/>
      <c r="C2686" s="263"/>
      <c r="D2686" s="255"/>
      <c r="E2686" s="256"/>
      <c r="F2686" s="257"/>
      <c r="G2686" s="258"/>
      <c r="H2686" s="259"/>
      <c r="I2686" s="541">
        <f t="shared" si="53"/>
        <v>93341.371428571336</v>
      </c>
      <c r="K2686" s="243"/>
    </row>
    <row r="2687" spans="2:11" ht="17" customHeight="1">
      <c r="B2687" s="253"/>
      <c r="C2687" s="263"/>
      <c r="D2687" s="255"/>
      <c r="E2687" s="256"/>
      <c r="F2687" s="257"/>
      <c r="G2687" s="258"/>
      <c r="H2687" s="259"/>
      <c r="I2687" s="541">
        <f t="shared" si="53"/>
        <v>93341.371428571336</v>
      </c>
      <c r="K2687" s="243"/>
    </row>
    <row r="2688" spans="2:11" ht="17" customHeight="1">
      <c r="B2688" s="253"/>
      <c r="C2688" s="263"/>
      <c r="D2688" s="255"/>
      <c r="E2688" s="256"/>
      <c r="F2688" s="257"/>
      <c r="G2688" s="258"/>
      <c r="H2688" s="259"/>
      <c r="I2688" s="541">
        <f t="shared" si="53"/>
        <v>93341.371428571336</v>
      </c>
      <c r="K2688" s="243"/>
    </row>
    <row r="2689" spans="2:11" ht="17" customHeight="1">
      <c r="B2689" s="253"/>
      <c r="C2689" s="263"/>
      <c r="D2689" s="255"/>
      <c r="E2689" s="256"/>
      <c r="F2689" s="257"/>
      <c r="G2689" s="258"/>
      <c r="H2689" s="259"/>
      <c r="I2689" s="541">
        <f t="shared" si="53"/>
        <v>93341.371428571336</v>
      </c>
      <c r="K2689" s="243"/>
    </row>
    <row r="2690" spans="2:11" ht="17" customHeight="1">
      <c r="B2690" s="253"/>
      <c r="C2690" s="263"/>
      <c r="D2690" s="255"/>
      <c r="E2690" s="256"/>
      <c r="F2690" s="257"/>
      <c r="G2690" s="258"/>
      <c r="H2690" s="259"/>
      <c r="I2690" s="541">
        <f t="shared" si="53"/>
        <v>93341.371428571336</v>
      </c>
      <c r="K2690" s="243"/>
    </row>
    <row r="2691" spans="2:11" ht="17" customHeight="1">
      <c r="B2691" s="253"/>
      <c r="C2691" s="263"/>
      <c r="D2691" s="255"/>
      <c r="E2691" s="256"/>
      <c r="F2691" s="257"/>
      <c r="G2691" s="258"/>
      <c r="H2691" s="259"/>
      <c r="I2691" s="541">
        <f t="shared" si="53"/>
        <v>93341.371428571336</v>
      </c>
      <c r="K2691" s="243"/>
    </row>
    <row r="2692" spans="2:11" ht="17" customHeight="1">
      <c r="B2692" s="253"/>
      <c r="C2692" s="263"/>
      <c r="D2692" s="255"/>
      <c r="E2692" s="256"/>
      <c r="F2692" s="257"/>
      <c r="G2692" s="258"/>
      <c r="H2692" s="259"/>
      <c r="I2692" s="541">
        <f t="shared" si="53"/>
        <v>93341.371428571336</v>
      </c>
      <c r="K2692" s="243"/>
    </row>
    <row r="2693" spans="2:11" ht="17" customHeight="1">
      <c r="B2693" s="253"/>
      <c r="C2693" s="263"/>
      <c r="D2693" s="255"/>
      <c r="E2693" s="256"/>
      <c r="F2693" s="257"/>
      <c r="G2693" s="258"/>
      <c r="H2693" s="259"/>
      <c r="I2693" s="541">
        <f t="shared" si="53"/>
        <v>93341.371428571336</v>
      </c>
      <c r="K2693" s="243"/>
    </row>
    <row r="2694" spans="2:11" ht="17" customHeight="1">
      <c r="B2694" s="253"/>
      <c r="C2694" s="263"/>
      <c r="D2694" s="255"/>
      <c r="E2694" s="256"/>
      <c r="F2694" s="257"/>
      <c r="G2694" s="258"/>
      <c r="H2694" s="259"/>
      <c r="I2694" s="541">
        <f t="shared" si="53"/>
        <v>93341.371428571336</v>
      </c>
      <c r="K2694" s="243"/>
    </row>
    <row r="2695" spans="2:11" ht="17" customHeight="1">
      <c r="B2695" s="253"/>
      <c r="C2695" s="263"/>
      <c r="D2695" s="255"/>
      <c r="E2695" s="256"/>
      <c r="F2695" s="257"/>
      <c r="G2695" s="258"/>
      <c r="H2695" s="259"/>
      <c r="I2695" s="541">
        <f t="shared" si="53"/>
        <v>93341.371428571336</v>
      </c>
      <c r="K2695" s="243"/>
    </row>
    <row r="2696" spans="2:11" ht="17" customHeight="1">
      <c r="B2696" s="253"/>
      <c r="C2696" s="263"/>
      <c r="D2696" s="255"/>
      <c r="E2696" s="256"/>
      <c r="F2696" s="257"/>
      <c r="G2696" s="258"/>
      <c r="H2696" s="259"/>
      <c r="I2696" s="541">
        <f t="shared" si="53"/>
        <v>93341.371428571336</v>
      </c>
      <c r="K2696" s="243"/>
    </row>
    <row r="2697" spans="2:11" ht="17" customHeight="1">
      <c r="B2697" s="253"/>
      <c r="C2697" s="263"/>
      <c r="D2697" s="255"/>
      <c r="E2697" s="256"/>
      <c r="F2697" s="257"/>
      <c r="G2697" s="258"/>
      <c r="H2697" s="259"/>
      <c r="I2697" s="541">
        <f t="shared" si="53"/>
        <v>93341.371428571336</v>
      </c>
      <c r="K2697" s="243"/>
    </row>
    <row r="2698" spans="2:11" ht="17" customHeight="1">
      <c r="B2698" s="253"/>
      <c r="C2698" s="263"/>
      <c r="D2698" s="255"/>
      <c r="E2698" s="256"/>
      <c r="F2698" s="257"/>
      <c r="G2698" s="258"/>
      <c r="H2698" s="259"/>
      <c r="I2698" s="541">
        <f t="shared" si="53"/>
        <v>93341.371428571336</v>
      </c>
      <c r="K2698" s="243"/>
    </row>
    <row r="2699" spans="2:11" ht="17" customHeight="1">
      <c r="B2699" s="253"/>
      <c r="C2699" s="263"/>
      <c r="D2699" s="255"/>
      <c r="E2699" s="256"/>
      <c r="F2699" s="257"/>
      <c r="G2699" s="258"/>
      <c r="H2699" s="259"/>
      <c r="I2699" s="541">
        <f t="shared" si="53"/>
        <v>93341.371428571336</v>
      </c>
      <c r="K2699" s="243"/>
    </row>
    <row r="2700" spans="2:11" ht="17" customHeight="1">
      <c r="B2700" s="253"/>
      <c r="C2700" s="263"/>
      <c r="D2700" s="255"/>
      <c r="E2700" s="256"/>
      <c r="F2700" s="257"/>
      <c r="G2700" s="258"/>
      <c r="H2700" s="259"/>
      <c r="I2700" s="541">
        <f t="shared" si="53"/>
        <v>93341.371428571336</v>
      </c>
      <c r="K2700" s="243"/>
    </row>
    <row r="2701" spans="2:11" ht="17" customHeight="1">
      <c r="B2701" s="253"/>
      <c r="C2701" s="263"/>
      <c r="D2701" s="255"/>
      <c r="E2701" s="256"/>
      <c r="F2701" s="257"/>
      <c r="G2701" s="258"/>
      <c r="H2701" s="259"/>
      <c r="I2701" s="541">
        <f t="shared" si="53"/>
        <v>93341.371428571336</v>
      </c>
      <c r="K2701" s="243"/>
    </row>
    <row r="2702" spans="2:11" ht="17" customHeight="1">
      <c r="B2702" s="253"/>
      <c r="C2702" s="263"/>
      <c r="D2702" s="255"/>
      <c r="E2702" s="256"/>
      <c r="F2702" s="257"/>
      <c r="G2702" s="258"/>
      <c r="H2702" s="259"/>
      <c r="I2702" s="541">
        <f t="shared" si="53"/>
        <v>93341.371428571336</v>
      </c>
      <c r="K2702" s="243"/>
    </row>
    <row r="2703" spans="2:11" ht="17" customHeight="1">
      <c r="B2703" s="253"/>
      <c r="C2703" s="263"/>
      <c r="D2703" s="255"/>
      <c r="E2703" s="256"/>
      <c r="F2703" s="257"/>
      <c r="G2703" s="258"/>
      <c r="H2703" s="259"/>
      <c r="I2703" s="541">
        <f t="shared" si="53"/>
        <v>93341.371428571336</v>
      </c>
      <c r="K2703" s="243"/>
    </row>
    <row r="2704" spans="2:11" ht="17" customHeight="1">
      <c r="B2704" s="253"/>
      <c r="C2704" s="263"/>
      <c r="D2704" s="255"/>
      <c r="E2704" s="256"/>
      <c r="F2704" s="257"/>
      <c r="G2704" s="258"/>
      <c r="H2704" s="259"/>
      <c r="I2704" s="541">
        <f t="shared" si="53"/>
        <v>93341.371428571336</v>
      </c>
      <c r="K2704" s="243"/>
    </row>
    <row r="2705" spans="2:11" ht="17" customHeight="1">
      <c r="B2705" s="253"/>
      <c r="C2705" s="263"/>
      <c r="D2705" s="255"/>
      <c r="E2705" s="256"/>
      <c r="F2705" s="257"/>
      <c r="G2705" s="258"/>
      <c r="H2705" s="259"/>
      <c r="I2705" s="541">
        <f t="shared" si="53"/>
        <v>93341.371428571336</v>
      </c>
      <c r="K2705" s="243"/>
    </row>
    <row r="2706" spans="2:11" ht="17" customHeight="1">
      <c r="B2706" s="253"/>
      <c r="C2706" s="263"/>
      <c r="D2706" s="255"/>
      <c r="E2706" s="256"/>
      <c r="F2706" s="257"/>
      <c r="G2706" s="258"/>
      <c r="H2706" s="259"/>
      <c r="I2706" s="541">
        <f t="shared" si="53"/>
        <v>93341.371428571336</v>
      </c>
      <c r="K2706" s="243"/>
    </row>
    <row r="2707" spans="2:11" ht="17" customHeight="1">
      <c r="B2707" s="253"/>
      <c r="C2707" s="263"/>
      <c r="D2707" s="255"/>
      <c r="E2707" s="256"/>
      <c r="F2707" s="257"/>
      <c r="G2707" s="258"/>
      <c r="H2707" s="259"/>
      <c r="I2707" s="541">
        <f t="shared" si="53"/>
        <v>93341.371428571336</v>
      </c>
      <c r="K2707" s="243"/>
    </row>
    <row r="2708" spans="2:11" ht="17" customHeight="1">
      <c r="B2708" s="253"/>
      <c r="C2708" s="263"/>
      <c r="D2708" s="255"/>
      <c r="E2708" s="256"/>
      <c r="F2708" s="257"/>
      <c r="G2708" s="258"/>
      <c r="H2708" s="259"/>
      <c r="I2708" s="541">
        <f t="shared" si="53"/>
        <v>93341.371428571336</v>
      </c>
      <c r="K2708" s="243"/>
    </row>
    <row r="2709" spans="2:11" ht="17" customHeight="1">
      <c r="B2709" s="253"/>
      <c r="C2709" s="263"/>
      <c r="D2709" s="255"/>
      <c r="E2709" s="256"/>
      <c r="F2709" s="257"/>
      <c r="G2709" s="258"/>
      <c r="H2709" s="259"/>
      <c r="I2709" s="541">
        <f t="shared" si="53"/>
        <v>93341.371428571336</v>
      </c>
      <c r="K2709" s="243"/>
    </row>
    <row r="2710" spans="2:11" ht="17" customHeight="1">
      <c r="B2710" s="253"/>
      <c r="C2710" s="263"/>
      <c r="D2710" s="255"/>
      <c r="E2710" s="256"/>
      <c r="F2710" s="257"/>
      <c r="G2710" s="258"/>
      <c r="H2710" s="259"/>
      <c r="I2710" s="541">
        <f t="shared" si="53"/>
        <v>93341.371428571336</v>
      </c>
      <c r="K2710" s="243"/>
    </row>
    <row r="2711" spans="2:11" ht="17" customHeight="1">
      <c r="B2711" s="253"/>
      <c r="C2711" s="263"/>
      <c r="D2711" s="255"/>
      <c r="E2711" s="256"/>
      <c r="F2711" s="257"/>
      <c r="G2711" s="258"/>
      <c r="H2711" s="259"/>
      <c r="I2711" s="541">
        <f t="shared" si="53"/>
        <v>93341.371428571336</v>
      </c>
      <c r="K2711" s="243"/>
    </row>
    <row r="2712" spans="2:11" ht="17" customHeight="1">
      <c r="B2712" s="253"/>
      <c r="C2712" s="263"/>
      <c r="D2712" s="255"/>
      <c r="E2712" s="256"/>
      <c r="F2712" s="257"/>
      <c r="G2712" s="258"/>
      <c r="H2712" s="259"/>
      <c r="I2712" s="541">
        <f t="shared" si="53"/>
        <v>93341.371428571336</v>
      </c>
      <c r="K2712" s="243"/>
    </row>
    <row r="2713" spans="2:11" ht="17" customHeight="1">
      <c r="B2713" s="253"/>
      <c r="C2713" s="263"/>
      <c r="D2713" s="255"/>
      <c r="E2713" s="256"/>
      <c r="F2713" s="257"/>
      <c r="G2713" s="258"/>
      <c r="H2713" s="259"/>
      <c r="I2713" s="541">
        <f t="shared" si="53"/>
        <v>93341.371428571336</v>
      </c>
      <c r="K2713" s="243"/>
    </row>
    <row r="2714" spans="2:11" ht="17" customHeight="1">
      <c r="B2714" s="253"/>
      <c r="C2714" s="263"/>
      <c r="D2714" s="255"/>
      <c r="E2714" s="256"/>
      <c r="F2714" s="257"/>
      <c r="G2714" s="258"/>
      <c r="H2714" s="259"/>
      <c r="I2714" s="541">
        <f t="shared" ref="I2714:I2777" si="54">I2713+E2715-F2715</f>
        <v>93341.371428571336</v>
      </c>
      <c r="K2714" s="243"/>
    </row>
    <row r="2715" spans="2:11" ht="17" customHeight="1">
      <c r="B2715" s="253"/>
      <c r="C2715" s="263"/>
      <c r="D2715" s="255"/>
      <c r="E2715" s="256"/>
      <c r="F2715" s="257"/>
      <c r="G2715" s="258"/>
      <c r="H2715" s="259"/>
      <c r="I2715" s="541">
        <f t="shared" si="54"/>
        <v>93341.371428571336</v>
      </c>
      <c r="K2715" s="243"/>
    </row>
    <row r="2716" spans="2:11" ht="17" customHeight="1">
      <c r="B2716" s="253"/>
      <c r="C2716" s="263"/>
      <c r="D2716" s="255"/>
      <c r="E2716" s="256"/>
      <c r="F2716" s="257"/>
      <c r="G2716" s="258"/>
      <c r="H2716" s="259"/>
      <c r="I2716" s="541">
        <f t="shared" si="54"/>
        <v>93341.371428571336</v>
      </c>
      <c r="K2716" s="243"/>
    </row>
    <row r="2717" spans="2:11" ht="17" customHeight="1">
      <c r="B2717" s="253"/>
      <c r="C2717" s="263"/>
      <c r="D2717" s="255"/>
      <c r="E2717" s="256"/>
      <c r="F2717" s="257"/>
      <c r="G2717" s="258"/>
      <c r="H2717" s="259"/>
      <c r="I2717" s="541">
        <f t="shared" si="54"/>
        <v>93341.371428571336</v>
      </c>
      <c r="K2717" s="243"/>
    </row>
    <row r="2718" spans="2:11" ht="17" customHeight="1">
      <c r="B2718" s="253"/>
      <c r="C2718" s="263"/>
      <c r="D2718" s="255"/>
      <c r="E2718" s="256"/>
      <c r="F2718" s="257"/>
      <c r="G2718" s="258"/>
      <c r="H2718" s="259"/>
      <c r="I2718" s="541">
        <f t="shared" si="54"/>
        <v>93341.371428571336</v>
      </c>
      <c r="K2718" s="243"/>
    </row>
    <row r="2719" spans="2:11" ht="17" customHeight="1">
      <c r="B2719" s="253"/>
      <c r="C2719" s="263"/>
      <c r="D2719" s="255"/>
      <c r="E2719" s="256"/>
      <c r="F2719" s="257"/>
      <c r="G2719" s="258"/>
      <c r="H2719" s="259"/>
      <c r="I2719" s="541">
        <f t="shared" si="54"/>
        <v>93341.371428571336</v>
      </c>
      <c r="K2719" s="243"/>
    </row>
    <row r="2720" spans="2:11" ht="17" customHeight="1">
      <c r="B2720" s="253"/>
      <c r="C2720" s="263"/>
      <c r="D2720" s="255"/>
      <c r="E2720" s="256"/>
      <c r="F2720" s="257"/>
      <c r="G2720" s="258"/>
      <c r="H2720" s="259"/>
      <c r="I2720" s="541">
        <f t="shared" si="54"/>
        <v>93341.371428571336</v>
      </c>
      <c r="K2720" s="243"/>
    </row>
    <row r="2721" spans="2:11" ht="17" customHeight="1">
      <c r="B2721" s="253"/>
      <c r="C2721" s="263"/>
      <c r="D2721" s="255"/>
      <c r="E2721" s="256"/>
      <c r="F2721" s="257"/>
      <c r="G2721" s="258"/>
      <c r="H2721" s="259"/>
      <c r="I2721" s="541">
        <f t="shared" si="54"/>
        <v>93341.371428571336</v>
      </c>
      <c r="K2721" s="243"/>
    </row>
    <row r="2722" spans="2:11" ht="17" customHeight="1">
      <c r="B2722" s="253"/>
      <c r="C2722" s="263"/>
      <c r="D2722" s="255"/>
      <c r="E2722" s="256"/>
      <c r="F2722" s="257"/>
      <c r="G2722" s="258"/>
      <c r="H2722" s="259"/>
      <c r="I2722" s="541">
        <f t="shared" si="54"/>
        <v>93341.371428571336</v>
      </c>
      <c r="K2722" s="243"/>
    </row>
    <row r="2723" spans="2:11" ht="17" customHeight="1">
      <c r="B2723" s="253"/>
      <c r="C2723" s="263"/>
      <c r="D2723" s="255"/>
      <c r="E2723" s="256"/>
      <c r="F2723" s="257"/>
      <c r="G2723" s="258"/>
      <c r="H2723" s="259"/>
      <c r="I2723" s="541">
        <f t="shared" si="54"/>
        <v>93341.371428571336</v>
      </c>
      <c r="K2723" s="243"/>
    </row>
    <row r="2724" spans="2:11" ht="17" customHeight="1">
      <c r="B2724" s="253"/>
      <c r="C2724" s="263"/>
      <c r="D2724" s="255"/>
      <c r="E2724" s="256"/>
      <c r="F2724" s="257"/>
      <c r="G2724" s="258"/>
      <c r="H2724" s="259"/>
      <c r="I2724" s="541">
        <f t="shared" si="54"/>
        <v>93341.371428571336</v>
      </c>
      <c r="K2724" s="243"/>
    </row>
    <row r="2725" spans="2:11" ht="17" customHeight="1">
      <c r="B2725" s="253"/>
      <c r="C2725" s="263"/>
      <c r="D2725" s="255"/>
      <c r="E2725" s="256"/>
      <c r="F2725" s="257"/>
      <c r="G2725" s="258"/>
      <c r="H2725" s="259"/>
      <c r="I2725" s="541">
        <f t="shared" si="54"/>
        <v>93341.371428571336</v>
      </c>
      <c r="K2725" s="243"/>
    </row>
    <row r="2726" spans="2:11" ht="17" customHeight="1">
      <c r="B2726" s="253"/>
      <c r="C2726" s="263"/>
      <c r="D2726" s="255"/>
      <c r="E2726" s="256"/>
      <c r="F2726" s="257"/>
      <c r="G2726" s="258"/>
      <c r="H2726" s="259"/>
      <c r="I2726" s="541">
        <f t="shared" si="54"/>
        <v>93341.371428571336</v>
      </c>
      <c r="K2726" s="243"/>
    </row>
    <row r="2727" spans="2:11" ht="17" customHeight="1">
      <c r="B2727" s="253"/>
      <c r="C2727" s="263"/>
      <c r="D2727" s="255"/>
      <c r="E2727" s="256"/>
      <c r="F2727" s="257"/>
      <c r="G2727" s="258"/>
      <c r="H2727" s="259"/>
      <c r="I2727" s="541">
        <f t="shared" si="54"/>
        <v>93341.371428571336</v>
      </c>
      <c r="K2727" s="243"/>
    </row>
    <row r="2728" spans="2:11" ht="17" customHeight="1">
      <c r="B2728" s="253"/>
      <c r="C2728" s="263"/>
      <c r="D2728" s="255"/>
      <c r="E2728" s="256"/>
      <c r="F2728" s="257"/>
      <c r="G2728" s="258"/>
      <c r="H2728" s="259"/>
      <c r="I2728" s="541">
        <f t="shared" si="54"/>
        <v>93341.371428571336</v>
      </c>
      <c r="K2728" s="243"/>
    </row>
    <row r="2729" spans="2:11" ht="17" customHeight="1">
      <c r="B2729" s="253"/>
      <c r="C2729" s="263"/>
      <c r="D2729" s="255"/>
      <c r="E2729" s="256"/>
      <c r="F2729" s="257"/>
      <c r="G2729" s="258"/>
      <c r="H2729" s="259"/>
      <c r="I2729" s="541">
        <f t="shared" si="54"/>
        <v>93341.371428571336</v>
      </c>
      <c r="K2729" s="243"/>
    </row>
    <row r="2730" spans="2:11" ht="17" customHeight="1">
      <c r="B2730" s="253"/>
      <c r="C2730" s="263"/>
      <c r="D2730" s="255"/>
      <c r="E2730" s="256"/>
      <c r="F2730" s="257"/>
      <c r="G2730" s="258"/>
      <c r="H2730" s="259"/>
      <c r="I2730" s="541">
        <f t="shared" si="54"/>
        <v>93341.371428571336</v>
      </c>
      <c r="K2730" s="243"/>
    </row>
    <row r="2731" spans="2:11" ht="17" customHeight="1">
      <c r="B2731" s="253"/>
      <c r="C2731" s="263"/>
      <c r="D2731" s="255"/>
      <c r="E2731" s="256"/>
      <c r="F2731" s="257"/>
      <c r="G2731" s="258"/>
      <c r="H2731" s="259"/>
      <c r="I2731" s="541">
        <f t="shared" si="54"/>
        <v>93341.371428571336</v>
      </c>
      <c r="K2731" s="243"/>
    </row>
    <row r="2732" spans="2:11" ht="17" customHeight="1">
      <c r="B2732" s="253"/>
      <c r="C2732" s="263"/>
      <c r="D2732" s="255"/>
      <c r="E2732" s="256"/>
      <c r="F2732" s="257"/>
      <c r="G2732" s="258"/>
      <c r="H2732" s="259"/>
      <c r="I2732" s="541">
        <f t="shared" si="54"/>
        <v>93341.371428571336</v>
      </c>
      <c r="K2732" s="243"/>
    </row>
    <row r="2733" spans="2:11" ht="17" customHeight="1">
      <c r="B2733" s="253"/>
      <c r="C2733" s="263"/>
      <c r="D2733" s="255"/>
      <c r="E2733" s="256"/>
      <c r="F2733" s="257"/>
      <c r="G2733" s="258"/>
      <c r="H2733" s="259"/>
      <c r="I2733" s="541">
        <f t="shared" si="54"/>
        <v>93341.371428571336</v>
      </c>
      <c r="K2733" s="243"/>
    </row>
    <row r="2734" spans="2:11" ht="17" customHeight="1">
      <c r="B2734" s="253"/>
      <c r="C2734" s="263"/>
      <c r="D2734" s="255"/>
      <c r="E2734" s="256"/>
      <c r="F2734" s="257"/>
      <c r="G2734" s="258"/>
      <c r="H2734" s="259"/>
      <c r="I2734" s="541">
        <f t="shared" si="54"/>
        <v>93341.371428571336</v>
      </c>
      <c r="K2734" s="243"/>
    </row>
    <row r="2735" spans="2:11" ht="17" customHeight="1">
      <c r="B2735" s="253"/>
      <c r="C2735" s="263"/>
      <c r="D2735" s="255"/>
      <c r="E2735" s="256"/>
      <c r="F2735" s="257"/>
      <c r="G2735" s="258"/>
      <c r="H2735" s="259"/>
      <c r="I2735" s="541">
        <f t="shared" si="54"/>
        <v>93341.371428571336</v>
      </c>
      <c r="K2735" s="243"/>
    </row>
    <row r="2736" spans="2:11" ht="17" customHeight="1">
      <c r="B2736" s="253"/>
      <c r="C2736" s="263"/>
      <c r="D2736" s="255"/>
      <c r="E2736" s="256"/>
      <c r="F2736" s="257"/>
      <c r="G2736" s="258"/>
      <c r="H2736" s="259"/>
      <c r="I2736" s="541">
        <f t="shared" si="54"/>
        <v>93341.371428571336</v>
      </c>
      <c r="K2736" s="243"/>
    </row>
    <row r="2737" spans="2:11" ht="17" customHeight="1">
      <c r="B2737" s="253"/>
      <c r="C2737" s="263"/>
      <c r="D2737" s="255"/>
      <c r="E2737" s="256"/>
      <c r="F2737" s="257"/>
      <c r="G2737" s="258"/>
      <c r="H2737" s="259"/>
      <c r="I2737" s="541">
        <f t="shared" si="54"/>
        <v>93341.371428571336</v>
      </c>
      <c r="K2737" s="243"/>
    </row>
    <row r="2738" spans="2:11" ht="17" customHeight="1">
      <c r="B2738" s="253"/>
      <c r="C2738" s="263"/>
      <c r="D2738" s="255"/>
      <c r="E2738" s="256"/>
      <c r="F2738" s="257"/>
      <c r="G2738" s="258"/>
      <c r="H2738" s="259"/>
      <c r="I2738" s="541">
        <f t="shared" si="54"/>
        <v>93341.371428571336</v>
      </c>
      <c r="K2738" s="243"/>
    </row>
    <row r="2739" spans="2:11" ht="17" customHeight="1">
      <c r="B2739" s="253"/>
      <c r="C2739" s="263"/>
      <c r="D2739" s="255"/>
      <c r="E2739" s="256"/>
      <c r="F2739" s="257"/>
      <c r="G2739" s="258"/>
      <c r="H2739" s="259"/>
      <c r="I2739" s="541">
        <f t="shared" si="54"/>
        <v>93341.371428571336</v>
      </c>
      <c r="K2739" s="243"/>
    </row>
    <row r="2740" spans="2:11" ht="17" customHeight="1">
      <c r="B2740" s="253"/>
      <c r="C2740" s="263"/>
      <c r="D2740" s="255"/>
      <c r="E2740" s="256"/>
      <c r="F2740" s="257"/>
      <c r="G2740" s="258"/>
      <c r="H2740" s="259"/>
      <c r="I2740" s="541">
        <f t="shared" si="54"/>
        <v>93341.371428571336</v>
      </c>
      <c r="K2740" s="243"/>
    </row>
    <row r="2741" spans="2:11" ht="17" customHeight="1">
      <c r="B2741" s="253"/>
      <c r="C2741" s="263"/>
      <c r="D2741" s="255"/>
      <c r="E2741" s="256"/>
      <c r="F2741" s="257"/>
      <c r="G2741" s="258"/>
      <c r="H2741" s="259"/>
      <c r="I2741" s="541">
        <f t="shared" si="54"/>
        <v>93341.371428571336</v>
      </c>
      <c r="K2741" s="243"/>
    </row>
    <row r="2742" spans="2:11" ht="17" customHeight="1">
      <c r="B2742" s="253"/>
      <c r="C2742" s="263"/>
      <c r="D2742" s="255"/>
      <c r="E2742" s="256"/>
      <c r="F2742" s="257"/>
      <c r="G2742" s="258"/>
      <c r="H2742" s="259"/>
      <c r="I2742" s="541">
        <f t="shared" si="54"/>
        <v>93341.371428571336</v>
      </c>
      <c r="K2742" s="243"/>
    </row>
    <row r="2743" spans="2:11" ht="17" customHeight="1">
      <c r="B2743" s="253"/>
      <c r="C2743" s="263"/>
      <c r="D2743" s="255"/>
      <c r="E2743" s="256"/>
      <c r="F2743" s="257"/>
      <c r="G2743" s="258"/>
      <c r="H2743" s="259"/>
      <c r="I2743" s="541">
        <f t="shared" si="54"/>
        <v>93341.371428571336</v>
      </c>
      <c r="K2743" s="243"/>
    </row>
    <row r="2744" spans="2:11" ht="17" customHeight="1">
      <c r="B2744" s="253"/>
      <c r="C2744" s="263"/>
      <c r="D2744" s="255"/>
      <c r="E2744" s="256"/>
      <c r="F2744" s="257"/>
      <c r="G2744" s="258"/>
      <c r="H2744" s="259"/>
      <c r="I2744" s="541">
        <f t="shared" si="54"/>
        <v>93341.371428571336</v>
      </c>
      <c r="K2744" s="243"/>
    </row>
    <row r="2745" spans="2:11" ht="17" customHeight="1">
      <c r="B2745" s="253"/>
      <c r="C2745" s="263"/>
      <c r="D2745" s="255"/>
      <c r="E2745" s="256"/>
      <c r="F2745" s="257"/>
      <c r="G2745" s="258"/>
      <c r="H2745" s="259"/>
      <c r="I2745" s="541">
        <f t="shared" si="54"/>
        <v>93341.371428571336</v>
      </c>
      <c r="K2745" s="243"/>
    </row>
    <row r="2746" spans="2:11" ht="17" customHeight="1">
      <c r="B2746" s="253"/>
      <c r="C2746" s="263"/>
      <c r="D2746" s="255"/>
      <c r="E2746" s="256"/>
      <c r="F2746" s="257"/>
      <c r="G2746" s="258"/>
      <c r="H2746" s="259"/>
      <c r="I2746" s="541">
        <f t="shared" si="54"/>
        <v>93341.371428571336</v>
      </c>
      <c r="K2746" s="243"/>
    </row>
    <row r="2747" spans="2:11" ht="17" customHeight="1">
      <c r="B2747" s="253"/>
      <c r="C2747" s="263"/>
      <c r="D2747" s="255"/>
      <c r="E2747" s="256"/>
      <c r="F2747" s="257"/>
      <c r="G2747" s="258"/>
      <c r="H2747" s="259"/>
      <c r="I2747" s="541">
        <f t="shared" si="54"/>
        <v>93341.371428571336</v>
      </c>
      <c r="K2747" s="243"/>
    </row>
    <row r="2748" spans="2:11" ht="17" customHeight="1">
      <c r="B2748" s="253"/>
      <c r="C2748" s="263"/>
      <c r="D2748" s="255"/>
      <c r="E2748" s="256"/>
      <c r="F2748" s="257"/>
      <c r="G2748" s="258"/>
      <c r="H2748" s="259"/>
      <c r="I2748" s="541">
        <f t="shared" si="54"/>
        <v>93341.371428571336</v>
      </c>
      <c r="K2748" s="243"/>
    </row>
    <row r="2749" spans="2:11" ht="17" customHeight="1">
      <c r="B2749" s="253"/>
      <c r="C2749" s="263"/>
      <c r="D2749" s="255"/>
      <c r="E2749" s="256"/>
      <c r="F2749" s="257"/>
      <c r="G2749" s="258"/>
      <c r="H2749" s="259"/>
      <c r="I2749" s="541">
        <f t="shared" si="54"/>
        <v>93341.371428571336</v>
      </c>
      <c r="K2749" s="243"/>
    </row>
    <row r="2750" spans="2:11" ht="17" customHeight="1">
      <c r="B2750" s="253"/>
      <c r="C2750" s="263"/>
      <c r="D2750" s="255"/>
      <c r="E2750" s="256"/>
      <c r="F2750" s="257"/>
      <c r="G2750" s="258"/>
      <c r="H2750" s="259"/>
      <c r="I2750" s="541">
        <f t="shared" si="54"/>
        <v>93341.371428571336</v>
      </c>
      <c r="K2750" s="243"/>
    </row>
    <row r="2751" spans="2:11" ht="17" customHeight="1">
      <c r="B2751" s="253"/>
      <c r="C2751" s="263"/>
      <c r="D2751" s="255"/>
      <c r="E2751" s="256"/>
      <c r="F2751" s="257"/>
      <c r="G2751" s="258"/>
      <c r="H2751" s="259"/>
      <c r="I2751" s="541">
        <f t="shared" si="54"/>
        <v>93341.371428571336</v>
      </c>
      <c r="K2751" s="243"/>
    </row>
    <row r="2752" spans="2:11" ht="17" customHeight="1">
      <c r="B2752" s="253"/>
      <c r="C2752" s="263"/>
      <c r="D2752" s="255"/>
      <c r="E2752" s="256"/>
      <c r="F2752" s="257"/>
      <c r="G2752" s="258"/>
      <c r="H2752" s="259"/>
      <c r="I2752" s="541">
        <f t="shared" si="54"/>
        <v>93341.371428571336</v>
      </c>
      <c r="K2752" s="243"/>
    </row>
    <row r="2753" spans="2:11" ht="17" customHeight="1">
      <c r="B2753" s="253"/>
      <c r="C2753" s="263"/>
      <c r="D2753" s="255"/>
      <c r="E2753" s="256"/>
      <c r="F2753" s="257"/>
      <c r="G2753" s="258"/>
      <c r="H2753" s="259"/>
      <c r="I2753" s="541">
        <f t="shared" si="54"/>
        <v>93341.371428571336</v>
      </c>
      <c r="K2753" s="243"/>
    </row>
    <row r="2754" spans="2:11" ht="17" customHeight="1">
      <c r="B2754" s="253"/>
      <c r="C2754" s="263"/>
      <c r="D2754" s="255"/>
      <c r="E2754" s="256"/>
      <c r="F2754" s="257"/>
      <c r="G2754" s="258"/>
      <c r="H2754" s="259"/>
      <c r="I2754" s="541">
        <f t="shared" si="54"/>
        <v>93341.371428571336</v>
      </c>
      <c r="K2754" s="243"/>
    </row>
    <row r="2755" spans="2:11" ht="17" customHeight="1">
      <c r="B2755" s="253"/>
      <c r="C2755" s="263"/>
      <c r="D2755" s="255"/>
      <c r="E2755" s="256"/>
      <c r="F2755" s="257"/>
      <c r="G2755" s="258"/>
      <c r="H2755" s="259"/>
      <c r="I2755" s="541">
        <f t="shared" si="54"/>
        <v>93341.371428571336</v>
      </c>
      <c r="K2755" s="243"/>
    </row>
    <row r="2756" spans="2:11" ht="17" customHeight="1">
      <c r="B2756" s="253"/>
      <c r="C2756" s="263"/>
      <c r="D2756" s="255"/>
      <c r="E2756" s="256"/>
      <c r="F2756" s="257"/>
      <c r="G2756" s="258"/>
      <c r="H2756" s="259"/>
      <c r="I2756" s="541">
        <f t="shared" si="54"/>
        <v>93341.371428571336</v>
      </c>
      <c r="K2756" s="243"/>
    </row>
    <row r="2757" spans="2:11" ht="17" customHeight="1">
      <c r="B2757" s="253"/>
      <c r="C2757" s="263"/>
      <c r="D2757" s="255"/>
      <c r="E2757" s="256"/>
      <c r="F2757" s="257"/>
      <c r="G2757" s="258"/>
      <c r="H2757" s="259"/>
      <c r="I2757" s="541">
        <f t="shared" si="54"/>
        <v>93341.371428571336</v>
      </c>
      <c r="K2757" s="243"/>
    </row>
    <row r="2758" spans="2:11" ht="17" customHeight="1">
      <c r="B2758" s="253"/>
      <c r="C2758" s="263"/>
      <c r="D2758" s="255"/>
      <c r="E2758" s="256"/>
      <c r="F2758" s="257"/>
      <c r="G2758" s="258"/>
      <c r="H2758" s="259"/>
      <c r="I2758" s="541">
        <f t="shared" si="54"/>
        <v>93341.371428571336</v>
      </c>
      <c r="K2758" s="243"/>
    </row>
    <row r="2759" spans="2:11" ht="17" customHeight="1">
      <c r="B2759" s="253"/>
      <c r="C2759" s="263"/>
      <c r="D2759" s="255"/>
      <c r="E2759" s="256"/>
      <c r="F2759" s="257"/>
      <c r="G2759" s="258"/>
      <c r="H2759" s="259"/>
      <c r="I2759" s="541">
        <f t="shared" si="54"/>
        <v>93341.371428571336</v>
      </c>
      <c r="K2759" s="243"/>
    </row>
    <row r="2760" spans="2:11" ht="17" customHeight="1">
      <c r="B2760" s="253"/>
      <c r="C2760" s="263"/>
      <c r="D2760" s="255"/>
      <c r="E2760" s="256"/>
      <c r="F2760" s="257"/>
      <c r="G2760" s="258"/>
      <c r="H2760" s="259"/>
      <c r="I2760" s="541">
        <f t="shared" si="54"/>
        <v>93341.371428571336</v>
      </c>
      <c r="K2760" s="243"/>
    </row>
    <row r="2761" spans="2:11" ht="17" customHeight="1">
      <c r="B2761" s="253"/>
      <c r="C2761" s="263"/>
      <c r="D2761" s="255"/>
      <c r="E2761" s="256"/>
      <c r="F2761" s="257"/>
      <c r="G2761" s="258"/>
      <c r="H2761" s="259"/>
      <c r="I2761" s="541">
        <f t="shared" si="54"/>
        <v>93341.371428571336</v>
      </c>
      <c r="K2761" s="243"/>
    </row>
    <row r="2762" spans="2:11" ht="17" customHeight="1">
      <c r="B2762" s="253"/>
      <c r="C2762" s="263"/>
      <c r="D2762" s="255"/>
      <c r="E2762" s="256"/>
      <c r="F2762" s="257"/>
      <c r="G2762" s="258"/>
      <c r="H2762" s="259"/>
      <c r="I2762" s="541">
        <f t="shared" si="54"/>
        <v>93341.371428571336</v>
      </c>
      <c r="K2762" s="243"/>
    </row>
    <row r="2763" spans="2:11" ht="17" customHeight="1">
      <c r="B2763" s="253"/>
      <c r="C2763" s="263"/>
      <c r="D2763" s="255"/>
      <c r="E2763" s="256"/>
      <c r="F2763" s="257"/>
      <c r="G2763" s="258"/>
      <c r="H2763" s="259"/>
      <c r="I2763" s="541">
        <f t="shared" si="54"/>
        <v>93341.371428571336</v>
      </c>
      <c r="K2763" s="243"/>
    </row>
    <row r="2764" spans="2:11" ht="17" customHeight="1">
      <c r="B2764" s="253"/>
      <c r="C2764" s="263"/>
      <c r="D2764" s="255"/>
      <c r="E2764" s="256"/>
      <c r="F2764" s="257"/>
      <c r="G2764" s="258"/>
      <c r="H2764" s="259"/>
      <c r="I2764" s="541">
        <f t="shared" si="54"/>
        <v>93341.371428571336</v>
      </c>
      <c r="K2764" s="243"/>
    </row>
    <row r="2765" spans="2:11" ht="17" customHeight="1">
      <c r="B2765" s="253"/>
      <c r="C2765" s="263"/>
      <c r="D2765" s="255"/>
      <c r="E2765" s="256"/>
      <c r="F2765" s="257"/>
      <c r="G2765" s="258"/>
      <c r="H2765" s="259"/>
      <c r="I2765" s="541">
        <f t="shared" si="54"/>
        <v>93341.371428571336</v>
      </c>
      <c r="K2765" s="243"/>
    </row>
    <row r="2766" spans="2:11" ht="17" customHeight="1">
      <c r="B2766" s="253"/>
      <c r="C2766" s="263"/>
      <c r="D2766" s="255"/>
      <c r="E2766" s="256"/>
      <c r="F2766" s="257"/>
      <c r="G2766" s="258"/>
      <c r="H2766" s="259"/>
      <c r="I2766" s="541">
        <f t="shared" si="54"/>
        <v>93341.371428571336</v>
      </c>
      <c r="K2766" s="243"/>
    </row>
    <row r="2767" spans="2:11" ht="17" customHeight="1">
      <c r="B2767" s="253"/>
      <c r="C2767" s="263"/>
      <c r="D2767" s="255"/>
      <c r="E2767" s="256"/>
      <c r="F2767" s="257"/>
      <c r="G2767" s="258"/>
      <c r="H2767" s="259"/>
      <c r="I2767" s="541">
        <f t="shared" si="54"/>
        <v>93341.371428571336</v>
      </c>
      <c r="K2767" s="243"/>
    </row>
    <row r="2768" spans="2:11" ht="17" customHeight="1">
      <c r="B2768" s="253"/>
      <c r="C2768" s="263"/>
      <c r="D2768" s="255"/>
      <c r="E2768" s="256"/>
      <c r="F2768" s="257"/>
      <c r="G2768" s="258"/>
      <c r="H2768" s="259"/>
      <c r="I2768" s="541">
        <f t="shared" si="54"/>
        <v>93341.371428571336</v>
      </c>
      <c r="K2768" s="243"/>
    </row>
    <row r="2769" spans="2:11" ht="17" customHeight="1">
      <c r="B2769" s="253"/>
      <c r="C2769" s="263"/>
      <c r="D2769" s="255"/>
      <c r="E2769" s="256"/>
      <c r="F2769" s="257"/>
      <c r="G2769" s="258"/>
      <c r="H2769" s="259"/>
      <c r="I2769" s="541">
        <f t="shared" si="54"/>
        <v>93341.371428571336</v>
      </c>
      <c r="K2769" s="243"/>
    </row>
    <row r="2770" spans="2:11" ht="17" customHeight="1">
      <c r="B2770" s="253"/>
      <c r="C2770" s="263"/>
      <c r="D2770" s="255"/>
      <c r="E2770" s="256"/>
      <c r="F2770" s="257"/>
      <c r="G2770" s="258"/>
      <c r="H2770" s="259"/>
      <c r="I2770" s="541">
        <f t="shared" si="54"/>
        <v>93341.371428571336</v>
      </c>
      <c r="K2770" s="243"/>
    </row>
    <row r="2771" spans="2:11" ht="17" customHeight="1">
      <c r="B2771" s="253"/>
      <c r="C2771" s="263"/>
      <c r="D2771" s="255"/>
      <c r="E2771" s="256"/>
      <c r="F2771" s="257"/>
      <c r="G2771" s="258"/>
      <c r="H2771" s="259"/>
      <c r="I2771" s="541">
        <f t="shared" si="54"/>
        <v>93341.371428571336</v>
      </c>
      <c r="K2771" s="243"/>
    </row>
    <row r="2772" spans="2:11" ht="17" customHeight="1">
      <c r="B2772" s="253"/>
      <c r="C2772" s="263"/>
      <c r="D2772" s="255"/>
      <c r="E2772" s="256"/>
      <c r="F2772" s="257"/>
      <c r="G2772" s="258"/>
      <c r="H2772" s="259"/>
      <c r="I2772" s="541">
        <f t="shared" si="54"/>
        <v>93341.371428571336</v>
      </c>
      <c r="K2772" s="243"/>
    </row>
    <row r="2773" spans="2:11" ht="17" customHeight="1">
      <c r="B2773" s="253"/>
      <c r="C2773" s="263"/>
      <c r="D2773" s="255"/>
      <c r="E2773" s="256"/>
      <c r="F2773" s="257"/>
      <c r="G2773" s="258"/>
      <c r="H2773" s="259"/>
      <c r="I2773" s="541">
        <f t="shared" si="54"/>
        <v>93341.371428571336</v>
      </c>
      <c r="K2773" s="243"/>
    </row>
    <row r="2774" spans="2:11" ht="17" customHeight="1">
      <c r="B2774" s="253"/>
      <c r="C2774" s="263"/>
      <c r="D2774" s="255"/>
      <c r="E2774" s="256"/>
      <c r="F2774" s="257"/>
      <c r="G2774" s="258"/>
      <c r="H2774" s="259"/>
      <c r="I2774" s="541">
        <f t="shared" si="54"/>
        <v>93341.371428571336</v>
      </c>
      <c r="K2774" s="243"/>
    </row>
    <row r="2775" spans="2:11" ht="17" customHeight="1">
      <c r="B2775" s="253"/>
      <c r="C2775" s="263"/>
      <c r="D2775" s="255"/>
      <c r="E2775" s="256"/>
      <c r="F2775" s="257"/>
      <c r="G2775" s="258"/>
      <c r="H2775" s="259"/>
      <c r="I2775" s="541">
        <f t="shared" si="54"/>
        <v>93341.371428571336</v>
      </c>
      <c r="K2775" s="243"/>
    </row>
    <row r="2776" spans="2:11" ht="17" customHeight="1">
      <c r="B2776" s="253"/>
      <c r="C2776" s="263"/>
      <c r="D2776" s="255"/>
      <c r="E2776" s="256"/>
      <c r="F2776" s="257"/>
      <c r="G2776" s="258"/>
      <c r="H2776" s="259"/>
      <c r="I2776" s="541">
        <f t="shared" si="54"/>
        <v>93341.371428571336</v>
      </c>
      <c r="K2776" s="243"/>
    </row>
    <row r="2777" spans="2:11" ht="17" customHeight="1">
      <c r="B2777" s="253"/>
      <c r="C2777" s="263"/>
      <c r="D2777" s="255"/>
      <c r="E2777" s="256"/>
      <c r="F2777" s="257"/>
      <c r="G2777" s="258"/>
      <c r="H2777" s="259"/>
      <c r="I2777" s="541">
        <f t="shared" si="54"/>
        <v>93341.371428571336</v>
      </c>
      <c r="K2777" s="243"/>
    </row>
    <row r="2778" spans="2:11" ht="17" customHeight="1">
      <c r="B2778" s="253"/>
      <c r="C2778" s="263"/>
      <c r="D2778" s="255"/>
      <c r="E2778" s="256"/>
      <c r="F2778" s="257"/>
      <c r="G2778" s="258"/>
      <c r="H2778" s="259"/>
      <c r="I2778" s="541">
        <f t="shared" ref="I2778:I2841" si="55">I2777+E2779-F2779</f>
        <v>93341.371428571336</v>
      </c>
      <c r="K2778" s="243"/>
    </row>
    <row r="2779" spans="2:11" ht="17" customHeight="1">
      <c r="B2779" s="253"/>
      <c r="C2779" s="263"/>
      <c r="D2779" s="255"/>
      <c r="E2779" s="256"/>
      <c r="F2779" s="257"/>
      <c r="G2779" s="258"/>
      <c r="H2779" s="259"/>
      <c r="I2779" s="541">
        <f t="shared" si="55"/>
        <v>93341.371428571336</v>
      </c>
      <c r="K2779" s="243"/>
    </row>
    <row r="2780" spans="2:11" ht="17" customHeight="1">
      <c r="B2780" s="253"/>
      <c r="C2780" s="263"/>
      <c r="D2780" s="255"/>
      <c r="E2780" s="256"/>
      <c r="F2780" s="257"/>
      <c r="G2780" s="258"/>
      <c r="H2780" s="259"/>
      <c r="I2780" s="541">
        <f t="shared" si="55"/>
        <v>93341.371428571336</v>
      </c>
      <c r="K2780" s="243"/>
    </row>
    <row r="2781" spans="2:11" ht="17" customHeight="1">
      <c r="B2781" s="253"/>
      <c r="C2781" s="263"/>
      <c r="D2781" s="255"/>
      <c r="E2781" s="256"/>
      <c r="F2781" s="257"/>
      <c r="G2781" s="258"/>
      <c r="H2781" s="259"/>
      <c r="I2781" s="541">
        <f t="shared" si="55"/>
        <v>93341.371428571336</v>
      </c>
      <c r="K2781" s="243"/>
    </row>
    <row r="2782" spans="2:11" ht="17" customHeight="1">
      <c r="B2782" s="253"/>
      <c r="C2782" s="263"/>
      <c r="D2782" s="255"/>
      <c r="E2782" s="256"/>
      <c r="F2782" s="257"/>
      <c r="G2782" s="258"/>
      <c r="H2782" s="259"/>
      <c r="I2782" s="541">
        <f t="shared" si="55"/>
        <v>93341.371428571336</v>
      </c>
      <c r="K2782" s="243"/>
    </row>
    <row r="2783" spans="2:11" ht="17" customHeight="1">
      <c r="B2783" s="253"/>
      <c r="C2783" s="263"/>
      <c r="D2783" s="255"/>
      <c r="E2783" s="256"/>
      <c r="F2783" s="257"/>
      <c r="G2783" s="258"/>
      <c r="H2783" s="259"/>
      <c r="I2783" s="541">
        <f t="shared" si="55"/>
        <v>93341.371428571336</v>
      </c>
      <c r="K2783" s="243"/>
    </row>
    <row r="2784" spans="2:11" ht="17" customHeight="1">
      <c r="B2784" s="253"/>
      <c r="C2784" s="263"/>
      <c r="D2784" s="255"/>
      <c r="E2784" s="256"/>
      <c r="F2784" s="257"/>
      <c r="G2784" s="258"/>
      <c r="H2784" s="259"/>
      <c r="I2784" s="541">
        <f t="shared" si="55"/>
        <v>93341.371428571336</v>
      </c>
      <c r="K2784" s="243"/>
    </row>
    <row r="2785" spans="2:11" ht="17" customHeight="1">
      <c r="B2785" s="253"/>
      <c r="C2785" s="263"/>
      <c r="D2785" s="255"/>
      <c r="E2785" s="256"/>
      <c r="F2785" s="257"/>
      <c r="G2785" s="258"/>
      <c r="H2785" s="259"/>
      <c r="I2785" s="541">
        <f t="shared" si="55"/>
        <v>93341.371428571336</v>
      </c>
      <c r="K2785" s="243"/>
    </row>
    <row r="2786" spans="2:11" ht="17" customHeight="1">
      <c r="B2786" s="253"/>
      <c r="C2786" s="263"/>
      <c r="D2786" s="255"/>
      <c r="E2786" s="256"/>
      <c r="F2786" s="257"/>
      <c r="G2786" s="258"/>
      <c r="H2786" s="259"/>
      <c r="I2786" s="541">
        <f t="shared" si="55"/>
        <v>93341.371428571336</v>
      </c>
      <c r="K2786" s="243"/>
    </row>
    <row r="2787" spans="2:11" ht="17" customHeight="1">
      <c r="B2787" s="253"/>
      <c r="C2787" s="263"/>
      <c r="D2787" s="255"/>
      <c r="E2787" s="256"/>
      <c r="F2787" s="257"/>
      <c r="G2787" s="258"/>
      <c r="H2787" s="259"/>
      <c r="I2787" s="541">
        <f t="shared" si="55"/>
        <v>93341.371428571336</v>
      </c>
      <c r="K2787" s="243"/>
    </row>
    <row r="2788" spans="2:11" ht="17" customHeight="1">
      <c r="B2788" s="253"/>
      <c r="C2788" s="263"/>
      <c r="D2788" s="255"/>
      <c r="E2788" s="256"/>
      <c r="F2788" s="257"/>
      <c r="G2788" s="258"/>
      <c r="H2788" s="259"/>
      <c r="I2788" s="541">
        <f t="shared" si="55"/>
        <v>93341.371428571336</v>
      </c>
      <c r="K2788" s="243"/>
    </row>
    <row r="2789" spans="2:11" ht="17" customHeight="1">
      <c r="B2789" s="253"/>
      <c r="C2789" s="263"/>
      <c r="D2789" s="255"/>
      <c r="E2789" s="256"/>
      <c r="F2789" s="257"/>
      <c r="G2789" s="258"/>
      <c r="H2789" s="259"/>
      <c r="I2789" s="541">
        <f t="shared" si="55"/>
        <v>93341.371428571336</v>
      </c>
      <c r="K2789" s="243"/>
    </row>
    <row r="2790" spans="2:11" ht="17" customHeight="1">
      <c r="B2790" s="253"/>
      <c r="C2790" s="263"/>
      <c r="D2790" s="255"/>
      <c r="E2790" s="256"/>
      <c r="F2790" s="257"/>
      <c r="G2790" s="258"/>
      <c r="H2790" s="259"/>
      <c r="I2790" s="541">
        <f t="shared" si="55"/>
        <v>93341.371428571336</v>
      </c>
      <c r="K2790" s="243"/>
    </row>
    <row r="2791" spans="2:11" ht="17" customHeight="1">
      <c r="B2791" s="253"/>
      <c r="C2791" s="263"/>
      <c r="D2791" s="255"/>
      <c r="E2791" s="256"/>
      <c r="F2791" s="257"/>
      <c r="G2791" s="258"/>
      <c r="H2791" s="259"/>
      <c r="I2791" s="541">
        <f t="shared" si="55"/>
        <v>93341.371428571336</v>
      </c>
      <c r="K2791" s="243"/>
    </row>
    <row r="2792" spans="2:11" ht="17" customHeight="1">
      <c r="B2792" s="253"/>
      <c r="C2792" s="263"/>
      <c r="D2792" s="255"/>
      <c r="E2792" s="256"/>
      <c r="F2792" s="257"/>
      <c r="G2792" s="258"/>
      <c r="H2792" s="259"/>
      <c r="I2792" s="541">
        <f t="shared" si="55"/>
        <v>93341.371428571336</v>
      </c>
      <c r="K2792" s="243"/>
    </row>
    <row r="2793" spans="2:11" ht="17" customHeight="1">
      <c r="B2793" s="253"/>
      <c r="C2793" s="263"/>
      <c r="D2793" s="255"/>
      <c r="E2793" s="256"/>
      <c r="F2793" s="257"/>
      <c r="G2793" s="258"/>
      <c r="H2793" s="259"/>
      <c r="I2793" s="541">
        <f t="shared" si="55"/>
        <v>93341.371428571336</v>
      </c>
      <c r="K2793" s="243"/>
    </row>
    <row r="2794" spans="2:11" ht="17" customHeight="1">
      <c r="B2794" s="253"/>
      <c r="C2794" s="263"/>
      <c r="D2794" s="255"/>
      <c r="E2794" s="256"/>
      <c r="F2794" s="257"/>
      <c r="G2794" s="258"/>
      <c r="H2794" s="259"/>
      <c r="I2794" s="541">
        <f t="shared" si="55"/>
        <v>93341.371428571336</v>
      </c>
      <c r="K2794" s="243"/>
    </row>
    <row r="2795" spans="2:11" ht="17" customHeight="1">
      <c r="B2795" s="253"/>
      <c r="C2795" s="263"/>
      <c r="D2795" s="255"/>
      <c r="E2795" s="256"/>
      <c r="F2795" s="257"/>
      <c r="G2795" s="258"/>
      <c r="H2795" s="259"/>
      <c r="I2795" s="541">
        <f t="shared" si="55"/>
        <v>93341.371428571336</v>
      </c>
      <c r="K2795" s="243"/>
    </row>
    <row r="2796" spans="2:11" ht="17" customHeight="1">
      <c r="B2796" s="253"/>
      <c r="C2796" s="263"/>
      <c r="D2796" s="255"/>
      <c r="E2796" s="256"/>
      <c r="F2796" s="257"/>
      <c r="G2796" s="258"/>
      <c r="H2796" s="259"/>
      <c r="I2796" s="541">
        <f t="shared" si="55"/>
        <v>93341.371428571336</v>
      </c>
      <c r="K2796" s="243"/>
    </row>
    <row r="2797" spans="2:11" ht="17" customHeight="1">
      <c r="B2797" s="253"/>
      <c r="C2797" s="263"/>
      <c r="D2797" s="255"/>
      <c r="E2797" s="256"/>
      <c r="F2797" s="257"/>
      <c r="G2797" s="258"/>
      <c r="H2797" s="259"/>
      <c r="I2797" s="541">
        <f t="shared" si="55"/>
        <v>93341.371428571336</v>
      </c>
      <c r="K2797" s="243"/>
    </row>
    <row r="2798" spans="2:11" ht="17" customHeight="1">
      <c r="B2798" s="253"/>
      <c r="C2798" s="263"/>
      <c r="D2798" s="255"/>
      <c r="E2798" s="256"/>
      <c r="F2798" s="257"/>
      <c r="G2798" s="258"/>
      <c r="H2798" s="259"/>
      <c r="I2798" s="541">
        <f t="shared" si="55"/>
        <v>93341.371428571336</v>
      </c>
      <c r="K2798" s="243"/>
    </row>
    <row r="2799" spans="2:11" ht="17" customHeight="1">
      <c r="B2799" s="253"/>
      <c r="C2799" s="263"/>
      <c r="D2799" s="255"/>
      <c r="E2799" s="256"/>
      <c r="F2799" s="257"/>
      <c r="G2799" s="258"/>
      <c r="H2799" s="259"/>
      <c r="I2799" s="541">
        <f t="shared" si="55"/>
        <v>93341.371428571336</v>
      </c>
      <c r="K2799" s="243"/>
    </row>
    <row r="2800" spans="2:11" ht="17" customHeight="1">
      <c r="B2800" s="253"/>
      <c r="C2800" s="263"/>
      <c r="D2800" s="255"/>
      <c r="E2800" s="256"/>
      <c r="F2800" s="257"/>
      <c r="G2800" s="258"/>
      <c r="H2800" s="259"/>
      <c r="I2800" s="541">
        <f t="shared" si="55"/>
        <v>93341.371428571336</v>
      </c>
      <c r="K2800" s="243"/>
    </row>
    <row r="2801" spans="2:11" ht="17" customHeight="1">
      <c r="B2801" s="253"/>
      <c r="C2801" s="263"/>
      <c r="D2801" s="255"/>
      <c r="E2801" s="256"/>
      <c r="F2801" s="257"/>
      <c r="G2801" s="258"/>
      <c r="H2801" s="259"/>
      <c r="I2801" s="541">
        <f t="shared" si="55"/>
        <v>93341.371428571336</v>
      </c>
      <c r="K2801" s="243"/>
    </row>
    <row r="2802" spans="2:11" ht="17" customHeight="1">
      <c r="B2802" s="253"/>
      <c r="C2802" s="263"/>
      <c r="D2802" s="255"/>
      <c r="E2802" s="256"/>
      <c r="F2802" s="257"/>
      <c r="G2802" s="258"/>
      <c r="H2802" s="259"/>
      <c r="I2802" s="541">
        <f t="shared" si="55"/>
        <v>93341.371428571336</v>
      </c>
      <c r="K2802" s="243"/>
    </row>
    <row r="2803" spans="2:11" ht="17" customHeight="1">
      <c r="B2803" s="253"/>
      <c r="C2803" s="263"/>
      <c r="D2803" s="255"/>
      <c r="E2803" s="256"/>
      <c r="F2803" s="257"/>
      <c r="G2803" s="258"/>
      <c r="H2803" s="259"/>
      <c r="I2803" s="541">
        <f t="shared" si="55"/>
        <v>93341.371428571336</v>
      </c>
      <c r="K2803" s="243"/>
    </row>
    <row r="2804" spans="2:11" ht="17" customHeight="1">
      <c r="B2804" s="253"/>
      <c r="C2804" s="263"/>
      <c r="D2804" s="255"/>
      <c r="E2804" s="256"/>
      <c r="F2804" s="257"/>
      <c r="G2804" s="258"/>
      <c r="H2804" s="259"/>
      <c r="I2804" s="541">
        <f t="shared" si="55"/>
        <v>93341.371428571336</v>
      </c>
      <c r="K2804" s="243"/>
    </row>
    <row r="2805" spans="2:11" ht="17" customHeight="1">
      <c r="B2805" s="253"/>
      <c r="C2805" s="263"/>
      <c r="D2805" s="255"/>
      <c r="E2805" s="256"/>
      <c r="F2805" s="257"/>
      <c r="G2805" s="258"/>
      <c r="H2805" s="259"/>
      <c r="I2805" s="541">
        <f t="shared" si="55"/>
        <v>93341.371428571336</v>
      </c>
      <c r="K2805" s="243"/>
    </row>
    <row r="2806" spans="2:11" ht="17" customHeight="1">
      <c r="B2806" s="253"/>
      <c r="C2806" s="263"/>
      <c r="D2806" s="255"/>
      <c r="E2806" s="256"/>
      <c r="F2806" s="257"/>
      <c r="G2806" s="258"/>
      <c r="H2806" s="259"/>
      <c r="I2806" s="541">
        <f t="shared" si="55"/>
        <v>93341.371428571336</v>
      </c>
      <c r="K2806" s="243"/>
    </row>
    <row r="2807" spans="2:11" ht="17" customHeight="1">
      <c r="B2807" s="253"/>
      <c r="C2807" s="263"/>
      <c r="D2807" s="255"/>
      <c r="E2807" s="256"/>
      <c r="F2807" s="257"/>
      <c r="G2807" s="258"/>
      <c r="H2807" s="259"/>
      <c r="I2807" s="541">
        <f t="shared" si="55"/>
        <v>93341.371428571336</v>
      </c>
      <c r="K2807" s="243"/>
    </row>
    <row r="2808" spans="2:11" ht="17" customHeight="1">
      <c r="B2808" s="253"/>
      <c r="C2808" s="263"/>
      <c r="D2808" s="255"/>
      <c r="E2808" s="256"/>
      <c r="F2808" s="257"/>
      <c r="G2808" s="258"/>
      <c r="H2808" s="259"/>
      <c r="I2808" s="541">
        <f t="shared" si="55"/>
        <v>93341.371428571336</v>
      </c>
      <c r="K2808" s="243"/>
    </row>
    <row r="2809" spans="2:11" ht="17" customHeight="1">
      <c r="B2809" s="253"/>
      <c r="C2809" s="263"/>
      <c r="D2809" s="255"/>
      <c r="E2809" s="256"/>
      <c r="F2809" s="257"/>
      <c r="G2809" s="258"/>
      <c r="H2809" s="259"/>
      <c r="I2809" s="541">
        <f t="shared" si="55"/>
        <v>93341.371428571336</v>
      </c>
      <c r="K2809" s="243"/>
    </row>
    <row r="2810" spans="2:11" ht="17" customHeight="1">
      <c r="B2810" s="253"/>
      <c r="C2810" s="263"/>
      <c r="D2810" s="255"/>
      <c r="E2810" s="256"/>
      <c r="F2810" s="257"/>
      <c r="G2810" s="258"/>
      <c r="H2810" s="259"/>
      <c r="I2810" s="541">
        <f t="shared" si="55"/>
        <v>93341.371428571336</v>
      </c>
      <c r="K2810" s="243"/>
    </row>
    <row r="2811" spans="2:11" ht="17" customHeight="1">
      <c r="B2811" s="253"/>
      <c r="C2811" s="263"/>
      <c r="D2811" s="255"/>
      <c r="E2811" s="256"/>
      <c r="F2811" s="257"/>
      <c r="G2811" s="258"/>
      <c r="H2811" s="259"/>
      <c r="I2811" s="541">
        <f t="shared" si="55"/>
        <v>93341.371428571336</v>
      </c>
      <c r="K2811" s="243"/>
    </row>
    <row r="2812" spans="2:11" ht="17" customHeight="1">
      <c r="B2812" s="253"/>
      <c r="C2812" s="263"/>
      <c r="D2812" s="255"/>
      <c r="E2812" s="256"/>
      <c r="F2812" s="257"/>
      <c r="G2812" s="258"/>
      <c r="H2812" s="259"/>
      <c r="I2812" s="541">
        <f t="shared" si="55"/>
        <v>93341.371428571336</v>
      </c>
      <c r="K2812" s="243"/>
    </row>
    <row r="2813" spans="2:11" ht="17" customHeight="1">
      <c r="B2813" s="253"/>
      <c r="C2813" s="263"/>
      <c r="D2813" s="255"/>
      <c r="E2813" s="256"/>
      <c r="F2813" s="257"/>
      <c r="G2813" s="258"/>
      <c r="H2813" s="259"/>
      <c r="I2813" s="541">
        <f t="shared" si="55"/>
        <v>93341.371428571336</v>
      </c>
      <c r="K2813" s="243"/>
    </row>
    <row r="2814" spans="2:11" ht="17" customHeight="1">
      <c r="B2814" s="253"/>
      <c r="C2814" s="263"/>
      <c r="D2814" s="255"/>
      <c r="E2814" s="256"/>
      <c r="F2814" s="257"/>
      <c r="G2814" s="258"/>
      <c r="H2814" s="259"/>
      <c r="I2814" s="541">
        <f t="shared" si="55"/>
        <v>93341.371428571336</v>
      </c>
      <c r="K2814" s="243"/>
    </row>
    <row r="2815" spans="2:11" ht="17" customHeight="1">
      <c r="B2815" s="253"/>
      <c r="C2815" s="263"/>
      <c r="D2815" s="255"/>
      <c r="E2815" s="256"/>
      <c r="F2815" s="257"/>
      <c r="G2815" s="258"/>
      <c r="H2815" s="259"/>
      <c r="I2815" s="541">
        <f t="shared" si="55"/>
        <v>93341.371428571336</v>
      </c>
      <c r="K2815" s="243"/>
    </row>
    <row r="2816" spans="2:11" ht="17" customHeight="1">
      <c r="B2816" s="253"/>
      <c r="C2816" s="263"/>
      <c r="D2816" s="255"/>
      <c r="E2816" s="256"/>
      <c r="F2816" s="257"/>
      <c r="G2816" s="258"/>
      <c r="H2816" s="259"/>
      <c r="I2816" s="541">
        <f t="shared" si="55"/>
        <v>93341.371428571336</v>
      </c>
      <c r="K2816" s="243"/>
    </row>
    <row r="2817" spans="2:11" ht="17" customHeight="1">
      <c r="B2817" s="253"/>
      <c r="C2817" s="263"/>
      <c r="D2817" s="255"/>
      <c r="E2817" s="256"/>
      <c r="F2817" s="257"/>
      <c r="G2817" s="258"/>
      <c r="H2817" s="259"/>
      <c r="I2817" s="541">
        <f t="shared" si="55"/>
        <v>93341.371428571336</v>
      </c>
      <c r="K2817" s="243"/>
    </row>
    <row r="2818" spans="2:11" ht="17" customHeight="1">
      <c r="B2818" s="253"/>
      <c r="C2818" s="263"/>
      <c r="D2818" s="255"/>
      <c r="E2818" s="256"/>
      <c r="F2818" s="257"/>
      <c r="G2818" s="258"/>
      <c r="H2818" s="259"/>
      <c r="I2818" s="541">
        <f t="shared" si="55"/>
        <v>93341.371428571336</v>
      </c>
      <c r="K2818" s="243"/>
    </row>
    <row r="2819" spans="2:11" ht="17" customHeight="1">
      <c r="B2819" s="253"/>
      <c r="C2819" s="263"/>
      <c r="D2819" s="255"/>
      <c r="E2819" s="256"/>
      <c r="F2819" s="257"/>
      <c r="G2819" s="258"/>
      <c r="H2819" s="259"/>
      <c r="I2819" s="541">
        <f t="shared" si="55"/>
        <v>93341.371428571336</v>
      </c>
      <c r="K2819" s="243"/>
    </row>
    <row r="2820" spans="2:11" ht="17" customHeight="1">
      <c r="B2820" s="253"/>
      <c r="C2820" s="263"/>
      <c r="D2820" s="255"/>
      <c r="E2820" s="256"/>
      <c r="F2820" s="257"/>
      <c r="G2820" s="258"/>
      <c r="H2820" s="259"/>
      <c r="I2820" s="541">
        <f t="shared" si="55"/>
        <v>93341.371428571336</v>
      </c>
      <c r="K2820" s="243"/>
    </row>
    <row r="2821" spans="2:11" ht="17" customHeight="1">
      <c r="B2821" s="253"/>
      <c r="C2821" s="263"/>
      <c r="D2821" s="255"/>
      <c r="E2821" s="256"/>
      <c r="F2821" s="257"/>
      <c r="G2821" s="258"/>
      <c r="H2821" s="259"/>
      <c r="I2821" s="541">
        <f t="shared" si="55"/>
        <v>93341.371428571336</v>
      </c>
      <c r="K2821" s="243"/>
    </row>
    <row r="2822" spans="2:11" ht="17" customHeight="1">
      <c r="B2822" s="253"/>
      <c r="C2822" s="263"/>
      <c r="D2822" s="255"/>
      <c r="E2822" s="256"/>
      <c r="F2822" s="257"/>
      <c r="G2822" s="258"/>
      <c r="H2822" s="259"/>
      <c r="I2822" s="541">
        <f t="shared" si="55"/>
        <v>93341.371428571336</v>
      </c>
      <c r="K2822" s="243"/>
    </row>
    <row r="2823" spans="2:11" ht="17" customHeight="1">
      <c r="B2823" s="253"/>
      <c r="C2823" s="263"/>
      <c r="D2823" s="255"/>
      <c r="E2823" s="256"/>
      <c r="F2823" s="257"/>
      <c r="G2823" s="258"/>
      <c r="H2823" s="259"/>
      <c r="I2823" s="541">
        <f t="shared" si="55"/>
        <v>93341.371428571336</v>
      </c>
      <c r="K2823" s="243"/>
    </row>
    <row r="2824" spans="2:11" ht="17" customHeight="1">
      <c r="B2824" s="253"/>
      <c r="C2824" s="263"/>
      <c r="D2824" s="255"/>
      <c r="E2824" s="256"/>
      <c r="F2824" s="257"/>
      <c r="G2824" s="258"/>
      <c r="H2824" s="259"/>
      <c r="I2824" s="541">
        <f t="shared" si="55"/>
        <v>93341.371428571336</v>
      </c>
      <c r="K2824" s="243"/>
    </row>
    <row r="2825" spans="2:11" ht="17" customHeight="1">
      <c r="B2825" s="253"/>
      <c r="C2825" s="263"/>
      <c r="D2825" s="255"/>
      <c r="E2825" s="256"/>
      <c r="F2825" s="257"/>
      <c r="G2825" s="258"/>
      <c r="H2825" s="259"/>
      <c r="I2825" s="541">
        <f t="shared" si="55"/>
        <v>93341.371428571336</v>
      </c>
      <c r="K2825" s="243"/>
    </row>
    <row r="2826" spans="2:11" ht="17" customHeight="1">
      <c r="B2826" s="253"/>
      <c r="C2826" s="263"/>
      <c r="D2826" s="255"/>
      <c r="E2826" s="256"/>
      <c r="F2826" s="257"/>
      <c r="G2826" s="258"/>
      <c r="H2826" s="259"/>
      <c r="I2826" s="541">
        <f t="shared" si="55"/>
        <v>93341.371428571336</v>
      </c>
      <c r="K2826" s="243"/>
    </row>
    <row r="2827" spans="2:11" ht="17" customHeight="1">
      <c r="B2827" s="253"/>
      <c r="C2827" s="263"/>
      <c r="D2827" s="255"/>
      <c r="E2827" s="256"/>
      <c r="F2827" s="257"/>
      <c r="G2827" s="258"/>
      <c r="H2827" s="259"/>
      <c r="I2827" s="541">
        <f t="shared" si="55"/>
        <v>93341.371428571336</v>
      </c>
      <c r="K2827" s="243"/>
    </row>
    <row r="2828" spans="2:11" ht="17" customHeight="1">
      <c r="B2828" s="253"/>
      <c r="C2828" s="263"/>
      <c r="D2828" s="255"/>
      <c r="E2828" s="256"/>
      <c r="F2828" s="257"/>
      <c r="G2828" s="258"/>
      <c r="H2828" s="259"/>
      <c r="I2828" s="541">
        <f t="shared" si="55"/>
        <v>93341.371428571336</v>
      </c>
      <c r="K2828" s="243"/>
    </row>
    <row r="2829" spans="2:11" ht="17" customHeight="1">
      <c r="B2829" s="253"/>
      <c r="C2829" s="263"/>
      <c r="D2829" s="255"/>
      <c r="E2829" s="256"/>
      <c r="F2829" s="257"/>
      <c r="G2829" s="258"/>
      <c r="H2829" s="259"/>
      <c r="I2829" s="541">
        <f t="shared" si="55"/>
        <v>93341.371428571336</v>
      </c>
      <c r="K2829" s="243"/>
    </row>
    <row r="2830" spans="2:11" ht="17" customHeight="1">
      <c r="B2830" s="253"/>
      <c r="C2830" s="263"/>
      <c r="D2830" s="255"/>
      <c r="E2830" s="256"/>
      <c r="F2830" s="257"/>
      <c r="G2830" s="258"/>
      <c r="H2830" s="259"/>
      <c r="I2830" s="541">
        <f t="shared" si="55"/>
        <v>93341.371428571336</v>
      </c>
      <c r="K2830" s="243"/>
    </row>
    <row r="2831" spans="2:11" ht="17" customHeight="1">
      <c r="B2831" s="253"/>
      <c r="C2831" s="263"/>
      <c r="D2831" s="255"/>
      <c r="E2831" s="256"/>
      <c r="F2831" s="257"/>
      <c r="G2831" s="258"/>
      <c r="H2831" s="259"/>
      <c r="I2831" s="541">
        <f t="shared" si="55"/>
        <v>93341.371428571336</v>
      </c>
      <c r="K2831" s="243"/>
    </row>
    <row r="2832" spans="2:11" ht="17" customHeight="1">
      <c r="B2832" s="253"/>
      <c r="C2832" s="263"/>
      <c r="D2832" s="255"/>
      <c r="E2832" s="256"/>
      <c r="F2832" s="257"/>
      <c r="G2832" s="258"/>
      <c r="H2832" s="259"/>
      <c r="I2832" s="541">
        <f t="shared" si="55"/>
        <v>93341.371428571336</v>
      </c>
      <c r="K2832" s="243"/>
    </row>
    <row r="2833" spans="2:11" ht="17" customHeight="1">
      <c r="B2833" s="253"/>
      <c r="C2833" s="263"/>
      <c r="D2833" s="255"/>
      <c r="E2833" s="256"/>
      <c r="F2833" s="257"/>
      <c r="G2833" s="258"/>
      <c r="H2833" s="259"/>
      <c r="I2833" s="541">
        <f t="shared" si="55"/>
        <v>93341.371428571336</v>
      </c>
      <c r="K2833" s="243"/>
    </row>
    <row r="2834" spans="2:11" ht="17" customHeight="1">
      <c r="B2834" s="253"/>
      <c r="C2834" s="263"/>
      <c r="D2834" s="255"/>
      <c r="E2834" s="256"/>
      <c r="F2834" s="257"/>
      <c r="G2834" s="258"/>
      <c r="H2834" s="259"/>
      <c r="I2834" s="541">
        <f t="shared" si="55"/>
        <v>93341.371428571336</v>
      </c>
      <c r="K2834" s="243"/>
    </row>
    <row r="2835" spans="2:11" ht="17" customHeight="1">
      <c r="B2835" s="253"/>
      <c r="C2835" s="263"/>
      <c r="D2835" s="255"/>
      <c r="E2835" s="256"/>
      <c r="F2835" s="257"/>
      <c r="G2835" s="258"/>
      <c r="H2835" s="259"/>
      <c r="I2835" s="541">
        <f t="shared" si="55"/>
        <v>93341.371428571336</v>
      </c>
      <c r="K2835" s="243"/>
    </row>
    <row r="2836" spans="2:11" ht="17" customHeight="1">
      <c r="B2836" s="253"/>
      <c r="C2836" s="263"/>
      <c r="D2836" s="255"/>
      <c r="E2836" s="256"/>
      <c r="F2836" s="257"/>
      <c r="G2836" s="258"/>
      <c r="H2836" s="259"/>
      <c r="I2836" s="541">
        <f t="shared" si="55"/>
        <v>93341.371428571336</v>
      </c>
      <c r="K2836" s="243"/>
    </row>
    <row r="2837" spans="2:11" ht="17" customHeight="1">
      <c r="B2837" s="253"/>
      <c r="C2837" s="263"/>
      <c r="D2837" s="255"/>
      <c r="E2837" s="256"/>
      <c r="F2837" s="257"/>
      <c r="G2837" s="258"/>
      <c r="H2837" s="259"/>
      <c r="I2837" s="541">
        <f t="shared" si="55"/>
        <v>93341.371428571336</v>
      </c>
      <c r="K2837" s="243"/>
    </row>
    <row r="2838" spans="2:11" ht="17" customHeight="1">
      <c r="B2838" s="253"/>
      <c r="C2838" s="263"/>
      <c r="D2838" s="255"/>
      <c r="E2838" s="256"/>
      <c r="F2838" s="257"/>
      <c r="G2838" s="258"/>
      <c r="H2838" s="259"/>
      <c r="I2838" s="541">
        <f t="shared" si="55"/>
        <v>93341.371428571336</v>
      </c>
      <c r="K2838" s="243"/>
    </row>
    <row r="2839" spans="2:11" ht="17" customHeight="1">
      <c r="B2839" s="253"/>
      <c r="C2839" s="263"/>
      <c r="D2839" s="255"/>
      <c r="E2839" s="256"/>
      <c r="F2839" s="257"/>
      <c r="G2839" s="258"/>
      <c r="H2839" s="259"/>
      <c r="I2839" s="541">
        <f t="shared" si="55"/>
        <v>93341.371428571336</v>
      </c>
      <c r="K2839" s="243"/>
    </row>
    <row r="2840" spans="2:11" ht="17" customHeight="1">
      <c r="B2840" s="253"/>
      <c r="C2840" s="263"/>
      <c r="D2840" s="255"/>
      <c r="E2840" s="256"/>
      <c r="F2840" s="257"/>
      <c r="G2840" s="258"/>
      <c r="H2840" s="259"/>
      <c r="I2840" s="541">
        <f t="shared" si="55"/>
        <v>93341.371428571336</v>
      </c>
      <c r="K2840" s="243"/>
    </row>
    <row r="2841" spans="2:11" ht="17" customHeight="1">
      <c r="B2841" s="253"/>
      <c r="C2841" s="263"/>
      <c r="D2841" s="255"/>
      <c r="E2841" s="256"/>
      <c r="F2841" s="257"/>
      <c r="G2841" s="258"/>
      <c r="H2841" s="259"/>
      <c r="I2841" s="541">
        <f t="shared" si="55"/>
        <v>93341.371428571336</v>
      </c>
      <c r="K2841" s="243"/>
    </row>
    <row r="2842" spans="2:11" ht="17" customHeight="1">
      <c r="B2842" s="253"/>
      <c r="C2842" s="263"/>
      <c r="D2842" s="255"/>
      <c r="E2842" s="256"/>
      <c r="F2842" s="257"/>
      <c r="G2842" s="258"/>
      <c r="H2842" s="259"/>
      <c r="I2842" s="541">
        <f t="shared" ref="I2842:I2905" si="56">I2841+E2843-F2843</f>
        <v>93341.371428571336</v>
      </c>
      <c r="K2842" s="243"/>
    </row>
    <row r="2843" spans="2:11" ht="17" customHeight="1">
      <c r="B2843" s="253"/>
      <c r="C2843" s="263"/>
      <c r="D2843" s="255"/>
      <c r="E2843" s="256"/>
      <c r="F2843" s="257"/>
      <c r="G2843" s="258"/>
      <c r="H2843" s="259"/>
      <c r="I2843" s="541">
        <f t="shared" si="56"/>
        <v>93341.371428571336</v>
      </c>
      <c r="K2843" s="243"/>
    </row>
    <row r="2844" spans="2:11" ht="17" customHeight="1">
      <c r="B2844" s="253"/>
      <c r="C2844" s="263"/>
      <c r="D2844" s="255"/>
      <c r="E2844" s="256"/>
      <c r="F2844" s="257"/>
      <c r="G2844" s="258"/>
      <c r="H2844" s="259"/>
      <c r="I2844" s="541">
        <f t="shared" si="56"/>
        <v>93341.371428571336</v>
      </c>
      <c r="K2844" s="243"/>
    </row>
    <row r="2845" spans="2:11" ht="17" customHeight="1">
      <c r="B2845" s="253"/>
      <c r="C2845" s="263"/>
      <c r="D2845" s="255"/>
      <c r="E2845" s="256"/>
      <c r="F2845" s="257"/>
      <c r="G2845" s="258"/>
      <c r="H2845" s="259"/>
      <c r="I2845" s="541">
        <f t="shared" si="56"/>
        <v>93341.371428571336</v>
      </c>
      <c r="K2845" s="243"/>
    </row>
    <row r="2846" spans="2:11" ht="17" customHeight="1">
      <c r="B2846" s="253"/>
      <c r="C2846" s="263"/>
      <c r="D2846" s="255"/>
      <c r="E2846" s="256"/>
      <c r="F2846" s="257"/>
      <c r="G2846" s="258"/>
      <c r="H2846" s="259"/>
      <c r="I2846" s="541">
        <f t="shared" si="56"/>
        <v>93341.371428571336</v>
      </c>
      <c r="K2846" s="243"/>
    </row>
    <row r="2847" spans="2:11" ht="17" customHeight="1">
      <c r="B2847" s="253"/>
      <c r="C2847" s="263"/>
      <c r="D2847" s="255"/>
      <c r="E2847" s="256"/>
      <c r="F2847" s="257"/>
      <c r="G2847" s="258"/>
      <c r="H2847" s="259"/>
      <c r="I2847" s="541">
        <f t="shared" si="56"/>
        <v>93341.371428571336</v>
      </c>
      <c r="K2847" s="243"/>
    </row>
    <row r="2848" spans="2:11" ht="17" customHeight="1">
      <c r="B2848" s="253"/>
      <c r="C2848" s="263"/>
      <c r="D2848" s="255"/>
      <c r="E2848" s="256"/>
      <c r="F2848" s="257"/>
      <c r="G2848" s="258"/>
      <c r="H2848" s="259"/>
      <c r="I2848" s="541">
        <f t="shared" si="56"/>
        <v>93341.371428571336</v>
      </c>
      <c r="K2848" s="243"/>
    </row>
    <row r="2849" spans="2:11" ht="17" customHeight="1">
      <c r="B2849" s="253"/>
      <c r="C2849" s="263"/>
      <c r="D2849" s="255"/>
      <c r="E2849" s="256"/>
      <c r="F2849" s="257"/>
      <c r="G2849" s="258"/>
      <c r="H2849" s="259"/>
      <c r="I2849" s="541">
        <f t="shared" si="56"/>
        <v>93341.371428571336</v>
      </c>
      <c r="K2849" s="243"/>
    </row>
    <row r="2850" spans="2:11" ht="17" customHeight="1">
      <c r="B2850" s="253"/>
      <c r="C2850" s="263"/>
      <c r="D2850" s="255"/>
      <c r="E2850" s="256"/>
      <c r="F2850" s="257"/>
      <c r="G2850" s="258"/>
      <c r="H2850" s="259"/>
      <c r="I2850" s="541">
        <f t="shared" si="56"/>
        <v>93341.371428571336</v>
      </c>
      <c r="K2850" s="243"/>
    </row>
    <row r="2851" spans="2:11" ht="17" customHeight="1">
      <c r="B2851" s="253"/>
      <c r="C2851" s="263"/>
      <c r="D2851" s="255"/>
      <c r="E2851" s="256"/>
      <c r="F2851" s="257"/>
      <c r="G2851" s="258"/>
      <c r="H2851" s="259"/>
      <c r="I2851" s="541">
        <f t="shared" si="56"/>
        <v>93341.371428571336</v>
      </c>
      <c r="K2851" s="243"/>
    </row>
    <row r="2852" spans="2:11" ht="17" customHeight="1">
      <c r="B2852" s="253"/>
      <c r="C2852" s="263"/>
      <c r="D2852" s="255"/>
      <c r="E2852" s="256"/>
      <c r="F2852" s="257"/>
      <c r="G2852" s="258"/>
      <c r="H2852" s="259"/>
      <c r="I2852" s="541">
        <f t="shared" si="56"/>
        <v>93341.371428571336</v>
      </c>
      <c r="K2852" s="243"/>
    </row>
    <row r="2853" spans="2:11" ht="17" customHeight="1">
      <c r="B2853" s="253"/>
      <c r="C2853" s="263"/>
      <c r="D2853" s="255"/>
      <c r="E2853" s="256"/>
      <c r="F2853" s="257"/>
      <c r="G2853" s="258"/>
      <c r="H2853" s="259"/>
      <c r="I2853" s="541">
        <f t="shared" si="56"/>
        <v>93341.371428571336</v>
      </c>
      <c r="K2853" s="243"/>
    </row>
    <row r="2854" spans="2:11" ht="17" customHeight="1">
      <c r="B2854" s="253"/>
      <c r="C2854" s="263"/>
      <c r="D2854" s="255"/>
      <c r="E2854" s="256"/>
      <c r="F2854" s="257"/>
      <c r="G2854" s="258"/>
      <c r="H2854" s="259"/>
      <c r="I2854" s="541">
        <f t="shared" si="56"/>
        <v>93341.371428571336</v>
      </c>
      <c r="K2854" s="243"/>
    </row>
    <row r="2855" spans="2:11" ht="17" customHeight="1">
      <c r="B2855" s="253"/>
      <c r="C2855" s="263"/>
      <c r="D2855" s="255"/>
      <c r="E2855" s="256"/>
      <c r="F2855" s="257"/>
      <c r="G2855" s="258"/>
      <c r="H2855" s="259"/>
      <c r="I2855" s="541">
        <f t="shared" si="56"/>
        <v>93341.371428571336</v>
      </c>
      <c r="K2855" s="243"/>
    </row>
    <row r="2856" spans="2:11" ht="17" customHeight="1">
      <c r="B2856" s="253"/>
      <c r="C2856" s="263"/>
      <c r="D2856" s="255"/>
      <c r="E2856" s="256"/>
      <c r="F2856" s="257"/>
      <c r="G2856" s="258"/>
      <c r="H2856" s="259"/>
      <c r="I2856" s="541">
        <f t="shared" si="56"/>
        <v>93341.371428571336</v>
      </c>
      <c r="K2856" s="243"/>
    </row>
    <row r="2857" spans="2:11" ht="17" customHeight="1">
      <c r="B2857" s="253"/>
      <c r="C2857" s="263"/>
      <c r="D2857" s="255"/>
      <c r="E2857" s="256"/>
      <c r="F2857" s="257"/>
      <c r="G2857" s="258"/>
      <c r="H2857" s="259"/>
      <c r="I2857" s="541">
        <f t="shared" si="56"/>
        <v>93341.371428571336</v>
      </c>
      <c r="K2857" s="243"/>
    </row>
    <row r="2858" spans="2:11" ht="17" customHeight="1">
      <c r="B2858" s="253"/>
      <c r="C2858" s="263"/>
      <c r="D2858" s="255"/>
      <c r="E2858" s="256"/>
      <c r="F2858" s="257"/>
      <c r="G2858" s="258"/>
      <c r="H2858" s="259"/>
      <c r="I2858" s="541">
        <f t="shared" si="56"/>
        <v>93341.371428571336</v>
      </c>
      <c r="K2858" s="243"/>
    </row>
    <row r="2859" spans="2:11" ht="17" customHeight="1">
      <c r="B2859" s="253"/>
      <c r="C2859" s="263"/>
      <c r="D2859" s="255"/>
      <c r="E2859" s="256"/>
      <c r="F2859" s="257"/>
      <c r="G2859" s="258"/>
      <c r="H2859" s="259"/>
      <c r="I2859" s="541">
        <f t="shared" si="56"/>
        <v>93341.371428571336</v>
      </c>
      <c r="K2859" s="243"/>
    </row>
    <row r="2860" spans="2:11" ht="17" customHeight="1">
      <c r="B2860" s="253"/>
      <c r="C2860" s="263"/>
      <c r="D2860" s="255"/>
      <c r="E2860" s="256"/>
      <c r="F2860" s="257"/>
      <c r="G2860" s="258"/>
      <c r="H2860" s="259"/>
      <c r="I2860" s="541">
        <f t="shared" si="56"/>
        <v>93341.371428571336</v>
      </c>
      <c r="K2860" s="243"/>
    </row>
    <row r="2861" spans="2:11" ht="17" customHeight="1">
      <c r="B2861" s="253"/>
      <c r="C2861" s="263"/>
      <c r="D2861" s="255"/>
      <c r="E2861" s="256"/>
      <c r="F2861" s="257"/>
      <c r="G2861" s="258"/>
      <c r="H2861" s="259"/>
      <c r="I2861" s="541">
        <f t="shared" si="56"/>
        <v>93341.371428571336</v>
      </c>
      <c r="K2861" s="243"/>
    </row>
    <row r="2862" spans="2:11" ht="17" customHeight="1">
      <c r="B2862" s="253"/>
      <c r="C2862" s="263"/>
      <c r="D2862" s="255"/>
      <c r="E2862" s="256"/>
      <c r="F2862" s="257"/>
      <c r="G2862" s="258"/>
      <c r="H2862" s="259"/>
      <c r="I2862" s="541">
        <f t="shared" si="56"/>
        <v>93341.371428571336</v>
      </c>
      <c r="K2862" s="243"/>
    </row>
    <row r="2863" spans="2:11" ht="17" customHeight="1">
      <c r="B2863" s="253"/>
      <c r="C2863" s="263"/>
      <c r="D2863" s="255"/>
      <c r="E2863" s="256"/>
      <c r="F2863" s="257"/>
      <c r="G2863" s="258"/>
      <c r="H2863" s="259"/>
      <c r="I2863" s="541">
        <f t="shared" si="56"/>
        <v>93341.371428571336</v>
      </c>
      <c r="K2863" s="243"/>
    </row>
    <row r="2864" spans="2:11" ht="17" customHeight="1">
      <c r="B2864" s="253"/>
      <c r="C2864" s="263"/>
      <c r="D2864" s="255"/>
      <c r="E2864" s="256"/>
      <c r="F2864" s="257"/>
      <c r="G2864" s="258"/>
      <c r="H2864" s="259"/>
      <c r="I2864" s="541">
        <f t="shared" si="56"/>
        <v>93341.371428571336</v>
      </c>
      <c r="K2864" s="243"/>
    </row>
    <row r="2865" spans="2:11" ht="17" customHeight="1">
      <c r="B2865" s="253"/>
      <c r="C2865" s="263"/>
      <c r="D2865" s="255"/>
      <c r="E2865" s="256"/>
      <c r="F2865" s="257"/>
      <c r="G2865" s="258"/>
      <c r="H2865" s="259"/>
      <c r="I2865" s="541">
        <f t="shared" si="56"/>
        <v>93341.371428571336</v>
      </c>
      <c r="K2865" s="243"/>
    </row>
    <row r="2866" spans="2:11" ht="17" customHeight="1">
      <c r="B2866" s="253"/>
      <c r="C2866" s="263"/>
      <c r="D2866" s="255"/>
      <c r="E2866" s="256"/>
      <c r="F2866" s="257"/>
      <c r="G2866" s="258"/>
      <c r="H2866" s="259"/>
      <c r="I2866" s="541">
        <f t="shared" si="56"/>
        <v>93341.371428571336</v>
      </c>
      <c r="K2866" s="243"/>
    </row>
    <row r="2867" spans="2:11" ht="17" customHeight="1">
      <c r="B2867" s="253"/>
      <c r="C2867" s="263"/>
      <c r="D2867" s="255"/>
      <c r="E2867" s="256"/>
      <c r="F2867" s="257"/>
      <c r="G2867" s="258"/>
      <c r="H2867" s="259"/>
      <c r="I2867" s="541">
        <f t="shared" si="56"/>
        <v>93341.371428571336</v>
      </c>
      <c r="K2867" s="243"/>
    </row>
    <row r="2868" spans="2:11" ht="17" customHeight="1">
      <c r="B2868" s="253"/>
      <c r="C2868" s="263"/>
      <c r="D2868" s="255"/>
      <c r="E2868" s="256"/>
      <c r="F2868" s="257"/>
      <c r="G2868" s="258"/>
      <c r="H2868" s="259"/>
      <c r="I2868" s="541">
        <f t="shared" si="56"/>
        <v>93341.371428571336</v>
      </c>
      <c r="K2868" s="243"/>
    </row>
    <row r="2869" spans="2:11" ht="17" customHeight="1">
      <c r="B2869" s="253"/>
      <c r="C2869" s="263"/>
      <c r="D2869" s="255"/>
      <c r="E2869" s="256"/>
      <c r="F2869" s="257"/>
      <c r="G2869" s="258"/>
      <c r="H2869" s="259"/>
      <c r="I2869" s="541">
        <f t="shared" si="56"/>
        <v>93341.371428571336</v>
      </c>
      <c r="K2869" s="243"/>
    </row>
    <row r="2870" spans="2:11" ht="17" customHeight="1">
      <c r="B2870" s="253"/>
      <c r="C2870" s="263"/>
      <c r="D2870" s="255"/>
      <c r="E2870" s="256"/>
      <c r="F2870" s="257"/>
      <c r="G2870" s="258"/>
      <c r="H2870" s="259"/>
      <c r="I2870" s="541">
        <f t="shared" si="56"/>
        <v>93341.371428571336</v>
      </c>
      <c r="K2870" s="243"/>
    </row>
    <row r="2871" spans="2:11" ht="17" customHeight="1">
      <c r="B2871" s="253"/>
      <c r="C2871" s="263"/>
      <c r="D2871" s="255"/>
      <c r="E2871" s="256"/>
      <c r="F2871" s="257"/>
      <c r="G2871" s="258"/>
      <c r="H2871" s="259"/>
      <c r="I2871" s="541">
        <f t="shared" si="56"/>
        <v>93341.371428571336</v>
      </c>
      <c r="K2871" s="243"/>
    </row>
    <row r="2872" spans="2:11" ht="17" customHeight="1">
      <c r="B2872" s="253"/>
      <c r="C2872" s="263"/>
      <c r="D2872" s="255"/>
      <c r="E2872" s="256"/>
      <c r="F2872" s="257"/>
      <c r="G2872" s="258"/>
      <c r="H2872" s="259"/>
      <c r="I2872" s="541">
        <f t="shared" si="56"/>
        <v>93341.371428571336</v>
      </c>
      <c r="K2872" s="243"/>
    </row>
    <row r="2873" spans="2:11" ht="17" customHeight="1">
      <c r="B2873" s="253"/>
      <c r="C2873" s="263"/>
      <c r="D2873" s="255"/>
      <c r="E2873" s="256"/>
      <c r="F2873" s="257"/>
      <c r="G2873" s="258"/>
      <c r="H2873" s="259"/>
      <c r="I2873" s="541">
        <f t="shared" si="56"/>
        <v>93341.371428571336</v>
      </c>
      <c r="K2873" s="243"/>
    </row>
    <row r="2874" spans="2:11" ht="17" customHeight="1">
      <c r="B2874" s="253"/>
      <c r="C2874" s="263"/>
      <c r="D2874" s="255"/>
      <c r="E2874" s="256"/>
      <c r="F2874" s="257"/>
      <c r="G2874" s="258"/>
      <c r="H2874" s="259"/>
      <c r="I2874" s="541">
        <f t="shared" si="56"/>
        <v>93341.371428571336</v>
      </c>
      <c r="K2874" s="243"/>
    </row>
    <row r="2875" spans="2:11" ht="17" customHeight="1">
      <c r="B2875" s="253"/>
      <c r="C2875" s="263"/>
      <c r="D2875" s="255"/>
      <c r="E2875" s="256"/>
      <c r="F2875" s="257"/>
      <c r="G2875" s="258"/>
      <c r="H2875" s="259"/>
      <c r="I2875" s="541">
        <f t="shared" si="56"/>
        <v>93341.371428571336</v>
      </c>
      <c r="K2875" s="243"/>
    </row>
    <row r="2876" spans="2:11" ht="17" customHeight="1">
      <c r="B2876" s="253"/>
      <c r="C2876" s="263"/>
      <c r="D2876" s="255"/>
      <c r="E2876" s="256"/>
      <c r="F2876" s="257"/>
      <c r="G2876" s="258"/>
      <c r="H2876" s="259"/>
      <c r="I2876" s="541">
        <f t="shared" si="56"/>
        <v>93341.371428571336</v>
      </c>
      <c r="K2876" s="243"/>
    </row>
    <row r="2877" spans="2:11" ht="17" customHeight="1">
      <c r="B2877" s="253"/>
      <c r="C2877" s="263"/>
      <c r="D2877" s="255"/>
      <c r="E2877" s="256"/>
      <c r="F2877" s="257"/>
      <c r="G2877" s="258"/>
      <c r="H2877" s="259"/>
      <c r="I2877" s="541">
        <f t="shared" si="56"/>
        <v>93341.371428571336</v>
      </c>
      <c r="K2877" s="243"/>
    </row>
    <row r="2878" spans="2:11" ht="17" customHeight="1">
      <c r="B2878" s="253"/>
      <c r="C2878" s="263"/>
      <c r="D2878" s="255"/>
      <c r="E2878" s="256"/>
      <c r="F2878" s="257"/>
      <c r="G2878" s="258"/>
      <c r="H2878" s="259"/>
      <c r="I2878" s="541">
        <f t="shared" si="56"/>
        <v>93341.371428571336</v>
      </c>
      <c r="K2878" s="243"/>
    </row>
    <row r="2879" spans="2:11" ht="17" customHeight="1">
      <c r="B2879" s="253"/>
      <c r="C2879" s="263"/>
      <c r="D2879" s="255"/>
      <c r="E2879" s="256"/>
      <c r="F2879" s="257"/>
      <c r="G2879" s="258"/>
      <c r="H2879" s="259"/>
      <c r="I2879" s="541">
        <f t="shared" si="56"/>
        <v>93341.371428571336</v>
      </c>
    </row>
    <row r="2880" spans="2:11" ht="17" customHeight="1">
      <c r="B2880" s="253"/>
      <c r="C2880" s="263"/>
      <c r="D2880" s="261"/>
      <c r="E2880" s="256"/>
      <c r="F2880" s="257"/>
      <c r="G2880" s="258"/>
      <c r="H2880" s="259"/>
      <c r="I2880" s="541">
        <f t="shared" si="56"/>
        <v>93341.371428571336</v>
      </c>
    </row>
    <row r="2881" spans="2:9" ht="17" customHeight="1">
      <c r="B2881" s="253"/>
      <c r="C2881" s="263"/>
      <c r="D2881" s="261"/>
      <c r="E2881" s="256"/>
      <c r="F2881" s="257"/>
      <c r="G2881" s="258"/>
      <c r="H2881" s="259"/>
      <c r="I2881" s="541">
        <f t="shared" si="56"/>
        <v>93341.371428571336</v>
      </c>
    </row>
    <row r="2882" spans="2:9" ht="17" customHeight="1">
      <c r="B2882" s="253"/>
      <c r="C2882" s="263"/>
      <c r="D2882" s="261"/>
      <c r="E2882" s="256"/>
      <c r="F2882" s="257"/>
      <c r="G2882" s="258"/>
      <c r="H2882" s="259"/>
      <c r="I2882" s="541">
        <f t="shared" si="56"/>
        <v>93341.371428571336</v>
      </c>
    </row>
    <row r="2883" spans="2:9" ht="17" customHeight="1">
      <c r="B2883" s="253"/>
      <c r="C2883" s="263"/>
      <c r="D2883" s="261"/>
      <c r="E2883" s="256"/>
      <c r="F2883" s="257"/>
      <c r="G2883" s="258"/>
      <c r="H2883" s="259"/>
      <c r="I2883" s="541">
        <f t="shared" si="56"/>
        <v>93341.371428571336</v>
      </c>
    </row>
    <row r="2884" spans="2:9" ht="17" customHeight="1">
      <c r="B2884" s="253"/>
      <c r="C2884" s="263"/>
      <c r="D2884" s="261"/>
      <c r="E2884" s="256"/>
      <c r="F2884" s="257"/>
      <c r="G2884" s="258"/>
      <c r="H2884" s="259"/>
      <c r="I2884" s="541">
        <f t="shared" si="56"/>
        <v>93341.371428571336</v>
      </c>
    </row>
    <row r="2885" spans="2:9" ht="17" customHeight="1">
      <c r="B2885" s="253"/>
      <c r="C2885" s="263"/>
      <c r="D2885" s="261"/>
      <c r="E2885" s="256"/>
      <c r="F2885" s="257"/>
      <c r="G2885" s="258"/>
      <c r="H2885" s="259"/>
      <c r="I2885" s="541">
        <f t="shared" si="56"/>
        <v>93341.371428571336</v>
      </c>
    </row>
    <row r="2886" spans="2:9" ht="17" customHeight="1">
      <c r="B2886" s="253"/>
      <c r="C2886" s="263"/>
      <c r="D2886" s="261"/>
      <c r="E2886" s="256"/>
      <c r="F2886" s="257"/>
      <c r="G2886" s="258"/>
      <c r="H2886" s="259"/>
      <c r="I2886" s="541">
        <f t="shared" si="56"/>
        <v>93341.371428571336</v>
      </c>
    </row>
    <row r="2887" spans="2:9" ht="17" customHeight="1">
      <c r="B2887" s="253"/>
      <c r="C2887" s="263"/>
      <c r="D2887" s="261"/>
      <c r="E2887" s="256"/>
      <c r="F2887" s="257"/>
      <c r="G2887" s="258"/>
      <c r="H2887" s="259"/>
      <c r="I2887" s="541">
        <f t="shared" si="56"/>
        <v>93341.371428571336</v>
      </c>
    </row>
    <row r="2888" spans="2:9" ht="17" customHeight="1">
      <c r="B2888" s="253"/>
      <c r="C2888" s="263"/>
      <c r="D2888" s="261"/>
      <c r="E2888" s="256"/>
      <c r="F2888" s="257"/>
      <c r="G2888" s="258"/>
      <c r="H2888" s="259"/>
      <c r="I2888" s="541">
        <f t="shared" si="56"/>
        <v>93341.371428571336</v>
      </c>
    </row>
    <row r="2889" spans="2:9" ht="17" customHeight="1">
      <c r="B2889" s="253"/>
      <c r="C2889" s="263"/>
      <c r="D2889" s="261"/>
      <c r="E2889" s="256"/>
      <c r="F2889" s="257"/>
      <c r="G2889" s="258"/>
      <c r="H2889" s="259"/>
      <c r="I2889" s="541">
        <f t="shared" si="56"/>
        <v>93341.371428571336</v>
      </c>
    </row>
    <row r="2890" spans="2:9" ht="17" customHeight="1">
      <c r="B2890" s="253"/>
      <c r="C2890" s="263"/>
      <c r="D2890" s="261"/>
      <c r="E2890" s="256"/>
      <c r="F2890" s="257"/>
      <c r="G2890" s="258"/>
      <c r="H2890" s="259"/>
      <c r="I2890" s="541">
        <f t="shared" si="56"/>
        <v>93341.371428571336</v>
      </c>
    </row>
    <row r="2891" spans="2:9" ht="17" customHeight="1">
      <c r="B2891" s="253"/>
      <c r="C2891" s="263"/>
      <c r="D2891" s="261"/>
      <c r="E2891" s="256"/>
      <c r="F2891" s="257"/>
      <c r="G2891" s="258"/>
      <c r="H2891" s="259"/>
      <c r="I2891" s="541">
        <f t="shared" si="56"/>
        <v>93341.371428571336</v>
      </c>
    </row>
    <row r="2892" spans="2:9" ht="17" customHeight="1">
      <c r="B2892" s="253"/>
      <c r="C2892" s="263"/>
      <c r="D2892" s="261"/>
      <c r="E2892" s="256"/>
      <c r="F2892" s="257"/>
      <c r="G2892" s="258"/>
      <c r="H2892" s="259"/>
      <c r="I2892" s="541">
        <f t="shared" si="56"/>
        <v>93341.371428571336</v>
      </c>
    </row>
    <row r="2893" spans="2:9" ht="17" customHeight="1">
      <c r="B2893" s="253"/>
      <c r="C2893" s="263"/>
      <c r="D2893" s="261"/>
      <c r="E2893" s="256"/>
      <c r="F2893" s="257"/>
      <c r="G2893" s="258"/>
      <c r="H2893" s="259"/>
      <c r="I2893" s="541">
        <f t="shared" si="56"/>
        <v>93341.371428571336</v>
      </c>
    </row>
    <row r="2894" spans="2:9" ht="17" customHeight="1">
      <c r="B2894" s="253"/>
      <c r="C2894" s="263"/>
      <c r="D2894" s="261"/>
      <c r="E2894" s="256"/>
      <c r="F2894" s="257"/>
      <c r="G2894" s="258"/>
      <c r="H2894" s="259"/>
      <c r="I2894" s="541">
        <f t="shared" si="56"/>
        <v>93341.371428571336</v>
      </c>
    </row>
    <row r="2895" spans="2:9" ht="17" customHeight="1">
      <c r="B2895" s="253"/>
      <c r="C2895" s="263"/>
      <c r="D2895" s="261"/>
      <c r="E2895" s="256"/>
      <c r="F2895" s="257"/>
      <c r="G2895" s="258"/>
      <c r="H2895" s="259"/>
      <c r="I2895" s="541">
        <f t="shared" si="56"/>
        <v>93341.371428571336</v>
      </c>
    </row>
    <row r="2896" spans="2:9" ht="17" customHeight="1">
      <c r="B2896" s="253"/>
      <c r="C2896" s="263"/>
      <c r="D2896" s="261"/>
      <c r="E2896" s="256"/>
      <c r="F2896" s="257"/>
      <c r="G2896" s="258"/>
      <c r="H2896" s="259"/>
      <c r="I2896" s="541">
        <f t="shared" si="56"/>
        <v>93341.371428571336</v>
      </c>
    </row>
    <row r="2897" spans="2:9" ht="17" customHeight="1">
      <c r="B2897" s="253"/>
      <c r="C2897" s="263"/>
      <c r="D2897" s="261"/>
      <c r="E2897" s="256"/>
      <c r="F2897" s="257"/>
      <c r="G2897" s="258"/>
      <c r="H2897" s="259"/>
      <c r="I2897" s="541">
        <f t="shared" si="56"/>
        <v>93341.371428571336</v>
      </c>
    </row>
    <row r="2898" spans="2:9" ht="17" customHeight="1">
      <c r="B2898" s="253"/>
      <c r="C2898" s="263"/>
      <c r="D2898" s="261"/>
      <c r="E2898" s="256"/>
      <c r="F2898" s="257"/>
      <c r="G2898" s="258"/>
      <c r="H2898" s="259"/>
      <c r="I2898" s="541">
        <f t="shared" si="56"/>
        <v>93341.371428571336</v>
      </c>
    </row>
    <row r="2899" spans="2:9" ht="17" customHeight="1">
      <c r="B2899" s="253"/>
      <c r="C2899" s="263"/>
      <c r="D2899" s="261"/>
      <c r="E2899" s="256"/>
      <c r="F2899" s="257"/>
      <c r="G2899" s="258"/>
      <c r="H2899" s="259"/>
      <c r="I2899" s="541">
        <f t="shared" si="56"/>
        <v>93341.371428571336</v>
      </c>
    </row>
    <row r="2900" spans="2:9" ht="17" customHeight="1">
      <c r="B2900" s="253"/>
      <c r="C2900" s="263"/>
      <c r="D2900" s="261"/>
      <c r="E2900" s="256"/>
      <c r="F2900" s="257"/>
      <c r="G2900" s="258"/>
      <c r="H2900" s="259"/>
      <c r="I2900" s="541">
        <f t="shared" si="56"/>
        <v>93341.371428571336</v>
      </c>
    </row>
    <row r="2901" spans="2:9" ht="17" customHeight="1">
      <c r="B2901" s="253"/>
      <c r="C2901" s="263"/>
      <c r="D2901" s="261"/>
      <c r="E2901" s="256"/>
      <c r="F2901" s="257"/>
      <c r="G2901" s="258"/>
      <c r="H2901" s="259"/>
      <c r="I2901" s="541">
        <f t="shared" si="56"/>
        <v>93341.371428571336</v>
      </c>
    </row>
    <row r="2902" spans="2:9" ht="17" customHeight="1">
      <c r="B2902" s="253"/>
      <c r="C2902" s="263"/>
      <c r="D2902" s="261"/>
      <c r="E2902" s="256"/>
      <c r="F2902" s="257"/>
      <c r="G2902" s="258"/>
      <c r="H2902" s="259"/>
      <c r="I2902" s="541">
        <f t="shared" si="56"/>
        <v>93341.371428571336</v>
      </c>
    </row>
    <row r="2903" spans="2:9" ht="17" customHeight="1">
      <c r="B2903" s="253"/>
      <c r="C2903" s="263"/>
      <c r="D2903" s="261"/>
      <c r="E2903" s="256"/>
      <c r="F2903" s="257"/>
      <c r="G2903" s="258"/>
      <c r="H2903" s="259"/>
      <c r="I2903" s="541">
        <f t="shared" si="56"/>
        <v>93341.371428571336</v>
      </c>
    </row>
    <row r="2904" spans="2:9" ht="17" customHeight="1">
      <c r="B2904" s="253"/>
      <c r="C2904" s="263"/>
      <c r="D2904" s="261"/>
      <c r="E2904" s="256"/>
      <c r="F2904" s="257"/>
      <c r="G2904" s="258"/>
      <c r="H2904" s="259"/>
      <c r="I2904" s="541">
        <f t="shared" si="56"/>
        <v>93341.371428571336</v>
      </c>
    </row>
    <row r="2905" spans="2:9" ht="17" customHeight="1">
      <c r="B2905" s="253"/>
      <c r="C2905" s="263"/>
      <c r="D2905" s="261"/>
      <c r="E2905" s="256"/>
      <c r="F2905" s="257"/>
      <c r="G2905" s="258"/>
      <c r="H2905" s="259"/>
      <c r="I2905" s="541">
        <f t="shared" si="56"/>
        <v>93341.371428571336</v>
      </c>
    </row>
    <row r="2906" spans="2:9" ht="17" customHeight="1">
      <c r="B2906" s="253"/>
      <c r="C2906" s="263"/>
      <c r="D2906" s="261"/>
      <c r="E2906" s="256"/>
      <c r="F2906" s="257"/>
      <c r="G2906" s="258"/>
      <c r="H2906" s="259"/>
      <c r="I2906" s="541">
        <f t="shared" ref="I2906:I2969" si="57">I2905+E2907-F2907</f>
        <v>93341.371428571336</v>
      </c>
    </row>
    <row r="2907" spans="2:9" ht="17" customHeight="1">
      <c r="B2907" s="253"/>
      <c r="C2907" s="263"/>
      <c r="D2907" s="261"/>
      <c r="E2907" s="256"/>
      <c r="F2907" s="257"/>
      <c r="G2907" s="258"/>
      <c r="H2907" s="259"/>
      <c r="I2907" s="541">
        <f t="shared" si="57"/>
        <v>93341.371428571336</v>
      </c>
    </row>
    <row r="2908" spans="2:9" ht="17" customHeight="1">
      <c r="B2908" s="253"/>
      <c r="C2908" s="263"/>
      <c r="D2908" s="261"/>
      <c r="E2908" s="256"/>
      <c r="F2908" s="257"/>
      <c r="G2908" s="258"/>
      <c r="H2908" s="259"/>
      <c r="I2908" s="541">
        <f t="shared" si="57"/>
        <v>93341.371428571336</v>
      </c>
    </row>
    <row r="2909" spans="2:9" ht="17" customHeight="1">
      <c r="B2909" s="253"/>
      <c r="C2909" s="263"/>
      <c r="D2909" s="261"/>
      <c r="E2909" s="256"/>
      <c r="F2909" s="257"/>
      <c r="G2909" s="258"/>
      <c r="H2909" s="259"/>
      <c r="I2909" s="541">
        <f t="shared" si="57"/>
        <v>93341.371428571336</v>
      </c>
    </row>
    <row r="2910" spans="2:9" ht="17" customHeight="1">
      <c r="B2910" s="253"/>
      <c r="C2910" s="263"/>
      <c r="D2910" s="261"/>
      <c r="E2910" s="256"/>
      <c r="F2910" s="257"/>
      <c r="G2910" s="258"/>
      <c r="H2910" s="259"/>
      <c r="I2910" s="541">
        <f t="shared" si="57"/>
        <v>93341.371428571336</v>
      </c>
    </row>
    <row r="2911" spans="2:9" ht="17" customHeight="1">
      <c r="B2911" s="253"/>
      <c r="C2911" s="263"/>
      <c r="D2911" s="261"/>
      <c r="E2911" s="256"/>
      <c r="F2911" s="257"/>
      <c r="G2911" s="258"/>
      <c r="H2911" s="259"/>
      <c r="I2911" s="541">
        <f t="shared" si="57"/>
        <v>93341.371428571336</v>
      </c>
    </row>
    <row r="2912" spans="2:9" ht="17" customHeight="1">
      <c r="B2912" s="253"/>
      <c r="C2912" s="263"/>
      <c r="D2912" s="261"/>
      <c r="E2912" s="256"/>
      <c r="F2912" s="257"/>
      <c r="G2912" s="258"/>
      <c r="H2912" s="259"/>
      <c r="I2912" s="541">
        <f t="shared" si="57"/>
        <v>93341.371428571336</v>
      </c>
    </row>
    <row r="2913" spans="2:9" ht="17" customHeight="1">
      <c r="B2913" s="253"/>
      <c r="C2913" s="263"/>
      <c r="D2913" s="261"/>
      <c r="E2913" s="256"/>
      <c r="F2913" s="257"/>
      <c r="G2913" s="258"/>
      <c r="H2913" s="259"/>
      <c r="I2913" s="541">
        <f t="shared" si="57"/>
        <v>93341.371428571336</v>
      </c>
    </row>
    <row r="2914" spans="2:9" ht="17" customHeight="1">
      <c r="B2914" s="253"/>
      <c r="C2914" s="263"/>
      <c r="D2914" s="261"/>
      <c r="E2914" s="256"/>
      <c r="F2914" s="257"/>
      <c r="G2914" s="258"/>
      <c r="H2914" s="259"/>
      <c r="I2914" s="541">
        <f t="shared" si="57"/>
        <v>93341.371428571336</v>
      </c>
    </row>
    <row r="2915" spans="2:9" ht="17" customHeight="1">
      <c r="B2915" s="253"/>
      <c r="C2915" s="263"/>
      <c r="D2915" s="261"/>
      <c r="E2915" s="256"/>
      <c r="F2915" s="257"/>
      <c r="G2915" s="258"/>
      <c r="H2915" s="259"/>
      <c r="I2915" s="541">
        <f t="shared" si="57"/>
        <v>93341.371428571336</v>
      </c>
    </row>
    <row r="2916" spans="2:9" ht="17" customHeight="1">
      <c r="B2916" s="253"/>
      <c r="C2916" s="263"/>
      <c r="D2916" s="261"/>
      <c r="E2916" s="256"/>
      <c r="F2916" s="257"/>
      <c r="G2916" s="258"/>
      <c r="H2916" s="259"/>
      <c r="I2916" s="541">
        <f t="shared" si="57"/>
        <v>93341.371428571336</v>
      </c>
    </row>
    <row r="2917" spans="2:9" ht="17" customHeight="1">
      <c r="B2917" s="253"/>
      <c r="C2917" s="263"/>
      <c r="D2917" s="261"/>
      <c r="E2917" s="256"/>
      <c r="F2917" s="257"/>
      <c r="G2917" s="258"/>
      <c r="H2917" s="259"/>
      <c r="I2917" s="541">
        <f t="shared" si="57"/>
        <v>93341.371428571336</v>
      </c>
    </row>
    <row r="2918" spans="2:9" ht="17" customHeight="1">
      <c r="B2918" s="253"/>
      <c r="C2918" s="263"/>
      <c r="D2918" s="261"/>
      <c r="E2918" s="256"/>
      <c r="F2918" s="257"/>
      <c r="G2918" s="258"/>
      <c r="H2918" s="259"/>
      <c r="I2918" s="541">
        <f t="shared" si="57"/>
        <v>93341.371428571336</v>
      </c>
    </row>
    <row r="2919" spans="2:9" ht="17" customHeight="1">
      <c r="B2919" s="253"/>
      <c r="C2919" s="263"/>
      <c r="D2919" s="261"/>
      <c r="E2919" s="256"/>
      <c r="F2919" s="257"/>
      <c r="G2919" s="258"/>
      <c r="H2919" s="259"/>
      <c r="I2919" s="541">
        <f t="shared" si="57"/>
        <v>93341.371428571336</v>
      </c>
    </row>
    <row r="2920" spans="2:9" ht="17" customHeight="1">
      <c r="B2920" s="253"/>
      <c r="C2920" s="263"/>
      <c r="D2920" s="261"/>
      <c r="E2920" s="256"/>
      <c r="F2920" s="257"/>
      <c r="G2920" s="258"/>
      <c r="H2920" s="259"/>
      <c r="I2920" s="541">
        <f t="shared" si="57"/>
        <v>93341.371428571336</v>
      </c>
    </row>
    <row r="2921" spans="2:9" ht="17" customHeight="1">
      <c r="B2921" s="253"/>
      <c r="C2921" s="263"/>
      <c r="D2921" s="261"/>
      <c r="E2921" s="256"/>
      <c r="F2921" s="257"/>
      <c r="G2921" s="258"/>
      <c r="H2921" s="259"/>
      <c r="I2921" s="541">
        <f t="shared" si="57"/>
        <v>93341.371428571336</v>
      </c>
    </row>
    <row r="2922" spans="2:9" ht="17" customHeight="1">
      <c r="B2922" s="253"/>
      <c r="C2922" s="263"/>
      <c r="D2922" s="261"/>
      <c r="E2922" s="256"/>
      <c r="F2922" s="257"/>
      <c r="G2922" s="258"/>
      <c r="H2922" s="259"/>
      <c r="I2922" s="541">
        <f t="shared" si="57"/>
        <v>93341.371428571336</v>
      </c>
    </row>
    <row r="2923" spans="2:9" ht="17" customHeight="1">
      <c r="B2923" s="253"/>
      <c r="C2923" s="263"/>
      <c r="D2923" s="261"/>
      <c r="E2923" s="256"/>
      <c r="F2923" s="257"/>
      <c r="G2923" s="258"/>
      <c r="H2923" s="259"/>
      <c r="I2923" s="541">
        <f t="shared" si="57"/>
        <v>93341.371428571336</v>
      </c>
    </row>
    <row r="2924" spans="2:9" ht="17" customHeight="1">
      <c r="B2924" s="253"/>
      <c r="C2924" s="263"/>
      <c r="D2924" s="261"/>
      <c r="E2924" s="256"/>
      <c r="F2924" s="257"/>
      <c r="G2924" s="258"/>
      <c r="H2924" s="259"/>
      <c r="I2924" s="541">
        <f t="shared" si="57"/>
        <v>93341.371428571336</v>
      </c>
    </row>
    <row r="2925" spans="2:9" ht="17" customHeight="1">
      <c r="B2925" s="253"/>
      <c r="C2925" s="263"/>
      <c r="D2925" s="261"/>
      <c r="E2925" s="256"/>
      <c r="F2925" s="257"/>
      <c r="G2925" s="258"/>
      <c r="H2925" s="259"/>
      <c r="I2925" s="541">
        <f t="shared" si="57"/>
        <v>93341.371428571336</v>
      </c>
    </row>
    <row r="2926" spans="2:9" ht="17" customHeight="1">
      <c r="B2926" s="253"/>
      <c r="C2926" s="263"/>
      <c r="D2926" s="261"/>
      <c r="E2926" s="256"/>
      <c r="F2926" s="257"/>
      <c r="G2926" s="258"/>
      <c r="H2926" s="259"/>
      <c r="I2926" s="541">
        <f t="shared" si="57"/>
        <v>93341.371428571336</v>
      </c>
    </row>
    <row r="2927" spans="2:9" ht="17" customHeight="1">
      <c r="B2927" s="253"/>
      <c r="C2927" s="263"/>
      <c r="D2927" s="261"/>
      <c r="E2927" s="256"/>
      <c r="F2927" s="257"/>
      <c r="G2927" s="258"/>
      <c r="H2927" s="259"/>
      <c r="I2927" s="541">
        <f t="shared" si="57"/>
        <v>93341.371428571336</v>
      </c>
    </row>
    <row r="2928" spans="2:9" ht="17" customHeight="1">
      <c r="B2928" s="253"/>
      <c r="C2928" s="263"/>
      <c r="D2928" s="261"/>
      <c r="E2928" s="256"/>
      <c r="F2928" s="257"/>
      <c r="G2928" s="258"/>
      <c r="H2928" s="259"/>
      <c r="I2928" s="541">
        <f t="shared" si="57"/>
        <v>93341.371428571336</v>
      </c>
    </row>
    <row r="2929" spans="2:9" ht="17" customHeight="1">
      <c r="B2929" s="253"/>
      <c r="C2929" s="263"/>
      <c r="D2929" s="261"/>
      <c r="E2929" s="256"/>
      <c r="F2929" s="257"/>
      <c r="G2929" s="258"/>
      <c r="H2929" s="259"/>
      <c r="I2929" s="541">
        <f t="shared" si="57"/>
        <v>93341.371428571336</v>
      </c>
    </row>
    <row r="2930" spans="2:9" ht="17" customHeight="1">
      <c r="B2930" s="253"/>
      <c r="C2930" s="263"/>
      <c r="D2930" s="261"/>
      <c r="E2930" s="256"/>
      <c r="F2930" s="257"/>
      <c r="G2930" s="258"/>
      <c r="H2930" s="259"/>
      <c r="I2930" s="541">
        <f t="shared" si="57"/>
        <v>93341.371428571336</v>
      </c>
    </row>
    <row r="2931" spans="2:9" ht="17" customHeight="1">
      <c r="B2931" s="253"/>
      <c r="C2931" s="263"/>
      <c r="D2931" s="261"/>
      <c r="E2931" s="256"/>
      <c r="F2931" s="257"/>
      <c r="G2931" s="258"/>
      <c r="H2931" s="259"/>
      <c r="I2931" s="541">
        <f t="shared" si="57"/>
        <v>93341.371428571336</v>
      </c>
    </row>
    <row r="2932" spans="2:9" ht="17" customHeight="1">
      <c r="B2932" s="253"/>
      <c r="C2932" s="263"/>
      <c r="D2932" s="261"/>
      <c r="E2932" s="256"/>
      <c r="F2932" s="257"/>
      <c r="G2932" s="258"/>
      <c r="H2932" s="259"/>
      <c r="I2932" s="541">
        <f t="shared" si="57"/>
        <v>93341.371428571336</v>
      </c>
    </row>
    <row r="2933" spans="2:9" ht="17" customHeight="1">
      <c r="B2933" s="253"/>
      <c r="C2933" s="263"/>
      <c r="D2933" s="261"/>
      <c r="E2933" s="256"/>
      <c r="F2933" s="257"/>
      <c r="G2933" s="258"/>
      <c r="H2933" s="259"/>
      <c r="I2933" s="541">
        <f t="shared" si="57"/>
        <v>93341.371428571336</v>
      </c>
    </row>
    <row r="2934" spans="2:9" ht="17" customHeight="1">
      <c r="B2934" s="253"/>
      <c r="C2934" s="263"/>
      <c r="D2934" s="261"/>
      <c r="E2934" s="256"/>
      <c r="F2934" s="257"/>
      <c r="G2934" s="258"/>
      <c r="H2934" s="259"/>
      <c r="I2934" s="541">
        <f t="shared" si="57"/>
        <v>93341.371428571336</v>
      </c>
    </row>
    <row r="2935" spans="2:9" ht="17" customHeight="1">
      <c r="B2935" s="253"/>
      <c r="C2935" s="263"/>
      <c r="D2935" s="261"/>
      <c r="E2935" s="256"/>
      <c r="F2935" s="257"/>
      <c r="G2935" s="258"/>
      <c r="H2935" s="259"/>
      <c r="I2935" s="541">
        <f t="shared" si="57"/>
        <v>93341.371428571336</v>
      </c>
    </row>
    <row r="2936" spans="2:9" ht="17" customHeight="1">
      <c r="B2936" s="253"/>
      <c r="C2936" s="263"/>
      <c r="D2936" s="261"/>
      <c r="E2936" s="256"/>
      <c r="F2936" s="257"/>
      <c r="G2936" s="258"/>
      <c r="H2936" s="259"/>
      <c r="I2936" s="541">
        <f t="shared" si="57"/>
        <v>93341.371428571336</v>
      </c>
    </row>
    <row r="2937" spans="2:9" ht="17" customHeight="1">
      <c r="B2937" s="253"/>
      <c r="C2937" s="263"/>
      <c r="D2937" s="261"/>
      <c r="E2937" s="256"/>
      <c r="F2937" s="257"/>
      <c r="G2937" s="258"/>
      <c r="H2937" s="259"/>
      <c r="I2937" s="541">
        <f t="shared" si="57"/>
        <v>93341.371428571336</v>
      </c>
    </row>
    <row r="2938" spans="2:9" ht="17" customHeight="1">
      <c r="B2938" s="253"/>
      <c r="C2938" s="263"/>
      <c r="D2938" s="261"/>
      <c r="E2938" s="256"/>
      <c r="F2938" s="257"/>
      <c r="G2938" s="258"/>
      <c r="H2938" s="259"/>
      <c r="I2938" s="541">
        <f t="shared" si="57"/>
        <v>93341.371428571336</v>
      </c>
    </row>
    <row r="2939" spans="2:9" ht="17" customHeight="1">
      <c r="B2939" s="253"/>
      <c r="C2939" s="263"/>
      <c r="D2939" s="261"/>
      <c r="E2939" s="256"/>
      <c r="F2939" s="257"/>
      <c r="G2939" s="258"/>
      <c r="H2939" s="259"/>
      <c r="I2939" s="541">
        <f t="shared" si="57"/>
        <v>93341.371428571336</v>
      </c>
    </row>
    <row r="2940" spans="2:9" ht="17" customHeight="1">
      <c r="B2940" s="253"/>
      <c r="C2940" s="263"/>
      <c r="D2940" s="261"/>
      <c r="E2940" s="256"/>
      <c r="F2940" s="257"/>
      <c r="G2940" s="258"/>
      <c r="H2940" s="259"/>
      <c r="I2940" s="541">
        <f t="shared" si="57"/>
        <v>93341.371428571336</v>
      </c>
    </row>
    <row r="2941" spans="2:9" ht="17" customHeight="1">
      <c r="B2941" s="253"/>
      <c r="C2941" s="263"/>
      <c r="D2941" s="261"/>
      <c r="E2941" s="256"/>
      <c r="F2941" s="257"/>
      <c r="G2941" s="258"/>
      <c r="H2941" s="259"/>
      <c r="I2941" s="541">
        <f t="shared" si="57"/>
        <v>93341.371428571336</v>
      </c>
    </row>
    <row r="2942" spans="2:9" ht="17" customHeight="1">
      <c r="B2942" s="253"/>
      <c r="C2942" s="263"/>
      <c r="D2942" s="261"/>
      <c r="E2942" s="256"/>
      <c r="F2942" s="257"/>
      <c r="G2942" s="258"/>
      <c r="H2942" s="259"/>
      <c r="I2942" s="541">
        <f t="shared" si="57"/>
        <v>93341.371428571336</v>
      </c>
    </row>
    <row r="2943" spans="2:9" ht="17" customHeight="1">
      <c r="B2943" s="253"/>
      <c r="C2943" s="263"/>
      <c r="D2943" s="261"/>
      <c r="E2943" s="256"/>
      <c r="F2943" s="257"/>
      <c r="G2943" s="258"/>
      <c r="H2943" s="259"/>
      <c r="I2943" s="541">
        <f t="shared" si="57"/>
        <v>93341.371428571336</v>
      </c>
    </row>
    <row r="2944" spans="2:9" ht="17" customHeight="1">
      <c r="B2944" s="253"/>
      <c r="C2944" s="263"/>
      <c r="D2944" s="261"/>
      <c r="E2944" s="256"/>
      <c r="F2944" s="257"/>
      <c r="G2944" s="258"/>
      <c r="H2944" s="259"/>
      <c r="I2944" s="541">
        <f t="shared" si="57"/>
        <v>93341.371428571336</v>
      </c>
    </row>
    <row r="2945" spans="2:9" ht="17" customHeight="1">
      <c r="B2945" s="253"/>
      <c r="C2945" s="263"/>
      <c r="D2945" s="261"/>
      <c r="E2945" s="256"/>
      <c r="F2945" s="257"/>
      <c r="G2945" s="258"/>
      <c r="H2945" s="259"/>
      <c r="I2945" s="541">
        <f t="shared" si="57"/>
        <v>93341.371428571336</v>
      </c>
    </row>
    <row r="2946" spans="2:9" ht="17" customHeight="1">
      <c r="B2946" s="253"/>
      <c r="C2946" s="263"/>
      <c r="D2946" s="261"/>
      <c r="E2946" s="256"/>
      <c r="F2946" s="257"/>
      <c r="G2946" s="258"/>
      <c r="H2946" s="259"/>
      <c r="I2946" s="541">
        <f t="shared" si="57"/>
        <v>93341.371428571336</v>
      </c>
    </row>
    <row r="2947" spans="2:9" ht="17" customHeight="1">
      <c r="B2947" s="253"/>
      <c r="C2947" s="263"/>
      <c r="D2947" s="261"/>
      <c r="E2947" s="256"/>
      <c r="F2947" s="257"/>
      <c r="G2947" s="258"/>
      <c r="H2947" s="259"/>
      <c r="I2947" s="541">
        <f t="shared" si="57"/>
        <v>93341.371428571336</v>
      </c>
    </row>
    <row r="2948" spans="2:9" ht="17" customHeight="1">
      <c r="B2948" s="253"/>
      <c r="C2948" s="263"/>
      <c r="D2948" s="261"/>
      <c r="E2948" s="256"/>
      <c r="F2948" s="257"/>
      <c r="G2948" s="258"/>
      <c r="H2948" s="259"/>
      <c r="I2948" s="541">
        <f t="shared" si="57"/>
        <v>93341.371428571336</v>
      </c>
    </row>
    <row r="2949" spans="2:9" ht="17" customHeight="1">
      <c r="B2949" s="253"/>
      <c r="C2949" s="263"/>
      <c r="D2949" s="261"/>
      <c r="E2949" s="256"/>
      <c r="F2949" s="257"/>
      <c r="G2949" s="258"/>
      <c r="H2949" s="259"/>
      <c r="I2949" s="541">
        <f t="shared" si="57"/>
        <v>93341.371428571336</v>
      </c>
    </row>
    <row r="2950" spans="2:9" ht="17" customHeight="1">
      <c r="B2950" s="253"/>
      <c r="C2950" s="263"/>
      <c r="D2950" s="261"/>
      <c r="E2950" s="256"/>
      <c r="F2950" s="257"/>
      <c r="G2950" s="258"/>
      <c r="H2950" s="259"/>
      <c r="I2950" s="541">
        <f t="shared" si="57"/>
        <v>93341.371428571336</v>
      </c>
    </row>
    <row r="2951" spans="2:9" ht="17" customHeight="1">
      <c r="B2951" s="253"/>
      <c r="C2951" s="263"/>
      <c r="D2951" s="261"/>
      <c r="E2951" s="256"/>
      <c r="F2951" s="257"/>
      <c r="G2951" s="258"/>
      <c r="H2951" s="259"/>
      <c r="I2951" s="541">
        <f t="shared" si="57"/>
        <v>93341.371428571336</v>
      </c>
    </row>
    <row r="2952" spans="2:9" ht="17" customHeight="1">
      <c r="B2952" s="253"/>
      <c r="C2952" s="263"/>
      <c r="D2952" s="261"/>
      <c r="E2952" s="256"/>
      <c r="F2952" s="257"/>
      <c r="G2952" s="258"/>
      <c r="H2952" s="259"/>
      <c r="I2952" s="541">
        <f t="shared" si="57"/>
        <v>93341.371428571336</v>
      </c>
    </row>
    <row r="2953" spans="2:9" ht="17" customHeight="1">
      <c r="B2953" s="253"/>
      <c r="C2953" s="263"/>
      <c r="D2953" s="261"/>
      <c r="E2953" s="256"/>
      <c r="F2953" s="257"/>
      <c r="G2953" s="258"/>
      <c r="H2953" s="259"/>
      <c r="I2953" s="541">
        <f t="shared" si="57"/>
        <v>93341.371428571336</v>
      </c>
    </row>
    <row r="2954" spans="2:9" ht="17" customHeight="1">
      <c r="B2954" s="253"/>
      <c r="C2954" s="263"/>
      <c r="D2954" s="261"/>
      <c r="E2954" s="256"/>
      <c r="F2954" s="257"/>
      <c r="G2954" s="258"/>
      <c r="H2954" s="259"/>
      <c r="I2954" s="541">
        <f t="shared" si="57"/>
        <v>93341.371428571336</v>
      </c>
    </row>
    <row r="2955" spans="2:9" ht="17" customHeight="1">
      <c r="B2955" s="253"/>
      <c r="C2955" s="263"/>
      <c r="D2955" s="261"/>
      <c r="E2955" s="256"/>
      <c r="F2955" s="257"/>
      <c r="G2955" s="258"/>
      <c r="H2955" s="259"/>
      <c r="I2955" s="541">
        <f t="shared" si="57"/>
        <v>93341.371428571336</v>
      </c>
    </row>
    <row r="2956" spans="2:9" ht="17" customHeight="1">
      <c r="B2956" s="253"/>
      <c r="C2956" s="263"/>
      <c r="D2956" s="261"/>
      <c r="E2956" s="256"/>
      <c r="F2956" s="257"/>
      <c r="G2956" s="258"/>
      <c r="H2956" s="259"/>
      <c r="I2956" s="541">
        <f t="shared" si="57"/>
        <v>93341.371428571336</v>
      </c>
    </row>
    <row r="2957" spans="2:9" ht="17" customHeight="1">
      <c r="B2957" s="253"/>
      <c r="C2957" s="263"/>
      <c r="D2957" s="261"/>
      <c r="E2957" s="256"/>
      <c r="F2957" s="257"/>
      <c r="G2957" s="258"/>
      <c r="H2957" s="259"/>
      <c r="I2957" s="541">
        <f t="shared" si="57"/>
        <v>93341.371428571336</v>
      </c>
    </row>
    <row r="2958" spans="2:9" ht="17" customHeight="1">
      <c r="B2958" s="253"/>
      <c r="C2958" s="263"/>
      <c r="D2958" s="261"/>
      <c r="E2958" s="256"/>
      <c r="F2958" s="257"/>
      <c r="G2958" s="258"/>
      <c r="H2958" s="259"/>
      <c r="I2958" s="541">
        <f t="shared" si="57"/>
        <v>93341.371428571336</v>
      </c>
    </row>
    <row r="2959" spans="2:9" ht="17" customHeight="1">
      <c r="B2959" s="253"/>
      <c r="C2959" s="263"/>
      <c r="D2959" s="261"/>
      <c r="E2959" s="256"/>
      <c r="F2959" s="257"/>
      <c r="G2959" s="258"/>
      <c r="H2959" s="259"/>
      <c r="I2959" s="541">
        <f t="shared" si="57"/>
        <v>93341.371428571336</v>
      </c>
    </row>
    <row r="2960" spans="2:9" ht="17" customHeight="1">
      <c r="B2960" s="253"/>
      <c r="C2960" s="263"/>
      <c r="D2960" s="261"/>
      <c r="E2960" s="256"/>
      <c r="F2960" s="257"/>
      <c r="G2960" s="258"/>
      <c r="H2960" s="259"/>
      <c r="I2960" s="541">
        <f t="shared" si="57"/>
        <v>93341.371428571336</v>
      </c>
    </row>
    <row r="2961" spans="2:9" ht="17" customHeight="1">
      <c r="B2961" s="253"/>
      <c r="C2961" s="263"/>
      <c r="D2961" s="261"/>
      <c r="E2961" s="256"/>
      <c r="F2961" s="257"/>
      <c r="G2961" s="258"/>
      <c r="H2961" s="259"/>
      <c r="I2961" s="541">
        <f t="shared" si="57"/>
        <v>93341.371428571336</v>
      </c>
    </row>
    <row r="2962" spans="2:9" ht="17" customHeight="1">
      <c r="B2962" s="253"/>
      <c r="C2962" s="263"/>
      <c r="D2962" s="261"/>
      <c r="E2962" s="256"/>
      <c r="F2962" s="257"/>
      <c r="G2962" s="258"/>
      <c r="H2962" s="259"/>
      <c r="I2962" s="541">
        <f t="shared" si="57"/>
        <v>93341.371428571336</v>
      </c>
    </row>
    <row r="2963" spans="2:9" ht="17" customHeight="1">
      <c r="B2963" s="253"/>
      <c r="C2963" s="263"/>
      <c r="D2963" s="261"/>
      <c r="E2963" s="256"/>
      <c r="F2963" s="257"/>
      <c r="G2963" s="258"/>
      <c r="H2963" s="259"/>
      <c r="I2963" s="541">
        <f t="shared" si="57"/>
        <v>93341.371428571336</v>
      </c>
    </row>
    <row r="2964" spans="2:9" ht="17" customHeight="1">
      <c r="B2964" s="253"/>
      <c r="C2964" s="263"/>
      <c r="D2964" s="261"/>
      <c r="E2964" s="256"/>
      <c r="F2964" s="257"/>
      <c r="G2964" s="258"/>
      <c r="H2964" s="259"/>
      <c r="I2964" s="541">
        <f t="shared" si="57"/>
        <v>93341.371428571336</v>
      </c>
    </row>
    <row r="2965" spans="2:9" ht="17" customHeight="1">
      <c r="B2965" s="253"/>
      <c r="C2965" s="263"/>
      <c r="D2965" s="261"/>
      <c r="E2965" s="256"/>
      <c r="F2965" s="257"/>
      <c r="G2965" s="258"/>
      <c r="H2965" s="259"/>
      <c r="I2965" s="541">
        <f t="shared" si="57"/>
        <v>93341.371428571336</v>
      </c>
    </row>
    <row r="2966" spans="2:9" ht="17" customHeight="1">
      <c r="B2966" s="253"/>
      <c r="C2966" s="263"/>
      <c r="D2966" s="261"/>
      <c r="E2966" s="256"/>
      <c r="F2966" s="257"/>
      <c r="G2966" s="258"/>
      <c r="H2966" s="259"/>
      <c r="I2966" s="541">
        <f t="shared" si="57"/>
        <v>93341.371428571336</v>
      </c>
    </row>
    <row r="2967" spans="2:9" ht="17" customHeight="1">
      <c r="B2967" s="253"/>
      <c r="C2967" s="263"/>
      <c r="D2967" s="261"/>
      <c r="E2967" s="256"/>
      <c r="F2967" s="257"/>
      <c r="G2967" s="258"/>
      <c r="H2967" s="259"/>
      <c r="I2967" s="541">
        <f t="shared" si="57"/>
        <v>93341.371428571336</v>
      </c>
    </row>
    <row r="2968" spans="2:9" ht="17" customHeight="1">
      <c r="B2968" s="253"/>
      <c r="C2968" s="263"/>
      <c r="D2968" s="261"/>
      <c r="E2968" s="256"/>
      <c r="F2968" s="257"/>
      <c r="G2968" s="258"/>
      <c r="H2968" s="259"/>
      <c r="I2968" s="541">
        <f t="shared" si="57"/>
        <v>93341.371428571336</v>
      </c>
    </row>
    <row r="2969" spans="2:9" ht="17" customHeight="1">
      <c r="B2969" s="253"/>
      <c r="C2969" s="263"/>
      <c r="D2969" s="261"/>
      <c r="E2969" s="256"/>
      <c r="F2969" s="257"/>
      <c r="G2969" s="258"/>
      <c r="H2969" s="259"/>
      <c r="I2969" s="541">
        <f t="shared" si="57"/>
        <v>93341.371428571336</v>
      </c>
    </row>
    <row r="2970" spans="2:9" ht="17" customHeight="1">
      <c r="B2970" s="253"/>
      <c r="C2970" s="263"/>
      <c r="D2970" s="261"/>
      <c r="E2970" s="256"/>
      <c r="F2970" s="257"/>
      <c r="G2970" s="258"/>
      <c r="H2970" s="259"/>
      <c r="I2970" s="541">
        <f t="shared" ref="I2970:I3033" si="58">I2969+E2971-F2971</f>
        <v>93341.371428571336</v>
      </c>
    </row>
    <row r="2971" spans="2:9" ht="17" customHeight="1">
      <c r="B2971" s="253"/>
      <c r="C2971" s="263"/>
      <c r="D2971" s="261"/>
      <c r="E2971" s="256"/>
      <c r="F2971" s="257"/>
      <c r="G2971" s="258"/>
      <c r="H2971" s="259"/>
      <c r="I2971" s="541">
        <f t="shared" si="58"/>
        <v>93341.371428571336</v>
      </c>
    </row>
    <row r="2972" spans="2:9" ht="17" customHeight="1">
      <c r="B2972" s="253"/>
      <c r="C2972" s="263"/>
      <c r="D2972" s="261"/>
      <c r="E2972" s="256"/>
      <c r="F2972" s="257"/>
      <c r="G2972" s="258"/>
      <c r="H2972" s="259"/>
      <c r="I2972" s="541">
        <f t="shared" si="58"/>
        <v>93341.371428571336</v>
      </c>
    </row>
    <row r="2973" spans="2:9" ht="17" customHeight="1">
      <c r="B2973" s="253"/>
      <c r="C2973" s="263"/>
      <c r="D2973" s="261"/>
      <c r="E2973" s="256"/>
      <c r="F2973" s="257"/>
      <c r="G2973" s="258"/>
      <c r="H2973" s="259"/>
      <c r="I2973" s="541">
        <f t="shared" si="58"/>
        <v>93341.371428571336</v>
      </c>
    </row>
    <row r="2974" spans="2:9" ht="17" customHeight="1">
      <c r="B2974" s="253"/>
      <c r="C2974" s="263"/>
      <c r="D2974" s="261"/>
      <c r="E2974" s="256"/>
      <c r="F2974" s="257"/>
      <c r="G2974" s="258"/>
      <c r="H2974" s="259"/>
      <c r="I2974" s="541">
        <f t="shared" si="58"/>
        <v>93341.371428571336</v>
      </c>
    </row>
    <row r="2975" spans="2:9" ht="17" customHeight="1">
      <c r="B2975" s="253"/>
      <c r="C2975" s="263"/>
      <c r="D2975" s="261"/>
      <c r="E2975" s="256"/>
      <c r="F2975" s="257"/>
      <c r="G2975" s="258"/>
      <c r="H2975" s="259"/>
      <c r="I2975" s="541">
        <f t="shared" si="58"/>
        <v>93341.371428571336</v>
      </c>
    </row>
    <row r="2976" spans="2:9" ht="17" customHeight="1">
      <c r="B2976" s="253"/>
      <c r="C2976" s="263"/>
      <c r="D2976" s="261"/>
      <c r="E2976" s="256"/>
      <c r="F2976" s="257"/>
      <c r="G2976" s="258"/>
      <c r="H2976" s="259"/>
      <c r="I2976" s="541">
        <f t="shared" si="58"/>
        <v>93341.371428571336</v>
      </c>
    </row>
    <row r="2977" spans="2:9" ht="17" customHeight="1">
      <c r="B2977" s="253"/>
      <c r="C2977" s="263"/>
      <c r="D2977" s="261"/>
      <c r="E2977" s="256"/>
      <c r="F2977" s="257"/>
      <c r="G2977" s="258"/>
      <c r="H2977" s="259"/>
      <c r="I2977" s="541">
        <f t="shared" si="58"/>
        <v>93341.371428571336</v>
      </c>
    </row>
    <row r="2978" spans="2:9" ht="17" customHeight="1">
      <c r="B2978" s="253"/>
      <c r="C2978" s="263"/>
      <c r="D2978" s="261"/>
      <c r="E2978" s="256"/>
      <c r="F2978" s="257"/>
      <c r="G2978" s="258"/>
      <c r="H2978" s="259"/>
      <c r="I2978" s="541">
        <f t="shared" si="58"/>
        <v>93341.371428571336</v>
      </c>
    </row>
    <row r="2979" spans="2:9" ht="17" customHeight="1">
      <c r="B2979" s="253"/>
      <c r="C2979" s="263"/>
      <c r="D2979" s="261"/>
      <c r="E2979" s="256"/>
      <c r="F2979" s="257"/>
      <c r="G2979" s="258"/>
      <c r="H2979" s="259"/>
      <c r="I2979" s="541">
        <f t="shared" si="58"/>
        <v>93341.371428571336</v>
      </c>
    </row>
    <row r="2980" spans="2:9" ht="17" customHeight="1">
      <c r="B2980" s="253"/>
      <c r="C2980" s="263"/>
      <c r="D2980" s="261"/>
      <c r="E2980" s="256"/>
      <c r="F2980" s="257"/>
      <c r="G2980" s="258"/>
      <c r="H2980" s="259"/>
      <c r="I2980" s="541">
        <f t="shared" si="58"/>
        <v>93341.371428571336</v>
      </c>
    </row>
    <row r="2981" spans="2:9" ht="17" customHeight="1">
      <c r="B2981" s="253"/>
      <c r="C2981" s="263"/>
      <c r="D2981" s="261"/>
      <c r="E2981" s="256"/>
      <c r="F2981" s="257"/>
      <c r="G2981" s="258"/>
      <c r="H2981" s="259"/>
      <c r="I2981" s="541">
        <f t="shared" si="58"/>
        <v>93341.371428571336</v>
      </c>
    </row>
    <row r="2982" spans="2:9" ht="17" customHeight="1">
      <c r="B2982" s="253"/>
      <c r="C2982" s="263"/>
      <c r="D2982" s="261"/>
      <c r="E2982" s="256"/>
      <c r="F2982" s="257"/>
      <c r="G2982" s="258"/>
      <c r="H2982" s="259"/>
      <c r="I2982" s="541">
        <f t="shared" si="58"/>
        <v>93341.371428571336</v>
      </c>
    </row>
    <row r="2983" spans="2:9" ht="17" customHeight="1">
      <c r="B2983" s="253"/>
      <c r="C2983" s="263"/>
      <c r="D2983" s="261"/>
      <c r="E2983" s="256"/>
      <c r="F2983" s="257"/>
      <c r="G2983" s="258"/>
      <c r="H2983" s="259"/>
      <c r="I2983" s="541">
        <f t="shared" si="58"/>
        <v>93341.371428571336</v>
      </c>
    </row>
    <row r="2984" spans="2:9" ht="17" customHeight="1">
      <c r="B2984" s="253"/>
      <c r="C2984" s="263"/>
      <c r="D2984" s="261"/>
      <c r="E2984" s="256"/>
      <c r="F2984" s="257"/>
      <c r="G2984" s="258"/>
      <c r="H2984" s="259"/>
      <c r="I2984" s="541">
        <f t="shared" si="58"/>
        <v>93341.371428571336</v>
      </c>
    </row>
    <row r="2985" spans="2:9" ht="17" customHeight="1">
      <c r="B2985" s="253"/>
      <c r="C2985" s="263"/>
      <c r="D2985" s="261"/>
      <c r="E2985" s="256"/>
      <c r="F2985" s="257"/>
      <c r="G2985" s="258"/>
      <c r="H2985" s="259"/>
      <c r="I2985" s="541">
        <f t="shared" si="58"/>
        <v>93341.371428571336</v>
      </c>
    </row>
    <row r="2986" spans="2:9" ht="17" customHeight="1">
      <c r="B2986" s="253"/>
      <c r="C2986" s="263"/>
      <c r="D2986" s="261"/>
      <c r="E2986" s="256"/>
      <c r="F2986" s="257"/>
      <c r="G2986" s="258"/>
      <c r="H2986" s="259"/>
      <c r="I2986" s="541">
        <f t="shared" si="58"/>
        <v>93341.371428571336</v>
      </c>
    </row>
    <row r="2987" spans="2:9" ht="17" customHeight="1">
      <c r="B2987" s="253"/>
      <c r="C2987" s="263"/>
      <c r="D2987" s="261"/>
      <c r="E2987" s="256"/>
      <c r="F2987" s="257"/>
      <c r="G2987" s="258"/>
      <c r="H2987" s="259"/>
      <c r="I2987" s="541">
        <f t="shared" si="58"/>
        <v>93341.371428571336</v>
      </c>
    </row>
    <row r="2988" spans="2:9" ht="17" customHeight="1">
      <c r="B2988" s="253"/>
      <c r="C2988" s="263"/>
      <c r="D2988" s="261"/>
      <c r="E2988" s="256"/>
      <c r="F2988" s="257"/>
      <c r="G2988" s="258"/>
      <c r="H2988" s="259"/>
      <c r="I2988" s="541">
        <f t="shared" si="58"/>
        <v>93341.371428571336</v>
      </c>
    </row>
    <row r="2989" spans="2:9" ht="17" customHeight="1">
      <c r="B2989" s="253"/>
      <c r="C2989" s="263"/>
      <c r="D2989" s="261"/>
      <c r="E2989" s="256"/>
      <c r="F2989" s="257"/>
      <c r="G2989" s="258"/>
      <c r="H2989" s="259"/>
      <c r="I2989" s="541">
        <f t="shared" si="58"/>
        <v>93341.371428571336</v>
      </c>
    </row>
    <row r="2990" spans="2:9" ht="17" customHeight="1">
      <c r="B2990" s="253"/>
      <c r="C2990" s="263"/>
      <c r="D2990" s="261"/>
      <c r="E2990" s="256"/>
      <c r="F2990" s="257"/>
      <c r="G2990" s="258"/>
      <c r="H2990" s="259"/>
      <c r="I2990" s="541">
        <f t="shared" si="58"/>
        <v>93341.371428571336</v>
      </c>
    </row>
    <row r="2991" spans="2:9" ht="17" customHeight="1">
      <c r="B2991" s="253"/>
      <c r="C2991" s="263"/>
      <c r="D2991" s="261"/>
      <c r="E2991" s="256"/>
      <c r="F2991" s="257"/>
      <c r="G2991" s="258"/>
      <c r="H2991" s="259"/>
      <c r="I2991" s="541">
        <f t="shared" si="58"/>
        <v>93341.371428571336</v>
      </c>
    </row>
    <row r="2992" spans="2:9" ht="17" customHeight="1">
      <c r="B2992" s="253"/>
      <c r="C2992" s="263"/>
      <c r="D2992" s="261"/>
      <c r="E2992" s="256"/>
      <c r="F2992" s="257"/>
      <c r="G2992" s="258"/>
      <c r="H2992" s="259"/>
      <c r="I2992" s="541">
        <f t="shared" si="58"/>
        <v>93341.371428571336</v>
      </c>
    </row>
    <row r="2993" spans="2:9" ht="17" customHeight="1">
      <c r="B2993" s="253"/>
      <c r="C2993" s="263"/>
      <c r="D2993" s="261"/>
      <c r="E2993" s="256"/>
      <c r="F2993" s="257"/>
      <c r="G2993" s="258"/>
      <c r="H2993" s="259"/>
      <c r="I2993" s="541">
        <f t="shared" si="58"/>
        <v>93341.371428571336</v>
      </c>
    </row>
    <row r="2994" spans="2:9" ht="17" customHeight="1">
      <c r="B2994" s="253"/>
      <c r="C2994" s="263"/>
      <c r="D2994" s="261"/>
      <c r="E2994" s="256"/>
      <c r="F2994" s="257"/>
      <c r="G2994" s="258"/>
      <c r="H2994" s="259"/>
      <c r="I2994" s="541">
        <f t="shared" si="58"/>
        <v>93341.371428571336</v>
      </c>
    </row>
    <row r="2995" spans="2:9" ht="17" customHeight="1">
      <c r="B2995" s="253"/>
      <c r="C2995" s="263"/>
      <c r="D2995" s="261"/>
      <c r="E2995" s="256"/>
      <c r="F2995" s="257"/>
      <c r="G2995" s="258"/>
      <c r="H2995" s="259"/>
      <c r="I2995" s="541">
        <f t="shared" si="58"/>
        <v>93341.371428571336</v>
      </c>
    </row>
    <row r="2996" spans="2:9" ht="17" customHeight="1">
      <c r="B2996" s="253"/>
      <c r="C2996" s="263"/>
      <c r="D2996" s="261"/>
      <c r="E2996" s="256"/>
      <c r="F2996" s="257"/>
      <c r="G2996" s="258"/>
      <c r="H2996" s="259"/>
      <c r="I2996" s="541">
        <f t="shared" si="58"/>
        <v>93341.371428571336</v>
      </c>
    </row>
    <row r="2997" spans="2:9" ht="17" customHeight="1">
      <c r="B2997" s="253"/>
      <c r="C2997" s="263"/>
      <c r="D2997" s="261"/>
      <c r="E2997" s="256"/>
      <c r="F2997" s="257"/>
      <c r="G2997" s="258"/>
      <c r="H2997" s="259"/>
      <c r="I2997" s="541">
        <f t="shared" si="58"/>
        <v>93341.371428571336</v>
      </c>
    </row>
    <row r="2998" spans="2:9" ht="17" customHeight="1">
      <c r="B2998" s="253"/>
      <c r="C2998" s="263"/>
      <c r="D2998" s="261"/>
      <c r="E2998" s="256"/>
      <c r="F2998" s="257"/>
      <c r="G2998" s="258"/>
      <c r="H2998" s="259"/>
      <c r="I2998" s="541">
        <f t="shared" si="58"/>
        <v>93341.371428571336</v>
      </c>
    </row>
    <row r="2999" spans="2:9" ht="17" customHeight="1">
      <c r="B2999" s="253"/>
      <c r="C2999" s="263"/>
      <c r="D2999" s="261"/>
      <c r="E2999" s="256"/>
      <c r="F2999" s="257"/>
      <c r="G2999" s="258"/>
      <c r="H2999" s="259"/>
      <c r="I2999" s="541">
        <f t="shared" si="58"/>
        <v>93341.371428571336</v>
      </c>
    </row>
    <row r="3000" spans="2:9" ht="17" customHeight="1">
      <c r="B3000" s="253"/>
      <c r="C3000" s="263"/>
      <c r="D3000" s="261"/>
      <c r="E3000" s="256"/>
      <c r="F3000" s="257"/>
      <c r="G3000" s="258"/>
      <c r="H3000" s="259"/>
      <c r="I3000" s="541">
        <f t="shared" si="58"/>
        <v>93341.371428571336</v>
      </c>
    </row>
    <row r="3001" spans="2:9" ht="17" customHeight="1">
      <c r="B3001" s="253"/>
      <c r="C3001" s="263"/>
      <c r="D3001" s="261"/>
      <c r="E3001" s="256"/>
      <c r="F3001" s="257"/>
      <c r="G3001" s="258"/>
      <c r="H3001" s="259"/>
      <c r="I3001" s="541">
        <f t="shared" si="58"/>
        <v>93341.371428571336</v>
      </c>
    </row>
    <row r="3002" spans="2:9" ht="17" customHeight="1">
      <c r="B3002" s="253"/>
      <c r="C3002" s="263"/>
      <c r="D3002" s="261"/>
      <c r="E3002" s="256"/>
      <c r="F3002" s="257"/>
      <c r="G3002" s="258"/>
      <c r="H3002" s="259"/>
      <c r="I3002" s="541">
        <f t="shared" si="58"/>
        <v>93341.371428571336</v>
      </c>
    </row>
    <row r="3003" spans="2:9" ht="17" customHeight="1">
      <c r="B3003" s="253"/>
      <c r="C3003" s="263"/>
      <c r="D3003" s="261"/>
      <c r="E3003" s="256"/>
      <c r="F3003" s="257"/>
      <c r="G3003" s="258"/>
      <c r="H3003" s="259"/>
      <c r="I3003" s="541">
        <f t="shared" si="58"/>
        <v>93341.371428571336</v>
      </c>
    </row>
    <row r="3004" spans="2:9" ht="17" customHeight="1">
      <c r="B3004" s="253"/>
      <c r="C3004" s="263"/>
      <c r="D3004" s="261"/>
      <c r="E3004" s="256"/>
      <c r="F3004" s="257"/>
      <c r="G3004" s="258"/>
      <c r="H3004" s="259"/>
      <c r="I3004" s="541">
        <f t="shared" si="58"/>
        <v>93341.371428571336</v>
      </c>
    </row>
    <row r="3005" spans="2:9" ht="17" customHeight="1">
      <c r="B3005" s="253"/>
      <c r="C3005" s="263"/>
      <c r="D3005" s="261"/>
      <c r="E3005" s="256"/>
      <c r="F3005" s="257"/>
      <c r="G3005" s="258"/>
      <c r="H3005" s="259"/>
      <c r="I3005" s="541">
        <f t="shared" si="58"/>
        <v>93341.371428571336</v>
      </c>
    </row>
    <row r="3006" spans="2:9" ht="17" customHeight="1">
      <c r="B3006" s="253"/>
      <c r="C3006" s="263"/>
      <c r="D3006" s="261"/>
      <c r="E3006" s="256"/>
      <c r="F3006" s="257"/>
      <c r="G3006" s="258"/>
      <c r="H3006" s="259"/>
      <c r="I3006" s="541">
        <f t="shared" si="58"/>
        <v>93341.371428571336</v>
      </c>
    </row>
    <row r="3007" spans="2:9" ht="17" customHeight="1">
      <c r="B3007" s="253"/>
      <c r="C3007" s="263"/>
      <c r="D3007" s="261"/>
      <c r="E3007" s="256"/>
      <c r="F3007" s="257"/>
      <c r="G3007" s="258"/>
      <c r="H3007" s="259"/>
      <c r="I3007" s="541">
        <f t="shared" si="58"/>
        <v>93341.371428571336</v>
      </c>
    </row>
    <row r="3008" spans="2:9" ht="17" customHeight="1">
      <c r="B3008" s="253"/>
      <c r="C3008" s="263"/>
      <c r="D3008" s="261"/>
      <c r="E3008" s="256"/>
      <c r="F3008" s="257"/>
      <c r="G3008" s="258"/>
      <c r="H3008" s="259"/>
      <c r="I3008" s="541">
        <f t="shared" si="58"/>
        <v>93341.371428571336</v>
      </c>
    </row>
    <row r="3009" spans="2:9" ht="17" customHeight="1">
      <c r="B3009" s="253"/>
      <c r="C3009" s="263"/>
      <c r="D3009" s="261"/>
      <c r="E3009" s="256"/>
      <c r="F3009" s="257"/>
      <c r="G3009" s="258"/>
      <c r="H3009" s="259"/>
      <c r="I3009" s="541">
        <f t="shared" si="58"/>
        <v>93341.371428571336</v>
      </c>
    </row>
    <row r="3010" spans="2:9" ht="17" customHeight="1">
      <c r="B3010" s="253"/>
      <c r="C3010" s="263"/>
      <c r="D3010" s="261"/>
      <c r="E3010" s="256"/>
      <c r="F3010" s="257"/>
      <c r="G3010" s="258"/>
      <c r="H3010" s="259"/>
      <c r="I3010" s="541">
        <f t="shared" si="58"/>
        <v>93341.371428571336</v>
      </c>
    </row>
    <row r="3011" spans="2:9" ht="17" customHeight="1">
      <c r="B3011" s="253"/>
      <c r="C3011" s="263"/>
      <c r="D3011" s="261"/>
      <c r="E3011" s="256"/>
      <c r="F3011" s="257"/>
      <c r="G3011" s="258"/>
      <c r="H3011" s="259"/>
      <c r="I3011" s="541">
        <f t="shared" si="58"/>
        <v>93341.371428571336</v>
      </c>
    </row>
    <row r="3012" spans="2:9" ht="17" customHeight="1">
      <c r="B3012" s="253"/>
      <c r="C3012" s="263"/>
      <c r="D3012" s="261"/>
      <c r="E3012" s="256"/>
      <c r="F3012" s="257"/>
      <c r="G3012" s="258"/>
      <c r="H3012" s="259"/>
      <c r="I3012" s="541">
        <f t="shared" si="58"/>
        <v>93341.371428571336</v>
      </c>
    </row>
    <row r="3013" spans="2:9" ht="17" customHeight="1">
      <c r="B3013" s="253"/>
      <c r="C3013" s="263"/>
      <c r="D3013" s="261"/>
      <c r="E3013" s="256"/>
      <c r="F3013" s="257"/>
      <c r="G3013" s="258"/>
      <c r="H3013" s="259"/>
      <c r="I3013" s="541">
        <f t="shared" si="58"/>
        <v>93341.371428571336</v>
      </c>
    </row>
    <row r="3014" spans="2:9" ht="17" customHeight="1">
      <c r="B3014" s="253"/>
      <c r="C3014" s="263"/>
      <c r="D3014" s="261"/>
      <c r="E3014" s="256"/>
      <c r="F3014" s="257"/>
      <c r="G3014" s="258"/>
      <c r="H3014" s="259"/>
      <c r="I3014" s="541">
        <f t="shared" si="58"/>
        <v>93341.371428571336</v>
      </c>
    </row>
    <row r="3015" spans="2:9" ht="17" customHeight="1">
      <c r="B3015" s="253"/>
      <c r="C3015" s="263"/>
      <c r="D3015" s="261"/>
      <c r="E3015" s="256"/>
      <c r="F3015" s="257"/>
      <c r="G3015" s="258"/>
      <c r="H3015" s="259"/>
      <c r="I3015" s="541">
        <f t="shared" si="58"/>
        <v>93341.371428571336</v>
      </c>
    </row>
    <row r="3016" spans="2:9" ht="17" customHeight="1">
      <c r="B3016" s="253"/>
      <c r="C3016" s="263"/>
      <c r="D3016" s="261"/>
      <c r="E3016" s="256"/>
      <c r="F3016" s="257"/>
      <c r="G3016" s="258"/>
      <c r="H3016" s="259"/>
      <c r="I3016" s="541">
        <f t="shared" si="58"/>
        <v>93341.371428571336</v>
      </c>
    </row>
    <row r="3017" spans="2:9" ht="17" customHeight="1">
      <c r="B3017" s="253"/>
      <c r="C3017" s="263"/>
      <c r="D3017" s="261"/>
      <c r="E3017" s="256"/>
      <c r="F3017" s="257"/>
      <c r="G3017" s="258"/>
      <c r="H3017" s="259"/>
      <c r="I3017" s="541">
        <f t="shared" si="58"/>
        <v>93341.371428571336</v>
      </c>
    </row>
    <row r="3018" spans="2:9" ht="17" customHeight="1">
      <c r="B3018" s="253"/>
      <c r="C3018" s="263"/>
      <c r="D3018" s="261"/>
      <c r="E3018" s="256"/>
      <c r="F3018" s="257"/>
      <c r="G3018" s="258"/>
      <c r="H3018" s="259"/>
      <c r="I3018" s="541">
        <f t="shared" si="58"/>
        <v>93341.371428571336</v>
      </c>
    </row>
    <row r="3019" spans="2:9" ht="17" customHeight="1">
      <c r="B3019" s="253"/>
      <c r="C3019" s="263"/>
      <c r="D3019" s="261"/>
      <c r="E3019" s="256"/>
      <c r="F3019" s="257"/>
      <c r="G3019" s="258"/>
      <c r="H3019" s="259"/>
      <c r="I3019" s="541">
        <f t="shared" si="58"/>
        <v>93341.371428571336</v>
      </c>
    </row>
    <row r="3020" spans="2:9" ht="17" customHeight="1">
      <c r="B3020" s="253"/>
      <c r="C3020" s="263"/>
      <c r="D3020" s="261"/>
      <c r="E3020" s="256"/>
      <c r="F3020" s="257"/>
      <c r="G3020" s="258"/>
      <c r="H3020" s="259"/>
      <c r="I3020" s="541">
        <f t="shared" si="58"/>
        <v>93341.371428571336</v>
      </c>
    </row>
    <row r="3021" spans="2:9" ht="17" customHeight="1">
      <c r="B3021" s="253"/>
      <c r="C3021" s="263"/>
      <c r="D3021" s="261"/>
      <c r="E3021" s="256"/>
      <c r="F3021" s="257"/>
      <c r="G3021" s="258"/>
      <c r="H3021" s="259"/>
      <c r="I3021" s="541">
        <f t="shared" si="58"/>
        <v>93341.371428571336</v>
      </c>
    </row>
    <row r="3022" spans="2:9" ht="17" customHeight="1">
      <c r="B3022" s="253"/>
      <c r="C3022" s="263"/>
      <c r="D3022" s="261"/>
      <c r="E3022" s="256"/>
      <c r="F3022" s="257"/>
      <c r="G3022" s="258"/>
      <c r="H3022" s="259"/>
      <c r="I3022" s="541">
        <f t="shared" si="58"/>
        <v>93341.371428571336</v>
      </c>
    </row>
    <row r="3023" spans="2:9" ht="17" customHeight="1">
      <c r="B3023" s="253"/>
      <c r="C3023" s="263"/>
      <c r="D3023" s="261"/>
      <c r="E3023" s="256"/>
      <c r="F3023" s="257"/>
      <c r="G3023" s="258"/>
      <c r="H3023" s="259"/>
      <c r="I3023" s="541">
        <f t="shared" si="58"/>
        <v>93341.371428571336</v>
      </c>
    </row>
    <row r="3024" spans="2:9" ht="17" customHeight="1">
      <c r="B3024" s="253"/>
      <c r="C3024" s="263"/>
      <c r="D3024" s="261"/>
      <c r="E3024" s="256"/>
      <c r="F3024" s="257"/>
      <c r="G3024" s="258"/>
      <c r="H3024" s="259"/>
      <c r="I3024" s="541">
        <f t="shared" si="58"/>
        <v>93341.371428571336</v>
      </c>
    </row>
    <row r="3025" spans="2:9" ht="17" customHeight="1">
      <c r="B3025" s="253"/>
      <c r="C3025" s="263"/>
      <c r="D3025" s="261"/>
      <c r="E3025" s="256"/>
      <c r="F3025" s="257"/>
      <c r="G3025" s="258"/>
      <c r="H3025" s="259"/>
      <c r="I3025" s="541">
        <f t="shared" si="58"/>
        <v>93341.371428571336</v>
      </c>
    </row>
    <row r="3026" spans="2:9" ht="17" customHeight="1">
      <c r="B3026" s="253"/>
      <c r="C3026" s="263"/>
      <c r="D3026" s="261"/>
      <c r="E3026" s="256"/>
      <c r="F3026" s="257"/>
      <c r="G3026" s="258"/>
      <c r="H3026" s="259"/>
      <c r="I3026" s="541">
        <f t="shared" si="58"/>
        <v>93341.371428571336</v>
      </c>
    </row>
    <row r="3027" spans="2:9" ht="17" customHeight="1">
      <c r="B3027" s="253"/>
      <c r="C3027" s="263"/>
      <c r="D3027" s="261"/>
      <c r="E3027" s="256"/>
      <c r="F3027" s="257"/>
      <c r="G3027" s="258"/>
      <c r="H3027" s="259"/>
      <c r="I3027" s="541">
        <f t="shared" si="58"/>
        <v>93341.371428571336</v>
      </c>
    </row>
    <row r="3028" spans="2:9" ht="17" customHeight="1">
      <c r="B3028" s="253"/>
      <c r="C3028" s="263"/>
      <c r="D3028" s="261"/>
      <c r="E3028" s="256"/>
      <c r="F3028" s="257"/>
      <c r="G3028" s="258"/>
      <c r="H3028" s="259"/>
      <c r="I3028" s="541">
        <f t="shared" si="58"/>
        <v>93341.371428571336</v>
      </c>
    </row>
    <row r="3029" spans="2:9" ht="17" customHeight="1">
      <c r="B3029" s="253"/>
      <c r="C3029" s="263"/>
      <c r="D3029" s="261"/>
      <c r="E3029" s="256"/>
      <c r="F3029" s="257"/>
      <c r="G3029" s="258"/>
      <c r="H3029" s="259"/>
      <c r="I3029" s="541">
        <f t="shared" si="58"/>
        <v>93341.371428571336</v>
      </c>
    </row>
    <row r="3030" spans="2:9" ht="17" customHeight="1">
      <c r="B3030" s="253"/>
      <c r="C3030" s="263"/>
      <c r="D3030" s="261"/>
      <c r="E3030" s="256"/>
      <c r="F3030" s="257"/>
      <c r="G3030" s="258"/>
      <c r="H3030" s="259"/>
      <c r="I3030" s="541">
        <f t="shared" si="58"/>
        <v>93341.371428571336</v>
      </c>
    </row>
    <row r="3031" spans="2:9" ht="17" customHeight="1">
      <c r="B3031" s="253"/>
      <c r="C3031" s="263"/>
      <c r="D3031" s="261"/>
      <c r="E3031" s="256"/>
      <c r="F3031" s="257"/>
      <c r="G3031" s="258"/>
      <c r="H3031" s="259"/>
      <c r="I3031" s="541">
        <f t="shared" si="58"/>
        <v>93341.371428571336</v>
      </c>
    </row>
    <row r="3032" spans="2:9" ht="17" customHeight="1">
      <c r="B3032" s="253"/>
      <c r="C3032" s="263"/>
      <c r="D3032" s="261"/>
      <c r="E3032" s="256"/>
      <c r="F3032" s="257"/>
      <c r="G3032" s="258"/>
      <c r="H3032" s="259"/>
      <c r="I3032" s="541">
        <f t="shared" si="58"/>
        <v>93341.371428571336</v>
      </c>
    </row>
    <row r="3033" spans="2:9" ht="17" customHeight="1">
      <c r="B3033" s="253"/>
      <c r="C3033" s="263"/>
      <c r="D3033" s="261"/>
      <c r="E3033" s="256"/>
      <c r="F3033" s="257"/>
      <c r="G3033" s="258"/>
      <c r="H3033" s="259"/>
      <c r="I3033" s="541">
        <f t="shared" si="58"/>
        <v>93341.371428571336</v>
      </c>
    </row>
    <row r="3034" spans="2:9" ht="17" customHeight="1">
      <c r="B3034" s="253"/>
      <c r="C3034" s="263"/>
      <c r="D3034" s="261"/>
      <c r="E3034" s="256"/>
      <c r="F3034" s="257"/>
      <c r="G3034" s="258"/>
      <c r="H3034" s="259"/>
      <c r="I3034" s="541">
        <f t="shared" ref="I3034:I3097" si="59">I3033+E3035-F3035</f>
        <v>93341.371428571336</v>
      </c>
    </row>
    <row r="3035" spans="2:9" ht="17" customHeight="1">
      <c r="B3035" s="253"/>
      <c r="C3035" s="263"/>
      <c r="D3035" s="261"/>
      <c r="E3035" s="256"/>
      <c r="F3035" s="257"/>
      <c r="G3035" s="258"/>
      <c r="H3035" s="259"/>
      <c r="I3035" s="541">
        <f t="shared" si="59"/>
        <v>93341.371428571336</v>
      </c>
    </row>
    <row r="3036" spans="2:9" ht="17" customHeight="1">
      <c r="B3036" s="253"/>
      <c r="C3036" s="263"/>
      <c r="D3036" s="261"/>
      <c r="E3036" s="256"/>
      <c r="F3036" s="257"/>
      <c r="G3036" s="258"/>
      <c r="H3036" s="259"/>
      <c r="I3036" s="541">
        <f t="shared" si="59"/>
        <v>93341.371428571336</v>
      </c>
    </row>
    <row r="3037" spans="2:9" ht="17" customHeight="1">
      <c r="B3037" s="253"/>
      <c r="C3037" s="263"/>
      <c r="D3037" s="261"/>
      <c r="E3037" s="256"/>
      <c r="F3037" s="257"/>
      <c r="G3037" s="258"/>
      <c r="H3037" s="259"/>
      <c r="I3037" s="541">
        <f t="shared" si="59"/>
        <v>93341.371428571336</v>
      </c>
    </row>
    <row r="3038" spans="2:9" ht="17" customHeight="1">
      <c r="B3038" s="253"/>
      <c r="C3038" s="263"/>
      <c r="D3038" s="261"/>
      <c r="E3038" s="256"/>
      <c r="F3038" s="257"/>
      <c r="G3038" s="258"/>
      <c r="H3038" s="259"/>
      <c r="I3038" s="541">
        <f t="shared" si="59"/>
        <v>93341.371428571336</v>
      </c>
    </row>
    <row r="3039" spans="2:9" ht="17" customHeight="1">
      <c r="B3039" s="253"/>
      <c r="C3039" s="263"/>
      <c r="D3039" s="261"/>
      <c r="E3039" s="256"/>
      <c r="F3039" s="257"/>
      <c r="G3039" s="258"/>
      <c r="H3039" s="259"/>
      <c r="I3039" s="541">
        <f t="shared" si="59"/>
        <v>93341.371428571336</v>
      </c>
    </row>
    <row r="3040" spans="2:9" ht="17" customHeight="1">
      <c r="B3040" s="253"/>
      <c r="C3040" s="263"/>
      <c r="D3040" s="261"/>
      <c r="E3040" s="256"/>
      <c r="F3040" s="257"/>
      <c r="G3040" s="258"/>
      <c r="H3040" s="259"/>
      <c r="I3040" s="541">
        <f t="shared" si="59"/>
        <v>93341.371428571336</v>
      </c>
    </row>
    <row r="3041" spans="2:9" ht="17" customHeight="1">
      <c r="B3041" s="253"/>
      <c r="C3041" s="263"/>
      <c r="D3041" s="261"/>
      <c r="E3041" s="256"/>
      <c r="F3041" s="257"/>
      <c r="G3041" s="258"/>
      <c r="H3041" s="259"/>
      <c r="I3041" s="541">
        <f t="shared" si="59"/>
        <v>93341.371428571336</v>
      </c>
    </row>
    <row r="3042" spans="2:9" ht="17" customHeight="1">
      <c r="B3042" s="253"/>
      <c r="C3042" s="263"/>
      <c r="D3042" s="261"/>
      <c r="E3042" s="256"/>
      <c r="F3042" s="257"/>
      <c r="G3042" s="258"/>
      <c r="H3042" s="259"/>
      <c r="I3042" s="541">
        <f t="shared" si="59"/>
        <v>93341.371428571336</v>
      </c>
    </row>
    <row r="3043" spans="2:9" ht="17" customHeight="1">
      <c r="B3043" s="253"/>
      <c r="C3043" s="263"/>
      <c r="D3043" s="261"/>
      <c r="E3043" s="256"/>
      <c r="F3043" s="257"/>
      <c r="G3043" s="258"/>
      <c r="H3043" s="259"/>
      <c r="I3043" s="541">
        <f t="shared" si="59"/>
        <v>93341.371428571336</v>
      </c>
    </row>
    <row r="3044" spans="2:9" ht="17" customHeight="1">
      <c r="B3044" s="253"/>
      <c r="C3044" s="263"/>
      <c r="D3044" s="261"/>
      <c r="E3044" s="256"/>
      <c r="F3044" s="257"/>
      <c r="G3044" s="258"/>
      <c r="H3044" s="259"/>
      <c r="I3044" s="541">
        <f t="shared" si="59"/>
        <v>93341.371428571336</v>
      </c>
    </row>
    <row r="3045" spans="2:9" ht="17" customHeight="1">
      <c r="B3045" s="253"/>
      <c r="C3045" s="263"/>
      <c r="D3045" s="261"/>
      <c r="E3045" s="256"/>
      <c r="F3045" s="257"/>
      <c r="G3045" s="258"/>
      <c r="H3045" s="259"/>
      <c r="I3045" s="541">
        <f t="shared" si="59"/>
        <v>93341.371428571336</v>
      </c>
    </row>
    <row r="3046" spans="2:9" ht="17" customHeight="1">
      <c r="B3046" s="253"/>
      <c r="C3046" s="263"/>
      <c r="D3046" s="261"/>
      <c r="E3046" s="256"/>
      <c r="F3046" s="257"/>
      <c r="G3046" s="258"/>
      <c r="H3046" s="259"/>
      <c r="I3046" s="541">
        <f t="shared" si="59"/>
        <v>93341.371428571336</v>
      </c>
    </row>
    <row r="3047" spans="2:9" ht="17" customHeight="1">
      <c r="B3047" s="253"/>
      <c r="C3047" s="263"/>
      <c r="D3047" s="261"/>
      <c r="E3047" s="256"/>
      <c r="F3047" s="257"/>
      <c r="G3047" s="258"/>
      <c r="H3047" s="259"/>
      <c r="I3047" s="541">
        <f t="shared" si="59"/>
        <v>93341.371428571336</v>
      </c>
    </row>
    <row r="3048" spans="2:9" ht="17" customHeight="1">
      <c r="B3048" s="253"/>
      <c r="C3048" s="263"/>
      <c r="D3048" s="261"/>
      <c r="E3048" s="256"/>
      <c r="F3048" s="257"/>
      <c r="G3048" s="258"/>
      <c r="H3048" s="259"/>
      <c r="I3048" s="541">
        <f t="shared" si="59"/>
        <v>93341.371428571336</v>
      </c>
    </row>
    <row r="3049" spans="2:9" ht="17" customHeight="1">
      <c r="B3049" s="253"/>
      <c r="C3049" s="263"/>
      <c r="D3049" s="261"/>
      <c r="E3049" s="256"/>
      <c r="F3049" s="257"/>
      <c r="G3049" s="258"/>
      <c r="H3049" s="259"/>
      <c r="I3049" s="541">
        <f t="shared" si="59"/>
        <v>93341.371428571336</v>
      </c>
    </row>
    <row r="3050" spans="2:9" ht="17" customHeight="1">
      <c r="B3050" s="253"/>
      <c r="C3050" s="263"/>
      <c r="D3050" s="261"/>
      <c r="E3050" s="256"/>
      <c r="F3050" s="257"/>
      <c r="G3050" s="258"/>
      <c r="H3050" s="259"/>
      <c r="I3050" s="541">
        <f t="shared" si="59"/>
        <v>93341.371428571336</v>
      </c>
    </row>
    <row r="3051" spans="2:9" ht="17" customHeight="1">
      <c r="B3051" s="253"/>
      <c r="C3051" s="263"/>
      <c r="D3051" s="261"/>
      <c r="E3051" s="256"/>
      <c r="F3051" s="257"/>
      <c r="G3051" s="258"/>
      <c r="H3051" s="259"/>
      <c r="I3051" s="541">
        <f t="shared" si="59"/>
        <v>93341.371428571336</v>
      </c>
    </row>
    <row r="3052" spans="2:9" ht="17" customHeight="1">
      <c r="B3052" s="253"/>
      <c r="C3052" s="263"/>
      <c r="D3052" s="261"/>
      <c r="E3052" s="256"/>
      <c r="F3052" s="257"/>
      <c r="G3052" s="258"/>
      <c r="H3052" s="259"/>
      <c r="I3052" s="541">
        <f t="shared" si="59"/>
        <v>93341.371428571336</v>
      </c>
    </row>
    <row r="3053" spans="2:9" ht="17" customHeight="1">
      <c r="B3053" s="253"/>
      <c r="C3053" s="263"/>
      <c r="D3053" s="261"/>
      <c r="E3053" s="256"/>
      <c r="F3053" s="257"/>
      <c r="G3053" s="258"/>
      <c r="H3053" s="259"/>
      <c r="I3053" s="541">
        <f t="shared" si="59"/>
        <v>93341.371428571336</v>
      </c>
    </row>
    <row r="3054" spans="2:9" ht="17" customHeight="1">
      <c r="B3054" s="253"/>
      <c r="C3054" s="263"/>
      <c r="D3054" s="261"/>
      <c r="E3054" s="256"/>
      <c r="F3054" s="257"/>
      <c r="G3054" s="258"/>
      <c r="H3054" s="259"/>
      <c r="I3054" s="541">
        <f t="shared" si="59"/>
        <v>93341.371428571336</v>
      </c>
    </row>
    <row r="3055" spans="2:9" ht="17" customHeight="1">
      <c r="B3055" s="253"/>
      <c r="C3055" s="263"/>
      <c r="D3055" s="261"/>
      <c r="E3055" s="256"/>
      <c r="F3055" s="257"/>
      <c r="G3055" s="258"/>
      <c r="H3055" s="259"/>
      <c r="I3055" s="541">
        <f t="shared" si="59"/>
        <v>93341.371428571336</v>
      </c>
    </row>
    <row r="3056" spans="2:9" ht="17" customHeight="1">
      <c r="B3056" s="253"/>
      <c r="C3056" s="263"/>
      <c r="D3056" s="261"/>
      <c r="E3056" s="256"/>
      <c r="F3056" s="257"/>
      <c r="G3056" s="258"/>
      <c r="H3056" s="259"/>
      <c r="I3056" s="541">
        <f t="shared" si="59"/>
        <v>93341.371428571336</v>
      </c>
    </row>
    <row r="3057" spans="2:9" ht="17" customHeight="1">
      <c r="B3057" s="253"/>
      <c r="C3057" s="263"/>
      <c r="D3057" s="261"/>
      <c r="E3057" s="256"/>
      <c r="F3057" s="257"/>
      <c r="G3057" s="258"/>
      <c r="H3057" s="259"/>
      <c r="I3057" s="541">
        <f t="shared" si="59"/>
        <v>93341.371428571336</v>
      </c>
    </row>
    <row r="3058" spans="2:9" ht="17" customHeight="1">
      <c r="B3058" s="253"/>
      <c r="C3058" s="263"/>
      <c r="D3058" s="261"/>
      <c r="E3058" s="256"/>
      <c r="F3058" s="257"/>
      <c r="G3058" s="258"/>
      <c r="H3058" s="259"/>
      <c r="I3058" s="541">
        <f t="shared" si="59"/>
        <v>93341.371428571336</v>
      </c>
    </row>
    <row r="3059" spans="2:9" ht="17" customHeight="1">
      <c r="B3059" s="253"/>
      <c r="C3059" s="263"/>
      <c r="D3059" s="261"/>
      <c r="E3059" s="256"/>
      <c r="F3059" s="257"/>
      <c r="G3059" s="258"/>
      <c r="H3059" s="259"/>
      <c r="I3059" s="541">
        <f t="shared" si="59"/>
        <v>93341.371428571336</v>
      </c>
    </row>
    <row r="3060" spans="2:9" ht="17" customHeight="1">
      <c r="B3060" s="253"/>
      <c r="C3060" s="263"/>
      <c r="D3060" s="261"/>
      <c r="E3060" s="256"/>
      <c r="F3060" s="257"/>
      <c r="G3060" s="258"/>
      <c r="H3060" s="259"/>
      <c r="I3060" s="541">
        <f t="shared" si="59"/>
        <v>93341.371428571336</v>
      </c>
    </row>
    <row r="3061" spans="2:9" ht="17" customHeight="1">
      <c r="B3061" s="253"/>
      <c r="C3061" s="263"/>
      <c r="D3061" s="261"/>
      <c r="E3061" s="256"/>
      <c r="F3061" s="257"/>
      <c r="G3061" s="258"/>
      <c r="H3061" s="259"/>
      <c r="I3061" s="541">
        <f t="shared" si="59"/>
        <v>93341.371428571336</v>
      </c>
    </row>
    <row r="3062" spans="2:9" ht="17" customHeight="1">
      <c r="B3062" s="253"/>
      <c r="C3062" s="263"/>
      <c r="D3062" s="261"/>
      <c r="E3062" s="256"/>
      <c r="F3062" s="257"/>
      <c r="G3062" s="258"/>
      <c r="H3062" s="259"/>
      <c r="I3062" s="541">
        <f t="shared" si="59"/>
        <v>93341.371428571336</v>
      </c>
    </row>
    <row r="3063" spans="2:9" ht="17" customHeight="1">
      <c r="B3063" s="253"/>
      <c r="C3063" s="263"/>
      <c r="D3063" s="261"/>
      <c r="E3063" s="256"/>
      <c r="F3063" s="257"/>
      <c r="G3063" s="258"/>
      <c r="H3063" s="259"/>
      <c r="I3063" s="541">
        <f t="shared" si="59"/>
        <v>93341.371428571336</v>
      </c>
    </row>
    <row r="3064" spans="2:9" ht="17" customHeight="1">
      <c r="B3064" s="253"/>
      <c r="C3064" s="263"/>
      <c r="D3064" s="261"/>
      <c r="E3064" s="256"/>
      <c r="F3064" s="257"/>
      <c r="G3064" s="258"/>
      <c r="H3064" s="259"/>
      <c r="I3064" s="541">
        <f t="shared" si="59"/>
        <v>93341.371428571336</v>
      </c>
    </row>
    <row r="3065" spans="2:9" ht="17" customHeight="1">
      <c r="B3065" s="253"/>
      <c r="C3065" s="263"/>
      <c r="D3065" s="261"/>
      <c r="E3065" s="256"/>
      <c r="F3065" s="257"/>
      <c r="G3065" s="258"/>
      <c r="H3065" s="259"/>
      <c r="I3065" s="541">
        <f t="shared" si="59"/>
        <v>93341.371428571336</v>
      </c>
    </row>
    <row r="3066" spans="2:9" ht="17" customHeight="1">
      <c r="B3066" s="253"/>
      <c r="C3066" s="263"/>
      <c r="D3066" s="261"/>
      <c r="E3066" s="256"/>
      <c r="F3066" s="257"/>
      <c r="G3066" s="258"/>
      <c r="H3066" s="259"/>
      <c r="I3066" s="541">
        <f t="shared" si="59"/>
        <v>93341.371428571336</v>
      </c>
    </row>
    <row r="3067" spans="2:9" ht="17" customHeight="1">
      <c r="B3067" s="253"/>
      <c r="C3067" s="263"/>
      <c r="D3067" s="261"/>
      <c r="E3067" s="256"/>
      <c r="F3067" s="257"/>
      <c r="G3067" s="258"/>
      <c r="H3067" s="259"/>
      <c r="I3067" s="541">
        <f t="shared" si="59"/>
        <v>93341.371428571336</v>
      </c>
    </row>
    <row r="3068" spans="2:9" ht="17" customHeight="1">
      <c r="B3068" s="253"/>
      <c r="C3068" s="263"/>
      <c r="D3068" s="261"/>
      <c r="E3068" s="256"/>
      <c r="F3068" s="257"/>
      <c r="G3068" s="258"/>
      <c r="H3068" s="259"/>
      <c r="I3068" s="541">
        <f t="shared" si="59"/>
        <v>93341.371428571336</v>
      </c>
    </row>
    <row r="3069" spans="2:9" ht="17" customHeight="1">
      <c r="B3069" s="253"/>
      <c r="C3069" s="263"/>
      <c r="D3069" s="261"/>
      <c r="E3069" s="256"/>
      <c r="F3069" s="257"/>
      <c r="G3069" s="258"/>
      <c r="H3069" s="259"/>
      <c r="I3069" s="541">
        <f t="shared" si="59"/>
        <v>93341.371428571336</v>
      </c>
    </row>
    <row r="3070" spans="2:9" ht="17" customHeight="1">
      <c r="B3070" s="253"/>
      <c r="C3070" s="263"/>
      <c r="D3070" s="261"/>
      <c r="E3070" s="256"/>
      <c r="F3070" s="257"/>
      <c r="G3070" s="258"/>
      <c r="H3070" s="259"/>
      <c r="I3070" s="541">
        <f t="shared" si="59"/>
        <v>93341.371428571336</v>
      </c>
    </row>
    <row r="3071" spans="2:9" ht="17" customHeight="1">
      <c r="B3071" s="253"/>
      <c r="C3071" s="263"/>
      <c r="D3071" s="261"/>
      <c r="E3071" s="256"/>
      <c r="F3071" s="257"/>
      <c r="G3071" s="258"/>
      <c r="H3071" s="259"/>
      <c r="I3071" s="541">
        <f t="shared" si="59"/>
        <v>93341.371428571336</v>
      </c>
    </row>
    <row r="3072" spans="2:9" ht="17" customHeight="1">
      <c r="B3072" s="253"/>
      <c r="C3072" s="263"/>
      <c r="D3072" s="261"/>
      <c r="E3072" s="256"/>
      <c r="F3072" s="257"/>
      <c r="G3072" s="258"/>
      <c r="H3072" s="259"/>
      <c r="I3072" s="541">
        <f t="shared" si="59"/>
        <v>93341.371428571336</v>
      </c>
    </row>
    <row r="3073" spans="2:9" ht="17" customHeight="1">
      <c r="B3073" s="253"/>
      <c r="C3073" s="263"/>
      <c r="D3073" s="261"/>
      <c r="E3073" s="256"/>
      <c r="F3073" s="257"/>
      <c r="G3073" s="258"/>
      <c r="H3073" s="259"/>
      <c r="I3073" s="541">
        <f t="shared" si="59"/>
        <v>93341.371428571336</v>
      </c>
    </row>
    <row r="3074" spans="2:9" ht="17" customHeight="1">
      <c r="B3074" s="253"/>
      <c r="C3074" s="263"/>
      <c r="D3074" s="261"/>
      <c r="E3074" s="256"/>
      <c r="F3074" s="257"/>
      <c r="G3074" s="258"/>
      <c r="H3074" s="259"/>
      <c r="I3074" s="541">
        <f t="shared" si="59"/>
        <v>93341.371428571336</v>
      </c>
    </row>
    <row r="3075" spans="2:9" ht="17" customHeight="1">
      <c r="B3075" s="253"/>
      <c r="C3075" s="263"/>
      <c r="D3075" s="261"/>
      <c r="E3075" s="256"/>
      <c r="F3075" s="257"/>
      <c r="G3075" s="258"/>
      <c r="H3075" s="259"/>
      <c r="I3075" s="541">
        <f t="shared" si="59"/>
        <v>93341.371428571336</v>
      </c>
    </row>
    <row r="3076" spans="2:9" ht="17" customHeight="1">
      <c r="B3076" s="253"/>
      <c r="C3076" s="263"/>
      <c r="D3076" s="261"/>
      <c r="E3076" s="256"/>
      <c r="F3076" s="257"/>
      <c r="G3076" s="258"/>
      <c r="H3076" s="259"/>
      <c r="I3076" s="541">
        <f t="shared" si="59"/>
        <v>93341.371428571336</v>
      </c>
    </row>
    <row r="3077" spans="2:9" ht="17" customHeight="1">
      <c r="B3077" s="253"/>
      <c r="C3077" s="263"/>
      <c r="D3077" s="261"/>
      <c r="E3077" s="256"/>
      <c r="F3077" s="257"/>
      <c r="G3077" s="258"/>
      <c r="H3077" s="259"/>
      <c r="I3077" s="541">
        <f t="shared" si="59"/>
        <v>93341.371428571336</v>
      </c>
    </row>
    <row r="3078" spans="2:9" ht="17" customHeight="1">
      <c r="B3078" s="253"/>
      <c r="C3078" s="263"/>
      <c r="D3078" s="261"/>
      <c r="E3078" s="256"/>
      <c r="F3078" s="257"/>
      <c r="G3078" s="258"/>
      <c r="H3078" s="259"/>
      <c r="I3078" s="541">
        <f t="shared" si="59"/>
        <v>93341.371428571336</v>
      </c>
    </row>
    <row r="3079" spans="2:9" ht="17" customHeight="1">
      <c r="B3079" s="253"/>
      <c r="C3079" s="263"/>
      <c r="D3079" s="261"/>
      <c r="E3079" s="256"/>
      <c r="F3079" s="257"/>
      <c r="G3079" s="258"/>
      <c r="H3079" s="259"/>
      <c r="I3079" s="541">
        <f t="shared" si="59"/>
        <v>93341.371428571336</v>
      </c>
    </row>
    <row r="3080" spans="2:9" ht="17" customHeight="1">
      <c r="B3080" s="253"/>
      <c r="C3080" s="263"/>
      <c r="D3080" s="261"/>
      <c r="E3080" s="256"/>
      <c r="F3080" s="257"/>
      <c r="G3080" s="258"/>
      <c r="H3080" s="259"/>
      <c r="I3080" s="541">
        <f t="shared" si="59"/>
        <v>93341.371428571336</v>
      </c>
    </row>
    <row r="3081" spans="2:9" ht="17" customHeight="1">
      <c r="B3081" s="253"/>
      <c r="C3081" s="263"/>
      <c r="D3081" s="261"/>
      <c r="E3081" s="256"/>
      <c r="F3081" s="257"/>
      <c r="G3081" s="258"/>
      <c r="H3081" s="259"/>
      <c r="I3081" s="541">
        <f t="shared" si="59"/>
        <v>93341.371428571336</v>
      </c>
    </row>
    <row r="3082" spans="2:9" ht="17" customHeight="1">
      <c r="B3082" s="253"/>
      <c r="C3082" s="263"/>
      <c r="D3082" s="261"/>
      <c r="E3082" s="256"/>
      <c r="F3082" s="257"/>
      <c r="G3082" s="258"/>
      <c r="H3082" s="259"/>
      <c r="I3082" s="541">
        <f t="shared" si="59"/>
        <v>93341.371428571336</v>
      </c>
    </row>
    <row r="3083" spans="2:9" ht="17" customHeight="1">
      <c r="B3083" s="253"/>
      <c r="C3083" s="263"/>
      <c r="D3083" s="261"/>
      <c r="E3083" s="256"/>
      <c r="F3083" s="257"/>
      <c r="G3083" s="258"/>
      <c r="H3083" s="259"/>
      <c r="I3083" s="541">
        <f t="shared" si="59"/>
        <v>93341.371428571336</v>
      </c>
    </row>
    <row r="3084" spans="2:9" ht="17" customHeight="1">
      <c r="B3084" s="253"/>
      <c r="C3084" s="263"/>
      <c r="D3084" s="261"/>
      <c r="E3084" s="256"/>
      <c r="F3084" s="257"/>
      <c r="G3084" s="258"/>
      <c r="H3084" s="259"/>
      <c r="I3084" s="541">
        <f t="shared" si="59"/>
        <v>93341.371428571336</v>
      </c>
    </row>
    <row r="3085" spans="2:9" ht="17" customHeight="1">
      <c r="B3085" s="253"/>
      <c r="C3085" s="263"/>
      <c r="D3085" s="261"/>
      <c r="E3085" s="256"/>
      <c r="F3085" s="257"/>
      <c r="G3085" s="258"/>
      <c r="H3085" s="259"/>
      <c r="I3085" s="541">
        <f t="shared" si="59"/>
        <v>93341.371428571336</v>
      </c>
    </row>
    <row r="3086" spans="2:9" ht="17" customHeight="1">
      <c r="B3086" s="253"/>
      <c r="C3086" s="263"/>
      <c r="D3086" s="261"/>
      <c r="E3086" s="256"/>
      <c r="F3086" s="257"/>
      <c r="G3086" s="258"/>
      <c r="H3086" s="259"/>
      <c r="I3086" s="541">
        <f t="shared" si="59"/>
        <v>93341.371428571336</v>
      </c>
    </row>
    <row r="3087" spans="2:9" ht="17" customHeight="1">
      <c r="B3087" s="253"/>
      <c r="C3087" s="263"/>
      <c r="D3087" s="261"/>
      <c r="E3087" s="256"/>
      <c r="F3087" s="257"/>
      <c r="G3087" s="258"/>
      <c r="H3087" s="259"/>
      <c r="I3087" s="541">
        <f t="shared" si="59"/>
        <v>93341.371428571336</v>
      </c>
    </row>
    <row r="3088" spans="2:9" ht="17" customHeight="1">
      <c r="B3088" s="253"/>
      <c r="C3088" s="263"/>
      <c r="D3088" s="261"/>
      <c r="E3088" s="256"/>
      <c r="F3088" s="257"/>
      <c r="G3088" s="258"/>
      <c r="H3088" s="259"/>
      <c r="I3088" s="541">
        <f t="shared" si="59"/>
        <v>93341.371428571336</v>
      </c>
    </row>
    <row r="3089" spans="2:9" ht="17" customHeight="1">
      <c r="B3089" s="253"/>
      <c r="C3089" s="263"/>
      <c r="D3089" s="261"/>
      <c r="E3089" s="256"/>
      <c r="F3089" s="257"/>
      <c r="G3089" s="258"/>
      <c r="H3089" s="259"/>
      <c r="I3089" s="541">
        <f t="shared" si="59"/>
        <v>93341.371428571336</v>
      </c>
    </row>
    <row r="3090" spans="2:9" ht="17" customHeight="1">
      <c r="B3090" s="253"/>
      <c r="C3090" s="263"/>
      <c r="D3090" s="261"/>
      <c r="E3090" s="256"/>
      <c r="F3090" s="257"/>
      <c r="G3090" s="258"/>
      <c r="H3090" s="259"/>
      <c r="I3090" s="541">
        <f t="shared" si="59"/>
        <v>93341.371428571336</v>
      </c>
    </row>
    <row r="3091" spans="2:9" ht="17" customHeight="1">
      <c r="B3091" s="253"/>
      <c r="C3091" s="263"/>
      <c r="D3091" s="261"/>
      <c r="E3091" s="256"/>
      <c r="F3091" s="257"/>
      <c r="G3091" s="258"/>
      <c r="H3091" s="259"/>
      <c r="I3091" s="541">
        <f t="shared" si="59"/>
        <v>93341.371428571336</v>
      </c>
    </row>
    <row r="3092" spans="2:9" ht="17" customHeight="1">
      <c r="B3092" s="253"/>
      <c r="C3092" s="263"/>
      <c r="D3092" s="261"/>
      <c r="E3092" s="256"/>
      <c r="F3092" s="257"/>
      <c r="G3092" s="258"/>
      <c r="H3092" s="259"/>
      <c r="I3092" s="541">
        <f t="shared" si="59"/>
        <v>93341.371428571336</v>
      </c>
    </row>
    <row r="3093" spans="2:9" ht="17" customHeight="1">
      <c r="B3093" s="253"/>
      <c r="C3093" s="263"/>
      <c r="D3093" s="261"/>
      <c r="E3093" s="256"/>
      <c r="F3093" s="257"/>
      <c r="G3093" s="258"/>
      <c r="H3093" s="259"/>
      <c r="I3093" s="541">
        <f t="shared" si="59"/>
        <v>93341.371428571336</v>
      </c>
    </row>
    <row r="3094" spans="2:9" ht="17" customHeight="1">
      <c r="B3094" s="253"/>
      <c r="C3094" s="263"/>
      <c r="D3094" s="261"/>
      <c r="E3094" s="256"/>
      <c r="F3094" s="257"/>
      <c r="G3094" s="258"/>
      <c r="H3094" s="259"/>
      <c r="I3094" s="541">
        <f t="shared" si="59"/>
        <v>93341.371428571336</v>
      </c>
    </row>
    <row r="3095" spans="2:9" ht="17" customHeight="1">
      <c r="B3095" s="253"/>
      <c r="C3095" s="263"/>
      <c r="D3095" s="261"/>
      <c r="E3095" s="256"/>
      <c r="F3095" s="257"/>
      <c r="G3095" s="258"/>
      <c r="H3095" s="259"/>
      <c r="I3095" s="541">
        <f t="shared" si="59"/>
        <v>93341.371428571336</v>
      </c>
    </row>
    <row r="3096" spans="2:9" ht="17" customHeight="1">
      <c r="B3096" s="253"/>
      <c r="C3096" s="263"/>
      <c r="D3096" s="261"/>
      <c r="E3096" s="256"/>
      <c r="F3096" s="257"/>
      <c r="G3096" s="258"/>
      <c r="H3096" s="259"/>
      <c r="I3096" s="541">
        <f t="shared" si="59"/>
        <v>93341.371428571336</v>
      </c>
    </row>
    <row r="3097" spans="2:9" ht="17" customHeight="1">
      <c r="B3097" s="253"/>
      <c r="C3097" s="263"/>
      <c r="D3097" s="261"/>
      <c r="E3097" s="256"/>
      <c r="F3097" s="257"/>
      <c r="G3097" s="258"/>
      <c r="H3097" s="259"/>
      <c r="I3097" s="541">
        <f t="shared" si="59"/>
        <v>93341.371428571336</v>
      </c>
    </row>
    <row r="3098" spans="2:9" ht="17" customHeight="1">
      <c r="B3098" s="253"/>
      <c r="C3098" s="263"/>
      <c r="D3098" s="261"/>
      <c r="E3098" s="256"/>
      <c r="F3098" s="257"/>
      <c r="G3098" s="258"/>
      <c r="H3098" s="259"/>
      <c r="I3098" s="541">
        <f t="shared" ref="I3098:I3161" si="60">I3097+E3099-F3099</f>
        <v>93341.371428571336</v>
      </c>
    </row>
    <row r="3099" spans="2:9" ht="17" customHeight="1">
      <c r="B3099" s="253"/>
      <c r="C3099" s="263"/>
      <c r="D3099" s="261"/>
      <c r="E3099" s="256"/>
      <c r="F3099" s="257"/>
      <c r="G3099" s="258"/>
      <c r="H3099" s="259"/>
      <c r="I3099" s="541">
        <f t="shared" si="60"/>
        <v>93341.371428571336</v>
      </c>
    </row>
    <row r="3100" spans="2:9" ht="17" customHeight="1">
      <c r="B3100" s="253"/>
      <c r="C3100" s="263"/>
      <c r="D3100" s="261"/>
      <c r="E3100" s="256"/>
      <c r="F3100" s="257"/>
      <c r="G3100" s="258"/>
      <c r="H3100" s="259"/>
      <c r="I3100" s="541">
        <f t="shared" si="60"/>
        <v>93341.371428571336</v>
      </c>
    </row>
    <row r="3101" spans="2:9" ht="17" customHeight="1">
      <c r="B3101" s="253"/>
      <c r="C3101" s="263"/>
      <c r="D3101" s="261"/>
      <c r="E3101" s="256"/>
      <c r="F3101" s="257"/>
      <c r="G3101" s="258"/>
      <c r="H3101" s="259"/>
      <c r="I3101" s="541">
        <f t="shared" si="60"/>
        <v>93341.371428571336</v>
      </c>
    </row>
    <row r="3102" spans="2:9" ht="17" customHeight="1">
      <c r="B3102" s="253"/>
      <c r="C3102" s="263"/>
      <c r="D3102" s="261"/>
      <c r="E3102" s="256"/>
      <c r="F3102" s="257"/>
      <c r="G3102" s="258"/>
      <c r="H3102" s="259"/>
      <c r="I3102" s="541">
        <f t="shared" si="60"/>
        <v>93341.371428571336</v>
      </c>
    </row>
    <row r="3103" spans="2:9" ht="17" customHeight="1">
      <c r="B3103" s="253"/>
      <c r="C3103" s="263"/>
      <c r="D3103" s="261"/>
      <c r="E3103" s="256"/>
      <c r="F3103" s="257"/>
      <c r="G3103" s="258"/>
      <c r="H3103" s="259"/>
      <c r="I3103" s="541">
        <f t="shared" si="60"/>
        <v>93341.371428571336</v>
      </c>
    </row>
    <row r="3104" spans="2:9" ht="17" customHeight="1">
      <c r="B3104" s="253"/>
      <c r="C3104" s="263"/>
      <c r="D3104" s="261"/>
      <c r="E3104" s="256"/>
      <c r="F3104" s="257"/>
      <c r="G3104" s="258"/>
      <c r="H3104" s="259"/>
      <c r="I3104" s="541">
        <f t="shared" si="60"/>
        <v>93341.371428571336</v>
      </c>
    </row>
    <row r="3105" spans="2:9" ht="17" customHeight="1">
      <c r="B3105" s="253"/>
      <c r="C3105" s="263"/>
      <c r="D3105" s="261"/>
      <c r="E3105" s="256"/>
      <c r="F3105" s="257"/>
      <c r="G3105" s="258"/>
      <c r="H3105" s="259"/>
      <c r="I3105" s="541">
        <f t="shared" si="60"/>
        <v>93341.371428571336</v>
      </c>
    </row>
    <row r="3106" spans="2:9" ht="17" customHeight="1">
      <c r="B3106" s="253"/>
      <c r="C3106" s="263"/>
      <c r="D3106" s="261"/>
      <c r="E3106" s="256"/>
      <c r="F3106" s="257"/>
      <c r="G3106" s="258"/>
      <c r="H3106" s="259"/>
      <c r="I3106" s="541">
        <f t="shared" si="60"/>
        <v>93341.371428571336</v>
      </c>
    </row>
    <row r="3107" spans="2:9" ht="17" customHeight="1">
      <c r="B3107" s="253"/>
      <c r="C3107" s="263"/>
      <c r="D3107" s="261"/>
      <c r="E3107" s="256"/>
      <c r="F3107" s="257"/>
      <c r="G3107" s="258"/>
      <c r="H3107" s="259"/>
      <c r="I3107" s="541">
        <f t="shared" si="60"/>
        <v>93341.371428571336</v>
      </c>
    </row>
    <row r="3108" spans="2:9" ht="17" customHeight="1">
      <c r="B3108" s="253"/>
      <c r="C3108" s="263"/>
      <c r="D3108" s="261"/>
      <c r="E3108" s="256"/>
      <c r="F3108" s="257"/>
      <c r="G3108" s="258"/>
      <c r="H3108" s="259"/>
      <c r="I3108" s="541">
        <f t="shared" si="60"/>
        <v>93341.371428571336</v>
      </c>
    </row>
    <row r="3109" spans="2:9" ht="17" customHeight="1">
      <c r="B3109" s="253"/>
      <c r="C3109" s="263"/>
      <c r="D3109" s="261"/>
      <c r="E3109" s="256"/>
      <c r="F3109" s="257"/>
      <c r="G3109" s="258"/>
      <c r="H3109" s="259"/>
      <c r="I3109" s="541">
        <f t="shared" si="60"/>
        <v>93341.371428571336</v>
      </c>
    </row>
    <row r="3110" spans="2:9" ht="17" customHeight="1">
      <c r="B3110" s="253"/>
      <c r="C3110" s="263"/>
      <c r="D3110" s="261"/>
      <c r="E3110" s="256"/>
      <c r="F3110" s="257"/>
      <c r="G3110" s="258"/>
      <c r="H3110" s="259"/>
      <c r="I3110" s="541">
        <f t="shared" si="60"/>
        <v>93341.371428571336</v>
      </c>
    </row>
    <row r="3111" spans="2:9" ht="17" customHeight="1">
      <c r="B3111" s="253"/>
      <c r="C3111" s="263"/>
      <c r="D3111" s="261"/>
      <c r="E3111" s="256"/>
      <c r="F3111" s="257"/>
      <c r="G3111" s="258"/>
      <c r="H3111" s="259"/>
      <c r="I3111" s="541">
        <f t="shared" si="60"/>
        <v>93341.371428571336</v>
      </c>
    </row>
    <row r="3112" spans="2:9" ht="17" customHeight="1">
      <c r="B3112" s="253"/>
      <c r="C3112" s="263"/>
      <c r="D3112" s="261"/>
      <c r="E3112" s="256"/>
      <c r="F3112" s="257"/>
      <c r="G3112" s="258"/>
      <c r="H3112" s="259"/>
      <c r="I3112" s="541">
        <f t="shared" si="60"/>
        <v>93341.371428571336</v>
      </c>
    </row>
    <row r="3113" spans="2:9" ht="17" customHeight="1">
      <c r="B3113" s="253"/>
      <c r="C3113" s="263"/>
      <c r="D3113" s="261"/>
      <c r="E3113" s="256"/>
      <c r="F3113" s="257"/>
      <c r="G3113" s="258"/>
      <c r="H3113" s="259"/>
      <c r="I3113" s="541">
        <f t="shared" si="60"/>
        <v>93341.371428571336</v>
      </c>
    </row>
    <row r="3114" spans="2:9" ht="17" customHeight="1">
      <c r="B3114" s="253"/>
      <c r="C3114" s="263"/>
      <c r="D3114" s="261"/>
      <c r="E3114" s="256"/>
      <c r="F3114" s="257"/>
      <c r="G3114" s="258"/>
      <c r="H3114" s="259"/>
      <c r="I3114" s="541">
        <f t="shared" si="60"/>
        <v>93341.371428571336</v>
      </c>
    </row>
    <row r="3115" spans="2:9" ht="17" customHeight="1">
      <c r="B3115" s="253"/>
      <c r="C3115" s="263"/>
      <c r="D3115" s="261"/>
      <c r="E3115" s="256"/>
      <c r="F3115" s="257"/>
      <c r="G3115" s="258"/>
      <c r="H3115" s="259"/>
      <c r="I3115" s="541">
        <f t="shared" si="60"/>
        <v>93341.371428571336</v>
      </c>
    </row>
    <row r="3116" spans="2:9" ht="17" customHeight="1">
      <c r="B3116" s="253"/>
      <c r="C3116" s="263"/>
      <c r="D3116" s="261"/>
      <c r="E3116" s="256"/>
      <c r="F3116" s="257"/>
      <c r="G3116" s="258"/>
      <c r="H3116" s="259"/>
      <c r="I3116" s="541">
        <f t="shared" si="60"/>
        <v>93341.371428571336</v>
      </c>
    </row>
    <row r="3117" spans="2:9" ht="17" customHeight="1">
      <c r="B3117" s="253"/>
      <c r="C3117" s="263"/>
      <c r="D3117" s="261"/>
      <c r="E3117" s="256"/>
      <c r="F3117" s="257"/>
      <c r="G3117" s="258"/>
      <c r="H3117" s="259"/>
      <c r="I3117" s="541">
        <f t="shared" si="60"/>
        <v>93341.371428571336</v>
      </c>
    </row>
    <row r="3118" spans="2:9" ht="17" customHeight="1">
      <c r="B3118" s="253"/>
      <c r="C3118" s="263"/>
      <c r="D3118" s="261"/>
      <c r="E3118" s="256"/>
      <c r="F3118" s="257"/>
      <c r="G3118" s="258"/>
      <c r="H3118" s="259"/>
      <c r="I3118" s="541">
        <f t="shared" si="60"/>
        <v>93341.371428571336</v>
      </c>
    </row>
    <row r="3119" spans="2:9" ht="17" customHeight="1">
      <c r="B3119" s="253"/>
      <c r="C3119" s="263"/>
      <c r="D3119" s="261"/>
      <c r="E3119" s="256"/>
      <c r="F3119" s="257"/>
      <c r="G3119" s="258"/>
      <c r="H3119" s="259"/>
      <c r="I3119" s="541">
        <f t="shared" si="60"/>
        <v>93341.371428571336</v>
      </c>
    </row>
    <row r="3120" spans="2:9" ht="17" customHeight="1">
      <c r="B3120" s="253"/>
      <c r="C3120" s="263"/>
      <c r="D3120" s="261"/>
      <c r="E3120" s="256"/>
      <c r="F3120" s="257"/>
      <c r="G3120" s="258"/>
      <c r="H3120" s="259"/>
      <c r="I3120" s="541">
        <f t="shared" si="60"/>
        <v>93341.371428571336</v>
      </c>
    </row>
    <row r="3121" spans="2:9" ht="17" customHeight="1">
      <c r="B3121" s="253"/>
      <c r="C3121" s="263"/>
      <c r="D3121" s="261"/>
      <c r="E3121" s="256"/>
      <c r="F3121" s="257"/>
      <c r="G3121" s="258"/>
      <c r="H3121" s="259"/>
      <c r="I3121" s="541">
        <f t="shared" si="60"/>
        <v>93341.371428571336</v>
      </c>
    </row>
    <row r="3122" spans="2:9" ht="17" customHeight="1">
      <c r="B3122" s="253"/>
      <c r="C3122" s="263"/>
      <c r="D3122" s="261"/>
      <c r="E3122" s="256"/>
      <c r="F3122" s="257"/>
      <c r="G3122" s="258"/>
      <c r="H3122" s="259"/>
      <c r="I3122" s="541">
        <f t="shared" si="60"/>
        <v>93341.371428571336</v>
      </c>
    </row>
    <row r="3123" spans="2:9" ht="17" customHeight="1">
      <c r="B3123" s="253"/>
      <c r="C3123" s="263"/>
      <c r="D3123" s="261"/>
      <c r="E3123" s="256"/>
      <c r="F3123" s="257"/>
      <c r="G3123" s="258"/>
      <c r="H3123" s="259"/>
      <c r="I3123" s="541">
        <f t="shared" si="60"/>
        <v>93341.371428571336</v>
      </c>
    </row>
    <row r="3124" spans="2:9" ht="17" customHeight="1">
      <c r="B3124" s="253"/>
      <c r="C3124" s="263"/>
      <c r="D3124" s="261"/>
      <c r="E3124" s="256"/>
      <c r="F3124" s="257"/>
      <c r="G3124" s="258"/>
      <c r="H3124" s="259"/>
      <c r="I3124" s="541">
        <f t="shared" si="60"/>
        <v>93341.371428571336</v>
      </c>
    </row>
    <row r="3125" spans="2:9" ht="17" customHeight="1">
      <c r="B3125" s="253"/>
      <c r="C3125" s="263"/>
      <c r="D3125" s="261"/>
      <c r="E3125" s="256"/>
      <c r="F3125" s="257"/>
      <c r="G3125" s="258"/>
      <c r="H3125" s="259"/>
      <c r="I3125" s="541">
        <f t="shared" si="60"/>
        <v>93341.371428571336</v>
      </c>
    </row>
    <row r="3126" spans="2:9" ht="17" customHeight="1">
      <c r="B3126" s="253"/>
      <c r="C3126" s="263"/>
      <c r="D3126" s="261"/>
      <c r="E3126" s="256"/>
      <c r="F3126" s="257"/>
      <c r="G3126" s="258"/>
      <c r="H3126" s="259"/>
      <c r="I3126" s="541">
        <f t="shared" si="60"/>
        <v>93341.371428571336</v>
      </c>
    </row>
    <row r="3127" spans="2:9" ht="17" customHeight="1">
      <c r="B3127" s="253"/>
      <c r="C3127" s="263"/>
      <c r="D3127" s="261"/>
      <c r="E3127" s="256"/>
      <c r="F3127" s="257"/>
      <c r="G3127" s="258"/>
      <c r="H3127" s="259"/>
      <c r="I3127" s="541">
        <f t="shared" si="60"/>
        <v>93341.371428571336</v>
      </c>
    </row>
    <row r="3128" spans="2:9" ht="17" customHeight="1">
      <c r="B3128" s="253"/>
      <c r="C3128" s="263"/>
      <c r="D3128" s="261"/>
      <c r="E3128" s="256"/>
      <c r="F3128" s="257"/>
      <c r="G3128" s="258"/>
      <c r="H3128" s="259"/>
      <c r="I3128" s="541">
        <f t="shared" si="60"/>
        <v>93341.371428571336</v>
      </c>
    </row>
    <row r="3129" spans="2:9" ht="17" customHeight="1">
      <c r="B3129" s="253"/>
      <c r="C3129" s="263"/>
      <c r="D3129" s="261"/>
      <c r="E3129" s="256"/>
      <c r="F3129" s="257"/>
      <c r="G3129" s="258"/>
      <c r="H3129" s="259"/>
      <c r="I3129" s="541">
        <f t="shared" si="60"/>
        <v>93341.371428571336</v>
      </c>
    </row>
    <row r="3130" spans="2:9" ht="17" customHeight="1">
      <c r="B3130" s="253"/>
      <c r="C3130" s="263"/>
      <c r="D3130" s="261"/>
      <c r="E3130" s="256"/>
      <c r="F3130" s="257"/>
      <c r="G3130" s="258"/>
      <c r="H3130" s="259"/>
      <c r="I3130" s="541">
        <f t="shared" si="60"/>
        <v>93341.371428571336</v>
      </c>
    </row>
    <row r="3131" spans="2:9" ht="17" customHeight="1">
      <c r="B3131" s="253"/>
      <c r="C3131" s="263"/>
      <c r="D3131" s="261"/>
      <c r="E3131" s="256"/>
      <c r="F3131" s="257"/>
      <c r="G3131" s="258"/>
      <c r="H3131" s="259"/>
      <c r="I3131" s="541">
        <f t="shared" si="60"/>
        <v>93341.371428571336</v>
      </c>
    </row>
    <row r="3132" spans="2:9" ht="17" customHeight="1">
      <c r="B3132" s="253"/>
      <c r="C3132" s="263"/>
      <c r="D3132" s="261"/>
      <c r="E3132" s="256"/>
      <c r="F3132" s="257"/>
      <c r="G3132" s="258"/>
      <c r="H3132" s="259"/>
      <c r="I3132" s="541">
        <f t="shared" si="60"/>
        <v>93341.371428571336</v>
      </c>
    </row>
    <row r="3133" spans="2:9" ht="17" customHeight="1">
      <c r="B3133" s="253"/>
      <c r="C3133" s="263"/>
      <c r="D3133" s="261"/>
      <c r="E3133" s="256"/>
      <c r="F3133" s="257"/>
      <c r="G3133" s="258"/>
      <c r="H3133" s="259"/>
      <c r="I3133" s="541">
        <f t="shared" si="60"/>
        <v>93341.371428571336</v>
      </c>
    </row>
    <row r="3134" spans="2:9" ht="17" customHeight="1">
      <c r="B3134" s="253"/>
      <c r="C3134" s="263"/>
      <c r="D3134" s="261"/>
      <c r="E3134" s="256"/>
      <c r="F3134" s="257"/>
      <c r="G3134" s="258"/>
      <c r="H3134" s="259"/>
      <c r="I3134" s="541">
        <f t="shared" si="60"/>
        <v>93341.371428571336</v>
      </c>
    </row>
    <row r="3135" spans="2:9" ht="17" customHeight="1">
      <c r="B3135" s="253"/>
      <c r="C3135" s="263"/>
      <c r="D3135" s="261"/>
      <c r="E3135" s="256"/>
      <c r="F3135" s="257"/>
      <c r="G3135" s="258"/>
      <c r="H3135" s="259"/>
      <c r="I3135" s="541">
        <f t="shared" si="60"/>
        <v>93341.371428571336</v>
      </c>
    </row>
    <row r="3136" spans="2:9" ht="17" customHeight="1">
      <c r="B3136" s="253"/>
      <c r="C3136" s="263"/>
      <c r="D3136" s="261"/>
      <c r="E3136" s="256"/>
      <c r="F3136" s="257"/>
      <c r="G3136" s="258"/>
      <c r="H3136" s="259"/>
      <c r="I3136" s="541">
        <f t="shared" si="60"/>
        <v>93341.371428571336</v>
      </c>
    </row>
    <row r="3137" spans="2:9" ht="17" customHeight="1">
      <c r="B3137" s="253"/>
      <c r="C3137" s="263"/>
      <c r="D3137" s="261"/>
      <c r="E3137" s="256"/>
      <c r="F3137" s="257"/>
      <c r="G3137" s="258"/>
      <c r="H3137" s="259"/>
      <c r="I3137" s="541">
        <f t="shared" si="60"/>
        <v>93341.371428571336</v>
      </c>
    </row>
    <row r="3138" spans="2:9" ht="17" customHeight="1">
      <c r="B3138" s="253"/>
      <c r="C3138" s="263"/>
      <c r="D3138" s="261"/>
      <c r="E3138" s="256"/>
      <c r="F3138" s="257"/>
      <c r="G3138" s="258"/>
      <c r="H3138" s="259"/>
      <c r="I3138" s="541">
        <f t="shared" si="60"/>
        <v>93341.371428571336</v>
      </c>
    </row>
    <row r="3139" spans="2:9" ht="17" customHeight="1">
      <c r="B3139" s="253"/>
      <c r="C3139" s="263"/>
      <c r="D3139" s="261"/>
      <c r="E3139" s="256"/>
      <c r="F3139" s="257"/>
      <c r="G3139" s="258"/>
      <c r="H3139" s="259"/>
      <c r="I3139" s="541">
        <f t="shared" si="60"/>
        <v>93341.371428571336</v>
      </c>
    </row>
    <row r="3140" spans="2:9" ht="17" customHeight="1">
      <c r="B3140" s="253"/>
      <c r="C3140" s="263"/>
      <c r="D3140" s="261"/>
      <c r="E3140" s="256"/>
      <c r="F3140" s="257"/>
      <c r="G3140" s="258"/>
      <c r="H3140" s="259"/>
      <c r="I3140" s="541">
        <f t="shared" si="60"/>
        <v>93341.371428571336</v>
      </c>
    </row>
    <row r="3141" spans="2:9" ht="17" customHeight="1">
      <c r="B3141" s="253"/>
      <c r="C3141" s="263"/>
      <c r="D3141" s="261"/>
      <c r="E3141" s="256"/>
      <c r="F3141" s="257"/>
      <c r="G3141" s="258"/>
      <c r="H3141" s="259"/>
      <c r="I3141" s="541">
        <f t="shared" si="60"/>
        <v>93341.371428571336</v>
      </c>
    </row>
    <row r="3142" spans="2:9" ht="17" customHeight="1">
      <c r="B3142" s="253"/>
      <c r="C3142" s="263"/>
      <c r="D3142" s="261"/>
      <c r="E3142" s="256"/>
      <c r="F3142" s="257"/>
      <c r="G3142" s="258"/>
      <c r="H3142" s="259"/>
      <c r="I3142" s="541">
        <f t="shared" si="60"/>
        <v>93341.371428571336</v>
      </c>
    </row>
    <row r="3143" spans="2:9" ht="17" customHeight="1">
      <c r="B3143" s="253"/>
      <c r="C3143" s="263"/>
      <c r="D3143" s="261"/>
      <c r="E3143" s="256"/>
      <c r="F3143" s="257"/>
      <c r="G3143" s="258"/>
      <c r="H3143" s="259"/>
      <c r="I3143" s="541">
        <f t="shared" si="60"/>
        <v>93341.371428571336</v>
      </c>
    </row>
    <row r="3144" spans="2:9" ht="17" customHeight="1">
      <c r="B3144" s="253"/>
      <c r="C3144" s="263"/>
      <c r="D3144" s="261"/>
      <c r="E3144" s="256"/>
      <c r="F3144" s="257"/>
      <c r="G3144" s="258"/>
      <c r="H3144" s="259"/>
      <c r="I3144" s="541">
        <f t="shared" si="60"/>
        <v>93341.371428571336</v>
      </c>
    </row>
    <row r="3145" spans="2:9" ht="17" customHeight="1">
      <c r="B3145" s="253"/>
      <c r="C3145" s="263"/>
      <c r="D3145" s="261"/>
      <c r="E3145" s="256"/>
      <c r="F3145" s="257"/>
      <c r="G3145" s="258"/>
      <c r="H3145" s="259"/>
      <c r="I3145" s="541">
        <f t="shared" si="60"/>
        <v>93341.371428571336</v>
      </c>
    </row>
    <row r="3146" spans="2:9" ht="17" customHeight="1">
      <c r="B3146" s="253"/>
      <c r="C3146" s="263"/>
      <c r="D3146" s="261"/>
      <c r="E3146" s="256"/>
      <c r="F3146" s="257"/>
      <c r="G3146" s="258"/>
      <c r="H3146" s="259"/>
      <c r="I3146" s="541">
        <f t="shared" si="60"/>
        <v>93341.371428571336</v>
      </c>
    </row>
    <row r="3147" spans="2:9" ht="17" customHeight="1">
      <c r="B3147" s="253"/>
      <c r="C3147" s="263"/>
      <c r="D3147" s="261"/>
      <c r="E3147" s="256"/>
      <c r="F3147" s="257"/>
      <c r="G3147" s="258"/>
      <c r="H3147" s="259"/>
      <c r="I3147" s="541">
        <f t="shared" si="60"/>
        <v>93341.371428571336</v>
      </c>
    </row>
    <row r="3148" spans="2:9" ht="17" customHeight="1">
      <c r="B3148" s="253"/>
      <c r="C3148" s="263"/>
      <c r="D3148" s="261"/>
      <c r="E3148" s="256"/>
      <c r="F3148" s="257"/>
      <c r="G3148" s="258"/>
      <c r="H3148" s="259"/>
      <c r="I3148" s="541">
        <f t="shared" si="60"/>
        <v>93341.371428571336</v>
      </c>
    </row>
    <row r="3149" spans="2:9" ht="17" customHeight="1">
      <c r="B3149" s="253"/>
      <c r="C3149" s="263"/>
      <c r="D3149" s="261"/>
      <c r="E3149" s="256"/>
      <c r="F3149" s="257"/>
      <c r="G3149" s="258"/>
      <c r="H3149" s="259"/>
      <c r="I3149" s="541">
        <f t="shared" si="60"/>
        <v>93341.371428571336</v>
      </c>
    </row>
    <row r="3150" spans="2:9" ht="17" customHeight="1">
      <c r="B3150" s="253"/>
      <c r="C3150" s="263"/>
      <c r="D3150" s="261"/>
      <c r="E3150" s="256"/>
      <c r="F3150" s="257"/>
      <c r="G3150" s="258"/>
      <c r="H3150" s="259"/>
      <c r="I3150" s="541">
        <f t="shared" si="60"/>
        <v>93341.371428571336</v>
      </c>
    </row>
    <row r="3151" spans="2:9" ht="17" customHeight="1">
      <c r="B3151" s="253"/>
      <c r="C3151" s="263"/>
      <c r="D3151" s="261"/>
      <c r="E3151" s="256"/>
      <c r="F3151" s="257"/>
      <c r="G3151" s="258"/>
      <c r="H3151" s="259"/>
      <c r="I3151" s="541">
        <f t="shared" si="60"/>
        <v>93341.371428571336</v>
      </c>
    </row>
    <row r="3152" spans="2:9" ht="17" customHeight="1">
      <c r="B3152" s="253"/>
      <c r="C3152" s="263"/>
      <c r="D3152" s="261"/>
      <c r="E3152" s="256"/>
      <c r="F3152" s="257"/>
      <c r="G3152" s="258"/>
      <c r="H3152" s="259"/>
      <c r="I3152" s="541">
        <f t="shared" si="60"/>
        <v>93341.371428571336</v>
      </c>
    </row>
    <row r="3153" spans="2:9" ht="17" customHeight="1">
      <c r="B3153" s="253"/>
      <c r="C3153" s="263"/>
      <c r="D3153" s="261"/>
      <c r="E3153" s="256"/>
      <c r="F3153" s="257"/>
      <c r="G3153" s="258"/>
      <c r="H3153" s="259"/>
      <c r="I3153" s="541">
        <f t="shared" si="60"/>
        <v>93341.371428571336</v>
      </c>
    </row>
    <row r="3154" spans="2:9" ht="17" customHeight="1">
      <c r="B3154" s="253"/>
      <c r="C3154" s="263"/>
      <c r="D3154" s="261"/>
      <c r="E3154" s="256"/>
      <c r="F3154" s="257"/>
      <c r="G3154" s="258"/>
      <c r="H3154" s="259"/>
      <c r="I3154" s="541">
        <f t="shared" si="60"/>
        <v>93341.371428571336</v>
      </c>
    </row>
    <row r="3155" spans="2:9" ht="17" customHeight="1">
      <c r="B3155" s="253"/>
      <c r="C3155" s="263"/>
      <c r="D3155" s="261"/>
      <c r="E3155" s="256"/>
      <c r="F3155" s="257"/>
      <c r="G3155" s="258"/>
      <c r="H3155" s="259"/>
      <c r="I3155" s="541">
        <f t="shared" si="60"/>
        <v>93341.371428571336</v>
      </c>
    </row>
    <row r="3156" spans="2:9" ht="17" customHeight="1">
      <c r="B3156" s="253"/>
      <c r="C3156" s="263"/>
      <c r="D3156" s="261"/>
      <c r="E3156" s="256"/>
      <c r="F3156" s="257"/>
      <c r="G3156" s="258"/>
      <c r="H3156" s="259"/>
      <c r="I3156" s="541">
        <f t="shared" si="60"/>
        <v>93341.371428571336</v>
      </c>
    </row>
    <row r="3157" spans="2:9" ht="17" customHeight="1">
      <c r="B3157" s="253"/>
      <c r="C3157" s="263"/>
      <c r="D3157" s="261"/>
      <c r="E3157" s="256"/>
      <c r="F3157" s="257"/>
      <c r="G3157" s="258"/>
      <c r="H3157" s="259"/>
      <c r="I3157" s="541">
        <f t="shared" si="60"/>
        <v>93341.371428571336</v>
      </c>
    </row>
    <row r="3158" spans="2:9" ht="17" customHeight="1">
      <c r="B3158" s="253"/>
      <c r="C3158" s="263"/>
      <c r="D3158" s="261"/>
      <c r="E3158" s="256"/>
      <c r="F3158" s="257"/>
      <c r="G3158" s="258"/>
      <c r="H3158" s="259"/>
      <c r="I3158" s="541">
        <f t="shared" si="60"/>
        <v>93341.371428571336</v>
      </c>
    </row>
    <row r="3159" spans="2:9" ht="17" customHeight="1">
      <c r="B3159" s="253"/>
      <c r="C3159" s="263"/>
      <c r="D3159" s="261"/>
      <c r="E3159" s="256"/>
      <c r="F3159" s="257"/>
      <c r="G3159" s="258"/>
      <c r="H3159" s="259"/>
      <c r="I3159" s="541">
        <f t="shared" si="60"/>
        <v>93341.371428571336</v>
      </c>
    </row>
    <row r="3160" spans="2:9" ht="17" customHeight="1">
      <c r="B3160" s="253"/>
      <c r="C3160" s="263"/>
      <c r="D3160" s="261"/>
      <c r="E3160" s="256"/>
      <c r="F3160" s="257"/>
      <c r="G3160" s="258"/>
      <c r="H3160" s="259"/>
      <c r="I3160" s="541">
        <f t="shared" si="60"/>
        <v>93341.371428571336</v>
      </c>
    </row>
    <row r="3161" spans="2:9" ht="17" customHeight="1">
      <c r="B3161" s="253"/>
      <c r="C3161" s="263"/>
      <c r="D3161" s="261"/>
      <c r="E3161" s="256"/>
      <c r="F3161" s="257"/>
      <c r="G3161" s="258"/>
      <c r="H3161" s="259"/>
      <c r="I3161" s="541">
        <f t="shared" si="60"/>
        <v>93341.371428571336</v>
      </c>
    </row>
    <row r="3162" spans="2:9" ht="17" customHeight="1">
      <c r="B3162" s="253"/>
      <c r="C3162" s="263"/>
      <c r="D3162" s="261"/>
      <c r="E3162" s="256"/>
      <c r="F3162" s="257"/>
      <c r="G3162" s="258"/>
      <c r="H3162" s="259"/>
      <c r="I3162" s="541">
        <f t="shared" ref="I3162:I3225" si="61">I3161+E3163-F3163</f>
        <v>93341.371428571336</v>
      </c>
    </row>
    <row r="3163" spans="2:9" ht="17" customHeight="1">
      <c r="B3163" s="253"/>
      <c r="C3163" s="263"/>
      <c r="D3163" s="261"/>
      <c r="E3163" s="256"/>
      <c r="F3163" s="257"/>
      <c r="G3163" s="258"/>
      <c r="H3163" s="259"/>
      <c r="I3163" s="541">
        <f t="shared" si="61"/>
        <v>93341.371428571336</v>
      </c>
    </row>
    <row r="3164" spans="2:9" ht="17" customHeight="1">
      <c r="B3164" s="253"/>
      <c r="C3164" s="263"/>
      <c r="D3164" s="261"/>
      <c r="E3164" s="256"/>
      <c r="F3164" s="257"/>
      <c r="G3164" s="258"/>
      <c r="H3164" s="259"/>
      <c r="I3164" s="541">
        <f t="shared" si="61"/>
        <v>93341.371428571336</v>
      </c>
    </row>
    <row r="3165" spans="2:9" ht="17" customHeight="1">
      <c r="B3165" s="253"/>
      <c r="C3165" s="263"/>
      <c r="D3165" s="261"/>
      <c r="E3165" s="256"/>
      <c r="F3165" s="257"/>
      <c r="G3165" s="258"/>
      <c r="H3165" s="259"/>
      <c r="I3165" s="541">
        <f t="shared" si="61"/>
        <v>93341.371428571336</v>
      </c>
    </row>
    <row r="3166" spans="2:9" ht="17" customHeight="1">
      <c r="B3166" s="253"/>
      <c r="C3166" s="263"/>
      <c r="D3166" s="261"/>
      <c r="E3166" s="256"/>
      <c r="F3166" s="257"/>
      <c r="G3166" s="258"/>
      <c r="H3166" s="259"/>
      <c r="I3166" s="541">
        <f t="shared" si="61"/>
        <v>93341.371428571336</v>
      </c>
    </row>
    <row r="3167" spans="2:9" ht="17" customHeight="1">
      <c r="B3167" s="253"/>
      <c r="C3167" s="263"/>
      <c r="D3167" s="261"/>
      <c r="E3167" s="256"/>
      <c r="F3167" s="257"/>
      <c r="G3167" s="258"/>
      <c r="H3167" s="259"/>
      <c r="I3167" s="541">
        <f t="shared" si="61"/>
        <v>93341.371428571336</v>
      </c>
    </row>
    <row r="3168" spans="2:9" ht="17" customHeight="1">
      <c r="B3168" s="253"/>
      <c r="C3168" s="263"/>
      <c r="D3168" s="261"/>
      <c r="E3168" s="256"/>
      <c r="F3168" s="257"/>
      <c r="G3168" s="258"/>
      <c r="H3168" s="259"/>
      <c r="I3168" s="541">
        <f t="shared" si="61"/>
        <v>93341.371428571336</v>
      </c>
    </row>
    <row r="3169" spans="2:9" ht="17" customHeight="1">
      <c r="B3169" s="253"/>
      <c r="C3169" s="263"/>
      <c r="D3169" s="261"/>
      <c r="E3169" s="256"/>
      <c r="F3169" s="257"/>
      <c r="G3169" s="258"/>
      <c r="H3169" s="259"/>
      <c r="I3169" s="541">
        <f t="shared" si="61"/>
        <v>93341.371428571336</v>
      </c>
    </row>
    <row r="3170" spans="2:9" ht="17" customHeight="1">
      <c r="B3170" s="253"/>
      <c r="C3170" s="263"/>
      <c r="D3170" s="261"/>
      <c r="E3170" s="256"/>
      <c r="F3170" s="257"/>
      <c r="G3170" s="258"/>
      <c r="H3170" s="259"/>
      <c r="I3170" s="541">
        <f t="shared" si="61"/>
        <v>93341.371428571336</v>
      </c>
    </row>
    <row r="3171" spans="2:9" ht="17" customHeight="1">
      <c r="B3171" s="253"/>
      <c r="C3171" s="263"/>
      <c r="D3171" s="261"/>
      <c r="E3171" s="256"/>
      <c r="F3171" s="257"/>
      <c r="G3171" s="258"/>
      <c r="H3171" s="259"/>
      <c r="I3171" s="541">
        <f t="shared" si="61"/>
        <v>93341.371428571336</v>
      </c>
    </row>
    <row r="3172" spans="2:9" ht="17" customHeight="1">
      <c r="B3172" s="253"/>
      <c r="C3172" s="263"/>
      <c r="D3172" s="261"/>
      <c r="E3172" s="256"/>
      <c r="F3172" s="257"/>
      <c r="G3172" s="258"/>
      <c r="H3172" s="259"/>
      <c r="I3172" s="541">
        <f t="shared" si="61"/>
        <v>93341.371428571336</v>
      </c>
    </row>
    <row r="3173" spans="2:9" ht="17" customHeight="1">
      <c r="B3173" s="253"/>
      <c r="C3173" s="263"/>
      <c r="D3173" s="261"/>
      <c r="E3173" s="256"/>
      <c r="F3173" s="257"/>
      <c r="G3173" s="258"/>
      <c r="H3173" s="259"/>
      <c r="I3173" s="541">
        <f t="shared" si="61"/>
        <v>93341.371428571336</v>
      </c>
    </row>
    <row r="3174" spans="2:9" ht="17" customHeight="1">
      <c r="B3174" s="253"/>
      <c r="C3174" s="263"/>
      <c r="D3174" s="261"/>
      <c r="E3174" s="256"/>
      <c r="F3174" s="257"/>
      <c r="G3174" s="258"/>
      <c r="H3174" s="259"/>
      <c r="I3174" s="541">
        <f t="shared" si="61"/>
        <v>93341.371428571336</v>
      </c>
    </row>
    <row r="3175" spans="2:9" ht="17" customHeight="1">
      <c r="B3175" s="253"/>
      <c r="C3175" s="263"/>
      <c r="D3175" s="261"/>
      <c r="E3175" s="256"/>
      <c r="F3175" s="257"/>
      <c r="G3175" s="258"/>
      <c r="H3175" s="259"/>
      <c r="I3175" s="541">
        <f t="shared" si="61"/>
        <v>93341.371428571336</v>
      </c>
    </row>
    <row r="3176" spans="2:9" ht="17" customHeight="1">
      <c r="B3176" s="253"/>
      <c r="C3176" s="263"/>
      <c r="D3176" s="261"/>
      <c r="E3176" s="256"/>
      <c r="F3176" s="257"/>
      <c r="G3176" s="258"/>
      <c r="H3176" s="259"/>
      <c r="I3176" s="541">
        <f t="shared" si="61"/>
        <v>93341.371428571336</v>
      </c>
    </row>
    <row r="3177" spans="2:9" ht="17" customHeight="1">
      <c r="B3177" s="253"/>
      <c r="C3177" s="263"/>
      <c r="D3177" s="261"/>
      <c r="E3177" s="256"/>
      <c r="F3177" s="257"/>
      <c r="G3177" s="258"/>
      <c r="H3177" s="259"/>
      <c r="I3177" s="541">
        <f t="shared" si="61"/>
        <v>93341.371428571336</v>
      </c>
    </row>
    <row r="3178" spans="2:9" ht="17" customHeight="1">
      <c r="B3178" s="253"/>
      <c r="C3178" s="263"/>
      <c r="D3178" s="261"/>
      <c r="E3178" s="256"/>
      <c r="F3178" s="257"/>
      <c r="G3178" s="258"/>
      <c r="H3178" s="259"/>
      <c r="I3178" s="541">
        <f t="shared" si="61"/>
        <v>93341.371428571336</v>
      </c>
    </row>
    <row r="3179" spans="2:9" ht="17" customHeight="1">
      <c r="B3179" s="253"/>
      <c r="C3179" s="263"/>
      <c r="D3179" s="261"/>
      <c r="E3179" s="256"/>
      <c r="F3179" s="257"/>
      <c r="G3179" s="258"/>
      <c r="H3179" s="259"/>
      <c r="I3179" s="541">
        <f t="shared" si="61"/>
        <v>93341.371428571336</v>
      </c>
    </row>
    <row r="3180" spans="2:9" ht="17" customHeight="1">
      <c r="B3180" s="253"/>
      <c r="C3180" s="263"/>
      <c r="D3180" s="261"/>
      <c r="E3180" s="256"/>
      <c r="F3180" s="257"/>
      <c r="G3180" s="258"/>
      <c r="H3180" s="259"/>
      <c r="I3180" s="541">
        <f t="shared" si="61"/>
        <v>93341.371428571336</v>
      </c>
    </row>
    <row r="3181" spans="2:9" ht="17" customHeight="1">
      <c r="B3181" s="253"/>
      <c r="C3181" s="263"/>
      <c r="D3181" s="261"/>
      <c r="E3181" s="256"/>
      <c r="F3181" s="257"/>
      <c r="G3181" s="258"/>
      <c r="H3181" s="259"/>
      <c r="I3181" s="541">
        <f t="shared" si="61"/>
        <v>93341.371428571336</v>
      </c>
    </row>
    <row r="3182" spans="2:9" ht="17" customHeight="1">
      <c r="B3182" s="253"/>
      <c r="C3182" s="263"/>
      <c r="D3182" s="261"/>
      <c r="E3182" s="256"/>
      <c r="F3182" s="257"/>
      <c r="G3182" s="258"/>
      <c r="H3182" s="259"/>
      <c r="I3182" s="541">
        <f t="shared" si="61"/>
        <v>93341.371428571336</v>
      </c>
    </row>
    <row r="3183" spans="2:9" ht="17" customHeight="1">
      <c r="B3183" s="253"/>
      <c r="C3183" s="263"/>
      <c r="D3183" s="261"/>
      <c r="E3183" s="256"/>
      <c r="F3183" s="257"/>
      <c r="G3183" s="258"/>
      <c r="H3183" s="259"/>
      <c r="I3183" s="541">
        <f t="shared" si="61"/>
        <v>93341.371428571336</v>
      </c>
    </row>
    <row r="3184" spans="2:9" ht="17" customHeight="1">
      <c r="B3184" s="253"/>
      <c r="C3184" s="263"/>
      <c r="D3184" s="261"/>
      <c r="E3184" s="256"/>
      <c r="F3184" s="257"/>
      <c r="G3184" s="258"/>
      <c r="H3184" s="259"/>
      <c r="I3184" s="541">
        <f t="shared" si="61"/>
        <v>93341.371428571336</v>
      </c>
    </row>
    <row r="3185" spans="2:9" ht="17" customHeight="1">
      <c r="B3185" s="253"/>
      <c r="C3185" s="263"/>
      <c r="D3185" s="261"/>
      <c r="E3185" s="256"/>
      <c r="F3185" s="257"/>
      <c r="G3185" s="258"/>
      <c r="H3185" s="259"/>
      <c r="I3185" s="541">
        <f t="shared" si="61"/>
        <v>93341.371428571336</v>
      </c>
    </row>
    <row r="3186" spans="2:9" ht="17" customHeight="1">
      <c r="B3186" s="253"/>
      <c r="C3186" s="263"/>
      <c r="D3186" s="261"/>
      <c r="E3186" s="256"/>
      <c r="F3186" s="257"/>
      <c r="G3186" s="258"/>
      <c r="H3186" s="259"/>
      <c r="I3186" s="541">
        <f t="shared" si="61"/>
        <v>93341.371428571336</v>
      </c>
    </row>
    <row r="3187" spans="2:9" ht="17" customHeight="1">
      <c r="B3187" s="253"/>
      <c r="C3187" s="263"/>
      <c r="D3187" s="261"/>
      <c r="E3187" s="256"/>
      <c r="F3187" s="257"/>
      <c r="G3187" s="258"/>
      <c r="H3187" s="259"/>
      <c r="I3187" s="541">
        <f t="shared" si="61"/>
        <v>93341.371428571336</v>
      </c>
    </row>
    <row r="3188" spans="2:9" ht="17" customHeight="1">
      <c r="B3188" s="253"/>
      <c r="C3188" s="263"/>
      <c r="D3188" s="261"/>
      <c r="E3188" s="256"/>
      <c r="F3188" s="257"/>
      <c r="G3188" s="258"/>
      <c r="H3188" s="259"/>
      <c r="I3188" s="541">
        <f t="shared" si="61"/>
        <v>93341.371428571336</v>
      </c>
    </row>
    <row r="3189" spans="2:9" ht="17" customHeight="1">
      <c r="B3189" s="253"/>
      <c r="C3189" s="263"/>
      <c r="D3189" s="261"/>
      <c r="E3189" s="256"/>
      <c r="F3189" s="257"/>
      <c r="G3189" s="258"/>
      <c r="H3189" s="259"/>
      <c r="I3189" s="541">
        <f t="shared" si="61"/>
        <v>93341.371428571336</v>
      </c>
    </row>
    <row r="3190" spans="2:9" ht="17" customHeight="1">
      <c r="B3190" s="253"/>
      <c r="C3190" s="263"/>
      <c r="D3190" s="261"/>
      <c r="E3190" s="256"/>
      <c r="F3190" s="257"/>
      <c r="G3190" s="258"/>
      <c r="H3190" s="259"/>
      <c r="I3190" s="541">
        <f t="shared" si="61"/>
        <v>93341.371428571336</v>
      </c>
    </row>
    <row r="3191" spans="2:9" ht="17" customHeight="1">
      <c r="B3191" s="253"/>
      <c r="C3191" s="263"/>
      <c r="D3191" s="261"/>
      <c r="E3191" s="256"/>
      <c r="F3191" s="257"/>
      <c r="G3191" s="258"/>
      <c r="H3191" s="259"/>
      <c r="I3191" s="541">
        <f t="shared" si="61"/>
        <v>93341.371428571336</v>
      </c>
    </row>
    <row r="3192" spans="2:9" ht="17" customHeight="1">
      <c r="B3192" s="253"/>
      <c r="C3192" s="263"/>
      <c r="D3192" s="261"/>
      <c r="E3192" s="256"/>
      <c r="F3192" s="257"/>
      <c r="G3192" s="258"/>
      <c r="H3192" s="259"/>
      <c r="I3192" s="541">
        <f t="shared" si="61"/>
        <v>93341.371428571336</v>
      </c>
    </row>
    <row r="3193" spans="2:9" ht="17" customHeight="1">
      <c r="B3193" s="253"/>
      <c r="C3193" s="263"/>
      <c r="D3193" s="261"/>
      <c r="E3193" s="256"/>
      <c r="F3193" s="257"/>
      <c r="G3193" s="258"/>
      <c r="H3193" s="259"/>
      <c r="I3193" s="541">
        <f t="shared" si="61"/>
        <v>93341.371428571336</v>
      </c>
    </row>
    <row r="3194" spans="2:9" ht="17" customHeight="1">
      <c r="B3194" s="253"/>
      <c r="C3194" s="263"/>
      <c r="D3194" s="261"/>
      <c r="E3194" s="256"/>
      <c r="F3194" s="257"/>
      <c r="G3194" s="258"/>
      <c r="H3194" s="259"/>
      <c r="I3194" s="541">
        <f t="shared" si="61"/>
        <v>93341.371428571336</v>
      </c>
    </row>
    <row r="3195" spans="2:9" ht="17" customHeight="1">
      <c r="B3195" s="253"/>
      <c r="C3195" s="263"/>
      <c r="D3195" s="261"/>
      <c r="E3195" s="256"/>
      <c r="F3195" s="257"/>
      <c r="G3195" s="258"/>
      <c r="H3195" s="259"/>
      <c r="I3195" s="541">
        <f t="shared" si="61"/>
        <v>93341.371428571336</v>
      </c>
    </row>
    <row r="3196" spans="2:9" ht="17" customHeight="1">
      <c r="B3196" s="253"/>
      <c r="C3196" s="263"/>
      <c r="D3196" s="261"/>
      <c r="E3196" s="256"/>
      <c r="F3196" s="257"/>
      <c r="G3196" s="258"/>
      <c r="H3196" s="259"/>
      <c r="I3196" s="541">
        <f t="shared" si="61"/>
        <v>93341.371428571336</v>
      </c>
    </row>
    <row r="3197" spans="2:9" ht="17" customHeight="1">
      <c r="B3197" s="253"/>
      <c r="C3197" s="263"/>
      <c r="D3197" s="261"/>
      <c r="E3197" s="256"/>
      <c r="F3197" s="257"/>
      <c r="G3197" s="258"/>
      <c r="H3197" s="259"/>
      <c r="I3197" s="541">
        <f t="shared" si="61"/>
        <v>93341.371428571336</v>
      </c>
    </row>
    <row r="3198" spans="2:9" ht="17" customHeight="1">
      <c r="B3198" s="253"/>
      <c r="C3198" s="263"/>
      <c r="D3198" s="261"/>
      <c r="E3198" s="256"/>
      <c r="F3198" s="257"/>
      <c r="G3198" s="258"/>
      <c r="H3198" s="259"/>
      <c r="I3198" s="541">
        <f t="shared" si="61"/>
        <v>93341.371428571336</v>
      </c>
    </row>
    <row r="3199" spans="2:9" ht="17" customHeight="1">
      <c r="B3199" s="253"/>
      <c r="C3199" s="263"/>
      <c r="D3199" s="261"/>
      <c r="E3199" s="256"/>
      <c r="F3199" s="257"/>
      <c r="G3199" s="258"/>
      <c r="H3199" s="259"/>
      <c r="I3199" s="541">
        <f t="shared" si="61"/>
        <v>93341.371428571336</v>
      </c>
    </row>
    <row r="3200" spans="2:9" ht="17" customHeight="1">
      <c r="B3200" s="253"/>
      <c r="C3200" s="263"/>
      <c r="D3200" s="261"/>
      <c r="E3200" s="256"/>
      <c r="F3200" s="257"/>
      <c r="G3200" s="258"/>
      <c r="H3200" s="259"/>
      <c r="I3200" s="541">
        <f t="shared" si="61"/>
        <v>93341.371428571336</v>
      </c>
    </row>
    <row r="3201" spans="2:9" ht="17" customHeight="1">
      <c r="B3201" s="253"/>
      <c r="C3201" s="263"/>
      <c r="D3201" s="261"/>
      <c r="E3201" s="256"/>
      <c r="F3201" s="257"/>
      <c r="G3201" s="258"/>
      <c r="H3201" s="259"/>
      <c r="I3201" s="541">
        <f t="shared" si="61"/>
        <v>93341.371428571336</v>
      </c>
    </row>
    <row r="3202" spans="2:9" ht="17" customHeight="1">
      <c r="B3202" s="253"/>
      <c r="C3202" s="263"/>
      <c r="D3202" s="261"/>
      <c r="E3202" s="256"/>
      <c r="F3202" s="257"/>
      <c r="G3202" s="258"/>
      <c r="H3202" s="259"/>
      <c r="I3202" s="541">
        <f t="shared" si="61"/>
        <v>93341.371428571336</v>
      </c>
    </row>
    <row r="3203" spans="2:9" ht="17" customHeight="1">
      <c r="B3203" s="253"/>
      <c r="C3203" s="263"/>
      <c r="D3203" s="261"/>
      <c r="E3203" s="256"/>
      <c r="F3203" s="257"/>
      <c r="G3203" s="258"/>
      <c r="H3203" s="259"/>
      <c r="I3203" s="541">
        <f t="shared" si="61"/>
        <v>93341.371428571336</v>
      </c>
    </row>
    <row r="3204" spans="2:9" ht="17" customHeight="1">
      <c r="B3204" s="253"/>
      <c r="C3204" s="263"/>
      <c r="D3204" s="261"/>
      <c r="E3204" s="256"/>
      <c r="F3204" s="257"/>
      <c r="G3204" s="258"/>
      <c r="H3204" s="259"/>
      <c r="I3204" s="541">
        <f t="shared" si="61"/>
        <v>93341.371428571336</v>
      </c>
    </row>
    <row r="3205" spans="2:9" ht="17" customHeight="1">
      <c r="B3205" s="253"/>
      <c r="C3205" s="263"/>
      <c r="D3205" s="261"/>
      <c r="E3205" s="256"/>
      <c r="F3205" s="257"/>
      <c r="G3205" s="258"/>
      <c r="H3205" s="259"/>
      <c r="I3205" s="541">
        <f t="shared" si="61"/>
        <v>93341.371428571336</v>
      </c>
    </row>
    <row r="3206" spans="2:9" ht="17" customHeight="1">
      <c r="B3206" s="253"/>
      <c r="C3206" s="263"/>
      <c r="D3206" s="261"/>
      <c r="E3206" s="256"/>
      <c r="F3206" s="257"/>
      <c r="G3206" s="258"/>
      <c r="H3206" s="259"/>
      <c r="I3206" s="541">
        <f t="shared" si="61"/>
        <v>93341.371428571336</v>
      </c>
    </row>
    <row r="3207" spans="2:9" ht="17" customHeight="1">
      <c r="B3207" s="253"/>
      <c r="C3207" s="263"/>
      <c r="D3207" s="261"/>
      <c r="E3207" s="256"/>
      <c r="F3207" s="257"/>
      <c r="G3207" s="258"/>
      <c r="H3207" s="259"/>
      <c r="I3207" s="541">
        <f t="shared" si="61"/>
        <v>93341.371428571336</v>
      </c>
    </row>
    <row r="3208" spans="2:9" ht="17" customHeight="1">
      <c r="B3208" s="253"/>
      <c r="C3208" s="263"/>
      <c r="D3208" s="261"/>
      <c r="E3208" s="256"/>
      <c r="F3208" s="257"/>
      <c r="G3208" s="258"/>
      <c r="H3208" s="259"/>
      <c r="I3208" s="541">
        <f t="shared" si="61"/>
        <v>93341.371428571336</v>
      </c>
    </row>
    <row r="3209" spans="2:9" ht="17" customHeight="1">
      <c r="B3209" s="253"/>
      <c r="C3209" s="263"/>
      <c r="D3209" s="261"/>
      <c r="E3209" s="256"/>
      <c r="F3209" s="257"/>
      <c r="G3209" s="258"/>
      <c r="H3209" s="259"/>
      <c r="I3209" s="541">
        <f t="shared" si="61"/>
        <v>93341.371428571336</v>
      </c>
    </row>
    <row r="3210" spans="2:9" ht="17" customHeight="1">
      <c r="B3210" s="253"/>
      <c r="C3210" s="263"/>
      <c r="D3210" s="261"/>
      <c r="E3210" s="256"/>
      <c r="F3210" s="257"/>
      <c r="G3210" s="258"/>
      <c r="H3210" s="259"/>
      <c r="I3210" s="541">
        <f t="shared" si="61"/>
        <v>93341.371428571336</v>
      </c>
    </row>
    <row r="3211" spans="2:9" ht="17" customHeight="1">
      <c r="B3211" s="253"/>
      <c r="C3211" s="263"/>
      <c r="D3211" s="261"/>
      <c r="E3211" s="256"/>
      <c r="F3211" s="257"/>
      <c r="G3211" s="258"/>
      <c r="H3211" s="259"/>
      <c r="I3211" s="541">
        <f t="shared" si="61"/>
        <v>93341.371428571336</v>
      </c>
    </row>
    <row r="3212" spans="2:9" ht="17" customHeight="1">
      <c r="B3212" s="253"/>
      <c r="C3212" s="263"/>
      <c r="D3212" s="261"/>
      <c r="E3212" s="256"/>
      <c r="F3212" s="257"/>
      <c r="G3212" s="258"/>
      <c r="H3212" s="259"/>
      <c r="I3212" s="541">
        <f t="shared" si="61"/>
        <v>93341.371428571336</v>
      </c>
    </row>
    <row r="3213" spans="2:9" ht="17" customHeight="1">
      <c r="B3213" s="253"/>
      <c r="C3213" s="263"/>
      <c r="D3213" s="261"/>
      <c r="E3213" s="256"/>
      <c r="F3213" s="257"/>
      <c r="G3213" s="258"/>
      <c r="H3213" s="259"/>
      <c r="I3213" s="541">
        <f t="shared" si="61"/>
        <v>93341.371428571336</v>
      </c>
    </row>
    <row r="3214" spans="2:9" ht="17" customHeight="1">
      <c r="B3214" s="253"/>
      <c r="C3214" s="263"/>
      <c r="D3214" s="261"/>
      <c r="E3214" s="256"/>
      <c r="F3214" s="257"/>
      <c r="G3214" s="258"/>
      <c r="H3214" s="259"/>
      <c r="I3214" s="541">
        <f t="shared" si="61"/>
        <v>93341.371428571336</v>
      </c>
    </row>
    <row r="3215" spans="2:9" ht="17" customHeight="1">
      <c r="B3215" s="253"/>
      <c r="C3215" s="263"/>
      <c r="D3215" s="261"/>
      <c r="E3215" s="256"/>
      <c r="F3215" s="257"/>
      <c r="G3215" s="258"/>
      <c r="H3215" s="259"/>
      <c r="I3215" s="541">
        <f t="shared" si="61"/>
        <v>93341.371428571336</v>
      </c>
    </row>
    <row r="3216" spans="2:9" ht="17" customHeight="1">
      <c r="B3216" s="253"/>
      <c r="C3216" s="263"/>
      <c r="D3216" s="261"/>
      <c r="E3216" s="256"/>
      <c r="F3216" s="257"/>
      <c r="G3216" s="258"/>
      <c r="H3216" s="259"/>
      <c r="I3216" s="541">
        <f t="shared" si="61"/>
        <v>93341.371428571336</v>
      </c>
    </row>
    <row r="3217" spans="2:9" ht="17" customHeight="1">
      <c r="B3217" s="253"/>
      <c r="C3217" s="263"/>
      <c r="D3217" s="261"/>
      <c r="E3217" s="256"/>
      <c r="F3217" s="257"/>
      <c r="G3217" s="258"/>
      <c r="H3217" s="259"/>
      <c r="I3217" s="541">
        <f t="shared" si="61"/>
        <v>93341.371428571336</v>
      </c>
    </row>
    <row r="3218" spans="2:9" ht="17" customHeight="1">
      <c r="B3218" s="253"/>
      <c r="C3218" s="263"/>
      <c r="D3218" s="261"/>
      <c r="E3218" s="256"/>
      <c r="F3218" s="257"/>
      <c r="G3218" s="258"/>
      <c r="H3218" s="259"/>
      <c r="I3218" s="541">
        <f t="shared" si="61"/>
        <v>93341.371428571336</v>
      </c>
    </row>
    <row r="3219" spans="2:9" ht="17" customHeight="1">
      <c r="B3219" s="253"/>
      <c r="C3219" s="263"/>
      <c r="D3219" s="261"/>
      <c r="E3219" s="256"/>
      <c r="F3219" s="257"/>
      <c r="G3219" s="258"/>
      <c r="H3219" s="259"/>
      <c r="I3219" s="541">
        <f t="shared" si="61"/>
        <v>93341.371428571336</v>
      </c>
    </row>
    <row r="3220" spans="2:9" ht="17" customHeight="1">
      <c r="B3220" s="253"/>
      <c r="C3220" s="263"/>
      <c r="D3220" s="261"/>
      <c r="E3220" s="256"/>
      <c r="F3220" s="257"/>
      <c r="G3220" s="258"/>
      <c r="H3220" s="259"/>
      <c r="I3220" s="541">
        <f t="shared" si="61"/>
        <v>93341.371428571336</v>
      </c>
    </row>
    <row r="3221" spans="2:9" ht="17" customHeight="1">
      <c r="B3221" s="253"/>
      <c r="C3221" s="263"/>
      <c r="D3221" s="261"/>
      <c r="E3221" s="256"/>
      <c r="F3221" s="257"/>
      <c r="G3221" s="258"/>
      <c r="H3221" s="259"/>
      <c r="I3221" s="541">
        <f t="shared" si="61"/>
        <v>93341.371428571336</v>
      </c>
    </row>
    <row r="3222" spans="2:9" ht="17" customHeight="1">
      <c r="B3222" s="253"/>
      <c r="C3222" s="263"/>
      <c r="D3222" s="261"/>
      <c r="E3222" s="256"/>
      <c r="F3222" s="257"/>
      <c r="G3222" s="258"/>
      <c r="H3222" s="259"/>
      <c r="I3222" s="541">
        <f t="shared" si="61"/>
        <v>93341.371428571336</v>
      </c>
    </row>
    <row r="3223" spans="2:9" ht="17" customHeight="1">
      <c r="B3223" s="253"/>
      <c r="C3223" s="263"/>
      <c r="D3223" s="261"/>
      <c r="E3223" s="256"/>
      <c r="F3223" s="257"/>
      <c r="G3223" s="258"/>
      <c r="H3223" s="259"/>
      <c r="I3223" s="541">
        <f t="shared" si="61"/>
        <v>93341.371428571336</v>
      </c>
    </row>
    <row r="3224" spans="2:9" ht="17" customHeight="1">
      <c r="B3224" s="253"/>
      <c r="C3224" s="263"/>
      <c r="D3224" s="261"/>
      <c r="E3224" s="256"/>
      <c r="F3224" s="257"/>
      <c r="G3224" s="258"/>
      <c r="H3224" s="259"/>
      <c r="I3224" s="541">
        <f t="shared" si="61"/>
        <v>93341.371428571336</v>
      </c>
    </row>
    <row r="3225" spans="2:9" ht="17" customHeight="1">
      <c r="B3225" s="253"/>
      <c r="C3225" s="263"/>
      <c r="D3225" s="261"/>
      <c r="E3225" s="256"/>
      <c r="F3225" s="257"/>
      <c r="G3225" s="258"/>
      <c r="H3225" s="259"/>
      <c r="I3225" s="541">
        <f t="shared" si="61"/>
        <v>93341.371428571336</v>
      </c>
    </row>
    <row r="3226" spans="2:9" ht="17" customHeight="1">
      <c r="B3226" s="253"/>
      <c r="C3226" s="263"/>
      <c r="D3226" s="261"/>
      <c r="E3226" s="256"/>
      <c r="F3226" s="257"/>
      <c r="G3226" s="258"/>
      <c r="H3226" s="259"/>
      <c r="I3226" s="541">
        <f t="shared" ref="I3226:I3289" si="62">I3225+E3227-F3227</f>
        <v>93341.371428571336</v>
      </c>
    </row>
    <row r="3227" spans="2:9" ht="17" customHeight="1">
      <c r="B3227" s="253"/>
      <c r="C3227" s="263"/>
      <c r="D3227" s="261"/>
      <c r="E3227" s="256"/>
      <c r="F3227" s="257"/>
      <c r="G3227" s="258"/>
      <c r="H3227" s="259"/>
      <c r="I3227" s="541">
        <f t="shared" si="62"/>
        <v>93341.371428571336</v>
      </c>
    </row>
    <row r="3228" spans="2:9" ht="17" customHeight="1">
      <c r="B3228" s="253"/>
      <c r="C3228" s="263"/>
      <c r="D3228" s="261"/>
      <c r="E3228" s="256"/>
      <c r="F3228" s="257"/>
      <c r="G3228" s="258"/>
      <c r="H3228" s="259"/>
      <c r="I3228" s="541">
        <f t="shared" si="62"/>
        <v>93341.371428571336</v>
      </c>
    </row>
    <row r="3229" spans="2:9" ht="17" customHeight="1">
      <c r="B3229" s="253"/>
      <c r="C3229" s="263"/>
      <c r="D3229" s="261"/>
      <c r="E3229" s="256"/>
      <c r="F3229" s="257"/>
      <c r="G3229" s="258"/>
      <c r="H3229" s="259"/>
      <c r="I3229" s="541">
        <f t="shared" si="62"/>
        <v>93341.371428571336</v>
      </c>
    </row>
    <row r="3230" spans="2:9" ht="17" customHeight="1">
      <c r="B3230" s="253"/>
      <c r="C3230" s="263"/>
      <c r="D3230" s="261"/>
      <c r="E3230" s="256"/>
      <c r="F3230" s="257"/>
      <c r="G3230" s="258"/>
      <c r="H3230" s="259"/>
      <c r="I3230" s="541">
        <f t="shared" si="62"/>
        <v>93341.371428571336</v>
      </c>
    </row>
    <row r="3231" spans="2:9" ht="17" customHeight="1">
      <c r="B3231" s="253"/>
      <c r="C3231" s="263"/>
      <c r="D3231" s="261"/>
      <c r="E3231" s="256"/>
      <c r="F3231" s="257"/>
      <c r="G3231" s="258"/>
      <c r="H3231" s="259"/>
      <c r="I3231" s="541">
        <f t="shared" si="62"/>
        <v>93341.371428571336</v>
      </c>
    </row>
    <row r="3232" spans="2:9" ht="17" customHeight="1">
      <c r="B3232" s="253"/>
      <c r="C3232" s="263"/>
      <c r="D3232" s="261"/>
      <c r="E3232" s="256"/>
      <c r="F3232" s="257"/>
      <c r="G3232" s="258"/>
      <c r="H3232" s="259"/>
      <c r="I3232" s="541">
        <f t="shared" si="62"/>
        <v>93341.371428571336</v>
      </c>
    </row>
    <row r="3233" spans="2:9" ht="17" customHeight="1">
      <c r="B3233" s="253"/>
      <c r="C3233" s="263"/>
      <c r="D3233" s="261"/>
      <c r="E3233" s="256"/>
      <c r="F3233" s="257"/>
      <c r="G3233" s="258"/>
      <c r="H3233" s="259"/>
      <c r="I3233" s="541">
        <f t="shared" si="62"/>
        <v>93341.371428571336</v>
      </c>
    </row>
    <row r="3234" spans="2:9" ht="17" customHeight="1">
      <c r="B3234" s="253"/>
      <c r="C3234" s="263"/>
      <c r="D3234" s="261"/>
      <c r="E3234" s="256"/>
      <c r="F3234" s="257"/>
      <c r="G3234" s="258"/>
      <c r="H3234" s="259"/>
      <c r="I3234" s="541">
        <f t="shared" si="62"/>
        <v>93341.371428571336</v>
      </c>
    </row>
    <row r="3235" spans="2:9" ht="17" customHeight="1">
      <c r="B3235" s="253"/>
      <c r="C3235" s="263"/>
      <c r="D3235" s="261"/>
      <c r="E3235" s="256"/>
      <c r="F3235" s="257"/>
      <c r="G3235" s="258"/>
      <c r="H3235" s="259"/>
      <c r="I3235" s="541">
        <f t="shared" si="62"/>
        <v>93341.371428571336</v>
      </c>
    </row>
    <row r="3236" spans="2:9" ht="17" customHeight="1">
      <c r="B3236" s="253"/>
      <c r="C3236" s="263"/>
      <c r="D3236" s="261"/>
      <c r="E3236" s="256"/>
      <c r="F3236" s="257"/>
      <c r="G3236" s="258"/>
      <c r="H3236" s="259"/>
      <c r="I3236" s="541">
        <f t="shared" si="62"/>
        <v>93341.371428571336</v>
      </c>
    </row>
    <row r="3237" spans="2:9" ht="17" customHeight="1">
      <c r="B3237" s="253"/>
      <c r="C3237" s="263"/>
      <c r="D3237" s="261"/>
      <c r="E3237" s="256"/>
      <c r="F3237" s="257"/>
      <c r="G3237" s="258"/>
      <c r="H3237" s="259"/>
      <c r="I3237" s="541">
        <f t="shared" si="62"/>
        <v>93341.371428571336</v>
      </c>
    </row>
    <row r="3238" spans="2:9" ht="17" customHeight="1">
      <c r="B3238" s="253"/>
      <c r="C3238" s="263"/>
      <c r="D3238" s="261"/>
      <c r="E3238" s="256"/>
      <c r="F3238" s="257"/>
      <c r="G3238" s="258"/>
      <c r="H3238" s="259"/>
      <c r="I3238" s="541">
        <f t="shared" si="62"/>
        <v>93341.371428571336</v>
      </c>
    </row>
    <row r="3239" spans="2:9" ht="17" customHeight="1">
      <c r="B3239" s="253"/>
      <c r="C3239" s="263"/>
      <c r="D3239" s="261"/>
      <c r="E3239" s="256"/>
      <c r="F3239" s="257"/>
      <c r="G3239" s="258"/>
      <c r="H3239" s="259"/>
      <c r="I3239" s="541">
        <f t="shared" si="62"/>
        <v>93341.371428571336</v>
      </c>
    </row>
    <row r="3240" spans="2:9" ht="17" customHeight="1">
      <c r="B3240" s="253"/>
      <c r="C3240" s="263"/>
      <c r="D3240" s="261"/>
      <c r="E3240" s="256"/>
      <c r="F3240" s="257"/>
      <c r="G3240" s="258"/>
      <c r="H3240" s="259"/>
      <c r="I3240" s="541">
        <f t="shared" si="62"/>
        <v>93341.371428571336</v>
      </c>
    </row>
    <row r="3241" spans="2:9" ht="17" customHeight="1">
      <c r="B3241" s="253"/>
      <c r="C3241" s="263"/>
      <c r="D3241" s="261"/>
      <c r="E3241" s="256"/>
      <c r="F3241" s="257"/>
      <c r="G3241" s="258"/>
      <c r="H3241" s="259"/>
      <c r="I3241" s="541">
        <f t="shared" si="62"/>
        <v>93341.371428571336</v>
      </c>
    </row>
    <row r="3242" spans="2:9" ht="17" customHeight="1">
      <c r="B3242" s="253"/>
      <c r="C3242" s="263"/>
      <c r="D3242" s="261"/>
      <c r="E3242" s="256"/>
      <c r="F3242" s="257"/>
      <c r="G3242" s="258"/>
      <c r="H3242" s="259"/>
      <c r="I3242" s="541">
        <f t="shared" si="62"/>
        <v>93341.371428571336</v>
      </c>
    </row>
    <row r="3243" spans="2:9" ht="17" customHeight="1">
      <c r="B3243" s="253"/>
      <c r="C3243" s="263"/>
      <c r="D3243" s="261"/>
      <c r="E3243" s="256"/>
      <c r="F3243" s="257"/>
      <c r="G3243" s="258"/>
      <c r="H3243" s="259"/>
      <c r="I3243" s="541">
        <f t="shared" si="62"/>
        <v>93341.371428571336</v>
      </c>
    </row>
    <row r="3244" spans="2:9" ht="17" customHeight="1">
      <c r="B3244" s="253"/>
      <c r="C3244" s="263"/>
      <c r="D3244" s="261"/>
      <c r="E3244" s="256"/>
      <c r="F3244" s="257"/>
      <c r="G3244" s="258"/>
      <c r="H3244" s="259"/>
      <c r="I3244" s="541">
        <f t="shared" si="62"/>
        <v>93341.371428571336</v>
      </c>
    </row>
    <row r="3245" spans="2:9" ht="17" customHeight="1">
      <c r="B3245" s="253"/>
      <c r="C3245" s="263"/>
      <c r="D3245" s="261"/>
      <c r="E3245" s="256"/>
      <c r="F3245" s="257"/>
      <c r="G3245" s="258"/>
      <c r="H3245" s="259"/>
      <c r="I3245" s="541">
        <f t="shared" si="62"/>
        <v>93341.371428571336</v>
      </c>
    </row>
    <row r="3246" spans="2:9" ht="17" customHeight="1">
      <c r="B3246" s="253"/>
      <c r="C3246" s="263"/>
      <c r="D3246" s="261"/>
      <c r="E3246" s="256"/>
      <c r="F3246" s="257"/>
      <c r="G3246" s="258"/>
      <c r="H3246" s="259"/>
      <c r="I3246" s="541">
        <f t="shared" si="62"/>
        <v>93341.371428571336</v>
      </c>
    </row>
    <row r="3247" spans="2:9" ht="17" customHeight="1">
      <c r="B3247" s="253"/>
      <c r="C3247" s="263"/>
      <c r="D3247" s="261"/>
      <c r="E3247" s="256"/>
      <c r="F3247" s="257"/>
      <c r="G3247" s="258"/>
      <c r="H3247" s="259"/>
      <c r="I3247" s="541">
        <f t="shared" si="62"/>
        <v>93341.371428571336</v>
      </c>
    </row>
    <row r="3248" spans="2:9" ht="17" customHeight="1">
      <c r="B3248" s="253"/>
      <c r="C3248" s="263"/>
      <c r="D3248" s="261"/>
      <c r="E3248" s="256"/>
      <c r="F3248" s="257"/>
      <c r="G3248" s="258"/>
      <c r="H3248" s="259"/>
      <c r="I3248" s="541">
        <f t="shared" si="62"/>
        <v>93341.371428571336</v>
      </c>
    </row>
    <row r="3249" spans="2:9" ht="17" customHeight="1">
      <c r="B3249" s="253"/>
      <c r="C3249" s="263"/>
      <c r="D3249" s="261"/>
      <c r="E3249" s="256"/>
      <c r="F3249" s="257"/>
      <c r="G3249" s="258"/>
      <c r="H3249" s="259"/>
      <c r="I3249" s="541">
        <f t="shared" si="62"/>
        <v>93341.371428571336</v>
      </c>
    </row>
    <row r="3250" spans="2:9" ht="17" customHeight="1">
      <c r="B3250" s="253"/>
      <c r="C3250" s="263"/>
      <c r="D3250" s="261"/>
      <c r="E3250" s="256"/>
      <c r="F3250" s="257"/>
      <c r="G3250" s="258"/>
      <c r="H3250" s="259"/>
      <c r="I3250" s="541">
        <f t="shared" si="62"/>
        <v>93341.371428571336</v>
      </c>
    </row>
    <row r="3251" spans="2:9" ht="17" customHeight="1">
      <c r="B3251" s="253"/>
      <c r="C3251" s="263"/>
      <c r="D3251" s="261"/>
      <c r="E3251" s="256"/>
      <c r="F3251" s="257"/>
      <c r="G3251" s="258"/>
      <c r="H3251" s="259"/>
      <c r="I3251" s="541">
        <f t="shared" si="62"/>
        <v>93341.371428571336</v>
      </c>
    </row>
    <row r="3252" spans="2:9" ht="17" customHeight="1">
      <c r="B3252" s="253"/>
      <c r="C3252" s="263"/>
      <c r="D3252" s="261"/>
      <c r="E3252" s="256"/>
      <c r="F3252" s="257"/>
      <c r="G3252" s="258"/>
      <c r="H3252" s="259"/>
      <c r="I3252" s="541">
        <f t="shared" si="62"/>
        <v>93341.371428571336</v>
      </c>
    </row>
    <row r="3253" spans="2:9" ht="17" customHeight="1">
      <c r="B3253" s="253"/>
      <c r="C3253" s="263"/>
      <c r="D3253" s="261"/>
      <c r="E3253" s="256"/>
      <c r="F3253" s="257"/>
      <c r="G3253" s="258"/>
      <c r="H3253" s="259"/>
      <c r="I3253" s="541">
        <f t="shared" si="62"/>
        <v>93341.371428571336</v>
      </c>
    </row>
    <row r="3254" spans="2:9" ht="17" customHeight="1">
      <c r="B3254" s="253"/>
      <c r="C3254" s="263"/>
      <c r="D3254" s="261"/>
      <c r="E3254" s="256"/>
      <c r="F3254" s="257"/>
      <c r="G3254" s="258"/>
      <c r="H3254" s="259"/>
      <c r="I3254" s="541">
        <f t="shared" si="62"/>
        <v>93341.371428571336</v>
      </c>
    </row>
    <row r="3255" spans="2:9" ht="17" customHeight="1">
      <c r="B3255" s="253"/>
      <c r="C3255" s="263"/>
      <c r="D3255" s="261"/>
      <c r="E3255" s="256"/>
      <c r="F3255" s="257"/>
      <c r="G3255" s="258"/>
      <c r="H3255" s="259"/>
      <c r="I3255" s="541">
        <f t="shared" si="62"/>
        <v>93341.371428571336</v>
      </c>
    </row>
    <row r="3256" spans="2:9" ht="17" customHeight="1">
      <c r="B3256" s="253"/>
      <c r="C3256" s="263"/>
      <c r="D3256" s="261"/>
      <c r="E3256" s="256"/>
      <c r="F3256" s="257"/>
      <c r="G3256" s="258"/>
      <c r="H3256" s="259"/>
      <c r="I3256" s="541">
        <f t="shared" si="62"/>
        <v>93341.371428571336</v>
      </c>
    </row>
    <row r="3257" spans="2:9" ht="17" customHeight="1">
      <c r="B3257" s="253"/>
      <c r="C3257" s="263"/>
      <c r="D3257" s="261"/>
      <c r="E3257" s="256"/>
      <c r="F3257" s="257"/>
      <c r="G3257" s="258"/>
      <c r="H3257" s="259"/>
      <c r="I3257" s="541">
        <f t="shared" si="62"/>
        <v>93341.371428571336</v>
      </c>
    </row>
    <row r="3258" spans="2:9" ht="17" customHeight="1">
      <c r="B3258" s="253"/>
      <c r="C3258" s="263"/>
      <c r="D3258" s="261"/>
      <c r="E3258" s="256"/>
      <c r="F3258" s="257"/>
      <c r="G3258" s="258"/>
      <c r="H3258" s="259"/>
      <c r="I3258" s="541">
        <f t="shared" si="62"/>
        <v>93341.371428571336</v>
      </c>
    </row>
    <row r="3259" spans="2:9" ht="17" customHeight="1">
      <c r="B3259" s="253"/>
      <c r="C3259" s="263"/>
      <c r="D3259" s="261"/>
      <c r="E3259" s="256"/>
      <c r="F3259" s="257"/>
      <c r="G3259" s="258"/>
      <c r="H3259" s="259"/>
      <c r="I3259" s="541">
        <f t="shared" si="62"/>
        <v>93341.371428571336</v>
      </c>
    </row>
    <row r="3260" spans="2:9" ht="17" customHeight="1">
      <c r="B3260" s="253"/>
      <c r="C3260" s="263"/>
      <c r="D3260" s="261"/>
      <c r="E3260" s="256"/>
      <c r="F3260" s="257"/>
      <c r="G3260" s="258"/>
      <c r="H3260" s="259"/>
      <c r="I3260" s="541">
        <f t="shared" si="62"/>
        <v>93341.371428571336</v>
      </c>
    </row>
    <row r="3261" spans="2:9" ht="17" customHeight="1">
      <c r="B3261" s="253"/>
      <c r="C3261" s="263"/>
      <c r="D3261" s="261"/>
      <c r="E3261" s="256"/>
      <c r="F3261" s="257"/>
      <c r="G3261" s="258"/>
      <c r="H3261" s="259"/>
      <c r="I3261" s="541">
        <f t="shared" si="62"/>
        <v>93341.371428571336</v>
      </c>
    </row>
    <row r="3262" spans="2:9" ht="17" customHeight="1">
      <c r="B3262" s="253"/>
      <c r="C3262" s="263"/>
      <c r="D3262" s="261"/>
      <c r="E3262" s="256"/>
      <c r="F3262" s="257"/>
      <c r="G3262" s="258"/>
      <c r="H3262" s="259"/>
      <c r="I3262" s="541">
        <f t="shared" si="62"/>
        <v>93341.371428571336</v>
      </c>
    </row>
    <row r="3263" spans="2:9" ht="17" customHeight="1">
      <c r="B3263" s="253"/>
      <c r="C3263" s="263"/>
      <c r="D3263" s="261"/>
      <c r="E3263" s="256"/>
      <c r="F3263" s="257"/>
      <c r="G3263" s="258"/>
      <c r="H3263" s="259"/>
      <c r="I3263" s="541">
        <f t="shared" si="62"/>
        <v>93341.371428571336</v>
      </c>
    </row>
    <row r="3264" spans="2:9" ht="17" customHeight="1">
      <c r="B3264" s="253"/>
      <c r="C3264" s="263"/>
      <c r="D3264" s="261"/>
      <c r="E3264" s="256"/>
      <c r="F3264" s="257"/>
      <c r="G3264" s="258"/>
      <c r="H3264" s="259"/>
      <c r="I3264" s="541">
        <f t="shared" si="62"/>
        <v>93341.371428571336</v>
      </c>
    </row>
    <row r="3265" spans="2:9" ht="17" customHeight="1">
      <c r="B3265" s="253"/>
      <c r="C3265" s="263"/>
      <c r="D3265" s="261"/>
      <c r="E3265" s="256"/>
      <c r="F3265" s="257"/>
      <c r="G3265" s="258"/>
      <c r="H3265" s="259"/>
      <c r="I3265" s="541">
        <f t="shared" si="62"/>
        <v>93341.371428571336</v>
      </c>
    </row>
    <row r="3266" spans="2:9" ht="17" customHeight="1">
      <c r="B3266" s="253"/>
      <c r="C3266" s="263"/>
      <c r="D3266" s="261"/>
      <c r="E3266" s="256"/>
      <c r="F3266" s="257"/>
      <c r="G3266" s="258"/>
      <c r="H3266" s="259"/>
      <c r="I3266" s="541">
        <f t="shared" si="62"/>
        <v>93341.371428571336</v>
      </c>
    </row>
    <row r="3267" spans="2:9" ht="17" customHeight="1">
      <c r="B3267" s="253"/>
      <c r="C3267" s="263"/>
      <c r="D3267" s="261"/>
      <c r="E3267" s="256"/>
      <c r="F3267" s="257"/>
      <c r="G3267" s="258"/>
      <c r="H3267" s="259"/>
      <c r="I3267" s="541">
        <f t="shared" si="62"/>
        <v>93341.371428571336</v>
      </c>
    </row>
    <row r="3268" spans="2:9" ht="17" customHeight="1">
      <c r="B3268" s="253"/>
      <c r="C3268" s="263"/>
      <c r="D3268" s="261"/>
      <c r="E3268" s="256"/>
      <c r="F3268" s="257"/>
      <c r="G3268" s="258"/>
      <c r="H3268" s="259"/>
      <c r="I3268" s="541">
        <f t="shared" si="62"/>
        <v>93341.371428571336</v>
      </c>
    </row>
    <row r="3269" spans="2:9" ht="17" customHeight="1">
      <c r="B3269" s="253"/>
      <c r="C3269" s="263"/>
      <c r="D3269" s="261"/>
      <c r="E3269" s="256"/>
      <c r="F3269" s="257"/>
      <c r="G3269" s="258"/>
      <c r="H3269" s="259"/>
      <c r="I3269" s="541">
        <f t="shared" si="62"/>
        <v>93341.371428571336</v>
      </c>
    </row>
    <row r="3270" spans="2:9" ht="17" customHeight="1">
      <c r="B3270" s="253"/>
      <c r="C3270" s="263"/>
      <c r="D3270" s="261"/>
      <c r="E3270" s="256"/>
      <c r="F3270" s="257"/>
      <c r="G3270" s="258"/>
      <c r="H3270" s="259"/>
      <c r="I3270" s="541">
        <f t="shared" si="62"/>
        <v>93341.371428571336</v>
      </c>
    </row>
    <row r="3271" spans="2:9" ht="17" customHeight="1">
      <c r="B3271" s="253"/>
      <c r="C3271" s="263"/>
      <c r="D3271" s="261"/>
      <c r="E3271" s="256"/>
      <c r="F3271" s="257"/>
      <c r="G3271" s="258"/>
      <c r="H3271" s="259"/>
      <c r="I3271" s="541">
        <f t="shared" si="62"/>
        <v>93341.371428571336</v>
      </c>
    </row>
    <row r="3272" spans="2:9" ht="17" customHeight="1">
      <c r="B3272" s="253"/>
      <c r="C3272" s="263"/>
      <c r="D3272" s="261"/>
      <c r="E3272" s="256"/>
      <c r="F3272" s="257"/>
      <c r="G3272" s="258"/>
      <c r="H3272" s="259"/>
      <c r="I3272" s="541">
        <f t="shared" si="62"/>
        <v>93341.371428571336</v>
      </c>
    </row>
    <row r="3273" spans="2:9" ht="17" customHeight="1">
      <c r="B3273" s="253"/>
      <c r="C3273" s="263"/>
      <c r="D3273" s="261"/>
      <c r="E3273" s="256"/>
      <c r="F3273" s="257"/>
      <c r="G3273" s="258"/>
      <c r="H3273" s="259"/>
      <c r="I3273" s="541">
        <f t="shared" si="62"/>
        <v>93341.371428571336</v>
      </c>
    </row>
    <row r="3274" spans="2:9" ht="17" customHeight="1">
      <c r="B3274" s="253"/>
      <c r="C3274" s="263"/>
      <c r="D3274" s="261"/>
      <c r="E3274" s="256"/>
      <c r="F3274" s="257"/>
      <c r="G3274" s="258"/>
      <c r="H3274" s="259"/>
      <c r="I3274" s="541">
        <f t="shared" si="62"/>
        <v>93341.371428571336</v>
      </c>
    </row>
    <row r="3275" spans="2:9" ht="17" customHeight="1">
      <c r="B3275" s="253"/>
      <c r="C3275" s="263"/>
      <c r="D3275" s="261"/>
      <c r="E3275" s="256"/>
      <c r="F3275" s="257"/>
      <c r="G3275" s="258"/>
      <c r="H3275" s="259"/>
      <c r="I3275" s="541">
        <f t="shared" si="62"/>
        <v>93341.371428571336</v>
      </c>
    </row>
    <row r="3276" spans="2:9" ht="17" customHeight="1">
      <c r="B3276" s="253"/>
      <c r="C3276" s="263"/>
      <c r="D3276" s="261"/>
      <c r="E3276" s="256"/>
      <c r="F3276" s="257"/>
      <c r="G3276" s="258"/>
      <c r="H3276" s="259"/>
      <c r="I3276" s="541">
        <f t="shared" si="62"/>
        <v>93341.371428571336</v>
      </c>
    </row>
    <row r="3277" spans="2:9" ht="17" customHeight="1">
      <c r="B3277" s="253"/>
      <c r="C3277" s="263"/>
      <c r="D3277" s="261"/>
      <c r="E3277" s="256"/>
      <c r="F3277" s="257"/>
      <c r="G3277" s="258"/>
      <c r="H3277" s="259"/>
      <c r="I3277" s="541">
        <f t="shared" si="62"/>
        <v>93341.371428571336</v>
      </c>
    </row>
    <row r="3278" spans="2:9" ht="17" customHeight="1">
      <c r="B3278" s="253"/>
      <c r="C3278" s="263"/>
      <c r="D3278" s="261"/>
      <c r="E3278" s="256"/>
      <c r="F3278" s="257"/>
      <c r="G3278" s="258"/>
      <c r="H3278" s="259"/>
      <c r="I3278" s="541">
        <f t="shared" si="62"/>
        <v>93341.371428571336</v>
      </c>
    </row>
    <row r="3279" spans="2:9" ht="17" customHeight="1">
      <c r="B3279" s="253"/>
      <c r="C3279" s="263"/>
      <c r="D3279" s="261"/>
      <c r="E3279" s="256"/>
      <c r="F3279" s="257"/>
      <c r="G3279" s="258"/>
      <c r="H3279" s="259"/>
      <c r="I3279" s="541">
        <f t="shared" si="62"/>
        <v>93341.371428571336</v>
      </c>
    </row>
    <row r="3280" spans="2:9" ht="17" customHeight="1">
      <c r="B3280" s="253"/>
      <c r="C3280" s="263"/>
      <c r="D3280" s="261"/>
      <c r="E3280" s="256"/>
      <c r="F3280" s="257"/>
      <c r="G3280" s="258"/>
      <c r="H3280" s="259"/>
      <c r="I3280" s="541">
        <f t="shared" si="62"/>
        <v>93341.371428571336</v>
      </c>
    </row>
    <row r="3281" spans="2:9" ht="17" customHeight="1">
      <c r="B3281" s="253"/>
      <c r="C3281" s="263"/>
      <c r="D3281" s="261"/>
      <c r="E3281" s="256"/>
      <c r="F3281" s="257"/>
      <c r="G3281" s="258"/>
      <c r="H3281" s="259"/>
      <c r="I3281" s="541">
        <f t="shared" si="62"/>
        <v>93341.371428571336</v>
      </c>
    </row>
    <row r="3282" spans="2:9" ht="17" customHeight="1">
      <c r="B3282" s="253"/>
      <c r="C3282" s="263"/>
      <c r="D3282" s="261"/>
      <c r="E3282" s="256"/>
      <c r="F3282" s="257"/>
      <c r="G3282" s="258"/>
      <c r="H3282" s="259"/>
      <c r="I3282" s="541">
        <f t="shared" si="62"/>
        <v>93341.371428571336</v>
      </c>
    </row>
    <row r="3283" spans="2:9" ht="17" customHeight="1">
      <c r="B3283" s="253"/>
      <c r="C3283" s="263"/>
      <c r="D3283" s="261"/>
      <c r="E3283" s="256"/>
      <c r="F3283" s="257"/>
      <c r="G3283" s="258"/>
      <c r="H3283" s="259"/>
      <c r="I3283" s="541">
        <f t="shared" si="62"/>
        <v>93341.371428571336</v>
      </c>
    </row>
    <row r="3284" spans="2:9" ht="17" customHeight="1">
      <c r="B3284" s="253"/>
      <c r="C3284" s="263"/>
      <c r="D3284" s="261"/>
      <c r="E3284" s="256"/>
      <c r="F3284" s="257"/>
      <c r="G3284" s="258"/>
      <c r="H3284" s="259"/>
      <c r="I3284" s="541">
        <f t="shared" si="62"/>
        <v>93341.371428571336</v>
      </c>
    </row>
    <row r="3285" spans="2:9" ht="17" customHeight="1">
      <c r="B3285" s="253"/>
      <c r="C3285" s="263"/>
      <c r="D3285" s="261"/>
      <c r="E3285" s="256"/>
      <c r="F3285" s="257"/>
      <c r="G3285" s="258"/>
      <c r="H3285" s="259"/>
      <c r="I3285" s="541">
        <f t="shared" si="62"/>
        <v>93341.371428571336</v>
      </c>
    </row>
    <row r="3286" spans="2:9" ht="17" customHeight="1">
      <c r="B3286" s="253"/>
      <c r="C3286" s="263"/>
      <c r="D3286" s="261"/>
      <c r="E3286" s="256"/>
      <c r="F3286" s="257"/>
      <c r="G3286" s="258"/>
      <c r="H3286" s="259"/>
      <c r="I3286" s="541">
        <f t="shared" si="62"/>
        <v>93341.371428571336</v>
      </c>
    </row>
    <row r="3287" spans="2:9" ht="17" customHeight="1">
      <c r="B3287" s="253"/>
      <c r="C3287" s="263"/>
      <c r="D3287" s="261"/>
      <c r="E3287" s="256"/>
      <c r="F3287" s="257"/>
      <c r="G3287" s="258"/>
      <c r="H3287" s="259"/>
      <c r="I3287" s="541">
        <f t="shared" si="62"/>
        <v>93341.371428571336</v>
      </c>
    </row>
    <row r="3288" spans="2:9" ht="17" customHeight="1">
      <c r="B3288" s="253"/>
      <c r="C3288" s="263"/>
      <c r="D3288" s="261"/>
      <c r="E3288" s="256"/>
      <c r="F3288" s="257"/>
      <c r="G3288" s="258"/>
      <c r="H3288" s="259"/>
      <c r="I3288" s="541">
        <f t="shared" si="62"/>
        <v>93341.371428571336</v>
      </c>
    </row>
    <row r="3289" spans="2:9" ht="17" customHeight="1">
      <c r="B3289" s="253"/>
      <c r="C3289" s="263"/>
      <c r="D3289" s="261"/>
      <c r="E3289" s="256"/>
      <c r="F3289" s="257"/>
      <c r="G3289" s="258"/>
      <c r="H3289" s="259"/>
      <c r="I3289" s="541">
        <f t="shared" si="62"/>
        <v>93341.371428571336</v>
      </c>
    </row>
    <row r="3290" spans="2:9" ht="17" customHeight="1">
      <c r="B3290" s="253"/>
      <c r="C3290" s="263"/>
      <c r="D3290" s="261"/>
      <c r="E3290" s="256"/>
      <c r="F3290" s="257"/>
      <c r="G3290" s="258"/>
      <c r="H3290" s="259"/>
      <c r="I3290" s="541">
        <f t="shared" ref="I3290:I3353" si="63">I3289+E3291-F3291</f>
        <v>93341.371428571336</v>
      </c>
    </row>
    <row r="3291" spans="2:9" ht="17" customHeight="1">
      <c r="B3291" s="253"/>
      <c r="C3291" s="263"/>
      <c r="D3291" s="261"/>
      <c r="E3291" s="256"/>
      <c r="F3291" s="257"/>
      <c r="G3291" s="258"/>
      <c r="H3291" s="259"/>
      <c r="I3291" s="541">
        <f t="shared" si="63"/>
        <v>93341.371428571336</v>
      </c>
    </row>
    <row r="3292" spans="2:9" ht="17" customHeight="1">
      <c r="B3292" s="253"/>
      <c r="C3292" s="263"/>
      <c r="D3292" s="261"/>
      <c r="E3292" s="256"/>
      <c r="F3292" s="257"/>
      <c r="G3292" s="258"/>
      <c r="H3292" s="259"/>
      <c r="I3292" s="541">
        <f t="shared" si="63"/>
        <v>93341.371428571336</v>
      </c>
    </row>
    <row r="3293" spans="2:9" ht="17" customHeight="1">
      <c r="B3293" s="253"/>
      <c r="C3293" s="263"/>
      <c r="D3293" s="261"/>
      <c r="E3293" s="256"/>
      <c r="F3293" s="257"/>
      <c r="G3293" s="258"/>
      <c r="H3293" s="259"/>
      <c r="I3293" s="541">
        <f t="shared" si="63"/>
        <v>93341.371428571336</v>
      </c>
    </row>
    <row r="3294" spans="2:9" ht="17" customHeight="1">
      <c r="B3294" s="253"/>
      <c r="C3294" s="263"/>
      <c r="D3294" s="261"/>
      <c r="E3294" s="256"/>
      <c r="F3294" s="257"/>
      <c r="G3294" s="258"/>
      <c r="H3294" s="259"/>
      <c r="I3294" s="541">
        <f t="shared" si="63"/>
        <v>93341.371428571336</v>
      </c>
    </row>
    <row r="3295" spans="2:9" ht="17" customHeight="1">
      <c r="B3295" s="253"/>
      <c r="C3295" s="263"/>
      <c r="D3295" s="261"/>
      <c r="E3295" s="256"/>
      <c r="F3295" s="257"/>
      <c r="G3295" s="258"/>
      <c r="H3295" s="259"/>
      <c r="I3295" s="541">
        <f t="shared" si="63"/>
        <v>93341.371428571336</v>
      </c>
    </row>
    <row r="3296" spans="2:9" ht="17" customHeight="1">
      <c r="B3296" s="253"/>
      <c r="C3296" s="263"/>
      <c r="D3296" s="261"/>
      <c r="E3296" s="256"/>
      <c r="F3296" s="257"/>
      <c r="G3296" s="258"/>
      <c r="H3296" s="259"/>
      <c r="I3296" s="541">
        <f t="shared" si="63"/>
        <v>93341.371428571336</v>
      </c>
    </row>
    <row r="3297" spans="2:9" ht="17" customHeight="1">
      <c r="B3297" s="253"/>
      <c r="C3297" s="263"/>
      <c r="D3297" s="261"/>
      <c r="E3297" s="256"/>
      <c r="F3297" s="257"/>
      <c r="G3297" s="258"/>
      <c r="H3297" s="259"/>
      <c r="I3297" s="541">
        <f t="shared" si="63"/>
        <v>93341.371428571336</v>
      </c>
    </row>
    <row r="3298" spans="2:9" ht="17" customHeight="1">
      <c r="B3298" s="253"/>
      <c r="C3298" s="263"/>
      <c r="D3298" s="261"/>
      <c r="E3298" s="256"/>
      <c r="F3298" s="257"/>
      <c r="G3298" s="258"/>
      <c r="H3298" s="259"/>
      <c r="I3298" s="541">
        <f t="shared" si="63"/>
        <v>93341.371428571336</v>
      </c>
    </row>
    <row r="3299" spans="2:9" ht="17" customHeight="1">
      <c r="B3299" s="253"/>
      <c r="C3299" s="263"/>
      <c r="D3299" s="261"/>
      <c r="E3299" s="256"/>
      <c r="F3299" s="257"/>
      <c r="G3299" s="258"/>
      <c r="H3299" s="259"/>
      <c r="I3299" s="541">
        <f t="shared" si="63"/>
        <v>93341.371428571336</v>
      </c>
    </row>
    <row r="3300" spans="2:9" ht="17" customHeight="1">
      <c r="B3300" s="253"/>
      <c r="C3300" s="263"/>
      <c r="D3300" s="261"/>
      <c r="E3300" s="256"/>
      <c r="F3300" s="257"/>
      <c r="G3300" s="258"/>
      <c r="H3300" s="259"/>
      <c r="I3300" s="541">
        <f t="shared" si="63"/>
        <v>93341.371428571336</v>
      </c>
    </row>
    <row r="3301" spans="2:9" ht="17" customHeight="1">
      <c r="B3301" s="253"/>
      <c r="C3301" s="263"/>
      <c r="D3301" s="261"/>
      <c r="E3301" s="256"/>
      <c r="F3301" s="257"/>
      <c r="G3301" s="258"/>
      <c r="H3301" s="259"/>
      <c r="I3301" s="541">
        <f t="shared" si="63"/>
        <v>93341.371428571336</v>
      </c>
    </row>
    <row r="3302" spans="2:9" ht="17" customHeight="1">
      <c r="B3302" s="253"/>
      <c r="C3302" s="263"/>
      <c r="D3302" s="261"/>
      <c r="E3302" s="256"/>
      <c r="F3302" s="257"/>
      <c r="G3302" s="258"/>
      <c r="H3302" s="259"/>
      <c r="I3302" s="541">
        <f t="shared" si="63"/>
        <v>93341.371428571336</v>
      </c>
    </row>
    <row r="3303" spans="2:9" ht="17" customHeight="1">
      <c r="B3303" s="253"/>
      <c r="C3303" s="263"/>
      <c r="D3303" s="261"/>
      <c r="E3303" s="256"/>
      <c r="F3303" s="257"/>
      <c r="G3303" s="258"/>
      <c r="H3303" s="259"/>
      <c r="I3303" s="541">
        <f t="shared" si="63"/>
        <v>93341.371428571336</v>
      </c>
    </row>
    <row r="3304" spans="2:9" ht="17" customHeight="1">
      <c r="B3304" s="253"/>
      <c r="C3304" s="263"/>
      <c r="D3304" s="261"/>
      <c r="E3304" s="256"/>
      <c r="F3304" s="257"/>
      <c r="G3304" s="258"/>
      <c r="H3304" s="259"/>
      <c r="I3304" s="541">
        <f t="shared" si="63"/>
        <v>93341.371428571336</v>
      </c>
    </row>
    <row r="3305" spans="2:9" ht="17" customHeight="1">
      <c r="B3305" s="253"/>
      <c r="C3305" s="263"/>
      <c r="D3305" s="261"/>
      <c r="E3305" s="256"/>
      <c r="F3305" s="257"/>
      <c r="G3305" s="258"/>
      <c r="H3305" s="259"/>
      <c r="I3305" s="541">
        <f t="shared" si="63"/>
        <v>93341.371428571336</v>
      </c>
    </row>
    <row r="3306" spans="2:9" ht="17" customHeight="1">
      <c r="B3306" s="253"/>
      <c r="C3306" s="263"/>
      <c r="D3306" s="261"/>
      <c r="E3306" s="256"/>
      <c r="F3306" s="257"/>
      <c r="G3306" s="258"/>
      <c r="H3306" s="259"/>
      <c r="I3306" s="541">
        <f t="shared" si="63"/>
        <v>93341.371428571336</v>
      </c>
    </row>
    <row r="3307" spans="2:9" ht="17" customHeight="1">
      <c r="B3307" s="253"/>
      <c r="C3307" s="263"/>
      <c r="D3307" s="261"/>
      <c r="E3307" s="256"/>
      <c r="F3307" s="257"/>
      <c r="G3307" s="258"/>
      <c r="H3307" s="259"/>
      <c r="I3307" s="541">
        <f t="shared" si="63"/>
        <v>93341.371428571336</v>
      </c>
    </row>
    <row r="3308" spans="2:9" ht="17" customHeight="1">
      <c r="B3308" s="253"/>
      <c r="C3308" s="263"/>
      <c r="D3308" s="261"/>
      <c r="E3308" s="256"/>
      <c r="F3308" s="257"/>
      <c r="G3308" s="258"/>
      <c r="H3308" s="259"/>
      <c r="I3308" s="541">
        <f t="shared" si="63"/>
        <v>93341.371428571336</v>
      </c>
    </row>
    <row r="3309" spans="2:9" ht="17" customHeight="1">
      <c r="B3309" s="253"/>
      <c r="C3309" s="263"/>
      <c r="D3309" s="261"/>
      <c r="E3309" s="256"/>
      <c r="F3309" s="257"/>
      <c r="G3309" s="258"/>
      <c r="H3309" s="259"/>
      <c r="I3309" s="541">
        <f t="shared" si="63"/>
        <v>93341.371428571336</v>
      </c>
    </row>
    <row r="3310" spans="2:9" ht="17" customHeight="1">
      <c r="B3310" s="253"/>
      <c r="C3310" s="263"/>
      <c r="D3310" s="261"/>
      <c r="E3310" s="256"/>
      <c r="F3310" s="257"/>
      <c r="G3310" s="258"/>
      <c r="H3310" s="259"/>
      <c r="I3310" s="541">
        <f t="shared" si="63"/>
        <v>93341.371428571336</v>
      </c>
    </row>
    <row r="3311" spans="2:9" ht="17" customHeight="1">
      <c r="B3311" s="253"/>
      <c r="C3311" s="263"/>
      <c r="D3311" s="261"/>
      <c r="E3311" s="256"/>
      <c r="F3311" s="257"/>
      <c r="G3311" s="258"/>
      <c r="H3311" s="259"/>
      <c r="I3311" s="541">
        <f t="shared" si="63"/>
        <v>93341.371428571336</v>
      </c>
    </row>
    <row r="3312" spans="2:9" ht="17" customHeight="1">
      <c r="B3312" s="253"/>
      <c r="C3312" s="263"/>
      <c r="D3312" s="261"/>
      <c r="E3312" s="256"/>
      <c r="F3312" s="257"/>
      <c r="G3312" s="258"/>
      <c r="H3312" s="259"/>
      <c r="I3312" s="541">
        <f t="shared" si="63"/>
        <v>93341.371428571336</v>
      </c>
    </row>
    <row r="3313" spans="2:9" ht="17" customHeight="1">
      <c r="B3313" s="253"/>
      <c r="C3313" s="263"/>
      <c r="D3313" s="261"/>
      <c r="E3313" s="256"/>
      <c r="F3313" s="257"/>
      <c r="G3313" s="258"/>
      <c r="H3313" s="259"/>
      <c r="I3313" s="541">
        <f t="shared" si="63"/>
        <v>93341.371428571336</v>
      </c>
    </row>
    <row r="3314" spans="2:9" ht="17" customHeight="1">
      <c r="B3314" s="253"/>
      <c r="C3314" s="263"/>
      <c r="D3314" s="261"/>
      <c r="E3314" s="256"/>
      <c r="F3314" s="257"/>
      <c r="G3314" s="258"/>
      <c r="H3314" s="259"/>
      <c r="I3314" s="541">
        <f t="shared" si="63"/>
        <v>93341.371428571336</v>
      </c>
    </row>
    <row r="3315" spans="2:9" ht="17" customHeight="1">
      <c r="B3315" s="253"/>
      <c r="C3315" s="263"/>
      <c r="D3315" s="261"/>
      <c r="E3315" s="256"/>
      <c r="F3315" s="257"/>
      <c r="G3315" s="258"/>
      <c r="H3315" s="259"/>
      <c r="I3315" s="541">
        <f t="shared" si="63"/>
        <v>93341.371428571336</v>
      </c>
    </row>
    <row r="3316" spans="2:9" ht="17" customHeight="1">
      <c r="B3316" s="253"/>
      <c r="C3316" s="263"/>
      <c r="D3316" s="261"/>
      <c r="E3316" s="256"/>
      <c r="F3316" s="257"/>
      <c r="G3316" s="258"/>
      <c r="H3316" s="259"/>
      <c r="I3316" s="541">
        <f t="shared" si="63"/>
        <v>93341.371428571336</v>
      </c>
    </row>
    <row r="3317" spans="2:9" ht="17" customHeight="1">
      <c r="B3317" s="253"/>
      <c r="C3317" s="263"/>
      <c r="D3317" s="261"/>
      <c r="E3317" s="256"/>
      <c r="F3317" s="257"/>
      <c r="G3317" s="258"/>
      <c r="H3317" s="259"/>
      <c r="I3317" s="541">
        <f t="shared" si="63"/>
        <v>93341.371428571336</v>
      </c>
    </row>
    <row r="3318" spans="2:9" ht="17" customHeight="1">
      <c r="B3318" s="253"/>
      <c r="C3318" s="263"/>
      <c r="D3318" s="261"/>
      <c r="E3318" s="256"/>
      <c r="F3318" s="257"/>
      <c r="G3318" s="258"/>
      <c r="H3318" s="259"/>
      <c r="I3318" s="541">
        <f t="shared" si="63"/>
        <v>93341.371428571336</v>
      </c>
    </row>
    <row r="3319" spans="2:9" ht="17" customHeight="1">
      <c r="B3319" s="253"/>
      <c r="C3319" s="263"/>
      <c r="D3319" s="261"/>
      <c r="E3319" s="256"/>
      <c r="F3319" s="257"/>
      <c r="G3319" s="258"/>
      <c r="H3319" s="259"/>
      <c r="I3319" s="541">
        <f t="shared" si="63"/>
        <v>93341.371428571336</v>
      </c>
    </row>
    <row r="3320" spans="2:9" ht="17" customHeight="1">
      <c r="B3320" s="253"/>
      <c r="C3320" s="263"/>
      <c r="D3320" s="261"/>
      <c r="E3320" s="256"/>
      <c r="F3320" s="257"/>
      <c r="G3320" s="258"/>
      <c r="H3320" s="259"/>
      <c r="I3320" s="541">
        <f t="shared" si="63"/>
        <v>93341.371428571336</v>
      </c>
    </row>
    <row r="3321" spans="2:9" ht="17" customHeight="1">
      <c r="B3321" s="253"/>
      <c r="C3321" s="263"/>
      <c r="D3321" s="261"/>
      <c r="E3321" s="256"/>
      <c r="F3321" s="257"/>
      <c r="G3321" s="258"/>
      <c r="H3321" s="259"/>
      <c r="I3321" s="541">
        <f t="shared" si="63"/>
        <v>93341.371428571336</v>
      </c>
    </row>
    <row r="3322" spans="2:9" ht="17" customHeight="1">
      <c r="B3322" s="253"/>
      <c r="C3322" s="263"/>
      <c r="D3322" s="261"/>
      <c r="E3322" s="256"/>
      <c r="F3322" s="257"/>
      <c r="G3322" s="258"/>
      <c r="H3322" s="259"/>
      <c r="I3322" s="541">
        <f t="shared" si="63"/>
        <v>93341.371428571336</v>
      </c>
    </row>
    <row r="3323" spans="2:9" ht="17" customHeight="1">
      <c r="B3323" s="253"/>
      <c r="C3323" s="263"/>
      <c r="D3323" s="261"/>
      <c r="E3323" s="256"/>
      <c r="F3323" s="257"/>
      <c r="G3323" s="258"/>
      <c r="H3323" s="259"/>
      <c r="I3323" s="541">
        <f t="shared" si="63"/>
        <v>93341.371428571336</v>
      </c>
    </row>
    <row r="3324" spans="2:9" ht="17" customHeight="1">
      <c r="B3324" s="253"/>
      <c r="C3324" s="263"/>
      <c r="D3324" s="261"/>
      <c r="E3324" s="256"/>
      <c r="F3324" s="257"/>
      <c r="G3324" s="258"/>
      <c r="H3324" s="259"/>
      <c r="I3324" s="541">
        <f t="shared" si="63"/>
        <v>93341.371428571336</v>
      </c>
    </row>
    <row r="3325" spans="2:9" ht="17" customHeight="1">
      <c r="B3325" s="253"/>
      <c r="C3325" s="263"/>
      <c r="D3325" s="261"/>
      <c r="E3325" s="256"/>
      <c r="F3325" s="257"/>
      <c r="G3325" s="258"/>
      <c r="H3325" s="259"/>
      <c r="I3325" s="541">
        <f t="shared" si="63"/>
        <v>93341.371428571336</v>
      </c>
    </row>
    <row r="3326" spans="2:9" ht="17" customHeight="1">
      <c r="B3326" s="253"/>
      <c r="C3326" s="263"/>
      <c r="D3326" s="261"/>
      <c r="E3326" s="256"/>
      <c r="F3326" s="257"/>
      <c r="G3326" s="258"/>
      <c r="H3326" s="259"/>
      <c r="I3326" s="541">
        <f t="shared" si="63"/>
        <v>93341.371428571336</v>
      </c>
    </row>
    <row r="3327" spans="2:9" ht="17" customHeight="1">
      <c r="B3327" s="253"/>
      <c r="C3327" s="263"/>
      <c r="D3327" s="261"/>
      <c r="E3327" s="256"/>
      <c r="F3327" s="257"/>
      <c r="G3327" s="258"/>
      <c r="H3327" s="259"/>
      <c r="I3327" s="541">
        <f t="shared" si="63"/>
        <v>93341.371428571336</v>
      </c>
    </row>
    <row r="3328" spans="2:9" ht="17" customHeight="1">
      <c r="B3328" s="253"/>
      <c r="C3328" s="263"/>
      <c r="D3328" s="261"/>
      <c r="E3328" s="256"/>
      <c r="F3328" s="257"/>
      <c r="G3328" s="258"/>
      <c r="H3328" s="259"/>
      <c r="I3328" s="541">
        <f t="shared" si="63"/>
        <v>93341.371428571336</v>
      </c>
    </row>
    <row r="3329" spans="2:9" ht="17" customHeight="1">
      <c r="B3329" s="253"/>
      <c r="C3329" s="263"/>
      <c r="D3329" s="261"/>
      <c r="E3329" s="256"/>
      <c r="F3329" s="257"/>
      <c r="G3329" s="258"/>
      <c r="H3329" s="259"/>
      <c r="I3329" s="541">
        <f t="shared" si="63"/>
        <v>93341.371428571336</v>
      </c>
    </row>
    <row r="3330" spans="2:9" ht="17" customHeight="1">
      <c r="B3330" s="253"/>
      <c r="C3330" s="263"/>
      <c r="D3330" s="261"/>
      <c r="E3330" s="256"/>
      <c r="F3330" s="257"/>
      <c r="G3330" s="258"/>
      <c r="H3330" s="259"/>
      <c r="I3330" s="541">
        <f t="shared" si="63"/>
        <v>93341.371428571336</v>
      </c>
    </row>
    <row r="3331" spans="2:9" ht="17" customHeight="1">
      <c r="B3331" s="253"/>
      <c r="C3331" s="263"/>
      <c r="D3331" s="261"/>
      <c r="E3331" s="256"/>
      <c r="F3331" s="257"/>
      <c r="G3331" s="258"/>
      <c r="H3331" s="259"/>
      <c r="I3331" s="541">
        <f t="shared" si="63"/>
        <v>93341.371428571336</v>
      </c>
    </row>
    <row r="3332" spans="2:9" ht="17" customHeight="1">
      <c r="B3332" s="253"/>
      <c r="C3332" s="263"/>
      <c r="D3332" s="261"/>
      <c r="E3332" s="256"/>
      <c r="F3332" s="257"/>
      <c r="G3332" s="258"/>
      <c r="H3332" s="259"/>
      <c r="I3332" s="541">
        <f t="shared" si="63"/>
        <v>93341.371428571336</v>
      </c>
    </row>
    <row r="3333" spans="2:9" ht="17" customHeight="1">
      <c r="B3333" s="253"/>
      <c r="C3333" s="263"/>
      <c r="D3333" s="261"/>
      <c r="E3333" s="256"/>
      <c r="F3333" s="257"/>
      <c r="G3333" s="258"/>
      <c r="H3333" s="259"/>
      <c r="I3333" s="541">
        <f t="shared" si="63"/>
        <v>93341.371428571336</v>
      </c>
    </row>
    <row r="3334" spans="2:9" ht="17" customHeight="1">
      <c r="B3334" s="253"/>
      <c r="C3334" s="263"/>
      <c r="D3334" s="261"/>
      <c r="E3334" s="256"/>
      <c r="F3334" s="257"/>
      <c r="G3334" s="258"/>
      <c r="H3334" s="259"/>
      <c r="I3334" s="541">
        <f t="shared" si="63"/>
        <v>93341.371428571336</v>
      </c>
    </row>
    <row r="3335" spans="2:9" ht="17" customHeight="1">
      <c r="B3335" s="253"/>
      <c r="C3335" s="263"/>
      <c r="D3335" s="261"/>
      <c r="E3335" s="256"/>
      <c r="F3335" s="257"/>
      <c r="G3335" s="258"/>
      <c r="H3335" s="259"/>
      <c r="I3335" s="541">
        <f t="shared" si="63"/>
        <v>93341.371428571336</v>
      </c>
    </row>
    <row r="3336" spans="2:9" ht="17" customHeight="1">
      <c r="B3336" s="253"/>
      <c r="C3336" s="263"/>
      <c r="D3336" s="261"/>
      <c r="E3336" s="256"/>
      <c r="F3336" s="257"/>
      <c r="G3336" s="258"/>
      <c r="H3336" s="259"/>
      <c r="I3336" s="541">
        <f t="shared" si="63"/>
        <v>93341.371428571336</v>
      </c>
    </row>
    <row r="3337" spans="2:9" ht="17" customHeight="1">
      <c r="B3337" s="253"/>
      <c r="C3337" s="263"/>
      <c r="D3337" s="261"/>
      <c r="E3337" s="256"/>
      <c r="F3337" s="257"/>
      <c r="G3337" s="258"/>
      <c r="H3337" s="259"/>
      <c r="I3337" s="541">
        <f t="shared" si="63"/>
        <v>93341.371428571336</v>
      </c>
    </row>
    <row r="3338" spans="2:9" ht="17" customHeight="1">
      <c r="B3338" s="253"/>
      <c r="C3338" s="263"/>
      <c r="D3338" s="261"/>
      <c r="E3338" s="256"/>
      <c r="F3338" s="257"/>
      <c r="G3338" s="258"/>
      <c r="H3338" s="259"/>
      <c r="I3338" s="541">
        <f t="shared" si="63"/>
        <v>93341.371428571336</v>
      </c>
    </row>
    <row r="3339" spans="2:9" ht="17" customHeight="1">
      <c r="B3339" s="253"/>
      <c r="C3339" s="263"/>
      <c r="D3339" s="261"/>
      <c r="E3339" s="256"/>
      <c r="F3339" s="257"/>
      <c r="G3339" s="258"/>
      <c r="H3339" s="259"/>
      <c r="I3339" s="541">
        <f t="shared" si="63"/>
        <v>93341.371428571336</v>
      </c>
    </row>
    <row r="3340" spans="2:9" ht="17" customHeight="1">
      <c r="B3340" s="253"/>
      <c r="C3340" s="263"/>
      <c r="D3340" s="261"/>
      <c r="E3340" s="256"/>
      <c r="F3340" s="257"/>
      <c r="G3340" s="258"/>
      <c r="H3340" s="259"/>
      <c r="I3340" s="541">
        <f t="shared" si="63"/>
        <v>93341.371428571336</v>
      </c>
    </row>
    <row r="3341" spans="2:9" ht="17" customHeight="1">
      <c r="B3341" s="253"/>
      <c r="C3341" s="263"/>
      <c r="D3341" s="261"/>
      <c r="E3341" s="256"/>
      <c r="F3341" s="257"/>
      <c r="G3341" s="258"/>
      <c r="H3341" s="259"/>
      <c r="I3341" s="541">
        <f t="shared" si="63"/>
        <v>93341.371428571336</v>
      </c>
    </row>
    <row r="3342" spans="2:9" ht="17" customHeight="1">
      <c r="B3342" s="253"/>
      <c r="C3342" s="263"/>
      <c r="D3342" s="261"/>
      <c r="E3342" s="256"/>
      <c r="F3342" s="257"/>
      <c r="G3342" s="258"/>
      <c r="H3342" s="259"/>
      <c r="I3342" s="541">
        <f t="shared" si="63"/>
        <v>93341.371428571336</v>
      </c>
    </row>
    <row r="3343" spans="2:9" ht="17" customHeight="1">
      <c r="B3343" s="253"/>
      <c r="C3343" s="263"/>
      <c r="D3343" s="261"/>
      <c r="E3343" s="256"/>
      <c r="F3343" s="257"/>
      <c r="G3343" s="258"/>
      <c r="H3343" s="259"/>
      <c r="I3343" s="541">
        <f t="shared" si="63"/>
        <v>93341.371428571336</v>
      </c>
    </row>
    <row r="3344" spans="2:9" ht="17" customHeight="1">
      <c r="B3344" s="253"/>
      <c r="C3344" s="263"/>
      <c r="D3344" s="261"/>
      <c r="E3344" s="256"/>
      <c r="F3344" s="257"/>
      <c r="G3344" s="258"/>
      <c r="H3344" s="259"/>
      <c r="I3344" s="541">
        <f t="shared" si="63"/>
        <v>93341.371428571336</v>
      </c>
    </row>
    <row r="3345" spans="2:9" ht="17" customHeight="1">
      <c r="B3345" s="253"/>
      <c r="C3345" s="263"/>
      <c r="D3345" s="261"/>
      <c r="E3345" s="256"/>
      <c r="F3345" s="257"/>
      <c r="G3345" s="258"/>
      <c r="H3345" s="259"/>
      <c r="I3345" s="541">
        <f t="shared" si="63"/>
        <v>93341.371428571336</v>
      </c>
    </row>
    <row r="3346" spans="2:9" ht="17" customHeight="1">
      <c r="B3346" s="253"/>
      <c r="C3346" s="263"/>
      <c r="D3346" s="261"/>
      <c r="E3346" s="256"/>
      <c r="F3346" s="257"/>
      <c r="G3346" s="258"/>
      <c r="H3346" s="259"/>
      <c r="I3346" s="541">
        <f t="shared" si="63"/>
        <v>93341.371428571336</v>
      </c>
    </row>
    <row r="3347" spans="2:9" ht="17" customHeight="1">
      <c r="B3347" s="253"/>
      <c r="C3347" s="263"/>
      <c r="D3347" s="261"/>
      <c r="E3347" s="256"/>
      <c r="F3347" s="257"/>
      <c r="G3347" s="258"/>
      <c r="H3347" s="259"/>
      <c r="I3347" s="541">
        <f t="shared" si="63"/>
        <v>93341.371428571336</v>
      </c>
    </row>
    <row r="3348" spans="2:9" ht="17" customHeight="1">
      <c r="B3348" s="253"/>
      <c r="C3348" s="263"/>
      <c r="D3348" s="261"/>
      <c r="E3348" s="256"/>
      <c r="F3348" s="257"/>
      <c r="G3348" s="258"/>
      <c r="H3348" s="259"/>
      <c r="I3348" s="541">
        <f t="shared" si="63"/>
        <v>93341.371428571336</v>
      </c>
    </row>
    <row r="3349" spans="2:9" ht="17" customHeight="1">
      <c r="B3349" s="253"/>
      <c r="C3349" s="263"/>
      <c r="D3349" s="261"/>
      <c r="E3349" s="256"/>
      <c r="F3349" s="257"/>
      <c r="G3349" s="258"/>
      <c r="H3349" s="259"/>
      <c r="I3349" s="541">
        <f t="shared" si="63"/>
        <v>93341.371428571336</v>
      </c>
    </row>
    <row r="3350" spans="2:9" ht="17" customHeight="1">
      <c r="B3350" s="253"/>
      <c r="C3350" s="263"/>
      <c r="D3350" s="261"/>
      <c r="E3350" s="256"/>
      <c r="F3350" s="257"/>
      <c r="G3350" s="258"/>
      <c r="H3350" s="259"/>
      <c r="I3350" s="541">
        <f t="shared" si="63"/>
        <v>93341.371428571336</v>
      </c>
    </row>
    <row r="3351" spans="2:9" ht="17" customHeight="1">
      <c r="B3351" s="253"/>
      <c r="C3351" s="263"/>
      <c r="D3351" s="261"/>
      <c r="E3351" s="256"/>
      <c r="F3351" s="257"/>
      <c r="G3351" s="258"/>
      <c r="H3351" s="259"/>
      <c r="I3351" s="541">
        <f t="shared" si="63"/>
        <v>93341.371428571336</v>
      </c>
    </row>
    <row r="3352" spans="2:9" ht="17" customHeight="1">
      <c r="B3352" s="253"/>
      <c r="C3352" s="263"/>
      <c r="D3352" s="261"/>
      <c r="E3352" s="256"/>
      <c r="F3352" s="257"/>
      <c r="G3352" s="258"/>
      <c r="H3352" s="259"/>
      <c r="I3352" s="541">
        <f t="shared" si="63"/>
        <v>93341.371428571336</v>
      </c>
    </row>
    <row r="3353" spans="2:9" ht="17" customHeight="1">
      <c r="B3353" s="253"/>
      <c r="C3353" s="263"/>
      <c r="D3353" s="261"/>
      <c r="E3353" s="256"/>
      <c r="F3353" s="257"/>
      <c r="G3353" s="258"/>
      <c r="H3353" s="259"/>
      <c r="I3353" s="541">
        <f t="shared" si="63"/>
        <v>93341.371428571336</v>
      </c>
    </row>
    <row r="3354" spans="2:9" ht="17" customHeight="1">
      <c r="B3354" s="253"/>
      <c r="C3354" s="263"/>
      <c r="D3354" s="261"/>
      <c r="E3354" s="256"/>
      <c r="F3354" s="257"/>
      <c r="G3354" s="258"/>
      <c r="H3354" s="259"/>
      <c r="I3354" s="541">
        <f t="shared" ref="I3354:I3417" si="64">I3353+E3355-F3355</f>
        <v>93341.371428571336</v>
      </c>
    </row>
    <row r="3355" spans="2:9" ht="17" customHeight="1">
      <c r="B3355" s="253"/>
      <c r="C3355" s="263"/>
      <c r="D3355" s="261"/>
      <c r="E3355" s="256"/>
      <c r="F3355" s="257"/>
      <c r="G3355" s="258"/>
      <c r="H3355" s="259"/>
      <c r="I3355" s="541">
        <f t="shared" si="64"/>
        <v>93341.371428571336</v>
      </c>
    </row>
    <row r="3356" spans="2:9" ht="17" customHeight="1">
      <c r="B3356" s="253"/>
      <c r="C3356" s="263"/>
      <c r="D3356" s="261"/>
      <c r="E3356" s="256"/>
      <c r="F3356" s="257"/>
      <c r="G3356" s="258"/>
      <c r="H3356" s="259"/>
      <c r="I3356" s="541">
        <f t="shared" si="64"/>
        <v>93341.371428571336</v>
      </c>
    </row>
    <row r="3357" spans="2:9" ht="17" customHeight="1">
      <c r="B3357" s="253"/>
      <c r="C3357" s="263"/>
      <c r="D3357" s="261"/>
      <c r="E3357" s="256"/>
      <c r="F3357" s="257"/>
      <c r="G3357" s="258"/>
      <c r="H3357" s="259"/>
      <c r="I3357" s="541">
        <f t="shared" si="64"/>
        <v>93341.371428571336</v>
      </c>
    </row>
    <row r="3358" spans="2:9" ht="17" customHeight="1">
      <c r="B3358" s="253"/>
      <c r="C3358" s="263"/>
      <c r="D3358" s="261"/>
      <c r="E3358" s="256"/>
      <c r="F3358" s="257"/>
      <c r="G3358" s="258"/>
      <c r="H3358" s="259"/>
      <c r="I3358" s="541">
        <f t="shared" si="64"/>
        <v>93341.371428571336</v>
      </c>
    </row>
    <row r="3359" spans="2:9" ht="17" customHeight="1">
      <c r="B3359" s="253"/>
      <c r="C3359" s="263"/>
      <c r="D3359" s="261"/>
      <c r="E3359" s="256"/>
      <c r="F3359" s="257"/>
      <c r="G3359" s="258"/>
      <c r="H3359" s="259"/>
      <c r="I3359" s="541">
        <f t="shared" si="64"/>
        <v>93341.371428571336</v>
      </c>
    </row>
    <row r="3360" spans="2:9" ht="17" customHeight="1">
      <c r="B3360" s="253"/>
      <c r="C3360" s="263"/>
      <c r="D3360" s="261"/>
      <c r="E3360" s="256"/>
      <c r="F3360" s="257"/>
      <c r="G3360" s="258"/>
      <c r="H3360" s="259"/>
      <c r="I3360" s="541">
        <f t="shared" si="64"/>
        <v>93341.371428571336</v>
      </c>
    </row>
    <row r="3361" spans="2:9" ht="17" customHeight="1">
      <c r="B3361" s="253"/>
      <c r="C3361" s="263"/>
      <c r="D3361" s="261"/>
      <c r="E3361" s="256"/>
      <c r="F3361" s="257"/>
      <c r="G3361" s="258"/>
      <c r="H3361" s="259"/>
      <c r="I3361" s="541">
        <f t="shared" si="64"/>
        <v>93341.371428571336</v>
      </c>
    </row>
    <row r="3362" spans="2:9" ht="17" customHeight="1">
      <c r="B3362" s="253"/>
      <c r="C3362" s="263"/>
      <c r="D3362" s="261"/>
      <c r="E3362" s="256"/>
      <c r="F3362" s="257"/>
      <c r="G3362" s="258"/>
      <c r="H3362" s="259"/>
      <c r="I3362" s="541">
        <f t="shared" si="64"/>
        <v>93341.371428571336</v>
      </c>
    </row>
    <row r="3363" spans="2:9" ht="17" customHeight="1">
      <c r="B3363" s="253"/>
      <c r="C3363" s="263"/>
      <c r="D3363" s="261"/>
      <c r="E3363" s="256"/>
      <c r="F3363" s="257"/>
      <c r="G3363" s="258"/>
      <c r="H3363" s="259"/>
      <c r="I3363" s="541">
        <f t="shared" si="64"/>
        <v>93341.371428571336</v>
      </c>
    </row>
    <row r="3364" spans="2:9" ht="17" customHeight="1">
      <c r="B3364" s="253"/>
      <c r="C3364" s="263"/>
      <c r="D3364" s="261"/>
      <c r="E3364" s="256"/>
      <c r="F3364" s="257"/>
      <c r="G3364" s="258"/>
      <c r="H3364" s="259"/>
      <c r="I3364" s="541">
        <f t="shared" si="64"/>
        <v>93341.371428571336</v>
      </c>
    </row>
    <row r="3365" spans="2:9" ht="17" customHeight="1">
      <c r="B3365" s="253"/>
      <c r="C3365" s="263"/>
      <c r="D3365" s="261"/>
      <c r="E3365" s="256"/>
      <c r="F3365" s="257"/>
      <c r="G3365" s="258"/>
      <c r="H3365" s="259"/>
      <c r="I3365" s="541">
        <f t="shared" si="64"/>
        <v>93341.371428571336</v>
      </c>
    </row>
    <row r="3366" spans="2:9" ht="17" customHeight="1">
      <c r="B3366" s="253"/>
      <c r="C3366" s="263"/>
      <c r="D3366" s="261"/>
      <c r="E3366" s="256"/>
      <c r="F3366" s="257"/>
      <c r="G3366" s="258"/>
      <c r="H3366" s="259"/>
      <c r="I3366" s="541">
        <f t="shared" si="64"/>
        <v>93341.371428571336</v>
      </c>
    </row>
    <row r="3367" spans="2:9" ht="17" customHeight="1">
      <c r="B3367" s="253"/>
      <c r="C3367" s="263"/>
      <c r="D3367" s="261"/>
      <c r="E3367" s="256"/>
      <c r="F3367" s="257"/>
      <c r="G3367" s="258"/>
      <c r="H3367" s="259"/>
      <c r="I3367" s="541">
        <f t="shared" si="64"/>
        <v>93341.371428571336</v>
      </c>
    </row>
    <row r="3368" spans="2:9" ht="17" customHeight="1">
      <c r="B3368" s="253"/>
      <c r="C3368" s="263"/>
      <c r="D3368" s="261"/>
      <c r="E3368" s="256"/>
      <c r="F3368" s="257"/>
      <c r="G3368" s="258"/>
      <c r="H3368" s="259"/>
      <c r="I3368" s="541">
        <f t="shared" si="64"/>
        <v>93341.371428571336</v>
      </c>
    </row>
    <row r="3369" spans="2:9" ht="17" customHeight="1">
      <c r="B3369" s="253"/>
      <c r="C3369" s="263"/>
      <c r="D3369" s="261"/>
      <c r="E3369" s="256"/>
      <c r="F3369" s="257"/>
      <c r="G3369" s="258"/>
      <c r="H3369" s="259"/>
      <c r="I3369" s="541">
        <f t="shared" si="64"/>
        <v>93341.371428571336</v>
      </c>
    </row>
    <row r="3370" spans="2:9" ht="17" customHeight="1">
      <c r="B3370" s="253"/>
      <c r="C3370" s="263"/>
      <c r="D3370" s="261"/>
      <c r="E3370" s="256"/>
      <c r="F3370" s="257"/>
      <c r="G3370" s="258"/>
      <c r="H3370" s="259"/>
      <c r="I3370" s="541">
        <f t="shared" si="64"/>
        <v>93341.371428571336</v>
      </c>
    </row>
    <row r="3371" spans="2:9" ht="17" customHeight="1">
      <c r="B3371" s="253"/>
      <c r="C3371" s="263"/>
      <c r="D3371" s="261"/>
      <c r="E3371" s="256"/>
      <c r="F3371" s="257"/>
      <c r="G3371" s="258"/>
      <c r="H3371" s="259"/>
      <c r="I3371" s="541">
        <f t="shared" si="64"/>
        <v>93341.371428571336</v>
      </c>
    </row>
    <row r="3372" spans="2:9" ht="17" customHeight="1">
      <c r="B3372" s="253"/>
      <c r="C3372" s="263"/>
      <c r="D3372" s="261"/>
      <c r="E3372" s="256"/>
      <c r="F3372" s="257"/>
      <c r="G3372" s="258"/>
      <c r="H3372" s="259"/>
      <c r="I3372" s="541">
        <f t="shared" si="64"/>
        <v>93341.371428571336</v>
      </c>
    </row>
    <row r="3373" spans="2:9" ht="17" customHeight="1">
      <c r="B3373" s="253"/>
      <c r="C3373" s="263"/>
      <c r="D3373" s="261"/>
      <c r="E3373" s="256"/>
      <c r="F3373" s="257"/>
      <c r="G3373" s="258"/>
      <c r="H3373" s="259"/>
      <c r="I3373" s="541">
        <f t="shared" si="64"/>
        <v>93341.371428571336</v>
      </c>
    </row>
    <row r="3374" spans="2:9" ht="17" customHeight="1">
      <c r="B3374" s="253"/>
      <c r="C3374" s="263"/>
      <c r="D3374" s="261"/>
      <c r="E3374" s="256"/>
      <c r="F3374" s="257"/>
      <c r="G3374" s="258"/>
      <c r="H3374" s="259"/>
      <c r="I3374" s="541">
        <f t="shared" si="64"/>
        <v>93341.371428571336</v>
      </c>
    </row>
    <row r="3375" spans="2:9" ht="17" customHeight="1">
      <c r="B3375" s="253"/>
      <c r="C3375" s="263"/>
      <c r="D3375" s="261"/>
      <c r="E3375" s="256"/>
      <c r="F3375" s="257"/>
      <c r="G3375" s="258"/>
      <c r="H3375" s="259"/>
      <c r="I3375" s="541">
        <f t="shared" si="64"/>
        <v>93341.371428571336</v>
      </c>
    </row>
    <row r="3376" spans="2:9" ht="17" customHeight="1">
      <c r="B3376" s="253"/>
      <c r="C3376" s="263"/>
      <c r="D3376" s="261"/>
      <c r="E3376" s="256"/>
      <c r="F3376" s="257"/>
      <c r="G3376" s="258"/>
      <c r="H3376" s="259"/>
      <c r="I3376" s="541">
        <f t="shared" si="64"/>
        <v>93341.371428571336</v>
      </c>
    </row>
    <row r="3377" spans="2:9" ht="17" customHeight="1">
      <c r="B3377" s="253"/>
      <c r="C3377" s="263"/>
      <c r="D3377" s="261"/>
      <c r="E3377" s="256"/>
      <c r="F3377" s="257"/>
      <c r="G3377" s="258"/>
      <c r="H3377" s="259"/>
      <c r="I3377" s="541">
        <f t="shared" si="64"/>
        <v>93341.371428571336</v>
      </c>
    </row>
    <row r="3378" spans="2:9" ht="17" customHeight="1">
      <c r="B3378" s="253"/>
      <c r="C3378" s="263"/>
      <c r="D3378" s="261"/>
      <c r="E3378" s="256"/>
      <c r="F3378" s="257"/>
      <c r="G3378" s="258"/>
      <c r="H3378" s="259"/>
      <c r="I3378" s="541">
        <f t="shared" si="64"/>
        <v>93341.371428571336</v>
      </c>
    </row>
    <row r="3379" spans="2:9" ht="17" customHeight="1">
      <c r="B3379" s="253"/>
      <c r="C3379" s="263"/>
      <c r="D3379" s="261"/>
      <c r="E3379" s="256"/>
      <c r="F3379" s="257"/>
      <c r="G3379" s="258"/>
      <c r="H3379" s="259"/>
      <c r="I3379" s="541">
        <f t="shared" si="64"/>
        <v>93341.371428571336</v>
      </c>
    </row>
    <row r="3380" spans="2:9" ht="17" customHeight="1">
      <c r="B3380" s="253"/>
      <c r="C3380" s="263"/>
      <c r="D3380" s="261"/>
      <c r="E3380" s="256"/>
      <c r="F3380" s="257"/>
      <c r="G3380" s="258"/>
      <c r="H3380" s="259"/>
      <c r="I3380" s="541">
        <f t="shared" si="64"/>
        <v>93341.371428571336</v>
      </c>
    </row>
    <row r="3381" spans="2:9" ht="17" customHeight="1">
      <c r="B3381" s="253"/>
      <c r="C3381" s="263"/>
      <c r="D3381" s="261"/>
      <c r="E3381" s="256"/>
      <c r="F3381" s="257"/>
      <c r="G3381" s="258"/>
      <c r="H3381" s="259"/>
      <c r="I3381" s="541">
        <f t="shared" si="64"/>
        <v>93341.371428571336</v>
      </c>
    </row>
    <row r="3382" spans="2:9" ht="17" customHeight="1">
      <c r="B3382" s="253"/>
      <c r="C3382" s="263"/>
      <c r="D3382" s="261"/>
      <c r="E3382" s="256"/>
      <c r="F3382" s="257"/>
      <c r="G3382" s="258"/>
      <c r="H3382" s="259"/>
      <c r="I3382" s="541">
        <f t="shared" si="64"/>
        <v>93341.371428571336</v>
      </c>
    </row>
    <row r="3383" spans="2:9" ht="17" customHeight="1">
      <c r="B3383" s="253"/>
      <c r="C3383" s="263"/>
      <c r="D3383" s="261"/>
      <c r="E3383" s="256"/>
      <c r="F3383" s="257"/>
      <c r="G3383" s="258"/>
      <c r="H3383" s="259"/>
      <c r="I3383" s="541">
        <f t="shared" si="64"/>
        <v>93341.371428571336</v>
      </c>
    </row>
    <row r="3384" spans="2:9" ht="17" customHeight="1">
      <c r="B3384" s="253"/>
      <c r="C3384" s="263"/>
      <c r="D3384" s="261"/>
      <c r="E3384" s="256"/>
      <c r="F3384" s="257"/>
      <c r="G3384" s="258"/>
      <c r="H3384" s="259"/>
      <c r="I3384" s="541">
        <f t="shared" si="64"/>
        <v>93341.371428571336</v>
      </c>
    </row>
    <row r="3385" spans="2:9" ht="17" customHeight="1">
      <c r="B3385" s="253"/>
      <c r="C3385" s="263"/>
      <c r="D3385" s="261"/>
      <c r="E3385" s="256"/>
      <c r="F3385" s="257"/>
      <c r="G3385" s="258"/>
      <c r="H3385" s="259"/>
      <c r="I3385" s="541">
        <f t="shared" si="64"/>
        <v>93341.371428571336</v>
      </c>
    </row>
    <row r="3386" spans="2:9" ht="17" customHeight="1">
      <c r="B3386" s="253"/>
      <c r="C3386" s="263"/>
      <c r="D3386" s="261"/>
      <c r="E3386" s="256"/>
      <c r="F3386" s="257"/>
      <c r="G3386" s="258"/>
      <c r="H3386" s="259"/>
      <c r="I3386" s="541">
        <f t="shared" si="64"/>
        <v>93341.371428571336</v>
      </c>
    </row>
    <row r="3387" spans="2:9" ht="17" customHeight="1">
      <c r="B3387" s="253"/>
      <c r="C3387" s="263"/>
      <c r="D3387" s="261"/>
      <c r="E3387" s="256"/>
      <c r="F3387" s="257"/>
      <c r="G3387" s="258"/>
      <c r="H3387" s="259"/>
      <c r="I3387" s="541">
        <f t="shared" si="64"/>
        <v>93341.371428571336</v>
      </c>
    </row>
    <row r="3388" spans="2:9" ht="17" customHeight="1">
      <c r="B3388" s="253"/>
      <c r="C3388" s="263"/>
      <c r="D3388" s="261"/>
      <c r="E3388" s="256"/>
      <c r="F3388" s="257"/>
      <c r="G3388" s="258"/>
      <c r="H3388" s="259"/>
      <c r="I3388" s="541">
        <f t="shared" si="64"/>
        <v>93341.371428571336</v>
      </c>
    </row>
    <row r="3389" spans="2:9" ht="17" customHeight="1">
      <c r="B3389" s="253"/>
      <c r="C3389" s="263"/>
      <c r="D3389" s="261"/>
      <c r="E3389" s="256"/>
      <c r="F3389" s="257"/>
      <c r="G3389" s="258"/>
      <c r="H3389" s="259"/>
      <c r="I3389" s="541">
        <f t="shared" si="64"/>
        <v>93341.371428571336</v>
      </c>
    </row>
    <row r="3390" spans="2:9" ht="17" customHeight="1">
      <c r="B3390" s="253"/>
      <c r="C3390" s="263"/>
      <c r="D3390" s="261"/>
      <c r="E3390" s="256"/>
      <c r="F3390" s="257"/>
      <c r="G3390" s="258"/>
      <c r="H3390" s="259"/>
      <c r="I3390" s="541">
        <f t="shared" si="64"/>
        <v>93341.371428571336</v>
      </c>
    </row>
    <row r="3391" spans="2:9" ht="17" customHeight="1">
      <c r="B3391" s="253"/>
      <c r="C3391" s="263"/>
      <c r="D3391" s="261"/>
      <c r="E3391" s="256"/>
      <c r="F3391" s="257"/>
      <c r="G3391" s="258"/>
      <c r="H3391" s="259"/>
      <c r="I3391" s="541">
        <f t="shared" si="64"/>
        <v>93341.371428571336</v>
      </c>
    </row>
    <row r="3392" spans="2:9" ht="17" customHeight="1">
      <c r="B3392" s="253"/>
      <c r="C3392" s="263"/>
      <c r="D3392" s="261"/>
      <c r="E3392" s="256"/>
      <c r="F3392" s="257"/>
      <c r="G3392" s="258"/>
      <c r="H3392" s="259"/>
      <c r="I3392" s="541">
        <f t="shared" si="64"/>
        <v>93341.371428571336</v>
      </c>
    </row>
    <row r="3393" spans="2:9" ht="17" customHeight="1">
      <c r="B3393" s="253"/>
      <c r="C3393" s="263"/>
      <c r="D3393" s="261"/>
      <c r="E3393" s="256"/>
      <c r="F3393" s="257"/>
      <c r="G3393" s="258"/>
      <c r="H3393" s="259"/>
      <c r="I3393" s="541">
        <f t="shared" si="64"/>
        <v>93341.371428571336</v>
      </c>
    </row>
    <row r="3394" spans="2:9" ht="17" customHeight="1">
      <c r="B3394" s="253"/>
      <c r="C3394" s="263"/>
      <c r="D3394" s="261"/>
      <c r="E3394" s="256"/>
      <c r="F3394" s="257"/>
      <c r="G3394" s="258"/>
      <c r="H3394" s="259"/>
      <c r="I3394" s="541">
        <f t="shared" si="64"/>
        <v>93341.371428571336</v>
      </c>
    </row>
    <row r="3395" spans="2:9" ht="17" customHeight="1">
      <c r="B3395" s="253"/>
      <c r="C3395" s="263"/>
      <c r="D3395" s="261"/>
      <c r="E3395" s="256"/>
      <c r="F3395" s="257"/>
      <c r="G3395" s="258"/>
      <c r="H3395" s="259"/>
      <c r="I3395" s="541">
        <f t="shared" si="64"/>
        <v>93341.371428571336</v>
      </c>
    </row>
    <row r="3396" spans="2:9" ht="17" customHeight="1">
      <c r="B3396" s="253"/>
      <c r="C3396" s="263"/>
      <c r="D3396" s="261"/>
      <c r="E3396" s="256"/>
      <c r="F3396" s="257"/>
      <c r="G3396" s="258"/>
      <c r="H3396" s="259"/>
      <c r="I3396" s="541">
        <f t="shared" si="64"/>
        <v>93341.371428571336</v>
      </c>
    </row>
    <row r="3397" spans="2:9" ht="17" customHeight="1">
      <c r="B3397" s="253"/>
      <c r="C3397" s="263"/>
      <c r="D3397" s="261"/>
      <c r="E3397" s="256"/>
      <c r="F3397" s="257"/>
      <c r="G3397" s="258"/>
      <c r="H3397" s="259"/>
      <c r="I3397" s="541">
        <f t="shared" si="64"/>
        <v>93341.371428571336</v>
      </c>
    </row>
    <row r="3398" spans="2:9" ht="17" customHeight="1">
      <c r="B3398" s="253"/>
      <c r="C3398" s="263"/>
      <c r="D3398" s="261"/>
      <c r="E3398" s="256"/>
      <c r="F3398" s="257"/>
      <c r="G3398" s="258"/>
      <c r="H3398" s="259"/>
      <c r="I3398" s="541">
        <f t="shared" si="64"/>
        <v>93341.371428571336</v>
      </c>
    </row>
    <row r="3399" spans="2:9" ht="17" customHeight="1">
      <c r="B3399" s="253"/>
      <c r="C3399" s="263"/>
      <c r="D3399" s="261"/>
      <c r="E3399" s="256"/>
      <c r="F3399" s="257"/>
      <c r="G3399" s="258"/>
      <c r="H3399" s="259"/>
      <c r="I3399" s="541">
        <f t="shared" si="64"/>
        <v>93341.371428571336</v>
      </c>
    </row>
    <row r="3400" spans="2:9" ht="17" customHeight="1">
      <c r="B3400" s="253"/>
      <c r="C3400" s="263"/>
      <c r="D3400" s="261"/>
      <c r="E3400" s="256"/>
      <c r="F3400" s="257"/>
      <c r="G3400" s="258"/>
      <c r="H3400" s="259"/>
      <c r="I3400" s="541">
        <f t="shared" si="64"/>
        <v>93341.371428571336</v>
      </c>
    </row>
    <row r="3401" spans="2:9" ht="17" customHeight="1">
      <c r="B3401" s="253"/>
      <c r="C3401" s="263"/>
      <c r="D3401" s="261"/>
      <c r="E3401" s="256"/>
      <c r="F3401" s="257"/>
      <c r="G3401" s="258"/>
      <c r="H3401" s="259"/>
      <c r="I3401" s="541">
        <f t="shared" si="64"/>
        <v>93341.371428571336</v>
      </c>
    </row>
    <row r="3402" spans="2:9" ht="17" customHeight="1">
      <c r="B3402" s="253"/>
      <c r="C3402" s="263"/>
      <c r="D3402" s="261"/>
      <c r="E3402" s="256"/>
      <c r="F3402" s="257"/>
      <c r="G3402" s="258"/>
      <c r="H3402" s="259"/>
      <c r="I3402" s="541">
        <f t="shared" si="64"/>
        <v>93341.371428571336</v>
      </c>
    </row>
    <row r="3403" spans="2:9" ht="17" customHeight="1">
      <c r="B3403" s="253"/>
      <c r="C3403" s="263"/>
      <c r="D3403" s="261"/>
      <c r="E3403" s="256"/>
      <c r="F3403" s="257"/>
      <c r="G3403" s="258"/>
      <c r="H3403" s="259"/>
      <c r="I3403" s="541">
        <f t="shared" si="64"/>
        <v>93341.371428571336</v>
      </c>
    </row>
    <row r="3404" spans="2:9" ht="17" customHeight="1">
      <c r="B3404" s="253"/>
      <c r="C3404" s="263"/>
      <c r="D3404" s="261"/>
      <c r="E3404" s="256"/>
      <c r="F3404" s="257"/>
      <c r="G3404" s="258"/>
      <c r="H3404" s="259"/>
      <c r="I3404" s="541">
        <f t="shared" si="64"/>
        <v>93341.371428571336</v>
      </c>
    </row>
    <row r="3405" spans="2:9" ht="17" customHeight="1">
      <c r="B3405" s="253"/>
      <c r="C3405" s="263"/>
      <c r="D3405" s="261"/>
      <c r="E3405" s="256"/>
      <c r="F3405" s="257"/>
      <c r="G3405" s="258"/>
      <c r="H3405" s="259"/>
      <c r="I3405" s="541">
        <f t="shared" si="64"/>
        <v>93341.371428571336</v>
      </c>
    </row>
    <row r="3406" spans="2:9" ht="17" customHeight="1">
      <c r="B3406" s="253"/>
      <c r="C3406" s="263"/>
      <c r="D3406" s="261"/>
      <c r="E3406" s="256"/>
      <c r="F3406" s="257"/>
      <c r="G3406" s="258"/>
      <c r="H3406" s="259"/>
      <c r="I3406" s="541">
        <f t="shared" si="64"/>
        <v>93341.371428571336</v>
      </c>
    </row>
    <row r="3407" spans="2:9" ht="17" customHeight="1">
      <c r="B3407" s="253"/>
      <c r="C3407" s="263"/>
      <c r="D3407" s="261"/>
      <c r="E3407" s="256"/>
      <c r="F3407" s="257"/>
      <c r="G3407" s="258"/>
      <c r="H3407" s="259"/>
      <c r="I3407" s="541">
        <f t="shared" si="64"/>
        <v>93341.371428571336</v>
      </c>
    </row>
    <row r="3408" spans="2:9" ht="17" customHeight="1">
      <c r="B3408" s="253"/>
      <c r="C3408" s="263"/>
      <c r="D3408" s="261"/>
      <c r="E3408" s="256"/>
      <c r="F3408" s="257"/>
      <c r="G3408" s="258"/>
      <c r="H3408" s="259"/>
      <c r="I3408" s="541">
        <f t="shared" si="64"/>
        <v>93341.371428571336</v>
      </c>
    </row>
    <row r="3409" spans="2:9" ht="17" customHeight="1">
      <c r="B3409" s="253"/>
      <c r="C3409" s="263"/>
      <c r="D3409" s="261"/>
      <c r="E3409" s="256"/>
      <c r="F3409" s="257"/>
      <c r="G3409" s="258"/>
      <c r="H3409" s="259"/>
      <c r="I3409" s="541">
        <f t="shared" si="64"/>
        <v>93341.371428571336</v>
      </c>
    </row>
    <row r="3410" spans="2:9" ht="17" customHeight="1">
      <c r="B3410" s="253"/>
      <c r="C3410" s="263"/>
      <c r="D3410" s="261"/>
      <c r="E3410" s="256"/>
      <c r="F3410" s="257"/>
      <c r="G3410" s="258"/>
      <c r="H3410" s="259"/>
      <c r="I3410" s="541">
        <f t="shared" si="64"/>
        <v>93341.371428571336</v>
      </c>
    </row>
    <row r="3411" spans="2:9" ht="17" customHeight="1">
      <c r="B3411" s="253"/>
      <c r="C3411" s="263"/>
      <c r="D3411" s="261"/>
      <c r="E3411" s="256"/>
      <c r="F3411" s="257"/>
      <c r="G3411" s="258"/>
      <c r="H3411" s="259"/>
      <c r="I3411" s="541">
        <f t="shared" si="64"/>
        <v>93341.371428571336</v>
      </c>
    </row>
    <row r="3412" spans="2:9" ht="17" customHeight="1">
      <c r="B3412" s="253"/>
      <c r="C3412" s="263"/>
      <c r="D3412" s="261"/>
      <c r="E3412" s="256"/>
      <c r="F3412" s="257"/>
      <c r="G3412" s="258"/>
      <c r="H3412" s="259"/>
      <c r="I3412" s="541">
        <f t="shared" si="64"/>
        <v>93341.371428571336</v>
      </c>
    </row>
    <row r="3413" spans="2:9" ht="17" customHeight="1">
      <c r="B3413" s="253"/>
      <c r="C3413" s="263"/>
      <c r="D3413" s="261"/>
      <c r="E3413" s="256"/>
      <c r="F3413" s="257"/>
      <c r="G3413" s="258"/>
      <c r="H3413" s="259"/>
      <c r="I3413" s="541">
        <f t="shared" si="64"/>
        <v>93341.371428571336</v>
      </c>
    </row>
    <row r="3414" spans="2:9" ht="17" customHeight="1">
      <c r="B3414" s="253"/>
      <c r="C3414" s="263"/>
      <c r="D3414" s="261"/>
      <c r="E3414" s="256"/>
      <c r="F3414" s="257"/>
      <c r="G3414" s="258"/>
      <c r="H3414" s="259"/>
      <c r="I3414" s="541">
        <f t="shared" si="64"/>
        <v>93341.371428571336</v>
      </c>
    </row>
    <row r="3415" spans="2:9" ht="17" customHeight="1">
      <c r="B3415" s="253"/>
      <c r="C3415" s="263"/>
      <c r="D3415" s="261"/>
      <c r="E3415" s="256"/>
      <c r="F3415" s="257"/>
      <c r="G3415" s="258"/>
      <c r="H3415" s="259"/>
      <c r="I3415" s="541">
        <f t="shared" si="64"/>
        <v>93341.371428571336</v>
      </c>
    </row>
    <row r="3416" spans="2:9" ht="17" customHeight="1">
      <c r="B3416" s="253"/>
      <c r="C3416" s="263"/>
      <c r="D3416" s="261"/>
      <c r="E3416" s="256"/>
      <c r="F3416" s="257"/>
      <c r="G3416" s="258"/>
      <c r="H3416" s="259"/>
      <c r="I3416" s="541">
        <f t="shared" si="64"/>
        <v>93341.371428571336</v>
      </c>
    </row>
    <row r="3417" spans="2:9" ht="17" customHeight="1">
      <c r="B3417" s="253"/>
      <c r="C3417" s="263"/>
      <c r="D3417" s="261"/>
      <c r="E3417" s="256"/>
      <c r="F3417" s="257"/>
      <c r="G3417" s="258"/>
      <c r="H3417" s="259"/>
      <c r="I3417" s="541">
        <f t="shared" si="64"/>
        <v>93341.371428571336</v>
      </c>
    </row>
    <row r="3418" spans="2:9" ht="17" customHeight="1">
      <c r="B3418" s="253"/>
      <c r="C3418" s="263"/>
      <c r="D3418" s="261"/>
      <c r="E3418" s="256"/>
      <c r="F3418" s="257"/>
      <c r="G3418" s="258"/>
      <c r="H3418" s="259"/>
      <c r="I3418" s="541">
        <f t="shared" ref="I3418:I3481" si="65">I3417+E3419-F3419</f>
        <v>93341.371428571336</v>
      </c>
    </row>
    <row r="3419" spans="2:9" ht="17" customHeight="1">
      <c r="B3419" s="253"/>
      <c r="C3419" s="263"/>
      <c r="D3419" s="261"/>
      <c r="E3419" s="256"/>
      <c r="F3419" s="257"/>
      <c r="G3419" s="258"/>
      <c r="H3419" s="259"/>
      <c r="I3419" s="541">
        <f t="shared" si="65"/>
        <v>93341.371428571336</v>
      </c>
    </row>
    <row r="3420" spans="2:9" ht="17" customHeight="1">
      <c r="B3420" s="253"/>
      <c r="C3420" s="263"/>
      <c r="D3420" s="261"/>
      <c r="E3420" s="256"/>
      <c r="F3420" s="257"/>
      <c r="G3420" s="258"/>
      <c r="H3420" s="259"/>
      <c r="I3420" s="541">
        <f t="shared" si="65"/>
        <v>93341.371428571336</v>
      </c>
    </row>
    <row r="3421" spans="2:9" ht="17" customHeight="1">
      <c r="B3421" s="253"/>
      <c r="C3421" s="263"/>
      <c r="D3421" s="261"/>
      <c r="E3421" s="256"/>
      <c r="F3421" s="257"/>
      <c r="G3421" s="258"/>
      <c r="H3421" s="259"/>
      <c r="I3421" s="541">
        <f t="shared" si="65"/>
        <v>93341.371428571336</v>
      </c>
    </row>
    <row r="3422" spans="2:9" ht="17" customHeight="1">
      <c r="B3422" s="253"/>
      <c r="C3422" s="263"/>
      <c r="D3422" s="261"/>
      <c r="E3422" s="256"/>
      <c r="F3422" s="257"/>
      <c r="G3422" s="258"/>
      <c r="H3422" s="259"/>
      <c r="I3422" s="541">
        <f t="shared" si="65"/>
        <v>93341.371428571336</v>
      </c>
    </row>
    <row r="3423" spans="2:9" ht="17" customHeight="1">
      <c r="B3423" s="253"/>
      <c r="C3423" s="263"/>
      <c r="D3423" s="261"/>
      <c r="E3423" s="256"/>
      <c r="F3423" s="257"/>
      <c r="G3423" s="258"/>
      <c r="H3423" s="259"/>
      <c r="I3423" s="541">
        <f t="shared" si="65"/>
        <v>93341.371428571336</v>
      </c>
    </row>
    <row r="3424" spans="2:9" ht="17" customHeight="1">
      <c r="B3424" s="253"/>
      <c r="C3424" s="263"/>
      <c r="D3424" s="261"/>
      <c r="E3424" s="256"/>
      <c r="F3424" s="257"/>
      <c r="G3424" s="258"/>
      <c r="H3424" s="259"/>
      <c r="I3424" s="541">
        <f t="shared" si="65"/>
        <v>93341.371428571336</v>
      </c>
    </row>
    <row r="3425" spans="2:9" ht="17" customHeight="1">
      <c r="B3425" s="253"/>
      <c r="C3425" s="263"/>
      <c r="D3425" s="261"/>
      <c r="E3425" s="256"/>
      <c r="F3425" s="257"/>
      <c r="G3425" s="258"/>
      <c r="H3425" s="259"/>
      <c r="I3425" s="541">
        <f t="shared" si="65"/>
        <v>93341.371428571336</v>
      </c>
    </row>
    <row r="3426" spans="2:9" ht="17" customHeight="1">
      <c r="B3426" s="253"/>
      <c r="C3426" s="263"/>
      <c r="D3426" s="261"/>
      <c r="E3426" s="256"/>
      <c r="F3426" s="257"/>
      <c r="G3426" s="258"/>
      <c r="H3426" s="259"/>
      <c r="I3426" s="541">
        <f t="shared" si="65"/>
        <v>93341.371428571336</v>
      </c>
    </row>
    <row r="3427" spans="2:9" ht="17" customHeight="1">
      <c r="B3427" s="253"/>
      <c r="C3427" s="263"/>
      <c r="D3427" s="261"/>
      <c r="E3427" s="256"/>
      <c r="F3427" s="257"/>
      <c r="G3427" s="258"/>
      <c r="H3427" s="259"/>
      <c r="I3427" s="541">
        <f t="shared" si="65"/>
        <v>93341.371428571336</v>
      </c>
    </row>
    <row r="3428" spans="2:9" ht="17" customHeight="1">
      <c r="B3428" s="253"/>
      <c r="C3428" s="263"/>
      <c r="D3428" s="261"/>
      <c r="E3428" s="256"/>
      <c r="F3428" s="257"/>
      <c r="G3428" s="258"/>
      <c r="H3428" s="259"/>
      <c r="I3428" s="541">
        <f t="shared" si="65"/>
        <v>93341.371428571336</v>
      </c>
    </row>
    <row r="3429" spans="2:9" ht="17" customHeight="1">
      <c r="B3429" s="253"/>
      <c r="C3429" s="263"/>
      <c r="D3429" s="261"/>
      <c r="E3429" s="256"/>
      <c r="F3429" s="257"/>
      <c r="G3429" s="258"/>
      <c r="H3429" s="259"/>
      <c r="I3429" s="541">
        <f t="shared" si="65"/>
        <v>93341.371428571336</v>
      </c>
    </row>
    <row r="3430" spans="2:9" ht="17" customHeight="1">
      <c r="B3430" s="253"/>
      <c r="C3430" s="263"/>
      <c r="D3430" s="261"/>
      <c r="E3430" s="256"/>
      <c r="F3430" s="257"/>
      <c r="G3430" s="258"/>
      <c r="H3430" s="259"/>
      <c r="I3430" s="541">
        <f t="shared" si="65"/>
        <v>93341.371428571336</v>
      </c>
    </row>
    <row r="3431" spans="2:9" ht="17" customHeight="1">
      <c r="B3431" s="253"/>
      <c r="C3431" s="263"/>
      <c r="D3431" s="261"/>
      <c r="E3431" s="256"/>
      <c r="F3431" s="257"/>
      <c r="G3431" s="258"/>
      <c r="H3431" s="259"/>
      <c r="I3431" s="541">
        <f t="shared" si="65"/>
        <v>93341.371428571336</v>
      </c>
    </row>
    <row r="3432" spans="2:9" ht="17" customHeight="1">
      <c r="B3432" s="253"/>
      <c r="C3432" s="263"/>
      <c r="D3432" s="261"/>
      <c r="E3432" s="256"/>
      <c r="F3432" s="257"/>
      <c r="G3432" s="258"/>
      <c r="H3432" s="259"/>
      <c r="I3432" s="541">
        <f t="shared" si="65"/>
        <v>93341.371428571336</v>
      </c>
    </row>
    <row r="3433" spans="2:9" ht="17" customHeight="1">
      <c r="B3433" s="253"/>
      <c r="C3433" s="263"/>
      <c r="D3433" s="261"/>
      <c r="E3433" s="256"/>
      <c r="F3433" s="257"/>
      <c r="G3433" s="258"/>
      <c r="H3433" s="259"/>
      <c r="I3433" s="541">
        <f t="shared" si="65"/>
        <v>93341.371428571336</v>
      </c>
    </row>
    <row r="3434" spans="2:9" ht="17" customHeight="1">
      <c r="B3434" s="253"/>
      <c r="C3434" s="263"/>
      <c r="D3434" s="261"/>
      <c r="E3434" s="256"/>
      <c r="F3434" s="257"/>
      <c r="G3434" s="258"/>
      <c r="H3434" s="259"/>
      <c r="I3434" s="541">
        <f t="shared" si="65"/>
        <v>93341.371428571336</v>
      </c>
    </row>
    <row r="3435" spans="2:9" ht="17" customHeight="1">
      <c r="B3435" s="253"/>
      <c r="C3435" s="263"/>
      <c r="D3435" s="261"/>
      <c r="E3435" s="256"/>
      <c r="F3435" s="257"/>
      <c r="G3435" s="258"/>
      <c r="H3435" s="259"/>
      <c r="I3435" s="541">
        <f t="shared" si="65"/>
        <v>93341.371428571336</v>
      </c>
    </row>
    <row r="3436" spans="2:9" ht="17" customHeight="1">
      <c r="B3436" s="253"/>
      <c r="C3436" s="263"/>
      <c r="D3436" s="261"/>
      <c r="E3436" s="256"/>
      <c r="F3436" s="257"/>
      <c r="G3436" s="258"/>
      <c r="H3436" s="259"/>
      <c r="I3436" s="541">
        <f t="shared" si="65"/>
        <v>93341.371428571336</v>
      </c>
    </row>
    <row r="3437" spans="2:9" ht="17" customHeight="1">
      <c r="B3437" s="253"/>
      <c r="C3437" s="263"/>
      <c r="D3437" s="261"/>
      <c r="E3437" s="256"/>
      <c r="F3437" s="257"/>
      <c r="G3437" s="258"/>
      <c r="H3437" s="259"/>
      <c r="I3437" s="541">
        <f t="shared" si="65"/>
        <v>93341.371428571336</v>
      </c>
    </row>
    <row r="3438" spans="2:9" ht="17" customHeight="1">
      <c r="B3438" s="253"/>
      <c r="C3438" s="263"/>
      <c r="D3438" s="261"/>
      <c r="E3438" s="256"/>
      <c r="F3438" s="257"/>
      <c r="G3438" s="258"/>
      <c r="H3438" s="259"/>
      <c r="I3438" s="541">
        <f t="shared" si="65"/>
        <v>93341.371428571336</v>
      </c>
    </row>
    <row r="3439" spans="2:9" ht="17" customHeight="1">
      <c r="B3439" s="253"/>
      <c r="C3439" s="263"/>
      <c r="D3439" s="261"/>
      <c r="E3439" s="256"/>
      <c r="F3439" s="257"/>
      <c r="G3439" s="258"/>
      <c r="H3439" s="259"/>
      <c r="I3439" s="541">
        <f t="shared" si="65"/>
        <v>93341.371428571336</v>
      </c>
    </row>
    <row r="3440" spans="2:9" ht="17" customHeight="1">
      <c r="B3440" s="253"/>
      <c r="C3440" s="263"/>
      <c r="D3440" s="261"/>
      <c r="E3440" s="256"/>
      <c r="F3440" s="257"/>
      <c r="G3440" s="258"/>
      <c r="H3440" s="259"/>
      <c r="I3440" s="541">
        <f t="shared" si="65"/>
        <v>93341.371428571336</v>
      </c>
    </row>
    <row r="3441" spans="2:9" ht="17" customHeight="1">
      <c r="B3441" s="253"/>
      <c r="C3441" s="263"/>
      <c r="D3441" s="261"/>
      <c r="E3441" s="256"/>
      <c r="F3441" s="257"/>
      <c r="G3441" s="258"/>
      <c r="H3441" s="259"/>
      <c r="I3441" s="541">
        <f t="shared" si="65"/>
        <v>93341.371428571336</v>
      </c>
    </row>
    <row r="3442" spans="2:9" ht="17" customHeight="1">
      <c r="B3442" s="253"/>
      <c r="C3442" s="263"/>
      <c r="D3442" s="261"/>
      <c r="E3442" s="256"/>
      <c r="F3442" s="257"/>
      <c r="G3442" s="258"/>
      <c r="H3442" s="259"/>
      <c r="I3442" s="541">
        <f t="shared" si="65"/>
        <v>93341.371428571336</v>
      </c>
    </row>
    <row r="3443" spans="2:9" ht="17" customHeight="1">
      <c r="B3443" s="253"/>
      <c r="C3443" s="263"/>
      <c r="D3443" s="261"/>
      <c r="E3443" s="256"/>
      <c r="F3443" s="257"/>
      <c r="G3443" s="258"/>
      <c r="H3443" s="259"/>
      <c r="I3443" s="541">
        <f t="shared" si="65"/>
        <v>93341.371428571336</v>
      </c>
    </row>
    <row r="3444" spans="2:9" ht="17" customHeight="1">
      <c r="B3444" s="253"/>
      <c r="C3444" s="263"/>
      <c r="D3444" s="261"/>
      <c r="E3444" s="256"/>
      <c r="F3444" s="257"/>
      <c r="G3444" s="258"/>
      <c r="H3444" s="259"/>
      <c r="I3444" s="541">
        <f t="shared" si="65"/>
        <v>93341.371428571336</v>
      </c>
    </row>
    <row r="3445" spans="2:9" ht="17" customHeight="1">
      <c r="B3445" s="253"/>
      <c r="C3445" s="263"/>
      <c r="D3445" s="261"/>
      <c r="E3445" s="256"/>
      <c r="F3445" s="257"/>
      <c r="G3445" s="258"/>
      <c r="H3445" s="259"/>
      <c r="I3445" s="541">
        <f t="shared" si="65"/>
        <v>93341.371428571336</v>
      </c>
    </row>
    <row r="3446" spans="2:9" ht="17" customHeight="1">
      <c r="B3446" s="253"/>
      <c r="C3446" s="263"/>
      <c r="D3446" s="261"/>
      <c r="E3446" s="256"/>
      <c r="F3446" s="257"/>
      <c r="G3446" s="258"/>
      <c r="H3446" s="259"/>
      <c r="I3446" s="541">
        <f t="shared" si="65"/>
        <v>93341.371428571336</v>
      </c>
    </row>
    <row r="3447" spans="2:9" ht="17" customHeight="1">
      <c r="B3447" s="253"/>
      <c r="C3447" s="263"/>
      <c r="D3447" s="261"/>
      <c r="E3447" s="256"/>
      <c r="F3447" s="257"/>
      <c r="G3447" s="258"/>
      <c r="H3447" s="259"/>
      <c r="I3447" s="541">
        <f t="shared" si="65"/>
        <v>93341.371428571336</v>
      </c>
    </row>
    <row r="3448" spans="2:9" ht="17" customHeight="1">
      <c r="B3448" s="253"/>
      <c r="C3448" s="263"/>
      <c r="D3448" s="261"/>
      <c r="E3448" s="256"/>
      <c r="F3448" s="257"/>
      <c r="G3448" s="258"/>
      <c r="H3448" s="259"/>
      <c r="I3448" s="541">
        <f t="shared" si="65"/>
        <v>93341.371428571336</v>
      </c>
    </row>
    <row r="3449" spans="2:9" ht="17" customHeight="1">
      <c r="B3449" s="253"/>
      <c r="C3449" s="263"/>
      <c r="D3449" s="261"/>
      <c r="E3449" s="256"/>
      <c r="F3449" s="257"/>
      <c r="G3449" s="258"/>
      <c r="H3449" s="259"/>
      <c r="I3449" s="541">
        <f t="shared" si="65"/>
        <v>93341.371428571336</v>
      </c>
    </row>
    <row r="3450" spans="2:9" ht="17" customHeight="1">
      <c r="B3450" s="253"/>
      <c r="C3450" s="263"/>
      <c r="D3450" s="261"/>
      <c r="E3450" s="256"/>
      <c r="F3450" s="257"/>
      <c r="G3450" s="258"/>
      <c r="H3450" s="259"/>
      <c r="I3450" s="541">
        <f t="shared" si="65"/>
        <v>93341.371428571336</v>
      </c>
    </row>
    <row r="3451" spans="2:9" ht="17" customHeight="1">
      <c r="B3451" s="253"/>
      <c r="C3451" s="263"/>
      <c r="D3451" s="261"/>
      <c r="E3451" s="256"/>
      <c r="F3451" s="257"/>
      <c r="G3451" s="258"/>
      <c r="H3451" s="259"/>
      <c r="I3451" s="541">
        <f t="shared" si="65"/>
        <v>93341.371428571336</v>
      </c>
    </row>
    <row r="3452" spans="2:9" ht="17" customHeight="1">
      <c r="B3452" s="253"/>
      <c r="C3452" s="263"/>
      <c r="D3452" s="261"/>
      <c r="E3452" s="256"/>
      <c r="F3452" s="257"/>
      <c r="G3452" s="258"/>
      <c r="H3452" s="259"/>
      <c r="I3452" s="541">
        <f t="shared" si="65"/>
        <v>93341.371428571336</v>
      </c>
    </row>
    <row r="3453" spans="2:9" ht="17" customHeight="1">
      <c r="B3453" s="253"/>
      <c r="C3453" s="263"/>
      <c r="D3453" s="261"/>
      <c r="E3453" s="256"/>
      <c r="F3453" s="257"/>
      <c r="G3453" s="258"/>
      <c r="H3453" s="259"/>
      <c r="I3453" s="541">
        <f t="shared" si="65"/>
        <v>93341.371428571336</v>
      </c>
    </row>
    <row r="3454" spans="2:9" ht="17" customHeight="1">
      <c r="B3454" s="253"/>
      <c r="C3454" s="263"/>
      <c r="D3454" s="261"/>
      <c r="E3454" s="256"/>
      <c r="F3454" s="257"/>
      <c r="G3454" s="258"/>
      <c r="H3454" s="259"/>
      <c r="I3454" s="541">
        <f t="shared" si="65"/>
        <v>93341.371428571336</v>
      </c>
    </row>
    <row r="3455" spans="2:9" ht="17" customHeight="1">
      <c r="B3455" s="253"/>
      <c r="C3455" s="263"/>
      <c r="D3455" s="261"/>
      <c r="E3455" s="256"/>
      <c r="F3455" s="257"/>
      <c r="G3455" s="258"/>
      <c r="H3455" s="259"/>
      <c r="I3455" s="541">
        <f t="shared" si="65"/>
        <v>93341.371428571336</v>
      </c>
    </row>
    <row r="3456" spans="2:9" ht="17" customHeight="1">
      <c r="B3456" s="253"/>
      <c r="C3456" s="263"/>
      <c r="D3456" s="261"/>
      <c r="E3456" s="256"/>
      <c r="F3456" s="257"/>
      <c r="G3456" s="258"/>
      <c r="H3456" s="259"/>
      <c r="I3456" s="541">
        <f t="shared" si="65"/>
        <v>93341.371428571336</v>
      </c>
    </row>
    <row r="3457" spans="2:9" ht="17" customHeight="1">
      <c r="B3457" s="253"/>
      <c r="C3457" s="263"/>
      <c r="D3457" s="261"/>
      <c r="E3457" s="256"/>
      <c r="F3457" s="257"/>
      <c r="G3457" s="258"/>
      <c r="H3457" s="259"/>
      <c r="I3457" s="541">
        <f t="shared" si="65"/>
        <v>93341.371428571336</v>
      </c>
    </row>
    <row r="3458" spans="2:9" ht="17" customHeight="1">
      <c r="B3458" s="253"/>
      <c r="C3458" s="263"/>
      <c r="D3458" s="261"/>
      <c r="E3458" s="256"/>
      <c r="F3458" s="257"/>
      <c r="G3458" s="258"/>
      <c r="H3458" s="259"/>
      <c r="I3458" s="541">
        <f t="shared" si="65"/>
        <v>93341.371428571336</v>
      </c>
    </row>
    <row r="3459" spans="2:9" ht="17" customHeight="1">
      <c r="B3459" s="253"/>
      <c r="C3459" s="263"/>
      <c r="D3459" s="261"/>
      <c r="E3459" s="256"/>
      <c r="F3459" s="257"/>
      <c r="G3459" s="258"/>
      <c r="H3459" s="259"/>
      <c r="I3459" s="541">
        <f t="shared" si="65"/>
        <v>93341.371428571336</v>
      </c>
    </row>
    <row r="3460" spans="2:9" ht="17" customHeight="1">
      <c r="B3460" s="253"/>
      <c r="C3460" s="263"/>
      <c r="D3460" s="261"/>
      <c r="E3460" s="256"/>
      <c r="F3460" s="257"/>
      <c r="G3460" s="258"/>
      <c r="H3460" s="259"/>
      <c r="I3460" s="541">
        <f t="shared" si="65"/>
        <v>93341.371428571336</v>
      </c>
    </row>
    <row r="3461" spans="2:9" ht="17" customHeight="1">
      <c r="B3461" s="253"/>
      <c r="C3461" s="263"/>
      <c r="D3461" s="261"/>
      <c r="E3461" s="256"/>
      <c r="F3461" s="257"/>
      <c r="G3461" s="258"/>
      <c r="H3461" s="259"/>
      <c r="I3461" s="541">
        <f t="shared" si="65"/>
        <v>93341.371428571336</v>
      </c>
    </row>
    <row r="3462" spans="2:9" ht="17" customHeight="1">
      <c r="B3462" s="253"/>
      <c r="C3462" s="263"/>
      <c r="D3462" s="261"/>
      <c r="E3462" s="256"/>
      <c r="F3462" s="257"/>
      <c r="G3462" s="258"/>
      <c r="H3462" s="259"/>
      <c r="I3462" s="541">
        <f t="shared" si="65"/>
        <v>93341.371428571336</v>
      </c>
    </row>
    <row r="3463" spans="2:9" ht="17" customHeight="1">
      <c r="B3463" s="253"/>
      <c r="C3463" s="263"/>
      <c r="D3463" s="261"/>
      <c r="E3463" s="256"/>
      <c r="F3463" s="257"/>
      <c r="G3463" s="258"/>
      <c r="H3463" s="259"/>
      <c r="I3463" s="541">
        <f t="shared" si="65"/>
        <v>93341.371428571336</v>
      </c>
    </row>
    <row r="3464" spans="2:9" ht="17" customHeight="1">
      <c r="B3464" s="253"/>
      <c r="C3464" s="263"/>
      <c r="D3464" s="261"/>
      <c r="E3464" s="256"/>
      <c r="F3464" s="257"/>
      <c r="G3464" s="258"/>
      <c r="H3464" s="259"/>
      <c r="I3464" s="541">
        <f t="shared" si="65"/>
        <v>93341.371428571336</v>
      </c>
    </row>
    <row r="3465" spans="2:9" ht="17" customHeight="1">
      <c r="B3465" s="253"/>
      <c r="C3465" s="263"/>
      <c r="D3465" s="261"/>
      <c r="E3465" s="256"/>
      <c r="F3465" s="257"/>
      <c r="G3465" s="258"/>
      <c r="H3465" s="259"/>
      <c r="I3465" s="541">
        <f t="shared" si="65"/>
        <v>93341.371428571336</v>
      </c>
    </row>
    <row r="3466" spans="2:9" ht="17" customHeight="1">
      <c r="B3466" s="253"/>
      <c r="C3466" s="263"/>
      <c r="D3466" s="261"/>
      <c r="E3466" s="256"/>
      <c r="F3466" s="257"/>
      <c r="G3466" s="258"/>
      <c r="H3466" s="259"/>
      <c r="I3466" s="541">
        <f t="shared" si="65"/>
        <v>93341.371428571336</v>
      </c>
    </row>
    <row r="3467" spans="2:9" ht="17" customHeight="1">
      <c r="B3467" s="253"/>
      <c r="C3467" s="263"/>
      <c r="D3467" s="261"/>
      <c r="E3467" s="256"/>
      <c r="F3467" s="257"/>
      <c r="G3467" s="258"/>
      <c r="H3467" s="259"/>
      <c r="I3467" s="541">
        <f t="shared" si="65"/>
        <v>93341.371428571336</v>
      </c>
    </row>
    <row r="3468" spans="2:9" ht="17" customHeight="1">
      <c r="B3468" s="253"/>
      <c r="C3468" s="263"/>
      <c r="D3468" s="261"/>
      <c r="E3468" s="256"/>
      <c r="F3468" s="257"/>
      <c r="G3468" s="258"/>
      <c r="H3468" s="259"/>
      <c r="I3468" s="541">
        <f t="shared" si="65"/>
        <v>93341.371428571336</v>
      </c>
    </row>
    <row r="3469" spans="2:9" ht="17" customHeight="1">
      <c r="B3469" s="253"/>
      <c r="C3469" s="263"/>
      <c r="D3469" s="261"/>
      <c r="E3469" s="256"/>
      <c r="F3469" s="257"/>
      <c r="G3469" s="258"/>
      <c r="H3469" s="259"/>
      <c r="I3469" s="541">
        <f t="shared" si="65"/>
        <v>93341.371428571336</v>
      </c>
    </row>
    <row r="3470" spans="2:9" ht="17" customHeight="1">
      <c r="B3470" s="253"/>
      <c r="C3470" s="263"/>
      <c r="D3470" s="261"/>
      <c r="E3470" s="256"/>
      <c r="F3470" s="257"/>
      <c r="G3470" s="258"/>
      <c r="H3470" s="259"/>
      <c r="I3470" s="541">
        <f t="shared" si="65"/>
        <v>93341.371428571336</v>
      </c>
    </row>
    <row r="3471" spans="2:9" ht="17" customHeight="1">
      <c r="B3471" s="253"/>
      <c r="C3471" s="263"/>
      <c r="D3471" s="261"/>
      <c r="E3471" s="256"/>
      <c r="F3471" s="257"/>
      <c r="G3471" s="258"/>
      <c r="H3471" s="259"/>
      <c r="I3471" s="541">
        <f t="shared" si="65"/>
        <v>93341.371428571336</v>
      </c>
    </row>
    <row r="3472" spans="2:9" ht="17" customHeight="1">
      <c r="B3472" s="253"/>
      <c r="C3472" s="263"/>
      <c r="D3472" s="261"/>
      <c r="E3472" s="256"/>
      <c r="F3472" s="257"/>
      <c r="G3472" s="258"/>
      <c r="H3472" s="259"/>
      <c r="I3472" s="541">
        <f t="shared" si="65"/>
        <v>93341.371428571336</v>
      </c>
    </row>
    <row r="3473" spans="2:9" ht="17" customHeight="1">
      <c r="B3473" s="253"/>
      <c r="C3473" s="263"/>
      <c r="D3473" s="261"/>
      <c r="E3473" s="256"/>
      <c r="F3473" s="257"/>
      <c r="G3473" s="258"/>
      <c r="H3473" s="259"/>
      <c r="I3473" s="541">
        <f t="shared" si="65"/>
        <v>93341.371428571336</v>
      </c>
    </row>
    <row r="3474" spans="2:9" ht="17" customHeight="1">
      <c r="B3474" s="253"/>
      <c r="C3474" s="263"/>
      <c r="D3474" s="261"/>
      <c r="E3474" s="256"/>
      <c r="F3474" s="257"/>
      <c r="G3474" s="258"/>
      <c r="H3474" s="259"/>
      <c r="I3474" s="541">
        <f t="shared" si="65"/>
        <v>93341.371428571336</v>
      </c>
    </row>
    <row r="3475" spans="2:9" ht="17" customHeight="1">
      <c r="B3475" s="253"/>
      <c r="C3475" s="263"/>
      <c r="D3475" s="261"/>
      <c r="E3475" s="256"/>
      <c r="F3475" s="257"/>
      <c r="G3475" s="258"/>
      <c r="H3475" s="259"/>
      <c r="I3475" s="541">
        <f t="shared" si="65"/>
        <v>93341.371428571336</v>
      </c>
    </row>
    <row r="3476" spans="2:9" ht="17" customHeight="1">
      <c r="B3476" s="253"/>
      <c r="C3476" s="263"/>
      <c r="D3476" s="261"/>
      <c r="E3476" s="256"/>
      <c r="F3476" s="257"/>
      <c r="G3476" s="258"/>
      <c r="H3476" s="259"/>
      <c r="I3476" s="541">
        <f t="shared" si="65"/>
        <v>93341.371428571336</v>
      </c>
    </row>
    <row r="3477" spans="2:9" ht="17" customHeight="1">
      <c r="B3477" s="253"/>
      <c r="C3477" s="263"/>
      <c r="D3477" s="261"/>
      <c r="E3477" s="256"/>
      <c r="F3477" s="257"/>
      <c r="G3477" s="258"/>
      <c r="H3477" s="259"/>
      <c r="I3477" s="541">
        <f t="shared" si="65"/>
        <v>93341.371428571336</v>
      </c>
    </row>
    <row r="3478" spans="2:9" ht="17" customHeight="1">
      <c r="B3478" s="253"/>
      <c r="C3478" s="263"/>
      <c r="D3478" s="261"/>
      <c r="E3478" s="256"/>
      <c r="F3478" s="257"/>
      <c r="G3478" s="258"/>
      <c r="H3478" s="259"/>
      <c r="I3478" s="541">
        <f t="shared" si="65"/>
        <v>93341.371428571336</v>
      </c>
    </row>
    <row r="3479" spans="2:9" ht="17" customHeight="1">
      <c r="B3479" s="253"/>
      <c r="C3479" s="263"/>
      <c r="D3479" s="261"/>
      <c r="E3479" s="256"/>
      <c r="F3479" s="257"/>
      <c r="G3479" s="258"/>
      <c r="H3479" s="259"/>
      <c r="I3479" s="541">
        <f t="shared" si="65"/>
        <v>93341.371428571336</v>
      </c>
    </row>
    <row r="3480" spans="2:9" ht="17" customHeight="1">
      <c r="B3480" s="253"/>
      <c r="C3480" s="263"/>
      <c r="D3480" s="261"/>
      <c r="E3480" s="256"/>
      <c r="F3480" s="257"/>
      <c r="G3480" s="258"/>
      <c r="H3480" s="259"/>
      <c r="I3480" s="541">
        <f t="shared" si="65"/>
        <v>93341.371428571336</v>
      </c>
    </row>
    <row r="3481" spans="2:9" ht="17" customHeight="1">
      <c r="B3481" s="253"/>
      <c r="C3481" s="263"/>
      <c r="D3481" s="261"/>
      <c r="E3481" s="256"/>
      <c r="F3481" s="257"/>
      <c r="G3481" s="258"/>
      <c r="H3481" s="259"/>
      <c r="I3481" s="541">
        <f t="shared" si="65"/>
        <v>93341.371428571336</v>
      </c>
    </row>
    <row r="3482" spans="2:9" ht="17" customHeight="1">
      <c r="B3482" s="253"/>
      <c r="C3482" s="263"/>
      <c r="D3482" s="261"/>
      <c r="E3482" s="256"/>
      <c r="F3482" s="257"/>
      <c r="G3482" s="258"/>
      <c r="H3482" s="259"/>
      <c r="I3482" s="541">
        <f t="shared" ref="I3482:I3545" si="66">I3481+E3483-F3483</f>
        <v>93341.371428571336</v>
      </c>
    </row>
    <row r="3483" spans="2:9" ht="17" customHeight="1">
      <c r="B3483" s="253"/>
      <c r="C3483" s="263"/>
      <c r="D3483" s="261"/>
      <c r="E3483" s="256"/>
      <c r="F3483" s="257"/>
      <c r="G3483" s="258"/>
      <c r="H3483" s="259"/>
      <c r="I3483" s="541">
        <f t="shared" si="66"/>
        <v>93341.371428571336</v>
      </c>
    </row>
    <row r="3484" spans="2:9" ht="17" customHeight="1">
      <c r="B3484" s="253"/>
      <c r="C3484" s="263"/>
      <c r="D3484" s="261"/>
      <c r="E3484" s="256"/>
      <c r="F3484" s="257"/>
      <c r="G3484" s="258"/>
      <c r="H3484" s="259"/>
      <c r="I3484" s="541">
        <f t="shared" si="66"/>
        <v>93341.371428571336</v>
      </c>
    </row>
    <row r="3485" spans="2:9" ht="17" customHeight="1">
      <c r="B3485" s="253"/>
      <c r="C3485" s="263"/>
      <c r="D3485" s="261"/>
      <c r="E3485" s="256"/>
      <c r="F3485" s="257"/>
      <c r="G3485" s="258"/>
      <c r="H3485" s="259"/>
      <c r="I3485" s="541">
        <f t="shared" si="66"/>
        <v>93341.371428571336</v>
      </c>
    </row>
    <row r="3486" spans="2:9" ht="17" customHeight="1">
      <c r="B3486" s="253"/>
      <c r="C3486" s="263"/>
      <c r="D3486" s="261"/>
      <c r="E3486" s="256"/>
      <c r="F3486" s="257"/>
      <c r="G3486" s="258"/>
      <c r="H3486" s="259"/>
      <c r="I3486" s="541">
        <f t="shared" si="66"/>
        <v>93341.371428571336</v>
      </c>
    </row>
    <row r="3487" spans="2:9" ht="17" customHeight="1">
      <c r="B3487" s="253"/>
      <c r="C3487" s="263"/>
      <c r="D3487" s="261"/>
      <c r="E3487" s="256"/>
      <c r="F3487" s="257"/>
      <c r="G3487" s="258"/>
      <c r="H3487" s="259"/>
      <c r="I3487" s="541">
        <f t="shared" si="66"/>
        <v>93341.371428571336</v>
      </c>
    </row>
    <row r="3488" spans="2:9" ht="17" customHeight="1">
      <c r="B3488" s="253"/>
      <c r="C3488" s="263"/>
      <c r="D3488" s="261"/>
      <c r="E3488" s="256"/>
      <c r="F3488" s="257"/>
      <c r="G3488" s="258"/>
      <c r="H3488" s="259"/>
      <c r="I3488" s="541">
        <f t="shared" si="66"/>
        <v>93341.371428571336</v>
      </c>
    </row>
    <row r="3489" spans="2:9" ht="17" customHeight="1">
      <c r="B3489" s="253"/>
      <c r="C3489" s="263"/>
      <c r="D3489" s="261"/>
      <c r="E3489" s="256"/>
      <c r="F3489" s="257"/>
      <c r="G3489" s="258"/>
      <c r="H3489" s="259"/>
      <c r="I3489" s="541">
        <f t="shared" si="66"/>
        <v>93341.371428571336</v>
      </c>
    </row>
    <row r="3490" spans="2:9" ht="17" customHeight="1">
      <c r="B3490" s="253"/>
      <c r="C3490" s="263"/>
      <c r="D3490" s="261"/>
      <c r="E3490" s="256"/>
      <c r="F3490" s="257"/>
      <c r="G3490" s="258"/>
      <c r="H3490" s="259"/>
      <c r="I3490" s="541">
        <f t="shared" si="66"/>
        <v>93341.371428571336</v>
      </c>
    </row>
    <row r="3491" spans="2:9" ht="17" customHeight="1">
      <c r="B3491" s="253"/>
      <c r="C3491" s="263"/>
      <c r="D3491" s="261"/>
      <c r="E3491" s="256"/>
      <c r="F3491" s="257"/>
      <c r="G3491" s="258"/>
      <c r="H3491" s="259"/>
      <c r="I3491" s="541">
        <f t="shared" si="66"/>
        <v>93341.371428571336</v>
      </c>
    </row>
    <row r="3492" spans="2:9" ht="17" customHeight="1">
      <c r="B3492" s="253"/>
      <c r="C3492" s="263"/>
      <c r="D3492" s="261"/>
      <c r="E3492" s="256"/>
      <c r="F3492" s="257"/>
      <c r="G3492" s="258"/>
      <c r="H3492" s="259"/>
      <c r="I3492" s="541">
        <f t="shared" si="66"/>
        <v>93341.371428571336</v>
      </c>
    </row>
    <row r="3493" spans="2:9" ht="17" customHeight="1">
      <c r="B3493" s="253"/>
      <c r="C3493" s="263"/>
      <c r="D3493" s="261"/>
      <c r="E3493" s="256"/>
      <c r="F3493" s="257"/>
      <c r="G3493" s="258"/>
      <c r="H3493" s="259"/>
      <c r="I3493" s="541">
        <f t="shared" si="66"/>
        <v>93341.371428571336</v>
      </c>
    </row>
    <row r="3494" spans="2:9" ht="17" customHeight="1">
      <c r="B3494" s="253"/>
      <c r="C3494" s="263"/>
      <c r="D3494" s="261"/>
      <c r="E3494" s="256"/>
      <c r="F3494" s="257"/>
      <c r="G3494" s="258"/>
      <c r="H3494" s="259"/>
      <c r="I3494" s="541">
        <f t="shared" si="66"/>
        <v>93341.371428571336</v>
      </c>
    </row>
    <row r="3495" spans="2:9" ht="17" customHeight="1">
      <c r="B3495" s="253"/>
      <c r="C3495" s="263"/>
      <c r="D3495" s="261"/>
      <c r="E3495" s="256"/>
      <c r="F3495" s="257"/>
      <c r="G3495" s="258"/>
      <c r="H3495" s="259"/>
      <c r="I3495" s="541">
        <f t="shared" si="66"/>
        <v>93341.371428571336</v>
      </c>
    </row>
    <row r="3496" spans="2:9" ht="17" customHeight="1">
      <c r="B3496" s="253"/>
      <c r="C3496" s="263"/>
      <c r="D3496" s="261"/>
      <c r="E3496" s="256"/>
      <c r="F3496" s="257"/>
      <c r="G3496" s="258"/>
      <c r="H3496" s="259"/>
      <c r="I3496" s="541">
        <f t="shared" si="66"/>
        <v>93341.371428571336</v>
      </c>
    </row>
    <row r="3497" spans="2:9" ht="17" customHeight="1">
      <c r="B3497" s="253"/>
      <c r="C3497" s="263"/>
      <c r="D3497" s="261"/>
      <c r="E3497" s="256"/>
      <c r="F3497" s="257"/>
      <c r="G3497" s="258"/>
      <c r="H3497" s="259"/>
      <c r="I3497" s="541">
        <f t="shared" si="66"/>
        <v>93341.371428571336</v>
      </c>
    </row>
    <row r="3498" spans="2:9" ht="17" customHeight="1">
      <c r="B3498" s="253"/>
      <c r="C3498" s="263"/>
      <c r="D3498" s="261"/>
      <c r="E3498" s="256"/>
      <c r="F3498" s="257"/>
      <c r="G3498" s="258"/>
      <c r="H3498" s="259"/>
      <c r="I3498" s="541">
        <f t="shared" si="66"/>
        <v>93341.371428571336</v>
      </c>
    </row>
    <row r="3499" spans="2:9" ht="17" customHeight="1">
      <c r="B3499" s="253"/>
      <c r="C3499" s="263"/>
      <c r="D3499" s="261"/>
      <c r="E3499" s="256"/>
      <c r="F3499" s="257"/>
      <c r="G3499" s="258"/>
      <c r="H3499" s="259"/>
      <c r="I3499" s="541">
        <f t="shared" si="66"/>
        <v>93341.371428571336</v>
      </c>
    </row>
    <row r="3500" spans="2:9" ht="17" customHeight="1">
      <c r="B3500" s="253"/>
      <c r="C3500" s="263"/>
      <c r="D3500" s="261"/>
      <c r="E3500" s="256"/>
      <c r="F3500" s="257"/>
      <c r="G3500" s="258"/>
      <c r="H3500" s="259"/>
      <c r="I3500" s="541">
        <f t="shared" si="66"/>
        <v>93341.371428571336</v>
      </c>
    </row>
    <row r="3501" spans="2:9" ht="17" customHeight="1">
      <c r="B3501" s="253"/>
      <c r="C3501" s="263"/>
      <c r="D3501" s="261"/>
      <c r="E3501" s="256"/>
      <c r="F3501" s="257"/>
      <c r="G3501" s="258"/>
      <c r="H3501" s="259"/>
      <c r="I3501" s="541">
        <f t="shared" si="66"/>
        <v>93341.371428571336</v>
      </c>
    </row>
    <row r="3502" spans="2:9" ht="17" customHeight="1">
      <c r="B3502" s="253"/>
      <c r="C3502" s="263"/>
      <c r="D3502" s="261"/>
      <c r="E3502" s="256"/>
      <c r="F3502" s="257"/>
      <c r="G3502" s="258"/>
      <c r="H3502" s="259"/>
      <c r="I3502" s="541">
        <f t="shared" si="66"/>
        <v>93341.371428571336</v>
      </c>
    </row>
    <row r="3503" spans="2:9" ht="17" customHeight="1">
      <c r="B3503" s="253"/>
      <c r="C3503" s="263"/>
      <c r="D3503" s="261"/>
      <c r="E3503" s="256"/>
      <c r="F3503" s="257"/>
      <c r="G3503" s="258"/>
      <c r="H3503" s="259"/>
      <c r="I3503" s="541">
        <f t="shared" si="66"/>
        <v>93341.371428571336</v>
      </c>
    </row>
    <row r="3504" spans="2:9" ht="17" customHeight="1">
      <c r="B3504" s="253"/>
      <c r="C3504" s="263"/>
      <c r="D3504" s="261"/>
      <c r="E3504" s="256"/>
      <c r="F3504" s="257"/>
      <c r="G3504" s="258"/>
      <c r="H3504" s="259"/>
      <c r="I3504" s="541">
        <f t="shared" si="66"/>
        <v>93341.371428571336</v>
      </c>
    </row>
    <row r="3505" spans="2:9" ht="17" customHeight="1">
      <c r="B3505" s="253"/>
      <c r="C3505" s="263"/>
      <c r="D3505" s="261"/>
      <c r="E3505" s="256"/>
      <c r="F3505" s="257"/>
      <c r="G3505" s="258"/>
      <c r="H3505" s="259"/>
      <c r="I3505" s="541">
        <f t="shared" si="66"/>
        <v>93341.371428571336</v>
      </c>
    </row>
    <row r="3506" spans="2:9" ht="17" customHeight="1">
      <c r="B3506" s="253"/>
      <c r="C3506" s="263"/>
      <c r="D3506" s="261"/>
      <c r="E3506" s="256"/>
      <c r="F3506" s="257"/>
      <c r="G3506" s="258"/>
      <c r="H3506" s="259"/>
      <c r="I3506" s="541">
        <f t="shared" si="66"/>
        <v>93341.371428571336</v>
      </c>
    </row>
    <row r="3507" spans="2:9" ht="17" customHeight="1">
      <c r="B3507" s="253"/>
      <c r="C3507" s="263"/>
      <c r="D3507" s="261"/>
      <c r="E3507" s="256"/>
      <c r="F3507" s="257"/>
      <c r="G3507" s="258"/>
      <c r="H3507" s="259"/>
      <c r="I3507" s="541">
        <f t="shared" si="66"/>
        <v>93341.371428571336</v>
      </c>
    </row>
    <row r="3508" spans="2:9" ht="17" customHeight="1">
      <c r="B3508" s="253"/>
      <c r="C3508" s="263"/>
      <c r="D3508" s="261"/>
      <c r="E3508" s="256"/>
      <c r="F3508" s="257"/>
      <c r="G3508" s="258"/>
      <c r="H3508" s="259"/>
      <c r="I3508" s="541">
        <f t="shared" si="66"/>
        <v>93341.371428571336</v>
      </c>
    </row>
    <row r="3509" spans="2:9" ht="17" customHeight="1">
      <c r="B3509" s="253"/>
      <c r="C3509" s="263"/>
      <c r="D3509" s="261"/>
      <c r="E3509" s="256"/>
      <c r="F3509" s="257"/>
      <c r="G3509" s="258"/>
      <c r="H3509" s="259"/>
      <c r="I3509" s="541">
        <f t="shared" si="66"/>
        <v>93341.371428571336</v>
      </c>
    </row>
    <row r="3510" spans="2:9" ht="17" customHeight="1">
      <c r="B3510" s="253"/>
      <c r="C3510" s="263"/>
      <c r="D3510" s="261"/>
      <c r="E3510" s="256"/>
      <c r="F3510" s="257"/>
      <c r="G3510" s="258"/>
      <c r="H3510" s="259"/>
      <c r="I3510" s="541">
        <f t="shared" si="66"/>
        <v>93341.371428571336</v>
      </c>
    </row>
    <row r="3511" spans="2:9" ht="17" customHeight="1">
      <c r="B3511" s="253"/>
      <c r="C3511" s="263"/>
      <c r="D3511" s="261"/>
      <c r="E3511" s="256"/>
      <c r="F3511" s="257"/>
      <c r="G3511" s="258"/>
      <c r="H3511" s="259"/>
      <c r="I3511" s="541">
        <f t="shared" si="66"/>
        <v>93341.371428571336</v>
      </c>
    </row>
    <row r="3512" spans="2:9" ht="17" customHeight="1">
      <c r="B3512" s="253"/>
      <c r="C3512" s="263"/>
      <c r="D3512" s="261"/>
      <c r="E3512" s="256"/>
      <c r="F3512" s="257"/>
      <c r="G3512" s="258"/>
      <c r="H3512" s="259"/>
      <c r="I3512" s="541">
        <f t="shared" si="66"/>
        <v>93341.371428571336</v>
      </c>
    </row>
    <row r="3513" spans="2:9" ht="17" customHeight="1">
      <c r="B3513" s="253"/>
      <c r="C3513" s="263"/>
      <c r="D3513" s="261"/>
      <c r="E3513" s="256"/>
      <c r="F3513" s="257"/>
      <c r="G3513" s="258"/>
      <c r="H3513" s="259"/>
      <c r="I3513" s="541">
        <f t="shared" si="66"/>
        <v>93341.371428571336</v>
      </c>
    </row>
    <row r="3514" spans="2:9" ht="17" customHeight="1">
      <c r="B3514" s="253"/>
      <c r="C3514" s="263"/>
      <c r="D3514" s="261"/>
      <c r="E3514" s="256"/>
      <c r="F3514" s="257"/>
      <c r="G3514" s="258"/>
      <c r="H3514" s="259"/>
      <c r="I3514" s="541">
        <f t="shared" si="66"/>
        <v>93341.371428571336</v>
      </c>
    </row>
    <row r="3515" spans="2:9" ht="17" customHeight="1">
      <c r="B3515" s="253"/>
      <c r="C3515" s="263"/>
      <c r="D3515" s="261"/>
      <c r="E3515" s="256"/>
      <c r="F3515" s="257"/>
      <c r="G3515" s="258"/>
      <c r="H3515" s="259"/>
      <c r="I3515" s="541">
        <f t="shared" si="66"/>
        <v>93341.371428571336</v>
      </c>
    </row>
    <row r="3516" spans="2:9" ht="17" customHeight="1">
      <c r="B3516" s="253"/>
      <c r="C3516" s="263"/>
      <c r="D3516" s="261"/>
      <c r="E3516" s="256"/>
      <c r="F3516" s="257"/>
      <c r="G3516" s="258"/>
      <c r="H3516" s="259"/>
      <c r="I3516" s="541">
        <f t="shared" si="66"/>
        <v>93341.371428571336</v>
      </c>
    </row>
    <row r="3517" spans="2:9" ht="17" customHeight="1">
      <c r="B3517" s="253"/>
      <c r="C3517" s="263"/>
      <c r="D3517" s="261"/>
      <c r="E3517" s="256"/>
      <c r="F3517" s="257"/>
      <c r="G3517" s="258"/>
      <c r="H3517" s="259"/>
      <c r="I3517" s="541">
        <f t="shared" si="66"/>
        <v>93341.371428571336</v>
      </c>
    </row>
    <row r="3518" spans="2:9" ht="17" customHeight="1">
      <c r="B3518" s="253"/>
      <c r="C3518" s="263"/>
      <c r="D3518" s="261"/>
      <c r="E3518" s="256"/>
      <c r="F3518" s="257"/>
      <c r="G3518" s="258"/>
      <c r="H3518" s="259"/>
      <c r="I3518" s="541">
        <f t="shared" si="66"/>
        <v>93341.371428571336</v>
      </c>
    </row>
    <row r="3519" spans="2:9" ht="17" customHeight="1">
      <c r="B3519" s="253"/>
      <c r="C3519" s="263"/>
      <c r="D3519" s="261"/>
      <c r="E3519" s="256"/>
      <c r="F3519" s="257"/>
      <c r="G3519" s="258"/>
      <c r="H3519" s="259"/>
      <c r="I3519" s="541">
        <f t="shared" si="66"/>
        <v>93341.371428571336</v>
      </c>
    </row>
    <row r="3520" spans="2:9" ht="17" customHeight="1">
      <c r="B3520" s="253"/>
      <c r="C3520" s="263"/>
      <c r="D3520" s="261"/>
      <c r="E3520" s="256"/>
      <c r="F3520" s="257"/>
      <c r="G3520" s="258"/>
      <c r="H3520" s="259"/>
      <c r="I3520" s="541">
        <f t="shared" si="66"/>
        <v>93341.371428571336</v>
      </c>
    </row>
    <row r="3521" spans="2:9" ht="17" customHeight="1">
      <c r="B3521" s="253"/>
      <c r="C3521" s="263"/>
      <c r="D3521" s="261"/>
      <c r="E3521" s="256"/>
      <c r="F3521" s="257"/>
      <c r="G3521" s="258"/>
      <c r="H3521" s="259"/>
      <c r="I3521" s="541">
        <f t="shared" si="66"/>
        <v>93341.371428571336</v>
      </c>
    </row>
    <row r="3522" spans="2:9" ht="17" customHeight="1">
      <c r="B3522" s="253"/>
      <c r="C3522" s="263"/>
      <c r="D3522" s="261"/>
      <c r="E3522" s="256"/>
      <c r="F3522" s="257"/>
      <c r="G3522" s="258"/>
      <c r="H3522" s="259"/>
      <c r="I3522" s="541">
        <f t="shared" si="66"/>
        <v>93341.371428571336</v>
      </c>
    </row>
    <row r="3523" spans="2:9" ht="17" customHeight="1">
      <c r="B3523" s="253"/>
      <c r="C3523" s="263"/>
      <c r="D3523" s="261"/>
      <c r="E3523" s="256"/>
      <c r="F3523" s="257"/>
      <c r="G3523" s="258"/>
      <c r="H3523" s="259"/>
      <c r="I3523" s="541">
        <f t="shared" si="66"/>
        <v>93341.371428571336</v>
      </c>
    </row>
    <row r="3524" spans="2:9" ht="17" customHeight="1">
      <c r="B3524" s="253"/>
      <c r="C3524" s="263"/>
      <c r="D3524" s="261"/>
      <c r="E3524" s="256"/>
      <c r="F3524" s="257"/>
      <c r="G3524" s="258"/>
      <c r="H3524" s="259"/>
      <c r="I3524" s="541">
        <f t="shared" si="66"/>
        <v>93341.371428571336</v>
      </c>
    </row>
    <row r="3525" spans="2:9" ht="17" customHeight="1">
      <c r="B3525" s="253"/>
      <c r="C3525" s="263"/>
      <c r="D3525" s="261"/>
      <c r="E3525" s="256"/>
      <c r="F3525" s="257"/>
      <c r="G3525" s="258"/>
      <c r="H3525" s="259"/>
      <c r="I3525" s="541">
        <f t="shared" si="66"/>
        <v>93341.371428571336</v>
      </c>
    </row>
    <row r="3526" spans="2:9" ht="17" customHeight="1">
      <c r="B3526" s="253"/>
      <c r="C3526" s="263"/>
      <c r="D3526" s="261"/>
      <c r="E3526" s="256"/>
      <c r="F3526" s="257"/>
      <c r="G3526" s="258"/>
      <c r="H3526" s="259"/>
      <c r="I3526" s="541">
        <f t="shared" si="66"/>
        <v>93341.371428571336</v>
      </c>
    </row>
    <row r="3527" spans="2:9" ht="17" customHeight="1">
      <c r="B3527" s="253"/>
      <c r="C3527" s="263"/>
      <c r="D3527" s="261"/>
      <c r="E3527" s="256"/>
      <c r="F3527" s="257"/>
      <c r="G3527" s="258"/>
      <c r="H3527" s="259"/>
      <c r="I3527" s="541">
        <f t="shared" si="66"/>
        <v>93341.371428571336</v>
      </c>
    </row>
    <row r="3528" spans="2:9" ht="17" customHeight="1">
      <c r="B3528" s="253"/>
      <c r="C3528" s="263"/>
      <c r="D3528" s="261"/>
      <c r="E3528" s="256"/>
      <c r="F3528" s="257"/>
      <c r="G3528" s="258"/>
      <c r="H3528" s="259"/>
      <c r="I3528" s="541">
        <f t="shared" si="66"/>
        <v>93341.371428571336</v>
      </c>
    </row>
    <row r="3529" spans="2:9" ht="17" customHeight="1">
      <c r="B3529" s="253"/>
      <c r="C3529" s="263"/>
      <c r="D3529" s="261"/>
      <c r="E3529" s="256"/>
      <c r="F3529" s="257"/>
      <c r="G3529" s="258"/>
      <c r="H3529" s="259"/>
      <c r="I3529" s="541">
        <f t="shared" si="66"/>
        <v>93341.371428571336</v>
      </c>
    </row>
    <row r="3530" spans="2:9" ht="17" customHeight="1">
      <c r="B3530" s="253"/>
      <c r="C3530" s="263"/>
      <c r="D3530" s="261"/>
      <c r="E3530" s="256"/>
      <c r="F3530" s="257"/>
      <c r="G3530" s="258"/>
      <c r="H3530" s="259"/>
      <c r="I3530" s="541">
        <f t="shared" si="66"/>
        <v>93341.371428571336</v>
      </c>
    </row>
    <row r="3531" spans="2:9" ht="17" customHeight="1">
      <c r="B3531" s="253"/>
      <c r="C3531" s="263"/>
      <c r="D3531" s="261"/>
      <c r="E3531" s="256"/>
      <c r="F3531" s="257"/>
      <c r="G3531" s="258"/>
      <c r="H3531" s="259"/>
      <c r="I3531" s="541">
        <f t="shared" si="66"/>
        <v>93341.371428571336</v>
      </c>
    </row>
    <row r="3532" spans="2:9" ht="17" customHeight="1">
      <c r="B3532" s="253"/>
      <c r="C3532" s="263"/>
      <c r="D3532" s="261"/>
      <c r="E3532" s="256"/>
      <c r="F3532" s="257"/>
      <c r="G3532" s="258"/>
      <c r="H3532" s="259"/>
      <c r="I3532" s="541">
        <f t="shared" si="66"/>
        <v>93341.371428571336</v>
      </c>
    </row>
    <row r="3533" spans="2:9" ht="17" customHeight="1">
      <c r="B3533" s="253"/>
      <c r="C3533" s="263"/>
      <c r="D3533" s="261"/>
      <c r="E3533" s="256"/>
      <c r="F3533" s="257"/>
      <c r="G3533" s="258"/>
      <c r="H3533" s="259"/>
      <c r="I3533" s="541">
        <f t="shared" si="66"/>
        <v>93341.371428571336</v>
      </c>
    </row>
    <row r="3534" spans="2:9" ht="17" customHeight="1">
      <c r="B3534" s="253"/>
      <c r="C3534" s="263"/>
      <c r="D3534" s="261"/>
      <c r="E3534" s="256"/>
      <c r="F3534" s="257"/>
      <c r="G3534" s="258"/>
      <c r="H3534" s="259"/>
      <c r="I3534" s="541">
        <f t="shared" si="66"/>
        <v>93341.371428571336</v>
      </c>
    </row>
    <row r="3535" spans="2:9" ht="17" customHeight="1">
      <c r="B3535" s="253"/>
      <c r="C3535" s="263"/>
      <c r="D3535" s="261"/>
      <c r="E3535" s="256"/>
      <c r="F3535" s="257"/>
      <c r="G3535" s="258"/>
      <c r="H3535" s="259"/>
      <c r="I3535" s="541">
        <f t="shared" si="66"/>
        <v>93341.371428571336</v>
      </c>
    </row>
    <row r="3536" spans="2:9" ht="17" customHeight="1">
      <c r="B3536" s="253"/>
      <c r="C3536" s="263"/>
      <c r="D3536" s="261"/>
      <c r="E3536" s="256"/>
      <c r="F3536" s="257"/>
      <c r="G3536" s="258"/>
      <c r="H3536" s="259"/>
      <c r="I3536" s="541">
        <f t="shared" si="66"/>
        <v>93341.371428571336</v>
      </c>
    </row>
    <row r="3537" spans="2:9" ht="17" customHeight="1">
      <c r="B3537" s="253"/>
      <c r="C3537" s="263"/>
      <c r="D3537" s="261"/>
      <c r="E3537" s="256"/>
      <c r="F3537" s="257"/>
      <c r="G3537" s="258"/>
      <c r="H3537" s="259"/>
      <c r="I3537" s="541">
        <f t="shared" si="66"/>
        <v>93341.371428571336</v>
      </c>
    </row>
    <row r="3538" spans="2:9" ht="17" customHeight="1">
      <c r="B3538" s="253"/>
      <c r="C3538" s="263"/>
      <c r="D3538" s="261"/>
      <c r="E3538" s="256"/>
      <c r="F3538" s="257"/>
      <c r="G3538" s="258"/>
      <c r="H3538" s="259"/>
      <c r="I3538" s="541">
        <f t="shared" si="66"/>
        <v>93341.371428571336</v>
      </c>
    </row>
    <row r="3539" spans="2:9" ht="17" customHeight="1">
      <c r="B3539" s="253"/>
      <c r="C3539" s="263"/>
      <c r="D3539" s="261"/>
      <c r="E3539" s="256"/>
      <c r="F3539" s="257"/>
      <c r="G3539" s="258"/>
      <c r="H3539" s="259"/>
      <c r="I3539" s="541">
        <f t="shared" si="66"/>
        <v>93341.371428571336</v>
      </c>
    </row>
    <row r="3540" spans="2:9" ht="17" customHeight="1">
      <c r="B3540" s="253"/>
      <c r="C3540" s="263"/>
      <c r="D3540" s="261"/>
      <c r="E3540" s="256"/>
      <c r="F3540" s="257"/>
      <c r="G3540" s="258"/>
      <c r="H3540" s="259"/>
      <c r="I3540" s="541">
        <f t="shared" si="66"/>
        <v>93341.371428571336</v>
      </c>
    </row>
    <row r="3541" spans="2:9" ht="17" customHeight="1">
      <c r="B3541" s="253"/>
      <c r="C3541" s="263"/>
      <c r="D3541" s="261"/>
      <c r="E3541" s="256"/>
      <c r="F3541" s="257"/>
      <c r="G3541" s="258"/>
      <c r="H3541" s="259"/>
      <c r="I3541" s="541">
        <f t="shared" si="66"/>
        <v>93341.371428571336</v>
      </c>
    </row>
    <row r="3542" spans="2:9" ht="17" customHeight="1">
      <c r="B3542" s="253"/>
      <c r="C3542" s="263"/>
      <c r="D3542" s="261"/>
      <c r="E3542" s="256"/>
      <c r="F3542" s="257"/>
      <c r="G3542" s="258"/>
      <c r="H3542" s="259"/>
      <c r="I3542" s="541">
        <f t="shared" si="66"/>
        <v>93341.371428571336</v>
      </c>
    </row>
    <row r="3543" spans="2:9" ht="17" customHeight="1">
      <c r="B3543" s="253"/>
      <c r="C3543" s="263"/>
      <c r="D3543" s="261"/>
      <c r="E3543" s="256"/>
      <c r="F3543" s="257"/>
      <c r="G3543" s="258"/>
      <c r="H3543" s="259"/>
      <c r="I3543" s="541">
        <f t="shared" si="66"/>
        <v>93341.371428571336</v>
      </c>
    </row>
    <row r="3544" spans="2:9" ht="17" customHeight="1">
      <c r="B3544" s="253"/>
      <c r="C3544" s="263"/>
      <c r="D3544" s="261"/>
      <c r="E3544" s="256"/>
      <c r="F3544" s="257"/>
      <c r="G3544" s="258"/>
      <c r="H3544" s="259"/>
      <c r="I3544" s="541">
        <f t="shared" si="66"/>
        <v>93341.371428571336</v>
      </c>
    </row>
    <row r="3545" spans="2:9" ht="17" customHeight="1">
      <c r="B3545" s="253"/>
      <c r="C3545" s="263"/>
      <c r="D3545" s="261"/>
      <c r="E3545" s="256"/>
      <c r="F3545" s="257"/>
      <c r="G3545" s="258"/>
      <c r="H3545" s="259"/>
      <c r="I3545" s="541">
        <f t="shared" si="66"/>
        <v>93341.371428571336</v>
      </c>
    </row>
    <row r="3546" spans="2:9" ht="17" customHeight="1">
      <c r="B3546" s="253"/>
      <c r="C3546" s="263"/>
      <c r="D3546" s="261"/>
      <c r="E3546" s="256"/>
      <c r="F3546" s="257"/>
      <c r="G3546" s="258"/>
      <c r="H3546" s="259"/>
      <c r="I3546" s="541">
        <f t="shared" ref="I3546:I3609" si="67">I3545+E3547-F3547</f>
        <v>93341.371428571336</v>
      </c>
    </row>
    <row r="3547" spans="2:9" ht="17" customHeight="1">
      <c r="B3547" s="253"/>
      <c r="C3547" s="263"/>
      <c r="D3547" s="261"/>
      <c r="E3547" s="256"/>
      <c r="F3547" s="257"/>
      <c r="G3547" s="258"/>
      <c r="H3547" s="259"/>
      <c r="I3547" s="541">
        <f t="shared" si="67"/>
        <v>93341.371428571336</v>
      </c>
    </row>
    <row r="3548" spans="2:9" ht="17" customHeight="1">
      <c r="B3548" s="253"/>
      <c r="C3548" s="263"/>
      <c r="D3548" s="261"/>
      <c r="E3548" s="256"/>
      <c r="F3548" s="257"/>
      <c r="G3548" s="258"/>
      <c r="H3548" s="259"/>
      <c r="I3548" s="541">
        <f t="shared" si="67"/>
        <v>93341.371428571336</v>
      </c>
    </row>
    <row r="3549" spans="2:9" ht="17" customHeight="1">
      <c r="B3549" s="253"/>
      <c r="C3549" s="263"/>
      <c r="D3549" s="261"/>
      <c r="E3549" s="256"/>
      <c r="F3549" s="257"/>
      <c r="G3549" s="258"/>
      <c r="H3549" s="259"/>
      <c r="I3549" s="541">
        <f t="shared" si="67"/>
        <v>93341.371428571336</v>
      </c>
    </row>
    <row r="3550" spans="2:9" ht="17" customHeight="1">
      <c r="B3550" s="253"/>
      <c r="C3550" s="263"/>
      <c r="D3550" s="261"/>
      <c r="E3550" s="256"/>
      <c r="F3550" s="257"/>
      <c r="G3550" s="258"/>
      <c r="H3550" s="259"/>
      <c r="I3550" s="541">
        <f t="shared" si="67"/>
        <v>93341.371428571336</v>
      </c>
    </row>
    <row r="3551" spans="2:9" ht="17" customHeight="1">
      <c r="B3551" s="253"/>
      <c r="C3551" s="263"/>
      <c r="D3551" s="261"/>
      <c r="E3551" s="256"/>
      <c r="F3551" s="257"/>
      <c r="G3551" s="258"/>
      <c r="H3551" s="259"/>
      <c r="I3551" s="541">
        <f t="shared" si="67"/>
        <v>93341.371428571336</v>
      </c>
    </row>
    <row r="3552" spans="2:9" ht="17" customHeight="1">
      <c r="B3552" s="253"/>
      <c r="C3552" s="263"/>
      <c r="D3552" s="261"/>
      <c r="E3552" s="256"/>
      <c r="F3552" s="257"/>
      <c r="G3552" s="258"/>
      <c r="H3552" s="259"/>
      <c r="I3552" s="541">
        <f t="shared" si="67"/>
        <v>93341.371428571336</v>
      </c>
    </row>
    <row r="3553" spans="2:9" ht="17" customHeight="1">
      <c r="B3553" s="253"/>
      <c r="C3553" s="263"/>
      <c r="D3553" s="261"/>
      <c r="E3553" s="256"/>
      <c r="F3553" s="257"/>
      <c r="G3553" s="258"/>
      <c r="H3553" s="259"/>
      <c r="I3553" s="541">
        <f t="shared" si="67"/>
        <v>93341.371428571336</v>
      </c>
    </row>
    <row r="3554" spans="2:9" ht="17" customHeight="1">
      <c r="B3554" s="253"/>
      <c r="C3554" s="263"/>
      <c r="D3554" s="261"/>
      <c r="E3554" s="256"/>
      <c r="F3554" s="257"/>
      <c r="G3554" s="258"/>
      <c r="H3554" s="259"/>
      <c r="I3554" s="541">
        <f t="shared" si="67"/>
        <v>93341.371428571336</v>
      </c>
    </row>
    <row r="3555" spans="2:9" ht="17" customHeight="1">
      <c r="B3555" s="253"/>
      <c r="C3555" s="263"/>
      <c r="D3555" s="261"/>
      <c r="E3555" s="256"/>
      <c r="F3555" s="257"/>
      <c r="G3555" s="258"/>
      <c r="H3555" s="259"/>
      <c r="I3555" s="541">
        <f t="shared" si="67"/>
        <v>93341.371428571336</v>
      </c>
    </row>
    <row r="3556" spans="2:9" ht="17" customHeight="1">
      <c r="B3556" s="253"/>
      <c r="C3556" s="263"/>
      <c r="D3556" s="261"/>
      <c r="E3556" s="256"/>
      <c r="F3556" s="257"/>
      <c r="G3556" s="258"/>
      <c r="H3556" s="259"/>
      <c r="I3556" s="541">
        <f t="shared" si="67"/>
        <v>93341.371428571336</v>
      </c>
    </row>
    <row r="3557" spans="2:9" ht="17" customHeight="1">
      <c r="B3557" s="253"/>
      <c r="C3557" s="263"/>
      <c r="D3557" s="261"/>
      <c r="E3557" s="256"/>
      <c r="F3557" s="257"/>
      <c r="G3557" s="258"/>
      <c r="H3557" s="259"/>
      <c r="I3557" s="541">
        <f t="shared" si="67"/>
        <v>93341.371428571336</v>
      </c>
    </row>
    <row r="3558" spans="2:9" ht="17" customHeight="1">
      <c r="B3558" s="253"/>
      <c r="C3558" s="263"/>
      <c r="D3558" s="261"/>
      <c r="E3558" s="256"/>
      <c r="F3558" s="257"/>
      <c r="G3558" s="258"/>
      <c r="H3558" s="259"/>
      <c r="I3558" s="541">
        <f t="shared" si="67"/>
        <v>93341.371428571336</v>
      </c>
    </row>
    <row r="3559" spans="2:9" ht="17" customHeight="1">
      <c r="B3559" s="253"/>
      <c r="C3559" s="263"/>
      <c r="D3559" s="261"/>
      <c r="E3559" s="256"/>
      <c r="F3559" s="257"/>
      <c r="G3559" s="258"/>
      <c r="H3559" s="259"/>
      <c r="I3559" s="541">
        <f t="shared" si="67"/>
        <v>93341.371428571336</v>
      </c>
    </row>
    <row r="3560" spans="2:9" ht="17" customHeight="1">
      <c r="B3560" s="253"/>
      <c r="C3560" s="263"/>
      <c r="D3560" s="261"/>
      <c r="E3560" s="256"/>
      <c r="F3560" s="257"/>
      <c r="G3560" s="258"/>
      <c r="H3560" s="259"/>
      <c r="I3560" s="541">
        <f t="shared" si="67"/>
        <v>93341.371428571336</v>
      </c>
    </row>
    <row r="3561" spans="2:9" ht="17" customHeight="1">
      <c r="B3561" s="253"/>
      <c r="C3561" s="263"/>
      <c r="D3561" s="261"/>
      <c r="E3561" s="256"/>
      <c r="F3561" s="257"/>
      <c r="G3561" s="258"/>
      <c r="H3561" s="259"/>
      <c r="I3561" s="541">
        <f t="shared" si="67"/>
        <v>93341.371428571336</v>
      </c>
    </row>
    <row r="3562" spans="2:9" ht="17" customHeight="1">
      <c r="B3562" s="253"/>
      <c r="C3562" s="263"/>
      <c r="D3562" s="261"/>
      <c r="E3562" s="256"/>
      <c r="F3562" s="257"/>
      <c r="G3562" s="258"/>
      <c r="H3562" s="259"/>
      <c r="I3562" s="541">
        <f t="shared" si="67"/>
        <v>93341.371428571336</v>
      </c>
    </row>
    <row r="3563" spans="2:9" ht="17" customHeight="1">
      <c r="B3563" s="253"/>
      <c r="C3563" s="263"/>
      <c r="D3563" s="261"/>
      <c r="E3563" s="256"/>
      <c r="F3563" s="257"/>
      <c r="G3563" s="258"/>
      <c r="H3563" s="259"/>
      <c r="I3563" s="541">
        <f t="shared" si="67"/>
        <v>93341.371428571336</v>
      </c>
    </row>
    <row r="3564" spans="2:9" ht="17" customHeight="1">
      <c r="B3564" s="253"/>
      <c r="C3564" s="263"/>
      <c r="D3564" s="261"/>
      <c r="E3564" s="256"/>
      <c r="F3564" s="257"/>
      <c r="G3564" s="258"/>
      <c r="H3564" s="259"/>
      <c r="I3564" s="541">
        <f t="shared" si="67"/>
        <v>93341.371428571336</v>
      </c>
    </row>
    <row r="3565" spans="2:9" ht="17" customHeight="1">
      <c r="B3565" s="253"/>
      <c r="C3565" s="263"/>
      <c r="D3565" s="261"/>
      <c r="E3565" s="256"/>
      <c r="F3565" s="257"/>
      <c r="G3565" s="258"/>
      <c r="H3565" s="259"/>
      <c r="I3565" s="541">
        <f t="shared" si="67"/>
        <v>93341.371428571336</v>
      </c>
    </row>
    <row r="3566" spans="2:9" ht="17" customHeight="1">
      <c r="B3566" s="253"/>
      <c r="C3566" s="263"/>
      <c r="D3566" s="261"/>
      <c r="E3566" s="256"/>
      <c r="F3566" s="257"/>
      <c r="G3566" s="258"/>
      <c r="H3566" s="259"/>
      <c r="I3566" s="541">
        <f t="shared" si="67"/>
        <v>93341.371428571336</v>
      </c>
    </row>
    <row r="3567" spans="2:9" ht="17" customHeight="1">
      <c r="B3567" s="253"/>
      <c r="C3567" s="263"/>
      <c r="D3567" s="261"/>
      <c r="E3567" s="256"/>
      <c r="F3567" s="257"/>
      <c r="G3567" s="258"/>
      <c r="H3567" s="259"/>
      <c r="I3567" s="541">
        <f t="shared" si="67"/>
        <v>93341.371428571336</v>
      </c>
    </row>
    <row r="3568" spans="2:9" ht="17" customHeight="1">
      <c r="B3568" s="253"/>
      <c r="C3568" s="263"/>
      <c r="D3568" s="261"/>
      <c r="E3568" s="256"/>
      <c r="F3568" s="257"/>
      <c r="G3568" s="258"/>
      <c r="H3568" s="259"/>
      <c r="I3568" s="541">
        <f t="shared" si="67"/>
        <v>93341.371428571336</v>
      </c>
    </row>
    <row r="3569" spans="2:9" ht="17" customHeight="1">
      <c r="B3569" s="253"/>
      <c r="C3569" s="263"/>
      <c r="D3569" s="261"/>
      <c r="E3569" s="256"/>
      <c r="F3569" s="257"/>
      <c r="G3569" s="258"/>
      <c r="H3569" s="259"/>
      <c r="I3569" s="541">
        <f t="shared" si="67"/>
        <v>93341.371428571336</v>
      </c>
    </row>
    <row r="3570" spans="2:9" ht="17" customHeight="1">
      <c r="B3570" s="253"/>
      <c r="C3570" s="263"/>
      <c r="D3570" s="261"/>
      <c r="E3570" s="256"/>
      <c r="F3570" s="257"/>
      <c r="G3570" s="258"/>
      <c r="H3570" s="259"/>
      <c r="I3570" s="541">
        <f t="shared" si="67"/>
        <v>93341.371428571336</v>
      </c>
    </row>
    <row r="3571" spans="2:9" ht="17" customHeight="1">
      <c r="B3571" s="253"/>
      <c r="C3571" s="263"/>
      <c r="D3571" s="261"/>
      <c r="E3571" s="256"/>
      <c r="F3571" s="257"/>
      <c r="G3571" s="258"/>
      <c r="H3571" s="259"/>
      <c r="I3571" s="541">
        <f t="shared" si="67"/>
        <v>93341.371428571336</v>
      </c>
    </row>
    <row r="3572" spans="2:9" ht="17" customHeight="1">
      <c r="B3572" s="253"/>
      <c r="C3572" s="263"/>
      <c r="D3572" s="261"/>
      <c r="E3572" s="256"/>
      <c r="F3572" s="257"/>
      <c r="G3572" s="258"/>
      <c r="H3572" s="259"/>
      <c r="I3572" s="541">
        <f t="shared" si="67"/>
        <v>93341.371428571336</v>
      </c>
    </row>
    <row r="3573" spans="2:9" ht="17" customHeight="1">
      <c r="B3573" s="253"/>
      <c r="C3573" s="263"/>
      <c r="D3573" s="261"/>
      <c r="E3573" s="256"/>
      <c r="F3573" s="257"/>
      <c r="G3573" s="258"/>
      <c r="H3573" s="259"/>
      <c r="I3573" s="541">
        <f t="shared" si="67"/>
        <v>93341.371428571336</v>
      </c>
    </row>
    <row r="3574" spans="2:9" ht="17" customHeight="1">
      <c r="B3574" s="253"/>
      <c r="C3574" s="263"/>
      <c r="D3574" s="261"/>
      <c r="E3574" s="256"/>
      <c r="F3574" s="257"/>
      <c r="G3574" s="258"/>
      <c r="H3574" s="259"/>
      <c r="I3574" s="541">
        <f t="shared" si="67"/>
        <v>93341.371428571336</v>
      </c>
    </row>
    <row r="3575" spans="2:9" ht="17" customHeight="1">
      <c r="B3575" s="253"/>
      <c r="C3575" s="263"/>
      <c r="D3575" s="261"/>
      <c r="E3575" s="256"/>
      <c r="F3575" s="257"/>
      <c r="G3575" s="258"/>
      <c r="H3575" s="259"/>
      <c r="I3575" s="541">
        <f t="shared" si="67"/>
        <v>93341.371428571336</v>
      </c>
    </row>
    <row r="3576" spans="2:9" ht="17" customHeight="1">
      <c r="B3576" s="253"/>
      <c r="C3576" s="263"/>
      <c r="D3576" s="261"/>
      <c r="E3576" s="256"/>
      <c r="F3576" s="257"/>
      <c r="G3576" s="258"/>
      <c r="H3576" s="259"/>
      <c r="I3576" s="541">
        <f t="shared" si="67"/>
        <v>93341.371428571336</v>
      </c>
    </row>
    <row r="3577" spans="2:9" ht="17" customHeight="1">
      <c r="B3577" s="253"/>
      <c r="C3577" s="263"/>
      <c r="D3577" s="261"/>
      <c r="E3577" s="256"/>
      <c r="F3577" s="257"/>
      <c r="G3577" s="258"/>
      <c r="H3577" s="259"/>
      <c r="I3577" s="541">
        <f t="shared" si="67"/>
        <v>93341.371428571336</v>
      </c>
    </row>
    <row r="3578" spans="2:9" ht="17" customHeight="1">
      <c r="B3578" s="253"/>
      <c r="C3578" s="263"/>
      <c r="D3578" s="261"/>
      <c r="E3578" s="256"/>
      <c r="F3578" s="257"/>
      <c r="G3578" s="258"/>
      <c r="H3578" s="259"/>
      <c r="I3578" s="541">
        <f t="shared" si="67"/>
        <v>93341.371428571336</v>
      </c>
    </row>
    <row r="3579" spans="2:9" ht="17" customHeight="1">
      <c r="B3579" s="253"/>
      <c r="C3579" s="263"/>
      <c r="D3579" s="261"/>
      <c r="E3579" s="256"/>
      <c r="F3579" s="257"/>
      <c r="G3579" s="258"/>
      <c r="H3579" s="259"/>
      <c r="I3579" s="541">
        <f t="shared" si="67"/>
        <v>93341.371428571336</v>
      </c>
    </row>
    <row r="3580" spans="2:9" ht="17" customHeight="1">
      <c r="B3580" s="253"/>
      <c r="C3580" s="263"/>
      <c r="D3580" s="261"/>
      <c r="E3580" s="256"/>
      <c r="F3580" s="257"/>
      <c r="G3580" s="258"/>
      <c r="H3580" s="259"/>
      <c r="I3580" s="541">
        <f t="shared" si="67"/>
        <v>93341.371428571336</v>
      </c>
    </row>
    <row r="3581" spans="2:9" ht="17" customHeight="1">
      <c r="B3581" s="253"/>
      <c r="C3581" s="263"/>
      <c r="D3581" s="261"/>
      <c r="E3581" s="256"/>
      <c r="F3581" s="257"/>
      <c r="G3581" s="258"/>
      <c r="H3581" s="259"/>
      <c r="I3581" s="541">
        <f t="shared" si="67"/>
        <v>93341.371428571336</v>
      </c>
    </row>
    <row r="3582" spans="2:9" ht="17" customHeight="1">
      <c r="B3582" s="253"/>
      <c r="C3582" s="263"/>
      <c r="D3582" s="261"/>
      <c r="E3582" s="256"/>
      <c r="F3582" s="257"/>
      <c r="G3582" s="258"/>
      <c r="H3582" s="259"/>
      <c r="I3582" s="541">
        <f t="shared" si="67"/>
        <v>93341.371428571336</v>
      </c>
    </row>
    <row r="3583" spans="2:9" ht="17" customHeight="1">
      <c r="B3583" s="253"/>
      <c r="C3583" s="263"/>
      <c r="D3583" s="261"/>
      <c r="E3583" s="256"/>
      <c r="F3583" s="257"/>
      <c r="G3583" s="258"/>
      <c r="H3583" s="259"/>
      <c r="I3583" s="541">
        <f t="shared" si="67"/>
        <v>93341.371428571336</v>
      </c>
    </row>
    <row r="3584" spans="2:9" ht="17" customHeight="1">
      <c r="B3584" s="253"/>
      <c r="C3584" s="263"/>
      <c r="D3584" s="261"/>
      <c r="E3584" s="256"/>
      <c r="F3584" s="257"/>
      <c r="G3584" s="258"/>
      <c r="H3584" s="259"/>
      <c r="I3584" s="541">
        <f t="shared" si="67"/>
        <v>93341.371428571336</v>
      </c>
    </row>
    <row r="3585" spans="2:9" ht="17" customHeight="1">
      <c r="B3585" s="253"/>
      <c r="C3585" s="263"/>
      <c r="D3585" s="261"/>
      <c r="E3585" s="256"/>
      <c r="F3585" s="257"/>
      <c r="G3585" s="258"/>
      <c r="H3585" s="259"/>
      <c r="I3585" s="541">
        <f t="shared" si="67"/>
        <v>93341.371428571336</v>
      </c>
    </row>
    <row r="3586" spans="2:9" ht="17" customHeight="1">
      <c r="B3586" s="253"/>
      <c r="C3586" s="263"/>
      <c r="D3586" s="261"/>
      <c r="E3586" s="256"/>
      <c r="F3586" s="257"/>
      <c r="G3586" s="258"/>
      <c r="H3586" s="259"/>
      <c r="I3586" s="541">
        <f t="shared" si="67"/>
        <v>93341.371428571336</v>
      </c>
    </row>
    <row r="3587" spans="2:9" ht="17" customHeight="1">
      <c r="B3587" s="253"/>
      <c r="C3587" s="263"/>
      <c r="D3587" s="261"/>
      <c r="E3587" s="256"/>
      <c r="F3587" s="257"/>
      <c r="G3587" s="258"/>
      <c r="H3587" s="259"/>
      <c r="I3587" s="541">
        <f t="shared" si="67"/>
        <v>93341.371428571336</v>
      </c>
    </row>
    <row r="3588" spans="2:9" ht="17" customHeight="1">
      <c r="B3588" s="253"/>
      <c r="C3588" s="263"/>
      <c r="D3588" s="261"/>
      <c r="E3588" s="256"/>
      <c r="F3588" s="257"/>
      <c r="G3588" s="258"/>
      <c r="H3588" s="259"/>
      <c r="I3588" s="541">
        <f t="shared" si="67"/>
        <v>93341.371428571336</v>
      </c>
    </row>
    <row r="3589" spans="2:9" ht="17" customHeight="1">
      <c r="B3589" s="253"/>
      <c r="C3589" s="263"/>
      <c r="D3589" s="261"/>
      <c r="E3589" s="256"/>
      <c r="F3589" s="257"/>
      <c r="G3589" s="258"/>
      <c r="H3589" s="259"/>
      <c r="I3589" s="541">
        <f t="shared" si="67"/>
        <v>93341.371428571336</v>
      </c>
    </row>
    <row r="3590" spans="2:9" ht="17" customHeight="1">
      <c r="B3590" s="253"/>
      <c r="C3590" s="263"/>
      <c r="D3590" s="261"/>
      <c r="E3590" s="256"/>
      <c r="F3590" s="257"/>
      <c r="G3590" s="258"/>
      <c r="H3590" s="259"/>
      <c r="I3590" s="541">
        <f t="shared" si="67"/>
        <v>93341.371428571336</v>
      </c>
    </row>
    <row r="3591" spans="2:9" ht="17" customHeight="1">
      <c r="B3591" s="253"/>
      <c r="C3591" s="263"/>
      <c r="D3591" s="261"/>
      <c r="E3591" s="256"/>
      <c r="F3591" s="257"/>
      <c r="G3591" s="258"/>
      <c r="H3591" s="259"/>
      <c r="I3591" s="541">
        <f t="shared" si="67"/>
        <v>93341.371428571336</v>
      </c>
    </row>
    <row r="3592" spans="2:9" ht="17" customHeight="1">
      <c r="B3592" s="253"/>
      <c r="C3592" s="263"/>
      <c r="D3592" s="261"/>
      <c r="E3592" s="256"/>
      <c r="F3592" s="257"/>
      <c r="G3592" s="258"/>
      <c r="H3592" s="259"/>
      <c r="I3592" s="541">
        <f t="shared" si="67"/>
        <v>93341.371428571336</v>
      </c>
    </row>
    <row r="3593" spans="2:9" ht="17" customHeight="1">
      <c r="B3593" s="253"/>
      <c r="C3593" s="263"/>
      <c r="D3593" s="261"/>
      <c r="E3593" s="256"/>
      <c r="F3593" s="257"/>
      <c r="G3593" s="258"/>
      <c r="H3593" s="259"/>
      <c r="I3593" s="541">
        <f t="shared" si="67"/>
        <v>93341.371428571336</v>
      </c>
    </row>
    <row r="3594" spans="2:9" ht="17" customHeight="1">
      <c r="B3594" s="253"/>
      <c r="C3594" s="263"/>
      <c r="D3594" s="261"/>
      <c r="E3594" s="256"/>
      <c r="F3594" s="257"/>
      <c r="G3594" s="258"/>
      <c r="H3594" s="259"/>
      <c r="I3594" s="541">
        <f t="shared" si="67"/>
        <v>93341.371428571336</v>
      </c>
    </row>
    <row r="3595" spans="2:9" ht="17" customHeight="1">
      <c r="B3595" s="253"/>
      <c r="C3595" s="263"/>
      <c r="D3595" s="261"/>
      <c r="E3595" s="256"/>
      <c r="F3595" s="257"/>
      <c r="G3595" s="258"/>
      <c r="H3595" s="259"/>
      <c r="I3595" s="541">
        <f t="shared" si="67"/>
        <v>93341.371428571336</v>
      </c>
    </row>
    <row r="3596" spans="2:9" ht="17" customHeight="1">
      <c r="B3596" s="253"/>
      <c r="C3596" s="263"/>
      <c r="D3596" s="261"/>
      <c r="E3596" s="256"/>
      <c r="F3596" s="257"/>
      <c r="G3596" s="258"/>
      <c r="H3596" s="259"/>
      <c r="I3596" s="541">
        <f t="shared" si="67"/>
        <v>93341.371428571336</v>
      </c>
    </row>
    <row r="3597" spans="2:9" ht="17" customHeight="1">
      <c r="B3597" s="253"/>
      <c r="C3597" s="263"/>
      <c r="D3597" s="261"/>
      <c r="E3597" s="256"/>
      <c r="F3597" s="257"/>
      <c r="G3597" s="258"/>
      <c r="H3597" s="259"/>
      <c r="I3597" s="541">
        <f t="shared" si="67"/>
        <v>93341.371428571336</v>
      </c>
    </row>
    <row r="3598" spans="2:9" ht="17" customHeight="1">
      <c r="B3598" s="253"/>
      <c r="C3598" s="263"/>
      <c r="D3598" s="261"/>
      <c r="E3598" s="256"/>
      <c r="F3598" s="257"/>
      <c r="G3598" s="258"/>
      <c r="H3598" s="259"/>
      <c r="I3598" s="541">
        <f t="shared" si="67"/>
        <v>93341.371428571336</v>
      </c>
    </row>
    <row r="3599" spans="2:9" ht="17" customHeight="1">
      <c r="B3599" s="253"/>
      <c r="C3599" s="263"/>
      <c r="D3599" s="261"/>
      <c r="E3599" s="256"/>
      <c r="F3599" s="257"/>
      <c r="G3599" s="258"/>
      <c r="H3599" s="259"/>
      <c r="I3599" s="541">
        <f t="shared" si="67"/>
        <v>93341.371428571336</v>
      </c>
    </row>
    <row r="3600" spans="2:9" ht="17" customHeight="1">
      <c r="B3600" s="253"/>
      <c r="C3600" s="263"/>
      <c r="D3600" s="261"/>
      <c r="E3600" s="256"/>
      <c r="F3600" s="257"/>
      <c r="G3600" s="258"/>
      <c r="H3600" s="259"/>
      <c r="I3600" s="541">
        <f t="shared" si="67"/>
        <v>93341.371428571336</v>
      </c>
    </row>
    <row r="3601" spans="2:9" ht="17" customHeight="1">
      <c r="B3601" s="253"/>
      <c r="C3601" s="263"/>
      <c r="D3601" s="261"/>
      <c r="E3601" s="256"/>
      <c r="F3601" s="257"/>
      <c r="G3601" s="258"/>
      <c r="H3601" s="259"/>
      <c r="I3601" s="541">
        <f t="shared" si="67"/>
        <v>93341.371428571336</v>
      </c>
    </row>
    <row r="3602" spans="2:9" ht="17" customHeight="1">
      <c r="B3602" s="253"/>
      <c r="C3602" s="263"/>
      <c r="D3602" s="261"/>
      <c r="E3602" s="256"/>
      <c r="F3602" s="257"/>
      <c r="G3602" s="258"/>
      <c r="H3602" s="259"/>
      <c r="I3602" s="541">
        <f t="shared" si="67"/>
        <v>93341.371428571336</v>
      </c>
    </row>
    <row r="3603" spans="2:9" ht="17" customHeight="1">
      <c r="B3603" s="253"/>
      <c r="C3603" s="263"/>
      <c r="D3603" s="261"/>
      <c r="E3603" s="256"/>
      <c r="F3603" s="257"/>
      <c r="G3603" s="258"/>
      <c r="H3603" s="259"/>
      <c r="I3603" s="541">
        <f t="shared" si="67"/>
        <v>93341.371428571336</v>
      </c>
    </row>
    <row r="3604" spans="2:9" ht="17" customHeight="1">
      <c r="B3604" s="253"/>
      <c r="C3604" s="263"/>
      <c r="D3604" s="261"/>
      <c r="E3604" s="256"/>
      <c r="F3604" s="257"/>
      <c r="G3604" s="258"/>
      <c r="H3604" s="259"/>
      <c r="I3604" s="541">
        <f t="shared" si="67"/>
        <v>93341.371428571336</v>
      </c>
    </row>
    <row r="3605" spans="2:9" ht="17" customHeight="1">
      <c r="B3605" s="253"/>
      <c r="C3605" s="263"/>
      <c r="D3605" s="261"/>
      <c r="E3605" s="256"/>
      <c r="F3605" s="257"/>
      <c r="G3605" s="258"/>
      <c r="H3605" s="259"/>
      <c r="I3605" s="541">
        <f t="shared" si="67"/>
        <v>93341.371428571336</v>
      </c>
    </row>
    <row r="3606" spans="2:9" ht="17" customHeight="1">
      <c r="B3606" s="253"/>
      <c r="C3606" s="263"/>
      <c r="D3606" s="261"/>
      <c r="E3606" s="256"/>
      <c r="F3606" s="257"/>
      <c r="G3606" s="258"/>
      <c r="H3606" s="259"/>
      <c r="I3606" s="541">
        <f t="shared" si="67"/>
        <v>93341.371428571336</v>
      </c>
    </row>
    <row r="3607" spans="2:9" ht="17" customHeight="1">
      <c r="B3607" s="253"/>
      <c r="C3607" s="263"/>
      <c r="D3607" s="261"/>
      <c r="E3607" s="256"/>
      <c r="F3607" s="257"/>
      <c r="G3607" s="258"/>
      <c r="H3607" s="259"/>
      <c r="I3607" s="541">
        <f t="shared" si="67"/>
        <v>93341.371428571336</v>
      </c>
    </row>
    <row r="3608" spans="2:9" ht="17" customHeight="1">
      <c r="B3608" s="253"/>
      <c r="C3608" s="263"/>
      <c r="D3608" s="261"/>
      <c r="E3608" s="256"/>
      <c r="F3608" s="257"/>
      <c r="G3608" s="258"/>
      <c r="H3608" s="259"/>
      <c r="I3608" s="541">
        <f t="shared" si="67"/>
        <v>93341.371428571336</v>
      </c>
    </row>
    <row r="3609" spans="2:9" ht="17" customHeight="1">
      <c r="B3609" s="253"/>
      <c r="C3609" s="263"/>
      <c r="D3609" s="261"/>
      <c r="E3609" s="256"/>
      <c r="F3609" s="257"/>
      <c r="G3609" s="258"/>
      <c r="H3609" s="259"/>
      <c r="I3609" s="541">
        <f t="shared" si="67"/>
        <v>93341.371428571336</v>
      </c>
    </row>
    <row r="3610" spans="2:9" ht="17" customHeight="1">
      <c r="B3610" s="253"/>
      <c r="C3610" s="263"/>
      <c r="D3610" s="261"/>
      <c r="E3610" s="256"/>
      <c r="F3610" s="257"/>
      <c r="G3610" s="258"/>
      <c r="H3610" s="259"/>
      <c r="I3610" s="541">
        <f t="shared" ref="I3610:I3639" si="68">I3609+E3611-F3611</f>
        <v>93341.371428571336</v>
      </c>
    </row>
    <row r="3611" spans="2:9" ht="17" customHeight="1">
      <c r="B3611" s="253"/>
      <c r="C3611" s="263"/>
      <c r="D3611" s="261"/>
      <c r="E3611" s="256"/>
      <c r="F3611" s="257"/>
      <c r="G3611" s="258"/>
      <c r="H3611" s="259"/>
      <c r="I3611" s="541">
        <f t="shared" si="68"/>
        <v>93341.371428571336</v>
      </c>
    </row>
    <row r="3612" spans="2:9" ht="17" customHeight="1">
      <c r="B3612" s="253"/>
      <c r="C3612" s="263"/>
      <c r="D3612" s="261"/>
      <c r="E3612" s="256"/>
      <c r="F3612" s="257"/>
      <c r="G3612" s="258"/>
      <c r="H3612" s="259"/>
      <c r="I3612" s="541">
        <f t="shared" si="68"/>
        <v>93341.371428571336</v>
      </c>
    </row>
    <row r="3613" spans="2:9" ht="17" customHeight="1">
      <c r="B3613" s="253"/>
      <c r="C3613" s="263"/>
      <c r="D3613" s="261"/>
      <c r="E3613" s="256"/>
      <c r="F3613" s="257"/>
      <c r="G3613" s="258"/>
      <c r="H3613" s="259"/>
      <c r="I3613" s="541">
        <f t="shared" si="68"/>
        <v>93341.371428571336</v>
      </c>
    </row>
    <row r="3614" spans="2:9" ht="17" customHeight="1">
      <c r="B3614" s="253"/>
      <c r="C3614" s="263"/>
      <c r="D3614" s="261"/>
      <c r="E3614" s="256"/>
      <c r="F3614" s="257"/>
      <c r="G3614" s="258"/>
      <c r="H3614" s="259"/>
      <c r="I3614" s="541">
        <f t="shared" si="68"/>
        <v>93341.371428571336</v>
      </c>
    </row>
    <row r="3615" spans="2:9" ht="17" customHeight="1">
      <c r="B3615" s="253"/>
      <c r="C3615" s="263"/>
      <c r="D3615" s="261"/>
      <c r="E3615" s="256"/>
      <c r="F3615" s="257"/>
      <c r="G3615" s="258"/>
      <c r="H3615" s="259"/>
      <c r="I3615" s="541">
        <f t="shared" si="68"/>
        <v>93341.371428571336</v>
      </c>
    </row>
    <row r="3616" spans="2:9" ht="17" customHeight="1">
      <c r="B3616" s="253"/>
      <c r="C3616" s="263"/>
      <c r="D3616" s="261"/>
      <c r="E3616" s="256"/>
      <c r="F3616" s="257"/>
      <c r="G3616" s="258"/>
      <c r="H3616" s="259"/>
      <c r="I3616" s="541">
        <f t="shared" si="68"/>
        <v>93341.371428571336</v>
      </c>
    </row>
    <row r="3617" spans="2:9" ht="17" customHeight="1">
      <c r="B3617" s="253"/>
      <c r="C3617" s="263"/>
      <c r="D3617" s="261"/>
      <c r="E3617" s="256"/>
      <c r="F3617" s="257"/>
      <c r="G3617" s="258"/>
      <c r="H3617" s="259"/>
      <c r="I3617" s="541">
        <f t="shared" si="68"/>
        <v>93341.371428571336</v>
      </c>
    </row>
    <row r="3618" spans="2:9" ht="17" customHeight="1">
      <c r="B3618" s="253"/>
      <c r="C3618" s="263"/>
      <c r="D3618" s="261"/>
      <c r="E3618" s="256"/>
      <c r="F3618" s="257"/>
      <c r="G3618" s="258"/>
      <c r="H3618" s="259"/>
      <c r="I3618" s="541">
        <f t="shared" si="68"/>
        <v>93341.371428571336</v>
      </c>
    </row>
    <row r="3619" spans="2:9" ht="17" customHeight="1">
      <c r="B3619" s="253"/>
      <c r="C3619" s="263"/>
      <c r="D3619" s="261"/>
      <c r="E3619" s="256"/>
      <c r="F3619" s="257"/>
      <c r="G3619" s="258"/>
      <c r="H3619" s="259"/>
      <c r="I3619" s="541">
        <f t="shared" si="68"/>
        <v>93341.371428571336</v>
      </c>
    </row>
    <row r="3620" spans="2:9" ht="17" customHeight="1">
      <c r="B3620" s="253"/>
      <c r="C3620" s="263"/>
      <c r="D3620" s="261"/>
      <c r="E3620" s="256"/>
      <c r="F3620" s="257"/>
      <c r="G3620" s="258"/>
      <c r="H3620" s="259"/>
      <c r="I3620" s="541">
        <f t="shared" si="68"/>
        <v>93341.371428571336</v>
      </c>
    </row>
    <row r="3621" spans="2:9" ht="17" customHeight="1">
      <c r="B3621" s="253"/>
      <c r="C3621" s="263"/>
      <c r="D3621" s="261"/>
      <c r="E3621" s="256"/>
      <c r="F3621" s="257"/>
      <c r="G3621" s="258"/>
      <c r="H3621" s="259"/>
      <c r="I3621" s="541">
        <f t="shared" si="68"/>
        <v>93341.371428571336</v>
      </c>
    </row>
    <row r="3622" spans="2:9" ht="17" customHeight="1">
      <c r="B3622" s="253"/>
      <c r="C3622" s="263"/>
      <c r="D3622" s="261"/>
      <c r="E3622" s="256"/>
      <c r="F3622" s="257"/>
      <c r="G3622" s="258"/>
      <c r="H3622" s="259"/>
      <c r="I3622" s="541">
        <f t="shared" si="68"/>
        <v>93341.371428571336</v>
      </c>
    </row>
    <row r="3623" spans="2:9" ht="17" customHeight="1">
      <c r="B3623" s="253"/>
      <c r="C3623" s="263"/>
      <c r="D3623" s="261"/>
      <c r="E3623" s="256"/>
      <c r="F3623" s="257"/>
      <c r="G3623" s="258"/>
      <c r="H3623" s="259"/>
      <c r="I3623" s="541">
        <f t="shared" si="68"/>
        <v>93341.371428571336</v>
      </c>
    </row>
    <row r="3624" spans="2:9" ht="17" customHeight="1">
      <c r="B3624" s="253"/>
      <c r="C3624" s="263"/>
      <c r="D3624" s="261"/>
      <c r="E3624" s="256"/>
      <c r="F3624" s="257"/>
      <c r="G3624" s="258"/>
      <c r="H3624" s="259"/>
      <c r="I3624" s="541">
        <f t="shared" si="68"/>
        <v>93341.371428571336</v>
      </c>
    </row>
    <row r="3625" spans="2:9" ht="17" customHeight="1">
      <c r="B3625" s="253"/>
      <c r="C3625" s="263"/>
      <c r="D3625" s="261"/>
      <c r="E3625" s="256"/>
      <c r="F3625" s="257"/>
      <c r="G3625" s="258"/>
      <c r="H3625" s="259"/>
      <c r="I3625" s="541">
        <f t="shared" si="68"/>
        <v>93341.371428571336</v>
      </c>
    </row>
    <row r="3626" spans="2:9" ht="17" customHeight="1">
      <c r="B3626" s="253"/>
      <c r="C3626" s="263"/>
      <c r="D3626" s="261"/>
      <c r="E3626" s="256"/>
      <c r="F3626" s="257"/>
      <c r="G3626" s="258"/>
      <c r="H3626" s="259"/>
      <c r="I3626" s="541">
        <f t="shared" si="68"/>
        <v>93341.371428571336</v>
      </c>
    </row>
    <row r="3627" spans="2:9" ht="17" customHeight="1">
      <c r="B3627" s="253"/>
      <c r="C3627" s="263"/>
      <c r="D3627" s="261"/>
      <c r="E3627" s="256"/>
      <c r="F3627" s="257"/>
      <c r="G3627" s="258"/>
      <c r="H3627" s="259"/>
      <c r="I3627" s="541">
        <f t="shared" si="68"/>
        <v>93341.371428571336</v>
      </c>
    </row>
    <row r="3628" spans="2:9" ht="17" customHeight="1">
      <c r="B3628" s="253"/>
      <c r="C3628" s="263"/>
      <c r="D3628" s="261"/>
      <c r="E3628" s="256"/>
      <c r="F3628" s="257"/>
      <c r="G3628" s="258"/>
      <c r="H3628" s="259"/>
      <c r="I3628" s="541">
        <f t="shared" si="68"/>
        <v>93341.371428571336</v>
      </c>
    </row>
    <row r="3629" spans="2:9" ht="17" customHeight="1">
      <c r="B3629" s="253"/>
      <c r="C3629" s="263"/>
      <c r="D3629" s="261"/>
      <c r="E3629" s="256"/>
      <c r="F3629" s="257"/>
      <c r="G3629" s="258"/>
      <c r="H3629" s="259"/>
      <c r="I3629" s="541">
        <f t="shared" si="68"/>
        <v>93341.371428571336</v>
      </c>
    </row>
    <row r="3630" spans="2:9" ht="17" customHeight="1">
      <c r="B3630" s="253"/>
      <c r="C3630" s="263"/>
      <c r="D3630" s="261"/>
      <c r="E3630" s="256"/>
      <c r="F3630" s="257"/>
      <c r="G3630" s="258"/>
      <c r="H3630" s="259"/>
      <c r="I3630" s="541">
        <f t="shared" si="68"/>
        <v>93341.371428571336</v>
      </c>
    </row>
    <row r="3631" spans="2:9" ht="17" customHeight="1">
      <c r="B3631" s="253"/>
      <c r="C3631" s="263"/>
      <c r="D3631" s="261"/>
      <c r="E3631" s="256"/>
      <c r="F3631" s="257"/>
      <c r="G3631" s="258"/>
      <c r="H3631" s="259"/>
      <c r="I3631" s="541">
        <f t="shared" si="68"/>
        <v>93341.371428571336</v>
      </c>
    </row>
    <row r="3632" spans="2:9" ht="17" customHeight="1">
      <c r="B3632" s="253"/>
      <c r="C3632" s="263"/>
      <c r="D3632" s="261"/>
      <c r="E3632" s="256"/>
      <c r="F3632" s="257"/>
      <c r="G3632" s="258"/>
      <c r="H3632" s="259"/>
      <c r="I3632" s="541">
        <f t="shared" si="68"/>
        <v>93341.371428571336</v>
      </c>
    </row>
    <row r="3633" spans="1:9" ht="17" customHeight="1">
      <c r="B3633" s="253"/>
      <c r="C3633" s="263"/>
      <c r="D3633" s="261"/>
      <c r="E3633" s="256"/>
      <c r="F3633" s="257"/>
      <c r="G3633" s="258"/>
      <c r="H3633" s="259"/>
      <c r="I3633" s="541">
        <f t="shared" si="68"/>
        <v>93341.371428571336</v>
      </c>
    </row>
    <row r="3634" spans="1:9" ht="17" customHeight="1">
      <c r="B3634" s="253"/>
      <c r="C3634" s="263"/>
      <c r="D3634" s="261"/>
      <c r="E3634" s="256"/>
      <c r="F3634" s="257"/>
      <c r="G3634" s="258"/>
      <c r="H3634" s="259"/>
      <c r="I3634" s="541">
        <f t="shared" si="68"/>
        <v>93341.371428571336</v>
      </c>
    </row>
    <row r="3635" spans="1:9" ht="17" customHeight="1">
      <c r="B3635" s="253"/>
      <c r="C3635" s="263"/>
      <c r="D3635" s="261"/>
      <c r="E3635" s="256"/>
      <c r="F3635" s="257"/>
      <c r="G3635" s="258"/>
      <c r="H3635" s="259"/>
      <c r="I3635" s="541">
        <f t="shared" si="68"/>
        <v>93341.371428571336</v>
      </c>
    </row>
    <row r="3636" spans="1:9" ht="17" customHeight="1">
      <c r="B3636" s="253"/>
      <c r="C3636" s="263"/>
      <c r="D3636" s="261"/>
      <c r="E3636" s="256"/>
      <c r="F3636" s="257"/>
      <c r="G3636" s="258"/>
      <c r="H3636" s="259"/>
      <c r="I3636" s="541">
        <f t="shared" si="68"/>
        <v>93341.371428571336</v>
      </c>
    </row>
    <row r="3637" spans="1:9" ht="17" customHeight="1">
      <c r="B3637" s="253"/>
      <c r="C3637" s="263"/>
      <c r="D3637" s="261"/>
      <c r="E3637" s="256"/>
      <c r="F3637" s="257"/>
      <c r="G3637" s="258"/>
      <c r="H3637" s="259"/>
      <c r="I3637" s="541">
        <f t="shared" si="68"/>
        <v>93341.371428571336</v>
      </c>
    </row>
    <row r="3638" spans="1:9" ht="17" customHeight="1">
      <c r="B3638" s="253"/>
      <c r="C3638" s="263"/>
      <c r="D3638" s="261"/>
      <c r="E3638" s="256"/>
      <c r="F3638" s="257"/>
      <c r="G3638" s="258"/>
      <c r="H3638" s="259"/>
      <c r="I3638" s="541">
        <f t="shared" si="68"/>
        <v>93341.371428571336</v>
      </c>
    </row>
    <row r="3639" spans="1:9" ht="17" customHeight="1">
      <c r="B3639" s="253"/>
      <c r="C3639" s="263"/>
      <c r="D3639" s="261"/>
      <c r="E3639" s="256"/>
      <c r="F3639" s="257"/>
      <c r="G3639" s="258"/>
      <c r="H3639" s="259"/>
      <c r="I3639" s="541">
        <f t="shared" si="68"/>
        <v>93341.371428571336</v>
      </c>
    </row>
    <row r="3640" spans="1:9" s="232" customFormat="1" ht="17" customHeight="1">
      <c r="A3640" s="234"/>
      <c r="B3640" s="253"/>
      <c r="C3640" s="263"/>
      <c r="D3640" s="261"/>
      <c r="E3640" s="256"/>
      <c r="F3640" s="257"/>
      <c r="G3640" s="258"/>
      <c r="H3640" s="238"/>
      <c r="I3640" s="237"/>
    </row>
    <row r="3641" spans="1:9" s="232" customFormat="1" ht="17" customHeight="1">
      <c r="A3641" s="234"/>
      <c r="B3641" s="233"/>
      <c r="C3641" s="238"/>
      <c r="E3641" s="545"/>
      <c r="F3641" s="546"/>
      <c r="G3641" s="234"/>
      <c r="H3641" s="238"/>
      <c r="I3641" s="237"/>
    </row>
    <row r="3642" spans="1:9" s="232" customFormat="1" ht="17" customHeight="1">
      <c r="A3642" s="234"/>
      <c r="B3642" s="233"/>
      <c r="C3642" s="238"/>
      <c r="E3642" s="545"/>
      <c r="F3642" s="546"/>
      <c r="G3642" s="234"/>
      <c r="H3642" s="238"/>
      <c r="I3642" s="237"/>
    </row>
    <row r="3643" spans="1:9" s="232" customFormat="1" ht="17" customHeight="1">
      <c r="A3643" s="234"/>
      <c r="B3643" s="233"/>
      <c r="C3643" s="238"/>
      <c r="E3643" s="545"/>
      <c r="F3643" s="546"/>
      <c r="G3643" s="234"/>
      <c r="H3643" s="238"/>
      <c r="I3643" s="237"/>
    </row>
    <row r="3644" spans="1:9" s="232" customFormat="1" ht="17" customHeight="1">
      <c r="A3644" s="234"/>
      <c r="B3644" s="233"/>
      <c r="C3644" s="238"/>
      <c r="E3644" s="545"/>
      <c r="F3644" s="546"/>
      <c r="G3644" s="234"/>
      <c r="H3644" s="238"/>
      <c r="I3644" s="237"/>
    </row>
    <row r="3645" spans="1:9" s="232" customFormat="1" ht="17" customHeight="1">
      <c r="A3645" s="234"/>
      <c r="B3645" s="233"/>
      <c r="C3645" s="238"/>
      <c r="E3645" s="545"/>
      <c r="F3645" s="546"/>
      <c r="G3645" s="234"/>
      <c r="H3645" s="238"/>
      <c r="I3645" s="237"/>
    </row>
    <row r="3646" spans="1:9" s="232" customFormat="1" ht="17" customHeight="1">
      <c r="A3646" s="234"/>
      <c r="B3646" s="233"/>
      <c r="C3646" s="238"/>
      <c r="E3646" s="545"/>
      <c r="F3646" s="546"/>
      <c r="G3646" s="234"/>
      <c r="H3646" s="238"/>
      <c r="I3646" s="237"/>
    </row>
    <row r="3647" spans="1:9" s="232" customFormat="1" ht="17" customHeight="1">
      <c r="A3647" s="234"/>
      <c r="B3647" s="233"/>
      <c r="C3647" s="238"/>
      <c r="E3647" s="545"/>
      <c r="F3647" s="546"/>
      <c r="G3647" s="234"/>
      <c r="H3647" s="238"/>
      <c r="I3647" s="237"/>
    </row>
    <row r="3648" spans="1:9" s="232" customFormat="1" ht="17" customHeight="1">
      <c r="A3648" s="234"/>
      <c r="B3648" s="233"/>
      <c r="C3648" s="238"/>
      <c r="E3648" s="545"/>
      <c r="F3648" s="546"/>
      <c r="G3648" s="234"/>
      <c r="H3648" s="238"/>
      <c r="I3648" s="237"/>
    </row>
    <row r="3649" spans="1:9" s="232" customFormat="1" ht="17" customHeight="1">
      <c r="A3649" s="234"/>
      <c r="B3649" s="233"/>
      <c r="C3649" s="238"/>
      <c r="E3649" s="545"/>
      <c r="F3649" s="546"/>
      <c r="G3649" s="234"/>
      <c r="H3649" s="238"/>
      <c r="I3649" s="237"/>
    </row>
    <row r="3650" spans="1:9" s="232" customFormat="1" ht="17" customHeight="1">
      <c r="A3650" s="234"/>
      <c r="B3650" s="233"/>
      <c r="C3650" s="238"/>
      <c r="E3650" s="545"/>
      <c r="F3650" s="546"/>
      <c r="G3650" s="234"/>
      <c r="H3650" s="238"/>
      <c r="I3650" s="237"/>
    </row>
    <row r="3651" spans="1:9" s="232" customFormat="1" ht="17" customHeight="1">
      <c r="A3651" s="234"/>
      <c r="B3651" s="233"/>
      <c r="C3651" s="238"/>
      <c r="E3651" s="545"/>
      <c r="F3651" s="546"/>
      <c r="G3651" s="234"/>
      <c r="H3651" s="238"/>
      <c r="I3651" s="237"/>
    </row>
    <row r="3652" spans="1:9" s="232" customFormat="1" ht="17" customHeight="1">
      <c r="A3652" s="234"/>
      <c r="B3652" s="233"/>
      <c r="C3652" s="238"/>
      <c r="E3652" s="545"/>
      <c r="F3652" s="546"/>
      <c r="G3652" s="234"/>
      <c r="H3652" s="238"/>
      <c r="I3652" s="237"/>
    </row>
    <row r="3653" spans="1:9" s="232" customFormat="1" ht="17" customHeight="1">
      <c r="A3653" s="234"/>
      <c r="B3653" s="233"/>
      <c r="C3653" s="238"/>
      <c r="E3653" s="545"/>
      <c r="F3653" s="546"/>
      <c r="G3653" s="234"/>
      <c r="H3653" s="238"/>
      <c r="I3653" s="237"/>
    </row>
    <row r="3654" spans="1:9" s="232" customFormat="1" ht="17" customHeight="1">
      <c r="A3654" s="234"/>
      <c r="B3654" s="233"/>
      <c r="C3654" s="238"/>
      <c r="E3654" s="545"/>
      <c r="F3654" s="546"/>
      <c r="G3654" s="234"/>
      <c r="H3654" s="238"/>
      <c r="I3654" s="237"/>
    </row>
    <row r="3655" spans="1:9" s="232" customFormat="1" ht="17" customHeight="1">
      <c r="A3655" s="234"/>
      <c r="B3655" s="233"/>
      <c r="C3655" s="238"/>
      <c r="E3655" s="545"/>
      <c r="F3655" s="546"/>
      <c r="G3655" s="234"/>
      <c r="H3655" s="238"/>
      <c r="I3655" s="237"/>
    </row>
    <row r="3656" spans="1:9" s="232" customFormat="1" ht="17" customHeight="1">
      <c r="A3656" s="234"/>
      <c r="B3656" s="233"/>
      <c r="C3656" s="238"/>
      <c r="E3656" s="545"/>
      <c r="F3656" s="546"/>
      <c r="G3656" s="234"/>
      <c r="H3656" s="238"/>
      <c r="I3656" s="237"/>
    </row>
    <row r="3657" spans="1:9" s="232" customFormat="1" ht="17" customHeight="1">
      <c r="A3657" s="234"/>
      <c r="B3657" s="233"/>
      <c r="C3657" s="238"/>
      <c r="E3657" s="545"/>
      <c r="F3657" s="546"/>
      <c r="G3657" s="234"/>
      <c r="H3657" s="238"/>
      <c r="I3657" s="237"/>
    </row>
    <row r="3658" spans="1:9" s="232" customFormat="1" ht="17" customHeight="1">
      <c r="A3658" s="234"/>
      <c r="B3658" s="233"/>
      <c r="C3658" s="238"/>
      <c r="E3658" s="545"/>
      <c r="F3658" s="546"/>
      <c r="G3658" s="234"/>
      <c r="H3658" s="238"/>
      <c r="I3658" s="237"/>
    </row>
    <row r="3659" spans="1:9" s="232" customFormat="1" ht="17" customHeight="1">
      <c r="A3659" s="234"/>
      <c r="B3659" s="233"/>
      <c r="C3659" s="238"/>
      <c r="E3659" s="545"/>
      <c r="F3659" s="546"/>
      <c r="G3659" s="234"/>
      <c r="H3659" s="238"/>
      <c r="I3659" s="237"/>
    </row>
    <row r="3660" spans="1:9" s="232" customFormat="1" ht="17" customHeight="1">
      <c r="A3660" s="234"/>
      <c r="B3660" s="233"/>
      <c r="C3660" s="238"/>
      <c r="E3660" s="545"/>
      <c r="F3660" s="546"/>
      <c r="G3660" s="234"/>
      <c r="H3660" s="238"/>
      <c r="I3660" s="237"/>
    </row>
    <row r="3661" spans="1:9" s="232" customFormat="1" ht="17" customHeight="1">
      <c r="A3661" s="234"/>
      <c r="B3661" s="233"/>
      <c r="C3661" s="238"/>
      <c r="E3661" s="545"/>
      <c r="F3661" s="546"/>
      <c r="G3661" s="234"/>
      <c r="H3661" s="238"/>
      <c r="I3661" s="237"/>
    </row>
    <row r="3662" spans="1:9" s="232" customFormat="1" ht="17" customHeight="1">
      <c r="A3662" s="234"/>
      <c r="B3662" s="233"/>
      <c r="C3662" s="238"/>
      <c r="E3662" s="545"/>
      <c r="F3662" s="546"/>
      <c r="G3662" s="234"/>
      <c r="H3662" s="238"/>
      <c r="I3662" s="237"/>
    </row>
    <row r="3663" spans="1:9" s="232" customFormat="1" ht="17" customHeight="1">
      <c r="A3663" s="234"/>
      <c r="B3663" s="233"/>
      <c r="C3663" s="238"/>
      <c r="E3663" s="545"/>
      <c r="F3663" s="546"/>
      <c r="G3663" s="234"/>
      <c r="H3663" s="238"/>
      <c r="I3663" s="237"/>
    </row>
    <row r="3664" spans="1:9" s="232" customFormat="1" ht="17" customHeight="1">
      <c r="A3664" s="234"/>
      <c r="B3664" s="233"/>
      <c r="C3664" s="238"/>
      <c r="E3664" s="545"/>
      <c r="F3664" s="546"/>
      <c r="G3664" s="234"/>
      <c r="H3664" s="238"/>
      <c r="I3664" s="237"/>
    </row>
    <row r="3665" spans="1:9" s="232" customFormat="1" ht="17" customHeight="1">
      <c r="A3665" s="234"/>
      <c r="B3665" s="233"/>
      <c r="C3665" s="238"/>
      <c r="E3665" s="545"/>
      <c r="F3665" s="546"/>
      <c r="G3665" s="234"/>
      <c r="H3665" s="238"/>
      <c r="I3665" s="237"/>
    </row>
    <row r="3666" spans="1:9" s="232" customFormat="1" ht="17" customHeight="1">
      <c r="A3666" s="234"/>
      <c r="B3666" s="233"/>
      <c r="C3666" s="238"/>
      <c r="E3666" s="545"/>
      <c r="F3666" s="546"/>
      <c r="G3666" s="234"/>
      <c r="H3666" s="238"/>
      <c r="I3666" s="237"/>
    </row>
    <row r="3667" spans="1:9" s="232" customFormat="1" ht="17" customHeight="1">
      <c r="A3667" s="234"/>
      <c r="B3667" s="233"/>
      <c r="C3667" s="238"/>
      <c r="E3667" s="545"/>
      <c r="F3667" s="546"/>
      <c r="G3667" s="234"/>
      <c r="H3667" s="238"/>
      <c r="I3667" s="237"/>
    </row>
    <row r="3668" spans="1:9" s="232" customFormat="1" ht="17" customHeight="1">
      <c r="A3668" s="234"/>
      <c r="B3668" s="233"/>
      <c r="C3668" s="238"/>
      <c r="E3668" s="545"/>
      <c r="F3668" s="546"/>
      <c r="G3668" s="234"/>
      <c r="H3668" s="238"/>
      <c r="I3668" s="237"/>
    </row>
    <row r="3669" spans="1:9" s="232" customFormat="1" ht="17" customHeight="1">
      <c r="A3669" s="234"/>
      <c r="B3669" s="233"/>
      <c r="C3669" s="238"/>
      <c r="E3669" s="545"/>
      <c r="F3669" s="546"/>
      <c r="G3669" s="234"/>
      <c r="H3669" s="238"/>
      <c r="I3669" s="237"/>
    </row>
    <row r="3670" spans="1:9" s="232" customFormat="1" ht="17" customHeight="1">
      <c r="A3670" s="234"/>
      <c r="B3670" s="233"/>
      <c r="C3670" s="238"/>
      <c r="E3670" s="545"/>
      <c r="F3670" s="546"/>
      <c r="G3670" s="234"/>
      <c r="H3670" s="238"/>
      <c r="I3670" s="237"/>
    </row>
    <row r="3671" spans="1:9" s="232" customFormat="1" ht="17" customHeight="1">
      <c r="A3671" s="234"/>
      <c r="B3671" s="233"/>
      <c r="C3671" s="238"/>
      <c r="E3671" s="545"/>
      <c r="F3671" s="546"/>
      <c r="G3671" s="234"/>
      <c r="H3671" s="238"/>
      <c r="I3671" s="237"/>
    </row>
    <row r="3672" spans="1:9" s="232" customFormat="1" ht="17" customHeight="1">
      <c r="A3672" s="234"/>
      <c r="B3672" s="233"/>
      <c r="C3672" s="238"/>
      <c r="E3672" s="545"/>
      <c r="F3672" s="546"/>
      <c r="G3672" s="234"/>
      <c r="H3672" s="238"/>
      <c r="I3672" s="237"/>
    </row>
    <row r="3673" spans="1:9" s="232" customFormat="1" ht="17" customHeight="1">
      <c r="A3673" s="234"/>
      <c r="B3673" s="233"/>
      <c r="C3673" s="238"/>
      <c r="E3673" s="545"/>
      <c r="F3673" s="546"/>
      <c r="G3673" s="234"/>
      <c r="H3673" s="238"/>
      <c r="I3673" s="237"/>
    </row>
    <row r="3674" spans="1:9" s="232" customFormat="1" ht="17" customHeight="1">
      <c r="A3674" s="234"/>
      <c r="B3674" s="233"/>
      <c r="C3674" s="238"/>
      <c r="E3674" s="545"/>
      <c r="F3674" s="546"/>
      <c r="G3674" s="234"/>
      <c r="H3674" s="238"/>
      <c r="I3674" s="237"/>
    </row>
    <row r="3675" spans="1:9" s="232" customFormat="1" ht="17" customHeight="1">
      <c r="A3675" s="234"/>
      <c r="B3675" s="233"/>
      <c r="C3675" s="238"/>
      <c r="E3675" s="545"/>
      <c r="F3675" s="546"/>
      <c r="G3675" s="234"/>
      <c r="H3675" s="238"/>
      <c r="I3675" s="237"/>
    </row>
    <row r="3676" spans="1:9" s="232" customFormat="1" ht="17" customHeight="1">
      <c r="A3676" s="234"/>
      <c r="B3676" s="233"/>
      <c r="C3676" s="238"/>
      <c r="E3676" s="545"/>
      <c r="F3676" s="546"/>
      <c r="G3676" s="234"/>
      <c r="H3676" s="238"/>
      <c r="I3676" s="237"/>
    </row>
    <row r="3677" spans="1:9" s="232" customFormat="1" ht="17" customHeight="1">
      <c r="A3677" s="234"/>
      <c r="B3677" s="233"/>
      <c r="C3677" s="238"/>
      <c r="E3677" s="545"/>
      <c r="F3677" s="546"/>
      <c r="G3677" s="234"/>
      <c r="H3677" s="238"/>
      <c r="I3677" s="237"/>
    </row>
    <row r="3678" spans="1:9" s="232" customFormat="1" ht="17" customHeight="1">
      <c r="A3678" s="234"/>
      <c r="B3678" s="233"/>
      <c r="C3678" s="238"/>
      <c r="E3678" s="545"/>
      <c r="F3678" s="546"/>
      <c r="G3678" s="234"/>
      <c r="H3678" s="238"/>
      <c r="I3678" s="237"/>
    </row>
    <row r="3679" spans="1:9" s="232" customFormat="1" ht="17" customHeight="1">
      <c r="A3679" s="234"/>
      <c r="B3679" s="233"/>
      <c r="C3679" s="238"/>
      <c r="E3679" s="545"/>
      <c r="F3679" s="546"/>
      <c r="G3679" s="234"/>
      <c r="H3679" s="238"/>
      <c r="I3679" s="237"/>
    </row>
    <row r="3680" spans="1:9" s="232" customFormat="1" ht="17" customHeight="1">
      <c r="A3680" s="234"/>
      <c r="B3680" s="233"/>
      <c r="C3680" s="238"/>
      <c r="E3680" s="545"/>
      <c r="F3680" s="546"/>
      <c r="G3680" s="234"/>
      <c r="H3680" s="238"/>
      <c r="I3680" s="237"/>
    </row>
    <row r="3681" spans="1:9" s="232" customFormat="1" ht="17" customHeight="1">
      <c r="A3681" s="234"/>
      <c r="B3681" s="233"/>
      <c r="C3681" s="238"/>
      <c r="E3681" s="545"/>
      <c r="F3681" s="546"/>
      <c r="G3681" s="234"/>
      <c r="H3681" s="238"/>
      <c r="I3681" s="237"/>
    </row>
    <row r="3682" spans="1:9" s="232" customFormat="1" ht="17" customHeight="1">
      <c r="A3682" s="234"/>
      <c r="B3682" s="233"/>
      <c r="C3682" s="238"/>
      <c r="E3682" s="545"/>
      <c r="F3682" s="546"/>
      <c r="G3682" s="234"/>
      <c r="H3682" s="238"/>
      <c r="I3682" s="237"/>
    </row>
    <row r="3683" spans="1:9" s="232" customFormat="1" ht="17" customHeight="1">
      <c r="A3683" s="234"/>
      <c r="B3683" s="233"/>
      <c r="C3683" s="238"/>
      <c r="E3683" s="545"/>
      <c r="F3683" s="546"/>
      <c r="G3683" s="234"/>
      <c r="H3683" s="238"/>
      <c r="I3683" s="237"/>
    </row>
    <row r="3684" spans="1:9" s="232" customFormat="1" ht="17" customHeight="1">
      <c r="A3684" s="234"/>
      <c r="B3684" s="233"/>
      <c r="C3684" s="238"/>
      <c r="E3684" s="545"/>
      <c r="F3684" s="546"/>
      <c r="G3684" s="234"/>
      <c r="H3684" s="238"/>
      <c r="I3684" s="237"/>
    </row>
    <row r="3685" spans="1:9" s="232" customFormat="1" ht="17" customHeight="1">
      <c r="A3685" s="234"/>
      <c r="B3685" s="233"/>
      <c r="C3685" s="238"/>
      <c r="E3685" s="545"/>
      <c r="F3685" s="546"/>
      <c r="G3685" s="234"/>
      <c r="H3685" s="238"/>
      <c r="I3685" s="237"/>
    </row>
    <row r="3686" spans="1:9" s="232" customFormat="1" ht="17" customHeight="1">
      <c r="A3686" s="234"/>
      <c r="B3686" s="233"/>
      <c r="C3686" s="238"/>
      <c r="E3686" s="545"/>
      <c r="F3686" s="546"/>
      <c r="G3686" s="234"/>
      <c r="H3686" s="238"/>
      <c r="I3686" s="237"/>
    </row>
    <row r="3687" spans="1:9" s="232" customFormat="1" ht="17" customHeight="1">
      <c r="A3687" s="234"/>
      <c r="B3687" s="233"/>
      <c r="C3687" s="238"/>
      <c r="E3687" s="545"/>
      <c r="F3687" s="546"/>
      <c r="G3687" s="234"/>
      <c r="H3687" s="238"/>
      <c r="I3687" s="237"/>
    </row>
    <row r="3688" spans="1:9" s="232" customFormat="1" ht="17" customHeight="1">
      <c r="A3688" s="234"/>
      <c r="B3688" s="233"/>
      <c r="C3688" s="238"/>
      <c r="E3688" s="545"/>
      <c r="F3688" s="546"/>
      <c r="G3688" s="234"/>
      <c r="H3688" s="238"/>
      <c r="I3688" s="237"/>
    </row>
    <row r="3689" spans="1:9" s="232" customFormat="1" ht="17" customHeight="1">
      <c r="A3689" s="234"/>
      <c r="B3689" s="233"/>
      <c r="C3689" s="238"/>
      <c r="E3689" s="545"/>
      <c r="F3689" s="546"/>
      <c r="G3689" s="234"/>
      <c r="H3689" s="238"/>
      <c r="I3689" s="237"/>
    </row>
    <row r="3690" spans="1:9" s="232" customFormat="1" ht="17" customHeight="1">
      <c r="A3690" s="234"/>
      <c r="B3690" s="233"/>
      <c r="C3690" s="238"/>
      <c r="E3690" s="545"/>
      <c r="F3690" s="546"/>
      <c r="G3690" s="234"/>
      <c r="H3690" s="238"/>
      <c r="I3690" s="237"/>
    </row>
    <row r="3691" spans="1:9" s="232" customFormat="1" ht="17" customHeight="1">
      <c r="A3691" s="234"/>
      <c r="B3691" s="233"/>
      <c r="C3691" s="238"/>
      <c r="E3691" s="545"/>
      <c r="F3691" s="546"/>
      <c r="G3691" s="234"/>
      <c r="H3691" s="238"/>
      <c r="I3691" s="237"/>
    </row>
    <row r="3692" spans="1:9" s="232" customFormat="1" ht="17" customHeight="1">
      <c r="A3692" s="234"/>
      <c r="B3692" s="233"/>
      <c r="C3692" s="238"/>
      <c r="E3692" s="545"/>
      <c r="F3692" s="546"/>
      <c r="G3692" s="234"/>
      <c r="H3692" s="238"/>
      <c r="I3692" s="237"/>
    </row>
    <row r="3693" spans="1:9" s="232" customFormat="1" ht="17" customHeight="1">
      <c r="A3693" s="234"/>
      <c r="B3693" s="233"/>
      <c r="C3693" s="238"/>
      <c r="E3693" s="545"/>
      <c r="F3693" s="546"/>
      <c r="G3693" s="234"/>
      <c r="H3693" s="238"/>
      <c r="I3693" s="237"/>
    </row>
    <row r="3694" spans="1:9" s="232" customFormat="1" ht="17" customHeight="1">
      <c r="A3694" s="234"/>
      <c r="B3694" s="233"/>
      <c r="C3694" s="238"/>
      <c r="E3694" s="545"/>
      <c r="F3694" s="546"/>
      <c r="G3694" s="234"/>
      <c r="H3694" s="238"/>
      <c r="I3694" s="237"/>
    </row>
    <row r="3695" spans="1:9" s="232" customFormat="1" ht="17" customHeight="1">
      <c r="A3695" s="234"/>
      <c r="B3695" s="233"/>
      <c r="C3695" s="238"/>
      <c r="E3695" s="545"/>
      <c r="F3695" s="546"/>
      <c r="G3695" s="234"/>
      <c r="H3695" s="238"/>
      <c r="I3695" s="237"/>
    </row>
    <row r="3696" spans="1:9" s="232" customFormat="1" ht="17" customHeight="1">
      <c r="A3696" s="234"/>
      <c r="B3696" s="233"/>
      <c r="C3696" s="238"/>
      <c r="E3696" s="545"/>
      <c r="F3696" s="546"/>
      <c r="G3696" s="234"/>
      <c r="H3696" s="238"/>
      <c r="I3696" s="237"/>
    </row>
    <row r="3697" spans="1:9" s="232" customFormat="1" ht="17" customHeight="1">
      <c r="A3697" s="234"/>
      <c r="B3697" s="233"/>
      <c r="C3697" s="238"/>
      <c r="E3697" s="545"/>
      <c r="F3697" s="546"/>
      <c r="G3697" s="234"/>
      <c r="H3697" s="238"/>
      <c r="I3697" s="237"/>
    </row>
    <row r="3698" spans="1:9" s="232" customFormat="1" ht="17" customHeight="1">
      <c r="A3698" s="234"/>
      <c r="B3698" s="233"/>
      <c r="C3698" s="238"/>
      <c r="E3698" s="545"/>
      <c r="F3698" s="546"/>
      <c r="G3698" s="234"/>
      <c r="H3698" s="238"/>
      <c r="I3698" s="237"/>
    </row>
    <row r="3699" spans="1:9" s="232" customFormat="1" ht="17" customHeight="1">
      <c r="A3699" s="234"/>
      <c r="B3699" s="233"/>
      <c r="C3699" s="238"/>
      <c r="E3699" s="545"/>
      <c r="F3699" s="546"/>
      <c r="G3699" s="234"/>
      <c r="H3699" s="238"/>
      <c r="I3699" s="237"/>
    </row>
    <row r="3700" spans="1:9" s="232" customFormat="1" ht="17" customHeight="1">
      <c r="A3700" s="234"/>
      <c r="B3700" s="233"/>
      <c r="C3700" s="238"/>
      <c r="E3700" s="545"/>
      <c r="F3700" s="546"/>
      <c r="G3700" s="234"/>
      <c r="H3700" s="238"/>
      <c r="I3700" s="237"/>
    </row>
    <row r="3701" spans="1:9" s="232" customFormat="1" ht="17" customHeight="1">
      <c r="A3701" s="234"/>
      <c r="B3701" s="233"/>
      <c r="C3701" s="238"/>
      <c r="E3701" s="545"/>
      <c r="F3701" s="546"/>
      <c r="G3701" s="234"/>
      <c r="H3701" s="238"/>
      <c r="I3701" s="237"/>
    </row>
    <row r="3702" spans="1:9" s="232" customFormat="1" ht="17" customHeight="1">
      <c r="A3702" s="234"/>
      <c r="B3702" s="233"/>
      <c r="C3702" s="238"/>
      <c r="E3702" s="545"/>
      <c r="F3702" s="546"/>
      <c r="G3702" s="234"/>
      <c r="H3702" s="238"/>
      <c r="I3702" s="237"/>
    </row>
    <row r="3703" spans="1:9" s="232" customFormat="1" ht="17" customHeight="1">
      <c r="A3703" s="234"/>
      <c r="B3703" s="233"/>
      <c r="C3703" s="238"/>
      <c r="E3703" s="545"/>
      <c r="F3703" s="546"/>
      <c r="G3703" s="234"/>
      <c r="H3703" s="238"/>
      <c r="I3703" s="237"/>
    </row>
    <row r="3704" spans="1:9" s="232" customFormat="1" ht="17" customHeight="1">
      <c r="A3704" s="234"/>
      <c r="B3704" s="233"/>
      <c r="C3704" s="238"/>
      <c r="E3704" s="545"/>
      <c r="F3704" s="546"/>
      <c r="G3704" s="234"/>
      <c r="H3704" s="238"/>
      <c r="I3704" s="237"/>
    </row>
    <row r="3705" spans="1:9" s="232" customFormat="1" ht="17" customHeight="1">
      <c r="A3705" s="234"/>
      <c r="B3705" s="233"/>
      <c r="C3705" s="238"/>
      <c r="E3705" s="545"/>
      <c r="F3705" s="546"/>
      <c r="G3705" s="234"/>
      <c r="H3705" s="238"/>
      <c r="I3705" s="237"/>
    </row>
    <row r="3706" spans="1:9" s="232" customFormat="1" ht="17" customHeight="1">
      <c r="A3706" s="234"/>
      <c r="B3706" s="233"/>
      <c r="C3706" s="238"/>
      <c r="E3706" s="545"/>
      <c r="F3706" s="546"/>
      <c r="G3706" s="234"/>
      <c r="H3706" s="238"/>
      <c r="I3706" s="237"/>
    </row>
    <row r="3707" spans="1:9" s="232" customFormat="1" ht="17" customHeight="1">
      <c r="A3707" s="234"/>
      <c r="B3707" s="233"/>
      <c r="C3707" s="238"/>
      <c r="E3707" s="545"/>
      <c r="F3707" s="546"/>
      <c r="G3707" s="234"/>
      <c r="H3707" s="238"/>
      <c r="I3707" s="237"/>
    </row>
    <row r="3708" spans="1:9" s="232" customFormat="1" ht="17" customHeight="1">
      <c r="A3708" s="234"/>
      <c r="B3708" s="233"/>
      <c r="C3708" s="238"/>
      <c r="E3708" s="545"/>
      <c r="F3708" s="546"/>
      <c r="G3708" s="234"/>
      <c r="H3708" s="238"/>
      <c r="I3708" s="237"/>
    </row>
    <row r="3709" spans="1:9" s="232" customFormat="1" ht="17" customHeight="1">
      <c r="A3709" s="234"/>
      <c r="B3709" s="233"/>
      <c r="C3709" s="238"/>
      <c r="E3709" s="545"/>
      <c r="F3709" s="546"/>
      <c r="G3709" s="234"/>
      <c r="H3709" s="238"/>
      <c r="I3709" s="237"/>
    </row>
    <row r="3710" spans="1:9" s="232" customFormat="1" ht="17" customHeight="1">
      <c r="A3710" s="234"/>
      <c r="B3710" s="233"/>
      <c r="C3710" s="238"/>
      <c r="E3710" s="545"/>
      <c r="F3710" s="546"/>
      <c r="G3710" s="234"/>
      <c r="H3710" s="238"/>
      <c r="I3710" s="237"/>
    </row>
    <row r="3711" spans="1:9" s="232" customFormat="1" ht="17" customHeight="1">
      <c r="A3711" s="234"/>
      <c r="B3711" s="233"/>
      <c r="C3711" s="238"/>
      <c r="E3711" s="545"/>
      <c r="F3711" s="546"/>
      <c r="G3711" s="234"/>
      <c r="H3711" s="238"/>
      <c r="I3711" s="237"/>
    </row>
    <row r="3712" spans="1:9" s="232" customFormat="1" ht="17" customHeight="1">
      <c r="A3712" s="234"/>
      <c r="B3712" s="233"/>
      <c r="C3712" s="238"/>
      <c r="E3712" s="545"/>
      <c r="F3712" s="546"/>
      <c r="G3712" s="234"/>
      <c r="H3712" s="238"/>
      <c r="I3712" s="237"/>
    </row>
    <row r="3713" spans="1:9" s="232" customFormat="1" ht="17" customHeight="1">
      <c r="A3713" s="234"/>
      <c r="B3713" s="233"/>
      <c r="C3713" s="238"/>
      <c r="E3713" s="545"/>
      <c r="F3713" s="546"/>
      <c r="G3713" s="234"/>
      <c r="H3713" s="238"/>
      <c r="I3713" s="237"/>
    </row>
    <row r="3714" spans="1:9" s="232" customFormat="1" ht="17" customHeight="1">
      <c r="A3714" s="234"/>
      <c r="B3714" s="233"/>
      <c r="C3714" s="238"/>
      <c r="E3714" s="545"/>
      <c r="F3714" s="546"/>
      <c r="G3714" s="234"/>
      <c r="H3714" s="238"/>
      <c r="I3714" s="237"/>
    </row>
    <row r="3715" spans="1:9" s="232" customFormat="1" ht="17" customHeight="1">
      <c r="A3715" s="234"/>
      <c r="B3715" s="233"/>
      <c r="C3715" s="238"/>
      <c r="E3715" s="545"/>
      <c r="F3715" s="546"/>
      <c r="G3715" s="234"/>
      <c r="H3715" s="238"/>
      <c r="I3715" s="237"/>
    </row>
    <row r="3716" spans="1:9" s="232" customFormat="1" ht="17" customHeight="1">
      <c r="A3716" s="234"/>
      <c r="B3716" s="233"/>
      <c r="C3716" s="238"/>
      <c r="E3716" s="545"/>
      <c r="F3716" s="546"/>
      <c r="G3716" s="234"/>
      <c r="H3716" s="238"/>
      <c r="I3716" s="237"/>
    </row>
    <row r="3717" spans="1:9" s="232" customFormat="1" ht="17" customHeight="1">
      <c r="A3717" s="234"/>
      <c r="B3717" s="233"/>
      <c r="C3717" s="238"/>
      <c r="E3717" s="545"/>
      <c r="F3717" s="546"/>
      <c r="G3717" s="234"/>
      <c r="H3717" s="238"/>
      <c r="I3717" s="237"/>
    </row>
    <row r="3718" spans="1:9" s="232" customFormat="1" ht="17" customHeight="1">
      <c r="A3718" s="234"/>
      <c r="B3718" s="233"/>
      <c r="C3718" s="238"/>
      <c r="E3718" s="545"/>
      <c r="F3718" s="546"/>
      <c r="G3718" s="234"/>
      <c r="H3718" s="238"/>
      <c r="I3718" s="237"/>
    </row>
    <row r="3719" spans="1:9" s="232" customFormat="1" ht="17" customHeight="1">
      <c r="A3719" s="234"/>
      <c r="B3719" s="233"/>
      <c r="C3719" s="238"/>
      <c r="E3719" s="545"/>
      <c r="F3719" s="546"/>
      <c r="G3719" s="234"/>
      <c r="H3719" s="238"/>
      <c r="I3719" s="237"/>
    </row>
    <row r="3720" spans="1:9" s="232" customFormat="1" ht="17" customHeight="1">
      <c r="A3720" s="234"/>
      <c r="B3720" s="233"/>
      <c r="C3720" s="238"/>
      <c r="E3720" s="545"/>
      <c r="F3720" s="546"/>
      <c r="G3720" s="234"/>
      <c r="H3720" s="238"/>
      <c r="I3720" s="237"/>
    </row>
    <row r="3721" spans="1:9" s="232" customFormat="1" ht="17" customHeight="1">
      <c r="A3721" s="234"/>
      <c r="B3721" s="233"/>
      <c r="C3721" s="238"/>
      <c r="E3721" s="545"/>
      <c r="F3721" s="546"/>
      <c r="G3721" s="234"/>
      <c r="H3721" s="238"/>
      <c r="I3721" s="237"/>
    </row>
    <row r="3722" spans="1:9" s="232" customFormat="1" ht="17" customHeight="1">
      <c r="A3722" s="234"/>
      <c r="B3722" s="233"/>
      <c r="C3722" s="238"/>
      <c r="E3722" s="545"/>
      <c r="F3722" s="546"/>
      <c r="G3722" s="234"/>
      <c r="H3722" s="238"/>
      <c r="I3722" s="237"/>
    </row>
    <row r="3723" spans="1:9" s="232" customFormat="1" ht="17" customHeight="1">
      <c r="A3723" s="234"/>
      <c r="B3723" s="233"/>
      <c r="C3723" s="238"/>
      <c r="E3723" s="545"/>
      <c r="F3723" s="546"/>
      <c r="G3723" s="234"/>
      <c r="H3723" s="238"/>
      <c r="I3723" s="237"/>
    </row>
    <row r="3724" spans="1:9" s="232" customFormat="1" ht="17" customHeight="1">
      <c r="A3724" s="234"/>
      <c r="B3724" s="233"/>
      <c r="C3724" s="238"/>
      <c r="E3724" s="545"/>
      <c r="F3724" s="546"/>
      <c r="G3724" s="234"/>
      <c r="H3724" s="238"/>
      <c r="I3724" s="237"/>
    </row>
    <row r="3725" spans="1:9" s="232" customFormat="1" ht="17" customHeight="1">
      <c r="A3725" s="234"/>
      <c r="B3725" s="233"/>
      <c r="C3725" s="238"/>
      <c r="E3725" s="545"/>
      <c r="F3725" s="546"/>
      <c r="G3725" s="234"/>
      <c r="H3725" s="238"/>
      <c r="I3725" s="237"/>
    </row>
    <row r="3726" spans="1:9" s="232" customFormat="1" ht="17" customHeight="1">
      <c r="A3726" s="234"/>
      <c r="B3726" s="233"/>
      <c r="C3726" s="238"/>
      <c r="E3726" s="545"/>
      <c r="F3726" s="546"/>
      <c r="G3726" s="234"/>
      <c r="H3726" s="238"/>
      <c r="I3726" s="237"/>
    </row>
    <row r="3727" spans="1:9" s="232" customFormat="1" ht="17" customHeight="1">
      <c r="A3727" s="234"/>
      <c r="B3727" s="233"/>
      <c r="C3727" s="238"/>
      <c r="E3727" s="545"/>
      <c r="F3727" s="546"/>
      <c r="G3727" s="234"/>
      <c r="H3727" s="238"/>
      <c r="I3727" s="237"/>
    </row>
    <row r="3728" spans="1:9" s="232" customFormat="1" ht="17" customHeight="1">
      <c r="A3728" s="234"/>
      <c r="B3728" s="233"/>
      <c r="C3728" s="238"/>
      <c r="E3728" s="545"/>
      <c r="F3728" s="546"/>
      <c r="G3728" s="234"/>
      <c r="H3728" s="238"/>
      <c r="I3728" s="237"/>
    </row>
    <row r="3729" spans="1:9" s="232" customFormat="1" ht="17" customHeight="1">
      <c r="A3729" s="234"/>
      <c r="B3729" s="233"/>
      <c r="C3729" s="238"/>
      <c r="E3729" s="545"/>
      <c r="F3729" s="546"/>
      <c r="G3729" s="234"/>
      <c r="H3729" s="238"/>
      <c r="I3729" s="237"/>
    </row>
    <row r="3730" spans="1:9" s="232" customFormat="1" ht="17" customHeight="1">
      <c r="A3730" s="234"/>
      <c r="B3730" s="233"/>
      <c r="C3730" s="238"/>
      <c r="E3730" s="545"/>
      <c r="F3730" s="546"/>
      <c r="G3730" s="234"/>
      <c r="H3730" s="238"/>
      <c r="I3730" s="237"/>
    </row>
    <row r="3731" spans="1:9" s="232" customFormat="1" ht="17" customHeight="1">
      <c r="A3731" s="234"/>
      <c r="B3731" s="233"/>
      <c r="C3731" s="238"/>
      <c r="E3731" s="545"/>
      <c r="F3731" s="546"/>
      <c r="G3731" s="234"/>
      <c r="H3731" s="238"/>
      <c r="I3731" s="237"/>
    </row>
    <row r="3732" spans="1:9" s="232" customFormat="1" ht="17" customHeight="1">
      <c r="A3732" s="234"/>
      <c r="B3732" s="233"/>
      <c r="C3732" s="238"/>
      <c r="E3732" s="545"/>
      <c r="F3732" s="546"/>
      <c r="G3732" s="234"/>
      <c r="H3732" s="238"/>
      <c r="I3732" s="237"/>
    </row>
    <row r="3733" spans="1:9" s="232" customFormat="1" ht="17" customHeight="1">
      <c r="A3733" s="234"/>
      <c r="B3733" s="233"/>
      <c r="C3733" s="238"/>
      <c r="E3733" s="545"/>
      <c r="F3733" s="546"/>
      <c r="G3733" s="234"/>
      <c r="H3733" s="238"/>
      <c r="I3733" s="237"/>
    </row>
    <row r="3734" spans="1:9" s="232" customFormat="1" ht="17" customHeight="1">
      <c r="A3734" s="234"/>
      <c r="B3734" s="233"/>
      <c r="C3734" s="238"/>
      <c r="E3734" s="545"/>
      <c r="F3734" s="546"/>
      <c r="G3734" s="234"/>
      <c r="H3734" s="238"/>
      <c r="I3734" s="237"/>
    </row>
    <row r="3735" spans="1:9" s="232" customFormat="1" ht="17" customHeight="1">
      <c r="A3735" s="234"/>
      <c r="B3735" s="233"/>
      <c r="C3735" s="238"/>
      <c r="E3735" s="545"/>
      <c r="F3735" s="546"/>
      <c r="G3735" s="234"/>
      <c r="H3735" s="238"/>
      <c r="I3735" s="237"/>
    </row>
    <row r="3736" spans="1:9" s="232" customFormat="1" ht="17" customHeight="1">
      <c r="A3736" s="234"/>
      <c r="B3736" s="233"/>
      <c r="C3736" s="238"/>
      <c r="E3736" s="545"/>
      <c r="F3736" s="546"/>
      <c r="G3736" s="234"/>
      <c r="H3736" s="238"/>
      <c r="I3736" s="237"/>
    </row>
    <row r="3737" spans="1:9" s="232" customFormat="1" ht="17" customHeight="1">
      <c r="A3737" s="234"/>
      <c r="B3737" s="233"/>
      <c r="C3737" s="238"/>
      <c r="E3737" s="545"/>
      <c r="F3737" s="546"/>
      <c r="G3737" s="234"/>
      <c r="H3737" s="238"/>
      <c r="I3737" s="237"/>
    </row>
    <row r="3738" spans="1:9" s="232" customFormat="1" ht="17" customHeight="1">
      <c r="A3738" s="234"/>
      <c r="B3738" s="233"/>
      <c r="C3738" s="238"/>
      <c r="E3738" s="545"/>
      <c r="F3738" s="546"/>
      <c r="G3738" s="234"/>
      <c r="H3738" s="238"/>
      <c r="I3738" s="237"/>
    </row>
    <row r="3739" spans="1:9" s="232" customFormat="1" ht="17" customHeight="1">
      <c r="A3739" s="234"/>
      <c r="B3739" s="233"/>
      <c r="C3739" s="238"/>
      <c r="E3739" s="545"/>
      <c r="F3739" s="546"/>
      <c r="G3739" s="234"/>
      <c r="H3739" s="238"/>
      <c r="I3739" s="237"/>
    </row>
    <row r="3740" spans="1:9" s="232" customFormat="1" ht="17" customHeight="1">
      <c r="A3740" s="234"/>
      <c r="B3740" s="233"/>
      <c r="C3740" s="238"/>
      <c r="E3740" s="545"/>
      <c r="F3740" s="546"/>
      <c r="G3740" s="234"/>
      <c r="H3740" s="238"/>
      <c r="I3740" s="237"/>
    </row>
    <row r="3741" spans="1:9" s="232" customFormat="1" ht="17" customHeight="1">
      <c r="A3741" s="234"/>
      <c r="B3741" s="233"/>
      <c r="C3741" s="238"/>
      <c r="E3741" s="545"/>
      <c r="F3741" s="546"/>
      <c r="G3741" s="234"/>
      <c r="H3741" s="238"/>
      <c r="I3741" s="237"/>
    </row>
    <row r="3742" spans="1:9" s="232" customFormat="1" ht="17" customHeight="1">
      <c r="A3742" s="234"/>
      <c r="B3742" s="233"/>
      <c r="C3742" s="238"/>
      <c r="E3742" s="545"/>
      <c r="F3742" s="546"/>
      <c r="G3742" s="234"/>
      <c r="H3742" s="238"/>
      <c r="I3742" s="237"/>
    </row>
    <row r="3743" spans="1:9" s="232" customFormat="1" ht="17" customHeight="1">
      <c r="A3743" s="234"/>
      <c r="B3743" s="233"/>
      <c r="C3743" s="238"/>
      <c r="E3743" s="545"/>
      <c r="F3743" s="546"/>
      <c r="G3743" s="234"/>
      <c r="H3743" s="238"/>
      <c r="I3743" s="237"/>
    </row>
    <row r="3744" spans="1:9" s="232" customFormat="1" ht="17" customHeight="1">
      <c r="A3744" s="234"/>
      <c r="B3744" s="233"/>
      <c r="C3744" s="238"/>
      <c r="E3744" s="545"/>
      <c r="F3744" s="546"/>
      <c r="G3744" s="234"/>
      <c r="H3744" s="238"/>
      <c r="I3744" s="237"/>
    </row>
    <row r="3745" spans="1:9" s="232" customFormat="1" ht="17" customHeight="1">
      <c r="A3745" s="234"/>
      <c r="B3745" s="233"/>
      <c r="C3745" s="238"/>
      <c r="E3745" s="545"/>
      <c r="F3745" s="546"/>
      <c r="G3745" s="234"/>
      <c r="H3745" s="238"/>
      <c r="I3745" s="237"/>
    </row>
    <row r="3746" spans="1:9" s="232" customFormat="1" ht="17" customHeight="1">
      <c r="A3746" s="234"/>
      <c r="B3746" s="233"/>
      <c r="C3746" s="238"/>
      <c r="E3746" s="545"/>
      <c r="F3746" s="546"/>
      <c r="G3746" s="234"/>
      <c r="H3746" s="238"/>
      <c r="I3746" s="237"/>
    </row>
    <row r="3747" spans="1:9" s="232" customFormat="1" ht="17" customHeight="1">
      <c r="A3747" s="234"/>
      <c r="B3747" s="233"/>
      <c r="C3747" s="238"/>
      <c r="E3747" s="545"/>
      <c r="F3747" s="546"/>
      <c r="G3747" s="234"/>
      <c r="H3747" s="238"/>
      <c r="I3747" s="237"/>
    </row>
    <row r="3748" spans="1:9" s="232" customFormat="1" ht="17" customHeight="1">
      <c r="A3748" s="234"/>
      <c r="B3748" s="233"/>
      <c r="C3748" s="238"/>
      <c r="E3748" s="545"/>
      <c r="F3748" s="546"/>
      <c r="G3748" s="234"/>
      <c r="H3748" s="238"/>
      <c r="I3748" s="237"/>
    </row>
    <row r="3749" spans="1:9" s="232" customFormat="1" ht="17" customHeight="1">
      <c r="A3749" s="234"/>
      <c r="B3749" s="233"/>
      <c r="C3749" s="238"/>
      <c r="E3749" s="545"/>
      <c r="F3749" s="546"/>
      <c r="G3749" s="234"/>
      <c r="H3749" s="238"/>
      <c r="I3749" s="237"/>
    </row>
    <row r="3750" spans="1:9" s="232" customFormat="1" ht="17" customHeight="1">
      <c r="A3750" s="234"/>
      <c r="B3750" s="233"/>
      <c r="C3750" s="238"/>
      <c r="E3750" s="545"/>
      <c r="F3750" s="546"/>
      <c r="G3750" s="234"/>
      <c r="H3750" s="238"/>
      <c r="I3750" s="237"/>
    </row>
    <row r="3751" spans="1:9" s="232" customFormat="1" ht="17" customHeight="1">
      <c r="A3751" s="234"/>
      <c r="B3751" s="233"/>
      <c r="C3751" s="238"/>
      <c r="E3751" s="545"/>
      <c r="F3751" s="546"/>
      <c r="G3751" s="234"/>
      <c r="H3751" s="238"/>
      <c r="I3751" s="237"/>
    </row>
    <row r="3752" spans="1:9" s="232" customFormat="1" ht="17" customHeight="1">
      <c r="A3752" s="234"/>
      <c r="B3752" s="233"/>
      <c r="C3752" s="238"/>
      <c r="E3752" s="545"/>
      <c r="F3752" s="546"/>
      <c r="G3752" s="234"/>
      <c r="H3752" s="238"/>
      <c r="I3752" s="237"/>
    </row>
    <row r="3753" spans="1:9" s="232" customFormat="1" ht="17" customHeight="1">
      <c r="A3753" s="234"/>
      <c r="B3753" s="233"/>
      <c r="C3753" s="238"/>
      <c r="E3753" s="545"/>
      <c r="F3753" s="546"/>
      <c r="G3753" s="234"/>
      <c r="H3753" s="238"/>
      <c r="I3753" s="237"/>
    </row>
    <row r="3754" spans="1:9" s="232" customFormat="1" ht="17" customHeight="1">
      <c r="A3754" s="234"/>
      <c r="B3754" s="233"/>
      <c r="C3754" s="238"/>
      <c r="E3754" s="545"/>
      <c r="F3754" s="546"/>
      <c r="G3754" s="234"/>
      <c r="H3754" s="238"/>
      <c r="I3754" s="237"/>
    </row>
    <row r="3755" spans="1:9" s="232" customFormat="1" ht="17" customHeight="1">
      <c r="A3755" s="234"/>
      <c r="B3755" s="233"/>
      <c r="C3755" s="238"/>
      <c r="E3755" s="545"/>
      <c r="F3755" s="546"/>
      <c r="G3755" s="234"/>
      <c r="H3755" s="238"/>
      <c r="I3755" s="237"/>
    </row>
    <row r="3756" spans="1:9" s="232" customFormat="1" ht="17" customHeight="1">
      <c r="A3756" s="234"/>
      <c r="B3756" s="233"/>
      <c r="C3756" s="238"/>
      <c r="E3756" s="545"/>
      <c r="F3756" s="546"/>
      <c r="G3756" s="234"/>
      <c r="H3756" s="238"/>
      <c r="I3756" s="237"/>
    </row>
    <row r="3757" spans="1:9" s="232" customFormat="1" ht="17" customHeight="1">
      <c r="A3757" s="234"/>
      <c r="B3757" s="233"/>
      <c r="C3757" s="238"/>
      <c r="E3757" s="545"/>
      <c r="F3757" s="546"/>
      <c r="G3757" s="234"/>
      <c r="H3757" s="238"/>
      <c r="I3757" s="237"/>
    </row>
    <row r="3758" spans="1:9" s="232" customFormat="1" ht="17" customHeight="1">
      <c r="A3758" s="234"/>
      <c r="B3758" s="233"/>
      <c r="C3758" s="238"/>
      <c r="E3758" s="545"/>
      <c r="F3758" s="546"/>
      <c r="G3758" s="234"/>
      <c r="H3758" s="238"/>
      <c r="I3758" s="237"/>
    </row>
    <row r="3759" spans="1:9" s="232" customFormat="1" ht="17" customHeight="1">
      <c r="A3759" s="234"/>
      <c r="B3759" s="233"/>
      <c r="C3759" s="238"/>
      <c r="E3759" s="545"/>
      <c r="F3759" s="546"/>
      <c r="G3759" s="234"/>
      <c r="H3759" s="238"/>
      <c r="I3759" s="237"/>
    </row>
    <row r="3760" spans="1:9" s="232" customFormat="1" ht="17" customHeight="1">
      <c r="A3760" s="234"/>
      <c r="B3760" s="233"/>
      <c r="C3760" s="238"/>
      <c r="E3760" s="545"/>
      <c r="F3760" s="546"/>
      <c r="G3760" s="234"/>
      <c r="H3760" s="238"/>
      <c r="I3760" s="237"/>
    </row>
    <row r="3761" spans="1:9" s="232" customFormat="1" ht="17" customHeight="1">
      <c r="A3761" s="234"/>
      <c r="B3761" s="233"/>
      <c r="C3761" s="238"/>
      <c r="E3761" s="545"/>
      <c r="F3761" s="546"/>
      <c r="G3761" s="234"/>
      <c r="H3761" s="238"/>
      <c r="I3761" s="237"/>
    </row>
    <row r="3762" spans="1:9" s="232" customFormat="1" ht="17" customHeight="1">
      <c r="A3762" s="234"/>
      <c r="B3762" s="233"/>
      <c r="C3762" s="238"/>
      <c r="E3762" s="545"/>
      <c r="F3762" s="546"/>
      <c r="G3762" s="234"/>
      <c r="H3762" s="238"/>
      <c r="I3762" s="237"/>
    </row>
    <row r="3763" spans="1:9" s="232" customFormat="1" ht="17" customHeight="1">
      <c r="A3763" s="234"/>
      <c r="B3763" s="233"/>
      <c r="C3763" s="238"/>
      <c r="E3763" s="545"/>
      <c r="F3763" s="546"/>
      <c r="G3763" s="234"/>
      <c r="H3763" s="238"/>
      <c r="I3763" s="237"/>
    </row>
    <row r="3764" spans="1:9" s="232" customFormat="1" ht="17" customHeight="1">
      <c r="A3764" s="234"/>
      <c r="B3764" s="233"/>
      <c r="C3764" s="238"/>
      <c r="E3764" s="545"/>
      <c r="F3764" s="546"/>
      <c r="G3764" s="234"/>
      <c r="H3764" s="238"/>
      <c r="I3764" s="237"/>
    </row>
    <row r="3765" spans="1:9" s="232" customFormat="1" ht="17" customHeight="1">
      <c r="A3765" s="234"/>
      <c r="B3765" s="233"/>
      <c r="C3765" s="238"/>
      <c r="E3765" s="545"/>
      <c r="F3765" s="546"/>
      <c r="G3765" s="234"/>
      <c r="H3765" s="238"/>
      <c r="I3765" s="237"/>
    </row>
    <row r="3766" spans="1:9" s="232" customFormat="1" ht="17" customHeight="1">
      <c r="A3766" s="234"/>
      <c r="B3766" s="233"/>
      <c r="C3766" s="238"/>
      <c r="E3766" s="545"/>
      <c r="F3766" s="546"/>
      <c r="G3766" s="234"/>
      <c r="H3766" s="238"/>
      <c r="I3766" s="237"/>
    </row>
    <row r="3767" spans="1:9" s="232" customFormat="1" ht="17" customHeight="1">
      <c r="A3767" s="234"/>
      <c r="B3767" s="233"/>
      <c r="C3767" s="238"/>
      <c r="E3767" s="545"/>
      <c r="F3767" s="546"/>
      <c r="G3767" s="234"/>
      <c r="H3767" s="238"/>
      <c r="I3767" s="237"/>
    </row>
    <row r="3768" spans="1:9" s="232" customFormat="1" ht="17" customHeight="1">
      <c r="A3768" s="234"/>
      <c r="B3768" s="233"/>
      <c r="C3768" s="238"/>
      <c r="E3768" s="545"/>
      <c r="F3768" s="546"/>
      <c r="G3768" s="234"/>
      <c r="H3768" s="238"/>
      <c r="I3768" s="237"/>
    </row>
    <row r="3769" spans="1:9" s="232" customFormat="1" ht="17" customHeight="1">
      <c r="A3769" s="234"/>
      <c r="B3769" s="233"/>
      <c r="C3769" s="238"/>
      <c r="E3769" s="545"/>
      <c r="F3769" s="546"/>
      <c r="G3769" s="234"/>
      <c r="H3769" s="238"/>
      <c r="I3769" s="237"/>
    </row>
    <row r="3770" spans="1:9" s="232" customFormat="1" ht="17" customHeight="1">
      <c r="A3770" s="234"/>
      <c r="B3770" s="233"/>
      <c r="C3770" s="238"/>
      <c r="E3770" s="545"/>
      <c r="F3770" s="546"/>
      <c r="G3770" s="234"/>
      <c r="H3770" s="238"/>
      <c r="I3770" s="237"/>
    </row>
    <row r="3771" spans="1:9" s="232" customFormat="1" ht="17" customHeight="1">
      <c r="A3771" s="234"/>
      <c r="B3771" s="233"/>
      <c r="C3771" s="238"/>
      <c r="E3771" s="545"/>
      <c r="F3771" s="546"/>
      <c r="G3771" s="234"/>
      <c r="H3771" s="238"/>
      <c r="I3771" s="237"/>
    </row>
    <row r="3772" spans="1:9" s="232" customFormat="1" ht="17" customHeight="1">
      <c r="A3772" s="234"/>
      <c r="B3772" s="233"/>
      <c r="C3772" s="238"/>
      <c r="E3772" s="545"/>
      <c r="F3772" s="546"/>
      <c r="G3772" s="234"/>
      <c r="H3772" s="238"/>
      <c r="I3772" s="237"/>
    </row>
    <row r="3773" spans="1:9" s="232" customFormat="1" ht="17" customHeight="1">
      <c r="A3773" s="234"/>
      <c r="B3773" s="233"/>
      <c r="C3773" s="238"/>
      <c r="E3773" s="545"/>
      <c r="F3773" s="546"/>
      <c r="G3773" s="234"/>
      <c r="H3773" s="238"/>
      <c r="I3773" s="237"/>
    </row>
    <row r="3774" spans="1:9" s="232" customFormat="1" ht="17" customHeight="1">
      <c r="A3774" s="234"/>
      <c r="B3774" s="233"/>
      <c r="C3774" s="238"/>
      <c r="E3774" s="545"/>
      <c r="F3774" s="546"/>
      <c r="G3774" s="234"/>
      <c r="H3774" s="238"/>
      <c r="I3774" s="237"/>
    </row>
    <row r="3775" spans="1:9" s="232" customFormat="1" ht="17" customHeight="1">
      <c r="A3775" s="234"/>
      <c r="B3775" s="233"/>
      <c r="C3775" s="238"/>
      <c r="E3775" s="545"/>
      <c r="F3775" s="546"/>
      <c r="G3775" s="234"/>
      <c r="H3775" s="238"/>
      <c r="I3775" s="237"/>
    </row>
    <row r="3776" spans="1:9" s="232" customFormat="1" ht="17" customHeight="1">
      <c r="A3776" s="234"/>
      <c r="B3776" s="233"/>
      <c r="C3776" s="238"/>
      <c r="E3776" s="545"/>
      <c r="F3776" s="546"/>
      <c r="G3776" s="234"/>
      <c r="H3776" s="238"/>
      <c r="I3776" s="237"/>
    </row>
    <row r="3777" spans="1:9" s="232" customFormat="1" ht="17" customHeight="1">
      <c r="A3777" s="234"/>
      <c r="B3777" s="233"/>
      <c r="C3777" s="238"/>
      <c r="E3777" s="545"/>
      <c r="F3777" s="546"/>
      <c r="G3777" s="234"/>
      <c r="H3777" s="238"/>
      <c r="I3777" s="237"/>
    </row>
    <row r="3778" spans="1:9" s="232" customFormat="1" ht="17" customHeight="1">
      <c r="A3778" s="234"/>
      <c r="B3778" s="233"/>
      <c r="C3778" s="238"/>
      <c r="E3778" s="545"/>
      <c r="F3778" s="546"/>
      <c r="G3778" s="234"/>
      <c r="H3778" s="238"/>
      <c r="I3778" s="237"/>
    </row>
    <row r="3779" spans="1:9" s="232" customFormat="1" ht="17" customHeight="1">
      <c r="A3779" s="234"/>
      <c r="B3779" s="233"/>
      <c r="C3779" s="238"/>
      <c r="E3779" s="545"/>
      <c r="F3779" s="546"/>
      <c r="G3779" s="234"/>
      <c r="H3779" s="238"/>
      <c r="I3779" s="237"/>
    </row>
    <row r="3780" spans="1:9" s="232" customFormat="1" ht="17" customHeight="1">
      <c r="A3780" s="234"/>
      <c r="B3780" s="233"/>
      <c r="C3780" s="238"/>
      <c r="E3780" s="545"/>
      <c r="F3780" s="546"/>
      <c r="G3780" s="234"/>
      <c r="H3780" s="238"/>
      <c r="I3780" s="237"/>
    </row>
    <row r="3781" spans="1:9" s="232" customFormat="1" ht="17" customHeight="1">
      <c r="A3781" s="234"/>
      <c r="B3781" s="233"/>
      <c r="C3781" s="238"/>
      <c r="E3781" s="545"/>
      <c r="F3781" s="546"/>
      <c r="G3781" s="234"/>
      <c r="H3781" s="238"/>
      <c r="I3781" s="237"/>
    </row>
    <row r="3782" spans="1:9" s="232" customFormat="1" ht="17" customHeight="1">
      <c r="A3782" s="234"/>
      <c r="B3782" s="233"/>
      <c r="C3782" s="238"/>
      <c r="E3782" s="545"/>
      <c r="F3782" s="546"/>
      <c r="G3782" s="234"/>
      <c r="H3782" s="238"/>
      <c r="I3782" s="237"/>
    </row>
    <row r="3783" spans="1:9" s="232" customFormat="1" ht="17" customHeight="1">
      <c r="A3783" s="234"/>
      <c r="B3783" s="233"/>
      <c r="C3783" s="238"/>
      <c r="E3783" s="545"/>
      <c r="F3783" s="546"/>
      <c r="G3783" s="234"/>
      <c r="H3783" s="238"/>
      <c r="I3783" s="237"/>
    </row>
    <row r="3784" spans="1:9" s="232" customFormat="1" ht="17" customHeight="1">
      <c r="A3784" s="234"/>
      <c r="B3784" s="233"/>
      <c r="C3784" s="238"/>
      <c r="E3784" s="545"/>
      <c r="F3784" s="546"/>
      <c r="G3784" s="234"/>
      <c r="H3784" s="238"/>
      <c r="I3784" s="237"/>
    </row>
    <row r="3785" spans="1:9" s="232" customFormat="1" ht="17" customHeight="1">
      <c r="A3785" s="234"/>
      <c r="B3785" s="233"/>
      <c r="C3785" s="238"/>
      <c r="E3785" s="545"/>
      <c r="F3785" s="546"/>
      <c r="G3785" s="234"/>
      <c r="H3785" s="238"/>
      <c r="I3785" s="237"/>
    </row>
    <row r="3786" spans="1:9" s="232" customFormat="1" ht="17" customHeight="1">
      <c r="A3786" s="234"/>
      <c r="B3786" s="233"/>
      <c r="C3786" s="238"/>
      <c r="E3786" s="545"/>
      <c r="F3786" s="546"/>
      <c r="G3786" s="234"/>
      <c r="H3786" s="238"/>
      <c r="I3786" s="237"/>
    </row>
    <row r="3787" spans="1:9" s="232" customFormat="1" ht="17" customHeight="1">
      <c r="A3787" s="234"/>
      <c r="B3787" s="233"/>
      <c r="C3787" s="238"/>
      <c r="E3787" s="545"/>
      <c r="F3787" s="546"/>
      <c r="G3787" s="234"/>
      <c r="H3787" s="238"/>
      <c r="I3787" s="237"/>
    </row>
    <row r="3788" spans="1:9" s="232" customFormat="1" ht="17" customHeight="1">
      <c r="A3788" s="234"/>
      <c r="B3788" s="233"/>
      <c r="C3788" s="238"/>
      <c r="E3788" s="545"/>
      <c r="F3788" s="546"/>
      <c r="G3788" s="234"/>
      <c r="H3788" s="238"/>
      <c r="I3788" s="237"/>
    </row>
    <row r="3789" spans="1:9" s="232" customFormat="1" ht="17" customHeight="1">
      <c r="A3789" s="234"/>
      <c r="B3789" s="233"/>
      <c r="C3789" s="238"/>
      <c r="E3789" s="545"/>
      <c r="F3789" s="546"/>
      <c r="G3789" s="234"/>
      <c r="H3789" s="238"/>
      <c r="I3789" s="237"/>
    </row>
    <row r="3790" spans="1:9" s="232" customFormat="1" ht="17" customHeight="1">
      <c r="A3790" s="234"/>
      <c r="B3790" s="233"/>
      <c r="C3790" s="238"/>
      <c r="E3790" s="545"/>
      <c r="F3790" s="546"/>
      <c r="G3790" s="234"/>
      <c r="H3790" s="238"/>
      <c r="I3790" s="237"/>
    </row>
    <row r="3791" spans="1:9" s="232" customFormat="1" ht="17" customHeight="1">
      <c r="A3791" s="234"/>
      <c r="B3791" s="233"/>
      <c r="C3791" s="238"/>
      <c r="E3791" s="545"/>
      <c r="F3791" s="546"/>
      <c r="G3791" s="234"/>
      <c r="H3791" s="238"/>
      <c r="I3791" s="237"/>
    </row>
    <row r="3792" spans="1:9" s="232" customFormat="1" ht="17" customHeight="1">
      <c r="A3792" s="234"/>
      <c r="B3792" s="233"/>
      <c r="C3792" s="238"/>
      <c r="E3792" s="545"/>
      <c r="F3792" s="546"/>
      <c r="G3792" s="234"/>
      <c r="H3792" s="238"/>
      <c r="I3792" s="237"/>
    </row>
    <row r="3793" spans="1:9" s="232" customFormat="1" ht="17" customHeight="1">
      <c r="A3793" s="234"/>
      <c r="B3793" s="233"/>
      <c r="C3793" s="238"/>
      <c r="E3793" s="545"/>
      <c r="F3793" s="546"/>
      <c r="G3793" s="234"/>
      <c r="H3793" s="238"/>
      <c r="I3793" s="237"/>
    </row>
    <row r="3794" spans="1:9" s="232" customFormat="1" ht="17" customHeight="1">
      <c r="A3794" s="234"/>
      <c r="B3794" s="233"/>
      <c r="C3794" s="238"/>
      <c r="E3794" s="545"/>
      <c r="F3794" s="546"/>
      <c r="G3794" s="234"/>
      <c r="H3794" s="238"/>
      <c r="I3794" s="237"/>
    </row>
    <row r="3795" spans="1:9" s="232" customFormat="1" ht="17" customHeight="1">
      <c r="A3795" s="234"/>
      <c r="B3795" s="233"/>
      <c r="C3795" s="238"/>
      <c r="E3795" s="545"/>
      <c r="F3795" s="546"/>
      <c r="G3795" s="234"/>
      <c r="H3795" s="238"/>
      <c r="I3795" s="237"/>
    </row>
    <row r="3796" spans="1:9" s="232" customFormat="1" ht="17" customHeight="1">
      <c r="A3796" s="234"/>
      <c r="B3796" s="233"/>
      <c r="C3796" s="238"/>
      <c r="E3796" s="545"/>
      <c r="F3796" s="546"/>
      <c r="G3796" s="234"/>
      <c r="H3796" s="238"/>
      <c r="I3796" s="237"/>
    </row>
    <row r="3797" spans="1:9" s="232" customFormat="1" ht="17" customHeight="1">
      <c r="A3797" s="234"/>
      <c r="B3797" s="233"/>
      <c r="C3797" s="238"/>
      <c r="E3797" s="545"/>
      <c r="F3797" s="546"/>
      <c r="G3797" s="234"/>
      <c r="H3797" s="238"/>
      <c r="I3797" s="237"/>
    </row>
    <row r="3798" spans="1:9" s="232" customFormat="1" ht="17" customHeight="1">
      <c r="A3798" s="234"/>
      <c r="B3798" s="233"/>
      <c r="C3798" s="238"/>
      <c r="E3798" s="545"/>
      <c r="F3798" s="546"/>
      <c r="G3798" s="234"/>
      <c r="H3798" s="238"/>
      <c r="I3798" s="237"/>
    </row>
    <row r="3799" spans="1:9" s="232" customFormat="1" ht="17" customHeight="1">
      <c r="A3799" s="234"/>
      <c r="B3799" s="233"/>
      <c r="C3799" s="238"/>
      <c r="E3799" s="545"/>
      <c r="F3799" s="546"/>
      <c r="G3799" s="234"/>
      <c r="H3799" s="238"/>
      <c r="I3799" s="237"/>
    </row>
    <row r="3800" spans="1:9" s="232" customFormat="1" ht="17" customHeight="1">
      <c r="A3800" s="234"/>
      <c r="B3800" s="233"/>
      <c r="C3800" s="238"/>
      <c r="E3800" s="545"/>
      <c r="F3800" s="546"/>
      <c r="G3800" s="234"/>
      <c r="H3800" s="238"/>
      <c r="I3800" s="237"/>
    </row>
    <row r="3801" spans="1:9" s="232" customFormat="1" ht="17" customHeight="1">
      <c r="A3801" s="234"/>
      <c r="B3801" s="233"/>
      <c r="C3801" s="238"/>
      <c r="E3801" s="545"/>
      <c r="F3801" s="546"/>
      <c r="G3801" s="234"/>
      <c r="H3801" s="238"/>
      <c r="I3801" s="237"/>
    </row>
    <row r="3802" spans="1:9" s="232" customFormat="1" ht="17" customHeight="1">
      <c r="A3802" s="234"/>
      <c r="B3802" s="233"/>
      <c r="C3802" s="238"/>
      <c r="E3802" s="545"/>
      <c r="F3802" s="546"/>
      <c r="G3802" s="234"/>
      <c r="H3802" s="238"/>
      <c r="I3802" s="237"/>
    </row>
    <row r="3803" spans="1:9" s="232" customFormat="1" ht="17" customHeight="1">
      <c r="A3803" s="234"/>
      <c r="B3803" s="233"/>
      <c r="C3803" s="238"/>
      <c r="E3803" s="545"/>
      <c r="F3803" s="546"/>
      <c r="G3803" s="234"/>
      <c r="H3803" s="238"/>
      <c r="I3803" s="237"/>
    </row>
    <row r="3804" spans="1:9" s="232" customFormat="1" ht="17" customHeight="1">
      <c r="A3804" s="234"/>
      <c r="B3804" s="233"/>
      <c r="C3804" s="238"/>
      <c r="E3804" s="545"/>
      <c r="F3804" s="546"/>
      <c r="G3804" s="234"/>
      <c r="H3804" s="238"/>
      <c r="I3804" s="237"/>
    </row>
    <row r="3805" spans="1:9" s="232" customFormat="1" ht="17" customHeight="1">
      <c r="A3805" s="234"/>
      <c r="B3805" s="233"/>
      <c r="C3805" s="238"/>
      <c r="E3805" s="545"/>
      <c r="F3805" s="546"/>
      <c r="G3805" s="234"/>
      <c r="H3805" s="238"/>
      <c r="I3805" s="237"/>
    </row>
    <row r="3806" spans="1:9" s="232" customFormat="1" ht="17" customHeight="1">
      <c r="A3806" s="234"/>
      <c r="B3806" s="233"/>
      <c r="C3806" s="238"/>
      <c r="E3806" s="545"/>
      <c r="F3806" s="546"/>
      <c r="G3806" s="234"/>
      <c r="H3806" s="238"/>
      <c r="I3806" s="237"/>
    </row>
    <row r="3807" spans="1:9" s="232" customFormat="1" ht="17" customHeight="1">
      <c r="A3807" s="234"/>
      <c r="B3807" s="233"/>
      <c r="C3807" s="238"/>
      <c r="E3807" s="545"/>
      <c r="F3807" s="546"/>
      <c r="G3807" s="234"/>
      <c r="H3807" s="238"/>
      <c r="I3807" s="237"/>
    </row>
    <row r="3808" spans="1:9" s="232" customFormat="1" ht="17" customHeight="1">
      <c r="A3808" s="234"/>
      <c r="B3808" s="233"/>
      <c r="C3808" s="238"/>
      <c r="E3808" s="545"/>
      <c r="F3808" s="546"/>
      <c r="G3808" s="234"/>
      <c r="H3808" s="238"/>
      <c r="I3808" s="237"/>
    </row>
    <row r="3809" spans="1:9" s="232" customFormat="1" ht="17" customHeight="1">
      <c r="A3809" s="234"/>
      <c r="B3809" s="233"/>
      <c r="C3809" s="238"/>
      <c r="E3809" s="545"/>
      <c r="F3809" s="546"/>
      <c r="G3809" s="234"/>
      <c r="H3809" s="238"/>
      <c r="I3809" s="237"/>
    </row>
    <row r="3810" spans="1:9" s="232" customFormat="1" ht="17" customHeight="1">
      <c r="A3810" s="234"/>
      <c r="B3810" s="233"/>
      <c r="C3810" s="238"/>
      <c r="E3810" s="545"/>
      <c r="F3810" s="546"/>
      <c r="G3810" s="234"/>
      <c r="H3810" s="238"/>
      <c r="I3810" s="237"/>
    </row>
    <row r="3811" spans="1:9" s="232" customFormat="1" ht="17" customHeight="1">
      <c r="A3811" s="234"/>
      <c r="B3811" s="233"/>
      <c r="C3811" s="238"/>
      <c r="E3811" s="545"/>
      <c r="F3811" s="546"/>
      <c r="G3811" s="234"/>
      <c r="H3811" s="238"/>
      <c r="I3811" s="237"/>
    </row>
    <row r="3812" spans="1:9" s="232" customFormat="1" ht="17" customHeight="1">
      <c r="A3812" s="234"/>
      <c r="B3812" s="233"/>
      <c r="C3812" s="238"/>
      <c r="E3812" s="545"/>
      <c r="F3812" s="546"/>
      <c r="G3812" s="234"/>
      <c r="H3812" s="238"/>
      <c r="I3812" s="237"/>
    </row>
    <row r="3813" spans="1:9" s="232" customFormat="1" ht="17" customHeight="1">
      <c r="A3813" s="234"/>
      <c r="B3813" s="233"/>
      <c r="C3813" s="238"/>
      <c r="E3813" s="545"/>
      <c r="F3813" s="546"/>
      <c r="G3813" s="234"/>
      <c r="H3813" s="238"/>
      <c r="I3813" s="237"/>
    </row>
    <row r="3814" spans="1:9" s="232" customFormat="1" ht="17" customHeight="1">
      <c r="A3814" s="234"/>
      <c r="B3814" s="233"/>
      <c r="C3814" s="238"/>
      <c r="E3814" s="545"/>
      <c r="F3814" s="546"/>
      <c r="G3814" s="234"/>
      <c r="H3814" s="238"/>
      <c r="I3814" s="237"/>
    </row>
    <row r="3815" spans="1:9" s="232" customFormat="1" ht="17" customHeight="1">
      <c r="A3815" s="234"/>
      <c r="B3815" s="233"/>
      <c r="C3815" s="238"/>
      <c r="E3815" s="545"/>
      <c r="F3815" s="546"/>
      <c r="G3815" s="234"/>
      <c r="H3815" s="238"/>
      <c r="I3815" s="237"/>
    </row>
    <row r="3816" spans="1:9" s="232" customFormat="1" ht="17" customHeight="1">
      <c r="A3816" s="234"/>
      <c r="B3816" s="233"/>
      <c r="C3816" s="238"/>
      <c r="E3816" s="545"/>
      <c r="F3816" s="546"/>
      <c r="G3816" s="234"/>
      <c r="H3816" s="238"/>
      <c r="I3816" s="237"/>
    </row>
    <row r="3817" spans="1:9" s="232" customFormat="1" ht="17" customHeight="1">
      <c r="A3817" s="234"/>
      <c r="B3817" s="233"/>
      <c r="C3817" s="238"/>
      <c r="E3817" s="545"/>
      <c r="F3817" s="546"/>
      <c r="G3817" s="234"/>
      <c r="H3817" s="238"/>
      <c r="I3817" s="237"/>
    </row>
    <row r="3818" spans="1:9" s="232" customFormat="1" ht="17" customHeight="1">
      <c r="A3818" s="234"/>
      <c r="B3818" s="233"/>
      <c r="C3818" s="238"/>
      <c r="E3818" s="545"/>
      <c r="F3818" s="546"/>
      <c r="G3818" s="234"/>
      <c r="H3818" s="238"/>
      <c r="I3818" s="237"/>
    </row>
    <row r="3819" spans="1:9" s="232" customFormat="1" ht="17" customHeight="1">
      <c r="A3819" s="234"/>
      <c r="B3819" s="233"/>
      <c r="C3819" s="238"/>
      <c r="E3819" s="545"/>
      <c r="F3819" s="546"/>
      <c r="G3819" s="234"/>
      <c r="H3819" s="238"/>
      <c r="I3819" s="237"/>
    </row>
    <row r="3820" spans="1:9" s="232" customFormat="1" ht="17" customHeight="1">
      <c r="A3820" s="234"/>
      <c r="B3820" s="233"/>
      <c r="C3820" s="238"/>
      <c r="E3820" s="545"/>
      <c r="F3820" s="546"/>
      <c r="G3820" s="234"/>
      <c r="H3820" s="238"/>
      <c r="I3820" s="237"/>
    </row>
    <row r="3821" spans="1:9" s="232" customFormat="1" ht="17" customHeight="1">
      <c r="A3821" s="234"/>
      <c r="B3821" s="233"/>
      <c r="C3821" s="238"/>
      <c r="E3821" s="545"/>
      <c r="F3821" s="546"/>
      <c r="G3821" s="234"/>
      <c r="H3821" s="238"/>
      <c r="I3821" s="237"/>
    </row>
    <row r="3822" spans="1:9" s="232" customFormat="1" ht="17" customHeight="1">
      <c r="A3822" s="234"/>
      <c r="B3822" s="233"/>
      <c r="C3822" s="238"/>
      <c r="E3822" s="545"/>
      <c r="F3822" s="546"/>
      <c r="G3822" s="234"/>
      <c r="H3822" s="238"/>
      <c r="I3822" s="237"/>
    </row>
    <row r="3823" spans="1:9" s="232" customFormat="1" ht="17" customHeight="1">
      <c r="A3823" s="234"/>
      <c r="B3823" s="233"/>
      <c r="C3823" s="238"/>
      <c r="E3823" s="545"/>
      <c r="F3823" s="546"/>
      <c r="G3823" s="234"/>
      <c r="H3823" s="238"/>
      <c r="I3823" s="237"/>
    </row>
    <row r="3824" spans="1:9" s="232" customFormat="1" ht="17" customHeight="1">
      <c r="A3824" s="234"/>
      <c r="B3824" s="233"/>
      <c r="C3824" s="238"/>
      <c r="E3824" s="545"/>
      <c r="F3824" s="546"/>
      <c r="G3824" s="234"/>
      <c r="H3824" s="238"/>
      <c r="I3824" s="237"/>
    </row>
    <row r="3825" spans="1:9" s="232" customFormat="1" ht="17" customHeight="1">
      <c r="A3825" s="234"/>
      <c r="B3825" s="233"/>
      <c r="C3825" s="238"/>
      <c r="E3825" s="545"/>
      <c r="F3825" s="546"/>
      <c r="G3825" s="234"/>
      <c r="H3825" s="238"/>
      <c r="I3825" s="237"/>
    </row>
    <row r="3826" spans="1:9" s="232" customFormat="1" ht="17" customHeight="1">
      <c r="A3826" s="234"/>
      <c r="B3826" s="233"/>
      <c r="C3826" s="238"/>
      <c r="E3826" s="545"/>
      <c r="F3826" s="546"/>
      <c r="G3826" s="234"/>
      <c r="H3826" s="238"/>
      <c r="I3826" s="237"/>
    </row>
    <row r="3827" spans="1:9" s="232" customFormat="1" ht="17" customHeight="1">
      <c r="A3827" s="234"/>
      <c r="B3827" s="233"/>
      <c r="C3827" s="238"/>
      <c r="E3827" s="545"/>
      <c r="F3827" s="546"/>
      <c r="G3827" s="234"/>
      <c r="H3827" s="238"/>
      <c r="I3827" s="237"/>
    </row>
    <row r="3828" spans="1:9" s="232" customFormat="1" ht="17" customHeight="1">
      <c r="A3828" s="234"/>
      <c r="B3828" s="233"/>
      <c r="C3828" s="238"/>
      <c r="E3828" s="545"/>
      <c r="F3828" s="546"/>
      <c r="G3828" s="234"/>
      <c r="H3828" s="238"/>
      <c r="I3828" s="237"/>
    </row>
    <row r="3829" spans="1:9" s="232" customFormat="1" ht="17" customHeight="1">
      <c r="A3829" s="234"/>
      <c r="B3829" s="233"/>
      <c r="C3829" s="238"/>
      <c r="E3829" s="545"/>
      <c r="F3829" s="546"/>
      <c r="G3829" s="234"/>
      <c r="H3829" s="238"/>
      <c r="I3829" s="237"/>
    </row>
    <row r="3830" spans="1:9" s="232" customFormat="1" ht="17" customHeight="1">
      <c r="A3830" s="234"/>
      <c r="B3830" s="233"/>
      <c r="C3830" s="238"/>
      <c r="E3830" s="545"/>
      <c r="F3830" s="546"/>
      <c r="G3830" s="234"/>
      <c r="H3830" s="238"/>
      <c r="I3830" s="237"/>
    </row>
    <row r="3831" spans="1:9" s="232" customFormat="1" ht="17" customHeight="1">
      <c r="A3831" s="234"/>
      <c r="B3831" s="233"/>
      <c r="C3831" s="238"/>
      <c r="E3831" s="545"/>
      <c r="F3831" s="546"/>
      <c r="G3831" s="234"/>
      <c r="H3831" s="238"/>
      <c r="I3831" s="237"/>
    </row>
    <row r="3832" spans="1:9" s="232" customFormat="1" ht="17" customHeight="1">
      <c r="A3832" s="234"/>
      <c r="B3832" s="233"/>
      <c r="C3832" s="238"/>
      <c r="E3832" s="545"/>
      <c r="F3832" s="546"/>
      <c r="G3832" s="234"/>
      <c r="H3832" s="238"/>
      <c r="I3832" s="237"/>
    </row>
    <row r="3833" spans="1:9" s="232" customFormat="1" ht="17" customHeight="1">
      <c r="A3833" s="234"/>
      <c r="B3833" s="233"/>
      <c r="C3833" s="238"/>
      <c r="E3833" s="545"/>
      <c r="F3833" s="546"/>
      <c r="G3833" s="234"/>
      <c r="H3833" s="238"/>
      <c r="I3833" s="237"/>
    </row>
    <row r="3834" spans="1:9" s="232" customFormat="1" ht="17" customHeight="1">
      <c r="A3834" s="234"/>
      <c r="B3834" s="233"/>
      <c r="C3834" s="238"/>
      <c r="E3834" s="545"/>
      <c r="F3834" s="546"/>
      <c r="G3834" s="234"/>
      <c r="H3834" s="238"/>
      <c r="I3834" s="237"/>
    </row>
    <row r="3835" spans="1:9" s="232" customFormat="1" ht="17" customHeight="1">
      <c r="A3835" s="234"/>
      <c r="B3835" s="233"/>
      <c r="C3835" s="238"/>
      <c r="E3835" s="545"/>
      <c r="F3835" s="546"/>
      <c r="G3835" s="234"/>
      <c r="H3835" s="238"/>
      <c r="I3835" s="237"/>
    </row>
    <row r="3836" spans="1:9" s="232" customFormat="1" ht="17" customHeight="1">
      <c r="A3836" s="234"/>
      <c r="B3836" s="233"/>
      <c r="C3836" s="238"/>
      <c r="E3836" s="545"/>
      <c r="F3836" s="546"/>
      <c r="G3836" s="234"/>
      <c r="H3836" s="238"/>
      <c r="I3836" s="237"/>
    </row>
    <row r="3837" spans="1:9" s="232" customFormat="1" ht="17" customHeight="1">
      <c r="A3837" s="234"/>
      <c r="B3837" s="233"/>
      <c r="C3837" s="238"/>
      <c r="E3837" s="545"/>
      <c r="F3837" s="546"/>
      <c r="G3837" s="234"/>
      <c r="H3837" s="238"/>
      <c r="I3837" s="237"/>
    </row>
    <row r="3838" spans="1:9" s="232" customFormat="1" ht="17" customHeight="1">
      <c r="A3838" s="234"/>
      <c r="B3838" s="233"/>
      <c r="C3838" s="238"/>
      <c r="E3838" s="545"/>
      <c r="F3838" s="546"/>
      <c r="G3838" s="234"/>
      <c r="H3838" s="238"/>
      <c r="I3838" s="237"/>
    </row>
    <row r="3839" spans="1:9" s="232" customFormat="1" ht="17" customHeight="1">
      <c r="A3839" s="234"/>
      <c r="B3839" s="233"/>
      <c r="C3839" s="238"/>
      <c r="E3839" s="545"/>
      <c r="F3839" s="546"/>
      <c r="G3839" s="234"/>
      <c r="H3839" s="238"/>
      <c r="I3839" s="237"/>
    </row>
    <row r="3840" spans="1:9" s="232" customFormat="1" ht="17" customHeight="1">
      <c r="A3840" s="234"/>
      <c r="B3840" s="233"/>
      <c r="C3840" s="238"/>
      <c r="E3840" s="545"/>
      <c r="F3840" s="546"/>
      <c r="G3840" s="234"/>
      <c r="H3840" s="238"/>
      <c r="I3840" s="237"/>
    </row>
    <row r="3841" spans="1:9" s="232" customFormat="1" ht="17" customHeight="1">
      <c r="A3841" s="234"/>
      <c r="B3841" s="233"/>
      <c r="C3841" s="238"/>
      <c r="E3841" s="545"/>
      <c r="F3841" s="546"/>
      <c r="G3841" s="234"/>
      <c r="H3841" s="238"/>
      <c r="I3841" s="237"/>
    </row>
    <row r="3842" spans="1:9" s="232" customFormat="1" ht="17" customHeight="1">
      <c r="A3842" s="234"/>
      <c r="B3842" s="233"/>
      <c r="C3842" s="238"/>
      <c r="E3842" s="545"/>
      <c r="F3842" s="546"/>
      <c r="G3842" s="234"/>
      <c r="H3842" s="238"/>
      <c r="I3842" s="237"/>
    </row>
    <row r="3843" spans="1:9" s="232" customFormat="1" ht="17" customHeight="1">
      <c r="A3843" s="234"/>
      <c r="B3843" s="233"/>
      <c r="C3843" s="238"/>
      <c r="E3843" s="545"/>
      <c r="F3843" s="546"/>
      <c r="G3843" s="234"/>
      <c r="H3843" s="238"/>
      <c r="I3843" s="237"/>
    </row>
    <row r="3844" spans="1:9" s="232" customFormat="1" ht="17" customHeight="1">
      <c r="A3844" s="234"/>
      <c r="B3844" s="233"/>
      <c r="C3844" s="238"/>
      <c r="E3844" s="545"/>
      <c r="F3844" s="546"/>
      <c r="G3844" s="234"/>
      <c r="H3844" s="238"/>
      <c r="I3844" s="237"/>
    </row>
    <row r="3845" spans="1:9" s="232" customFormat="1" ht="17" customHeight="1">
      <c r="A3845" s="234"/>
      <c r="B3845" s="233"/>
      <c r="C3845" s="238"/>
      <c r="E3845" s="545"/>
      <c r="F3845" s="546"/>
      <c r="G3845" s="234"/>
      <c r="H3845" s="238"/>
      <c r="I3845" s="237"/>
    </row>
    <row r="3846" spans="1:9" s="232" customFormat="1" ht="17" customHeight="1">
      <c r="A3846" s="234"/>
      <c r="B3846" s="233"/>
      <c r="C3846" s="238"/>
      <c r="E3846" s="545"/>
      <c r="F3846" s="546"/>
      <c r="G3846" s="234"/>
      <c r="H3846" s="238"/>
      <c r="I3846" s="237"/>
    </row>
    <row r="3847" spans="1:9" s="232" customFormat="1" ht="17" customHeight="1">
      <c r="A3847" s="234"/>
      <c r="B3847" s="233"/>
      <c r="C3847" s="238"/>
      <c r="E3847" s="545"/>
      <c r="F3847" s="546"/>
      <c r="G3847" s="234"/>
      <c r="H3847" s="238"/>
      <c r="I3847" s="237"/>
    </row>
    <row r="3848" spans="1:9" s="232" customFormat="1" ht="17" customHeight="1">
      <c r="A3848" s="234"/>
      <c r="B3848" s="233"/>
      <c r="C3848" s="238"/>
      <c r="E3848" s="545"/>
      <c r="F3848" s="546"/>
      <c r="G3848" s="234"/>
      <c r="H3848" s="238"/>
      <c r="I3848" s="237"/>
    </row>
    <row r="3849" spans="1:9" s="232" customFormat="1" ht="17" customHeight="1">
      <c r="A3849" s="234"/>
      <c r="B3849" s="233"/>
      <c r="C3849" s="238"/>
      <c r="E3849" s="545"/>
      <c r="F3849" s="546"/>
      <c r="G3849" s="234"/>
      <c r="H3849" s="238"/>
      <c r="I3849" s="237"/>
    </row>
    <row r="3850" spans="1:9" s="232" customFormat="1" ht="17" customHeight="1">
      <c r="A3850" s="234"/>
      <c r="B3850" s="233"/>
      <c r="C3850" s="238"/>
      <c r="E3850" s="545"/>
      <c r="F3850" s="546"/>
      <c r="G3850" s="234"/>
      <c r="H3850" s="238"/>
      <c r="I3850" s="237"/>
    </row>
    <row r="3851" spans="1:9" s="232" customFormat="1" ht="17" customHeight="1">
      <c r="A3851" s="234"/>
      <c r="B3851" s="233"/>
      <c r="C3851" s="238"/>
      <c r="E3851" s="545"/>
      <c r="F3851" s="546"/>
      <c r="G3851" s="234"/>
      <c r="H3851" s="238"/>
      <c r="I3851" s="237"/>
    </row>
    <row r="3852" spans="1:9" s="232" customFormat="1" ht="17" customHeight="1">
      <c r="A3852" s="234"/>
      <c r="B3852" s="233"/>
      <c r="C3852" s="238"/>
      <c r="E3852" s="545"/>
      <c r="F3852" s="546"/>
      <c r="G3852" s="234"/>
      <c r="H3852" s="238"/>
      <c r="I3852" s="237"/>
    </row>
    <row r="3853" spans="1:9" s="232" customFormat="1" ht="17" customHeight="1">
      <c r="A3853" s="234"/>
      <c r="B3853" s="233"/>
      <c r="C3853" s="238"/>
      <c r="E3853" s="545"/>
      <c r="F3853" s="546"/>
      <c r="G3853" s="234"/>
      <c r="H3853" s="238"/>
      <c r="I3853" s="237"/>
    </row>
    <row r="3854" spans="1:9" s="232" customFormat="1" ht="17" customHeight="1">
      <c r="A3854" s="234"/>
      <c r="B3854" s="233"/>
      <c r="C3854" s="238"/>
      <c r="E3854" s="545"/>
      <c r="F3854" s="546"/>
      <c r="G3854" s="234"/>
      <c r="H3854" s="238"/>
      <c r="I3854" s="237"/>
    </row>
    <row r="3855" spans="1:9" s="232" customFormat="1" ht="17" customHeight="1">
      <c r="A3855" s="234"/>
      <c r="B3855" s="233"/>
      <c r="C3855" s="238"/>
      <c r="E3855" s="545"/>
      <c r="F3855" s="546"/>
      <c r="G3855" s="234"/>
      <c r="H3855" s="238"/>
      <c r="I3855" s="237"/>
    </row>
    <row r="3856" spans="1:9" s="232" customFormat="1" ht="17" customHeight="1">
      <c r="A3856" s="234"/>
      <c r="B3856" s="233"/>
      <c r="C3856" s="238"/>
      <c r="E3856" s="545"/>
      <c r="F3856" s="546"/>
      <c r="G3856" s="234"/>
      <c r="H3856" s="238"/>
      <c r="I3856" s="237"/>
    </row>
    <row r="3857" spans="1:9" s="232" customFormat="1" ht="17" customHeight="1">
      <c r="A3857" s="234"/>
      <c r="B3857" s="233"/>
      <c r="C3857" s="238"/>
      <c r="E3857" s="545"/>
      <c r="F3857" s="546"/>
      <c r="G3857" s="234"/>
      <c r="H3857" s="238"/>
      <c r="I3857" s="237"/>
    </row>
    <row r="3858" spans="1:9" s="232" customFormat="1" ht="17" customHeight="1">
      <c r="A3858" s="234"/>
      <c r="B3858" s="233"/>
      <c r="C3858" s="238"/>
      <c r="E3858" s="545"/>
      <c r="F3858" s="546"/>
      <c r="G3858" s="234"/>
      <c r="H3858" s="238"/>
      <c r="I3858" s="237"/>
    </row>
    <row r="3859" spans="1:9" s="232" customFormat="1" ht="17" customHeight="1">
      <c r="A3859" s="234"/>
      <c r="B3859" s="233"/>
      <c r="C3859" s="238"/>
      <c r="E3859" s="545"/>
      <c r="F3859" s="546"/>
      <c r="G3859" s="234"/>
      <c r="H3859" s="238"/>
      <c r="I3859" s="237"/>
    </row>
    <row r="3860" spans="1:9" s="232" customFormat="1" ht="17" customHeight="1">
      <c r="A3860" s="234"/>
      <c r="B3860" s="233"/>
      <c r="C3860" s="238"/>
      <c r="E3860" s="545"/>
      <c r="F3860" s="546"/>
      <c r="G3860" s="234"/>
      <c r="H3860" s="238"/>
      <c r="I3860" s="237"/>
    </row>
    <row r="3861" spans="1:9" s="232" customFormat="1" ht="17" customHeight="1">
      <c r="A3861" s="234"/>
      <c r="B3861" s="233"/>
      <c r="C3861" s="238"/>
      <c r="E3861" s="545"/>
      <c r="F3861" s="546"/>
      <c r="G3861" s="234"/>
      <c r="H3861" s="238"/>
      <c r="I3861" s="237"/>
    </row>
    <row r="3862" spans="1:9" s="232" customFormat="1" ht="17" customHeight="1">
      <c r="A3862" s="234"/>
      <c r="B3862" s="233"/>
      <c r="C3862" s="238"/>
      <c r="E3862" s="545"/>
      <c r="F3862" s="546"/>
      <c r="G3862" s="234"/>
      <c r="H3862" s="238"/>
      <c r="I3862" s="237"/>
    </row>
    <row r="3863" spans="1:9" s="232" customFormat="1" ht="17" customHeight="1">
      <c r="A3863" s="234"/>
      <c r="B3863" s="233"/>
      <c r="C3863" s="238"/>
      <c r="E3863" s="545"/>
      <c r="F3863" s="546"/>
      <c r="G3863" s="234"/>
      <c r="H3863" s="238"/>
      <c r="I3863" s="237"/>
    </row>
    <row r="3864" spans="1:9" s="232" customFormat="1" ht="17" customHeight="1">
      <c r="A3864" s="234"/>
      <c r="B3864" s="233"/>
      <c r="C3864" s="238"/>
      <c r="E3864" s="545"/>
      <c r="F3864" s="546"/>
      <c r="G3864" s="234"/>
      <c r="H3864" s="238"/>
      <c r="I3864" s="237"/>
    </row>
    <row r="3865" spans="1:9" s="232" customFormat="1" ht="17" customHeight="1">
      <c r="A3865" s="234"/>
      <c r="B3865" s="233"/>
      <c r="C3865" s="238"/>
      <c r="E3865" s="545"/>
      <c r="F3865" s="546"/>
      <c r="G3865" s="234"/>
      <c r="H3865" s="238"/>
      <c r="I3865" s="237"/>
    </row>
    <row r="3866" spans="1:9" s="232" customFormat="1" ht="17" customHeight="1">
      <c r="A3866" s="234"/>
      <c r="B3866" s="233"/>
      <c r="C3866" s="238"/>
      <c r="E3866" s="545"/>
      <c r="F3866" s="546"/>
      <c r="G3866" s="234"/>
      <c r="H3866" s="238"/>
      <c r="I3866" s="237"/>
    </row>
    <row r="3867" spans="1:9" s="232" customFormat="1" ht="17" customHeight="1">
      <c r="A3867" s="234"/>
      <c r="B3867" s="233"/>
      <c r="C3867" s="238"/>
      <c r="E3867" s="545"/>
      <c r="F3867" s="546"/>
      <c r="G3867" s="234"/>
      <c r="H3867" s="238"/>
      <c r="I3867" s="237"/>
    </row>
    <row r="3868" spans="1:9" s="232" customFormat="1" ht="17" customHeight="1">
      <c r="A3868" s="234"/>
      <c r="B3868" s="233"/>
      <c r="C3868" s="238"/>
      <c r="E3868" s="545"/>
      <c r="F3868" s="546"/>
      <c r="G3868" s="234"/>
      <c r="H3868" s="238"/>
      <c r="I3868" s="237"/>
    </row>
    <row r="3869" spans="1:9" s="232" customFormat="1" ht="17" customHeight="1">
      <c r="A3869" s="234"/>
      <c r="B3869" s="233"/>
      <c r="C3869" s="238"/>
      <c r="E3869" s="545"/>
      <c r="F3869" s="546"/>
      <c r="G3869" s="234"/>
      <c r="H3869" s="238"/>
      <c r="I3869" s="237"/>
    </row>
    <row r="3870" spans="1:9" s="232" customFormat="1" ht="17" customHeight="1">
      <c r="A3870" s="234"/>
      <c r="B3870" s="233"/>
      <c r="C3870" s="238"/>
      <c r="E3870" s="545"/>
      <c r="F3870" s="546"/>
      <c r="G3870" s="234"/>
      <c r="H3870" s="238"/>
      <c r="I3870" s="237"/>
    </row>
    <row r="3871" spans="1:9" s="232" customFormat="1" ht="17" customHeight="1">
      <c r="A3871" s="234"/>
      <c r="B3871" s="233"/>
      <c r="C3871" s="238"/>
      <c r="E3871" s="545"/>
      <c r="F3871" s="546"/>
      <c r="G3871" s="234"/>
      <c r="H3871" s="238"/>
      <c r="I3871" s="237"/>
    </row>
    <row r="3872" spans="1:9" s="232" customFormat="1" ht="17" customHeight="1">
      <c r="A3872" s="234"/>
      <c r="B3872" s="233"/>
      <c r="C3872" s="238"/>
      <c r="E3872" s="545"/>
      <c r="F3872" s="546"/>
      <c r="G3872" s="234"/>
      <c r="H3872" s="238"/>
      <c r="I3872" s="237"/>
    </row>
    <row r="3873" spans="1:9" s="232" customFormat="1" ht="17" customHeight="1">
      <c r="A3873" s="234"/>
      <c r="B3873" s="233"/>
      <c r="C3873" s="238"/>
      <c r="E3873" s="545"/>
      <c r="F3873" s="546"/>
      <c r="G3873" s="234"/>
      <c r="H3873" s="238"/>
      <c r="I3873" s="237"/>
    </row>
    <row r="3874" spans="1:9" s="232" customFormat="1" ht="17" customHeight="1">
      <c r="A3874" s="234"/>
      <c r="B3874" s="233"/>
      <c r="C3874" s="238"/>
      <c r="E3874" s="545"/>
      <c r="F3874" s="546"/>
      <c r="G3874" s="234"/>
      <c r="H3874" s="238"/>
      <c r="I3874" s="237"/>
    </row>
    <row r="3875" spans="1:9" s="232" customFormat="1" ht="17" customHeight="1">
      <c r="A3875" s="234"/>
      <c r="B3875" s="233"/>
      <c r="C3875" s="238"/>
      <c r="E3875" s="545"/>
      <c r="F3875" s="546"/>
      <c r="G3875" s="234"/>
      <c r="H3875" s="238"/>
      <c r="I3875" s="237"/>
    </row>
    <row r="3876" spans="1:9" s="232" customFormat="1" ht="17" customHeight="1">
      <c r="A3876" s="234"/>
      <c r="B3876" s="233"/>
      <c r="C3876" s="238"/>
      <c r="E3876" s="545"/>
      <c r="F3876" s="546"/>
      <c r="G3876" s="234"/>
      <c r="H3876" s="238"/>
      <c r="I3876" s="237"/>
    </row>
    <row r="3877" spans="1:9" s="232" customFormat="1" ht="17" customHeight="1">
      <c r="A3877" s="234"/>
      <c r="B3877" s="233"/>
      <c r="C3877" s="238"/>
      <c r="E3877" s="545"/>
      <c r="F3877" s="546"/>
      <c r="G3877" s="234"/>
      <c r="H3877" s="238"/>
      <c r="I3877" s="237"/>
    </row>
    <row r="3878" spans="1:9" s="232" customFormat="1" ht="17" customHeight="1">
      <c r="A3878" s="234"/>
      <c r="B3878" s="233"/>
      <c r="C3878" s="238"/>
      <c r="E3878" s="545"/>
      <c r="F3878" s="546"/>
      <c r="G3878" s="234"/>
      <c r="H3878" s="238"/>
      <c r="I3878" s="237"/>
    </row>
    <row r="3879" spans="1:9" s="232" customFormat="1" ht="17" customHeight="1">
      <c r="A3879" s="234"/>
      <c r="B3879" s="233"/>
      <c r="C3879" s="238"/>
      <c r="E3879" s="545"/>
      <c r="F3879" s="546"/>
      <c r="G3879" s="234"/>
      <c r="H3879" s="238"/>
      <c r="I3879" s="237"/>
    </row>
    <row r="3880" spans="1:9" s="232" customFormat="1" ht="17" customHeight="1">
      <c r="A3880" s="234"/>
      <c r="B3880" s="233"/>
      <c r="C3880" s="238"/>
      <c r="E3880" s="545"/>
      <c r="F3880" s="546"/>
      <c r="G3880" s="234"/>
      <c r="H3880" s="238"/>
      <c r="I3880" s="237"/>
    </row>
    <row r="3881" spans="1:9" s="232" customFormat="1" ht="17" customHeight="1">
      <c r="A3881" s="234"/>
      <c r="B3881" s="233"/>
      <c r="C3881" s="238"/>
      <c r="E3881" s="545"/>
      <c r="F3881" s="546"/>
      <c r="G3881" s="234"/>
      <c r="H3881" s="238"/>
      <c r="I3881" s="237"/>
    </row>
    <row r="3882" spans="1:9" s="232" customFormat="1" ht="17" customHeight="1">
      <c r="A3882" s="234"/>
      <c r="B3882" s="233"/>
      <c r="C3882" s="238"/>
      <c r="E3882" s="545"/>
      <c r="F3882" s="546"/>
      <c r="G3882" s="234"/>
      <c r="H3882" s="238"/>
      <c r="I3882" s="237"/>
    </row>
    <row r="3883" spans="1:9" s="232" customFormat="1" ht="17" customHeight="1">
      <c r="A3883" s="234"/>
      <c r="B3883" s="233"/>
      <c r="C3883" s="238"/>
      <c r="E3883" s="545"/>
      <c r="F3883" s="546"/>
      <c r="G3883" s="234"/>
      <c r="H3883" s="238"/>
      <c r="I3883" s="237"/>
    </row>
    <row r="3884" spans="1:9" s="232" customFormat="1" ht="17" customHeight="1">
      <c r="A3884" s="234"/>
      <c r="B3884" s="233"/>
      <c r="C3884" s="238"/>
      <c r="E3884" s="545"/>
      <c r="F3884" s="546"/>
      <c r="G3884" s="234"/>
      <c r="H3884" s="238"/>
      <c r="I3884" s="237"/>
    </row>
    <row r="3885" spans="1:9" s="232" customFormat="1" ht="17" customHeight="1">
      <c r="A3885" s="234"/>
      <c r="B3885" s="233"/>
      <c r="C3885" s="238"/>
      <c r="E3885" s="545"/>
      <c r="F3885" s="546"/>
      <c r="G3885" s="234"/>
      <c r="H3885" s="238"/>
      <c r="I3885" s="237"/>
    </row>
    <row r="3886" spans="1:9" s="232" customFormat="1" ht="17" customHeight="1">
      <c r="A3886" s="234"/>
      <c r="B3886" s="233"/>
      <c r="C3886" s="238"/>
      <c r="E3886" s="545"/>
      <c r="F3886" s="546"/>
      <c r="G3886" s="234"/>
      <c r="H3886" s="238"/>
      <c r="I3886" s="237"/>
    </row>
    <row r="3887" spans="1:9" s="232" customFormat="1" ht="17" customHeight="1">
      <c r="A3887" s="234"/>
      <c r="B3887" s="233"/>
      <c r="C3887" s="238"/>
      <c r="E3887" s="545"/>
      <c r="F3887" s="546"/>
      <c r="G3887" s="234"/>
      <c r="H3887" s="238"/>
      <c r="I3887" s="237"/>
    </row>
    <row r="3888" spans="1:9" s="232" customFormat="1" ht="17" customHeight="1">
      <c r="A3888" s="234"/>
      <c r="B3888" s="233"/>
      <c r="C3888" s="238"/>
      <c r="E3888" s="545"/>
      <c r="F3888" s="546"/>
      <c r="G3888" s="234"/>
      <c r="H3888" s="238"/>
      <c r="I3888" s="237"/>
    </row>
    <row r="3889" spans="1:9" s="232" customFormat="1" ht="17" customHeight="1">
      <c r="A3889" s="234"/>
      <c r="B3889" s="233"/>
      <c r="C3889" s="238"/>
      <c r="E3889" s="545"/>
      <c r="F3889" s="546"/>
      <c r="G3889" s="234"/>
      <c r="H3889" s="238"/>
      <c r="I3889" s="237"/>
    </row>
    <row r="3890" spans="1:9" s="232" customFormat="1" ht="17" customHeight="1">
      <c r="A3890" s="234"/>
      <c r="B3890" s="233"/>
      <c r="C3890" s="238"/>
      <c r="E3890" s="545"/>
      <c r="F3890" s="546"/>
      <c r="G3890" s="234"/>
      <c r="H3890" s="238"/>
      <c r="I3890" s="237"/>
    </row>
    <row r="3891" spans="1:9" s="232" customFormat="1" ht="17" customHeight="1">
      <c r="A3891" s="234"/>
      <c r="B3891" s="233"/>
      <c r="C3891" s="238"/>
      <c r="E3891" s="545"/>
      <c r="F3891" s="546"/>
      <c r="G3891" s="234"/>
      <c r="H3891" s="238"/>
      <c r="I3891" s="237"/>
    </row>
    <row r="3892" spans="1:9" s="232" customFormat="1" ht="17" customHeight="1">
      <c r="A3892" s="234"/>
      <c r="B3892" s="233"/>
      <c r="C3892" s="238"/>
      <c r="E3892" s="545"/>
      <c r="F3892" s="546"/>
      <c r="G3892" s="234"/>
      <c r="H3892" s="238"/>
      <c r="I3892" s="237"/>
    </row>
    <row r="3893" spans="1:9" s="232" customFormat="1" ht="17" customHeight="1">
      <c r="A3893" s="234"/>
      <c r="B3893" s="233"/>
      <c r="C3893" s="238"/>
      <c r="E3893" s="545"/>
      <c r="F3893" s="546"/>
      <c r="G3893" s="234"/>
      <c r="H3893" s="238"/>
      <c r="I3893" s="237"/>
    </row>
    <row r="3894" spans="1:9" s="232" customFormat="1" ht="17" customHeight="1">
      <c r="A3894" s="234"/>
      <c r="B3894" s="233"/>
      <c r="C3894" s="238"/>
      <c r="E3894" s="545"/>
      <c r="F3894" s="546"/>
      <c r="G3894" s="234"/>
      <c r="H3894" s="238"/>
      <c r="I3894" s="237"/>
    </row>
    <row r="3895" spans="1:9" s="232" customFormat="1" ht="17" customHeight="1">
      <c r="A3895" s="234"/>
      <c r="B3895" s="233"/>
      <c r="C3895" s="238"/>
      <c r="E3895" s="545"/>
      <c r="F3895" s="546"/>
      <c r="G3895" s="234"/>
      <c r="H3895" s="238"/>
      <c r="I3895" s="237"/>
    </row>
    <row r="3896" spans="1:9" s="232" customFormat="1" ht="17" customHeight="1">
      <c r="A3896" s="234"/>
      <c r="B3896" s="233"/>
      <c r="C3896" s="238"/>
      <c r="E3896" s="545"/>
      <c r="F3896" s="546"/>
      <c r="G3896" s="234"/>
      <c r="H3896" s="238"/>
      <c r="I3896" s="237"/>
    </row>
    <row r="3897" spans="1:9" s="232" customFormat="1" ht="17" customHeight="1">
      <c r="A3897" s="234"/>
      <c r="B3897" s="233"/>
      <c r="C3897" s="238"/>
      <c r="E3897" s="545"/>
      <c r="F3897" s="546"/>
      <c r="G3897" s="234"/>
      <c r="H3897" s="238"/>
      <c r="I3897" s="237"/>
    </row>
    <row r="3898" spans="1:9" s="232" customFormat="1" ht="17" customHeight="1">
      <c r="A3898" s="234"/>
      <c r="B3898" s="233"/>
      <c r="C3898" s="238"/>
      <c r="E3898" s="545"/>
      <c r="F3898" s="546"/>
      <c r="G3898" s="234"/>
      <c r="H3898" s="238"/>
      <c r="I3898" s="237"/>
    </row>
    <row r="3899" spans="1:9" s="232" customFormat="1" ht="17" customHeight="1">
      <c r="A3899" s="234"/>
      <c r="B3899" s="233"/>
      <c r="C3899" s="238"/>
      <c r="E3899" s="545"/>
      <c r="F3899" s="546"/>
      <c r="G3899" s="234"/>
      <c r="H3899" s="238"/>
      <c r="I3899" s="237"/>
    </row>
    <row r="3900" spans="1:9" s="232" customFormat="1" ht="17" customHeight="1">
      <c r="A3900" s="234"/>
      <c r="B3900" s="233"/>
      <c r="C3900" s="238"/>
      <c r="E3900" s="545"/>
      <c r="F3900" s="546"/>
      <c r="G3900" s="234"/>
      <c r="H3900" s="238"/>
      <c r="I3900" s="237"/>
    </row>
    <row r="3901" spans="1:9" s="232" customFormat="1" ht="17" customHeight="1">
      <c r="A3901" s="234"/>
      <c r="B3901" s="233"/>
      <c r="C3901" s="238"/>
      <c r="E3901" s="545"/>
      <c r="F3901" s="546"/>
      <c r="G3901" s="234"/>
      <c r="H3901" s="238"/>
      <c r="I3901" s="237"/>
    </row>
    <row r="3902" spans="1:9" s="232" customFormat="1" ht="17" customHeight="1">
      <c r="A3902" s="234"/>
      <c r="B3902" s="233"/>
      <c r="C3902" s="238"/>
      <c r="E3902" s="545"/>
      <c r="F3902" s="546"/>
      <c r="G3902" s="234"/>
      <c r="H3902" s="238"/>
      <c r="I3902" s="237"/>
    </row>
    <row r="3903" spans="1:9" s="232" customFormat="1" ht="17" customHeight="1">
      <c r="A3903" s="234"/>
      <c r="B3903" s="233"/>
      <c r="C3903" s="238"/>
      <c r="E3903" s="545"/>
      <c r="F3903" s="546"/>
      <c r="G3903" s="234"/>
      <c r="H3903" s="238"/>
      <c r="I3903" s="237"/>
    </row>
    <row r="3904" spans="1:9" s="232" customFormat="1" ht="17" customHeight="1">
      <c r="A3904" s="234"/>
      <c r="B3904" s="233"/>
      <c r="C3904" s="238"/>
      <c r="E3904" s="545"/>
      <c r="F3904" s="546"/>
      <c r="G3904" s="234"/>
      <c r="H3904" s="238"/>
      <c r="I3904" s="237"/>
    </row>
    <row r="3905" spans="1:9" s="232" customFormat="1" ht="17" customHeight="1">
      <c r="A3905" s="234"/>
      <c r="B3905" s="233"/>
      <c r="C3905" s="238"/>
      <c r="E3905" s="545"/>
      <c r="F3905" s="546"/>
      <c r="G3905" s="234"/>
      <c r="H3905" s="238"/>
      <c r="I3905" s="237"/>
    </row>
    <row r="3906" spans="1:9" s="232" customFormat="1" ht="17" customHeight="1">
      <c r="A3906" s="234"/>
      <c r="B3906" s="233"/>
      <c r="C3906" s="238"/>
      <c r="E3906" s="545"/>
      <c r="F3906" s="546"/>
      <c r="G3906" s="234"/>
      <c r="H3906" s="238"/>
      <c r="I3906" s="237"/>
    </row>
    <row r="3907" spans="1:9" s="232" customFormat="1" ht="17" customHeight="1">
      <c r="A3907" s="234"/>
      <c r="B3907" s="233"/>
      <c r="C3907" s="238"/>
      <c r="E3907" s="545"/>
      <c r="F3907" s="546"/>
      <c r="G3907" s="234"/>
      <c r="H3907" s="238"/>
      <c r="I3907" s="237"/>
    </row>
    <row r="3908" spans="1:9" s="232" customFormat="1" ht="17" customHeight="1">
      <c r="A3908" s="234"/>
      <c r="B3908" s="233"/>
      <c r="C3908" s="238"/>
      <c r="E3908" s="545"/>
      <c r="F3908" s="546"/>
      <c r="G3908" s="234"/>
      <c r="H3908" s="238"/>
      <c r="I3908" s="237"/>
    </row>
    <row r="3909" spans="1:9" s="232" customFormat="1" ht="17" customHeight="1">
      <c r="A3909" s="234"/>
      <c r="B3909" s="233"/>
      <c r="C3909" s="238"/>
      <c r="E3909" s="545"/>
      <c r="F3909" s="546"/>
      <c r="G3909" s="234"/>
      <c r="H3909" s="238"/>
      <c r="I3909" s="237"/>
    </row>
    <row r="3910" spans="1:9" s="232" customFormat="1" ht="17" customHeight="1">
      <c r="A3910" s="234"/>
      <c r="B3910" s="233"/>
      <c r="C3910" s="238"/>
      <c r="E3910" s="545"/>
      <c r="F3910" s="546"/>
      <c r="G3910" s="234"/>
      <c r="H3910" s="238"/>
      <c r="I3910" s="237"/>
    </row>
    <row r="3911" spans="1:9" s="232" customFormat="1" ht="17" customHeight="1">
      <c r="A3911" s="234"/>
      <c r="B3911" s="233"/>
      <c r="C3911" s="238"/>
      <c r="E3911" s="545"/>
      <c r="F3911" s="546"/>
      <c r="G3911" s="234"/>
      <c r="H3911" s="238"/>
      <c r="I3911" s="237"/>
    </row>
    <row r="3912" spans="1:9" s="232" customFormat="1" ht="17" customHeight="1">
      <c r="A3912" s="234"/>
      <c r="B3912" s="233"/>
      <c r="C3912" s="238"/>
      <c r="E3912" s="545"/>
      <c r="F3912" s="546"/>
      <c r="G3912" s="234"/>
      <c r="H3912" s="238"/>
      <c r="I3912" s="237"/>
    </row>
    <row r="3913" spans="1:9" s="232" customFormat="1" ht="17" customHeight="1">
      <c r="A3913" s="234"/>
      <c r="B3913" s="233"/>
      <c r="C3913" s="238"/>
      <c r="E3913" s="545"/>
      <c r="F3913" s="546"/>
      <c r="G3913" s="234"/>
      <c r="H3913" s="238"/>
      <c r="I3913" s="237"/>
    </row>
    <row r="3914" spans="1:9" s="232" customFormat="1" ht="17" customHeight="1">
      <c r="A3914" s="234"/>
      <c r="B3914" s="233"/>
      <c r="C3914" s="238"/>
      <c r="E3914" s="545"/>
      <c r="F3914" s="546"/>
      <c r="G3914" s="234"/>
      <c r="H3914" s="238"/>
      <c r="I3914" s="237"/>
    </row>
    <row r="3915" spans="1:9" s="232" customFormat="1" ht="17" customHeight="1">
      <c r="A3915" s="234"/>
      <c r="B3915" s="233"/>
      <c r="C3915" s="238"/>
      <c r="E3915" s="545"/>
      <c r="F3915" s="546"/>
      <c r="G3915" s="234"/>
      <c r="H3915" s="238"/>
      <c r="I3915" s="237"/>
    </row>
    <row r="3916" spans="1:9" s="232" customFormat="1" ht="17" customHeight="1">
      <c r="A3916" s="234"/>
      <c r="B3916" s="233"/>
      <c r="C3916" s="238"/>
      <c r="E3916" s="545"/>
      <c r="F3916" s="546"/>
      <c r="G3916" s="234"/>
      <c r="H3916" s="238"/>
      <c r="I3916" s="237"/>
    </row>
    <row r="3917" spans="1:9" s="232" customFormat="1" ht="17" customHeight="1">
      <c r="A3917" s="234"/>
      <c r="B3917" s="233"/>
      <c r="C3917" s="238"/>
      <c r="E3917" s="545"/>
      <c r="F3917" s="546"/>
      <c r="G3917" s="234"/>
      <c r="H3917" s="238"/>
      <c r="I3917" s="237"/>
    </row>
    <row r="3918" spans="1:9" s="232" customFormat="1" ht="17" customHeight="1">
      <c r="A3918" s="234"/>
      <c r="B3918" s="233"/>
      <c r="C3918" s="238"/>
      <c r="E3918" s="545"/>
      <c r="F3918" s="546"/>
      <c r="G3918" s="234"/>
      <c r="H3918" s="238"/>
      <c r="I3918" s="237"/>
    </row>
    <row r="3919" spans="1:9" s="232" customFormat="1" ht="17" customHeight="1">
      <c r="A3919" s="234"/>
      <c r="B3919" s="233"/>
      <c r="C3919" s="238"/>
      <c r="E3919" s="545"/>
      <c r="F3919" s="546"/>
      <c r="G3919" s="234"/>
      <c r="H3919" s="238"/>
      <c r="I3919" s="237"/>
    </row>
    <row r="3920" spans="1:9" s="232" customFormat="1" ht="17" customHeight="1">
      <c r="A3920" s="234"/>
      <c r="B3920" s="233"/>
      <c r="C3920" s="238"/>
      <c r="E3920" s="545"/>
      <c r="F3920" s="546"/>
      <c r="G3920" s="234"/>
      <c r="H3920" s="238"/>
      <c r="I3920" s="237"/>
    </row>
    <row r="3921" spans="1:9" s="232" customFormat="1" ht="17" customHeight="1">
      <c r="A3921" s="234"/>
      <c r="B3921" s="233"/>
      <c r="C3921" s="238"/>
      <c r="E3921" s="545"/>
      <c r="F3921" s="546"/>
      <c r="G3921" s="234"/>
      <c r="H3921" s="238"/>
      <c r="I3921" s="237"/>
    </row>
    <row r="3922" spans="1:9" s="232" customFormat="1" ht="17" customHeight="1">
      <c r="A3922" s="234"/>
      <c r="B3922" s="233"/>
      <c r="C3922" s="238"/>
      <c r="E3922" s="545"/>
      <c r="F3922" s="546"/>
      <c r="G3922" s="234"/>
      <c r="H3922" s="238"/>
      <c r="I3922" s="237"/>
    </row>
    <row r="3923" spans="1:9" s="232" customFormat="1" ht="17" customHeight="1">
      <c r="A3923" s="234"/>
      <c r="B3923" s="233"/>
      <c r="C3923" s="238"/>
      <c r="E3923" s="545"/>
      <c r="F3923" s="546"/>
      <c r="G3923" s="234"/>
      <c r="H3923" s="238"/>
      <c r="I3923" s="237"/>
    </row>
    <row r="3924" spans="1:9" s="232" customFormat="1" ht="17" customHeight="1">
      <c r="A3924" s="234"/>
      <c r="B3924" s="233"/>
      <c r="C3924" s="238"/>
      <c r="E3924" s="545"/>
      <c r="F3924" s="546"/>
      <c r="G3924" s="234"/>
      <c r="H3924" s="238"/>
      <c r="I3924" s="237"/>
    </row>
    <row r="3925" spans="1:9" s="232" customFormat="1" ht="17" customHeight="1">
      <c r="A3925" s="234"/>
      <c r="B3925" s="233"/>
      <c r="C3925" s="238"/>
      <c r="E3925" s="545"/>
      <c r="F3925" s="546"/>
      <c r="G3925" s="234"/>
      <c r="H3925" s="238"/>
      <c r="I3925" s="237"/>
    </row>
    <row r="3926" spans="1:9" s="232" customFormat="1" ht="17" customHeight="1">
      <c r="A3926" s="234"/>
      <c r="B3926" s="233"/>
      <c r="C3926" s="238"/>
      <c r="E3926" s="545"/>
      <c r="F3926" s="546"/>
      <c r="G3926" s="234"/>
      <c r="H3926" s="238"/>
      <c r="I3926" s="237"/>
    </row>
    <row r="3927" spans="1:9" s="232" customFormat="1" ht="17" customHeight="1">
      <c r="A3927" s="234"/>
      <c r="B3927" s="233"/>
      <c r="C3927" s="238"/>
      <c r="E3927" s="545"/>
      <c r="F3927" s="546"/>
      <c r="G3927" s="234"/>
      <c r="H3927" s="238"/>
      <c r="I3927" s="237"/>
    </row>
    <row r="3928" spans="1:9" s="232" customFormat="1" ht="17" customHeight="1">
      <c r="A3928" s="234"/>
      <c r="B3928" s="233"/>
      <c r="C3928" s="238"/>
      <c r="E3928" s="545"/>
      <c r="F3928" s="546"/>
      <c r="G3928" s="234"/>
      <c r="H3928" s="238"/>
      <c r="I3928" s="237"/>
    </row>
    <row r="3929" spans="1:9" s="232" customFormat="1" ht="17" customHeight="1">
      <c r="A3929" s="234"/>
      <c r="B3929" s="233"/>
      <c r="C3929" s="238"/>
      <c r="E3929" s="545"/>
      <c r="F3929" s="546"/>
      <c r="G3929" s="234"/>
      <c r="H3929" s="238"/>
      <c r="I3929" s="237"/>
    </row>
    <row r="3930" spans="1:9" s="232" customFormat="1" ht="17" customHeight="1">
      <c r="A3930" s="234"/>
      <c r="B3930" s="233"/>
      <c r="C3930" s="238"/>
      <c r="E3930" s="545"/>
      <c r="F3930" s="546"/>
      <c r="G3930" s="234"/>
      <c r="H3930" s="238"/>
      <c r="I3930" s="237"/>
    </row>
    <row r="3931" spans="1:9" s="232" customFormat="1" ht="17" customHeight="1">
      <c r="A3931" s="234"/>
      <c r="B3931" s="233"/>
      <c r="C3931" s="238"/>
      <c r="E3931" s="545"/>
      <c r="F3931" s="546"/>
      <c r="G3931" s="234"/>
      <c r="H3931" s="238"/>
      <c r="I3931" s="237"/>
    </row>
    <row r="3932" spans="1:9" s="232" customFormat="1" ht="17" customHeight="1">
      <c r="A3932" s="234"/>
      <c r="B3932" s="233"/>
      <c r="C3932" s="238"/>
      <c r="E3932" s="545"/>
      <c r="F3932" s="546"/>
      <c r="G3932" s="234"/>
      <c r="H3932" s="238"/>
      <c r="I3932" s="237"/>
    </row>
    <row r="3933" spans="1:9" s="232" customFormat="1" ht="17" customHeight="1">
      <c r="A3933" s="234"/>
      <c r="B3933" s="233"/>
      <c r="C3933" s="238"/>
      <c r="E3933" s="545"/>
      <c r="F3933" s="546"/>
      <c r="G3933" s="234"/>
      <c r="H3933" s="238"/>
      <c r="I3933" s="237"/>
    </row>
    <row r="3934" spans="1:9" s="232" customFormat="1" ht="17" customHeight="1">
      <c r="A3934" s="234"/>
      <c r="B3934" s="233"/>
      <c r="C3934" s="238"/>
      <c r="E3934" s="545"/>
      <c r="F3934" s="546"/>
      <c r="G3934" s="234"/>
      <c r="H3934" s="238"/>
      <c r="I3934" s="237"/>
    </row>
    <row r="3935" spans="1:9" s="232" customFormat="1" ht="17" customHeight="1">
      <c r="A3935" s="234"/>
      <c r="B3935" s="233"/>
      <c r="C3935" s="238"/>
      <c r="E3935" s="545"/>
      <c r="F3935" s="546"/>
      <c r="G3935" s="234"/>
      <c r="H3935" s="238"/>
      <c r="I3935" s="237"/>
    </row>
    <row r="3936" spans="1:9" s="232" customFormat="1" ht="17" customHeight="1">
      <c r="A3936" s="234"/>
      <c r="B3936" s="233"/>
      <c r="C3936" s="238"/>
      <c r="E3936" s="545"/>
      <c r="F3936" s="546"/>
      <c r="G3936" s="234"/>
      <c r="H3936" s="238"/>
      <c r="I3936" s="237"/>
    </row>
    <row r="3937" spans="1:9" s="232" customFormat="1" ht="17" customHeight="1">
      <c r="A3937" s="234"/>
      <c r="B3937" s="233"/>
      <c r="C3937" s="238"/>
      <c r="E3937" s="545"/>
      <c r="F3937" s="546"/>
      <c r="G3937" s="234"/>
      <c r="H3937" s="238"/>
      <c r="I3937" s="237"/>
    </row>
    <row r="3938" spans="1:9" s="232" customFormat="1" ht="17" customHeight="1">
      <c r="A3938" s="234"/>
      <c r="B3938" s="233"/>
      <c r="C3938" s="238"/>
      <c r="E3938" s="545"/>
      <c r="F3938" s="546"/>
      <c r="G3938" s="234"/>
      <c r="H3938" s="238"/>
      <c r="I3938" s="237"/>
    </row>
    <row r="3939" spans="1:9" s="232" customFormat="1" ht="17" customHeight="1">
      <c r="A3939" s="234"/>
      <c r="B3939" s="233"/>
      <c r="C3939" s="238"/>
      <c r="E3939" s="545"/>
      <c r="F3939" s="546"/>
      <c r="G3939" s="234"/>
      <c r="H3939" s="238"/>
      <c r="I3939" s="237"/>
    </row>
    <row r="3940" spans="1:9" s="232" customFormat="1" ht="17" customHeight="1">
      <c r="A3940" s="234"/>
      <c r="B3940" s="233"/>
      <c r="C3940" s="238"/>
      <c r="E3940" s="545"/>
      <c r="F3940" s="546"/>
      <c r="G3940" s="234"/>
      <c r="H3940" s="238"/>
      <c r="I3940" s="237"/>
    </row>
    <row r="3941" spans="1:9" s="232" customFormat="1" ht="17" customHeight="1">
      <c r="A3941" s="234"/>
      <c r="B3941" s="233"/>
      <c r="C3941" s="238"/>
      <c r="E3941" s="545"/>
      <c r="F3941" s="546"/>
      <c r="G3941" s="234"/>
      <c r="H3941" s="238"/>
      <c r="I3941" s="237"/>
    </row>
    <row r="3942" spans="1:9" s="232" customFormat="1" ht="17" customHeight="1">
      <c r="A3942" s="234"/>
      <c r="B3942" s="233"/>
      <c r="C3942" s="238"/>
      <c r="E3942" s="545"/>
      <c r="F3942" s="546"/>
      <c r="G3942" s="234"/>
      <c r="H3942" s="238"/>
      <c r="I3942" s="237"/>
    </row>
    <row r="3943" spans="1:9" s="232" customFormat="1" ht="17" customHeight="1">
      <c r="A3943" s="234"/>
      <c r="B3943" s="233"/>
      <c r="C3943" s="238"/>
      <c r="E3943" s="545"/>
      <c r="F3943" s="546"/>
      <c r="G3943" s="234"/>
      <c r="H3943" s="238"/>
      <c r="I3943" s="237"/>
    </row>
    <row r="3944" spans="1:9" s="232" customFormat="1" ht="17" customHeight="1">
      <c r="A3944" s="234"/>
      <c r="B3944" s="233"/>
      <c r="C3944" s="238"/>
      <c r="E3944" s="545"/>
      <c r="F3944" s="546"/>
      <c r="G3944" s="234"/>
      <c r="H3944" s="238"/>
      <c r="I3944" s="237"/>
    </row>
    <row r="3945" spans="1:9" s="232" customFormat="1" ht="17" customHeight="1">
      <c r="A3945" s="234"/>
      <c r="B3945" s="233"/>
      <c r="C3945" s="238"/>
      <c r="E3945" s="545"/>
      <c r="F3945" s="546"/>
      <c r="G3945" s="234"/>
      <c r="H3945" s="238"/>
      <c r="I3945" s="237"/>
    </row>
    <row r="3946" spans="1:9" s="232" customFormat="1" ht="17" customHeight="1">
      <c r="A3946" s="234"/>
      <c r="B3946" s="233"/>
      <c r="C3946" s="238"/>
      <c r="E3946" s="545"/>
      <c r="F3946" s="546"/>
      <c r="G3946" s="234"/>
      <c r="H3946" s="238"/>
      <c r="I3946" s="237"/>
    </row>
    <row r="3947" spans="1:9" s="232" customFormat="1" ht="17" customHeight="1">
      <c r="A3947" s="234"/>
      <c r="B3947" s="233"/>
      <c r="C3947" s="238"/>
      <c r="E3947" s="545"/>
      <c r="F3947" s="546"/>
      <c r="G3947" s="234"/>
      <c r="H3947" s="238"/>
      <c r="I3947" s="237"/>
    </row>
    <row r="3948" spans="1:9" s="232" customFormat="1" ht="17" customHeight="1">
      <c r="A3948" s="234"/>
      <c r="B3948" s="233"/>
      <c r="C3948" s="238"/>
      <c r="E3948" s="545"/>
      <c r="F3948" s="546"/>
      <c r="G3948" s="234"/>
      <c r="H3948" s="238"/>
      <c r="I3948" s="237"/>
    </row>
    <row r="3949" spans="1:9" s="232" customFormat="1" ht="17" customHeight="1">
      <c r="A3949" s="234"/>
      <c r="B3949" s="233"/>
      <c r="C3949" s="238"/>
      <c r="E3949" s="545"/>
      <c r="F3949" s="546"/>
      <c r="G3949" s="234"/>
      <c r="H3949" s="238"/>
      <c r="I3949" s="237"/>
    </row>
    <row r="3950" spans="1:9" s="232" customFormat="1" ht="17" customHeight="1">
      <c r="A3950" s="234"/>
      <c r="B3950" s="233"/>
      <c r="C3950" s="238"/>
      <c r="E3950" s="545"/>
      <c r="F3950" s="546"/>
      <c r="G3950" s="234"/>
      <c r="H3950" s="238"/>
      <c r="I3950" s="237"/>
    </row>
    <row r="3951" spans="1:9" s="232" customFormat="1" ht="17" customHeight="1">
      <c r="A3951" s="234"/>
      <c r="B3951" s="233"/>
      <c r="C3951" s="238"/>
      <c r="E3951" s="545"/>
      <c r="F3951" s="546"/>
      <c r="G3951" s="234"/>
      <c r="H3951" s="238"/>
      <c r="I3951" s="237"/>
    </row>
    <row r="3952" spans="1:9" s="232" customFormat="1" ht="17" customHeight="1">
      <c r="A3952" s="234"/>
      <c r="B3952" s="233"/>
      <c r="C3952" s="238"/>
      <c r="E3952" s="545"/>
      <c r="F3952" s="546"/>
      <c r="G3952" s="234"/>
      <c r="H3952" s="238"/>
      <c r="I3952" s="237"/>
    </row>
    <row r="3953" spans="1:9" s="232" customFormat="1" ht="17" customHeight="1">
      <c r="A3953" s="234"/>
      <c r="B3953" s="233"/>
      <c r="C3953" s="238"/>
      <c r="E3953" s="545"/>
      <c r="F3953" s="546"/>
      <c r="G3953" s="234"/>
      <c r="H3953" s="238"/>
      <c r="I3953" s="237"/>
    </row>
    <row r="3954" spans="1:9" s="232" customFormat="1" ht="17" customHeight="1">
      <c r="A3954" s="234"/>
      <c r="B3954" s="233"/>
      <c r="C3954" s="238"/>
      <c r="E3954" s="545"/>
      <c r="F3954" s="546"/>
      <c r="G3954" s="234"/>
      <c r="H3954" s="238"/>
      <c r="I3954" s="237"/>
    </row>
    <row r="3955" spans="1:9" s="232" customFormat="1" ht="17" customHeight="1">
      <c r="A3955" s="234"/>
      <c r="B3955" s="233"/>
      <c r="C3955" s="238"/>
      <c r="E3955" s="545"/>
      <c r="F3955" s="546"/>
      <c r="G3955" s="234"/>
      <c r="H3955" s="238"/>
      <c r="I3955" s="237"/>
    </row>
    <row r="3956" spans="1:9" s="232" customFormat="1" ht="17" customHeight="1">
      <c r="A3956" s="234"/>
      <c r="B3956" s="233"/>
      <c r="C3956" s="238"/>
      <c r="E3956" s="545"/>
      <c r="F3956" s="546"/>
      <c r="G3956" s="234"/>
      <c r="H3956" s="238"/>
      <c r="I3956" s="237"/>
    </row>
    <row r="3957" spans="1:9" s="232" customFormat="1" ht="17" customHeight="1">
      <c r="A3957" s="234"/>
      <c r="B3957" s="233"/>
      <c r="C3957" s="238"/>
      <c r="E3957" s="545"/>
      <c r="F3957" s="546"/>
      <c r="G3957" s="234"/>
      <c r="H3957" s="238"/>
      <c r="I3957" s="237"/>
    </row>
    <row r="3958" spans="1:9" s="232" customFormat="1" ht="17" customHeight="1">
      <c r="A3958" s="234"/>
      <c r="B3958" s="233"/>
      <c r="C3958" s="238"/>
      <c r="E3958" s="545"/>
      <c r="F3958" s="546"/>
      <c r="G3958" s="234"/>
      <c r="H3958" s="238"/>
      <c r="I3958" s="237"/>
    </row>
    <row r="3959" spans="1:9" s="232" customFormat="1" ht="17" customHeight="1">
      <c r="A3959" s="234"/>
      <c r="B3959" s="233"/>
      <c r="C3959" s="238"/>
      <c r="E3959" s="545"/>
      <c r="F3959" s="546"/>
      <c r="G3959" s="234"/>
      <c r="H3959" s="238"/>
      <c r="I3959" s="237"/>
    </row>
    <row r="3960" spans="1:9" s="232" customFormat="1" ht="17" customHeight="1">
      <c r="A3960" s="234"/>
      <c r="B3960" s="233"/>
      <c r="C3960" s="238"/>
      <c r="E3960" s="545"/>
      <c r="F3960" s="546"/>
      <c r="G3960" s="234"/>
      <c r="H3960" s="238"/>
      <c r="I3960" s="237"/>
    </row>
    <row r="3961" spans="1:9" s="232" customFormat="1" ht="17" customHeight="1">
      <c r="A3961" s="234"/>
      <c r="B3961" s="233"/>
      <c r="C3961" s="238"/>
      <c r="E3961" s="545"/>
      <c r="F3961" s="546"/>
      <c r="G3961" s="234"/>
      <c r="H3961" s="238"/>
      <c r="I3961" s="237"/>
    </row>
    <row r="3962" spans="1:9" s="232" customFormat="1" ht="17" customHeight="1">
      <c r="A3962" s="234"/>
      <c r="B3962" s="233"/>
      <c r="C3962" s="238"/>
      <c r="E3962" s="545"/>
      <c r="F3962" s="546"/>
      <c r="G3962" s="234"/>
      <c r="H3962" s="238"/>
      <c r="I3962" s="237"/>
    </row>
    <row r="3963" spans="1:9" s="232" customFormat="1" ht="17" customHeight="1">
      <c r="A3963" s="234"/>
      <c r="B3963" s="233"/>
      <c r="C3963" s="238"/>
      <c r="E3963" s="545"/>
      <c r="F3963" s="546"/>
      <c r="G3963" s="234"/>
      <c r="H3963" s="238"/>
      <c r="I3963" s="237"/>
    </row>
    <row r="3964" spans="1:9" s="232" customFormat="1" ht="17" customHeight="1">
      <c r="A3964" s="234"/>
      <c r="B3964" s="233"/>
      <c r="C3964" s="238"/>
      <c r="E3964" s="545"/>
      <c r="F3964" s="546"/>
      <c r="G3964" s="234"/>
      <c r="H3964" s="238"/>
      <c r="I3964" s="237"/>
    </row>
    <row r="3965" spans="1:9" s="232" customFormat="1" ht="17" customHeight="1">
      <c r="A3965" s="234"/>
      <c r="B3965" s="233"/>
      <c r="C3965" s="238"/>
      <c r="E3965" s="545"/>
      <c r="F3965" s="546"/>
      <c r="G3965" s="234"/>
      <c r="H3965" s="238"/>
      <c r="I3965" s="237"/>
    </row>
    <row r="3966" spans="1:9" s="232" customFormat="1" ht="17" customHeight="1">
      <c r="A3966" s="234"/>
      <c r="B3966" s="233"/>
      <c r="C3966" s="238"/>
      <c r="E3966" s="545"/>
      <c r="F3966" s="546"/>
      <c r="G3966" s="234"/>
      <c r="H3966" s="238"/>
      <c r="I3966" s="237"/>
    </row>
    <row r="3967" spans="1:9" s="232" customFormat="1" ht="17" customHeight="1">
      <c r="A3967" s="234"/>
      <c r="B3967" s="233"/>
      <c r="C3967" s="238"/>
      <c r="E3967" s="545"/>
      <c r="F3967" s="546"/>
      <c r="G3967" s="234"/>
      <c r="H3967" s="238"/>
      <c r="I3967" s="237"/>
    </row>
    <row r="3968" spans="1:9" s="232" customFormat="1" ht="17" customHeight="1">
      <c r="A3968" s="234"/>
      <c r="B3968" s="233"/>
      <c r="C3968" s="238"/>
      <c r="E3968" s="545"/>
      <c r="F3968" s="546"/>
      <c r="G3968" s="234"/>
      <c r="H3968" s="238"/>
      <c r="I3968" s="237"/>
    </row>
    <row r="3969" spans="1:9" s="232" customFormat="1" ht="17" customHeight="1">
      <c r="A3969" s="234"/>
      <c r="B3969" s="233"/>
      <c r="C3969" s="238"/>
      <c r="E3969" s="545"/>
      <c r="F3969" s="546"/>
      <c r="G3969" s="234"/>
      <c r="H3969" s="238"/>
      <c r="I3969" s="237"/>
    </row>
    <row r="3970" spans="1:9" s="232" customFormat="1" ht="17" customHeight="1">
      <c r="A3970" s="234"/>
      <c r="B3970" s="233"/>
      <c r="C3970" s="238"/>
      <c r="E3970" s="545"/>
      <c r="F3970" s="546"/>
      <c r="G3970" s="234"/>
      <c r="H3970" s="238"/>
      <c r="I3970" s="237"/>
    </row>
    <row r="3971" spans="1:9" s="232" customFormat="1" ht="17" customHeight="1">
      <c r="A3971" s="234"/>
      <c r="B3971" s="233"/>
      <c r="C3971" s="238"/>
      <c r="E3971" s="545"/>
      <c r="F3971" s="546"/>
      <c r="G3971" s="234"/>
      <c r="H3971" s="238"/>
      <c r="I3971" s="237"/>
    </row>
    <row r="3972" spans="1:9" s="232" customFormat="1" ht="17" customHeight="1">
      <c r="A3972" s="234"/>
      <c r="B3972" s="233"/>
      <c r="C3972" s="238"/>
      <c r="E3972" s="545"/>
      <c r="F3972" s="546"/>
      <c r="G3972" s="234"/>
      <c r="H3972" s="238"/>
      <c r="I3972" s="237"/>
    </row>
    <row r="3973" spans="1:9" s="232" customFormat="1" ht="17" customHeight="1">
      <c r="A3973" s="234"/>
      <c r="B3973" s="233"/>
      <c r="C3973" s="238"/>
      <c r="E3973" s="545"/>
      <c r="F3973" s="546"/>
      <c r="G3973" s="234"/>
      <c r="H3973" s="238"/>
      <c r="I3973" s="237"/>
    </row>
    <row r="3974" spans="1:9" s="232" customFormat="1" ht="17" customHeight="1">
      <c r="A3974" s="234"/>
      <c r="B3974" s="233"/>
      <c r="C3974" s="238"/>
      <c r="E3974" s="545"/>
      <c r="F3974" s="546"/>
      <c r="G3974" s="234"/>
      <c r="H3974" s="238"/>
      <c r="I3974" s="237"/>
    </row>
    <row r="3975" spans="1:9" s="232" customFormat="1" ht="17" customHeight="1">
      <c r="A3975" s="234"/>
      <c r="B3975" s="233"/>
      <c r="C3975" s="238"/>
      <c r="E3975" s="545"/>
      <c r="F3975" s="546"/>
      <c r="G3975" s="234"/>
      <c r="H3975" s="238"/>
      <c r="I3975" s="237"/>
    </row>
    <row r="3976" spans="1:9" s="232" customFormat="1" ht="17" customHeight="1">
      <c r="A3976" s="234"/>
      <c r="B3976" s="233"/>
      <c r="C3976" s="238"/>
      <c r="E3976" s="545"/>
      <c r="F3976" s="546"/>
      <c r="G3976" s="234"/>
      <c r="H3976" s="238"/>
      <c r="I3976" s="237"/>
    </row>
    <row r="3977" spans="1:9" s="232" customFormat="1" ht="17" customHeight="1">
      <c r="A3977" s="234"/>
      <c r="B3977" s="233"/>
      <c r="C3977" s="238"/>
      <c r="E3977" s="545"/>
      <c r="F3977" s="546"/>
      <c r="G3977" s="234"/>
      <c r="H3977" s="238"/>
      <c r="I3977" s="237"/>
    </row>
    <row r="3978" spans="1:9" s="232" customFormat="1" ht="17" customHeight="1">
      <c r="A3978" s="234"/>
      <c r="B3978" s="233"/>
      <c r="C3978" s="238"/>
      <c r="E3978" s="545"/>
      <c r="F3978" s="546"/>
      <c r="G3978" s="234"/>
      <c r="H3978" s="238"/>
      <c r="I3978" s="237"/>
    </row>
    <row r="3979" spans="1:9" s="232" customFormat="1" ht="17" customHeight="1">
      <c r="A3979" s="234"/>
      <c r="B3979" s="233"/>
      <c r="C3979" s="238"/>
      <c r="E3979" s="545"/>
      <c r="F3979" s="546"/>
      <c r="G3979" s="234"/>
      <c r="H3979" s="238"/>
      <c r="I3979" s="237"/>
    </row>
    <row r="3980" spans="1:9" s="232" customFormat="1" ht="17" customHeight="1">
      <c r="A3980" s="234"/>
      <c r="B3980" s="233"/>
      <c r="C3980" s="238"/>
      <c r="E3980" s="545"/>
      <c r="F3980" s="546"/>
      <c r="G3980" s="234"/>
      <c r="H3980" s="238"/>
      <c r="I3980" s="237"/>
    </row>
    <row r="3981" spans="1:9" s="232" customFormat="1" ht="17" customHeight="1">
      <c r="A3981" s="234"/>
      <c r="B3981" s="233"/>
      <c r="C3981" s="238"/>
      <c r="E3981" s="545"/>
      <c r="F3981" s="546"/>
      <c r="G3981" s="234"/>
      <c r="H3981" s="238"/>
      <c r="I3981" s="237"/>
    </row>
    <row r="3982" spans="1:9" s="232" customFormat="1" ht="17" customHeight="1">
      <c r="A3982" s="234"/>
      <c r="B3982" s="233"/>
      <c r="C3982" s="238"/>
      <c r="E3982" s="545"/>
      <c r="F3982" s="546"/>
      <c r="G3982" s="234"/>
      <c r="H3982" s="238"/>
      <c r="I3982" s="237"/>
    </row>
    <row r="3983" spans="1:9" s="232" customFormat="1" ht="17" customHeight="1">
      <c r="A3983" s="234"/>
      <c r="B3983" s="233"/>
      <c r="C3983" s="238"/>
      <c r="E3983" s="545"/>
      <c r="F3983" s="546"/>
      <c r="G3983" s="234"/>
      <c r="H3983" s="238"/>
      <c r="I3983" s="237"/>
    </row>
    <row r="3984" spans="1:9" s="232" customFormat="1" ht="17" customHeight="1">
      <c r="A3984" s="234"/>
      <c r="B3984" s="233"/>
      <c r="C3984" s="238"/>
      <c r="E3984" s="545"/>
      <c r="F3984" s="546"/>
      <c r="G3984" s="234"/>
      <c r="H3984" s="238"/>
      <c r="I3984" s="237"/>
    </row>
    <row r="3985" spans="1:9" s="232" customFormat="1" ht="17" customHeight="1">
      <c r="A3985" s="234"/>
      <c r="B3985" s="233"/>
      <c r="C3985" s="238"/>
      <c r="E3985" s="545"/>
      <c r="F3985" s="546"/>
      <c r="G3985" s="234"/>
      <c r="H3985" s="238"/>
      <c r="I3985" s="237"/>
    </row>
    <row r="3986" spans="1:9" s="232" customFormat="1" ht="17" customHeight="1">
      <c r="A3986" s="234"/>
      <c r="B3986" s="233"/>
      <c r="C3986" s="238"/>
      <c r="E3986" s="545"/>
      <c r="F3986" s="546"/>
      <c r="G3986" s="234"/>
      <c r="H3986" s="238"/>
      <c r="I3986" s="237"/>
    </row>
    <row r="3987" spans="1:9" s="232" customFormat="1" ht="17" customHeight="1">
      <c r="A3987" s="234"/>
      <c r="B3987" s="233"/>
      <c r="C3987" s="238"/>
      <c r="E3987" s="545"/>
      <c r="F3987" s="546"/>
      <c r="G3987" s="234"/>
      <c r="H3987" s="238"/>
      <c r="I3987" s="237"/>
    </row>
    <row r="3988" spans="1:9" s="232" customFormat="1" ht="17" customHeight="1">
      <c r="A3988" s="234"/>
      <c r="B3988" s="233"/>
      <c r="C3988" s="238"/>
      <c r="E3988" s="545"/>
      <c r="F3988" s="546"/>
      <c r="G3988" s="234"/>
      <c r="H3988" s="238"/>
      <c r="I3988" s="237"/>
    </row>
    <row r="3989" spans="1:9" s="232" customFormat="1" ht="17" customHeight="1">
      <c r="A3989" s="234"/>
      <c r="B3989" s="233"/>
      <c r="C3989" s="238"/>
      <c r="E3989" s="545"/>
      <c r="F3989" s="546"/>
      <c r="G3989" s="234"/>
      <c r="H3989" s="238"/>
      <c r="I3989" s="237"/>
    </row>
    <row r="3990" spans="1:9" s="232" customFormat="1" ht="17" customHeight="1">
      <c r="A3990" s="234"/>
      <c r="B3990" s="233"/>
      <c r="C3990" s="238"/>
      <c r="E3990" s="545"/>
      <c r="F3990" s="546"/>
      <c r="G3990" s="234"/>
      <c r="H3990" s="238"/>
      <c r="I3990" s="237"/>
    </row>
    <row r="3991" spans="1:9" s="232" customFormat="1" ht="17" customHeight="1">
      <c r="A3991" s="234"/>
      <c r="B3991" s="233"/>
      <c r="C3991" s="238"/>
      <c r="E3991" s="545"/>
      <c r="F3991" s="546"/>
      <c r="G3991" s="234"/>
      <c r="H3991" s="238"/>
      <c r="I3991" s="237"/>
    </row>
    <row r="3992" spans="1:9" s="232" customFormat="1" ht="17" customHeight="1">
      <c r="A3992" s="234"/>
      <c r="B3992" s="233"/>
      <c r="C3992" s="238"/>
      <c r="E3992" s="545"/>
      <c r="F3992" s="546"/>
      <c r="G3992" s="234"/>
      <c r="H3992" s="238"/>
      <c r="I3992" s="237"/>
    </row>
    <row r="3993" spans="1:9" s="232" customFormat="1" ht="17" customHeight="1">
      <c r="A3993" s="234"/>
      <c r="B3993" s="233"/>
      <c r="C3993" s="238"/>
      <c r="E3993" s="545"/>
      <c r="F3993" s="546"/>
      <c r="G3993" s="234"/>
      <c r="H3993" s="238"/>
      <c r="I3993" s="237"/>
    </row>
    <row r="3994" spans="1:9" s="232" customFormat="1" ht="17" customHeight="1">
      <c r="A3994" s="234"/>
      <c r="B3994" s="233"/>
      <c r="C3994" s="238"/>
      <c r="E3994" s="545"/>
      <c r="F3994" s="546"/>
      <c r="G3994" s="234"/>
      <c r="H3994" s="238"/>
      <c r="I3994" s="237"/>
    </row>
    <row r="3995" spans="1:9" s="232" customFormat="1" ht="17" customHeight="1">
      <c r="A3995" s="234"/>
      <c r="B3995" s="233"/>
      <c r="C3995" s="238"/>
      <c r="E3995" s="545"/>
      <c r="F3995" s="546"/>
      <c r="G3995" s="234"/>
      <c r="H3995" s="238"/>
      <c r="I3995" s="237"/>
    </row>
    <row r="3996" spans="1:9" s="232" customFormat="1" ht="17" customHeight="1">
      <c r="A3996" s="234"/>
      <c r="B3996" s="233"/>
      <c r="C3996" s="238"/>
      <c r="E3996" s="545"/>
      <c r="F3996" s="546"/>
      <c r="G3996" s="234"/>
      <c r="H3996" s="238"/>
      <c r="I3996" s="237"/>
    </row>
    <row r="3997" spans="1:9" s="232" customFormat="1" ht="17" customHeight="1">
      <c r="A3997" s="234"/>
      <c r="B3997" s="233"/>
      <c r="C3997" s="238"/>
      <c r="E3997" s="545"/>
      <c r="F3997" s="546"/>
      <c r="G3997" s="234"/>
      <c r="H3997" s="238"/>
      <c r="I3997" s="237"/>
    </row>
    <row r="3998" spans="1:9" s="232" customFormat="1" ht="17" customHeight="1">
      <c r="A3998" s="234"/>
      <c r="B3998" s="233"/>
      <c r="C3998" s="238"/>
      <c r="E3998" s="545"/>
      <c r="F3998" s="546"/>
      <c r="G3998" s="234"/>
      <c r="H3998" s="238"/>
      <c r="I3998" s="237"/>
    </row>
    <row r="3999" spans="1:9" s="232" customFormat="1" ht="17" customHeight="1">
      <c r="A3999" s="234"/>
      <c r="B3999" s="233"/>
      <c r="C3999" s="238"/>
      <c r="E3999" s="545"/>
      <c r="F3999" s="546"/>
      <c r="G3999" s="234"/>
      <c r="H3999" s="238"/>
      <c r="I3999" s="237"/>
    </row>
    <row r="4000" spans="1:9" s="232" customFormat="1" ht="17" customHeight="1">
      <c r="A4000" s="234"/>
      <c r="B4000" s="233"/>
      <c r="C4000" s="238"/>
      <c r="E4000" s="545"/>
      <c r="F4000" s="546"/>
      <c r="G4000" s="234"/>
      <c r="H4000" s="238"/>
      <c r="I4000" s="237"/>
    </row>
    <row r="4001" spans="1:9" s="232" customFormat="1" ht="17" customHeight="1">
      <c r="A4001" s="234"/>
      <c r="B4001" s="233"/>
      <c r="C4001" s="238"/>
      <c r="E4001" s="545"/>
      <c r="F4001" s="546"/>
      <c r="G4001" s="234"/>
      <c r="H4001" s="238"/>
      <c r="I4001" s="237"/>
    </row>
    <row r="4002" spans="1:9" s="232" customFormat="1" ht="17" customHeight="1">
      <c r="A4002" s="234"/>
      <c r="B4002" s="233"/>
      <c r="C4002" s="238"/>
      <c r="E4002" s="545"/>
      <c r="F4002" s="546"/>
      <c r="G4002" s="234"/>
      <c r="H4002" s="238"/>
      <c r="I4002" s="237"/>
    </row>
    <row r="4003" spans="1:9" s="232" customFormat="1" ht="17" customHeight="1">
      <c r="A4003" s="234"/>
      <c r="B4003" s="233"/>
      <c r="C4003" s="238"/>
      <c r="E4003" s="545"/>
      <c r="F4003" s="546"/>
      <c r="G4003" s="234"/>
      <c r="H4003" s="238"/>
      <c r="I4003" s="237"/>
    </row>
    <row r="4004" spans="1:9" s="232" customFormat="1" ht="17" customHeight="1">
      <c r="A4004" s="234"/>
      <c r="B4004" s="233"/>
      <c r="C4004" s="238"/>
      <c r="E4004" s="545"/>
      <c r="F4004" s="546"/>
      <c r="G4004" s="234"/>
      <c r="H4004" s="238"/>
      <c r="I4004" s="237"/>
    </row>
    <row r="4005" spans="1:9" s="232" customFormat="1" ht="17" customHeight="1">
      <c r="A4005" s="234"/>
      <c r="B4005" s="233"/>
      <c r="C4005" s="238"/>
      <c r="E4005" s="545"/>
      <c r="F4005" s="546"/>
      <c r="G4005" s="234"/>
      <c r="H4005" s="238"/>
      <c r="I4005" s="237"/>
    </row>
    <row r="4006" spans="1:9" s="232" customFormat="1" ht="17" customHeight="1">
      <c r="A4006" s="234"/>
      <c r="B4006" s="233"/>
      <c r="C4006" s="238"/>
      <c r="E4006" s="545"/>
      <c r="F4006" s="546"/>
      <c r="G4006" s="234"/>
      <c r="H4006" s="238"/>
      <c r="I4006" s="237"/>
    </row>
    <row r="4007" spans="1:9" s="232" customFormat="1" ht="17" customHeight="1">
      <c r="A4007" s="234"/>
      <c r="B4007" s="233"/>
      <c r="C4007" s="238"/>
      <c r="E4007" s="545"/>
      <c r="F4007" s="546"/>
      <c r="G4007" s="234"/>
      <c r="H4007" s="238"/>
      <c r="I4007" s="237"/>
    </row>
    <row r="4008" spans="1:9" s="232" customFormat="1" ht="17" customHeight="1">
      <c r="A4008" s="234"/>
      <c r="B4008" s="233"/>
      <c r="C4008" s="238"/>
      <c r="E4008" s="545"/>
      <c r="F4008" s="546"/>
      <c r="G4008" s="234"/>
      <c r="H4008" s="238"/>
      <c r="I4008" s="237"/>
    </row>
    <row r="4009" spans="1:9" s="232" customFormat="1" ht="17" customHeight="1">
      <c r="A4009" s="234"/>
      <c r="B4009" s="233"/>
      <c r="C4009" s="238"/>
      <c r="E4009" s="545"/>
      <c r="F4009" s="546"/>
      <c r="G4009" s="234"/>
      <c r="H4009" s="238"/>
      <c r="I4009" s="237"/>
    </row>
    <row r="4010" spans="1:9" s="232" customFormat="1" ht="17" customHeight="1">
      <c r="A4010" s="234"/>
      <c r="B4010" s="233"/>
      <c r="C4010" s="238"/>
      <c r="E4010" s="545"/>
      <c r="F4010" s="546"/>
      <c r="G4010" s="234"/>
      <c r="H4010" s="238"/>
      <c r="I4010" s="237"/>
    </row>
    <row r="4011" spans="1:9" s="232" customFormat="1" ht="17" customHeight="1">
      <c r="A4011" s="234"/>
      <c r="B4011" s="233"/>
      <c r="C4011" s="238"/>
      <c r="E4011" s="545"/>
      <c r="F4011" s="546"/>
      <c r="G4011" s="234"/>
      <c r="H4011" s="238"/>
      <c r="I4011" s="237"/>
    </row>
    <row r="4012" spans="1:9" s="232" customFormat="1" ht="17" customHeight="1">
      <c r="A4012" s="234"/>
      <c r="B4012" s="233"/>
      <c r="C4012" s="238"/>
      <c r="E4012" s="545"/>
      <c r="F4012" s="546"/>
      <c r="G4012" s="234"/>
      <c r="H4012" s="238"/>
      <c r="I4012" s="237"/>
    </row>
    <row r="4013" spans="1:9" s="232" customFormat="1" ht="17" customHeight="1">
      <c r="A4013" s="234"/>
      <c r="B4013" s="233"/>
      <c r="C4013" s="238"/>
      <c r="E4013" s="545"/>
      <c r="F4013" s="546"/>
      <c r="G4013" s="234"/>
      <c r="H4013" s="238"/>
      <c r="I4013" s="237"/>
    </row>
    <row r="4014" spans="1:9" s="232" customFormat="1" ht="17" customHeight="1">
      <c r="A4014" s="234"/>
      <c r="B4014" s="233"/>
      <c r="C4014" s="238"/>
      <c r="E4014" s="545"/>
      <c r="F4014" s="546"/>
      <c r="G4014" s="234"/>
      <c r="H4014" s="238"/>
      <c r="I4014" s="237"/>
    </row>
    <row r="4015" spans="1:9" s="232" customFormat="1" ht="17" customHeight="1">
      <c r="A4015" s="234"/>
      <c r="B4015" s="233"/>
      <c r="C4015" s="238"/>
      <c r="E4015" s="545"/>
      <c r="F4015" s="546"/>
      <c r="G4015" s="234"/>
      <c r="H4015" s="238"/>
      <c r="I4015" s="237"/>
    </row>
    <row r="4016" spans="1:9" s="232" customFormat="1" ht="17" customHeight="1">
      <c r="A4016" s="234"/>
      <c r="B4016" s="233"/>
      <c r="C4016" s="238"/>
      <c r="E4016" s="545"/>
      <c r="F4016" s="546"/>
      <c r="G4016" s="234"/>
      <c r="H4016" s="238"/>
      <c r="I4016" s="237"/>
    </row>
    <row r="4017" spans="1:9" s="232" customFormat="1" ht="17" customHeight="1">
      <c r="A4017" s="234"/>
      <c r="B4017" s="233"/>
      <c r="C4017" s="238"/>
      <c r="E4017" s="545"/>
      <c r="F4017" s="546"/>
      <c r="G4017" s="234"/>
      <c r="H4017" s="238"/>
      <c r="I4017" s="237"/>
    </row>
    <row r="4018" spans="1:9" s="232" customFormat="1" ht="17" customHeight="1">
      <c r="A4018" s="234"/>
      <c r="B4018" s="233"/>
      <c r="C4018" s="238"/>
      <c r="E4018" s="545"/>
      <c r="F4018" s="546"/>
      <c r="G4018" s="234"/>
      <c r="H4018" s="238"/>
      <c r="I4018" s="237"/>
    </row>
    <row r="4019" spans="1:9" s="232" customFormat="1" ht="17" customHeight="1">
      <c r="A4019" s="234"/>
      <c r="B4019" s="233"/>
      <c r="C4019" s="238"/>
      <c r="E4019" s="545"/>
      <c r="F4019" s="546"/>
      <c r="G4019" s="234"/>
      <c r="H4019" s="238"/>
      <c r="I4019" s="237"/>
    </row>
    <row r="4020" spans="1:9" s="232" customFormat="1" ht="17" customHeight="1">
      <c r="A4020" s="234"/>
      <c r="B4020" s="233"/>
      <c r="C4020" s="238"/>
      <c r="E4020" s="545"/>
      <c r="F4020" s="546"/>
      <c r="G4020" s="234"/>
      <c r="H4020" s="238"/>
      <c r="I4020" s="237"/>
    </row>
    <row r="4021" spans="1:9" s="232" customFormat="1" ht="17" customHeight="1">
      <c r="A4021" s="234"/>
      <c r="B4021" s="233"/>
      <c r="C4021" s="238"/>
      <c r="E4021" s="545"/>
      <c r="F4021" s="546"/>
      <c r="G4021" s="234"/>
      <c r="H4021" s="238"/>
      <c r="I4021" s="237"/>
    </row>
    <row r="4022" spans="1:9" s="232" customFormat="1" ht="17" customHeight="1">
      <c r="A4022" s="234"/>
      <c r="B4022" s="233"/>
      <c r="C4022" s="238"/>
      <c r="E4022" s="545"/>
      <c r="F4022" s="546"/>
      <c r="G4022" s="234"/>
      <c r="H4022" s="238"/>
      <c r="I4022" s="237"/>
    </row>
    <row r="4023" spans="1:9" s="232" customFormat="1" ht="17" customHeight="1">
      <c r="A4023" s="234"/>
      <c r="B4023" s="233"/>
      <c r="C4023" s="238"/>
      <c r="E4023" s="545"/>
      <c r="F4023" s="546"/>
      <c r="G4023" s="234"/>
      <c r="H4023" s="238"/>
      <c r="I4023" s="237"/>
    </row>
    <row r="4024" spans="1:9" s="232" customFormat="1" ht="17" customHeight="1">
      <c r="A4024" s="234"/>
      <c r="B4024" s="233"/>
      <c r="C4024" s="238"/>
      <c r="E4024" s="545"/>
      <c r="F4024" s="546"/>
      <c r="G4024" s="234"/>
      <c r="H4024" s="238"/>
      <c r="I4024" s="237"/>
    </row>
    <row r="4025" spans="1:9" s="232" customFormat="1" ht="17" customHeight="1">
      <c r="A4025" s="234"/>
      <c r="B4025" s="233"/>
      <c r="C4025" s="238"/>
      <c r="E4025" s="545"/>
      <c r="F4025" s="546"/>
      <c r="G4025" s="234"/>
      <c r="H4025" s="238"/>
      <c r="I4025" s="237"/>
    </row>
    <row r="4026" spans="1:9" s="232" customFormat="1" ht="17" customHeight="1">
      <c r="A4026" s="234"/>
      <c r="B4026" s="233"/>
      <c r="C4026" s="238"/>
      <c r="E4026" s="545"/>
      <c r="F4026" s="546"/>
      <c r="G4026" s="234"/>
      <c r="H4026" s="238"/>
      <c r="I4026" s="237"/>
    </row>
    <row r="4027" spans="1:9" s="232" customFormat="1" ht="17" customHeight="1">
      <c r="A4027" s="234"/>
      <c r="B4027" s="233"/>
      <c r="C4027" s="238"/>
      <c r="E4027" s="545"/>
      <c r="F4027" s="546"/>
      <c r="G4027" s="234"/>
      <c r="H4027" s="238"/>
      <c r="I4027" s="237"/>
    </row>
    <row r="4028" spans="1:9" s="232" customFormat="1" ht="17" customHeight="1">
      <c r="A4028" s="234"/>
      <c r="B4028" s="233"/>
      <c r="C4028" s="238"/>
      <c r="E4028" s="545"/>
      <c r="F4028" s="546"/>
      <c r="G4028" s="234"/>
      <c r="H4028" s="238"/>
      <c r="I4028" s="237"/>
    </row>
    <row r="4029" spans="1:9" s="232" customFormat="1" ht="17" customHeight="1">
      <c r="A4029" s="234"/>
      <c r="B4029" s="233"/>
      <c r="C4029" s="238"/>
      <c r="E4029" s="545"/>
      <c r="F4029" s="546"/>
      <c r="G4029" s="234"/>
      <c r="H4029" s="238"/>
      <c r="I4029" s="237"/>
    </row>
    <row r="4030" spans="1:9" s="232" customFormat="1" ht="17" customHeight="1">
      <c r="A4030" s="234"/>
      <c r="B4030" s="233"/>
      <c r="C4030" s="238"/>
      <c r="E4030" s="545"/>
      <c r="F4030" s="546"/>
      <c r="G4030" s="234"/>
      <c r="H4030" s="238"/>
      <c r="I4030" s="237"/>
    </row>
    <row r="4031" spans="1:9" s="232" customFormat="1" ht="17" customHeight="1">
      <c r="A4031" s="234"/>
      <c r="B4031" s="233"/>
      <c r="C4031" s="238"/>
      <c r="E4031" s="545"/>
      <c r="F4031" s="546"/>
      <c r="G4031" s="234"/>
      <c r="H4031" s="238"/>
      <c r="I4031" s="237"/>
    </row>
    <row r="4032" spans="1:9" s="232" customFormat="1" ht="17" customHeight="1">
      <c r="A4032" s="234"/>
      <c r="B4032" s="233"/>
      <c r="C4032" s="238"/>
      <c r="E4032" s="545"/>
      <c r="F4032" s="546"/>
      <c r="G4032" s="234"/>
      <c r="H4032" s="238"/>
      <c r="I4032" s="237"/>
    </row>
    <row r="4033" spans="1:9" s="232" customFormat="1" ht="17" customHeight="1">
      <c r="A4033" s="234"/>
      <c r="B4033" s="233"/>
      <c r="C4033" s="238"/>
      <c r="E4033" s="545"/>
      <c r="F4033" s="546"/>
      <c r="G4033" s="234"/>
      <c r="H4033" s="238"/>
      <c r="I4033" s="237"/>
    </row>
    <row r="4034" spans="1:9" s="232" customFormat="1" ht="17" customHeight="1">
      <c r="A4034" s="234"/>
      <c r="B4034" s="233"/>
      <c r="C4034" s="238"/>
      <c r="E4034" s="545"/>
      <c r="F4034" s="546"/>
      <c r="G4034" s="234"/>
      <c r="H4034" s="238"/>
      <c r="I4034" s="237"/>
    </row>
    <row r="4035" spans="1:9" s="232" customFormat="1" ht="17" customHeight="1">
      <c r="A4035" s="234"/>
      <c r="B4035" s="233"/>
      <c r="C4035" s="238"/>
      <c r="E4035" s="545"/>
      <c r="F4035" s="546"/>
      <c r="G4035" s="234"/>
      <c r="H4035" s="238"/>
      <c r="I4035" s="237"/>
    </row>
    <row r="4036" spans="1:9" s="232" customFormat="1" ht="17" customHeight="1">
      <c r="A4036" s="234"/>
      <c r="B4036" s="233"/>
      <c r="C4036" s="238"/>
      <c r="E4036" s="545"/>
      <c r="F4036" s="546"/>
      <c r="G4036" s="234"/>
      <c r="H4036" s="238"/>
      <c r="I4036" s="237"/>
    </row>
    <row r="4037" spans="1:9" s="232" customFormat="1" ht="17" customHeight="1">
      <c r="A4037" s="234"/>
      <c r="B4037" s="233"/>
      <c r="C4037" s="238"/>
      <c r="E4037" s="545"/>
      <c r="F4037" s="546"/>
      <c r="G4037" s="234"/>
      <c r="H4037" s="238"/>
      <c r="I4037" s="237"/>
    </row>
    <row r="4038" spans="1:9" s="232" customFormat="1" ht="17" customHeight="1">
      <c r="A4038" s="234"/>
      <c r="B4038" s="233"/>
      <c r="C4038" s="238"/>
      <c r="E4038" s="545"/>
      <c r="F4038" s="546"/>
      <c r="G4038" s="234"/>
      <c r="H4038" s="238"/>
      <c r="I4038" s="237"/>
    </row>
    <row r="4039" spans="1:9" s="232" customFormat="1" ht="17" customHeight="1">
      <c r="A4039" s="234"/>
      <c r="B4039" s="233"/>
      <c r="C4039" s="238"/>
      <c r="E4039" s="545"/>
      <c r="F4039" s="546"/>
      <c r="G4039" s="234"/>
      <c r="H4039" s="238"/>
      <c r="I4039" s="237"/>
    </row>
    <row r="4040" spans="1:9" s="232" customFormat="1" ht="17" customHeight="1">
      <c r="A4040" s="234"/>
      <c r="B4040" s="233"/>
      <c r="C4040" s="238"/>
      <c r="E4040" s="545"/>
      <c r="F4040" s="546"/>
      <c r="G4040" s="234"/>
      <c r="H4040" s="238"/>
      <c r="I4040" s="237"/>
    </row>
    <row r="4041" spans="1:9" s="232" customFormat="1" ht="17" customHeight="1">
      <c r="A4041" s="234"/>
      <c r="B4041" s="233"/>
      <c r="C4041" s="238"/>
      <c r="E4041" s="545"/>
      <c r="F4041" s="546"/>
      <c r="G4041" s="234"/>
      <c r="H4041" s="238"/>
      <c r="I4041" s="237"/>
    </row>
    <row r="4042" spans="1:9" s="232" customFormat="1" ht="17" customHeight="1">
      <c r="A4042" s="234"/>
      <c r="B4042" s="233"/>
      <c r="C4042" s="238"/>
      <c r="E4042" s="545"/>
      <c r="F4042" s="546"/>
      <c r="G4042" s="234"/>
      <c r="H4042" s="238"/>
      <c r="I4042" s="237"/>
    </row>
    <row r="4043" spans="1:9" s="232" customFormat="1" ht="17" customHeight="1">
      <c r="A4043" s="234"/>
      <c r="B4043" s="233"/>
      <c r="C4043" s="238"/>
      <c r="E4043" s="545"/>
      <c r="F4043" s="546"/>
      <c r="G4043" s="234"/>
      <c r="H4043" s="238"/>
      <c r="I4043" s="237"/>
    </row>
    <row r="4044" spans="1:9" s="232" customFormat="1" ht="17" customHeight="1">
      <c r="A4044" s="234"/>
      <c r="B4044" s="233"/>
      <c r="C4044" s="238"/>
      <c r="E4044" s="545"/>
      <c r="F4044" s="546"/>
      <c r="G4044" s="234"/>
      <c r="H4044" s="238"/>
      <c r="I4044" s="237"/>
    </row>
    <row r="4045" spans="1:9" s="232" customFormat="1" ht="17" customHeight="1">
      <c r="A4045" s="234"/>
      <c r="B4045" s="233"/>
      <c r="C4045" s="238"/>
      <c r="E4045" s="545"/>
      <c r="F4045" s="546"/>
      <c r="G4045" s="234"/>
      <c r="H4045" s="238"/>
      <c r="I4045" s="237"/>
    </row>
    <row r="4046" spans="1:9" s="232" customFormat="1" ht="17" customHeight="1">
      <c r="A4046" s="234"/>
      <c r="B4046" s="233"/>
      <c r="C4046" s="238"/>
      <c r="E4046" s="545"/>
      <c r="F4046" s="546"/>
      <c r="G4046" s="234"/>
      <c r="H4046" s="238"/>
      <c r="I4046" s="237"/>
    </row>
    <row r="4047" spans="1:9" s="232" customFormat="1" ht="17" customHeight="1">
      <c r="A4047" s="234"/>
      <c r="B4047" s="233"/>
      <c r="C4047" s="238"/>
      <c r="E4047" s="545"/>
      <c r="F4047" s="546"/>
      <c r="G4047" s="234"/>
      <c r="H4047" s="238"/>
      <c r="I4047" s="237"/>
    </row>
    <row r="4048" spans="1:9" s="232" customFormat="1" ht="17" customHeight="1">
      <c r="A4048" s="234"/>
      <c r="B4048" s="233"/>
      <c r="C4048" s="238"/>
      <c r="E4048" s="545"/>
      <c r="F4048" s="546"/>
      <c r="G4048" s="234"/>
      <c r="H4048" s="238"/>
      <c r="I4048" s="237"/>
    </row>
    <row r="4049" spans="1:9" s="232" customFormat="1" ht="17" customHeight="1">
      <c r="A4049" s="234"/>
      <c r="B4049" s="233"/>
      <c r="C4049" s="238"/>
      <c r="E4049" s="545"/>
      <c r="F4049" s="546"/>
      <c r="G4049" s="234"/>
      <c r="H4049" s="238"/>
      <c r="I4049" s="237"/>
    </row>
    <row r="4050" spans="1:9" s="232" customFormat="1" ht="17" customHeight="1">
      <c r="A4050" s="234"/>
      <c r="B4050" s="233"/>
      <c r="C4050" s="238"/>
      <c r="E4050" s="545"/>
      <c r="F4050" s="546"/>
      <c r="G4050" s="234"/>
      <c r="H4050" s="238"/>
      <c r="I4050" s="237"/>
    </row>
    <row r="4051" spans="1:9" s="232" customFormat="1" ht="17" customHeight="1">
      <c r="A4051" s="234"/>
      <c r="B4051" s="233"/>
      <c r="C4051" s="238"/>
      <c r="E4051" s="545"/>
      <c r="F4051" s="546"/>
      <c r="G4051" s="234"/>
      <c r="H4051" s="238"/>
      <c r="I4051" s="237"/>
    </row>
    <row r="4052" spans="1:9" s="232" customFormat="1" ht="17" customHeight="1">
      <c r="A4052" s="234"/>
      <c r="B4052" s="233"/>
      <c r="C4052" s="238"/>
      <c r="E4052" s="545"/>
      <c r="F4052" s="546"/>
      <c r="G4052" s="234"/>
      <c r="H4052" s="238"/>
      <c r="I4052" s="237"/>
    </row>
    <row r="4053" spans="1:9" s="232" customFormat="1" ht="17" customHeight="1">
      <c r="A4053" s="234"/>
      <c r="B4053" s="233"/>
      <c r="C4053" s="238"/>
      <c r="E4053" s="545"/>
      <c r="F4053" s="546"/>
      <c r="G4053" s="234"/>
      <c r="H4053" s="238"/>
      <c r="I4053" s="237"/>
    </row>
    <row r="4054" spans="1:9" s="232" customFormat="1" ht="17" customHeight="1">
      <c r="A4054" s="234"/>
      <c r="B4054" s="233"/>
      <c r="C4054" s="238"/>
      <c r="E4054" s="545"/>
      <c r="F4054" s="546"/>
      <c r="G4054" s="234"/>
      <c r="H4054" s="238"/>
      <c r="I4054" s="237"/>
    </row>
    <row r="4055" spans="1:9" s="232" customFormat="1" ht="17" customHeight="1">
      <c r="A4055" s="234"/>
      <c r="B4055" s="233"/>
      <c r="C4055" s="238"/>
      <c r="E4055" s="545"/>
      <c r="F4055" s="546"/>
      <c r="G4055" s="234"/>
      <c r="H4055" s="238"/>
      <c r="I4055" s="237"/>
    </row>
    <row r="4056" spans="1:9" s="232" customFormat="1" ht="17" customHeight="1">
      <c r="A4056" s="234"/>
      <c r="B4056" s="233"/>
      <c r="C4056" s="238"/>
      <c r="E4056" s="545"/>
      <c r="F4056" s="546"/>
      <c r="G4056" s="234"/>
      <c r="H4056" s="238"/>
      <c r="I4056" s="237"/>
    </row>
    <row r="4057" spans="1:9" s="232" customFormat="1" ht="17" customHeight="1">
      <c r="A4057" s="234"/>
      <c r="B4057" s="233"/>
      <c r="C4057" s="238"/>
      <c r="E4057" s="545"/>
      <c r="F4057" s="546"/>
      <c r="G4057" s="234"/>
      <c r="H4057" s="238"/>
      <c r="I4057" s="237"/>
    </row>
    <row r="4058" spans="1:9" s="232" customFormat="1" ht="17" customHeight="1">
      <c r="A4058" s="234"/>
      <c r="B4058" s="233"/>
      <c r="C4058" s="238"/>
      <c r="E4058" s="545"/>
      <c r="F4058" s="546"/>
      <c r="G4058" s="234"/>
      <c r="H4058" s="238"/>
      <c r="I4058" s="237"/>
    </row>
    <row r="4059" spans="1:9" s="232" customFormat="1" ht="17" customHeight="1">
      <c r="A4059" s="234"/>
      <c r="B4059" s="233"/>
      <c r="C4059" s="238"/>
      <c r="E4059" s="545"/>
      <c r="F4059" s="546"/>
      <c r="G4059" s="234"/>
      <c r="H4059" s="238"/>
      <c r="I4059" s="237"/>
    </row>
    <row r="4060" spans="1:9" s="232" customFormat="1" ht="17" customHeight="1">
      <c r="A4060" s="234"/>
      <c r="B4060" s="233"/>
      <c r="C4060" s="238"/>
      <c r="E4060" s="545"/>
      <c r="F4060" s="546"/>
      <c r="G4060" s="234"/>
      <c r="H4060" s="238"/>
      <c r="I4060" s="237"/>
    </row>
    <row r="4061" spans="1:9" s="232" customFormat="1" ht="17" customHeight="1">
      <c r="A4061" s="234"/>
      <c r="B4061" s="233"/>
      <c r="C4061" s="238"/>
      <c r="E4061" s="545"/>
      <c r="F4061" s="546"/>
      <c r="G4061" s="234"/>
      <c r="H4061" s="238"/>
      <c r="I4061" s="237"/>
    </row>
    <row r="4062" spans="1:9" s="232" customFormat="1" ht="17" customHeight="1">
      <c r="A4062" s="234"/>
      <c r="B4062" s="233"/>
      <c r="C4062" s="238"/>
      <c r="E4062" s="545"/>
      <c r="F4062" s="546"/>
      <c r="G4062" s="234"/>
      <c r="H4062" s="238"/>
      <c r="I4062" s="237"/>
    </row>
    <row r="4063" spans="1:9" s="232" customFormat="1" ht="17" customHeight="1">
      <c r="A4063" s="234"/>
      <c r="B4063" s="233"/>
      <c r="C4063" s="238"/>
      <c r="E4063" s="545"/>
      <c r="F4063" s="546"/>
      <c r="G4063" s="234"/>
      <c r="H4063" s="238"/>
      <c r="I4063" s="237"/>
    </row>
    <row r="4064" spans="1:9" s="232" customFormat="1" ht="17" customHeight="1">
      <c r="A4064" s="234"/>
      <c r="B4064" s="233"/>
      <c r="C4064" s="238"/>
      <c r="E4064" s="545"/>
      <c r="F4064" s="546"/>
      <c r="G4064" s="234"/>
      <c r="H4064" s="238"/>
      <c r="I4064" s="237"/>
    </row>
    <row r="4065" spans="1:9" s="232" customFormat="1" ht="17" customHeight="1">
      <c r="A4065" s="234"/>
      <c r="B4065" s="233"/>
      <c r="C4065" s="238"/>
      <c r="E4065" s="545"/>
      <c r="F4065" s="546"/>
      <c r="G4065" s="234"/>
      <c r="H4065" s="238"/>
      <c r="I4065" s="237"/>
    </row>
    <row r="4066" spans="1:9" s="232" customFormat="1" ht="17" customHeight="1">
      <c r="A4066" s="234"/>
      <c r="B4066" s="233"/>
      <c r="C4066" s="238"/>
      <c r="E4066" s="545"/>
      <c r="F4066" s="546"/>
      <c r="G4066" s="234"/>
      <c r="H4066" s="238"/>
      <c r="I4066" s="237"/>
    </row>
    <row r="4067" spans="1:9" s="232" customFormat="1" ht="17" customHeight="1">
      <c r="A4067" s="234"/>
      <c r="B4067" s="233"/>
      <c r="C4067" s="238"/>
      <c r="E4067" s="545"/>
      <c r="F4067" s="546"/>
      <c r="G4067" s="234"/>
      <c r="H4067" s="238"/>
      <c r="I4067" s="237"/>
    </row>
    <row r="4068" spans="1:9" s="232" customFormat="1" ht="17" customHeight="1">
      <c r="A4068" s="234"/>
      <c r="B4068" s="233"/>
      <c r="C4068" s="238"/>
      <c r="E4068" s="545"/>
      <c r="F4068" s="546"/>
      <c r="G4068" s="234"/>
      <c r="H4068" s="238"/>
      <c r="I4068" s="237"/>
    </row>
    <row r="4069" spans="1:9" s="232" customFormat="1" ht="17" customHeight="1">
      <c r="A4069" s="234"/>
      <c r="B4069" s="233"/>
      <c r="C4069" s="238"/>
      <c r="E4069" s="545"/>
      <c r="F4069" s="546"/>
      <c r="G4069" s="234"/>
      <c r="H4069" s="238"/>
      <c r="I4069" s="237"/>
    </row>
    <row r="4070" spans="1:9" s="232" customFormat="1" ht="17" customHeight="1">
      <c r="A4070" s="234"/>
      <c r="B4070" s="233"/>
      <c r="C4070" s="238"/>
      <c r="E4070" s="545"/>
      <c r="F4070" s="546"/>
      <c r="G4070" s="234"/>
      <c r="H4070" s="238"/>
      <c r="I4070" s="237"/>
    </row>
    <row r="4071" spans="1:9" s="232" customFormat="1" ht="17" customHeight="1">
      <c r="A4071" s="234"/>
      <c r="B4071" s="233"/>
      <c r="C4071" s="238"/>
      <c r="E4071" s="545"/>
      <c r="F4071" s="546"/>
      <c r="G4071" s="234"/>
      <c r="H4071" s="238"/>
      <c r="I4071" s="237"/>
    </row>
    <row r="4072" spans="1:9" s="232" customFormat="1" ht="17" customHeight="1">
      <c r="A4072" s="234"/>
      <c r="B4072" s="233"/>
      <c r="C4072" s="238"/>
      <c r="E4072" s="545"/>
      <c r="F4072" s="546"/>
      <c r="G4072" s="234"/>
      <c r="H4072" s="238"/>
      <c r="I4072" s="237"/>
    </row>
    <row r="4073" spans="1:9" s="232" customFormat="1" ht="17" customHeight="1">
      <c r="A4073" s="234"/>
      <c r="B4073" s="233"/>
      <c r="C4073" s="238"/>
      <c r="E4073" s="545"/>
      <c r="F4073" s="546"/>
      <c r="G4073" s="234"/>
      <c r="H4073" s="238"/>
      <c r="I4073" s="237"/>
    </row>
    <row r="4074" spans="1:9" s="232" customFormat="1" ht="17" customHeight="1">
      <c r="A4074" s="234"/>
      <c r="B4074" s="233"/>
      <c r="C4074" s="238"/>
      <c r="E4074" s="545"/>
      <c r="F4074" s="546"/>
      <c r="G4074" s="234"/>
      <c r="H4074" s="238"/>
      <c r="I4074" s="237"/>
    </row>
    <row r="4075" spans="1:9" s="232" customFormat="1" ht="17" customHeight="1">
      <c r="A4075" s="234"/>
      <c r="B4075" s="233"/>
      <c r="C4075" s="238"/>
      <c r="E4075" s="545"/>
      <c r="F4075" s="546"/>
      <c r="G4075" s="234"/>
      <c r="H4075" s="238"/>
      <c r="I4075" s="237"/>
    </row>
    <row r="4076" spans="1:9" s="232" customFormat="1" ht="17" customHeight="1">
      <c r="A4076" s="234"/>
      <c r="B4076" s="233"/>
      <c r="C4076" s="238"/>
      <c r="E4076" s="545"/>
      <c r="F4076" s="546"/>
      <c r="G4076" s="234"/>
      <c r="H4076" s="238"/>
      <c r="I4076" s="237"/>
    </row>
    <row r="4077" spans="1:9" s="232" customFormat="1" ht="17" customHeight="1">
      <c r="A4077" s="234"/>
      <c r="B4077" s="233"/>
      <c r="C4077" s="238"/>
      <c r="E4077" s="545"/>
      <c r="F4077" s="546"/>
      <c r="G4077" s="234"/>
      <c r="H4077" s="238"/>
      <c r="I4077" s="237"/>
    </row>
    <row r="4078" spans="1:9" s="232" customFormat="1" ht="17" customHeight="1">
      <c r="A4078" s="234"/>
      <c r="B4078" s="233"/>
      <c r="C4078" s="238"/>
      <c r="E4078" s="545"/>
      <c r="F4078" s="546"/>
      <c r="G4078" s="234"/>
      <c r="H4078" s="238"/>
      <c r="I4078" s="237"/>
    </row>
    <row r="4079" spans="1:9" s="232" customFormat="1" ht="17" customHeight="1">
      <c r="A4079" s="234"/>
      <c r="B4079" s="233"/>
      <c r="C4079" s="238"/>
      <c r="E4079" s="545"/>
      <c r="F4079" s="546"/>
      <c r="G4079" s="234"/>
      <c r="H4079" s="238"/>
      <c r="I4079" s="237"/>
    </row>
    <row r="4080" spans="1:9" s="232" customFormat="1" ht="17" customHeight="1">
      <c r="A4080" s="234"/>
      <c r="B4080" s="233"/>
      <c r="C4080" s="238"/>
      <c r="E4080" s="545"/>
      <c r="F4080" s="546"/>
      <c r="G4080" s="234"/>
      <c r="H4080" s="238"/>
      <c r="I4080" s="237"/>
    </row>
    <row r="4081" spans="1:9" s="232" customFormat="1" ht="17" customHeight="1">
      <c r="A4081" s="234"/>
      <c r="B4081" s="233"/>
      <c r="C4081" s="238"/>
      <c r="E4081" s="545"/>
      <c r="F4081" s="546"/>
      <c r="G4081" s="234"/>
      <c r="H4081" s="238"/>
      <c r="I4081" s="237"/>
    </row>
    <row r="4082" spans="1:9" s="232" customFormat="1" ht="17" customHeight="1">
      <c r="A4082" s="234"/>
      <c r="B4082" s="233"/>
      <c r="C4082" s="238"/>
      <c r="E4082" s="545"/>
      <c r="F4082" s="546"/>
      <c r="G4082" s="234"/>
      <c r="H4082" s="238"/>
      <c r="I4082" s="237"/>
    </row>
    <row r="4083" spans="1:9" s="232" customFormat="1" ht="17" customHeight="1">
      <c r="A4083" s="234"/>
      <c r="B4083" s="233"/>
      <c r="C4083" s="238"/>
      <c r="E4083" s="545"/>
      <c r="F4083" s="546"/>
      <c r="G4083" s="234"/>
      <c r="H4083" s="238"/>
      <c r="I4083" s="237"/>
    </row>
    <row r="4084" spans="1:9" s="232" customFormat="1" ht="17" customHeight="1">
      <c r="A4084" s="234"/>
      <c r="B4084" s="233"/>
      <c r="C4084" s="238"/>
      <c r="E4084" s="545"/>
      <c r="F4084" s="546"/>
      <c r="G4084" s="234"/>
      <c r="H4084" s="238"/>
      <c r="I4084" s="237"/>
    </row>
    <row r="4085" spans="1:9" s="232" customFormat="1" ht="17" customHeight="1">
      <c r="A4085" s="234"/>
      <c r="B4085" s="233"/>
      <c r="C4085" s="238"/>
      <c r="E4085" s="545"/>
      <c r="F4085" s="546"/>
      <c r="G4085" s="234"/>
      <c r="H4085" s="238"/>
      <c r="I4085" s="237"/>
    </row>
    <row r="4086" spans="1:9" s="232" customFormat="1" ht="17" customHeight="1">
      <c r="A4086" s="234"/>
      <c r="B4086" s="233"/>
      <c r="C4086" s="238"/>
      <c r="E4086" s="545"/>
      <c r="F4086" s="546"/>
      <c r="G4086" s="234"/>
      <c r="H4086" s="238"/>
      <c r="I4086" s="237"/>
    </row>
    <row r="4087" spans="1:9" s="232" customFormat="1" ht="17" customHeight="1">
      <c r="A4087" s="234"/>
      <c r="B4087" s="233"/>
      <c r="C4087" s="238"/>
      <c r="E4087" s="545"/>
      <c r="F4087" s="546"/>
      <c r="G4087" s="234"/>
      <c r="H4087" s="238"/>
      <c r="I4087" s="237"/>
    </row>
    <row r="4088" spans="1:9" s="232" customFormat="1" ht="17" customHeight="1">
      <c r="A4088" s="234"/>
      <c r="B4088" s="233"/>
      <c r="C4088" s="238"/>
      <c r="E4088" s="545"/>
      <c r="F4088" s="546"/>
      <c r="G4088" s="234"/>
      <c r="H4088" s="238"/>
      <c r="I4088" s="237"/>
    </row>
    <row r="4089" spans="1:9" s="232" customFormat="1" ht="17" customHeight="1">
      <c r="A4089" s="234"/>
      <c r="B4089" s="233"/>
      <c r="C4089" s="238"/>
      <c r="E4089" s="545"/>
      <c r="F4089" s="546"/>
      <c r="G4089" s="234"/>
      <c r="H4089" s="238"/>
      <c r="I4089" s="237"/>
    </row>
    <row r="4090" spans="1:9" s="232" customFormat="1" ht="17" customHeight="1">
      <c r="A4090" s="234"/>
      <c r="B4090" s="233"/>
      <c r="C4090" s="238"/>
      <c r="E4090" s="545"/>
      <c r="F4090" s="546"/>
      <c r="G4090" s="234"/>
      <c r="H4090" s="238"/>
      <c r="I4090" s="237"/>
    </row>
    <row r="4091" spans="1:9" s="232" customFormat="1" ht="17" customHeight="1">
      <c r="A4091" s="234"/>
      <c r="B4091" s="233"/>
      <c r="C4091" s="238"/>
      <c r="E4091" s="545"/>
      <c r="F4091" s="546"/>
      <c r="G4091" s="234"/>
      <c r="H4091" s="238"/>
      <c r="I4091" s="237"/>
    </row>
    <row r="4092" spans="1:9" s="232" customFormat="1" ht="17" customHeight="1">
      <c r="A4092" s="234"/>
      <c r="B4092" s="233"/>
      <c r="C4092" s="238"/>
      <c r="E4092" s="545"/>
      <c r="F4092" s="546"/>
      <c r="G4092" s="234"/>
      <c r="H4092" s="238"/>
      <c r="I4092" s="237"/>
    </row>
    <row r="4093" spans="1:9" s="232" customFormat="1" ht="17" customHeight="1">
      <c r="A4093" s="234"/>
      <c r="B4093" s="233"/>
      <c r="C4093" s="238"/>
      <c r="E4093" s="545"/>
      <c r="F4093" s="546"/>
      <c r="G4093" s="234"/>
      <c r="H4093" s="238"/>
      <c r="I4093" s="237"/>
    </row>
    <row r="4094" spans="1:9" s="232" customFormat="1" ht="17" customHeight="1">
      <c r="A4094" s="234"/>
      <c r="B4094" s="233"/>
      <c r="C4094" s="238"/>
      <c r="E4094" s="545"/>
      <c r="F4094" s="546"/>
      <c r="G4094" s="234"/>
      <c r="H4094" s="238"/>
      <c r="I4094" s="237"/>
    </row>
    <row r="4095" spans="1:9" s="232" customFormat="1" ht="17" customHeight="1">
      <c r="A4095" s="234"/>
      <c r="B4095" s="233"/>
      <c r="C4095" s="238"/>
      <c r="E4095" s="545"/>
      <c r="F4095" s="546"/>
      <c r="G4095" s="234"/>
      <c r="H4095" s="238"/>
      <c r="I4095" s="237"/>
    </row>
    <row r="4096" spans="1:9" s="232" customFormat="1" ht="17" customHeight="1">
      <c r="A4096" s="234"/>
      <c r="B4096" s="233"/>
      <c r="C4096" s="238"/>
      <c r="E4096" s="545"/>
      <c r="F4096" s="546"/>
      <c r="G4096" s="234"/>
      <c r="H4096" s="238"/>
      <c r="I4096" s="237"/>
    </row>
    <row r="4097" spans="1:9" s="232" customFormat="1" ht="17" customHeight="1">
      <c r="A4097" s="234"/>
      <c r="B4097" s="233"/>
      <c r="C4097" s="238"/>
      <c r="E4097" s="545"/>
      <c r="F4097" s="546"/>
      <c r="G4097" s="234"/>
      <c r="H4097" s="238"/>
      <c r="I4097" s="237"/>
    </row>
    <row r="4098" spans="1:9" s="232" customFormat="1" ht="17" customHeight="1">
      <c r="A4098" s="234"/>
      <c r="B4098" s="233"/>
      <c r="C4098" s="238"/>
      <c r="E4098" s="545"/>
      <c r="F4098" s="546"/>
      <c r="G4098" s="234"/>
      <c r="H4098" s="238"/>
      <c r="I4098" s="237"/>
    </row>
    <row r="4099" spans="1:9" s="232" customFormat="1" ht="17" customHeight="1">
      <c r="A4099" s="234"/>
      <c r="B4099" s="233"/>
      <c r="C4099" s="238"/>
      <c r="E4099" s="545"/>
      <c r="F4099" s="546"/>
      <c r="G4099" s="234"/>
      <c r="H4099" s="238"/>
      <c r="I4099" s="237"/>
    </row>
    <row r="4100" spans="1:9" s="232" customFormat="1" ht="17" customHeight="1">
      <c r="A4100" s="234"/>
      <c r="B4100" s="233"/>
      <c r="C4100" s="238"/>
      <c r="E4100" s="545"/>
      <c r="F4100" s="546"/>
      <c r="G4100" s="234"/>
      <c r="H4100" s="238"/>
      <c r="I4100" s="237"/>
    </row>
    <row r="4101" spans="1:9" s="232" customFormat="1" ht="17" customHeight="1">
      <c r="A4101" s="234"/>
      <c r="B4101" s="233"/>
      <c r="C4101" s="238"/>
      <c r="E4101" s="545"/>
      <c r="F4101" s="546"/>
      <c r="G4101" s="234"/>
      <c r="H4101" s="238"/>
      <c r="I4101" s="237"/>
    </row>
    <row r="4102" spans="1:9" s="232" customFormat="1" ht="17" customHeight="1">
      <c r="A4102" s="234"/>
      <c r="B4102" s="233"/>
      <c r="C4102" s="238"/>
      <c r="E4102" s="545"/>
      <c r="F4102" s="546"/>
      <c r="G4102" s="234"/>
      <c r="H4102" s="238"/>
      <c r="I4102" s="237"/>
    </row>
    <row r="4103" spans="1:9" s="232" customFormat="1" ht="17" customHeight="1">
      <c r="A4103" s="234"/>
      <c r="B4103" s="233"/>
      <c r="C4103" s="238"/>
      <c r="E4103" s="545"/>
      <c r="F4103" s="546"/>
      <c r="G4103" s="234"/>
      <c r="H4103" s="238"/>
      <c r="I4103" s="237"/>
    </row>
    <row r="4104" spans="1:9" s="232" customFormat="1" ht="17" customHeight="1">
      <c r="A4104" s="234"/>
      <c r="B4104" s="233"/>
      <c r="C4104" s="238"/>
      <c r="E4104" s="545"/>
      <c r="F4104" s="546"/>
      <c r="G4104" s="234"/>
      <c r="H4104" s="238"/>
      <c r="I4104" s="237"/>
    </row>
    <row r="4105" spans="1:9" s="232" customFormat="1" ht="17" customHeight="1">
      <c r="A4105" s="234"/>
      <c r="B4105" s="233"/>
      <c r="C4105" s="238"/>
      <c r="E4105" s="545"/>
      <c r="F4105" s="546"/>
      <c r="G4105" s="234"/>
      <c r="H4105" s="238"/>
      <c r="I4105" s="237"/>
    </row>
    <row r="4106" spans="1:9" s="232" customFormat="1" ht="17" customHeight="1">
      <c r="A4106" s="234"/>
      <c r="B4106" s="233"/>
      <c r="C4106" s="238"/>
      <c r="E4106" s="545"/>
      <c r="F4106" s="546"/>
      <c r="G4106" s="234"/>
      <c r="H4106" s="238"/>
      <c r="I4106" s="237"/>
    </row>
    <row r="4107" spans="1:9" s="232" customFormat="1" ht="17" customHeight="1">
      <c r="A4107" s="234"/>
      <c r="B4107" s="233"/>
      <c r="C4107" s="238"/>
      <c r="E4107" s="545"/>
      <c r="F4107" s="546"/>
      <c r="G4107" s="234"/>
      <c r="H4107" s="238"/>
      <c r="I4107" s="237"/>
    </row>
    <row r="4108" spans="1:9" s="232" customFormat="1" ht="17" customHeight="1">
      <c r="A4108" s="234"/>
      <c r="B4108" s="233"/>
      <c r="C4108" s="238"/>
      <c r="E4108" s="545"/>
      <c r="F4108" s="546"/>
      <c r="G4108" s="234"/>
      <c r="H4108" s="238"/>
      <c r="I4108" s="237"/>
    </row>
    <row r="4109" spans="1:9" s="232" customFormat="1" ht="17" customHeight="1">
      <c r="A4109" s="234"/>
      <c r="B4109" s="233"/>
      <c r="C4109" s="238"/>
      <c r="E4109" s="545"/>
      <c r="F4109" s="546"/>
      <c r="G4109" s="234"/>
      <c r="H4109" s="238"/>
      <c r="I4109" s="237"/>
    </row>
    <row r="4110" spans="1:9" s="232" customFormat="1" ht="17" customHeight="1">
      <c r="A4110" s="234"/>
      <c r="B4110" s="233"/>
      <c r="C4110" s="238"/>
      <c r="E4110" s="545"/>
      <c r="F4110" s="546"/>
      <c r="G4110" s="234"/>
      <c r="H4110" s="238"/>
      <c r="I4110" s="237"/>
    </row>
    <row r="4111" spans="1:9" s="232" customFormat="1" ht="17" customHeight="1">
      <c r="A4111" s="234"/>
      <c r="B4111" s="233"/>
      <c r="C4111" s="238"/>
      <c r="E4111" s="545"/>
      <c r="F4111" s="546"/>
      <c r="G4111" s="234"/>
      <c r="H4111" s="238"/>
      <c r="I4111" s="237"/>
    </row>
    <row r="4112" spans="1:9" s="232" customFormat="1" ht="17" customHeight="1">
      <c r="A4112" s="234"/>
      <c r="B4112" s="233"/>
      <c r="C4112" s="238"/>
      <c r="E4112" s="545"/>
      <c r="F4112" s="546"/>
      <c r="G4112" s="234"/>
      <c r="H4112" s="238"/>
      <c r="I4112" s="237"/>
    </row>
    <row r="4113" spans="1:9" s="232" customFormat="1" ht="17" customHeight="1">
      <c r="A4113" s="234"/>
      <c r="B4113" s="233"/>
      <c r="C4113" s="238"/>
      <c r="E4113" s="545"/>
      <c r="F4113" s="546"/>
      <c r="G4113" s="234"/>
      <c r="H4113" s="238"/>
      <c r="I4113" s="237"/>
    </row>
    <row r="4114" spans="1:9" s="232" customFormat="1" ht="17" customHeight="1">
      <c r="A4114" s="234"/>
      <c r="B4114" s="233"/>
      <c r="C4114" s="238"/>
      <c r="E4114" s="545"/>
      <c r="F4114" s="546"/>
      <c r="G4114" s="234"/>
      <c r="H4114" s="238"/>
      <c r="I4114" s="237"/>
    </row>
    <row r="4115" spans="1:9" s="232" customFormat="1" ht="17" customHeight="1">
      <c r="A4115" s="234"/>
      <c r="B4115" s="233"/>
      <c r="C4115" s="238"/>
      <c r="E4115" s="545"/>
      <c r="F4115" s="546"/>
      <c r="G4115" s="234"/>
      <c r="H4115" s="238"/>
      <c r="I4115" s="237"/>
    </row>
    <row r="4116" spans="1:9" s="232" customFormat="1" ht="17" customHeight="1">
      <c r="A4116" s="234"/>
      <c r="B4116" s="233"/>
      <c r="C4116" s="238"/>
      <c r="E4116" s="545"/>
      <c r="F4116" s="546"/>
      <c r="G4116" s="234"/>
      <c r="H4116" s="238"/>
      <c r="I4116" s="237"/>
    </row>
    <row r="4117" spans="1:9" s="232" customFormat="1" ht="17" customHeight="1">
      <c r="A4117" s="234"/>
      <c r="B4117" s="233"/>
      <c r="C4117" s="238"/>
      <c r="E4117" s="545"/>
      <c r="F4117" s="546"/>
      <c r="G4117" s="234"/>
      <c r="H4117" s="238"/>
      <c r="I4117" s="237"/>
    </row>
    <row r="4118" spans="1:9" s="232" customFormat="1" ht="17" customHeight="1">
      <c r="A4118" s="234"/>
      <c r="B4118" s="233"/>
      <c r="C4118" s="238"/>
      <c r="E4118" s="545"/>
      <c r="F4118" s="546"/>
      <c r="G4118" s="234"/>
      <c r="H4118" s="238"/>
      <c r="I4118" s="237"/>
    </row>
    <row r="4119" spans="1:9" s="232" customFormat="1" ht="17" customHeight="1">
      <c r="A4119" s="234"/>
      <c r="B4119" s="233"/>
      <c r="C4119" s="238"/>
      <c r="E4119" s="545"/>
      <c r="F4119" s="546"/>
      <c r="G4119" s="234"/>
      <c r="H4119" s="238"/>
      <c r="I4119" s="237"/>
    </row>
    <row r="4120" spans="1:9" s="232" customFormat="1" ht="17" customHeight="1">
      <c r="A4120" s="234"/>
      <c r="B4120" s="233"/>
      <c r="C4120" s="238"/>
      <c r="E4120" s="545"/>
      <c r="F4120" s="546"/>
      <c r="G4120" s="234"/>
      <c r="H4120" s="238"/>
      <c r="I4120" s="237"/>
    </row>
    <row r="4121" spans="1:9" s="232" customFormat="1" ht="17" customHeight="1">
      <c r="A4121" s="234"/>
      <c r="B4121" s="233"/>
      <c r="C4121" s="238"/>
      <c r="E4121" s="545"/>
      <c r="F4121" s="546"/>
      <c r="G4121" s="234"/>
      <c r="H4121" s="238"/>
      <c r="I4121" s="237"/>
    </row>
    <row r="4122" spans="1:9" s="232" customFormat="1" ht="17" customHeight="1">
      <c r="A4122" s="234"/>
      <c r="B4122" s="233"/>
      <c r="C4122" s="238"/>
      <c r="E4122" s="545"/>
      <c r="F4122" s="546"/>
      <c r="G4122" s="234"/>
      <c r="H4122" s="238"/>
      <c r="I4122" s="237"/>
    </row>
    <row r="4123" spans="1:9" s="232" customFormat="1" ht="17" customHeight="1">
      <c r="A4123" s="234"/>
      <c r="B4123" s="233"/>
      <c r="C4123" s="238"/>
      <c r="E4123" s="545"/>
      <c r="F4123" s="546"/>
      <c r="G4123" s="234"/>
      <c r="H4123" s="238"/>
      <c r="I4123" s="237"/>
    </row>
    <row r="4124" spans="1:9" s="232" customFormat="1" ht="17" customHeight="1">
      <c r="A4124" s="234"/>
      <c r="B4124" s="233"/>
      <c r="C4124" s="238"/>
      <c r="E4124" s="545"/>
      <c r="F4124" s="546"/>
      <c r="G4124" s="234"/>
      <c r="H4124" s="238"/>
      <c r="I4124" s="237"/>
    </row>
    <row r="4125" spans="1:9" s="232" customFormat="1" ht="17" customHeight="1">
      <c r="A4125" s="234"/>
      <c r="B4125" s="233"/>
      <c r="C4125" s="238"/>
      <c r="E4125" s="545"/>
      <c r="F4125" s="546"/>
      <c r="G4125" s="234"/>
      <c r="H4125" s="238"/>
      <c r="I4125" s="237"/>
    </row>
    <row r="4126" spans="1:9" s="232" customFormat="1" ht="17" customHeight="1">
      <c r="A4126" s="234"/>
      <c r="B4126" s="233"/>
      <c r="C4126" s="238"/>
      <c r="E4126" s="545"/>
      <c r="F4126" s="546"/>
      <c r="G4126" s="234"/>
      <c r="H4126" s="238"/>
      <c r="I4126" s="237"/>
    </row>
    <row r="4127" spans="1:9" s="232" customFormat="1" ht="17" customHeight="1">
      <c r="A4127" s="234"/>
      <c r="B4127" s="233"/>
      <c r="C4127" s="238"/>
      <c r="E4127" s="545"/>
      <c r="F4127" s="546"/>
      <c r="G4127" s="234"/>
      <c r="H4127" s="238"/>
      <c r="I4127" s="237"/>
    </row>
    <row r="4128" spans="1:9" s="232" customFormat="1" ht="17" customHeight="1">
      <c r="A4128" s="234"/>
      <c r="B4128" s="233"/>
      <c r="C4128" s="238"/>
      <c r="E4128" s="545"/>
      <c r="F4128" s="546"/>
      <c r="G4128" s="234"/>
      <c r="H4128" s="238"/>
      <c r="I4128" s="237"/>
    </row>
    <row r="4129" spans="1:9" s="232" customFormat="1" ht="17" customHeight="1">
      <c r="A4129" s="234"/>
      <c r="B4129" s="233"/>
      <c r="C4129" s="238"/>
      <c r="E4129" s="545"/>
      <c r="F4129" s="546"/>
      <c r="G4129" s="234"/>
      <c r="H4129" s="238"/>
      <c r="I4129" s="237"/>
    </row>
    <row r="4130" spans="1:9" s="232" customFormat="1" ht="17" customHeight="1">
      <c r="A4130" s="234"/>
      <c r="B4130" s="233"/>
      <c r="C4130" s="238"/>
      <c r="E4130" s="545"/>
      <c r="F4130" s="546"/>
      <c r="G4130" s="234"/>
      <c r="H4130" s="238"/>
      <c r="I4130" s="237"/>
    </row>
    <row r="4131" spans="1:9" s="232" customFormat="1" ht="17" customHeight="1">
      <c r="A4131" s="234"/>
      <c r="B4131" s="233"/>
      <c r="C4131" s="238"/>
      <c r="E4131" s="545"/>
      <c r="F4131" s="546"/>
      <c r="G4131" s="234"/>
      <c r="H4131" s="238"/>
      <c r="I4131" s="237"/>
    </row>
    <row r="4132" spans="1:9" s="232" customFormat="1" ht="17" customHeight="1">
      <c r="A4132" s="234"/>
      <c r="B4132" s="233"/>
      <c r="C4132" s="238"/>
      <c r="E4132" s="545"/>
      <c r="F4132" s="546"/>
      <c r="G4132" s="234"/>
      <c r="H4132" s="238"/>
      <c r="I4132" s="237"/>
    </row>
    <row r="4133" spans="1:9" s="232" customFormat="1" ht="17" customHeight="1">
      <c r="A4133" s="234"/>
      <c r="B4133" s="233"/>
      <c r="C4133" s="238"/>
      <c r="E4133" s="545"/>
      <c r="F4133" s="546"/>
      <c r="G4133" s="234"/>
      <c r="H4133" s="238"/>
      <c r="I4133" s="237"/>
    </row>
    <row r="4134" spans="1:9" s="232" customFormat="1" ht="17" customHeight="1">
      <c r="A4134" s="234"/>
      <c r="B4134" s="233"/>
      <c r="C4134" s="238"/>
      <c r="E4134" s="545"/>
      <c r="F4134" s="546"/>
      <c r="G4134" s="234"/>
      <c r="H4134" s="238"/>
      <c r="I4134" s="237"/>
    </row>
    <row r="4135" spans="1:9" s="232" customFormat="1" ht="17" customHeight="1">
      <c r="A4135" s="234"/>
      <c r="B4135" s="233"/>
      <c r="C4135" s="238"/>
      <c r="E4135" s="545"/>
      <c r="F4135" s="546"/>
      <c r="G4135" s="234"/>
      <c r="H4135" s="238"/>
      <c r="I4135" s="237"/>
    </row>
    <row r="4136" spans="1:9" s="232" customFormat="1" ht="17" customHeight="1">
      <c r="A4136" s="234"/>
      <c r="B4136" s="233"/>
      <c r="C4136" s="238"/>
      <c r="E4136" s="545"/>
      <c r="F4136" s="546"/>
      <c r="G4136" s="234"/>
      <c r="H4136" s="238"/>
      <c r="I4136" s="237"/>
    </row>
    <row r="4137" spans="1:9" s="232" customFormat="1" ht="17" customHeight="1">
      <c r="A4137" s="234"/>
      <c r="B4137" s="233"/>
      <c r="C4137" s="238"/>
      <c r="E4137" s="545"/>
      <c r="F4137" s="546"/>
      <c r="G4137" s="234"/>
      <c r="H4137" s="238"/>
      <c r="I4137" s="237"/>
    </row>
    <row r="4138" spans="1:9" s="232" customFormat="1" ht="17" customHeight="1">
      <c r="A4138" s="234"/>
      <c r="B4138" s="233"/>
      <c r="C4138" s="238"/>
      <c r="E4138" s="545"/>
      <c r="F4138" s="546"/>
      <c r="G4138" s="234"/>
      <c r="H4138" s="238"/>
      <c r="I4138" s="237"/>
    </row>
    <row r="4139" spans="1:9" s="232" customFormat="1" ht="17" customHeight="1">
      <c r="A4139" s="234"/>
      <c r="B4139" s="233"/>
      <c r="C4139" s="238"/>
      <c r="E4139" s="545"/>
      <c r="F4139" s="546"/>
      <c r="G4139" s="234"/>
      <c r="H4139" s="238"/>
      <c r="I4139" s="237"/>
    </row>
    <row r="4140" spans="1:9" s="232" customFormat="1" ht="17" customHeight="1">
      <c r="A4140" s="234"/>
      <c r="B4140" s="233"/>
      <c r="C4140" s="238"/>
      <c r="E4140" s="545"/>
      <c r="F4140" s="546"/>
      <c r="G4140" s="234"/>
      <c r="H4140" s="238"/>
      <c r="I4140" s="237"/>
    </row>
    <row r="4141" spans="1:9" s="232" customFormat="1" ht="17" customHeight="1">
      <c r="A4141" s="234"/>
      <c r="B4141" s="233"/>
      <c r="C4141" s="238"/>
      <c r="E4141" s="545"/>
      <c r="F4141" s="546"/>
      <c r="G4141" s="234"/>
      <c r="H4141" s="238"/>
      <c r="I4141" s="237"/>
    </row>
    <row r="4142" spans="1:9" s="232" customFormat="1" ht="17" customHeight="1">
      <c r="A4142" s="234"/>
      <c r="B4142" s="233"/>
      <c r="C4142" s="238"/>
      <c r="E4142" s="545"/>
      <c r="F4142" s="546"/>
      <c r="G4142" s="234"/>
      <c r="H4142" s="238"/>
      <c r="I4142" s="237"/>
    </row>
    <row r="4143" spans="1:9" s="232" customFormat="1" ht="17" customHeight="1">
      <c r="A4143" s="234"/>
      <c r="B4143" s="233"/>
      <c r="C4143" s="238"/>
      <c r="E4143" s="545"/>
      <c r="F4143" s="546"/>
      <c r="G4143" s="234"/>
      <c r="H4143" s="238"/>
      <c r="I4143" s="237"/>
    </row>
    <row r="4144" spans="1:9" s="232" customFormat="1" ht="17" customHeight="1">
      <c r="A4144" s="234"/>
      <c r="B4144" s="233"/>
      <c r="C4144" s="238"/>
      <c r="E4144" s="545"/>
      <c r="F4144" s="546"/>
      <c r="G4144" s="234"/>
      <c r="H4144" s="238"/>
      <c r="I4144" s="237"/>
    </row>
    <row r="4145" spans="1:9" s="232" customFormat="1" ht="17" customHeight="1">
      <c r="A4145" s="234"/>
      <c r="B4145" s="233"/>
      <c r="C4145" s="238"/>
      <c r="E4145" s="545"/>
      <c r="F4145" s="546"/>
      <c r="G4145" s="234"/>
      <c r="H4145" s="238"/>
      <c r="I4145" s="237"/>
    </row>
    <row r="4146" spans="1:9" s="232" customFormat="1" ht="17" customHeight="1">
      <c r="A4146" s="234"/>
      <c r="B4146" s="233"/>
      <c r="C4146" s="238"/>
      <c r="E4146" s="545"/>
      <c r="F4146" s="546"/>
      <c r="G4146" s="234"/>
      <c r="H4146" s="238"/>
      <c r="I4146" s="237"/>
    </row>
    <row r="4147" spans="1:9" s="232" customFormat="1" ht="17" customHeight="1">
      <c r="A4147" s="234"/>
      <c r="B4147" s="233"/>
      <c r="C4147" s="238"/>
      <c r="E4147" s="545"/>
      <c r="F4147" s="546"/>
      <c r="G4147" s="234"/>
      <c r="H4147" s="238"/>
      <c r="I4147" s="237"/>
    </row>
    <row r="4148" spans="1:9" s="232" customFormat="1" ht="17" customHeight="1">
      <c r="A4148" s="234"/>
      <c r="B4148" s="233"/>
      <c r="C4148" s="238"/>
      <c r="E4148" s="545"/>
      <c r="F4148" s="546"/>
      <c r="G4148" s="234"/>
      <c r="H4148" s="238"/>
      <c r="I4148" s="237"/>
    </row>
    <row r="4149" spans="1:9" s="232" customFormat="1" ht="17" customHeight="1">
      <c r="A4149" s="234"/>
      <c r="B4149" s="233"/>
      <c r="C4149" s="238"/>
      <c r="E4149" s="545"/>
      <c r="F4149" s="546"/>
      <c r="G4149" s="234"/>
      <c r="H4149" s="238"/>
      <c r="I4149" s="237"/>
    </row>
    <row r="4150" spans="1:9" s="232" customFormat="1" ht="17" customHeight="1">
      <c r="A4150" s="234"/>
      <c r="B4150" s="233"/>
      <c r="C4150" s="238"/>
      <c r="E4150" s="545"/>
      <c r="F4150" s="546"/>
      <c r="G4150" s="234"/>
      <c r="H4150" s="238"/>
      <c r="I4150" s="237"/>
    </row>
    <row r="4151" spans="1:9" s="232" customFormat="1" ht="17" customHeight="1">
      <c r="A4151" s="234"/>
      <c r="B4151" s="233"/>
      <c r="C4151" s="238"/>
      <c r="E4151" s="545"/>
      <c r="F4151" s="546"/>
      <c r="G4151" s="234"/>
      <c r="H4151" s="238"/>
      <c r="I4151" s="237"/>
    </row>
    <row r="4152" spans="1:9" s="232" customFormat="1" ht="17" customHeight="1">
      <c r="A4152" s="234"/>
      <c r="B4152" s="233"/>
      <c r="C4152" s="238"/>
      <c r="E4152" s="545"/>
      <c r="F4152" s="546"/>
      <c r="G4152" s="234"/>
      <c r="H4152" s="238"/>
      <c r="I4152" s="237"/>
    </row>
    <row r="4153" spans="1:9" s="232" customFormat="1" ht="17" customHeight="1">
      <c r="A4153" s="234"/>
      <c r="B4153" s="233"/>
      <c r="C4153" s="238"/>
      <c r="E4153" s="545"/>
      <c r="F4153" s="546"/>
      <c r="G4153" s="234"/>
      <c r="H4153" s="238"/>
      <c r="I4153" s="237"/>
    </row>
    <row r="4154" spans="1:9" s="232" customFormat="1" ht="17" customHeight="1">
      <c r="A4154" s="234"/>
      <c r="B4154" s="233"/>
      <c r="C4154" s="238"/>
      <c r="E4154" s="545"/>
      <c r="F4154" s="546"/>
      <c r="G4154" s="234"/>
      <c r="H4154" s="238"/>
      <c r="I4154" s="237"/>
    </row>
    <row r="4155" spans="1:9" s="232" customFormat="1" ht="17" customHeight="1">
      <c r="A4155" s="234"/>
      <c r="B4155" s="233"/>
      <c r="C4155" s="238"/>
      <c r="E4155" s="545"/>
      <c r="F4155" s="546"/>
      <c r="G4155" s="234"/>
      <c r="H4155" s="238"/>
      <c r="I4155" s="237"/>
    </row>
    <row r="4156" spans="1:9" s="232" customFormat="1" ht="17" customHeight="1">
      <c r="A4156" s="234"/>
      <c r="B4156" s="233"/>
      <c r="C4156" s="238"/>
      <c r="E4156" s="545"/>
      <c r="F4156" s="546"/>
      <c r="G4156" s="234"/>
      <c r="H4156" s="238"/>
      <c r="I4156" s="237"/>
    </row>
    <row r="4157" spans="1:9" s="232" customFormat="1" ht="17" customHeight="1">
      <c r="A4157" s="234"/>
      <c r="B4157" s="233"/>
      <c r="C4157" s="238"/>
      <c r="E4157" s="545"/>
      <c r="F4157" s="546"/>
      <c r="G4157" s="234"/>
      <c r="H4157" s="238"/>
      <c r="I4157" s="237"/>
    </row>
    <row r="4158" spans="1:9" s="232" customFormat="1" ht="17" customHeight="1">
      <c r="A4158" s="234"/>
      <c r="B4158" s="233"/>
      <c r="C4158" s="238"/>
      <c r="E4158" s="545"/>
      <c r="F4158" s="546"/>
      <c r="G4158" s="234"/>
      <c r="H4158" s="238"/>
      <c r="I4158" s="237"/>
    </row>
    <row r="4159" spans="1:9" s="232" customFormat="1" ht="17" customHeight="1">
      <c r="A4159" s="234"/>
      <c r="B4159" s="233"/>
      <c r="C4159" s="238"/>
      <c r="E4159" s="545"/>
      <c r="F4159" s="546"/>
      <c r="G4159" s="234"/>
      <c r="H4159" s="238"/>
      <c r="I4159" s="237"/>
    </row>
    <row r="4160" spans="1:9" s="232" customFormat="1" ht="17" customHeight="1">
      <c r="A4160" s="234"/>
      <c r="B4160" s="233"/>
      <c r="C4160" s="238"/>
      <c r="E4160" s="545"/>
      <c r="F4160" s="546"/>
      <c r="G4160" s="234"/>
      <c r="H4160" s="238"/>
      <c r="I4160" s="237"/>
    </row>
    <row r="4161" spans="1:9" s="232" customFormat="1" ht="17" customHeight="1">
      <c r="A4161" s="234"/>
      <c r="B4161" s="233"/>
      <c r="C4161" s="238"/>
      <c r="E4161" s="545"/>
      <c r="F4161" s="546"/>
      <c r="G4161" s="234"/>
      <c r="H4161" s="238"/>
      <c r="I4161" s="237"/>
    </row>
    <row r="4162" spans="1:9" s="232" customFormat="1" ht="17" customHeight="1">
      <c r="A4162" s="234"/>
      <c r="B4162" s="233"/>
      <c r="C4162" s="238"/>
      <c r="E4162" s="545"/>
      <c r="F4162" s="546"/>
      <c r="G4162" s="234"/>
      <c r="H4162" s="238"/>
      <c r="I4162" s="237"/>
    </row>
    <row r="4163" spans="1:9" s="232" customFormat="1" ht="17" customHeight="1">
      <c r="A4163" s="234"/>
      <c r="B4163" s="233"/>
      <c r="C4163" s="238"/>
      <c r="E4163" s="545"/>
      <c r="F4163" s="546"/>
      <c r="G4163" s="234"/>
      <c r="H4163" s="238"/>
      <c r="I4163" s="237"/>
    </row>
    <row r="4164" spans="1:9" s="232" customFormat="1" ht="17" customHeight="1">
      <c r="A4164" s="234"/>
      <c r="B4164" s="233"/>
      <c r="C4164" s="238"/>
      <c r="E4164" s="545"/>
      <c r="F4164" s="546"/>
      <c r="G4164" s="234"/>
      <c r="H4164" s="238"/>
      <c r="I4164" s="237"/>
    </row>
    <row r="4165" spans="1:9" s="232" customFormat="1" ht="17" customHeight="1">
      <c r="A4165" s="234"/>
      <c r="B4165" s="233"/>
      <c r="C4165" s="238"/>
      <c r="E4165" s="545"/>
      <c r="F4165" s="546"/>
      <c r="G4165" s="234"/>
      <c r="H4165" s="238"/>
      <c r="I4165" s="237"/>
    </row>
    <row r="4166" spans="1:9" s="232" customFormat="1" ht="17" customHeight="1">
      <c r="A4166" s="234"/>
      <c r="B4166" s="233"/>
      <c r="C4166" s="238"/>
      <c r="E4166" s="545"/>
      <c r="F4166" s="546"/>
      <c r="G4166" s="234"/>
      <c r="H4166" s="238"/>
      <c r="I4166" s="237"/>
    </row>
    <row r="4167" spans="1:9" s="232" customFormat="1" ht="17" customHeight="1">
      <c r="A4167" s="234"/>
      <c r="B4167" s="233"/>
      <c r="C4167" s="238"/>
      <c r="E4167" s="545"/>
      <c r="F4167" s="546"/>
      <c r="G4167" s="234"/>
      <c r="H4167" s="238"/>
      <c r="I4167" s="237"/>
    </row>
    <row r="4168" spans="1:9" s="232" customFormat="1" ht="17" customHeight="1">
      <c r="A4168" s="234"/>
      <c r="B4168" s="233"/>
      <c r="C4168" s="238"/>
      <c r="E4168" s="545"/>
      <c r="F4168" s="546"/>
      <c r="G4168" s="234"/>
      <c r="H4168" s="238"/>
      <c r="I4168" s="237"/>
    </row>
    <row r="4169" spans="1:9" s="232" customFormat="1" ht="17" customHeight="1">
      <c r="A4169" s="234"/>
      <c r="B4169" s="233"/>
      <c r="C4169" s="238"/>
      <c r="E4169" s="545"/>
      <c r="F4169" s="546"/>
      <c r="G4169" s="234"/>
      <c r="H4169" s="238"/>
      <c r="I4169" s="237"/>
    </row>
    <row r="4170" spans="1:9" s="232" customFormat="1" ht="17" customHeight="1">
      <c r="A4170" s="234"/>
      <c r="B4170" s="233"/>
      <c r="C4170" s="238"/>
      <c r="E4170" s="545"/>
      <c r="F4170" s="546"/>
      <c r="G4170" s="234"/>
      <c r="H4170" s="238"/>
      <c r="I4170" s="237"/>
    </row>
    <row r="4171" spans="1:9" s="232" customFormat="1" ht="17" customHeight="1">
      <c r="A4171" s="234"/>
      <c r="B4171" s="233"/>
      <c r="C4171" s="238"/>
      <c r="E4171" s="545"/>
      <c r="F4171" s="546"/>
      <c r="G4171" s="234"/>
      <c r="H4171" s="238"/>
      <c r="I4171" s="237"/>
    </row>
    <row r="4172" spans="1:9" s="232" customFormat="1" ht="17" customHeight="1">
      <c r="A4172" s="234"/>
      <c r="B4172" s="233"/>
      <c r="C4172" s="238"/>
      <c r="E4172" s="545"/>
      <c r="F4172" s="546"/>
      <c r="G4172" s="234"/>
      <c r="H4172" s="238"/>
      <c r="I4172" s="237"/>
    </row>
    <row r="4173" spans="1:9" s="232" customFormat="1" ht="17" customHeight="1">
      <c r="A4173" s="234"/>
      <c r="B4173" s="233"/>
      <c r="C4173" s="238"/>
      <c r="E4173" s="545"/>
      <c r="F4173" s="546"/>
      <c r="G4173" s="234"/>
      <c r="H4173" s="238"/>
      <c r="I4173" s="237"/>
    </row>
    <row r="4174" spans="1:9" s="232" customFormat="1" ht="17" customHeight="1">
      <c r="A4174" s="234"/>
      <c r="B4174" s="233"/>
      <c r="C4174" s="238"/>
      <c r="E4174" s="545"/>
      <c r="F4174" s="546"/>
      <c r="G4174" s="234"/>
      <c r="H4174" s="238"/>
      <c r="I4174" s="237"/>
    </row>
    <row r="4175" spans="1:9" s="232" customFormat="1" ht="17" customHeight="1">
      <c r="A4175" s="234"/>
      <c r="B4175" s="233"/>
      <c r="C4175" s="238"/>
      <c r="E4175" s="545"/>
      <c r="F4175" s="546"/>
      <c r="G4175" s="234"/>
      <c r="H4175" s="238"/>
      <c r="I4175" s="237"/>
    </row>
    <row r="4176" spans="1:9" s="232" customFormat="1" ht="17" customHeight="1">
      <c r="A4176" s="234"/>
      <c r="B4176" s="233"/>
      <c r="C4176" s="238"/>
      <c r="E4176" s="545"/>
      <c r="F4176" s="546"/>
      <c r="G4176" s="234"/>
      <c r="H4176" s="238"/>
      <c r="I4176" s="237"/>
    </row>
    <row r="4177" spans="1:9" s="232" customFormat="1" ht="17" customHeight="1">
      <c r="A4177" s="234"/>
      <c r="B4177" s="233"/>
      <c r="C4177" s="238"/>
      <c r="E4177" s="545"/>
      <c r="F4177" s="546"/>
      <c r="G4177" s="234"/>
      <c r="H4177" s="238"/>
      <c r="I4177" s="237"/>
    </row>
    <row r="4178" spans="1:9" s="232" customFormat="1" ht="17" customHeight="1">
      <c r="A4178" s="234"/>
      <c r="B4178" s="233"/>
      <c r="C4178" s="238"/>
      <c r="E4178" s="545"/>
      <c r="F4178" s="546"/>
      <c r="G4178" s="234"/>
      <c r="H4178" s="238"/>
      <c r="I4178" s="237"/>
    </row>
    <row r="4179" spans="1:9" s="232" customFormat="1" ht="17" customHeight="1">
      <c r="A4179" s="234"/>
      <c r="B4179" s="233"/>
      <c r="C4179" s="238"/>
      <c r="E4179" s="545"/>
      <c r="F4179" s="546"/>
      <c r="G4179" s="234"/>
      <c r="H4179" s="238"/>
      <c r="I4179" s="237"/>
    </row>
    <row r="4180" spans="1:9" s="232" customFormat="1" ht="17" customHeight="1">
      <c r="A4180" s="234"/>
      <c r="B4180" s="233"/>
      <c r="C4180" s="238"/>
      <c r="E4180" s="545"/>
      <c r="F4180" s="546"/>
      <c r="G4180" s="234"/>
      <c r="H4180" s="238"/>
      <c r="I4180" s="237"/>
    </row>
    <row r="4181" spans="1:9" s="232" customFormat="1" ht="17" customHeight="1">
      <c r="A4181" s="234"/>
      <c r="B4181" s="233"/>
      <c r="C4181" s="238"/>
      <c r="E4181" s="545"/>
      <c r="F4181" s="546"/>
      <c r="G4181" s="234"/>
      <c r="H4181" s="238"/>
      <c r="I4181" s="237"/>
    </row>
    <row r="4182" spans="1:9" s="232" customFormat="1" ht="17" customHeight="1">
      <c r="A4182" s="234"/>
      <c r="B4182" s="233"/>
      <c r="C4182" s="238"/>
      <c r="E4182" s="545"/>
      <c r="F4182" s="546"/>
      <c r="G4182" s="234"/>
      <c r="H4182" s="238"/>
      <c r="I4182" s="237"/>
    </row>
    <row r="4183" spans="1:9" s="232" customFormat="1" ht="17" customHeight="1">
      <c r="A4183" s="234"/>
      <c r="B4183" s="233"/>
      <c r="C4183" s="238"/>
      <c r="E4183" s="545"/>
      <c r="F4183" s="546"/>
      <c r="G4183" s="234"/>
      <c r="H4183" s="238"/>
      <c r="I4183" s="237"/>
    </row>
    <row r="4184" spans="1:9" s="232" customFormat="1" ht="17" customHeight="1">
      <c r="A4184" s="234"/>
      <c r="B4184" s="233"/>
      <c r="C4184" s="238"/>
      <c r="E4184" s="545"/>
      <c r="F4184" s="546"/>
      <c r="G4184" s="234"/>
      <c r="H4184" s="238"/>
      <c r="I4184" s="237"/>
    </row>
    <row r="4185" spans="1:9" s="232" customFormat="1" ht="17" customHeight="1">
      <c r="A4185" s="234"/>
      <c r="B4185" s="233"/>
      <c r="C4185" s="238"/>
      <c r="E4185" s="545"/>
      <c r="F4185" s="546"/>
      <c r="G4185" s="234"/>
      <c r="H4185" s="238"/>
      <c r="I4185" s="237"/>
    </row>
    <row r="4186" spans="1:9" s="232" customFormat="1" ht="17" customHeight="1">
      <c r="A4186" s="234"/>
      <c r="B4186" s="233"/>
      <c r="C4186" s="238"/>
      <c r="E4186" s="545"/>
      <c r="F4186" s="546"/>
      <c r="G4186" s="234"/>
      <c r="H4186" s="238"/>
      <c r="I4186" s="237"/>
    </row>
    <row r="4187" spans="1:9" s="232" customFormat="1" ht="17" customHeight="1">
      <c r="A4187" s="234"/>
      <c r="B4187" s="233"/>
      <c r="C4187" s="238"/>
      <c r="E4187" s="545"/>
      <c r="F4187" s="546"/>
      <c r="G4187" s="234"/>
      <c r="H4187" s="238"/>
      <c r="I4187" s="237"/>
    </row>
    <row r="4188" spans="1:9" s="232" customFormat="1" ht="17" customHeight="1">
      <c r="A4188" s="234"/>
      <c r="B4188" s="233"/>
      <c r="C4188" s="238"/>
      <c r="E4188" s="545"/>
      <c r="F4188" s="546"/>
      <c r="G4188" s="234"/>
      <c r="H4188" s="238"/>
      <c r="I4188" s="237"/>
    </row>
    <row r="4189" spans="1:9" s="232" customFormat="1" ht="17" customHeight="1">
      <c r="A4189" s="234"/>
      <c r="B4189" s="233"/>
      <c r="C4189" s="238"/>
      <c r="E4189" s="545"/>
      <c r="F4189" s="546"/>
      <c r="G4189" s="234"/>
      <c r="H4189" s="238"/>
      <c r="I4189" s="237"/>
    </row>
    <row r="4190" spans="1:9" s="232" customFormat="1" ht="17" customHeight="1">
      <c r="A4190" s="234"/>
      <c r="B4190" s="233"/>
      <c r="C4190" s="238"/>
      <c r="E4190" s="545"/>
      <c r="F4190" s="546"/>
      <c r="G4190" s="234"/>
      <c r="H4190" s="238"/>
      <c r="I4190" s="237"/>
    </row>
    <row r="4191" spans="1:9" s="232" customFormat="1" ht="17" customHeight="1">
      <c r="A4191" s="234"/>
      <c r="B4191" s="233"/>
      <c r="C4191" s="238"/>
      <c r="E4191" s="545"/>
      <c r="F4191" s="546"/>
      <c r="G4191" s="234"/>
      <c r="H4191" s="238"/>
      <c r="I4191" s="237"/>
    </row>
    <row r="4192" spans="1:9" s="232" customFormat="1" ht="17" customHeight="1">
      <c r="A4192" s="234"/>
      <c r="B4192" s="233"/>
      <c r="C4192" s="238"/>
      <c r="E4192" s="545"/>
      <c r="F4192" s="546"/>
      <c r="G4192" s="234"/>
      <c r="H4192" s="238"/>
      <c r="I4192" s="237"/>
    </row>
    <row r="4193" spans="1:9" s="232" customFormat="1" ht="17" customHeight="1">
      <c r="A4193" s="234"/>
      <c r="B4193" s="233"/>
      <c r="C4193" s="238"/>
      <c r="E4193" s="545"/>
      <c r="F4193" s="546"/>
      <c r="G4193" s="234"/>
      <c r="H4193" s="238"/>
      <c r="I4193" s="237"/>
    </row>
    <row r="4194" spans="1:9" s="232" customFormat="1" ht="17" customHeight="1">
      <c r="A4194" s="234"/>
      <c r="B4194" s="233"/>
      <c r="C4194" s="238"/>
      <c r="E4194" s="545"/>
      <c r="F4194" s="546"/>
      <c r="G4194" s="234"/>
      <c r="H4194" s="238"/>
      <c r="I4194" s="237"/>
    </row>
    <row r="4195" spans="1:9" s="232" customFormat="1" ht="17" customHeight="1">
      <c r="A4195" s="234"/>
      <c r="B4195" s="233"/>
      <c r="C4195" s="238"/>
      <c r="E4195" s="545"/>
      <c r="F4195" s="546"/>
      <c r="G4195" s="234"/>
      <c r="H4195" s="238"/>
      <c r="I4195" s="237"/>
    </row>
    <row r="4196" spans="1:9" s="232" customFormat="1" ht="17" customHeight="1">
      <c r="A4196" s="234"/>
      <c r="B4196" s="233"/>
      <c r="C4196" s="238"/>
      <c r="E4196" s="545"/>
      <c r="F4196" s="546"/>
      <c r="G4196" s="234"/>
      <c r="H4196" s="238"/>
      <c r="I4196" s="237"/>
    </row>
    <row r="4197" spans="1:9" s="232" customFormat="1" ht="17" customHeight="1">
      <c r="A4197" s="234"/>
      <c r="B4197" s="233"/>
      <c r="C4197" s="238"/>
      <c r="E4197" s="545"/>
      <c r="F4197" s="546"/>
      <c r="G4197" s="234"/>
      <c r="H4197" s="238"/>
      <c r="I4197" s="237"/>
    </row>
    <row r="4198" spans="1:9" s="232" customFormat="1" ht="17" customHeight="1">
      <c r="A4198" s="234"/>
      <c r="B4198" s="233"/>
      <c r="C4198" s="238"/>
      <c r="E4198" s="545"/>
      <c r="F4198" s="546"/>
      <c r="G4198" s="234"/>
      <c r="H4198" s="238"/>
      <c r="I4198" s="237"/>
    </row>
    <row r="4199" spans="1:9" s="232" customFormat="1" ht="17" customHeight="1">
      <c r="A4199" s="234"/>
      <c r="B4199" s="233"/>
      <c r="C4199" s="238"/>
      <c r="E4199" s="545"/>
      <c r="F4199" s="546"/>
      <c r="G4199" s="234"/>
      <c r="H4199" s="238"/>
      <c r="I4199" s="237"/>
    </row>
    <row r="4200" spans="1:9" s="232" customFormat="1" ht="17" customHeight="1">
      <c r="A4200" s="234"/>
      <c r="B4200" s="233"/>
      <c r="C4200" s="238"/>
      <c r="E4200" s="545"/>
      <c r="F4200" s="546"/>
      <c r="G4200" s="234"/>
      <c r="H4200" s="238"/>
      <c r="I4200" s="237"/>
    </row>
    <row r="4201" spans="1:9" s="232" customFormat="1" ht="17" customHeight="1">
      <c r="A4201" s="234"/>
      <c r="B4201" s="233"/>
      <c r="C4201" s="238"/>
      <c r="E4201" s="545"/>
      <c r="F4201" s="546"/>
      <c r="G4201" s="234"/>
      <c r="H4201" s="238"/>
      <c r="I4201" s="237"/>
    </row>
    <row r="4202" spans="1:9" s="232" customFormat="1" ht="17" customHeight="1">
      <c r="A4202" s="234"/>
      <c r="B4202" s="233"/>
      <c r="C4202" s="238"/>
      <c r="E4202" s="545"/>
      <c r="F4202" s="546"/>
      <c r="G4202" s="234"/>
      <c r="H4202" s="238"/>
      <c r="I4202" s="237"/>
    </row>
    <row r="4203" spans="1:9" s="232" customFormat="1" ht="17" customHeight="1">
      <c r="A4203" s="234"/>
      <c r="B4203" s="233"/>
      <c r="C4203" s="238"/>
      <c r="E4203" s="545"/>
      <c r="F4203" s="546"/>
      <c r="G4203" s="234"/>
      <c r="H4203" s="238"/>
      <c r="I4203" s="237"/>
    </row>
    <row r="4204" spans="1:9" s="232" customFormat="1" ht="17" customHeight="1">
      <c r="A4204" s="234"/>
      <c r="B4204" s="233"/>
      <c r="C4204" s="238"/>
      <c r="E4204" s="545"/>
      <c r="F4204" s="546"/>
      <c r="G4204" s="234"/>
      <c r="H4204" s="238"/>
      <c r="I4204" s="237"/>
    </row>
    <row r="4205" spans="1:9" s="232" customFormat="1" ht="17" customHeight="1">
      <c r="A4205" s="234"/>
      <c r="B4205" s="233"/>
      <c r="C4205" s="238"/>
      <c r="E4205" s="545"/>
      <c r="F4205" s="546"/>
      <c r="G4205" s="234"/>
      <c r="H4205" s="238"/>
      <c r="I4205" s="237"/>
    </row>
    <row r="4206" spans="1:9" s="232" customFormat="1" ht="17" customHeight="1">
      <c r="A4206" s="234"/>
      <c r="B4206" s="233"/>
      <c r="C4206" s="238"/>
      <c r="E4206" s="545"/>
      <c r="F4206" s="546"/>
      <c r="G4206" s="234"/>
      <c r="H4206" s="238"/>
      <c r="I4206" s="237"/>
    </row>
    <row r="4207" spans="1:9" s="232" customFormat="1" ht="17" customHeight="1">
      <c r="A4207" s="234"/>
      <c r="B4207" s="233"/>
      <c r="C4207" s="238"/>
      <c r="E4207" s="545"/>
      <c r="F4207" s="546"/>
      <c r="G4207" s="234"/>
      <c r="H4207" s="238"/>
      <c r="I4207" s="237"/>
    </row>
    <row r="4208" spans="1:9" s="232" customFormat="1" ht="17" customHeight="1">
      <c r="A4208" s="234"/>
      <c r="B4208" s="233"/>
      <c r="C4208" s="238"/>
      <c r="E4208" s="545"/>
      <c r="F4208" s="546"/>
      <c r="G4208" s="234"/>
      <c r="H4208" s="238"/>
      <c r="I4208" s="237"/>
    </row>
    <row r="4209" spans="1:9" s="232" customFormat="1" ht="17" customHeight="1">
      <c r="A4209" s="234"/>
      <c r="B4209" s="233"/>
      <c r="C4209" s="238"/>
      <c r="E4209" s="545"/>
      <c r="F4209" s="546"/>
      <c r="G4209" s="234"/>
      <c r="H4209" s="238"/>
      <c r="I4209" s="237"/>
    </row>
    <row r="4210" spans="1:9" s="232" customFormat="1" ht="17" customHeight="1">
      <c r="A4210" s="234"/>
      <c r="B4210" s="233"/>
      <c r="C4210" s="238"/>
      <c r="E4210" s="545"/>
      <c r="F4210" s="546"/>
      <c r="G4210" s="234"/>
      <c r="H4210" s="238"/>
      <c r="I4210" s="237"/>
    </row>
    <row r="4211" spans="1:9" s="232" customFormat="1" ht="17" customHeight="1">
      <c r="A4211" s="234"/>
      <c r="B4211" s="233"/>
      <c r="C4211" s="238"/>
      <c r="E4211" s="545"/>
      <c r="F4211" s="546"/>
      <c r="G4211" s="234"/>
      <c r="H4211" s="238"/>
      <c r="I4211" s="237"/>
    </row>
    <row r="4212" spans="1:9" s="232" customFormat="1" ht="17" customHeight="1">
      <c r="A4212" s="234"/>
      <c r="B4212" s="233"/>
      <c r="C4212" s="238"/>
      <c r="E4212" s="545"/>
      <c r="F4212" s="546"/>
      <c r="G4212" s="234"/>
      <c r="H4212" s="238"/>
      <c r="I4212" s="237"/>
    </row>
    <row r="4213" spans="1:9" s="232" customFormat="1" ht="17" customHeight="1">
      <c r="A4213" s="234"/>
      <c r="B4213" s="233"/>
      <c r="C4213" s="238"/>
      <c r="E4213" s="545"/>
      <c r="F4213" s="546"/>
      <c r="G4213" s="234"/>
      <c r="H4213" s="238"/>
      <c r="I4213" s="237"/>
    </row>
    <row r="4214" spans="1:9" s="232" customFormat="1" ht="17" customHeight="1">
      <c r="A4214" s="234"/>
      <c r="B4214" s="233"/>
      <c r="C4214" s="238"/>
      <c r="E4214" s="545"/>
      <c r="F4214" s="546"/>
      <c r="G4214" s="234"/>
      <c r="H4214" s="238"/>
      <c r="I4214" s="237"/>
    </row>
    <row r="4215" spans="1:9" s="232" customFormat="1" ht="17" customHeight="1">
      <c r="A4215" s="234"/>
      <c r="B4215" s="233"/>
      <c r="C4215" s="238"/>
      <c r="E4215" s="545"/>
      <c r="F4215" s="546"/>
      <c r="G4215" s="234"/>
      <c r="H4215" s="238"/>
      <c r="I4215" s="237"/>
    </row>
    <row r="4216" spans="1:9" s="232" customFormat="1" ht="17" customHeight="1">
      <c r="A4216" s="234"/>
      <c r="B4216" s="233"/>
      <c r="C4216" s="238"/>
      <c r="E4216" s="545"/>
      <c r="F4216" s="546"/>
      <c r="G4216" s="234"/>
      <c r="H4216" s="238"/>
      <c r="I4216" s="237"/>
    </row>
    <row r="4217" spans="1:9" s="232" customFormat="1" ht="17" customHeight="1">
      <c r="A4217" s="234"/>
      <c r="B4217" s="233"/>
      <c r="C4217" s="238"/>
      <c r="E4217" s="545"/>
      <c r="F4217" s="546"/>
      <c r="G4217" s="234"/>
      <c r="H4217" s="238"/>
      <c r="I4217" s="237"/>
    </row>
    <row r="4218" spans="1:9" s="232" customFormat="1" ht="17" customHeight="1">
      <c r="A4218" s="234"/>
      <c r="B4218" s="233"/>
      <c r="C4218" s="238"/>
      <c r="E4218" s="545"/>
      <c r="F4218" s="546"/>
      <c r="G4218" s="234"/>
      <c r="H4218" s="238"/>
      <c r="I4218" s="237"/>
    </row>
    <row r="4219" spans="1:9" s="232" customFormat="1" ht="17" customHeight="1">
      <c r="A4219" s="234"/>
      <c r="B4219" s="233"/>
      <c r="C4219" s="238"/>
      <c r="E4219" s="545"/>
      <c r="F4219" s="546"/>
      <c r="G4219" s="234"/>
      <c r="H4219" s="238"/>
      <c r="I4219" s="237"/>
    </row>
    <row r="4220" spans="1:9" s="232" customFormat="1" ht="17" customHeight="1">
      <c r="A4220" s="234"/>
      <c r="B4220" s="233"/>
      <c r="C4220" s="238"/>
      <c r="E4220" s="545"/>
      <c r="F4220" s="546"/>
      <c r="G4220" s="234"/>
      <c r="H4220" s="238"/>
      <c r="I4220" s="237"/>
    </row>
    <row r="4221" spans="1:9" s="232" customFormat="1" ht="17" customHeight="1">
      <c r="A4221" s="234"/>
      <c r="B4221" s="233"/>
      <c r="C4221" s="238"/>
      <c r="E4221" s="545"/>
      <c r="F4221" s="546"/>
      <c r="G4221" s="234"/>
      <c r="H4221" s="238"/>
      <c r="I4221" s="237"/>
    </row>
    <row r="4222" spans="1:9" s="232" customFormat="1" ht="17" customHeight="1">
      <c r="A4222" s="234"/>
      <c r="B4222" s="233"/>
      <c r="C4222" s="238"/>
      <c r="E4222" s="545"/>
      <c r="F4222" s="546"/>
      <c r="G4222" s="234"/>
      <c r="H4222" s="238"/>
      <c r="I4222" s="237"/>
    </row>
    <row r="4223" spans="1:9" s="232" customFormat="1" ht="17" customHeight="1">
      <c r="A4223" s="234"/>
      <c r="B4223" s="233"/>
      <c r="C4223" s="238"/>
      <c r="E4223" s="545"/>
      <c r="F4223" s="546"/>
      <c r="G4223" s="234"/>
      <c r="H4223" s="238"/>
      <c r="I4223" s="237"/>
    </row>
    <row r="4224" spans="1:9" s="232" customFormat="1" ht="17" customHeight="1">
      <c r="A4224" s="234"/>
      <c r="B4224" s="233"/>
      <c r="C4224" s="238"/>
      <c r="E4224" s="545"/>
      <c r="F4224" s="546"/>
      <c r="G4224" s="234"/>
      <c r="H4224" s="238"/>
      <c r="I4224" s="237"/>
    </row>
    <row r="4225" spans="1:9" s="232" customFormat="1" ht="17" customHeight="1">
      <c r="A4225" s="234"/>
      <c r="B4225" s="233"/>
      <c r="C4225" s="238"/>
      <c r="E4225" s="545"/>
      <c r="F4225" s="546"/>
      <c r="G4225" s="234"/>
      <c r="H4225" s="238"/>
      <c r="I4225" s="237"/>
    </row>
    <row r="4226" spans="1:9" s="232" customFormat="1" ht="17" customHeight="1">
      <c r="A4226" s="234"/>
      <c r="B4226" s="233"/>
      <c r="C4226" s="238"/>
      <c r="E4226" s="545"/>
      <c r="F4226" s="546"/>
      <c r="G4226" s="234"/>
      <c r="H4226" s="238"/>
      <c r="I4226" s="237"/>
    </row>
    <row r="4227" spans="1:9" s="232" customFormat="1" ht="17" customHeight="1">
      <c r="A4227" s="234"/>
      <c r="B4227" s="233"/>
      <c r="C4227" s="238"/>
      <c r="E4227" s="545"/>
      <c r="F4227" s="546"/>
      <c r="G4227" s="234"/>
      <c r="H4227" s="238"/>
      <c r="I4227" s="237"/>
    </row>
    <row r="4228" spans="1:9" s="232" customFormat="1" ht="17" customHeight="1">
      <c r="A4228" s="234"/>
      <c r="B4228" s="233"/>
      <c r="C4228" s="238"/>
      <c r="E4228" s="545"/>
      <c r="F4228" s="546"/>
      <c r="G4228" s="234"/>
      <c r="H4228" s="238"/>
      <c r="I4228" s="237"/>
    </row>
    <row r="4229" spans="1:9" s="232" customFormat="1" ht="17" customHeight="1">
      <c r="A4229" s="234"/>
      <c r="B4229" s="233"/>
      <c r="C4229" s="238"/>
      <c r="E4229" s="545"/>
      <c r="F4229" s="546"/>
      <c r="G4229" s="234"/>
      <c r="H4229" s="238"/>
      <c r="I4229" s="237"/>
    </row>
    <row r="4230" spans="1:9" s="232" customFormat="1" ht="17" customHeight="1">
      <c r="A4230" s="234"/>
      <c r="B4230" s="233"/>
      <c r="C4230" s="238"/>
      <c r="E4230" s="545"/>
      <c r="F4230" s="546"/>
      <c r="G4230" s="234"/>
      <c r="H4230" s="238"/>
      <c r="I4230" s="237"/>
    </row>
    <row r="4231" spans="1:9" s="232" customFormat="1" ht="17" customHeight="1">
      <c r="A4231" s="234"/>
      <c r="B4231" s="233"/>
      <c r="C4231" s="238"/>
      <c r="E4231" s="545"/>
      <c r="F4231" s="546"/>
      <c r="G4231" s="234"/>
      <c r="H4231" s="238"/>
      <c r="I4231" s="237"/>
    </row>
    <row r="4232" spans="1:9" s="232" customFormat="1" ht="17" customHeight="1">
      <c r="A4232" s="234"/>
      <c r="B4232" s="233"/>
      <c r="C4232" s="238"/>
      <c r="E4232" s="545"/>
      <c r="F4232" s="546"/>
      <c r="G4232" s="234"/>
      <c r="H4232" s="238"/>
      <c r="I4232" s="237"/>
    </row>
    <row r="4233" spans="1:9" s="232" customFormat="1" ht="17" customHeight="1">
      <c r="A4233" s="234"/>
      <c r="B4233" s="233"/>
      <c r="C4233" s="238"/>
      <c r="E4233" s="545"/>
      <c r="F4233" s="546"/>
      <c r="G4233" s="234"/>
      <c r="H4233" s="238"/>
      <c r="I4233" s="237"/>
    </row>
    <row r="4234" spans="1:9" s="232" customFormat="1" ht="17" customHeight="1">
      <c r="A4234" s="234"/>
      <c r="B4234" s="233"/>
      <c r="C4234" s="238"/>
      <c r="E4234" s="545"/>
      <c r="F4234" s="546"/>
      <c r="G4234" s="234"/>
      <c r="H4234" s="238"/>
      <c r="I4234" s="237"/>
    </row>
    <row r="4235" spans="1:9" s="232" customFormat="1" ht="17" customHeight="1">
      <c r="A4235" s="234"/>
      <c r="B4235" s="233"/>
      <c r="C4235" s="238"/>
      <c r="E4235" s="545"/>
      <c r="F4235" s="546"/>
      <c r="G4235" s="234"/>
      <c r="H4235" s="238"/>
      <c r="I4235" s="237"/>
    </row>
    <row r="4236" spans="1:9" s="232" customFormat="1" ht="17" customHeight="1">
      <c r="A4236" s="234"/>
      <c r="B4236" s="233"/>
      <c r="C4236" s="238"/>
      <c r="E4236" s="545"/>
      <c r="F4236" s="546"/>
      <c r="G4236" s="234"/>
      <c r="H4236" s="238"/>
      <c r="I4236" s="237"/>
    </row>
    <row r="4237" spans="1:9" s="232" customFormat="1" ht="17" customHeight="1">
      <c r="A4237" s="234"/>
      <c r="B4237" s="233"/>
      <c r="C4237" s="238"/>
      <c r="E4237" s="545"/>
      <c r="F4237" s="546"/>
      <c r="G4237" s="234"/>
      <c r="H4237" s="238"/>
      <c r="I4237" s="237"/>
    </row>
    <row r="4238" spans="1:9" s="232" customFormat="1" ht="17" customHeight="1">
      <c r="A4238" s="234"/>
      <c r="B4238" s="233"/>
      <c r="C4238" s="238"/>
      <c r="E4238" s="545"/>
      <c r="F4238" s="546"/>
      <c r="G4238" s="234"/>
      <c r="H4238" s="238"/>
      <c r="I4238" s="237"/>
    </row>
    <row r="4239" spans="1:9" s="232" customFormat="1" ht="17" customHeight="1">
      <c r="A4239" s="234"/>
      <c r="B4239" s="233"/>
      <c r="C4239" s="238"/>
      <c r="E4239" s="545"/>
      <c r="F4239" s="546"/>
      <c r="G4239" s="234"/>
      <c r="H4239" s="238"/>
      <c r="I4239" s="237"/>
    </row>
    <row r="4240" spans="1:9" s="232" customFormat="1" ht="17" customHeight="1">
      <c r="A4240" s="234"/>
      <c r="B4240" s="233"/>
      <c r="C4240" s="238"/>
      <c r="E4240" s="545"/>
      <c r="F4240" s="546"/>
      <c r="G4240" s="234"/>
      <c r="H4240" s="238"/>
      <c r="I4240" s="237"/>
    </row>
    <row r="4241" spans="1:9" s="232" customFormat="1" ht="17" customHeight="1">
      <c r="A4241" s="234"/>
      <c r="B4241" s="233"/>
      <c r="C4241" s="238"/>
      <c r="E4241" s="545"/>
      <c r="F4241" s="546"/>
      <c r="G4241" s="234"/>
      <c r="H4241" s="238"/>
      <c r="I4241" s="237"/>
    </row>
    <row r="4242" spans="1:9" s="232" customFormat="1" ht="17" customHeight="1">
      <c r="A4242" s="234"/>
      <c r="B4242" s="233"/>
      <c r="C4242" s="238"/>
      <c r="E4242" s="545"/>
      <c r="F4242" s="546"/>
      <c r="G4242" s="234"/>
      <c r="H4242" s="238"/>
      <c r="I4242" s="237"/>
    </row>
    <row r="4243" spans="1:9" s="232" customFormat="1" ht="17" customHeight="1">
      <c r="A4243" s="234"/>
      <c r="B4243" s="233"/>
      <c r="C4243" s="238"/>
      <c r="E4243" s="545"/>
      <c r="F4243" s="546"/>
      <c r="G4243" s="234"/>
      <c r="H4243" s="238"/>
      <c r="I4243" s="237"/>
    </row>
    <row r="4244" spans="1:9" s="232" customFormat="1" ht="17" customHeight="1">
      <c r="A4244" s="234"/>
      <c r="B4244" s="233"/>
      <c r="C4244" s="238"/>
      <c r="E4244" s="545"/>
      <c r="F4244" s="546"/>
      <c r="G4244" s="234"/>
      <c r="H4244" s="238"/>
      <c r="I4244" s="237"/>
    </row>
    <row r="4245" spans="1:9" s="232" customFormat="1" ht="17" customHeight="1">
      <c r="A4245" s="234"/>
      <c r="B4245" s="233"/>
      <c r="C4245" s="238"/>
      <c r="E4245" s="545"/>
      <c r="F4245" s="546"/>
      <c r="G4245" s="234"/>
      <c r="H4245" s="238"/>
      <c r="I4245" s="237"/>
    </row>
    <row r="4246" spans="1:9" s="232" customFormat="1" ht="17" customHeight="1">
      <c r="A4246" s="234"/>
      <c r="B4246" s="233"/>
      <c r="C4246" s="238"/>
      <c r="E4246" s="545"/>
      <c r="F4246" s="546"/>
      <c r="G4246" s="234"/>
      <c r="H4246" s="238"/>
      <c r="I4246" s="237"/>
    </row>
    <row r="4247" spans="1:9" s="232" customFormat="1" ht="17" customHeight="1">
      <c r="A4247" s="234"/>
      <c r="B4247" s="233"/>
      <c r="C4247" s="238"/>
      <c r="E4247" s="545"/>
      <c r="F4247" s="546"/>
      <c r="G4247" s="234"/>
      <c r="H4247" s="238"/>
      <c r="I4247" s="237"/>
    </row>
    <row r="4248" spans="1:9" s="232" customFormat="1" ht="17" customHeight="1">
      <c r="A4248" s="234"/>
      <c r="B4248" s="233"/>
      <c r="C4248" s="238"/>
      <c r="E4248" s="545"/>
      <c r="F4248" s="546"/>
      <c r="G4248" s="234"/>
      <c r="H4248" s="238"/>
      <c r="I4248" s="237"/>
    </row>
    <row r="4249" spans="1:9" s="232" customFormat="1" ht="17" customHeight="1">
      <c r="A4249" s="234"/>
      <c r="B4249" s="233"/>
      <c r="C4249" s="238"/>
      <c r="E4249" s="545"/>
      <c r="F4249" s="546"/>
      <c r="G4249" s="234"/>
      <c r="H4249" s="238"/>
      <c r="I4249" s="237"/>
    </row>
    <row r="4250" spans="1:9" s="232" customFormat="1" ht="17" customHeight="1">
      <c r="A4250" s="234"/>
      <c r="B4250" s="233"/>
      <c r="C4250" s="238"/>
      <c r="E4250" s="545"/>
      <c r="F4250" s="546"/>
      <c r="G4250" s="234"/>
      <c r="H4250" s="238"/>
      <c r="I4250" s="237"/>
    </row>
    <row r="4251" spans="1:9" s="232" customFormat="1" ht="17" customHeight="1">
      <c r="A4251" s="234"/>
      <c r="B4251" s="233"/>
      <c r="C4251" s="238"/>
      <c r="E4251" s="545"/>
      <c r="F4251" s="546"/>
      <c r="G4251" s="234"/>
      <c r="H4251" s="238"/>
      <c r="I4251" s="237"/>
    </row>
    <row r="4252" spans="1:9" s="232" customFormat="1" ht="17" customHeight="1">
      <c r="A4252" s="234"/>
      <c r="B4252" s="233"/>
      <c r="C4252" s="238"/>
      <c r="E4252" s="545"/>
      <c r="F4252" s="546"/>
      <c r="G4252" s="234"/>
      <c r="H4252" s="238"/>
      <c r="I4252" s="237"/>
    </row>
    <row r="4253" spans="1:9" s="232" customFormat="1" ht="17" customHeight="1">
      <c r="A4253" s="234"/>
      <c r="B4253" s="233"/>
      <c r="C4253" s="238"/>
      <c r="E4253" s="545"/>
      <c r="F4253" s="546"/>
      <c r="G4253" s="234"/>
      <c r="H4253" s="238"/>
      <c r="I4253" s="237"/>
    </row>
    <row r="4254" spans="1:9" s="232" customFormat="1" ht="17" customHeight="1">
      <c r="A4254" s="234"/>
      <c r="B4254" s="233"/>
      <c r="C4254" s="238"/>
      <c r="E4254" s="545"/>
      <c r="F4254" s="546"/>
      <c r="G4254" s="234"/>
      <c r="H4254" s="238"/>
      <c r="I4254" s="237"/>
    </row>
    <row r="4255" spans="1:9" s="232" customFormat="1" ht="17" customHeight="1">
      <c r="A4255" s="234"/>
      <c r="B4255" s="233"/>
      <c r="C4255" s="238"/>
      <c r="E4255" s="545"/>
      <c r="F4255" s="546"/>
      <c r="G4255" s="234"/>
      <c r="H4255" s="238"/>
      <c r="I4255" s="237"/>
    </row>
    <row r="4256" spans="1:9" s="232" customFormat="1" ht="17" customHeight="1">
      <c r="A4256" s="234"/>
      <c r="B4256" s="233"/>
      <c r="C4256" s="238"/>
      <c r="E4256" s="545"/>
      <c r="F4256" s="546"/>
      <c r="G4256" s="234"/>
      <c r="H4256" s="238"/>
      <c r="I4256" s="237"/>
    </row>
    <row r="4257" spans="1:9" s="232" customFormat="1" ht="17" customHeight="1">
      <c r="A4257" s="234"/>
      <c r="B4257" s="233"/>
      <c r="C4257" s="238"/>
      <c r="E4257" s="545"/>
      <c r="F4257" s="546"/>
      <c r="G4257" s="234"/>
      <c r="H4257" s="238"/>
      <c r="I4257" s="237"/>
    </row>
    <row r="4258" spans="1:9" s="232" customFormat="1" ht="17" customHeight="1">
      <c r="A4258" s="234"/>
      <c r="B4258" s="233"/>
      <c r="C4258" s="238"/>
      <c r="E4258" s="545"/>
      <c r="F4258" s="546"/>
      <c r="G4258" s="234"/>
      <c r="H4258" s="238"/>
      <c r="I4258" s="237"/>
    </row>
    <row r="4259" spans="1:9" s="232" customFormat="1" ht="17" customHeight="1">
      <c r="A4259" s="234"/>
      <c r="B4259" s="233"/>
      <c r="C4259" s="238"/>
      <c r="E4259" s="545"/>
      <c r="F4259" s="546"/>
      <c r="G4259" s="234"/>
      <c r="H4259" s="238"/>
      <c r="I4259" s="237"/>
    </row>
    <row r="4260" spans="1:9" s="232" customFormat="1" ht="17" customHeight="1">
      <c r="A4260" s="234"/>
      <c r="B4260" s="233"/>
      <c r="C4260" s="238"/>
      <c r="E4260" s="545"/>
      <c r="F4260" s="546"/>
      <c r="G4260" s="234"/>
      <c r="H4260" s="238"/>
      <c r="I4260" s="237"/>
    </row>
    <row r="4261" spans="1:9" s="232" customFormat="1" ht="17" customHeight="1">
      <c r="A4261" s="234"/>
      <c r="B4261" s="233"/>
      <c r="C4261" s="238"/>
      <c r="E4261" s="545"/>
      <c r="F4261" s="546"/>
      <c r="G4261" s="234"/>
      <c r="H4261" s="238"/>
      <c r="I4261" s="237"/>
    </row>
    <row r="4262" spans="1:9" s="232" customFormat="1" ht="17" customHeight="1">
      <c r="A4262" s="234"/>
      <c r="B4262" s="233"/>
      <c r="C4262" s="238"/>
      <c r="E4262" s="545"/>
      <c r="F4262" s="546"/>
      <c r="G4262" s="234"/>
      <c r="H4262" s="238"/>
      <c r="I4262" s="237"/>
    </row>
    <row r="4263" spans="1:9" s="232" customFormat="1" ht="17" customHeight="1">
      <c r="A4263" s="234"/>
      <c r="B4263" s="233"/>
      <c r="C4263" s="238"/>
      <c r="E4263" s="545"/>
      <c r="F4263" s="546"/>
      <c r="G4263" s="234"/>
      <c r="H4263" s="238"/>
      <c r="I4263" s="237"/>
    </row>
    <row r="4264" spans="1:9" s="232" customFormat="1" ht="17" customHeight="1">
      <c r="A4264" s="234"/>
      <c r="B4264" s="233"/>
      <c r="C4264" s="238"/>
      <c r="E4264" s="545"/>
      <c r="F4264" s="546"/>
      <c r="G4264" s="234"/>
      <c r="H4264" s="238"/>
      <c r="I4264" s="237"/>
    </row>
    <row r="4265" spans="1:9" s="232" customFormat="1" ht="17" customHeight="1">
      <c r="A4265" s="234"/>
      <c r="B4265" s="233"/>
      <c r="C4265" s="238"/>
      <c r="E4265" s="545"/>
      <c r="F4265" s="546"/>
      <c r="G4265" s="234"/>
      <c r="H4265" s="238"/>
      <c r="I4265" s="237"/>
    </row>
    <row r="4266" spans="1:9" s="232" customFormat="1" ht="17" customHeight="1">
      <c r="A4266" s="234"/>
      <c r="B4266" s="233"/>
      <c r="C4266" s="238"/>
      <c r="E4266" s="545"/>
      <c r="F4266" s="546"/>
      <c r="G4266" s="234"/>
      <c r="H4266" s="238"/>
      <c r="I4266" s="237"/>
    </row>
    <row r="4267" spans="1:9" s="232" customFormat="1" ht="17" customHeight="1">
      <c r="A4267" s="234"/>
      <c r="B4267" s="233"/>
      <c r="C4267" s="238"/>
      <c r="E4267" s="545"/>
      <c r="F4267" s="546"/>
      <c r="G4267" s="234"/>
      <c r="H4267" s="238"/>
      <c r="I4267" s="237"/>
    </row>
    <row r="4268" spans="1:9" s="232" customFormat="1" ht="17" customHeight="1">
      <c r="A4268" s="234"/>
      <c r="B4268" s="233"/>
      <c r="C4268" s="238"/>
      <c r="E4268" s="545"/>
      <c r="F4268" s="546"/>
      <c r="G4268" s="234"/>
      <c r="H4268" s="238"/>
      <c r="I4268" s="237"/>
    </row>
    <row r="4269" spans="1:9" s="232" customFormat="1" ht="17" customHeight="1">
      <c r="A4269" s="234"/>
      <c r="B4269" s="233"/>
      <c r="C4269" s="238"/>
      <c r="E4269" s="545"/>
      <c r="F4269" s="546"/>
      <c r="G4269" s="234"/>
      <c r="H4269" s="238"/>
      <c r="I4269" s="237"/>
    </row>
    <row r="4270" spans="1:9" s="232" customFormat="1" ht="17" customHeight="1">
      <c r="A4270" s="234"/>
      <c r="B4270" s="233"/>
      <c r="C4270" s="238"/>
      <c r="E4270" s="545"/>
      <c r="F4270" s="546"/>
      <c r="G4270" s="234"/>
      <c r="H4270" s="238"/>
      <c r="I4270" s="237"/>
    </row>
    <row r="4271" spans="1:9" s="232" customFormat="1" ht="17" customHeight="1">
      <c r="A4271" s="234"/>
      <c r="B4271" s="233"/>
      <c r="C4271" s="238"/>
      <c r="E4271" s="545"/>
      <c r="F4271" s="546"/>
      <c r="G4271" s="234"/>
      <c r="H4271" s="238"/>
      <c r="I4271" s="237"/>
    </row>
    <row r="4272" spans="1:9" s="232" customFormat="1" ht="17" customHeight="1">
      <c r="A4272" s="234"/>
      <c r="B4272" s="233"/>
      <c r="C4272" s="238"/>
      <c r="E4272" s="545"/>
      <c r="F4272" s="546"/>
      <c r="G4272" s="234"/>
      <c r="H4272" s="238"/>
      <c r="I4272" s="237"/>
    </row>
    <row r="4273" spans="1:9" s="232" customFormat="1" ht="17" customHeight="1">
      <c r="A4273" s="234"/>
      <c r="B4273" s="233"/>
      <c r="C4273" s="238"/>
      <c r="E4273" s="545"/>
      <c r="F4273" s="546"/>
      <c r="G4273" s="234"/>
      <c r="H4273" s="238"/>
      <c r="I4273" s="237"/>
    </row>
    <row r="4274" spans="1:9" s="232" customFormat="1" ht="17" customHeight="1">
      <c r="A4274" s="234"/>
      <c r="B4274" s="233"/>
      <c r="C4274" s="238"/>
      <c r="E4274" s="545"/>
      <c r="F4274" s="546"/>
      <c r="G4274" s="234"/>
      <c r="H4274" s="238"/>
      <c r="I4274" s="237"/>
    </row>
    <row r="4275" spans="1:9" s="232" customFormat="1" ht="17" customHeight="1">
      <c r="A4275" s="234"/>
      <c r="B4275" s="233"/>
      <c r="C4275" s="238"/>
      <c r="E4275" s="545"/>
      <c r="F4275" s="546"/>
      <c r="G4275" s="234"/>
      <c r="H4275" s="238"/>
      <c r="I4275" s="237"/>
    </row>
    <row r="4276" spans="1:9" s="232" customFormat="1" ht="17" customHeight="1">
      <c r="A4276" s="234"/>
      <c r="B4276" s="233"/>
      <c r="C4276" s="238"/>
      <c r="E4276" s="545"/>
      <c r="F4276" s="546"/>
      <c r="G4276" s="234"/>
      <c r="H4276" s="238"/>
      <c r="I4276" s="237"/>
    </row>
    <row r="4277" spans="1:9" s="232" customFormat="1" ht="17" customHeight="1">
      <c r="A4277" s="234"/>
      <c r="B4277" s="233"/>
      <c r="C4277" s="238"/>
      <c r="E4277" s="545"/>
      <c r="F4277" s="546"/>
      <c r="G4277" s="234"/>
      <c r="H4277" s="238"/>
      <c r="I4277" s="237"/>
    </row>
    <row r="4278" spans="1:9" s="232" customFormat="1" ht="17" customHeight="1">
      <c r="A4278" s="234"/>
      <c r="B4278" s="233"/>
      <c r="C4278" s="238"/>
      <c r="E4278" s="545"/>
      <c r="F4278" s="546"/>
      <c r="G4278" s="234"/>
      <c r="H4278" s="238"/>
      <c r="I4278" s="237"/>
    </row>
    <row r="4279" spans="1:9" s="232" customFormat="1" ht="17" customHeight="1">
      <c r="A4279" s="234"/>
      <c r="B4279" s="233"/>
      <c r="C4279" s="238"/>
      <c r="E4279" s="545"/>
      <c r="F4279" s="546"/>
      <c r="G4279" s="234"/>
      <c r="H4279" s="238"/>
      <c r="I4279" s="237"/>
    </row>
    <row r="4280" spans="1:9" s="232" customFormat="1" ht="17" customHeight="1">
      <c r="A4280" s="234"/>
      <c r="B4280" s="233"/>
      <c r="C4280" s="238"/>
      <c r="E4280" s="545"/>
      <c r="F4280" s="546"/>
      <c r="G4280" s="234"/>
      <c r="H4280" s="238"/>
      <c r="I4280" s="237"/>
    </row>
    <row r="4281" spans="1:9" s="232" customFormat="1" ht="17" customHeight="1">
      <c r="A4281" s="234"/>
      <c r="B4281" s="233"/>
      <c r="C4281" s="238"/>
      <c r="E4281" s="545"/>
      <c r="F4281" s="546"/>
      <c r="G4281" s="234"/>
      <c r="H4281" s="238"/>
      <c r="I4281" s="237"/>
    </row>
    <row r="4282" spans="1:9" s="232" customFormat="1" ht="17" customHeight="1">
      <c r="A4282" s="234"/>
      <c r="B4282" s="233"/>
      <c r="C4282" s="238"/>
      <c r="E4282" s="545"/>
      <c r="F4282" s="546"/>
      <c r="G4282" s="234"/>
      <c r="H4282" s="238"/>
      <c r="I4282" s="237"/>
    </row>
    <row r="4283" spans="1:9" s="232" customFormat="1" ht="17" customHeight="1">
      <c r="A4283" s="234"/>
      <c r="B4283" s="233"/>
      <c r="C4283" s="238"/>
      <c r="E4283" s="545"/>
      <c r="F4283" s="546"/>
      <c r="G4283" s="234"/>
      <c r="H4283" s="238"/>
      <c r="I4283" s="237"/>
    </row>
    <row r="4284" spans="1:9" s="232" customFormat="1" ht="17" customHeight="1">
      <c r="A4284" s="234"/>
      <c r="B4284" s="233"/>
      <c r="C4284" s="238"/>
      <c r="E4284" s="545"/>
      <c r="F4284" s="546"/>
      <c r="G4284" s="234"/>
      <c r="H4284" s="238"/>
      <c r="I4284" s="237"/>
    </row>
    <row r="4285" spans="1:9" s="232" customFormat="1" ht="17" customHeight="1">
      <c r="A4285" s="234"/>
      <c r="B4285" s="233"/>
      <c r="C4285" s="238"/>
      <c r="E4285" s="545"/>
      <c r="F4285" s="546"/>
      <c r="G4285" s="234"/>
      <c r="H4285" s="238"/>
      <c r="I4285" s="237"/>
    </row>
    <row r="4286" spans="1:9" s="232" customFormat="1" ht="17" customHeight="1">
      <c r="A4286" s="234"/>
      <c r="B4286" s="233"/>
      <c r="C4286" s="238"/>
      <c r="E4286" s="545"/>
      <c r="F4286" s="546"/>
      <c r="G4286" s="234"/>
      <c r="H4286" s="238"/>
      <c r="I4286" s="237"/>
    </row>
    <row r="4287" spans="1:9" s="232" customFormat="1" ht="17" customHeight="1">
      <c r="A4287" s="234"/>
      <c r="B4287" s="233"/>
      <c r="C4287" s="238"/>
      <c r="E4287" s="545"/>
      <c r="F4287" s="546"/>
      <c r="G4287" s="234"/>
      <c r="H4287" s="238"/>
      <c r="I4287" s="237"/>
    </row>
    <row r="4288" spans="1:9" s="232" customFormat="1" ht="17" customHeight="1">
      <c r="A4288" s="234"/>
      <c r="B4288" s="233"/>
      <c r="C4288" s="238"/>
      <c r="E4288" s="545"/>
      <c r="F4288" s="546"/>
      <c r="G4288" s="234"/>
      <c r="H4288" s="238"/>
      <c r="I4288" s="237"/>
    </row>
    <row r="4289" spans="1:9" s="232" customFormat="1" ht="17" customHeight="1">
      <c r="A4289" s="234"/>
      <c r="B4289" s="233"/>
      <c r="C4289" s="238"/>
      <c r="E4289" s="545"/>
      <c r="F4289" s="546"/>
      <c r="G4289" s="234"/>
      <c r="H4289" s="238"/>
      <c r="I4289" s="237"/>
    </row>
    <row r="4290" spans="1:9" s="232" customFormat="1" ht="17" customHeight="1">
      <c r="A4290" s="234"/>
      <c r="B4290" s="233"/>
      <c r="C4290" s="238"/>
      <c r="E4290" s="545"/>
      <c r="F4290" s="546"/>
      <c r="G4290" s="234"/>
      <c r="H4290" s="238"/>
      <c r="I4290" s="237"/>
    </row>
    <row r="4291" spans="1:9" s="232" customFormat="1" ht="17" customHeight="1">
      <c r="A4291" s="234"/>
      <c r="B4291" s="233"/>
      <c r="C4291" s="238"/>
      <c r="E4291" s="545"/>
      <c r="F4291" s="546"/>
      <c r="G4291" s="234"/>
      <c r="H4291" s="238"/>
      <c r="I4291" s="237"/>
    </row>
    <row r="4292" spans="1:9" s="232" customFormat="1" ht="17" customHeight="1">
      <c r="A4292" s="234"/>
      <c r="B4292" s="233"/>
      <c r="C4292" s="238"/>
      <c r="E4292" s="545"/>
      <c r="F4292" s="546"/>
      <c r="G4292" s="234"/>
      <c r="H4292" s="238"/>
      <c r="I4292" s="237"/>
    </row>
    <row r="4293" spans="1:9" s="232" customFormat="1" ht="17" customHeight="1">
      <c r="A4293" s="234"/>
      <c r="B4293" s="233"/>
      <c r="C4293" s="238"/>
      <c r="E4293" s="545"/>
      <c r="F4293" s="546"/>
      <c r="G4293" s="234"/>
      <c r="H4293" s="238"/>
      <c r="I4293" s="237"/>
    </row>
    <row r="4294" spans="1:9" s="232" customFormat="1" ht="17" customHeight="1">
      <c r="A4294" s="234"/>
      <c r="B4294" s="233"/>
      <c r="C4294" s="238"/>
      <c r="E4294" s="545"/>
      <c r="F4294" s="546"/>
      <c r="G4294" s="234"/>
      <c r="H4294" s="238"/>
      <c r="I4294" s="237"/>
    </row>
    <row r="4295" spans="1:9" s="232" customFormat="1" ht="17" customHeight="1">
      <c r="A4295" s="234"/>
      <c r="B4295" s="233"/>
      <c r="C4295" s="238"/>
      <c r="E4295" s="545"/>
      <c r="F4295" s="546"/>
      <c r="G4295" s="234"/>
      <c r="H4295" s="238"/>
      <c r="I4295" s="237"/>
    </row>
    <row r="4296" spans="1:9" s="232" customFormat="1" ht="17" customHeight="1">
      <c r="A4296" s="234"/>
      <c r="B4296" s="233"/>
      <c r="C4296" s="238"/>
      <c r="E4296" s="545"/>
      <c r="F4296" s="546"/>
      <c r="G4296" s="234"/>
      <c r="H4296" s="238"/>
      <c r="I4296" s="237"/>
    </row>
    <row r="4297" spans="1:9" s="232" customFormat="1" ht="17" customHeight="1">
      <c r="A4297" s="234"/>
      <c r="B4297" s="233"/>
      <c r="C4297" s="238"/>
      <c r="E4297" s="545"/>
      <c r="F4297" s="546"/>
      <c r="G4297" s="234"/>
      <c r="H4297" s="238"/>
      <c r="I4297" s="237"/>
    </row>
    <row r="4298" spans="1:9" s="232" customFormat="1" ht="17" customHeight="1">
      <c r="A4298" s="234"/>
      <c r="B4298" s="233"/>
      <c r="C4298" s="238"/>
      <c r="E4298" s="545"/>
      <c r="F4298" s="546"/>
      <c r="G4298" s="234"/>
      <c r="H4298" s="238"/>
      <c r="I4298" s="237"/>
    </row>
    <row r="4299" spans="1:9" s="232" customFormat="1" ht="17" customHeight="1">
      <c r="A4299" s="234"/>
      <c r="B4299" s="233"/>
      <c r="C4299" s="238"/>
      <c r="E4299" s="545"/>
      <c r="F4299" s="546"/>
      <c r="G4299" s="234"/>
      <c r="H4299" s="238"/>
      <c r="I4299" s="237"/>
    </row>
    <row r="4300" spans="1:9" s="232" customFormat="1" ht="17" customHeight="1">
      <c r="A4300" s="234"/>
      <c r="B4300" s="233"/>
      <c r="C4300" s="238"/>
      <c r="E4300" s="545"/>
      <c r="F4300" s="546"/>
      <c r="G4300" s="234"/>
      <c r="H4300" s="238"/>
      <c r="I4300" s="237"/>
    </row>
    <row r="4301" spans="1:9" s="232" customFormat="1" ht="17" customHeight="1">
      <c r="A4301" s="234"/>
      <c r="B4301" s="233"/>
      <c r="C4301" s="238"/>
      <c r="E4301" s="545"/>
      <c r="F4301" s="546"/>
      <c r="G4301" s="234"/>
      <c r="H4301" s="238"/>
      <c r="I4301" s="237"/>
    </row>
    <row r="4302" spans="1:9" s="232" customFormat="1" ht="17" customHeight="1">
      <c r="A4302" s="234"/>
      <c r="B4302" s="233"/>
      <c r="C4302" s="238"/>
      <c r="E4302" s="545"/>
      <c r="F4302" s="546"/>
      <c r="G4302" s="234"/>
      <c r="H4302" s="238"/>
      <c r="I4302" s="237"/>
    </row>
    <row r="4303" spans="1:9" s="232" customFormat="1" ht="17" customHeight="1">
      <c r="A4303" s="234"/>
      <c r="B4303" s="233"/>
      <c r="C4303" s="238"/>
      <c r="E4303" s="545"/>
      <c r="F4303" s="546"/>
      <c r="G4303" s="234"/>
      <c r="H4303" s="238"/>
      <c r="I4303" s="237"/>
    </row>
    <row r="4304" spans="1:9" s="232" customFormat="1" ht="17" customHeight="1">
      <c r="A4304" s="234"/>
      <c r="B4304" s="233"/>
      <c r="C4304" s="238"/>
      <c r="E4304" s="545"/>
      <c r="F4304" s="546"/>
      <c r="G4304" s="234"/>
      <c r="H4304" s="238"/>
      <c r="I4304" s="237"/>
    </row>
    <row r="4305" spans="1:9" s="232" customFormat="1" ht="17" customHeight="1">
      <c r="A4305" s="234"/>
      <c r="B4305" s="233"/>
      <c r="C4305" s="238"/>
      <c r="E4305" s="545"/>
      <c r="F4305" s="546"/>
      <c r="G4305" s="234"/>
      <c r="H4305" s="238"/>
      <c r="I4305" s="237"/>
    </row>
    <row r="4306" spans="1:9" s="232" customFormat="1" ht="17" customHeight="1">
      <c r="A4306" s="234"/>
      <c r="B4306" s="233"/>
      <c r="C4306" s="238"/>
      <c r="E4306" s="545"/>
      <c r="F4306" s="546"/>
      <c r="G4306" s="234"/>
      <c r="H4306" s="238"/>
      <c r="I4306" s="237"/>
    </row>
    <row r="4307" spans="1:9" s="232" customFormat="1" ht="17" customHeight="1">
      <c r="A4307" s="234"/>
      <c r="B4307" s="233"/>
      <c r="C4307" s="238"/>
      <c r="E4307" s="545"/>
      <c r="F4307" s="546"/>
      <c r="G4307" s="234"/>
      <c r="H4307" s="238"/>
      <c r="I4307" s="237"/>
    </row>
    <row r="4308" spans="1:9" s="232" customFormat="1" ht="17" customHeight="1">
      <c r="A4308" s="234"/>
      <c r="B4308" s="233"/>
      <c r="C4308" s="238"/>
      <c r="E4308" s="545"/>
      <c r="F4308" s="546"/>
      <c r="G4308" s="234"/>
      <c r="H4308" s="238"/>
      <c r="I4308" s="237"/>
    </row>
    <row r="4309" spans="1:9" s="232" customFormat="1" ht="17" customHeight="1">
      <c r="A4309" s="234"/>
      <c r="B4309" s="233"/>
      <c r="C4309" s="238"/>
      <c r="E4309" s="545"/>
      <c r="F4309" s="546"/>
      <c r="G4309" s="234"/>
      <c r="H4309" s="238"/>
      <c r="I4309" s="237"/>
    </row>
    <row r="4310" spans="1:9" s="232" customFormat="1" ht="17" customHeight="1">
      <c r="A4310" s="234"/>
      <c r="B4310" s="233"/>
      <c r="C4310" s="238"/>
      <c r="E4310" s="545"/>
      <c r="F4310" s="546"/>
      <c r="G4310" s="234"/>
      <c r="H4310" s="238"/>
      <c r="I4310" s="237"/>
    </row>
    <row r="4311" spans="1:9" s="232" customFormat="1" ht="17" customHeight="1">
      <c r="A4311" s="234"/>
      <c r="B4311" s="233"/>
      <c r="C4311" s="238"/>
      <c r="E4311" s="545"/>
      <c r="F4311" s="546"/>
      <c r="G4311" s="234"/>
      <c r="H4311" s="238"/>
      <c r="I4311" s="237"/>
    </row>
    <row r="4312" spans="1:9" s="232" customFormat="1" ht="17" customHeight="1">
      <c r="A4312" s="234"/>
      <c r="B4312" s="233"/>
      <c r="C4312" s="238"/>
      <c r="E4312" s="545"/>
      <c r="F4312" s="546"/>
      <c r="G4312" s="234"/>
      <c r="H4312" s="238"/>
      <c r="I4312" s="237"/>
    </row>
    <row r="4313" spans="1:9" s="232" customFormat="1" ht="17" customHeight="1">
      <c r="A4313" s="234"/>
      <c r="B4313" s="233"/>
      <c r="C4313" s="238"/>
      <c r="E4313" s="545"/>
      <c r="F4313" s="546"/>
      <c r="G4313" s="234"/>
      <c r="H4313" s="238"/>
      <c r="I4313" s="237"/>
    </row>
    <row r="4314" spans="1:9" s="232" customFormat="1" ht="17" customHeight="1">
      <c r="A4314" s="234"/>
      <c r="B4314" s="233"/>
      <c r="C4314" s="238"/>
      <c r="E4314" s="545"/>
      <c r="F4314" s="546"/>
      <c r="G4314" s="234"/>
      <c r="H4314" s="238"/>
      <c r="I4314" s="237"/>
    </row>
    <row r="4315" spans="1:9" s="232" customFormat="1" ht="17" customHeight="1">
      <c r="A4315" s="234"/>
      <c r="B4315" s="233"/>
      <c r="C4315" s="238"/>
      <c r="E4315" s="545"/>
      <c r="F4315" s="546"/>
      <c r="G4315" s="234"/>
      <c r="H4315" s="238"/>
      <c r="I4315" s="237"/>
    </row>
    <row r="4316" spans="1:9" s="232" customFormat="1" ht="17" customHeight="1">
      <c r="A4316" s="234"/>
      <c r="B4316" s="233"/>
      <c r="C4316" s="238"/>
      <c r="E4316" s="545"/>
      <c r="F4316" s="546"/>
      <c r="G4316" s="234"/>
      <c r="H4316" s="238"/>
      <c r="I4316" s="237"/>
    </row>
    <row r="4317" spans="1:9" s="232" customFormat="1" ht="17" customHeight="1">
      <c r="A4317" s="234"/>
      <c r="B4317" s="233"/>
      <c r="C4317" s="238"/>
      <c r="E4317" s="545"/>
      <c r="F4317" s="546"/>
      <c r="G4317" s="234"/>
      <c r="H4317" s="238"/>
      <c r="I4317" s="237"/>
    </row>
    <row r="4318" spans="1:9" s="232" customFormat="1" ht="17" customHeight="1">
      <c r="A4318" s="234"/>
      <c r="B4318" s="233"/>
      <c r="C4318" s="238"/>
      <c r="E4318" s="545"/>
      <c r="F4318" s="546"/>
      <c r="G4318" s="234"/>
      <c r="H4318" s="238"/>
      <c r="I4318" s="237"/>
    </row>
    <row r="4319" spans="1:9" s="232" customFormat="1" ht="17" customHeight="1">
      <c r="A4319" s="234"/>
      <c r="B4319" s="233"/>
      <c r="C4319" s="238"/>
      <c r="E4319" s="545"/>
      <c r="F4319" s="546"/>
      <c r="G4319" s="234"/>
      <c r="H4319" s="238"/>
      <c r="I4319" s="237"/>
    </row>
    <row r="4320" spans="1:9" s="232" customFormat="1" ht="17" customHeight="1">
      <c r="A4320" s="234"/>
      <c r="B4320" s="233"/>
      <c r="C4320" s="238"/>
      <c r="E4320" s="545"/>
      <c r="F4320" s="546"/>
      <c r="G4320" s="234"/>
      <c r="H4320" s="238"/>
      <c r="I4320" s="237"/>
    </row>
    <row r="4321" spans="1:9" s="232" customFormat="1" ht="17" customHeight="1">
      <c r="A4321" s="234"/>
      <c r="B4321" s="233"/>
      <c r="C4321" s="238"/>
      <c r="E4321" s="545"/>
      <c r="F4321" s="546"/>
      <c r="G4321" s="234"/>
      <c r="H4321" s="238"/>
      <c r="I4321" s="237"/>
    </row>
    <row r="4322" spans="1:9" s="232" customFormat="1" ht="17" customHeight="1">
      <c r="A4322" s="234"/>
      <c r="B4322" s="233"/>
      <c r="C4322" s="238"/>
      <c r="E4322" s="545"/>
      <c r="F4322" s="546"/>
      <c r="G4322" s="234"/>
      <c r="H4322" s="238"/>
      <c r="I4322" s="237"/>
    </row>
    <row r="4323" spans="1:9" s="232" customFormat="1" ht="17" customHeight="1">
      <c r="A4323" s="234"/>
      <c r="B4323" s="233"/>
      <c r="C4323" s="238"/>
      <c r="E4323" s="545"/>
      <c r="F4323" s="546"/>
      <c r="G4323" s="234"/>
      <c r="H4323" s="238"/>
      <c r="I4323" s="237"/>
    </row>
    <row r="4324" spans="1:9" s="232" customFormat="1" ht="17" customHeight="1">
      <c r="A4324" s="234"/>
      <c r="B4324" s="233"/>
      <c r="C4324" s="238"/>
      <c r="E4324" s="545"/>
      <c r="F4324" s="546"/>
      <c r="G4324" s="234"/>
      <c r="H4324" s="238"/>
      <c r="I4324" s="237"/>
    </row>
    <row r="4325" spans="1:9" s="232" customFormat="1" ht="17" customHeight="1">
      <c r="A4325" s="234"/>
      <c r="B4325" s="233"/>
      <c r="C4325" s="238"/>
      <c r="E4325" s="545"/>
      <c r="F4325" s="546"/>
      <c r="G4325" s="234"/>
      <c r="H4325" s="238"/>
      <c r="I4325" s="237"/>
    </row>
    <row r="4326" spans="1:9" s="232" customFormat="1" ht="17" customHeight="1">
      <c r="A4326" s="234"/>
      <c r="B4326" s="233"/>
      <c r="C4326" s="238"/>
      <c r="E4326" s="545"/>
      <c r="F4326" s="546"/>
      <c r="G4326" s="234"/>
      <c r="H4326" s="238"/>
      <c r="I4326" s="237"/>
    </row>
    <row r="4327" spans="1:9" s="232" customFormat="1" ht="17" customHeight="1">
      <c r="A4327" s="234"/>
      <c r="B4327" s="233"/>
      <c r="C4327" s="238"/>
      <c r="E4327" s="545"/>
      <c r="F4327" s="546"/>
      <c r="G4327" s="234"/>
      <c r="H4327" s="238"/>
      <c r="I4327" s="237"/>
    </row>
    <row r="4328" spans="1:9" s="232" customFormat="1" ht="17" customHeight="1">
      <c r="A4328" s="234"/>
      <c r="B4328" s="233"/>
      <c r="C4328" s="238"/>
      <c r="E4328" s="545"/>
      <c r="F4328" s="546"/>
      <c r="G4328" s="234"/>
      <c r="H4328" s="238"/>
      <c r="I4328" s="237"/>
    </row>
    <row r="4329" spans="1:9" s="232" customFormat="1" ht="17" customHeight="1">
      <c r="A4329" s="234"/>
      <c r="B4329" s="233"/>
      <c r="C4329" s="238"/>
      <c r="E4329" s="545"/>
      <c r="F4329" s="546"/>
      <c r="G4329" s="234"/>
      <c r="H4329" s="238"/>
      <c r="I4329" s="237"/>
    </row>
    <row r="4330" spans="1:9" s="232" customFormat="1" ht="17" customHeight="1">
      <c r="A4330" s="234"/>
      <c r="B4330" s="233"/>
      <c r="C4330" s="238"/>
      <c r="E4330" s="545"/>
      <c r="F4330" s="546"/>
      <c r="G4330" s="234"/>
      <c r="H4330" s="238"/>
      <c r="I4330" s="237"/>
    </row>
    <row r="4331" spans="1:9" s="232" customFormat="1" ht="17" customHeight="1">
      <c r="A4331" s="234"/>
      <c r="B4331" s="233"/>
      <c r="C4331" s="238"/>
      <c r="E4331" s="545"/>
      <c r="F4331" s="546"/>
      <c r="G4331" s="234"/>
      <c r="H4331" s="238"/>
      <c r="I4331" s="237"/>
    </row>
    <row r="4332" spans="1:9" s="232" customFormat="1" ht="17" customHeight="1">
      <c r="A4332" s="234"/>
      <c r="B4332" s="233"/>
      <c r="C4332" s="238"/>
      <c r="E4332" s="545"/>
      <c r="F4332" s="546"/>
      <c r="G4332" s="234"/>
      <c r="H4332" s="238"/>
      <c r="I4332" s="237"/>
    </row>
    <row r="4333" spans="1:9" s="232" customFormat="1" ht="17" customHeight="1">
      <c r="A4333" s="234"/>
      <c r="B4333" s="233"/>
      <c r="C4333" s="238"/>
      <c r="E4333" s="545"/>
      <c r="F4333" s="546"/>
      <c r="G4333" s="234"/>
      <c r="H4333" s="238"/>
      <c r="I4333" s="237"/>
    </row>
    <row r="4334" spans="1:9" s="232" customFormat="1" ht="17" customHeight="1">
      <c r="A4334" s="234"/>
      <c r="B4334" s="233"/>
      <c r="C4334" s="238"/>
      <c r="E4334" s="545"/>
      <c r="F4334" s="546"/>
      <c r="G4334" s="234"/>
      <c r="H4334" s="238"/>
      <c r="I4334" s="237"/>
    </row>
    <row r="4335" spans="1:9" s="232" customFormat="1" ht="17" customHeight="1">
      <c r="A4335" s="234"/>
      <c r="B4335" s="233"/>
      <c r="C4335" s="238"/>
      <c r="E4335" s="545"/>
      <c r="F4335" s="546"/>
      <c r="G4335" s="234"/>
      <c r="H4335" s="238"/>
      <c r="I4335" s="237"/>
    </row>
    <row r="4336" spans="1:9" s="232" customFormat="1" ht="17" customHeight="1">
      <c r="A4336" s="234"/>
      <c r="B4336" s="233"/>
      <c r="C4336" s="238"/>
      <c r="E4336" s="545"/>
      <c r="F4336" s="546"/>
      <c r="G4336" s="234"/>
      <c r="H4336" s="238"/>
      <c r="I4336" s="237"/>
    </row>
    <row r="4337" spans="1:9" s="232" customFormat="1" ht="17" customHeight="1">
      <c r="A4337" s="234"/>
      <c r="B4337" s="233"/>
      <c r="C4337" s="238"/>
      <c r="E4337" s="545"/>
      <c r="F4337" s="546"/>
      <c r="G4337" s="234"/>
      <c r="H4337" s="238"/>
      <c r="I4337" s="237"/>
    </row>
    <row r="4338" spans="1:9" s="232" customFormat="1" ht="17" customHeight="1">
      <c r="A4338" s="234"/>
      <c r="B4338" s="233"/>
      <c r="C4338" s="238"/>
      <c r="E4338" s="545"/>
      <c r="F4338" s="546"/>
      <c r="G4338" s="234"/>
      <c r="H4338" s="238"/>
      <c r="I4338" s="237"/>
    </row>
    <row r="4339" spans="1:9" s="232" customFormat="1" ht="17" customHeight="1">
      <c r="A4339" s="234"/>
      <c r="B4339" s="233"/>
      <c r="C4339" s="238"/>
      <c r="E4339" s="545"/>
      <c r="F4339" s="546"/>
      <c r="G4339" s="234"/>
      <c r="H4339" s="238"/>
      <c r="I4339" s="237"/>
    </row>
    <row r="4340" spans="1:9" s="232" customFormat="1" ht="17" customHeight="1">
      <c r="A4340" s="234"/>
      <c r="B4340" s="233"/>
      <c r="C4340" s="238"/>
      <c r="E4340" s="545"/>
      <c r="F4340" s="546"/>
      <c r="G4340" s="234"/>
      <c r="H4340" s="238"/>
      <c r="I4340" s="237"/>
    </row>
    <row r="4341" spans="1:9" s="232" customFormat="1" ht="17" customHeight="1">
      <c r="A4341" s="234"/>
      <c r="B4341" s="233"/>
      <c r="C4341" s="238"/>
      <c r="E4341" s="545"/>
      <c r="F4341" s="546"/>
      <c r="G4341" s="234"/>
      <c r="H4341" s="238"/>
      <c r="I4341" s="237"/>
    </row>
    <row r="4342" spans="1:9" s="232" customFormat="1" ht="17" customHeight="1">
      <c r="A4342" s="234"/>
      <c r="B4342" s="233"/>
      <c r="C4342" s="238"/>
      <c r="E4342" s="545"/>
      <c r="F4342" s="546"/>
      <c r="G4342" s="234"/>
      <c r="H4342" s="238"/>
      <c r="I4342" s="237"/>
    </row>
    <row r="4343" spans="1:9" s="232" customFormat="1" ht="17" customHeight="1">
      <c r="A4343" s="234"/>
      <c r="B4343" s="233"/>
      <c r="C4343" s="238"/>
      <c r="E4343" s="545"/>
      <c r="F4343" s="546"/>
      <c r="G4343" s="234"/>
      <c r="H4343" s="238"/>
      <c r="I4343" s="237"/>
    </row>
    <row r="4344" spans="1:9" s="232" customFormat="1" ht="17" customHeight="1">
      <c r="A4344" s="234"/>
      <c r="B4344" s="233"/>
      <c r="C4344" s="238"/>
      <c r="E4344" s="545"/>
      <c r="F4344" s="546"/>
      <c r="G4344" s="234"/>
      <c r="H4344" s="238"/>
      <c r="I4344" s="237"/>
    </row>
    <row r="4345" spans="1:9" s="232" customFormat="1" ht="17" customHeight="1">
      <c r="A4345" s="234"/>
      <c r="B4345" s="233"/>
      <c r="C4345" s="238"/>
      <c r="E4345" s="545"/>
      <c r="F4345" s="546"/>
      <c r="G4345" s="234"/>
      <c r="H4345" s="238"/>
      <c r="I4345" s="237"/>
    </row>
    <row r="4346" spans="1:9" s="232" customFormat="1" ht="17" customHeight="1">
      <c r="A4346" s="234"/>
      <c r="B4346" s="233"/>
      <c r="C4346" s="238"/>
      <c r="E4346" s="545"/>
      <c r="F4346" s="546"/>
      <c r="G4346" s="234"/>
      <c r="H4346" s="238"/>
      <c r="I4346" s="237"/>
    </row>
    <row r="4347" spans="1:9" s="232" customFormat="1" ht="17" customHeight="1">
      <c r="A4347" s="234"/>
      <c r="B4347" s="233"/>
      <c r="C4347" s="238"/>
      <c r="E4347" s="545"/>
      <c r="F4347" s="546"/>
      <c r="G4347" s="234"/>
      <c r="H4347" s="238"/>
      <c r="I4347" s="237"/>
    </row>
    <row r="4348" spans="1:9" s="232" customFormat="1" ht="17" customHeight="1">
      <c r="A4348" s="234"/>
      <c r="B4348" s="233"/>
      <c r="C4348" s="238"/>
      <c r="E4348" s="545"/>
      <c r="F4348" s="546"/>
      <c r="G4348" s="234"/>
      <c r="H4348" s="238"/>
      <c r="I4348" s="237"/>
    </row>
    <row r="4349" spans="1:9" s="232" customFormat="1" ht="17" customHeight="1">
      <c r="A4349" s="234"/>
      <c r="B4349" s="233"/>
      <c r="C4349" s="238"/>
      <c r="E4349" s="545"/>
      <c r="F4349" s="546"/>
      <c r="G4349" s="234"/>
      <c r="H4349" s="238"/>
      <c r="I4349" s="237"/>
    </row>
    <row r="4350" spans="1:9" s="232" customFormat="1" ht="17" customHeight="1">
      <c r="A4350" s="234"/>
      <c r="B4350" s="233"/>
      <c r="C4350" s="238"/>
      <c r="E4350" s="545"/>
      <c r="F4350" s="546"/>
      <c r="G4350" s="234"/>
      <c r="H4350" s="238"/>
      <c r="I4350" s="237"/>
    </row>
    <row r="4351" spans="1:9" s="232" customFormat="1" ht="17" customHeight="1">
      <c r="A4351" s="234"/>
      <c r="B4351" s="233"/>
      <c r="C4351" s="238"/>
      <c r="E4351" s="545"/>
      <c r="F4351" s="546"/>
      <c r="G4351" s="234"/>
      <c r="H4351" s="238"/>
      <c r="I4351" s="237"/>
    </row>
    <row r="4352" spans="1:9" s="232" customFormat="1" ht="17" customHeight="1">
      <c r="A4352" s="234"/>
      <c r="B4352" s="233"/>
      <c r="C4352" s="238"/>
      <c r="E4352" s="545"/>
      <c r="F4352" s="546"/>
      <c r="G4352" s="234"/>
      <c r="H4352" s="238"/>
      <c r="I4352" s="237"/>
    </row>
    <row r="4353" spans="1:9" s="232" customFormat="1" ht="17" customHeight="1">
      <c r="A4353" s="234"/>
      <c r="B4353" s="233"/>
      <c r="C4353" s="238"/>
      <c r="E4353" s="545"/>
      <c r="F4353" s="546"/>
      <c r="G4353" s="234"/>
      <c r="H4353" s="238"/>
      <c r="I4353" s="237"/>
    </row>
    <row r="4354" spans="1:9" s="232" customFormat="1" ht="17" customHeight="1">
      <c r="A4354" s="234"/>
      <c r="B4354" s="233"/>
      <c r="C4354" s="238"/>
      <c r="E4354" s="545"/>
      <c r="F4354" s="546"/>
      <c r="G4354" s="234"/>
      <c r="H4354" s="238"/>
      <c r="I4354" s="237"/>
    </row>
    <row r="4355" spans="1:9" s="232" customFormat="1" ht="17" customHeight="1">
      <c r="A4355" s="234"/>
      <c r="B4355" s="233"/>
      <c r="C4355" s="238"/>
      <c r="E4355" s="545"/>
      <c r="F4355" s="546"/>
      <c r="G4355" s="234"/>
      <c r="H4355" s="238"/>
      <c r="I4355" s="237"/>
    </row>
    <row r="4356" spans="1:9" s="232" customFormat="1" ht="17" customHeight="1">
      <c r="A4356" s="234"/>
      <c r="B4356" s="233"/>
      <c r="C4356" s="238"/>
      <c r="E4356" s="545"/>
      <c r="F4356" s="546"/>
      <c r="G4356" s="234"/>
      <c r="H4356" s="238"/>
      <c r="I4356" s="237"/>
    </row>
    <row r="4357" spans="1:9" s="232" customFormat="1" ht="17" customHeight="1">
      <c r="A4357" s="234"/>
      <c r="B4357" s="233"/>
      <c r="C4357" s="238"/>
      <c r="E4357" s="545"/>
      <c r="F4357" s="546"/>
      <c r="G4357" s="234"/>
      <c r="H4357" s="238"/>
      <c r="I4357" s="237"/>
    </row>
    <row r="4358" spans="1:9" s="232" customFormat="1" ht="17" customHeight="1">
      <c r="A4358" s="234"/>
      <c r="B4358" s="233"/>
      <c r="C4358" s="238"/>
      <c r="E4358" s="545"/>
      <c r="F4358" s="546"/>
      <c r="G4358" s="234"/>
      <c r="H4358" s="238"/>
      <c r="I4358" s="237"/>
    </row>
    <row r="4359" spans="1:9" s="232" customFormat="1" ht="17" customHeight="1">
      <c r="A4359" s="234"/>
      <c r="B4359" s="233"/>
      <c r="C4359" s="238"/>
      <c r="E4359" s="545"/>
      <c r="F4359" s="546"/>
      <c r="G4359" s="234"/>
      <c r="H4359" s="238"/>
      <c r="I4359" s="237"/>
    </row>
    <row r="4360" spans="1:9" s="232" customFormat="1" ht="17" customHeight="1">
      <c r="A4360" s="234"/>
      <c r="B4360" s="233"/>
      <c r="C4360" s="238"/>
      <c r="E4360" s="545"/>
      <c r="F4360" s="546"/>
      <c r="G4360" s="234"/>
      <c r="H4360" s="238"/>
      <c r="I4360" s="237"/>
    </row>
    <row r="4361" spans="1:9" s="232" customFormat="1" ht="17" customHeight="1">
      <c r="A4361" s="234"/>
      <c r="B4361" s="233"/>
      <c r="C4361" s="238"/>
      <c r="E4361" s="545"/>
      <c r="F4361" s="546"/>
      <c r="G4361" s="234"/>
      <c r="H4361" s="238"/>
      <c r="I4361" s="237"/>
    </row>
    <row r="4362" spans="1:9" s="232" customFormat="1" ht="17" customHeight="1">
      <c r="A4362" s="234"/>
      <c r="B4362" s="233"/>
      <c r="C4362" s="238"/>
      <c r="E4362" s="545"/>
      <c r="F4362" s="546"/>
      <c r="G4362" s="234"/>
      <c r="H4362" s="238"/>
      <c r="I4362" s="237"/>
    </row>
    <row r="4363" spans="1:9" s="232" customFormat="1" ht="17" customHeight="1">
      <c r="A4363" s="234"/>
      <c r="B4363" s="233"/>
      <c r="C4363" s="238"/>
      <c r="E4363" s="545"/>
      <c r="F4363" s="546"/>
      <c r="G4363" s="234"/>
      <c r="H4363" s="238"/>
      <c r="I4363" s="237"/>
    </row>
    <row r="4364" spans="1:9" s="232" customFormat="1" ht="17" customHeight="1">
      <c r="A4364" s="234"/>
      <c r="B4364" s="233"/>
      <c r="C4364" s="238"/>
      <c r="E4364" s="545"/>
      <c r="F4364" s="546"/>
      <c r="G4364" s="234"/>
      <c r="H4364" s="238"/>
      <c r="I4364" s="237"/>
    </row>
    <row r="4365" spans="1:9" s="232" customFormat="1" ht="17" customHeight="1">
      <c r="A4365" s="234"/>
      <c r="B4365" s="233"/>
      <c r="C4365" s="238"/>
      <c r="E4365" s="545"/>
      <c r="F4365" s="546"/>
      <c r="G4365" s="234"/>
      <c r="H4365" s="238"/>
      <c r="I4365" s="237"/>
    </row>
    <row r="4366" spans="1:9" s="232" customFormat="1" ht="17" customHeight="1">
      <c r="A4366" s="234"/>
      <c r="B4366" s="233"/>
      <c r="C4366" s="238"/>
      <c r="E4366" s="545"/>
      <c r="F4366" s="546"/>
      <c r="G4366" s="234"/>
      <c r="H4366" s="238"/>
      <c r="I4366" s="237"/>
    </row>
    <row r="4367" spans="1:9" s="232" customFormat="1" ht="17" customHeight="1">
      <c r="A4367" s="234"/>
      <c r="B4367" s="233"/>
      <c r="C4367" s="238"/>
      <c r="E4367" s="545"/>
      <c r="F4367" s="546"/>
      <c r="G4367" s="234"/>
      <c r="H4367" s="238"/>
      <c r="I4367" s="237"/>
    </row>
    <row r="4368" spans="1:9" s="232" customFormat="1" ht="17" customHeight="1">
      <c r="A4368" s="234"/>
      <c r="B4368" s="233"/>
      <c r="C4368" s="238"/>
      <c r="E4368" s="545"/>
      <c r="F4368" s="546"/>
      <c r="G4368" s="234"/>
      <c r="H4368" s="238"/>
      <c r="I4368" s="237"/>
    </row>
    <row r="4369" spans="1:9" s="232" customFormat="1" ht="17" customHeight="1">
      <c r="A4369" s="234"/>
      <c r="B4369" s="233"/>
      <c r="C4369" s="238"/>
      <c r="E4369" s="545"/>
      <c r="F4369" s="546"/>
      <c r="G4369" s="234"/>
      <c r="H4369" s="238"/>
      <c r="I4369" s="237"/>
    </row>
    <row r="4370" spans="1:9" s="232" customFormat="1" ht="17" customHeight="1">
      <c r="A4370" s="234"/>
      <c r="B4370" s="233"/>
      <c r="C4370" s="238"/>
      <c r="E4370" s="545"/>
      <c r="F4370" s="546"/>
      <c r="G4370" s="234"/>
      <c r="H4370" s="238"/>
      <c r="I4370" s="237"/>
    </row>
    <row r="4371" spans="1:9" s="232" customFormat="1" ht="17" customHeight="1">
      <c r="A4371" s="234"/>
      <c r="B4371" s="233"/>
      <c r="C4371" s="238"/>
      <c r="E4371" s="545"/>
      <c r="F4371" s="546"/>
      <c r="G4371" s="234"/>
      <c r="H4371" s="238"/>
      <c r="I4371" s="237"/>
    </row>
    <row r="4372" spans="1:9" s="232" customFormat="1" ht="17" customHeight="1">
      <c r="A4372" s="234"/>
      <c r="B4372" s="233"/>
      <c r="C4372" s="238"/>
      <c r="E4372" s="545"/>
      <c r="F4372" s="546"/>
      <c r="G4372" s="234"/>
      <c r="H4372" s="238"/>
      <c r="I4372" s="237"/>
    </row>
    <row r="4373" spans="1:9" s="232" customFormat="1" ht="17" customHeight="1">
      <c r="A4373" s="234"/>
      <c r="B4373" s="233"/>
      <c r="C4373" s="238"/>
      <c r="E4373" s="545"/>
      <c r="F4373" s="546"/>
      <c r="G4373" s="234"/>
      <c r="H4373" s="238"/>
      <c r="I4373" s="237"/>
    </row>
    <row r="4374" spans="1:9" s="232" customFormat="1" ht="17" customHeight="1">
      <c r="A4374" s="234"/>
      <c r="B4374" s="233"/>
      <c r="C4374" s="238"/>
      <c r="E4374" s="545"/>
      <c r="F4374" s="546"/>
      <c r="G4374" s="234"/>
      <c r="H4374" s="238"/>
      <c r="I4374" s="237"/>
    </row>
    <row r="4375" spans="1:9" s="232" customFormat="1" ht="17" customHeight="1">
      <c r="A4375" s="234"/>
      <c r="B4375" s="233"/>
      <c r="C4375" s="238"/>
      <c r="E4375" s="545"/>
      <c r="F4375" s="546"/>
      <c r="G4375" s="234"/>
      <c r="H4375" s="238"/>
      <c r="I4375" s="237"/>
    </row>
    <row r="4376" spans="1:9" s="232" customFormat="1" ht="17" customHeight="1">
      <c r="A4376" s="234"/>
      <c r="B4376" s="233"/>
      <c r="C4376" s="238"/>
      <c r="E4376" s="545"/>
      <c r="F4376" s="546"/>
      <c r="G4376" s="234"/>
      <c r="H4376" s="238"/>
      <c r="I4376" s="237"/>
    </row>
    <row r="4377" spans="1:9" s="232" customFormat="1" ht="17" customHeight="1">
      <c r="A4377" s="234"/>
      <c r="B4377" s="233"/>
      <c r="C4377" s="238"/>
      <c r="E4377" s="545"/>
      <c r="F4377" s="546"/>
      <c r="G4377" s="234"/>
      <c r="H4377" s="238"/>
      <c r="I4377" s="237"/>
    </row>
    <row r="4378" spans="1:9" s="232" customFormat="1" ht="17" customHeight="1">
      <c r="A4378" s="234"/>
      <c r="B4378" s="233"/>
      <c r="C4378" s="238"/>
      <c r="E4378" s="545"/>
      <c r="F4378" s="546"/>
      <c r="G4378" s="234"/>
      <c r="H4378" s="238"/>
      <c r="I4378" s="237"/>
    </row>
    <row r="4379" spans="1:9" s="232" customFormat="1" ht="17" customHeight="1">
      <c r="A4379" s="234"/>
      <c r="B4379" s="233"/>
      <c r="C4379" s="238"/>
      <c r="E4379" s="545"/>
      <c r="F4379" s="546"/>
      <c r="G4379" s="234"/>
      <c r="H4379" s="238"/>
      <c r="I4379" s="237"/>
    </row>
    <row r="4380" spans="1:9" s="232" customFormat="1" ht="17" customHeight="1">
      <c r="A4380" s="234"/>
      <c r="B4380" s="233"/>
      <c r="C4380" s="238"/>
      <c r="E4380" s="545"/>
      <c r="F4380" s="546"/>
      <c r="G4380" s="234"/>
      <c r="H4380" s="238"/>
      <c r="I4380" s="237"/>
    </row>
    <row r="4381" spans="1:9" s="232" customFormat="1" ht="17" customHeight="1">
      <c r="A4381" s="234"/>
      <c r="B4381" s="233"/>
      <c r="C4381" s="238"/>
      <c r="E4381" s="545"/>
      <c r="F4381" s="546"/>
      <c r="G4381" s="234"/>
      <c r="H4381" s="238"/>
      <c r="I4381" s="237"/>
    </row>
    <row r="4382" spans="1:9" s="232" customFormat="1" ht="17" customHeight="1">
      <c r="A4382" s="234"/>
      <c r="B4382" s="233"/>
      <c r="C4382" s="238"/>
      <c r="E4382" s="545"/>
      <c r="F4382" s="546"/>
      <c r="G4382" s="234"/>
      <c r="H4382" s="238"/>
      <c r="I4382" s="237"/>
    </row>
    <row r="4383" spans="1:9" s="232" customFormat="1" ht="17" customHeight="1">
      <c r="A4383" s="234"/>
      <c r="B4383" s="233"/>
      <c r="C4383" s="238"/>
      <c r="E4383" s="545"/>
      <c r="F4383" s="546"/>
      <c r="G4383" s="234"/>
      <c r="H4383" s="238"/>
      <c r="I4383" s="237"/>
    </row>
    <row r="4384" spans="1:9" s="232" customFormat="1" ht="17" customHeight="1">
      <c r="A4384" s="234"/>
      <c r="B4384" s="233"/>
      <c r="C4384" s="238"/>
      <c r="E4384" s="545"/>
      <c r="F4384" s="546"/>
      <c r="G4384" s="234"/>
      <c r="H4384" s="238"/>
      <c r="I4384" s="237"/>
    </row>
    <row r="4385" spans="1:9" s="232" customFormat="1" ht="17" customHeight="1">
      <c r="A4385" s="234"/>
      <c r="B4385" s="233"/>
      <c r="C4385" s="238"/>
      <c r="E4385" s="545"/>
      <c r="F4385" s="546"/>
      <c r="G4385" s="234"/>
      <c r="H4385" s="238"/>
      <c r="I4385" s="237"/>
    </row>
    <row r="4386" spans="1:9" s="232" customFormat="1" ht="17" customHeight="1">
      <c r="A4386" s="234"/>
      <c r="B4386" s="233"/>
      <c r="C4386" s="238"/>
      <c r="E4386" s="545"/>
      <c r="F4386" s="546"/>
      <c r="G4386" s="234"/>
      <c r="H4386" s="238"/>
      <c r="I4386" s="237"/>
    </row>
    <row r="4387" spans="1:9" s="232" customFormat="1" ht="17" customHeight="1">
      <c r="A4387" s="234"/>
      <c r="B4387" s="233"/>
      <c r="C4387" s="238"/>
      <c r="E4387" s="545"/>
      <c r="F4387" s="546"/>
      <c r="G4387" s="234"/>
      <c r="H4387" s="238"/>
      <c r="I4387" s="237"/>
    </row>
    <row r="4388" spans="1:9" s="232" customFormat="1" ht="17" customHeight="1">
      <c r="A4388" s="234"/>
      <c r="B4388" s="233"/>
      <c r="C4388" s="238"/>
      <c r="E4388" s="545"/>
      <c r="F4388" s="546"/>
      <c r="G4388" s="234"/>
      <c r="H4388" s="238"/>
      <c r="I4388" s="237"/>
    </row>
    <row r="4389" spans="1:9" s="232" customFormat="1" ht="17" customHeight="1">
      <c r="A4389" s="234"/>
      <c r="B4389" s="233"/>
      <c r="C4389" s="238"/>
      <c r="E4389" s="545"/>
      <c r="F4389" s="546"/>
      <c r="G4389" s="234"/>
      <c r="H4389" s="238"/>
      <c r="I4389" s="237"/>
    </row>
    <row r="4390" spans="1:9" s="232" customFormat="1" ht="17" customHeight="1">
      <c r="A4390" s="234"/>
      <c r="B4390" s="233"/>
      <c r="C4390" s="238"/>
      <c r="E4390" s="545"/>
      <c r="F4390" s="546"/>
      <c r="G4390" s="234"/>
      <c r="H4390" s="238"/>
      <c r="I4390" s="237"/>
    </row>
    <row r="4391" spans="1:9" s="232" customFormat="1" ht="17" customHeight="1">
      <c r="A4391" s="234"/>
      <c r="B4391" s="233"/>
      <c r="C4391" s="238"/>
      <c r="E4391" s="545"/>
      <c r="F4391" s="546"/>
      <c r="G4391" s="234"/>
      <c r="H4391" s="238"/>
      <c r="I4391" s="237"/>
    </row>
    <row r="4392" spans="1:9" s="232" customFormat="1" ht="17" customHeight="1">
      <c r="A4392" s="234"/>
      <c r="B4392" s="233"/>
      <c r="C4392" s="238"/>
      <c r="E4392" s="545"/>
      <c r="F4392" s="546"/>
      <c r="G4392" s="234"/>
      <c r="H4392" s="238"/>
      <c r="I4392" s="237"/>
    </row>
    <row r="4393" spans="1:9" s="232" customFormat="1" ht="17" customHeight="1">
      <c r="A4393" s="234"/>
      <c r="B4393" s="233"/>
      <c r="C4393" s="238"/>
      <c r="E4393" s="545"/>
      <c r="F4393" s="546"/>
      <c r="G4393" s="234"/>
      <c r="H4393" s="238"/>
      <c r="I4393" s="237"/>
    </row>
    <row r="4394" spans="1:9" s="232" customFormat="1" ht="17" customHeight="1">
      <c r="A4394" s="234"/>
      <c r="B4394" s="233"/>
      <c r="C4394" s="238"/>
      <c r="E4394" s="545"/>
      <c r="F4394" s="546"/>
      <c r="G4394" s="234"/>
      <c r="H4394" s="238"/>
      <c r="I4394" s="237"/>
    </row>
    <row r="4395" spans="1:9" s="232" customFormat="1" ht="17" customHeight="1">
      <c r="A4395" s="234"/>
      <c r="B4395" s="233"/>
      <c r="C4395" s="238"/>
      <c r="E4395" s="545"/>
      <c r="F4395" s="546"/>
      <c r="G4395" s="234"/>
      <c r="H4395" s="238"/>
      <c r="I4395" s="237"/>
    </row>
    <row r="4396" spans="1:9" s="232" customFormat="1" ht="17" customHeight="1">
      <c r="A4396" s="234"/>
      <c r="B4396" s="233"/>
      <c r="C4396" s="238"/>
      <c r="E4396" s="545"/>
      <c r="F4396" s="546"/>
      <c r="G4396" s="234"/>
      <c r="H4396" s="238"/>
      <c r="I4396" s="237"/>
    </row>
    <row r="4397" spans="1:9" s="232" customFormat="1" ht="17" customHeight="1">
      <c r="A4397" s="234"/>
      <c r="B4397" s="233"/>
      <c r="C4397" s="238"/>
      <c r="E4397" s="545"/>
      <c r="F4397" s="546"/>
      <c r="G4397" s="234"/>
      <c r="H4397" s="238"/>
      <c r="I4397" s="237"/>
    </row>
    <row r="4398" spans="1:9" s="232" customFormat="1" ht="17" customHeight="1">
      <c r="A4398" s="234"/>
      <c r="B4398" s="233"/>
      <c r="C4398" s="238"/>
      <c r="E4398" s="545"/>
      <c r="F4398" s="546"/>
      <c r="G4398" s="234"/>
      <c r="H4398" s="238"/>
      <c r="I4398" s="237"/>
    </row>
    <row r="4399" spans="1:9" s="232" customFormat="1" ht="17" customHeight="1">
      <c r="A4399" s="234"/>
      <c r="B4399" s="233"/>
      <c r="C4399" s="238"/>
      <c r="E4399" s="545"/>
      <c r="F4399" s="546"/>
      <c r="G4399" s="234"/>
      <c r="H4399" s="238"/>
      <c r="I4399" s="237"/>
    </row>
    <row r="4400" spans="1:9" s="232" customFormat="1" ht="17" customHeight="1">
      <c r="A4400" s="234"/>
      <c r="B4400" s="233"/>
      <c r="C4400" s="238"/>
      <c r="E4400" s="545"/>
      <c r="F4400" s="546"/>
      <c r="G4400" s="234"/>
      <c r="H4400" s="238"/>
      <c r="I4400" s="237"/>
    </row>
    <row r="4401" spans="1:9" s="232" customFormat="1" ht="17" customHeight="1">
      <c r="A4401" s="234"/>
      <c r="B4401" s="233"/>
      <c r="C4401" s="238"/>
      <c r="E4401" s="545"/>
      <c r="F4401" s="546"/>
      <c r="G4401" s="234"/>
      <c r="H4401" s="238"/>
      <c r="I4401" s="237"/>
    </row>
    <row r="4402" spans="1:9" s="232" customFormat="1" ht="17" customHeight="1">
      <c r="A4402" s="234"/>
      <c r="B4402" s="233"/>
      <c r="C4402" s="238"/>
      <c r="E4402" s="545"/>
      <c r="F4402" s="546"/>
      <c r="G4402" s="234"/>
      <c r="H4402" s="238"/>
      <c r="I4402" s="237"/>
    </row>
    <row r="4403" spans="1:9" s="232" customFormat="1" ht="17" customHeight="1">
      <c r="A4403" s="234"/>
      <c r="B4403" s="233"/>
      <c r="C4403" s="238"/>
      <c r="E4403" s="545"/>
      <c r="F4403" s="546"/>
      <c r="G4403" s="234"/>
      <c r="H4403" s="238"/>
      <c r="I4403" s="237"/>
    </row>
    <row r="4404" spans="1:9" s="232" customFormat="1" ht="17" customHeight="1">
      <c r="A4404" s="234"/>
      <c r="B4404" s="233"/>
      <c r="C4404" s="238"/>
      <c r="E4404" s="545"/>
      <c r="F4404" s="546"/>
      <c r="G4404" s="234"/>
      <c r="H4404" s="238"/>
      <c r="I4404" s="237"/>
    </row>
    <row r="4405" spans="1:9" s="232" customFormat="1" ht="17" customHeight="1">
      <c r="A4405" s="234"/>
      <c r="B4405" s="233"/>
      <c r="C4405" s="238"/>
      <c r="E4405" s="545"/>
      <c r="F4405" s="546"/>
      <c r="G4405" s="234"/>
      <c r="H4405" s="238"/>
      <c r="I4405" s="237"/>
    </row>
    <row r="4406" spans="1:9" s="232" customFormat="1" ht="17" customHeight="1">
      <c r="A4406" s="234"/>
      <c r="B4406" s="233"/>
      <c r="C4406" s="238"/>
      <c r="E4406" s="545"/>
      <c r="F4406" s="546"/>
      <c r="G4406" s="234"/>
      <c r="H4406" s="238"/>
      <c r="I4406" s="237"/>
    </row>
    <row r="4407" spans="1:9" s="232" customFormat="1" ht="17" customHeight="1">
      <c r="A4407" s="234"/>
      <c r="B4407" s="233"/>
      <c r="C4407" s="238"/>
      <c r="E4407" s="545"/>
      <c r="F4407" s="546"/>
      <c r="G4407" s="234"/>
      <c r="H4407" s="238"/>
      <c r="I4407" s="237"/>
    </row>
    <row r="4408" spans="1:9" s="232" customFormat="1" ht="17" customHeight="1">
      <c r="A4408" s="234"/>
      <c r="B4408" s="233"/>
      <c r="C4408" s="238"/>
      <c r="E4408" s="545"/>
      <c r="F4408" s="546"/>
      <c r="G4408" s="234"/>
      <c r="H4408" s="238"/>
      <c r="I4408" s="237"/>
    </row>
    <row r="4409" spans="1:9" s="232" customFormat="1" ht="17" customHeight="1">
      <c r="A4409" s="234"/>
      <c r="B4409" s="233"/>
      <c r="C4409" s="238"/>
      <c r="E4409" s="545"/>
      <c r="F4409" s="546"/>
      <c r="G4409" s="234"/>
      <c r="H4409" s="238"/>
      <c r="I4409" s="237"/>
    </row>
    <row r="4410" spans="1:9" s="232" customFormat="1" ht="17" customHeight="1">
      <c r="A4410" s="234"/>
      <c r="B4410" s="233"/>
      <c r="C4410" s="238"/>
      <c r="E4410" s="545"/>
      <c r="F4410" s="546"/>
      <c r="G4410" s="234"/>
      <c r="H4410" s="238"/>
      <c r="I4410" s="237"/>
    </row>
    <row r="4411" spans="1:9" s="232" customFormat="1" ht="17" customHeight="1">
      <c r="A4411" s="234"/>
      <c r="B4411" s="233"/>
      <c r="C4411" s="238"/>
      <c r="E4411" s="545"/>
      <c r="F4411" s="546"/>
      <c r="G4411" s="234"/>
      <c r="H4411" s="238"/>
      <c r="I4411" s="237"/>
    </row>
    <row r="4412" spans="1:9" s="232" customFormat="1" ht="17" customHeight="1">
      <c r="A4412" s="234"/>
      <c r="B4412" s="233"/>
      <c r="C4412" s="238"/>
      <c r="E4412" s="545"/>
      <c r="F4412" s="546"/>
      <c r="G4412" s="234"/>
      <c r="H4412" s="238"/>
      <c r="I4412" s="237"/>
    </row>
    <row r="4413" spans="1:9" s="232" customFormat="1" ht="17" customHeight="1">
      <c r="A4413" s="234"/>
      <c r="B4413" s="233"/>
      <c r="C4413" s="238"/>
      <c r="E4413" s="545"/>
      <c r="F4413" s="546"/>
      <c r="G4413" s="234"/>
      <c r="H4413" s="238"/>
      <c r="I4413" s="237"/>
    </row>
    <row r="4414" spans="1:9" s="232" customFormat="1" ht="17" customHeight="1">
      <c r="A4414" s="234"/>
      <c r="B4414" s="233"/>
      <c r="C4414" s="238"/>
      <c r="E4414" s="545"/>
      <c r="F4414" s="546"/>
      <c r="G4414" s="234"/>
      <c r="H4414" s="238"/>
      <c r="I4414" s="237"/>
    </row>
    <row r="4415" spans="1:9" s="232" customFormat="1" ht="17" customHeight="1">
      <c r="A4415" s="234"/>
      <c r="B4415" s="233"/>
      <c r="C4415" s="238"/>
      <c r="E4415" s="545"/>
      <c r="F4415" s="546"/>
      <c r="G4415" s="234"/>
      <c r="H4415" s="238"/>
      <c r="I4415" s="237"/>
    </row>
    <row r="4416" spans="1:9" s="232" customFormat="1" ht="17" customHeight="1">
      <c r="A4416" s="234"/>
      <c r="B4416" s="233"/>
      <c r="C4416" s="238"/>
      <c r="E4416" s="545"/>
      <c r="F4416" s="546"/>
      <c r="G4416" s="234"/>
      <c r="H4416" s="238"/>
      <c r="I4416" s="237"/>
    </row>
    <row r="4417" spans="1:9" s="232" customFormat="1" ht="17" customHeight="1">
      <c r="A4417" s="234"/>
      <c r="B4417" s="233"/>
      <c r="C4417" s="238"/>
      <c r="E4417" s="545"/>
      <c r="F4417" s="546"/>
      <c r="G4417" s="234"/>
      <c r="H4417" s="238"/>
      <c r="I4417" s="237"/>
    </row>
    <row r="4418" spans="1:9" s="232" customFormat="1" ht="17" customHeight="1">
      <c r="A4418" s="234"/>
      <c r="B4418" s="233"/>
      <c r="C4418" s="238"/>
      <c r="E4418" s="545"/>
      <c r="F4418" s="546"/>
      <c r="G4418" s="234"/>
      <c r="H4418" s="238"/>
      <c r="I4418" s="237"/>
    </row>
    <row r="4419" spans="1:9" s="232" customFormat="1" ht="17" customHeight="1">
      <c r="A4419" s="234"/>
      <c r="B4419" s="233"/>
      <c r="C4419" s="238"/>
      <c r="E4419" s="545"/>
      <c r="F4419" s="546"/>
      <c r="G4419" s="234"/>
      <c r="H4419" s="238"/>
      <c r="I4419" s="237"/>
    </row>
    <row r="4420" spans="1:9" s="232" customFormat="1" ht="17" customHeight="1">
      <c r="A4420" s="234"/>
      <c r="B4420" s="233"/>
      <c r="C4420" s="238"/>
      <c r="E4420" s="545"/>
      <c r="F4420" s="546"/>
      <c r="G4420" s="234"/>
      <c r="H4420" s="238"/>
      <c r="I4420" s="237"/>
    </row>
    <row r="4421" spans="1:9" s="232" customFormat="1" ht="17" customHeight="1">
      <c r="A4421" s="234"/>
      <c r="B4421" s="233"/>
      <c r="C4421" s="238"/>
      <c r="E4421" s="545"/>
      <c r="F4421" s="546"/>
      <c r="G4421" s="234"/>
      <c r="H4421" s="238"/>
      <c r="I4421" s="237"/>
    </row>
    <row r="4422" spans="1:9" s="232" customFormat="1" ht="17" customHeight="1">
      <c r="A4422" s="234"/>
      <c r="B4422" s="233"/>
      <c r="C4422" s="238"/>
      <c r="E4422" s="545"/>
      <c r="F4422" s="546"/>
      <c r="G4422" s="234"/>
      <c r="H4422" s="238"/>
      <c r="I4422" s="237"/>
    </row>
    <row r="4423" spans="1:9" s="232" customFormat="1" ht="17" customHeight="1">
      <c r="A4423" s="234"/>
      <c r="B4423" s="233"/>
      <c r="C4423" s="238"/>
      <c r="E4423" s="545"/>
      <c r="F4423" s="546"/>
      <c r="G4423" s="234"/>
      <c r="H4423" s="238"/>
      <c r="I4423" s="237"/>
    </row>
    <row r="4424" spans="1:9" s="232" customFormat="1" ht="17" customHeight="1">
      <c r="A4424" s="234"/>
      <c r="B4424" s="233"/>
      <c r="C4424" s="238"/>
      <c r="E4424" s="545"/>
      <c r="F4424" s="546"/>
      <c r="G4424" s="234"/>
      <c r="H4424" s="238"/>
      <c r="I4424" s="237"/>
    </row>
    <row r="4425" spans="1:9" s="232" customFormat="1" ht="17" customHeight="1">
      <c r="A4425" s="234"/>
      <c r="B4425" s="233"/>
      <c r="C4425" s="238"/>
      <c r="E4425" s="545"/>
      <c r="F4425" s="546"/>
      <c r="G4425" s="234"/>
      <c r="H4425" s="238"/>
      <c r="I4425" s="237"/>
    </row>
    <row r="4426" spans="1:9" s="232" customFormat="1" ht="17" customHeight="1">
      <c r="A4426" s="234"/>
      <c r="B4426" s="233"/>
      <c r="C4426" s="238"/>
      <c r="E4426" s="545"/>
      <c r="F4426" s="546"/>
      <c r="G4426" s="234"/>
      <c r="H4426" s="238"/>
      <c r="I4426" s="237"/>
    </row>
    <row r="4427" spans="1:9" s="232" customFormat="1" ht="17" customHeight="1">
      <c r="A4427" s="234"/>
      <c r="B4427" s="233"/>
      <c r="C4427" s="238"/>
      <c r="E4427" s="545"/>
      <c r="F4427" s="546"/>
      <c r="G4427" s="234"/>
      <c r="H4427" s="238"/>
      <c r="I4427" s="237"/>
    </row>
    <row r="4428" spans="1:9" s="232" customFormat="1" ht="17" customHeight="1">
      <c r="A4428" s="234"/>
      <c r="B4428" s="233"/>
      <c r="C4428" s="238"/>
      <c r="E4428" s="545"/>
      <c r="F4428" s="546"/>
      <c r="G4428" s="234"/>
      <c r="H4428" s="238"/>
      <c r="I4428" s="237"/>
    </row>
    <row r="4429" spans="1:9" s="232" customFormat="1" ht="17" customHeight="1">
      <c r="A4429" s="234"/>
      <c r="B4429" s="233"/>
      <c r="C4429" s="238"/>
      <c r="E4429" s="545"/>
      <c r="F4429" s="546"/>
      <c r="G4429" s="234"/>
      <c r="H4429" s="238"/>
      <c r="I4429" s="237"/>
    </row>
    <row r="4430" spans="1:9" s="232" customFormat="1" ht="17" customHeight="1">
      <c r="A4430" s="234"/>
      <c r="B4430" s="233"/>
      <c r="C4430" s="238"/>
      <c r="E4430" s="545"/>
      <c r="F4430" s="546"/>
      <c r="G4430" s="234"/>
      <c r="H4430" s="238"/>
      <c r="I4430" s="237"/>
    </row>
    <row r="4431" spans="1:9" s="232" customFormat="1" ht="17" customHeight="1">
      <c r="A4431" s="234"/>
      <c r="B4431" s="233"/>
      <c r="C4431" s="238"/>
      <c r="E4431" s="545"/>
      <c r="F4431" s="546"/>
      <c r="G4431" s="234"/>
      <c r="H4431" s="238"/>
      <c r="I4431" s="237"/>
    </row>
    <row r="4432" spans="1:9" s="232" customFormat="1" ht="17" customHeight="1">
      <c r="A4432" s="234"/>
      <c r="B4432" s="233"/>
      <c r="C4432" s="238"/>
      <c r="E4432" s="545"/>
      <c r="F4432" s="546"/>
      <c r="G4432" s="234"/>
      <c r="H4432" s="238"/>
      <c r="I4432" s="237"/>
    </row>
    <row r="4433" spans="1:9" s="232" customFormat="1" ht="17" customHeight="1">
      <c r="A4433" s="234"/>
      <c r="B4433" s="233"/>
      <c r="C4433" s="238"/>
      <c r="E4433" s="545"/>
      <c r="F4433" s="546"/>
      <c r="G4433" s="234"/>
      <c r="H4433" s="238"/>
      <c r="I4433" s="237"/>
    </row>
    <row r="4434" spans="1:9" s="232" customFormat="1" ht="17" customHeight="1">
      <c r="A4434" s="234"/>
      <c r="B4434" s="233"/>
      <c r="C4434" s="238"/>
      <c r="E4434" s="545"/>
      <c r="F4434" s="546"/>
      <c r="G4434" s="234"/>
      <c r="H4434" s="238"/>
      <c r="I4434" s="237"/>
    </row>
    <row r="4435" spans="1:9" s="232" customFormat="1" ht="17" customHeight="1">
      <c r="A4435" s="234"/>
      <c r="B4435" s="233"/>
      <c r="C4435" s="238"/>
      <c r="E4435" s="545"/>
      <c r="F4435" s="546"/>
      <c r="G4435" s="234"/>
      <c r="H4435" s="238"/>
      <c r="I4435" s="237"/>
    </row>
    <row r="4436" spans="1:9" s="232" customFormat="1" ht="17" customHeight="1">
      <c r="A4436" s="234"/>
      <c r="B4436" s="233"/>
      <c r="C4436" s="238"/>
      <c r="E4436" s="545"/>
      <c r="F4436" s="546"/>
      <c r="G4436" s="234"/>
      <c r="H4436" s="238"/>
      <c r="I4436" s="237"/>
    </row>
    <row r="4437" spans="1:9" s="232" customFormat="1" ht="17" customHeight="1">
      <c r="A4437" s="234"/>
      <c r="B4437" s="233"/>
      <c r="C4437" s="238"/>
      <c r="E4437" s="545"/>
      <c r="F4437" s="546"/>
      <c r="G4437" s="234"/>
      <c r="H4437" s="238"/>
      <c r="I4437" s="237"/>
    </row>
    <row r="4438" spans="1:9" s="232" customFormat="1" ht="17" customHeight="1">
      <c r="A4438" s="234"/>
      <c r="B4438" s="233"/>
      <c r="C4438" s="238"/>
      <c r="E4438" s="545"/>
      <c r="F4438" s="546"/>
      <c r="G4438" s="234"/>
      <c r="H4438" s="238"/>
      <c r="I4438" s="237"/>
    </row>
    <row r="4439" spans="1:9" s="232" customFormat="1" ht="17" customHeight="1">
      <c r="A4439" s="234"/>
      <c r="B4439" s="233"/>
      <c r="C4439" s="238"/>
      <c r="E4439" s="545"/>
      <c r="F4439" s="546"/>
      <c r="G4439" s="234"/>
      <c r="H4439" s="238"/>
      <c r="I4439" s="237"/>
    </row>
    <row r="4440" spans="1:9" s="232" customFormat="1" ht="17" customHeight="1">
      <c r="A4440" s="234"/>
      <c r="B4440" s="233"/>
      <c r="C4440" s="238"/>
      <c r="E4440" s="545"/>
      <c r="F4440" s="546"/>
      <c r="G4440" s="234"/>
      <c r="H4440" s="238"/>
      <c r="I4440" s="237"/>
    </row>
    <row r="4441" spans="1:9" s="232" customFormat="1" ht="17" customHeight="1">
      <c r="A4441" s="234"/>
      <c r="B4441" s="233"/>
      <c r="C4441" s="238"/>
      <c r="E4441" s="545"/>
      <c r="F4441" s="546"/>
      <c r="G4441" s="234"/>
      <c r="H4441" s="238"/>
      <c r="I4441" s="237"/>
    </row>
    <row r="4442" spans="1:9" s="232" customFormat="1" ht="17" customHeight="1">
      <c r="A4442" s="234"/>
      <c r="B4442" s="233"/>
      <c r="C4442" s="238"/>
      <c r="E4442" s="545"/>
      <c r="F4442" s="546"/>
      <c r="G4442" s="234"/>
      <c r="H4442" s="238"/>
      <c r="I4442" s="237"/>
    </row>
    <row r="4443" spans="1:9" s="232" customFormat="1" ht="17" customHeight="1">
      <c r="A4443" s="234"/>
      <c r="B4443" s="233"/>
      <c r="C4443" s="238"/>
      <c r="E4443" s="545"/>
      <c r="F4443" s="546"/>
      <c r="G4443" s="234"/>
      <c r="H4443" s="238"/>
      <c r="I4443" s="237"/>
    </row>
    <row r="4444" spans="1:9" s="232" customFormat="1" ht="17" customHeight="1">
      <c r="A4444" s="234"/>
      <c r="B4444" s="233"/>
      <c r="C4444" s="238"/>
      <c r="E4444" s="545"/>
      <c r="F4444" s="546"/>
      <c r="G4444" s="234"/>
      <c r="H4444" s="238"/>
      <c r="I4444" s="237"/>
    </row>
    <row r="4445" spans="1:9" s="232" customFormat="1" ht="17" customHeight="1">
      <c r="A4445" s="234"/>
      <c r="B4445" s="233"/>
      <c r="C4445" s="238"/>
      <c r="E4445" s="545"/>
      <c r="F4445" s="546"/>
      <c r="G4445" s="234"/>
      <c r="H4445" s="238"/>
      <c r="I4445" s="237"/>
    </row>
    <row r="4446" spans="1:9" s="232" customFormat="1" ht="17" customHeight="1">
      <c r="A4446" s="234"/>
      <c r="B4446" s="233"/>
      <c r="C4446" s="238"/>
      <c r="E4446" s="545"/>
      <c r="F4446" s="546"/>
      <c r="G4446" s="234"/>
      <c r="H4446" s="238"/>
      <c r="I4446" s="237"/>
    </row>
    <row r="4447" spans="1:9" s="232" customFormat="1" ht="17" customHeight="1">
      <c r="A4447" s="234"/>
      <c r="B4447" s="233"/>
      <c r="C4447" s="238"/>
      <c r="E4447" s="545"/>
      <c r="F4447" s="546"/>
      <c r="G4447" s="234"/>
      <c r="H4447" s="238"/>
      <c r="I4447" s="237"/>
    </row>
    <row r="4448" spans="1:9" s="232" customFormat="1" ht="17" customHeight="1">
      <c r="A4448" s="234"/>
      <c r="B4448" s="233"/>
      <c r="C4448" s="238"/>
      <c r="E4448" s="545"/>
      <c r="F4448" s="546"/>
      <c r="G4448" s="234"/>
      <c r="H4448" s="238"/>
      <c r="I4448" s="237"/>
    </row>
    <row r="4449" spans="1:9" s="232" customFormat="1" ht="17" customHeight="1">
      <c r="A4449" s="234"/>
      <c r="B4449" s="233"/>
      <c r="C4449" s="238"/>
      <c r="E4449" s="545"/>
      <c r="F4449" s="546"/>
      <c r="G4449" s="234"/>
      <c r="H4449" s="238"/>
      <c r="I4449" s="237"/>
    </row>
    <row r="4450" spans="1:9" s="232" customFormat="1" ht="17" customHeight="1">
      <c r="A4450" s="234"/>
      <c r="B4450" s="233"/>
      <c r="C4450" s="238"/>
      <c r="E4450" s="545"/>
      <c r="F4450" s="546"/>
      <c r="G4450" s="234"/>
      <c r="H4450" s="238"/>
      <c r="I4450" s="237"/>
    </row>
    <row r="4451" spans="1:9" s="232" customFormat="1" ht="17" customHeight="1">
      <c r="A4451" s="234"/>
      <c r="B4451" s="233"/>
      <c r="C4451" s="238"/>
      <c r="E4451" s="545"/>
      <c r="F4451" s="546"/>
      <c r="G4451" s="234"/>
      <c r="H4451" s="238"/>
      <c r="I4451" s="237"/>
    </row>
    <row r="4452" spans="1:9" s="232" customFormat="1" ht="17" customHeight="1">
      <c r="A4452" s="234"/>
      <c r="B4452" s="233"/>
      <c r="C4452" s="238"/>
      <c r="E4452" s="545"/>
      <c r="F4452" s="546"/>
      <c r="G4452" s="234"/>
      <c r="H4452" s="238"/>
      <c r="I4452" s="237"/>
    </row>
    <row r="4453" spans="1:9" s="232" customFormat="1" ht="17" customHeight="1">
      <c r="A4453" s="234"/>
      <c r="B4453" s="233"/>
      <c r="C4453" s="238"/>
      <c r="E4453" s="545"/>
      <c r="F4453" s="546"/>
      <c r="G4453" s="234"/>
      <c r="H4453" s="238"/>
      <c r="I4453" s="237"/>
    </row>
    <row r="4454" spans="1:9" s="232" customFormat="1" ht="17" customHeight="1">
      <c r="A4454" s="234"/>
      <c r="B4454" s="233"/>
      <c r="C4454" s="238"/>
      <c r="E4454" s="545"/>
      <c r="F4454" s="546"/>
      <c r="G4454" s="234"/>
      <c r="H4454" s="238"/>
      <c r="I4454" s="237"/>
    </row>
    <row r="4455" spans="1:9" s="232" customFormat="1" ht="17" customHeight="1">
      <c r="A4455" s="234"/>
      <c r="B4455" s="233"/>
      <c r="C4455" s="238"/>
      <c r="E4455" s="545"/>
      <c r="F4455" s="546"/>
      <c r="G4455" s="234"/>
      <c r="H4455" s="238"/>
      <c r="I4455" s="237"/>
    </row>
    <row r="4456" spans="1:9" s="232" customFormat="1" ht="17" customHeight="1">
      <c r="A4456" s="234"/>
      <c r="B4456" s="233"/>
      <c r="C4456" s="238"/>
      <c r="E4456" s="545"/>
      <c r="F4456" s="546"/>
      <c r="G4456" s="234"/>
      <c r="H4456" s="238"/>
      <c r="I4456" s="237"/>
    </row>
    <row r="4457" spans="1:9" s="232" customFormat="1" ht="17" customHeight="1">
      <c r="A4457" s="234"/>
      <c r="B4457" s="233"/>
      <c r="C4457" s="238"/>
      <c r="E4457" s="545"/>
      <c r="F4457" s="546"/>
      <c r="G4457" s="234"/>
      <c r="H4457" s="238"/>
      <c r="I4457" s="237"/>
    </row>
    <row r="4458" spans="1:9" s="232" customFormat="1" ht="17" customHeight="1">
      <c r="A4458" s="234"/>
      <c r="B4458" s="233"/>
      <c r="C4458" s="238"/>
      <c r="E4458" s="545"/>
      <c r="F4458" s="546"/>
      <c r="G4458" s="234"/>
      <c r="H4458" s="238"/>
      <c r="I4458" s="237"/>
    </row>
    <row r="4459" spans="1:9" s="232" customFormat="1" ht="17" customHeight="1">
      <c r="A4459" s="234"/>
      <c r="B4459" s="233"/>
      <c r="C4459" s="238"/>
      <c r="E4459" s="545"/>
      <c r="F4459" s="546"/>
      <c r="G4459" s="234"/>
      <c r="H4459" s="238"/>
      <c r="I4459" s="237"/>
    </row>
    <row r="4460" spans="1:9" s="232" customFormat="1" ht="17" customHeight="1">
      <c r="A4460" s="234"/>
      <c r="B4460" s="233"/>
      <c r="C4460" s="238"/>
      <c r="E4460" s="545"/>
      <c r="F4460" s="546"/>
      <c r="G4460" s="234"/>
      <c r="H4460" s="238"/>
      <c r="I4460" s="237"/>
    </row>
    <row r="4461" spans="1:9" s="232" customFormat="1" ht="17" customHeight="1">
      <c r="A4461" s="234"/>
      <c r="B4461" s="233"/>
      <c r="C4461" s="238"/>
      <c r="E4461" s="545"/>
      <c r="F4461" s="546"/>
      <c r="G4461" s="234"/>
      <c r="H4461" s="238"/>
      <c r="I4461" s="237"/>
    </row>
    <row r="4462" spans="1:9" s="232" customFormat="1" ht="17" customHeight="1">
      <c r="A4462" s="234"/>
      <c r="B4462" s="233"/>
      <c r="C4462" s="238"/>
      <c r="E4462" s="545"/>
      <c r="F4462" s="546"/>
      <c r="G4462" s="234"/>
      <c r="H4462" s="238"/>
      <c r="I4462" s="237"/>
    </row>
    <row r="4463" spans="1:9" s="232" customFormat="1" ht="17" customHeight="1">
      <c r="A4463" s="234"/>
      <c r="B4463" s="233"/>
      <c r="C4463" s="238"/>
      <c r="E4463" s="545"/>
      <c r="F4463" s="546"/>
      <c r="G4463" s="234"/>
      <c r="H4463" s="238"/>
      <c r="I4463" s="237"/>
    </row>
    <row r="4464" spans="1:9" s="232" customFormat="1" ht="17" customHeight="1">
      <c r="A4464" s="234"/>
      <c r="B4464" s="233"/>
      <c r="C4464" s="238"/>
      <c r="E4464" s="545"/>
      <c r="F4464" s="546"/>
      <c r="G4464" s="234"/>
      <c r="H4464" s="238"/>
      <c r="I4464" s="237"/>
    </row>
    <row r="4465" spans="1:9" s="232" customFormat="1" ht="17" customHeight="1">
      <c r="A4465" s="234"/>
      <c r="B4465" s="233"/>
      <c r="C4465" s="238"/>
      <c r="E4465" s="545"/>
      <c r="F4465" s="546"/>
      <c r="G4465" s="234"/>
      <c r="H4465" s="238"/>
      <c r="I4465" s="237"/>
    </row>
    <row r="4466" spans="1:9" s="232" customFormat="1" ht="17" customHeight="1">
      <c r="A4466" s="234"/>
      <c r="B4466" s="233"/>
      <c r="C4466" s="238"/>
      <c r="E4466" s="545"/>
      <c r="F4466" s="546"/>
      <c r="G4466" s="234"/>
      <c r="H4466" s="238"/>
      <c r="I4466" s="237"/>
    </row>
    <row r="4467" spans="1:9" s="232" customFormat="1" ht="17" customHeight="1">
      <c r="A4467" s="234"/>
      <c r="B4467" s="233"/>
      <c r="C4467" s="238"/>
      <c r="E4467" s="545"/>
      <c r="F4467" s="546"/>
      <c r="G4467" s="234"/>
      <c r="H4467" s="238"/>
      <c r="I4467" s="237"/>
    </row>
    <row r="4468" spans="1:9" s="232" customFormat="1" ht="17" customHeight="1">
      <c r="A4468" s="234"/>
      <c r="B4468" s="233"/>
      <c r="C4468" s="238"/>
      <c r="E4468" s="545"/>
      <c r="F4468" s="546"/>
      <c r="G4468" s="234"/>
      <c r="H4468" s="238"/>
      <c r="I4468" s="237"/>
    </row>
    <row r="4469" spans="1:9" s="232" customFormat="1" ht="17" customHeight="1">
      <c r="A4469" s="234"/>
      <c r="B4469" s="233"/>
      <c r="C4469" s="238"/>
      <c r="E4469" s="545"/>
      <c r="F4469" s="546"/>
      <c r="G4469" s="234"/>
      <c r="H4469" s="238"/>
      <c r="I4469" s="237"/>
    </row>
    <row r="4470" spans="1:9" s="232" customFormat="1" ht="17" customHeight="1">
      <c r="A4470" s="234"/>
      <c r="B4470" s="233"/>
      <c r="C4470" s="238"/>
      <c r="E4470" s="545"/>
      <c r="F4470" s="546"/>
      <c r="G4470" s="234"/>
      <c r="H4470" s="238"/>
      <c r="I4470" s="237"/>
    </row>
    <row r="4471" spans="1:9" s="232" customFormat="1" ht="17" customHeight="1">
      <c r="A4471" s="234"/>
      <c r="B4471" s="233"/>
      <c r="C4471" s="238"/>
      <c r="E4471" s="545"/>
      <c r="F4471" s="546"/>
      <c r="G4471" s="234"/>
      <c r="H4471" s="238"/>
      <c r="I4471" s="237"/>
    </row>
    <row r="4472" spans="1:9" s="232" customFormat="1" ht="17" customHeight="1">
      <c r="A4472" s="234"/>
      <c r="B4472" s="233"/>
      <c r="C4472" s="238"/>
      <c r="E4472" s="545"/>
      <c r="F4472" s="546"/>
      <c r="G4472" s="234"/>
      <c r="H4472" s="238"/>
      <c r="I4472" s="237"/>
    </row>
    <row r="4473" spans="1:9" s="232" customFormat="1" ht="17" customHeight="1">
      <c r="A4473" s="234"/>
      <c r="B4473" s="233"/>
      <c r="C4473" s="238"/>
      <c r="E4473" s="545"/>
      <c r="F4473" s="546"/>
      <c r="G4473" s="234"/>
      <c r="H4473" s="238"/>
      <c r="I4473" s="237"/>
    </row>
    <row r="4474" spans="1:9" s="232" customFormat="1" ht="17" customHeight="1">
      <c r="A4474" s="234"/>
      <c r="B4474" s="233"/>
      <c r="C4474" s="238"/>
      <c r="E4474" s="545"/>
      <c r="F4474" s="546"/>
      <c r="G4474" s="234"/>
      <c r="H4474" s="238"/>
      <c r="I4474" s="237"/>
    </row>
    <row r="4475" spans="1:9" s="232" customFormat="1" ht="17" customHeight="1">
      <c r="A4475" s="234"/>
      <c r="B4475" s="233"/>
      <c r="C4475" s="238"/>
      <c r="E4475" s="545"/>
      <c r="F4475" s="546"/>
      <c r="G4475" s="234"/>
      <c r="H4475" s="238"/>
      <c r="I4475" s="237"/>
    </row>
    <row r="4476" spans="1:9" s="232" customFormat="1" ht="17" customHeight="1">
      <c r="A4476" s="234"/>
      <c r="B4476" s="233"/>
      <c r="C4476" s="238"/>
      <c r="E4476" s="545"/>
      <c r="F4476" s="546"/>
      <c r="G4476" s="234"/>
      <c r="H4476" s="238"/>
      <c r="I4476" s="237"/>
    </row>
    <row r="4477" spans="1:9" s="232" customFormat="1" ht="17" customHeight="1">
      <c r="A4477" s="234"/>
      <c r="B4477" s="233"/>
      <c r="C4477" s="238"/>
      <c r="E4477" s="545"/>
      <c r="F4477" s="546"/>
      <c r="G4477" s="234"/>
      <c r="H4477" s="238"/>
      <c r="I4477" s="237"/>
    </row>
    <row r="4478" spans="1:9" s="232" customFormat="1" ht="17" customHeight="1">
      <c r="A4478" s="234"/>
      <c r="B4478" s="233"/>
      <c r="C4478" s="238"/>
      <c r="E4478" s="545"/>
      <c r="F4478" s="546"/>
      <c r="G4478" s="234"/>
      <c r="H4478" s="238"/>
      <c r="I4478" s="237"/>
    </row>
    <row r="4479" spans="1:9" s="232" customFormat="1" ht="17" customHeight="1">
      <c r="A4479" s="234"/>
      <c r="B4479" s="233"/>
      <c r="C4479" s="238"/>
      <c r="E4479" s="545"/>
      <c r="F4479" s="546"/>
      <c r="G4479" s="234"/>
      <c r="H4479" s="238"/>
      <c r="I4479" s="237"/>
    </row>
    <row r="4480" spans="1:9" s="232" customFormat="1" ht="17" customHeight="1">
      <c r="A4480" s="234"/>
      <c r="B4480" s="233"/>
      <c r="C4480" s="238"/>
      <c r="E4480" s="545"/>
      <c r="F4480" s="546"/>
      <c r="G4480" s="234"/>
      <c r="H4480" s="238"/>
      <c r="I4480" s="237"/>
    </row>
    <row r="4481" spans="1:9" s="232" customFormat="1" ht="17" customHeight="1">
      <c r="A4481" s="234"/>
      <c r="B4481" s="233"/>
      <c r="C4481" s="238"/>
      <c r="E4481" s="545"/>
      <c r="F4481" s="546"/>
      <c r="G4481" s="234"/>
      <c r="H4481" s="238"/>
      <c r="I4481" s="237"/>
    </row>
    <row r="4482" spans="1:9" s="232" customFormat="1" ht="17" customHeight="1">
      <c r="A4482" s="234"/>
      <c r="B4482" s="233"/>
      <c r="C4482" s="238"/>
      <c r="E4482" s="545"/>
      <c r="F4482" s="546"/>
      <c r="G4482" s="234"/>
      <c r="H4482" s="238"/>
      <c r="I4482" s="237"/>
    </row>
    <row r="4483" spans="1:9" s="232" customFormat="1" ht="17" customHeight="1">
      <c r="A4483" s="234"/>
      <c r="B4483" s="233"/>
      <c r="C4483" s="238"/>
      <c r="E4483" s="545"/>
      <c r="F4483" s="546"/>
      <c r="G4483" s="234"/>
      <c r="H4483" s="238"/>
      <c r="I4483" s="237"/>
    </row>
    <row r="4484" spans="1:9" s="232" customFormat="1" ht="17" customHeight="1">
      <c r="A4484" s="234"/>
      <c r="B4484" s="233"/>
      <c r="C4484" s="238"/>
      <c r="E4484" s="545"/>
      <c r="F4484" s="546"/>
      <c r="G4484" s="234"/>
      <c r="H4484" s="238"/>
      <c r="I4484" s="237"/>
    </row>
    <row r="4485" spans="1:9" s="232" customFormat="1" ht="17" customHeight="1">
      <c r="A4485" s="234"/>
      <c r="B4485" s="233"/>
      <c r="C4485" s="238"/>
      <c r="E4485" s="545"/>
      <c r="F4485" s="546"/>
      <c r="G4485" s="234"/>
      <c r="H4485" s="238"/>
      <c r="I4485" s="237"/>
    </row>
    <row r="4486" spans="1:9" s="232" customFormat="1" ht="17" customHeight="1">
      <c r="A4486" s="234"/>
      <c r="B4486" s="233"/>
      <c r="C4486" s="238"/>
      <c r="E4486" s="545"/>
      <c r="F4486" s="546"/>
      <c r="G4486" s="234"/>
      <c r="H4486" s="238"/>
      <c r="I4486" s="237"/>
    </row>
    <row r="4487" spans="1:9" s="232" customFormat="1" ht="17" customHeight="1">
      <c r="A4487" s="234"/>
      <c r="B4487" s="233"/>
      <c r="C4487" s="238"/>
      <c r="E4487" s="545"/>
      <c r="F4487" s="546"/>
      <c r="G4487" s="234"/>
      <c r="H4487" s="238"/>
      <c r="I4487" s="237"/>
    </row>
    <row r="4488" spans="1:9" s="232" customFormat="1" ht="17" customHeight="1">
      <c r="A4488" s="234"/>
      <c r="B4488" s="233"/>
      <c r="C4488" s="238"/>
      <c r="E4488" s="545"/>
      <c r="F4488" s="546"/>
      <c r="G4488" s="234"/>
      <c r="H4488" s="238"/>
      <c r="I4488" s="237"/>
    </row>
    <row r="4489" spans="1:9" s="232" customFormat="1" ht="17" customHeight="1">
      <c r="A4489" s="234"/>
      <c r="B4489" s="233"/>
      <c r="C4489" s="238"/>
      <c r="E4489" s="545"/>
      <c r="F4489" s="546"/>
      <c r="G4489" s="234"/>
      <c r="H4489" s="238"/>
      <c r="I4489" s="237"/>
    </row>
    <row r="4490" spans="1:9" s="232" customFormat="1" ht="17" customHeight="1">
      <c r="A4490" s="234"/>
      <c r="B4490" s="233"/>
      <c r="C4490" s="238"/>
      <c r="E4490" s="545"/>
      <c r="F4490" s="546"/>
      <c r="G4490" s="234"/>
      <c r="H4490" s="238"/>
      <c r="I4490" s="237"/>
    </row>
    <row r="4491" spans="1:9" s="232" customFormat="1" ht="17" customHeight="1">
      <c r="A4491" s="234"/>
      <c r="B4491" s="233"/>
      <c r="C4491" s="238"/>
      <c r="E4491" s="545"/>
      <c r="F4491" s="546"/>
      <c r="G4491" s="234"/>
      <c r="H4491" s="238"/>
      <c r="I4491" s="237"/>
    </row>
    <row r="4492" spans="1:9" s="232" customFormat="1" ht="17" customHeight="1">
      <c r="A4492" s="234"/>
      <c r="B4492" s="233"/>
      <c r="C4492" s="238"/>
      <c r="E4492" s="545"/>
      <c r="F4492" s="546"/>
      <c r="G4492" s="234"/>
      <c r="H4492" s="238"/>
      <c r="I4492" s="237"/>
    </row>
    <row r="4493" spans="1:9" s="232" customFormat="1" ht="17" customHeight="1">
      <c r="A4493" s="234"/>
      <c r="B4493" s="233"/>
      <c r="C4493" s="238"/>
      <c r="E4493" s="545"/>
      <c r="F4493" s="546"/>
      <c r="G4493" s="234"/>
      <c r="H4493" s="238"/>
      <c r="I4493" s="237"/>
    </row>
    <row r="4494" spans="1:9" s="232" customFormat="1" ht="17" customHeight="1">
      <c r="A4494" s="234"/>
      <c r="B4494" s="233"/>
      <c r="C4494" s="238"/>
      <c r="E4494" s="545"/>
      <c r="F4494" s="546"/>
      <c r="G4494" s="234"/>
      <c r="H4494" s="238"/>
      <c r="I4494" s="237"/>
    </row>
    <row r="4495" spans="1:9" s="232" customFormat="1" ht="17" customHeight="1">
      <c r="A4495" s="234"/>
      <c r="B4495" s="233"/>
      <c r="C4495" s="238"/>
      <c r="E4495" s="545"/>
      <c r="F4495" s="546"/>
      <c r="G4495" s="234"/>
      <c r="H4495" s="238"/>
      <c r="I4495" s="237"/>
    </row>
    <row r="4496" spans="1:9" s="232" customFormat="1" ht="17" customHeight="1">
      <c r="A4496" s="234"/>
      <c r="B4496" s="233"/>
      <c r="C4496" s="238"/>
      <c r="E4496" s="545"/>
      <c r="F4496" s="546"/>
      <c r="G4496" s="234"/>
      <c r="H4496" s="238"/>
      <c r="I4496" s="237"/>
    </row>
    <row r="4497" spans="1:9" s="232" customFormat="1" ht="17" customHeight="1">
      <c r="A4497" s="234"/>
      <c r="B4497" s="233"/>
      <c r="C4497" s="238"/>
      <c r="E4497" s="545"/>
      <c r="F4497" s="546"/>
      <c r="G4497" s="234"/>
      <c r="H4497" s="238"/>
      <c r="I4497" s="237"/>
    </row>
    <row r="4498" spans="1:9" s="232" customFormat="1" ht="17" customHeight="1">
      <c r="A4498" s="234"/>
      <c r="B4498" s="233"/>
      <c r="C4498" s="238"/>
      <c r="E4498" s="545"/>
      <c r="F4498" s="546"/>
      <c r="G4498" s="234"/>
      <c r="H4498" s="238"/>
      <c r="I4498" s="237"/>
    </row>
    <row r="4499" spans="1:9" s="232" customFormat="1" ht="17" customHeight="1">
      <c r="A4499" s="234"/>
      <c r="B4499" s="233"/>
      <c r="C4499" s="238"/>
      <c r="E4499" s="545"/>
      <c r="F4499" s="546"/>
      <c r="G4499" s="234"/>
      <c r="H4499" s="238"/>
      <c r="I4499" s="237"/>
    </row>
    <row r="4500" spans="1:9" s="232" customFormat="1" ht="17" customHeight="1">
      <c r="A4500" s="234"/>
      <c r="B4500" s="233"/>
      <c r="C4500" s="238"/>
      <c r="E4500" s="545"/>
      <c r="F4500" s="546"/>
      <c r="G4500" s="234"/>
      <c r="H4500" s="238"/>
      <c r="I4500" s="237"/>
    </row>
    <row r="4501" spans="1:9" s="232" customFormat="1" ht="17" customHeight="1">
      <c r="A4501" s="234"/>
      <c r="B4501" s="233"/>
      <c r="C4501" s="238"/>
      <c r="E4501" s="545"/>
      <c r="F4501" s="546"/>
      <c r="G4501" s="234"/>
      <c r="H4501" s="238"/>
      <c r="I4501" s="237"/>
    </row>
    <row r="4502" spans="1:9" s="232" customFormat="1" ht="17" customHeight="1">
      <c r="A4502" s="234"/>
      <c r="B4502" s="233"/>
      <c r="C4502" s="238"/>
      <c r="E4502" s="545"/>
      <c r="F4502" s="546"/>
      <c r="G4502" s="234"/>
      <c r="H4502" s="238"/>
      <c r="I4502" s="237"/>
    </row>
    <row r="4503" spans="1:9" s="232" customFormat="1" ht="17" customHeight="1">
      <c r="A4503" s="234"/>
      <c r="B4503" s="233"/>
      <c r="C4503" s="238"/>
      <c r="E4503" s="545"/>
      <c r="F4503" s="546"/>
      <c r="G4503" s="234"/>
      <c r="H4503" s="238"/>
      <c r="I4503" s="237"/>
    </row>
    <row r="4504" spans="1:9" s="232" customFormat="1" ht="17" customHeight="1">
      <c r="A4504" s="234"/>
      <c r="B4504" s="233"/>
      <c r="C4504" s="238"/>
      <c r="E4504" s="545"/>
      <c r="F4504" s="546"/>
      <c r="G4504" s="234"/>
      <c r="H4504" s="238"/>
      <c r="I4504" s="237"/>
    </row>
    <row r="4505" spans="1:9" s="232" customFormat="1" ht="17" customHeight="1">
      <c r="A4505" s="234"/>
      <c r="B4505" s="233"/>
      <c r="C4505" s="238"/>
      <c r="E4505" s="545"/>
      <c r="F4505" s="546"/>
      <c r="G4505" s="234"/>
      <c r="H4505" s="238"/>
      <c r="I4505" s="237"/>
    </row>
    <row r="4506" spans="1:9" s="232" customFormat="1" ht="17" customHeight="1">
      <c r="A4506" s="234"/>
      <c r="B4506" s="233"/>
      <c r="C4506" s="238"/>
      <c r="E4506" s="545"/>
      <c r="F4506" s="546"/>
      <c r="G4506" s="234"/>
      <c r="H4506" s="238"/>
      <c r="I4506" s="237"/>
    </row>
    <row r="4507" spans="1:9" s="232" customFormat="1" ht="17" customHeight="1">
      <c r="A4507" s="234"/>
      <c r="B4507" s="233"/>
      <c r="C4507" s="238"/>
      <c r="E4507" s="545"/>
      <c r="F4507" s="546"/>
      <c r="G4507" s="234"/>
      <c r="H4507" s="238"/>
      <c r="I4507" s="237"/>
    </row>
    <row r="4508" spans="1:9" s="232" customFormat="1" ht="17" customHeight="1">
      <c r="A4508" s="234"/>
      <c r="B4508" s="233"/>
      <c r="C4508" s="238"/>
      <c r="E4508" s="545"/>
      <c r="F4508" s="546"/>
      <c r="G4508" s="234"/>
      <c r="H4508" s="238"/>
      <c r="I4508" s="237"/>
    </row>
    <row r="4509" spans="1:9" s="232" customFormat="1" ht="17" customHeight="1">
      <c r="A4509" s="234"/>
      <c r="B4509" s="233"/>
      <c r="C4509" s="238"/>
      <c r="E4509" s="545"/>
      <c r="F4509" s="546"/>
      <c r="G4509" s="234"/>
      <c r="H4509" s="238"/>
      <c r="I4509" s="237"/>
    </row>
    <row r="4510" spans="1:9" s="232" customFormat="1" ht="17" customHeight="1">
      <c r="A4510" s="234"/>
      <c r="B4510" s="233"/>
      <c r="C4510" s="238"/>
      <c r="E4510" s="545"/>
      <c r="F4510" s="546"/>
      <c r="G4510" s="234"/>
      <c r="H4510" s="238"/>
      <c r="I4510" s="237"/>
    </row>
    <row r="4511" spans="1:9" s="232" customFormat="1" ht="17" customHeight="1">
      <c r="A4511" s="234"/>
      <c r="B4511" s="233"/>
      <c r="C4511" s="238"/>
      <c r="E4511" s="545"/>
      <c r="F4511" s="546"/>
      <c r="G4511" s="234"/>
      <c r="H4511" s="238"/>
      <c r="I4511" s="237"/>
    </row>
    <row r="4512" spans="1:9" s="232" customFormat="1" ht="17" customHeight="1">
      <c r="A4512" s="234"/>
      <c r="B4512" s="233"/>
      <c r="C4512" s="238"/>
      <c r="E4512" s="545"/>
      <c r="F4512" s="546"/>
      <c r="G4512" s="234"/>
      <c r="H4512" s="238"/>
      <c r="I4512" s="237"/>
    </row>
    <row r="4513" spans="1:9" s="232" customFormat="1" ht="17" customHeight="1">
      <c r="A4513" s="234"/>
      <c r="B4513" s="233"/>
      <c r="C4513" s="238"/>
      <c r="E4513" s="545"/>
      <c r="F4513" s="546"/>
      <c r="G4513" s="234"/>
      <c r="H4513" s="238"/>
      <c r="I4513" s="237"/>
    </row>
    <row r="4514" spans="1:9" s="232" customFormat="1" ht="17" customHeight="1">
      <c r="A4514" s="234"/>
      <c r="B4514" s="233"/>
      <c r="C4514" s="238"/>
      <c r="E4514" s="545"/>
      <c r="F4514" s="546"/>
      <c r="G4514" s="234"/>
      <c r="H4514" s="238"/>
      <c r="I4514" s="237"/>
    </row>
    <row r="4515" spans="1:9" s="232" customFormat="1" ht="17" customHeight="1">
      <c r="A4515" s="234"/>
      <c r="B4515" s="233"/>
      <c r="C4515" s="238"/>
      <c r="E4515" s="545"/>
      <c r="F4515" s="546"/>
      <c r="G4515" s="234"/>
      <c r="H4515" s="238"/>
      <c r="I4515" s="237"/>
    </row>
    <row r="4516" spans="1:9" s="232" customFormat="1" ht="17" customHeight="1">
      <c r="A4516" s="234"/>
      <c r="B4516" s="233"/>
      <c r="C4516" s="238"/>
      <c r="E4516" s="545"/>
      <c r="F4516" s="546"/>
      <c r="G4516" s="234"/>
      <c r="H4516" s="238"/>
      <c r="I4516" s="237"/>
    </row>
    <row r="4517" spans="1:9" s="232" customFormat="1" ht="17" customHeight="1">
      <c r="A4517" s="234"/>
      <c r="B4517" s="233"/>
      <c r="C4517" s="238"/>
      <c r="E4517" s="545"/>
      <c r="F4517" s="546"/>
      <c r="G4517" s="234"/>
      <c r="H4517" s="238"/>
      <c r="I4517" s="237"/>
    </row>
    <row r="4518" spans="1:9" s="232" customFormat="1" ht="17" customHeight="1">
      <c r="A4518" s="234"/>
      <c r="B4518" s="233"/>
      <c r="C4518" s="238"/>
      <c r="E4518" s="545"/>
      <c r="F4518" s="546"/>
      <c r="G4518" s="234"/>
      <c r="H4518" s="238"/>
      <c r="I4518" s="237"/>
    </row>
    <row r="4519" spans="1:9" s="232" customFormat="1" ht="17" customHeight="1">
      <c r="A4519" s="234"/>
      <c r="B4519" s="233"/>
      <c r="C4519" s="238"/>
      <c r="E4519" s="545"/>
      <c r="F4519" s="546"/>
      <c r="G4519" s="234"/>
      <c r="H4519" s="238"/>
      <c r="I4519" s="237"/>
    </row>
    <row r="4520" spans="1:9" s="232" customFormat="1" ht="17" customHeight="1">
      <c r="A4520" s="234"/>
      <c r="B4520" s="233"/>
      <c r="C4520" s="238"/>
      <c r="E4520" s="545"/>
      <c r="F4520" s="546"/>
      <c r="G4520" s="234"/>
      <c r="H4520" s="238"/>
      <c r="I4520" s="237"/>
    </row>
    <row r="4521" spans="1:9" s="232" customFormat="1" ht="17" customHeight="1">
      <c r="A4521" s="234"/>
      <c r="B4521" s="233"/>
      <c r="C4521" s="238"/>
      <c r="E4521" s="545"/>
      <c r="F4521" s="546"/>
      <c r="G4521" s="234"/>
      <c r="H4521" s="238"/>
      <c r="I4521" s="237"/>
    </row>
    <row r="4522" spans="1:9" s="232" customFormat="1" ht="17" customHeight="1">
      <c r="A4522" s="234"/>
      <c r="B4522" s="233"/>
      <c r="C4522" s="238"/>
      <c r="E4522" s="545"/>
      <c r="F4522" s="546"/>
      <c r="G4522" s="234"/>
      <c r="H4522" s="238"/>
      <c r="I4522" s="237"/>
    </row>
    <row r="4523" spans="1:9" s="232" customFormat="1" ht="17" customHeight="1">
      <c r="A4523" s="234"/>
      <c r="B4523" s="233"/>
      <c r="C4523" s="238"/>
      <c r="E4523" s="545"/>
      <c r="F4523" s="546"/>
      <c r="G4523" s="234"/>
      <c r="H4523" s="238"/>
      <c r="I4523" s="237"/>
    </row>
    <row r="4524" spans="1:9" s="232" customFormat="1" ht="17" customHeight="1">
      <c r="A4524" s="234"/>
      <c r="B4524" s="233"/>
      <c r="C4524" s="238"/>
      <c r="E4524" s="545"/>
      <c r="F4524" s="546"/>
      <c r="G4524" s="234"/>
      <c r="H4524" s="238"/>
      <c r="I4524" s="237"/>
    </row>
    <row r="4525" spans="1:9" s="232" customFormat="1" ht="17" customHeight="1">
      <c r="A4525" s="234"/>
      <c r="B4525" s="233"/>
      <c r="C4525" s="238"/>
      <c r="E4525" s="545"/>
      <c r="F4525" s="546"/>
      <c r="G4525" s="234"/>
      <c r="H4525" s="238"/>
      <c r="I4525" s="237"/>
    </row>
    <row r="4526" spans="1:9" s="232" customFormat="1" ht="17" customHeight="1">
      <c r="A4526" s="234"/>
      <c r="B4526" s="233"/>
      <c r="C4526" s="238"/>
      <c r="E4526" s="545"/>
      <c r="F4526" s="546"/>
      <c r="G4526" s="234"/>
      <c r="H4526" s="238"/>
      <c r="I4526" s="237"/>
    </row>
    <row r="4527" spans="1:9" s="232" customFormat="1" ht="17" customHeight="1">
      <c r="A4527" s="234"/>
      <c r="B4527" s="233"/>
      <c r="C4527" s="238"/>
      <c r="E4527" s="545"/>
      <c r="F4527" s="546"/>
      <c r="G4527" s="234"/>
      <c r="H4527" s="238"/>
      <c r="I4527" s="237"/>
    </row>
    <row r="4528" spans="1:9" s="232" customFormat="1" ht="17" customHeight="1">
      <c r="A4528" s="234"/>
      <c r="B4528" s="233"/>
      <c r="C4528" s="238"/>
      <c r="E4528" s="545"/>
      <c r="F4528" s="546"/>
      <c r="G4528" s="234"/>
      <c r="H4528" s="238"/>
      <c r="I4528" s="237"/>
    </row>
    <row r="4529" spans="1:9" s="232" customFormat="1" ht="17" customHeight="1">
      <c r="A4529" s="234"/>
      <c r="B4529" s="233"/>
      <c r="C4529" s="238"/>
      <c r="E4529" s="545"/>
      <c r="F4529" s="546"/>
      <c r="G4529" s="234"/>
      <c r="H4529" s="238"/>
      <c r="I4529" s="237"/>
    </row>
    <row r="4530" spans="1:9" s="232" customFormat="1" ht="17" customHeight="1">
      <c r="A4530" s="234"/>
      <c r="B4530" s="233"/>
      <c r="C4530" s="238"/>
      <c r="E4530" s="545"/>
      <c r="F4530" s="546"/>
      <c r="G4530" s="234"/>
      <c r="H4530" s="238"/>
      <c r="I4530" s="237"/>
    </row>
    <row r="4531" spans="1:9" s="232" customFormat="1" ht="17" customHeight="1">
      <c r="A4531" s="234"/>
      <c r="B4531" s="233"/>
      <c r="C4531" s="238"/>
      <c r="E4531" s="545"/>
      <c r="F4531" s="546"/>
      <c r="G4531" s="234"/>
      <c r="H4531" s="238"/>
      <c r="I4531" s="237"/>
    </row>
    <row r="4532" spans="1:9" s="232" customFormat="1" ht="17" customHeight="1">
      <c r="A4532" s="234"/>
      <c r="B4532" s="233"/>
      <c r="C4532" s="238"/>
      <c r="E4532" s="545"/>
      <c r="F4532" s="546"/>
      <c r="G4532" s="234"/>
      <c r="H4532" s="238"/>
      <c r="I4532" s="237"/>
    </row>
    <row r="4533" spans="1:9" s="232" customFormat="1" ht="17" customHeight="1">
      <c r="A4533" s="234"/>
      <c r="B4533" s="233"/>
      <c r="C4533" s="238"/>
      <c r="E4533" s="545"/>
      <c r="F4533" s="546"/>
      <c r="G4533" s="234"/>
      <c r="H4533" s="238"/>
      <c r="I4533" s="237"/>
    </row>
    <row r="4534" spans="1:9" s="232" customFormat="1" ht="17" customHeight="1">
      <c r="A4534" s="234"/>
      <c r="B4534" s="233"/>
      <c r="C4534" s="238"/>
      <c r="E4534" s="545"/>
      <c r="F4534" s="546"/>
      <c r="G4534" s="234"/>
      <c r="H4534" s="238"/>
      <c r="I4534" s="237"/>
    </row>
    <row r="4535" spans="1:9" s="232" customFormat="1" ht="17" customHeight="1">
      <c r="A4535" s="234"/>
      <c r="B4535" s="233"/>
      <c r="C4535" s="238"/>
      <c r="E4535" s="545"/>
      <c r="F4535" s="546"/>
      <c r="G4535" s="234"/>
      <c r="H4535" s="238"/>
      <c r="I4535" s="237"/>
    </row>
    <row r="4536" spans="1:9" s="232" customFormat="1" ht="17" customHeight="1">
      <c r="A4536" s="234"/>
      <c r="B4536" s="233"/>
      <c r="C4536" s="238"/>
      <c r="E4536" s="545"/>
      <c r="F4536" s="546"/>
      <c r="G4536" s="234"/>
      <c r="H4536" s="238"/>
      <c r="I4536" s="237"/>
    </row>
    <row r="4537" spans="1:9" s="232" customFormat="1" ht="17" customHeight="1">
      <c r="A4537" s="234"/>
      <c r="B4537" s="233"/>
      <c r="C4537" s="238"/>
      <c r="E4537" s="545"/>
      <c r="F4537" s="546"/>
      <c r="G4537" s="234"/>
      <c r="H4537" s="238"/>
      <c r="I4537" s="237"/>
    </row>
    <row r="4538" spans="1:9" s="232" customFormat="1" ht="17" customHeight="1">
      <c r="A4538" s="234"/>
      <c r="B4538" s="233"/>
      <c r="C4538" s="238"/>
      <c r="E4538" s="545"/>
      <c r="F4538" s="546"/>
      <c r="G4538" s="234"/>
      <c r="H4538" s="238"/>
      <c r="I4538" s="237"/>
    </row>
    <row r="4539" spans="1:9" s="232" customFormat="1" ht="17" customHeight="1">
      <c r="A4539" s="234"/>
      <c r="B4539" s="233"/>
      <c r="C4539" s="238"/>
      <c r="E4539" s="545"/>
      <c r="F4539" s="546"/>
      <c r="G4539" s="234"/>
      <c r="H4539" s="238"/>
      <c r="I4539" s="237"/>
    </row>
    <row r="4540" spans="1:9" s="232" customFormat="1" ht="17" customHeight="1">
      <c r="A4540" s="234"/>
      <c r="B4540" s="233"/>
      <c r="C4540" s="238"/>
      <c r="E4540" s="545"/>
      <c r="F4540" s="546"/>
      <c r="G4540" s="234"/>
      <c r="H4540" s="238"/>
      <c r="I4540" s="237"/>
    </row>
    <row r="4541" spans="1:9" s="232" customFormat="1" ht="17" customHeight="1">
      <c r="A4541" s="234"/>
      <c r="B4541" s="233"/>
      <c r="C4541" s="238"/>
      <c r="E4541" s="545"/>
      <c r="F4541" s="546"/>
      <c r="G4541" s="234"/>
      <c r="H4541" s="238"/>
      <c r="I4541" s="237"/>
    </row>
    <row r="4542" spans="1:9" s="232" customFormat="1" ht="17" customHeight="1">
      <c r="A4542" s="234"/>
      <c r="B4542" s="233"/>
      <c r="C4542" s="238"/>
      <c r="E4542" s="545"/>
      <c r="F4542" s="546"/>
      <c r="G4542" s="234"/>
      <c r="H4542" s="238"/>
      <c r="I4542" s="237"/>
    </row>
    <row r="4543" spans="1:9" s="232" customFormat="1" ht="17" customHeight="1">
      <c r="A4543" s="234"/>
      <c r="B4543" s="233"/>
      <c r="C4543" s="238"/>
      <c r="E4543" s="545"/>
      <c r="F4543" s="546"/>
      <c r="G4543" s="234"/>
      <c r="H4543" s="238"/>
      <c r="I4543" s="237"/>
    </row>
    <row r="4544" spans="1:9" s="232" customFormat="1" ht="17" customHeight="1">
      <c r="A4544" s="234"/>
      <c r="B4544" s="233"/>
      <c r="C4544" s="238"/>
      <c r="E4544" s="545"/>
      <c r="F4544" s="546"/>
      <c r="G4544" s="234"/>
      <c r="H4544" s="238"/>
      <c r="I4544" s="237"/>
    </row>
    <row r="4545" spans="1:9" s="232" customFormat="1" ht="17" customHeight="1">
      <c r="A4545" s="234"/>
      <c r="B4545" s="233"/>
      <c r="C4545" s="238"/>
      <c r="E4545" s="545"/>
      <c r="F4545" s="546"/>
      <c r="G4545" s="234"/>
      <c r="H4545" s="238"/>
      <c r="I4545" s="237"/>
    </row>
    <row r="4546" spans="1:9" s="232" customFormat="1" ht="17" customHeight="1">
      <c r="A4546" s="234"/>
      <c r="B4546" s="233"/>
      <c r="C4546" s="238"/>
      <c r="E4546" s="545"/>
      <c r="F4546" s="546"/>
      <c r="G4546" s="234"/>
      <c r="H4546" s="238"/>
      <c r="I4546" s="237"/>
    </row>
    <row r="4547" spans="1:9" s="232" customFormat="1" ht="17" customHeight="1">
      <c r="A4547" s="234"/>
      <c r="B4547" s="233"/>
      <c r="C4547" s="238"/>
      <c r="E4547" s="545"/>
      <c r="F4547" s="546"/>
      <c r="G4547" s="234"/>
      <c r="H4547" s="238"/>
      <c r="I4547" s="237"/>
    </row>
    <row r="4548" spans="1:9" s="232" customFormat="1" ht="17" customHeight="1">
      <c r="A4548" s="234"/>
      <c r="B4548" s="233"/>
      <c r="C4548" s="238"/>
      <c r="E4548" s="545"/>
      <c r="F4548" s="546"/>
      <c r="G4548" s="234"/>
      <c r="H4548" s="238"/>
      <c r="I4548" s="237"/>
    </row>
    <row r="4549" spans="1:9" s="232" customFormat="1" ht="17" customHeight="1">
      <c r="A4549" s="234"/>
      <c r="B4549" s="233"/>
      <c r="C4549" s="238"/>
      <c r="E4549" s="545"/>
      <c r="F4549" s="546"/>
      <c r="G4549" s="234"/>
      <c r="H4549" s="238"/>
      <c r="I4549" s="237"/>
    </row>
    <row r="4550" spans="1:9" s="232" customFormat="1" ht="17" customHeight="1">
      <c r="A4550" s="234"/>
      <c r="B4550" s="233"/>
      <c r="C4550" s="238"/>
      <c r="E4550" s="545"/>
      <c r="F4550" s="546"/>
      <c r="G4550" s="234"/>
      <c r="H4550" s="238"/>
      <c r="I4550" s="237"/>
    </row>
    <row r="4551" spans="1:9" s="232" customFormat="1" ht="17" customHeight="1">
      <c r="A4551" s="234"/>
      <c r="B4551" s="233"/>
      <c r="C4551" s="238"/>
      <c r="E4551" s="545"/>
      <c r="F4551" s="546"/>
      <c r="G4551" s="234"/>
      <c r="H4551" s="238"/>
      <c r="I4551" s="237"/>
    </row>
    <row r="4552" spans="1:9" s="232" customFormat="1" ht="17" customHeight="1">
      <c r="A4552" s="234"/>
      <c r="B4552" s="233"/>
      <c r="C4552" s="238"/>
      <c r="E4552" s="545"/>
      <c r="F4552" s="546"/>
      <c r="G4552" s="234"/>
      <c r="H4552" s="238"/>
      <c r="I4552" s="237"/>
    </row>
    <row r="4553" spans="1:9" s="232" customFormat="1" ht="17" customHeight="1">
      <c r="A4553" s="234"/>
      <c r="B4553" s="233"/>
      <c r="C4553" s="238"/>
      <c r="E4553" s="545"/>
      <c r="F4553" s="546"/>
      <c r="G4553" s="234"/>
      <c r="H4553" s="238"/>
      <c r="I4553" s="237"/>
    </row>
    <row r="4554" spans="1:9" s="232" customFormat="1" ht="17" customHeight="1">
      <c r="A4554" s="234"/>
      <c r="B4554" s="233"/>
      <c r="C4554" s="238"/>
      <c r="E4554" s="545"/>
      <c r="F4554" s="546"/>
      <c r="G4554" s="234"/>
      <c r="H4554" s="238"/>
      <c r="I4554" s="237"/>
    </row>
    <row r="4555" spans="1:9" s="232" customFormat="1" ht="17" customHeight="1">
      <c r="A4555" s="234"/>
      <c r="B4555" s="233"/>
      <c r="C4555" s="238"/>
      <c r="E4555" s="545"/>
      <c r="F4555" s="546"/>
      <c r="G4555" s="234"/>
      <c r="H4555" s="238"/>
      <c r="I4555" s="237"/>
    </row>
    <row r="4556" spans="1:9" s="232" customFormat="1" ht="17" customHeight="1">
      <c r="A4556" s="234"/>
      <c r="B4556" s="233"/>
      <c r="C4556" s="238"/>
      <c r="E4556" s="545"/>
      <c r="F4556" s="546"/>
      <c r="G4556" s="234"/>
      <c r="H4556" s="238"/>
      <c r="I4556" s="237"/>
    </row>
    <row r="4557" spans="1:9" s="232" customFormat="1" ht="17" customHeight="1">
      <c r="A4557" s="234"/>
      <c r="B4557" s="233"/>
      <c r="C4557" s="238"/>
      <c r="E4557" s="545"/>
      <c r="F4557" s="546"/>
      <c r="G4557" s="234"/>
      <c r="H4557" s="238"/>
      <c r="I4557" s="237"/>
    </row>
    <row r="4558" spans="1:9" s="232" customFormat="1" ht="17" customHeight="1">
      <c r="A4558" s="234"/>
      <c r="B4558" s="233"/>
      <c r="C4558" s="238"/>
      <c r="E4558" s="545"/>
      <c r="F4558" s="546"/>
      <c r="G4558" s="234"/>
      <c r="H4558" s="238"/>
      <c r="I4558" s="237"/>
    </row>
    <row r="4559" spans="1:9" s="232" customFormat="1" ht="17" customHeight="1">
      <c r="A4559" s="234"/>
      <c r="B4559" s="233"/>
      <c r="C4559" s="238"/>
      <c r="E4559" s="545"/>
      <c r="F4559" s="546"/>
      <c r="G4559" s="234"/>
      <c r="H4559" s="238"/>
      <c r="I4559" s="237"/>
    </row>
    <row r="4560" spans="1:9" s="232" customFormat="1" ht="17" customHeight="1">
      <c r="A4560" s="234"/>
      <c r="B4560" s="233"/>
      <c r="C4560" s="238"/>
      <c r="E4560" s="545"/>
      <c r="F4560" s="546"/>
      <c r="G4560" s="234"/>
      <c r="H4560" s="238"/>
      <c r="I4560" s="237"/>
    </row>
    <row r="4561" spans="1:9" s="232" customFormat="1" ht="17" customHeight="1">
      <c r="A4561" s="234"/>
      <c r="B4561" s="233"/>
      <c r="C4561" s="238"/>
      <c r="E4561" s="545"/>
      <c r="F4561" s="546"/>
      <c r="G4561" s="234"/>
      <c r="H4561" s="238"/>
      <c r="I4561" s="237"/>
    </row>
    <row r="4562" spans="1:9" s="232" customFormat="1" ht="17" customHeight="1">
      <c r="A4562" s="234"/>
      <c r="B4562" s="233"/>
      <c r="C4562" s="238"/>
      <c r="E4562" s="545"/>
      <c r="F4562" s="546"/>
      <c r="G4562" s="234"/>
      <c r="H4562" s="238"/>
      <c r="I4562" s="237"/>
    </row>
    <row r="4563" spans="1:9" s="232" customFormat="1" ht="17" customHeight="1">
      <c r="A4563" s="234"/>
      <c r="B4563" s="233"/>
      <c r="C4563" s="238"/>
      <c r="E4563" s="545"/>
      <c r="F4563" s="546"/>
      <c r="G4563" s="234"/>
      <c r="H4563" s="238"/>
      <c r="I4563" s="237"/>
    </row>
    <row r="4564" spans="1:9" s="232" customFormat="1" ht="17" customHeight="1">
      <c r="A4564" s="234"/>
      <c r="B4564" s="233"/>
      <c r="C4564" s="238"/>
      <c r="E4564" s="545"/>
      <c r="F4564" s="546"/>
      <c r="G4564" s="234"/>
      <c r="H4564" s="238"/>
      <c r="I4564" s="237"/>
    </row>
    <row r="4565" spans="1:9" s="232" customFormat="1" ht="17" customHeight="1">
      <c r="A4565" s="234"/>
      <c r="B4565" s="233"/>
      <c r="C4565" s="238"/>
      <c r="E4565" s="545"/>
      <c r="F4565" s="546"/>
      <c r="G4565" s="234"/>
      <c r="H4565" s="238"/>
      <c r="I4565" s="237"/>
    </row>
    <row r="4566" spans="1:9" s="232" customFormat="1" ht="17" customHeight="1">
      <c r="A4566" s="234"/>
      <c r="B4566" s="233"/>
      <c r="C4566" s="238"/>
      <c r="E4566" s="545"/>
      <c r="F4566" s="546"/>
      <c r="G4566" s="234"/>
      <c r="H4566" s="238"/>
      <c r="I4566" s="237"/>
    </row>
    <row r="4567" spans="1:9" s="232" customFormat="1" ht="17" customHeight="1">
      <c r="A4567" s="234"/>
      <c r="B4567" s="233"/>
      <c r="C4567" s="238"/>
      <c r="E4567" s="545"/>
      <c r="F4567" s="546"/>
      <c r="G4567" s="234"/>
      <c r="H4567" s="238"/>
      <c r="I4567" s="237"/>
    </row>
    <row r="4568" spans="1:9" s="232" customFormat="1" ht="17" customHeight="1">
      <c r="A4568" s="234"/>
      <c r="B4568" s="233"/>
      <c r="C4568" s="238"/>
      <c r="E4568" s="545"/>
      <c r="F4568" s="546"/>
      <c r="G4568" s="234"/>
      <c r="H4568" s="238"/>
      <c r="I4568" s="237"/>
    </row>
    <row r="4569" spans="1:9" s="232" customFormat="1" ht="17" customHeight="1">
      <c r="A4569" s="234"/>
      <c r="B4569" s="233"/>
      <c r="C4569" s="238"/>
      <c r="E4569" s="545"/>
      <c r="F4569" s="546"/>
      <c r="G4569" s="234"/>
      <c r="H4569" s="238"/>
      <c r="I4569" s="237"/>
    </row>
    <row r="4570" spans="1:9" s="232" customFormat="1" ht="17" customHeight="1">
      <c r="A4570" s="234"/>
      <c r="B4570" s="233"/>
      <c r="C4570" s="238"/>
      <c r="E4570" s="545"/>
      <c r="F4570" s="546"/>
      <c r="G4570" s="234"/>
      <c r="H4570" s="238"/>
      <c r="I4570" s="237"/>
    </row>
    <row r="4571" spans="1:9" s="232" customFormat="1" ht="17" customHeight="1">
      <c r="A4571" s="234"/>
      <c r="B4571" s="233"/>
      <c r="C4571" s="238"/>
      <c r="E4571" s="545"/>
      <c r="F4571" s="546"/>
      <c r="G4571" s="234"/>
      <c r="H4571" s="238"/>
      <c r="I4571" s="237"/>
    </row>
    <row r="4572" spans="1:9" s="232" customFormat="1" ht="17" customHeight="1">
      <c r="A4572" s="234"/>
      <c r="B4572" s="233"/>
      <c r="C4572" s="238"/>
      <c r="E4572" s="545"/>
      <c r="F4572" s="546"/>
      <c r="G4572" s="234"/>
      <c r="H4572" s="238"/>
      <c r="I4572" s="237"/>
    </row>
    <row r="4573" spans="1:9" s="232" customFormat="1" ht="17" customHeight="1">
      <c r="A4573" s="234"/>
      <c r="B4573" s="233"/>
      <c r="C4573" s="238"/>
      <c r="E4573" s="545"/>
      <c r="F4573" s="546"/>
      <c r="G4573" s="234"/>
      <c r="H4573" s="238"/>
      <c r="I4573" s="237"/>
    </row>
    <row r="4574" spans="1:9" s="232" customFormat="1" ht="17" customHeight="1">
      <c r="A4574" s="234"/>
      <c r="B4574" s="233"/>
      <c r="C4574" s="238"/>
      <c r="E4574" s="545"/>
      <c r="F4574" s="546"/>
      <c r="G4574" s="234"/>
      <c r="H4574" s="238"/>
      <c r="I4574" s="237"/>
    </row>
    <row r="4575" spans="1:9" s="232" customFormat="1" ht="17" customHeight="1">
      <c r="A4575" s="234"/>
      <c r="B4575" s="233"/>
      <c r="C4575" s="238"/>
      <c r="E4575" s="545"/>
      <c r="F4575" s="546"/>
      <c r="G4575" s="234"/>
      <c r="H4575" s="238"/>
      <c r="I4575" s="237"/>
    </row>
    <row r="4576" spans="1:9" s="232" customFormat="1" ht="17" customHeight="1">
      <c r="A4576" s="234"/>
      <c r="B4576" s="233"/>
      <c r="C4576" s="238"/>
      <c r="E4576" s="545"/>
      <c r="F4576" s="546"/>
      <c r="G4576" s="234"/>
      <c r="H4576" s="238"/>
      <c r="I4576" s="237"/>
    </row>
    <row r="4577" spans="1:9" s="232" customFormat="1" ht="17" customHeight="1">
      <c r="A4577" s="234"/>
      <c r="B4577" s="233"/>
      <c r="C4577" s="238"/>
      <c r="E4577" s="545"/>
      <c r="F4577" s="546"/>
      <c r="G4577" s="234"/>
      <c r="H4577" s="238"/>
      <c r="I4577" s="237"/>
    </row>
    <row r="4578" spans="1:9" s="232" customFormat="1" ht="17" customHeight="1">
      <c r="A4578" s="234"/>
      <c r="B4578" s="233"/>
      <c r="C4578" s="238"/>
      <c r="E4578" s="545"/>
      <c r="F4578" s="546"/>
      <c r="G4578" s="234"/>
      <c r="H4578" s="238"/>
      <c r="I4578" s="237"/>
    </row>
    <row r="4579" spans="1:9" s="232" customFormat="1" ht="17" customHeight="1">
      <c r="A4579" s="234"/>
      <c r="B4579" s="233"/>
      <c r="C4579" s="238"/>
      <c r="E4579" s="545"/>
      <c r="F4579" s="546"/>
      <c r="G4579" s="234"/>
      <c r="H4579" s="238"/>
      <c r="I4579" s="237"/>
    </row>
    <row r="4580" spans="1:9" s="232" customFormat="1" ht="17" customHeight="1">
      <c r="A4580" s="234"/>
      <c r="B4580" s="233"/>
      <c r="C4580" s="238"/>
      <c r="E4580" s="545"/>
      <c r="F4580" s="546"/>
      <c r="G4580" s="234"/>
      <c r="H4580" s="238"/>
      <c r="I4580" s="237"/>
    </row>
    <row r="4581" spans="1:9" s="232" customFormat="1" ht="17" customHeight="1">
      <c r="A4581" s="234"/>
      <c r="B4581" s="233"/>
      <c r="C4581" s="238"/>
      <c r="E4581" s="545"/>
      <c r="F4581" s="546"/>
      <c r="G4581" s="234"/>
      <c r="H4581" s="238"/>
      <c r="I4581" s="237"/>
    </row>
    <row r="4582" spans="1:9" s="232" customFormat="1" ht="17" customHeight="1">
      <c r="A4582" s="234"/>
      <c r="B4582" s="233"/>
      <c r="C4582" s="238"/>
      <c r="E4582" s="545"/>
      <c r="F4582" s="546"/>
      <c r="G4582" s="234"/>
      <c r="H4582" s="238"/>
      <c r="I4582" s="237"/>
    </row>
    <row r="4583" spans="1:9" s="232" customFormat="1" ht="17" customHeight="1">
      <c r="A4583" s="234"/>
      <c r="B4583" s="233"/>
      <c r="C4583" s="238"/>
      <c r="E4583" s="545"/>
      <c r="F4583" s="546"/>
      <c r="G4583" s="234"/>
      <c r="H4583" s="238"/>
      <c r="I4583" s="237"/>
    </row>
    <row r="4584" spans="1:9" s="232" customFormat="1" ht="17" customHeight="1">
      <c r="A4584" s="234"/>
      <c r="B4584" s="233"/>
      <c r="C4584" s="238"/>
      <c r="E4584" s="545"/>
      <c r="F4584" s="546"/>
      <c r="G4584" s="234"/>
      <c r="H4584" s="238"/>
      <c r="I4584" s="237"/>
    </row>
    <row r="4585" spans="1:9" s="232" customFormat="1" ht="17" customHeight="1">
      <c r="A4585" s="234"/>
      <c r="B4585" s="233"/>
      <c r="C4585" s="238"/>
      <c r="E4585" s="545"/>
      <c r="F4585" s="546"/>
      <c r="G4585" s="234"/>
      <c r="H4585" s="238"/>
      <c r="I4585" s="237"/>
    </row>
    <row r="4586" spans="1:9" s="232" customFormat="1" ht="17" customHeight="1">
      <c r="A4586" s="234"/>
      <c r="B4586" s="233"/>
      <c r="C4586" s="238"/>
      <c r="E4586" s="545"/>
      <c r="F4586" s="546"/>
      <c r="G4586" s="234"/>
      <c r="H4586" s="238"/>
      <c r="I4586" s="237"/>
    </row>
    <row r="4587" spans="1:9" s="232" customFormat="1" ht="17" customHeight="1">
      <c r="A4587" s="234"/>
      <c r="B4587" s="233"/>
      <c r="C4587" s="238"/>
      <c r="E4587" s="545"/>
      <c r="F4587" s="546"/>
      <c r="G4587" s="234"/>
      <c r="H4587" s="238"/>
      <c r="I4587" s="237"/>
    </row>
    <row r="4588" spans="1:9" s="232" customFormat="1" ht="17" customHeight="1">
      <c r="A4588" s="234"/>
      <c r="B4588" s="233"/>
      <c r="C4588" s="238"/>
      <c r="E4588" s="545"/>
      <c r="F4588" s="546"/>
      <c r="G4588" s="234"/>
      <c r="H4588" s="238"/>
      <c r="I4588" s="237"/>
    </row>
    <row r="4589" spans="1:9" s="232" customFormat="1" ht="17" customHeight="1">
      <c r="A4589" s="234"/>
      <c r="B4589" s="233"/>
      <c r="C4589" s="238"/>
      <c r="E4589" s="545"/>
      <c r="F4589" s="546"/>
      <c r="G4589" s="234"/>
      <c r="H4589" s="238"/>
      <c r="I4589" s="237"/>
    </row>
    <row r="4590" spans="1:9" s="232" customFormat="1" ht="17" customHeight="1">
      <c r="A4590" s="234"/>
      <c r="B4590" s="233"/>
      <c r="C4590" s="238"/>
      <c r="E4590" s="545"/>
      <c r="F4590" s="546"/>
      <c r="G4590" s="234"/>
      <c r="H4590" s="238"/>
      <c r="I4590" s="237"/>
    </row>
    <row r="4591" spans="1:9" s="232" customFormat="1" ht="17" customHeight="1">
      <c r="A4591" s="234"/>
      <c r="B4591" s="233"/>
      <c r="C4591" s="238"/>
      <c r="E4591" s="545"/>
      <c r="F4591" s="546"/>
      <c r="G4591" s="234"/>
      <c r="H4591" s="238"/>
      <c r="I4591" s="237"/>
    </row>
    <row r="4592" spans="1:9" s="232" customFormat="1" ht="17" customHeight="1">
      <c r="A4592" s="234"/>
      <c r="B4592" s="233"/>
      <c r="C4592" s="238"/>
      <c r="E4592" s="545"/>
      <c r="F4592" s="546"/>
      <c r="G4592" s="234"/>
      <c r="H4592" s="238"/>
      <c r="I4592" s="237"/>
    </row>
    <row r="4593" spans="1:9" s="232" customFormat="1" ht="17" customHeight="1">
      <c r="A4593" s="234"/>
      <c r="B4593" s="233"/>
      <c r="C4593" s="238"/>
      <c r="E4593" s="545"/>
      <c r="F4593" s="546"/>
      <c r="G4593" s="234"/>
      <c r="H4593" s="238"/>
      <c r="I4593" s="237"/>
    </row>
    <row r="4594" spans="1:9" s="232" customFormat="1" ht="17" customHeight="1">
      <c r="A4594" s="234"/>
      <c r="B4594" s="233"/>
      <c r="C4594" s="238"/>
      <c r="E4594" s="545"/>
      <c r="F4594" s="546"/>
      <c r="G4594" s="234"/>
      <c r="H4594" s="238"/>
      <c r="I4594" s="237"/>
    </row>
    <row r="4595" spans="1:9" s="232" customFormat="1" ht="17" customHeight="1">
      <c r="A4595" s="234"/>
      <c r="B4595" s="233"/>
      <c r="C4595" s="238"/>
      <c r="E4595" s="545"/>
      <c r="F4595" s="546"/>
      <c r="G4595" s="234"/>
      <c r="H4595" s="238"/>
      <c r="I4595" s="237"/>
    </row>
    <row r="4596" spans="1:9" s="232" customFormat="1" ht="17" customHeight="1">
      <c r="A4596" s="234"/>
      <c r="B4596" s="233"/>
      <c r="C4596" s="238"/>
      <c r="E4596" s="545"/>
      <c r="F4596" s="546"/>
      <c r="G4596" s="234"/>
      <c r="H4596" s="238"/>
      <c r="I4596" s="237"/>
    </row>
    <row r="4597" spans="1:9" s="232" customFormat="1" ht="17" customHeight="1">
      <c r="A4597" s="234"/>
      <c r="B4597" s="233"/>
      <c r="C4597" s="238"/>
      <c r="E4597" s="545"/>
      <c r="F4597" s="546"/>
      <c r="G4597" s="234"/>
      <c r="H4597" s="238"/>
      <c r="I4597" s="237"/>
    </row>
    <row r="4598" spans="1:9" s="232" customFormat="1" ht="17" customHeight="1">
      <c r="A4598" s="234"/>
      <c r="B4598" s="233"/>
      <c r="C4598" s="238"/>
      <c r="E4598" s="545"/>
      <c r="F4598" s="546"/>
      <c r="G4598" s="234"/>
      <c r="H4598" s="238"/>
      <c r="I4598" s="237"/>
    </row>
    <row r="4599" spans="1:9" s="232" customFormat="1" ht="17" customHeight="1">
      <c r="A4599" s="234"/>
      <c r="B4599" s="233"/>
      <c r="C4599" s="238"/>
      <c r="E4599" s="545"/>
      <c r="F4599" s="546"/>
      <c r="G4599" s="234"/>
      <c r="H4599" s="238"/>
      <c r="I4599" s="237"/>
    </row>
    <row r="4600" spans="1:9" s="232" customFormat="1" ht="17" customHeight="1">
      <c r="A4600" s="234"/>
      <c r="B4600" s="233"/>
      <c r="C4600" s="238"/>
      <c r="E4600" s="545"/>
      <c r="F4600" s="546"/>
      <c r="G4600" s="234"/>
      <c r="H4600" s="238"/>
      <c r="I4600" s="237"/>
    </row>
    <row r="4601" spans="1:9" s="232" customFormat="1" ht="17" customHeight="1">
      <c r="A4601" s="234"/>
      <c r="B4601" s="233"/>
      <c r="C4601" s="238"/>
      <c r="E4601" s="545"/>
      <c r="F4601" s="546"/>
      <c r="G4601" s="234"/>
      <c r="H4601" s="238"/>
      <c r="I4601" s="237"/>
    </row>
    <row r="4602" spans="1:9" s="232" customFormat="1" ht="17" customHeight="1">
      <c r="A4602" s="234"/>
      <c r="B4602" s="233"/>
      <c r="C4602" s="238"/>
      <c r="E4602" s="545"/>
      <c r="F4602" s="546"/>
      <c r="G4602" s="234"/>
      <c r="H4602" s="238"/>
      <c r="I4602" s="237"/>
    </row>
    <row r="4603" spans="1:9" s="232" customFormat="1" ht="17" customHeight="1">
      <c r="A4603" s="234"/>
      <c r="B4603" s="233"/>
      <c r="C4603" s="238"/>
      <c r="E4603" s="545"/>
      <c r="F4603" s="546"/>
      <c r="G4603" s="234"/>
      <c r="H4603" s="238"/>
      <c r="I4603" s="237"/>
    </row>
    <row r="4604" spans="1:9" s="232" customFormat="1" ht="17" customHeight="1">
      <c r="A4604" s="234"/>
      <c r="B4604" s="233"/>
      <c r="C4604" s="238"/>
      <c r="E4604" s="545"/>
      <c r="F4604" s="546"/>
      <c r="G4604" s="234"/>
      <c r="H4604" s="238"/>
      <c r="I4604" s="237"/>
    </row>
    <row r="4605" spans="1:9" s="232" customFormat="1" ht="17" customHeight="1">
      <c r="A4605" s="234"/>
      <c r="B4605" s="233"/>
      <c r="C4605" s="238"/>
      <c r="E4605" s="545"/>
      <c r="F4605" s="546"/>
      <c r="G4605" s="234"/>
      <c r="H4605" s="238"/>
      <c r="I4605" s="237"/>
    </row>
    <row r="4606" spans="1:9" s="232" customFormat="1" ht="17" customHeight="1">
      <c r="A4606" s="234"/>
      <c r="B4606" s="233"/>
      <c r="C4606" s="238"/>
      <c r="E4606" s="545"/>
      <c r="F4606" s="546"/>
      <c r="G4606" s="234"/>
      <c r="H4606" s="238"/>
      <c r="I4606" s="237"/>
    </row>
    <row r="4607" spans="1:9" s="232" customFormat="1" ht="17" customHeight="1">
      <c r="A4607" s="234"/>
      <c r="B4607" s="233"/>
      <c r="C4607" s="238"/>
      <c r="E4607" s="545"/>
      <c r="F4607" s="546"/>
      <c r="G4607" s="234"/>
      <c r="H4607" s="238"/>
      <c r="I4607" s="237"/>
    </row>
    <row r="4608" spans="1:9" s="232" customFormat="1" ht="17" customHeight="1">
      <c r="A4608" s="234"/>
      <c r="B4608" s="233"/>
      <c r="C4608" s="238"/>
      <c r="E4608" s="545"/>
      <c r="F4608" s="546"/>
      <c r="G4608" s="234"/>
      <c r="H4608" s="238"/>
      <c r="I4608" s="237"/>
    </row>
    <row r="4609" spans="1:9" s="232" customFormat="1" ht="17" customHeight="1">
      <c r="A4609" s="234"/>
      <c r="B4609" s="233"/>
      <c r="C4609" s="238"/>
      <c r="E4609" s="545"/>
      <c r="F4609" s="546"/>
      <c r="G4609" s="234"/>
      <c r="H4609" s="238"/>
      <c r="I4609" s="237"/>
    </row>
    <row r="4610" spans="1:9" s="232" customFormat="1" ht="17" customHeight="1">
      <c r="A4610" s="234"/>
      <c r="B4610" s="233"/>
      <c r="C4610" s="238"/>
      <c r="E4610" s="545"/>
      <c r="F4610" s="546"/>
      <c r="G4610" s="234"/>
      <c r="H4610" s="238"/>
      <c r="I4610" s="237"/>
    </row>
    <row r="4611" spans="1:9" s="232" customFormat="1" ht="17" customHeight="1">
      <c r="A4611" s="234"/>
      <c r="B4611" s="233"/>
      <c r="C4611" s="238"/>
      <c r="E4611" s="545"/>
      <c r="F4611" s="546"/>
      <c r="G4611" s="234"/>
      <c r="H4611" s="238"/>
      <c r="I4611" s="237"/>
    </row>
    <row r="4612" spans="1:9" s="232" customFormat="1" ht="17" customHeight="1">
      <c r="A4612" s="234"/>
      <c r="B4612" s="233"/>
      <c r="C4612" s="238"/>
      <c r="E4612" s="545"/>
      <c r="F4612" s="546"/>
      <c r="G4612" s="234"/>
      <c r="H4612" s="238"/>
      <c r="I4612" s="237"/>
    </row>
    <row r="4613" spans="1:9" s="232" customFormat="1" ht="17" customHeight="1">
      <c r="A4613" s="234"/>
      <c r="B4613" s="233"/>
      <c r="C4613" s="238"/>
      <c r="E4613" s="545"/>
      <c r="F4613" s="546"/>
      <c r="G4613" s="234"/>
      <c r="H4613" s="238"/>
      <c r="I4613" s="237"/>
    </row>
    <row r="4614" spans="1:9" s="232" customFormat="1" ht="17" customHeight="1">
      <c r="A4614" s="234"/>
      <c r="B4614" s="233"/>
      <c r="C4614" s="238"/>
      <c r="E4614" s="545"/>
      <c r="F4614" s="546"/>
      <c r="G4614" s="234"/>
      <c r="H4614" s="238"/>
      <c r="I4614" s="237"/>
    </row>
    <row r="4615" spans="1:9" s="232" customFormat="1" ht="17" customHeight="1">
      <c r="A4615" s="234"/>
      <c r="B4615" s="233"/>
      <c r="C4615" s="238"/>
      <c r="E4615" s="545"/>
      <c r="F4615" s="546"/>
      <c r="G4615" s="234"/>
      <c r="H4615" s="238"/>
      <c r="I4615" s="237"/>
    </row>
    <row r="4616" spans="1:9" s="232" customFormat="1" ht="17" customHeight="1">
      <c r="A4616" s="234"/>
      <c r="B4616" s="233"/>
      <c r="C4616" s="238"/>
      <c r="E4616" s="545"/>
      <c r="F4616" s="546"/>
      <c r="G4616" s="234"/>
      <c r="H4616" s="238"/>
      <c r="I4616" s="237"/>
    </row>
    <row r="4617" spans="1:9" s="232" customFormat="1" ht="17" customHeight="1">
      <c r="A4617" s="234"/>
      <c r="B4617" s="233"/>
      <c r="C4617" s="238"/>
      <c r="E4617" s="545"/>
      <c r="F4617" s="546"/>
      <c r="G4617" s="234"/>
      <c r="H4617" s="238"/>
      <c r="I4617" s="237"/>
    </row>
    <row r="4618" spans="1:9" s="232" customFormat="1" ht="17" customHeight="1">
      <c r="A4618" s="234"/>
      <c r="B4618" s="233"/>
      <c r="C4618" s="238"/>
      <c r="E4618" s="545"/>
      <c r="F4618" s="546"/>
      <c r="G4618" s="234"/>
      <c r="H4618" s="238"/>
      <c r="I4618" s="237"/>
    </row>
    <row r="4619" spans="1:9" s="232" customFormat="1" ht="17" customHeight="1">
      <c r="A4619" s="234"/>
      <c r="B4619" s="233"/>
      <c r="C4619" s="238"/>
      <c r="E4619" s="545"/>
      <c r="F4619" s="546"/>
      <c r="G4619" s="234"/>
      <c r="H4619" s="238"/>
      <c r="I4619" s="237"/>
    </row>
    <row r="4620" spans="1:9" s="232" customFormat="1" ht="17" customHeight="1">
      <c r="A4620" s="234"/>
      <c r="B4620" s="233"/>
      <c r="C4620" s="238"/>
      <c r="E4620" s="545"/>
      <c r="F4620" s="546"/>
      <c r="G4620" s="234"/>
      <c r="H4620" s="238"/>
      <c r="I4620" s="237"/>
    </row>
    <row r="4621" spans="1:9" s="232" customFormat="1" ht="17" customHeight="1">
      <c r="A4621" s="234"/>
      <c r="B4621" s="233"/>
      <c r="C4621" s="238"/>
      <c r="E4621" s="545"/>
      <c r="F4621" s="546"/>
      <c r="G4621" s="234"/>
      <c r="H4621" s="238"/>
      <c r="I4621" s="237"/>
    </row>
    <row r="4622" spans="1:9" s="232" customFormat="1" ht="17" customHeight="1">
      <c r="A4622" s="234"/>
      <c r="B4622" s="233"/>
      <c r="C4622" s="238"/>
      <c r="E4622" s="545"/>
      <c r="F4622" s="546"/>
      <c r="G4622" s="234"/>
      <c r="H4622" s="238"/>
      <c r="I4622" s="237"/>
    </row>
    <row r="4623" spans="1:9" s="232" customFormat="1" ht="17" customHeight="1">
      <c r="A4623" s="234"/>
      <c r="B4623" s="233"/>
      <c r="C4623" s="238"/>
      <c r="E4623" s="545"/>
      <c r="F4623" s="546"/>
      <c r="G4623" s="234"/>
      <c r="H4623" s="238"/>
      <c r="I4623" s="237"/>
    </row>
    <row r="4624" spans="1:9" s="232" customFormat="1" ht="17" customHeight="1">
      <c r="A4624" s="234"/>
      <c r="B4624" s="233"/>
      <c r="C4624" s="238"/>
      <c r="E4624" s="545"/>
      <c r="F4624" s="546"/>
      <c r="G4624" s="234"/>
      <c r="H4624" s="238"/>
      <c r="I4624" s="237"/>
    </row>
    <row r="4625" spans="1:9" s="232" customFormat="1" ht="17" customHeight="1">
      <c r="A4625" s="234"/>
      <c r="B4625" s="233"/>
      <c r="C4625" s="238"/>
      <c r="E4625" s="545"/>
      <c r="F4625" s="546"/>
      <c r="G4625" s="234"/>
      <c r="H4625" s="238"/>
      <c r="I4625" s="237"/>
    </row>
    <row r="4626" spans="1:9" s="232" customFormat="1" ht="17" customHeight="1">
      <c r="A4626" s="234"/>
      <c r="B4626" s="233"/>
      <c r="C4626" s="238"/>
      <c r="E4626" s="545"/>
      <c r="F4626" s="546"/>
      <c r="G4626" s="234"/>
      <c r="H4626" s="238"/>
      <c r="I4626" s="237"/>
    </row>
    <row r="4627" spans="1:9" s="232" customFormat="1" ht="17" customHeight="1">
      <c r="A4627" s="234"/>
      <c r="B4627" s="233"/>
      <c r="C4627" s="238"/>
      <c r="E4627" s="545"/>
      <c r="F4627" s="546"/>
      <c r="G4627" s="234"/>
      <c r="H4627" s="238"/>
      <c r="I4627" s="237"/>
    </row>
    <row r="4628" spans="1:9" s="232" customFormat="1" ht="17" customHeight="1">
      <c r="A4628" s="234"/>
      <c r="B4628" s="233"/>
      <c r="C4628" s="238"/>
      <c r="E4628" s="545"/>
      <c r="F4628" s="546"/>
      <c r="G4628" s="234"/>
      <c r="H4628" s="238"/>
      <c r="I4628" s="237"/>
    </row>
    <row r="4629" spans="1:9" s="232" customFormat="1" ht="17" customHeight="1">
      <c r="A4629" s="234"/>
      <c r="B4629" s="233"/>
      <c r="C4629" s="238"/>
      <c r="E4629" s="545"/>
      <c r="F4629" s="546"/>
      <c r="G4629" s="234"/>
      <c r="H4629" s="238"/>
      <c r="I4629" s="237"/>
    </row>
    <row r="4630" spans="1:9" s="232" customFormat="1" ht="17" customHeight="1">
      <c r="A4630" s="234"/>
      <c r="B4630" s="233"/>
      <c r="C4630" s="238"/>
      <c r="E4630" s="545"/>
      <c r="F4630" s="546"/>
      <c r="G4630" s="234"/>
      <c r="H4630" s="238"/>
      <c r="I4630" s="237"/>
    </row>
    <row r="4631" spans="1:9" s="232" customFormat="1" ht="17" customHeight="1">
      <c r="A4631" s="234"/>
      <c r="B4631" s="233"/>
      <c r="C4631" s="238"/>
      <c r="E4631" s="545"/>
      <c r="F4631" s="546"/>
      <c r="G4631" s="234"/>
      <c r="H4631" s="238"/>
      <c r="I4631" s="237"/>
    </row>
    <row r="4632" spans="1:9" s="232" customFormat="1" ht="17" customHeight="1">
      <c r="A4632" s="234"/>
      <c r="B4632" s="233"/>
      <c r="C4632" s="238"/>
      <c r="E4632" s="545"/>
      <c r="F4632" s="546"/>
      <c r="G4632" s="234"/>
      <c r="H4632" s="238"/>
      <c r="I4632" s="237"/>
    </row>
    <row r="4633" spans="1:9" s="232" customFormat="1" ht="17" customHeight="1">
      <c r="A4633" s="234"/>
      <c r="B4633" s="233"/>
      <c r="C4633" s="238"/>
      <c r="E4633" s="545"/>
      <c r="F4633" s="546"/>
      <c r="G4633" s="234"/>
      <c r="H4633" s="238"/>
      <c r="I4633" s="237"/>
    </row>
    <row r="4634" spans="1:9" s="232" customFormat="1" ht="17" customHeight="1">
      <c r="A4634" s="234"/>
      <c r="B4634" s="233"/>
      <c r="C4634" s="238"/>
      <c r="E4634" s="545"/>
      <c r="F4634" s="546"/>
      <c r="G4634" s="234"/>
      <c r="H4634" s="238"/>
      <c r="I4634" s="237"/>
    </row>
    <row r="4635" spans="1:9" s="232" customFormat="1" ht="17" customHeight="1">
      <c r="A4635" s="234"/>
      <c r="B4635" s="233"/>
      <c r="C4635" s="238"/>
      <c r="E4635" s="545"/>
      <c r="F4635" s="546"/>
      <c r="G4635" s="234"/>
      <c r="H4635" s="238"/>
      <c r="I4635" s="237"/>
    </row>
    <row r="4636" spans="1:9" s="232" customFormat="1" ht="17" customHeight="1">
      <c r="A4636" s="234"/>
      <c r="B4636" s="233"/>
      <c r="C4636" s="238"/>
      <c r="E4636" s="545"/>
      <c r="F4636" s="546"/>
      <c r="G4636" s="234"/>
      <c r="H4636" s="238"/>
      <c r="I4636" s="237"/>
    </row>
    <row r="4637" spans="1:9" s="232" customFormat="1" ht="17" customHeight="1">
      <c r="A4637" s="234"/>
      <c r="B4637" s="233"/>
      <c r="C4637" s="238"/>
      <c r="E4637" s="545"/>
      <c r="F4637" s="546"/>
      <c r="G4637" s="234"/>
      <c r="H4637" s="238"/>
      <c r="I4637" s="237"/>
    </row>
    <row r="4638" spans="1:9" s="232" customFormat="1" ht="17" customHeight="1">
      <c r="A4638" s="234"/>
      <c r="B4638" s="233"/>
      <c r="C4638" s="238"/>
      <c r="E4638" s="545"/>
      <c r="F4638" s="546"/>
      <c r="G4638" s="234"/>
      <c r="H4638" s="238"/>
      <c r="I4638" s="237"/>
    </row>
    <row r="4639" spans="1:9" s="232" customFormat="1" ht="17" customHeight="1">
      <c r="A4639" s="234"/>
      <c r="B4639" s="233"/>
      <c r="C4639" s="238"/>
      <c r="E4639" s="545"/>
      <c r="F4639" s="546"/>
      <c r="G4639" s="234"/>
      <c r="H4639" s="238"/>
      <c r="I4639" s="237"/>
    </row>
    <row r="4640" spans="1:9" s="232" customFormat="1" ht="17" customHeight="1">
      <c r="A4640" s="234"/>
      <c r="B4640" s="233"/>
      <c r="C4640" s="238"/>
      <c r="E4640" s="545"/>
      <c r="F4640" s="546"/>
      <c r="G4640" s="234"/>
      <c r="H4640" s="238"/>
      <c r="I4640" s="237"/>
    </row>
    <row r="4641" spans="1:9" s="232" customFormat="1" ht="17" customHeight="1">
      <c r="A4641" s="234"/>
      <c r="B4641" s="233"/>
      <c r="C4641" s="238"/>
      <c r="E4641" s="545"/>
      <c r="F4641" s="546"/>
      <c r="G4641" s="234"/>
      <c r="H4641" s="238"/>
      <c r="I4641" s="237"/>
    </row>
    <row r="4642" spans="1:9" s="232" customFormat="1" ht="17" customHeight="1">
      <c r="A4642" s="234"/>
      <c r="B4642" s="233"/>
      <c r="C4642" s="238"/>
      <c r="E4642" s="545"/>
      <c r="F4642" s="546"/>
      <c r="G4642" s="234"/>
      <c r="H4642" s="238"/>
      <c r="I4642" s="237"/>
    </row>
    <row r="4643" spans="1:9" s="232" customFormat="1" ht="17" customHeight="1">
      <c r="A4643" s="234"/>
      <c r="B4643" s="233"/>
      <c r="C4643" s="238"/>
      <c r="E4643" s="545"/>
      <c r="F4643" s="546"/>
      <c r="G4643" s="234"/>
      <c r="H4643" s="238"/>
      <c r="I4643" s="237"/>
    </row>
    <row r="4644" spans="1:9" s="232" customFormat="1" ht="17" customHeight="1">
      <c r="A4644" s="234"/>
      <c r="B4644" s="233"/>
      <c r="C4644" s="238"/>
      <c r="E4644" s="545"/>
      <c r="F4644" s="546"/>
      <c r="G4644" s="234"/>
      <c r="H4644" s="238"/>
      <c r="I4644" s="237"/>
    </row>
    <row r="4645" spans="1:9" s="232" customFormat="1" ht="17" customHeight="1">
      <c r="A4645" s="234"/>
      <c r="B4645" s="233"/>
      <c r="C4645" s="238"/>
      <c r="E4645" s="545"/>
      <c r="F4645" s="546"/>
      <c r="G4645" s="234"/>
      <c r="H4645" s="238"/>
      <c r="I4645" s="237"/>
    </row>
    <row r="4646" spans="1:9" s="232" customFormat="1" ht="17" customHeight="1">
      <c r="A4646" s="234"/>
      <c r="B4646" s="233"/>
      <c r="C4646" s="238"/>
      <c r="E4646" s="545"/>
      <c r="F4646" s="546"/>
      <c r="G4646" s="234"/>
      <c r="H4646" s="238"/>
      <c r="I4646" s="237"/>
    </row>
    <row r="4647" spans="1:9" s="232" customFormat="1" ht="17" customHeight="1">
      <c r="A4647" s="234"/>
      <c r="B4647" s="233"/>
      <c r="C4647" s="238"/>
      <c r="E4647" s="545"/>
      <c r="F4647" s="546"/>
      <c r="G4647" s="234"/>
      <c r="H4647" s="238"/>
      <c r="I4647" s="237"/>
    </row>
    <row r="4648" spans="1:9" s="232" customFormat="1" ht="17" customHeight="1">
      <c r="A4648" s="234"/>
      <c r="B4648" s="233"/>
      <c r="C4648" s="238"/>
      <c r="E4648" s="545"/>
      <c r="F4648" s="546"/>
      <c r="G4648" s="234"/>
      <c r="H4648" s="238"/>
      <c r="I4648" s="237"/>
    </row>
    <row r="4649" spans="1:9" s="232" customFormat="1" ht="17" customHeight="1">
      <c r="A4649" s="234"/>
      <c r="B4649" s="233"/>
      <c r="C4649" s="238"/>
      <c r="E4649" s="545"/>
      <c r="F4649" s="546"/>
      <c r="G4649" s="234"/>
      <c r="H4649" s="238"/>
      <c r="I4649" s="237"/>
    </row>
    <row r="4650" spans="1:9" s="232" customFormat="1" ht="17" customHeight="1">
      <c r="A4650" s="234"/>
      <c r="B4650" s="233"/>
      <c r="C4650" s="238"/>
      <c r="E4650" s="545"/>
      <c r="F4650" s="546"/>
      <c r="G4650" s="234"/>
      <c r="H4650" s="238"/>
      <c r="I4650" s="237"/>
    </row>
    <row r="4651" spans="1:9" s="232" customFormat="1" ht="17" customHeight="1">
      <c r="A4651" s="234"/>
      <c r="B4651" s="233"/>
      <c r="C4651" s="238"/>
      <c r="E4651" s="545"/>
      <c r="F4651" s="546"/>
      <c r="G4651" s="234"/>
      <c r="H4651" s="238"/>
      <c r="I4651" s="237"/>
    </row>
    <row r="4652" spans="1:9" s="232" customFormat="1" ht="17" customHeight="1">
      <c r="A4652" s="234"/>
      <c r="B4652" s="233"/>
      <c r="C4652" s="238"/>
      <c r="E4652" s="545"/>
      <c r="F4652" s="546"/>
      <c r="G4652" s="234"/>
      <c r="H4652" s="238"/>
      <c r="I4652" s="237"/>
    </row>
    <row r="4653" spans="1:9" s="232" customFormat="1" ht="17" customHeight="1">
      <c r="A4653" s="234"/>
      <c r="B4653" s="233"/>
      <c r="C4653" s="238"/>
      <c r="E4653" s="545"/>
      <c r="F4653" s="546"/>
      <c r="G4653" s="234"/>
      <c r="H4653" s="238"/>
      <c r="I4653" s="237"/>
    </row>
    <row r="4654" spans="1:9" s="232" customFormat="1" ht="17" customHeight="1">
      <c r="A4654" s="234"/>
      <c r="B4654" s="233"/>
      <c r="C4654" s="238"/>
      <c r="E4654" s="545"/>
      <c r="F4654" s="546"/>
      <c r="G4654" s="234"/>
      <c r="H4654" s="238"/>
      <c r="I4654" s="237"/>
    </row>
    <row r="4655" spans="1:9" s="232" customFormat="1" ht="17" customHeight="1">
      <c r="A4655" s="234"/>
      <c r="B4655" s="233"/>
      <c r="C4655" s="238"/>
      <c r="E4655" s="545"/>
      <c r="F4655" s="546"/>
      <c r="G4655" s="234"/>
      <c r="H4655" s="238"/>
      <c r="I4655" s="237"/>
    </row>
    <row r="4656" spans="1:9" s="232" customFormat="1" ht="17" customHeight="1">
      <c r="A4656" s="234"/>
      <c r="B4656" s="233"/>
      <c r="C4656" s="238"/>
      <c r="E4656" s="545"/>
      <c r="F4656" s="546"/>
      <c r="G4656" s="234"/>
      <c r="H4656" s="238"/>
      <c r="I4656" s="237"/>
    </row>
    <row r="4657" spans="1:9" s="232" customFormat="1" ht="17" customHeight="1">
      <c r="A4657" s="234"/>
      <c r="B4657" s="233"/>
      <c r="C4657" s="238"/>
      <c r="E4657" s="545"/>
      <c r="F4657" s="546"/>
      <c r="G4657" s="234"/>
      <c r="H4657" s="238"/>
      <c r="I4657" s="237"/>
    </row>
    <row r="4658" spans="1:9" s="232" customFormat="1" ht="17" customHeight="1">
      <c r="A4658" s="234"/>
      <c r="B4658" s="233"/>
      <c r="C4658" s="238"/>
      <c r="E4658" s="545"/>
      <c r="F4658" s="546"/>
      <c r="G4658" s="234"/>
      <c r="H4658" s="238"/>
      <c r="I4658" s="237"/>
    </row>
    <row r="4659" spans="1:9" s="232" customFormat="1" ht="17" customHeight="1">
      <c r="A4659" s="234"/>
      <c r="B4659" s="233"/>
      <c r="C4659" s="238"/>
      <c r="E4659" s="545"/>
      <c r="F4659" s="546"/>
      <c r="G4659" s="234"/>
      <c r="H4659" s="238"/>
      <c r="I4659" s="237"/>
    </row>
    <row r="4660" spans="1:9" s="232" customFormat="1" ht="17" customHeight="1">
      <c r="A4660" s="234"/>
      <c r="B4660" s="233"/>
      <c r="C4660" s="238"/>
      <c r="E4660" s="545"/>
      <c r="F4660" s="546"/>
      <c r="G4660" s="234"/>
      <c r="H4660" s="238"/>
      <c r="I4660" s="237"/>
    </row>
    <row r="4661" spans="1:9" s="232" customFormat="1" ht="17" customHeight="1">
      <c r="A4661" s="234"/>
      <c r="B4661" s="233"/>
      <c r="C4661" s="238"/>
      <c r="E4661" s="545"/>
      <c r="F4661" s="546"/>
      <c r="G4661" s="234"/>
      <c r="H4661" s="238"/>
      <c r="I4661" s="237"/>
    </row>
    <row r="4662" spans="1:9" s="232" customFormat="1" ht="17" customHeight="1">
      <c r="A4662" s="234"/>
      <c r="B4662" s="233"/>
      <c r="C4662" s="238"/>
      <c r="E4662" s="545"/>
      <c r="F4662" s="546"/>
      <c r="G4662" s="234"/>
      <c r="H4662" s="238"/>
      <c r="I4662" s="237"/>
    </row>
    <row r="4663" spans="1:9" s="232" customFormat="1" ht="17" customHeight="1">
      <c r="A4663" s="234"/>
      <c r="B4663" s="233"/>
      <c r="C4663" s="238"/>
      <c r="E4663" s="545"/>
      <c r="F4663" s="546"/>
      <c r="G4663" s="234"/>
      <c r="H4663" s="238"/>
      <c r="I4663" s="237"/>
    </row>
    <row r="4664" spans="1:9" s="232" customFormat="1" ht="17" customHeight="1">
      <c r="A4664" s="234"/>
      <c r="B4664" s="233"/>
      <c r="C4664" s="238"/>
      <c r="E4664" s="545"/>
      <c r="F4664" s="546"/>
      <c r="G4664" s="234"/>
      <c r="H4664" s="238"/>
      <c r="I4664" s="237"/>
    </row>
    <row r="4665" spans="1:9" s="232" customFormat="1" ht="17" customHeight="1">
      <c r="A4665" s="234"/>
      <c r="B4665" s="233"/>
      <c r="C4665" s="238"/>
      <c r="E4665" s="545"/>
      <c r="F4665" s="546"/>
      <c r="G4665" s="234"/>
      <c r="H4665" s="238"/>
      <c r="I4665" s="237"/>
    </row>
    <row r="4666" spans="1:9" s="232" customFormat="1" ht="17" customHeight="1">
      <c r="A4666" s="234"/>
      <c r="B4666" s="233"/>
      <c r="C4666" s="238"/>
      <c r="E4666" s="545"/>
      <c r="F4666" s="546"/>
      <c r="G4666" s="234"/>
      <c r="H4666" s="238"/>
      <c r="I4666" s="237"/>
    </row>
    <row r="4667" spans="1:9" s="232" customFormat="1" ht="17" customHeight="1">
      <c r="A4667" s="234"/>
      <c r="B4667" s="233"/>
      <c r="C4667" s="238"/>
      <c r="E4667" s="545"/>
      <c r="F4667" s="546"/>
      <c r="G4667" s="234"/>
      <c r="H4667" s="238"/>
      <c r="I4667" s="237"/>
    </row>
    <row r="4668" spans="1:9" s="232" customFormat="1" ht="17" customHeight="1">
      <c r="A4668" s="234"/>
      <c r="B4668" s="233"/>
      <c r="C4668" s="238"/>
      <c r="E4668" s="545"/>
      <c r="F4668" s="546"/>
      <c r="G4668" s="234"/>
      <c r="H4668" s="238"/>
      <c r="I4668" s="237"/>
    </row>
    <row r="4669" spans="1:9" s="232" customFormat="1" ht="17" customHeight="1">
      <c r="A4669" s="234"/>
      <c r="B4669" s="233"/>
      <c r="C4669" s="238"/>
      <c r="E4669" s="545"/>
      <c r="F4669" s="546"/>
      <c r="G4669" s="234"/>
      <c r="H4669" s="238"/>
      <c r="I4669" s="237"/>
    </row>
    <row r="4670" spans="1:9" s="232" customFormat="1" ht="17" customHeight="1">
      <c r="A4670" s="234"/>
      <c r="B4670" s="233"/>
      <c r="C4670" s="238"/>
      <c r="E4670" s="545"/>
      <c r="F4670" s="546"/>
      <c r="G4670" s="234"/>
      <c r="H4670" s="238"/>
      <c r="I4670" s="237"/>
    </row>
    <row r="4671" spans="1:9" s="232" customFormat="1" ht="17" customHeight="1">
      <c r="A4671" s="234"/>
      <c r="B4671" s="233"/>
      <c r="C4671" s="238"/>
      <c r="E4671" s="545"/>
      <c r="F4671" s="546"/>
      <c r="G4671" s="234"/>
      <c r="H4671" s="238"/>
      <c r="I4671" s="237"/>
    </row>
    <row r="4672" spans="1:9" s="232" customFormat="1" ht="17" customHeight="1">
      <c r="A4672" s="234"/>
      <c r="B4672" s="233"/>
      <c r="C4672" s="238"/>
      <c r="E4672" s="545"/>
      <c r="F4672" s="546"/>
      <c r="G4672" s="234"/>
      <c r="H4672" s="238"/>
      <c r="I4672" s="237"/>
    </row>
    <row r="4673" spans="1:9" s="232" customFormat="1" ht="17" customHeight="1">
      <c r="A4673" s="234"/>
      <c r="B4673" s="233"/>
      <c r="C4673" s="238"/>
      <c r="E4673" s="545"/>
      <c r="F4673" s="546"/>
      <c r="G4673" s="234"/>
      <c r="H4673" s="238"/>
      <c r="I4673" s="237"/>
    </row>
    <row r="4674" spans="1:9" s="232" customFormat="1" ht="17" customHeight="1">
      <c r="A4674" s="234"/>
      <c r="B4674" s="233"/>
      <c r="C4674" s="238"/>
      <c r="E4674" s="545"/>
      <c r="F4674" s="546"/>
      <c r="G4674" s="234"/>
      <c r="H4674" s="238"/>
      <c r="I4674" s="237"/>
    </row>
    <row r="4675" spans="1:9" s="232" customFormat="1" ht="17" customHeight="1">
      <c r="A4675" s="234"/>
      <c r="B4675" s="233"/>
      <c r="C4675" s="238"/>
      <c r="E4675" s="545"/>
      <c r="F4675" s="546"/>
      <c r="G4675" s="234"/>
      <c r="H4675" s="238"/>
      <c r="I4675" s="237"/>
    </row>
    <row r="4676" spans="1:9" s="232" customFormat="1" ht="17" customHeight="1">
      <c r="A4676" s="234"/>
      <c r="B4676" s="233"/>
      <c r="C4676" s="238"/>
      <c r="E4676" s="545"/>
      <c r="F4676" s="546"/>
      <c r="G4676" s="234"/>
      <c r="H4676" s="238"/>
      <c r="I4676" s="237"/>
    </row>
    <row r="4677" spans="1:9" s="232" customFormat="1" ht="17" customHeight="1">
      <c r="A4677" s="234"/>
      <c r="B4677" s="233"/>
      <c r="C4677" s="238"/>
      <c r="E4677" s="545"/>
      <c r="F4677" s="546"/>
      <c r="G4677" s="234"/>
      <c r="H4677" s="238"/>
      <c r="I4677" s="237"/>
    </row>
    <row r="4678" spans="1:9" s="232" customFormat="1" ht="17" customHeight="1">
      <c r="A4678" s="234"/>
      <c r="B4678" s="233"/>
      <c r="C4678" s="238"/>
      <c r="E4678" s="545"/>
      <c r="F4678" s="546"/>
      <c r="G4678" s="234"/>
      <c r="H4678" s="238"/>
      <c r="I4678" s="237"/>
    </row>
    <row r="4679" spans="1:9" s="232" customFormat="1" ht="17" customHeight="1">
      <c r="A4679" s="234"/>
      <c r="B4679" s="233"/>
      <c r="C4679" s="238"/>
      <c r="E4679" s="545"/>
      <c r="F4679" s="546"/>
      <c r="G4679" s="234"/>
      <c r="H4679" s="238"/>
      <c r="I4679" s="237"/>
    </row>
    <row r="4680" spans="1:9" s="232" customFormat="1" ht="17" customHeight="1">
      <c r="A4680" s="234"/>
      <c r="B4680" s="233"/>
      <c r="C4680" s="238"/>
      <c r="E4680" s="545"/>
      <c r="F4680" s="546"/>
      <c r="G4680" s="234"/>
      <c r="H4680" s="238"/>
      <c r="I4680" s="237"/>
    </row>
    <row r="4681" spans="1:9" s="232" customFormat="1" ht="17" customHeight="1">
      <c r="A4681" s="234"/>
      <c r="B4681" s="233"/>
      <c r="C4681" s="238"/>
      <c r="E4681" s="545"/>
      <c r="F4681" s="546"/>
      <c r="G4681" s="234"/>
      <c r="H4681" s="238"/>
      <c r="I4681" s="237"/>
    </row>
    <row r="4682" spans="1:9" s="232" customFormat="1" ht="17" customHeight="1">
      <c r="A4682" s="234"/>
      <c r="B4682" s="233"/>
      <c r="C4682" s="238"/>
      <c r="E4682" s="545"/>
      <c r="F4682" s="546"/>
      <c r="G4682" s="234"/>
      <c r="H4682" s="238"/>
      <c r="I4682" s="237"/>
    </row>
    <row r="4683" spans="1:9" s="232" customFormat="1" ht="17" customHeight="1">
      <c r="A4683" s="234"/>
      <c r="B4683" s="233"/>
      <c r="C4683" s="238"/>
      <c r="E4683" s="545"/>
      <c r="F4683" s="546"/>
      <c r="G4683" s="234"/>
      <c r="H4683" s="238"/>
      <c r="I4683" s="237"/>
    </row>
    <row r="4684" spans="1:9" s="232" customFormat="1" ht="17" customHeight="1">
      <c r="A4684" s="234"/>
      <c r="B4684" s="233"/>
      <c r="C4684" s="238"/>
      <c r="E4684" s="545"/>
      <c r="F4684" s="546"/>
      <c r="G4684" s="234"/>
      <c r="H4684" s="238"/>
      <c r="I4684" s="237"/>
    </row>
    <row r="4685" spans="1:9" s="232" customFormat="1" ht="17" customHeight="1">
      <c r="A4685" s="234"/>
      <c r="B4685" s="233"/>
      <c r="C4685" s="238"/>
      <c r="E4685" s="545"/>
      <c r="F4685" s="546"/>
      <c r="G4685" s="234"/>
      <c r="H4685" s="238"/>
      <c r="I4685" s="237"/>
    </row>
    <row r="4686" spans="1:9" s="232" customFormat="1" ht="17" customHeight="1">
      <c r="A4686" s="234"/>
      <c r="B4686" s="233"/>
      <c r="C4686" s="238"/>
      <c r="E4686" s="545"/>
      <c r="F4686" s="546"/>
      <c r="G4686" s="234"/>
      <c r="H4686" s="238"/>
      <c r="I4686" s="237"/>
    </row>
    <row r="4687" spans="1:9" s="232" customFormat="1" ht="17" customHeight="1">
      <c r="A4687" s="234"/>
      <c r="B4687" s="233"/>
      <c r="C4687" s="238"/>
      <c r="E4687" s="545"/>
      <c r="F4687" s="546"/>
      <c r="G4687" s="234"/>
      <c r="H4687" s="238"/>
      <c r="I4687" s="237"/>
    </row>
    <row r="4688" spans="1:9" s="232" customFormat="1" ht="17" customHeight="1">
      <c r="A4688" s="234"/>
      <c r="B4688" s="233"/>
      <c r="C4688" s="238"/>
      <c r="E4688" s="545"/>
      <c r="F4688" s="546"/>
      <c r="G4688" s="234"/>
      <c r="H4688" s="238"/>
      <c r="I4688" s="237"/>
    </row>
    <row r="4689" spans="1:9" s="232" customFormat="1" ht="17" customHeight="1">
      <c r="A4689" s="234"/>
      <c r="B4689" s="233"/>
      <c r="C4689" s="238"/>
      <c r="E4689" s="545"/>
      <c r="F4689" s="546"/>
      <c r="G4689" s="234"/>
      <c r="H4689" s="238"/>
      <c r="I4689" s="237"/>
    </row>
    <row r="4690" spans="1:9" s="232" customFormat="1" ht="17" customHeight="1">
      <c r="A4690" s="234"/>
      <c r="B4690" s="233"/>
      <c r="C4690" s="238"/>
      <c r="E4690" s="545"/>
      <c r="F4690" s="546"/>
      <c r="G4690" s="234"/>
      <c r="H4690" s="238"/>
      <c r="I4690" s="237"/>
    </row>
    <row r="4691" spans="1:9" s="232" customFormat="1" ht="17" customHeight="1">
      <c r="A4691" s="234"/>
      <c r="B4691" s="233"/>
      <c r="C4691" s="238"/>
      <c r="E4691" s="545"/>
      <c r="F4691" s="546"/>
      <c r="G4691" s="234"/>
      <c r="H4691" s="238"/>
      <c r="I4691" s="237"/>
    </row>
    <row r="4692" spans="1:9" s="232" customFormat="1" ht="17" customHeight="1">
      <c r="A4692" s="234"/>
      <c r="B4692" s="233"/>
      <c r="C4692" s="238"/>
      <c r="E4692" s="545"/>
      <c r="F4692" s="546"/>
      <c r="G4692" s="234"/>
      <c r="H4692" s="238"/>
      <c r="I4692" s="237"/>
    </row>
    <row r="4693" spans="1:9" s="232" customFormat="1" ht="17" customHeight="1">
      <c r="A4693" s="234"/>
      <c r="B4693" s="233"/>
      <c r="C4693" s="238"/>
      <c r="E4693" s="545"/>
      <c r="F4693" s="546"/>
      <c r="G4693" s="234"/>
      <c r="H4693" s="238"/>
      <c r="I4693" s="237"/>
    </row>
    <row r="4694" spans="1:9" s="232" customFormat="1" ht="17" customHeight="1">
      <c r="A4694" s="234"/>
      <c r="B4694" s="233"/>
      <c r="C4694" s="238"/>
      <c r="E4694" s="545"/>
      <c r="F4694" s="546"/>
      <c r="G4694" s="234"/>
      <c r="H4694" s="238"/>
      <c r="I4694" s="237"/>
    </row>
    <row r="4695" spans="1:9" s="232" customFormat="1" ht="17" customHeight="1">
      <c r="A4695" s="234"/>
      <c r="B4695" s="233"/>
      <c r="C4695" s="238"/>
      <c r="E4695" s="545"/>
      <c r="F4695" s="546"/>
      <c r="G4695" s="234"/>
      <c r="H4695" s="238"/>
      <c r="I4695" s="237"/>
    </row>
    <row r="4696" spans="1:9" s="232" customFormat="1" ht="17" customHeight="1">
      <c r="A4696" s="234"/>
      <c r="B4696" s="233"/>
      <c r="C4696" s="238"/>
      <c r="E4696" s="545"/>
      <c r="F4696" s="546"/>
      <c r="G4696" s="234"/>
      <c r="H4696" s="238"/>
      <c r="I4696" s="237"/>
    </row>
    <row r="4697" spans="1:9" s="232" customFormat="1" ht="17" customHeight="1">
      <c r="A4697" s="234"/>
      <c r="B4697" s="233"/>
      <c r="C4697" s="238"/>
      <c r="E4697" s="545"/>
      <c r="F4697" s="546"/>
      <c r="G4697" s="234"/>
      <c r="H4697" s="238"/>
      <c r="I4697" s="237"/>
    </row>
    <row r="4698" spans="1:9" s="232" customFormat="1" ht="17" customHeight="1">
      <c r="A4698" s="234"/>
      <c r="B4698" s="233"/>
      <c r="C4698" s="238"/>
      <c r="E4698" s="545"/>
      <c r="F4698" s="546"/>
      <c r="G4698" s="234"/>
      <c r="H4698" s="238"/>
      <c r="I4698" s="237"/>
    </row>
    <row r="4699" spans="1:9" s="232" customFormat="1" ht="17" customHeight="1">
      <c r="A4699" s="234"/>
      <c r="B4699" s="233"/>
      <c r="C4699" s="238"/>
      <c r="E4699" s="545"/>
      <c r="F4699" s="546"/>
      <c r="G4699" s="234"/>
      <c r="H4699" s="238"/>
      <c r="I4699" s="237"/>
    </row>
    <row r="4700" spans="1:9" s="232" customFormat="1" ht="17" customHeight="1">
      <c r="A4700" s="234"/>
      <c r="B4700" s="233"/>
      <c r="C4700" s="238"/>
      <c r="E4700" s="545"/>
      <c r="F4700" s="546"/>
      <c r="G4700" s="234"/>
      <c r="H4700" s="238"/>
      <c r="I4700" s="237"/>
    </row>
    <row r="4701" spans="1:9" s="232" customFormat="1" ht="17" customHeight="1">
      <c r="A4701" s="234"/>
      <c r="B4701" s="233"/>
      <c r="C4701" s="238"/>
      <c r="E4701" s="545"/>
      <c r="F4701" s="546"/>
      <c r="G4701" s="234"/>
      <c r="H4701" s="238"/>
      <c r="I4701" s="237"/>
    </row>
    <row r="4702" spans="1:9" s="232" customFormat="1" ht="17" customHeight="1">
      <c r="A4702" s="234"/>
      <c r="B4702" s="233"/>
      <c r="C4702" s="238"/>
      <c r="E4702" s="545"/>
      <c r="F4702" s="546"/>
      <c r="G4702" s="234"/>
      <c r="H4702" s="238"/>
      <c r="I4702" s="237"/>
    </row>
    <row r="4703" spans="1:9" s="232" customFormat="1" ht="17" customHeight="1">
      <c r="A4703" s="234"/>
      <c r="B4703" s="233"/>
      <c r="C4703" s="238"/>
      <c r="E4703" s="545"/>
      <c r="F4703" s="546"/>
      <c r="G4703" s="234"/>
      <c r="H4703" s="238"/>
      <c r="I4703" s="237"/>
    </row>
    <row r="4704" spans="1:9" s="232" customFormat="1" ht="17" customHeight="1">
      <c r="A4704" s="234"/>
      <c r="B4704" s="233"/>
      <c r="C4704" s="238"/>
      <c r="E4704" s="545"/>
      <c r="F4704" s="546"/>
      <c r="G4704" s="234"/>
      <c r="H4704" s="238"/>
      <c r="I4704" s="237"/>
    </row>
    <row r="4705" spans="1:9" s="232" customFormat="1" ht="17" customHeight="1">
      <c r="A4705" s="234"/>
      <c r="B4705" s="233"/>
      <c r="C4705" s="238"/>
      <c r="E4705" s="545"/>
      <c r="F4705" s="546"/>
      <c r="G4705" s="234"/>
      <c r="H4705" s="238"/>
      <c r="I4705" s="237"/>
    </row>
    <row r="4706" spans="1:9" s="232" customFormat="1" ht="17" customHeight="1">
      <c r="A4706" s="234"/>
      <c r="B4706" s="233"/>
      <c r="C4706" s="238"/>
      <c r="E4706" s="545"/>
      <c r="F4706" s="546"/>
      <c r="G4706" s="234"/>
      <c r="H4706" s="238"/>
      <c r="I4706" s="237"/>
    </row>
    <row r="4707" spans="1:9" s="232" customFormat="1" ht="17" customHeight="1">
      <c r="A4707" s="234"/>
      <c r="B4707" s="233"/>
      <c r="C4707" s="238"/>
      <c r="E4707" s="545"/>
      <c r="F4707" s="546"/>
      <c r="G4707" s="234"/>
      <c r="H4707" s="238"/>
      <c r="I4707" s="237"/>
    </row>
    <row r="4708" spans="1:9" s="232" customFormat="1" ht="17" customHeight="1">
      <c r="A4708" s="234"/>
      <c r="B4708" s="233"/>
      <c r="C4708" s="238"/>
      <c r="E4708" s="545"/>
      <c r="F4708" s="546"/>
      <c r="G4708" s="234"/>
      <c r="H4708" s="238"/>
      <c r="I4708" s="237"/>
    </row>
    <row r="4709" spans="1:9" s="232" customFormat="1" ht="17" customHeight="1">
      <c r="A4709" s="234"/>
      <c r="B4709" s="233"/>
      <c r="C4709" s="238"/>
      <c r="E4709" s="545"/>
      <c r="F4709" s="546"/>
      <c r="G4709" s="234"/>
      <c r="H4709" s="238"/>
      <c r="I4709" s="237"/>
    </row>
    <row r="4710" spans="1:9" s="232" customFormat="1" ht="17" customHeight="1">
      <c r="A4710" s="234"/>
      <c r="B4710" s="233"/>
      <c r="C4710" s="238"/>
      <c r="E4710" s="545"/>
      <c r="F4710" s="546"/>
      <c r="G4710" s="234"/>
      <c r="H4710" s="238"/>
      <c r="I4710" s="237"/>
    </row>
    <row r="4711" spans="1:9" s="232" customFormat="1" ht="17" customHeight="1">
      <c r="A4711" s="234"/>
      <c r="B4711" s="233"/>
      <c r="C4711" s="238"/>
      <c r="E4711" s="545"/>
      <c r="F4711" s="546"/>
      <c r="G4711" s="234"/>
      <c r="H4711" s="238"/>
      <c r="I4711" s="237"/>
    </row>
    <row r="4712" spans="1:9" s="232" customFormat="1" ht="17" customHeight="1">
      <c r="A4712" s="234"/>
      <c r="B4712" s="233"/>
      <c r="C4712" s="238"/>
      <c r="E4712" s="545"/>
      <c r="F4712" s="546"/>
      <c r="G4712" s="234"/>
      <c r="H4712" s="238"/>
      <c r="I4712" s="237"/>
    </row>
    <row r="4713" spans="1:9" s="232" customFormat="1" ht="17" customHeight="1">
      <c r="A4713" s="234"/>
      <c r="B4713" s="233"/>
      <c r="C4713" s="238"/>
      <c r="E4713" s="545"/>
      <c r="F4713" s="546"/>
      <c r="G4713" s="234"/>
      <c r="H4713" s="238"/>
      <c r="I4713" s="237"/>
    </row>
    <row r="4714" spans="1:9" s="232" customFormat="1" ht="17" customHeight="1">
      <c r="A4714" s="234"/>
      <c r="B4714" s="233"/>
      <c r="C4714" s="238"/>
      <c r="E4714" s="545"/>
      <c r="F4714" s="546"/>
      <c r="G4714" s="234"/>
      <c r="H4714" s="238"/>
      <c r="I4714" s="237"/>
    </row>
    <row r="4715" spans="1:9" s="232" customFormat="1" ht="17" customHeight="1">
      <c r="A4715" s="234"/>
      <c r="B4715" s="233"/>
      <c r="C4715" s="238"/>
      <c r="E4715" s="545"/>
      <c r="F4715" s="546"/>
      <c r="G4715" s="234"/>
      <c r="H4715" s="238"/>
      <c r="I4715" s="237"/>
    </row>
    <row r="4716" spans="1:9" s="232" customFormat="1" ht="17" customHeight="1">
      <c r="A4716" s="234"/>
      <c r="B4716" s="233"/>
      <c r="C4716" s="238"/>
      <c r="E4716" s="545"/>
      <c r="F4716" s="546"/>
      <c r="G4716" s="234"/>
      <c r="H4716" s="238"/>
      <c r="I4716" s="237"/>
    </row>
    <row r="4717" spans="1:9" s="232" customFormat="1" ht="17" customHeight="1">
      <c r="A4717" s="234"/>
      <c r="B4717" s="233"/>
      <c r="C4717" s="238"/>
      <c r="E4717" s="545"/>
      <c r="F4717" s="546"/>
      <c r="G4717" s="234"/>
      <c r="H4717" s="238"/>
      <c r="I4717" s="237"/>
    </row>
    <row r="4718" spans="1:9" s="232" customFormat="1" ht="17" customHeight="1">
      <c r="A4718" s="234"/>
      <c r="B4718" s="233"/>
      <c r="C4718" s="238"/>
      <c r="E4718" s="545"/>
      <c r="F4718" s="546"/>
      <c r="G4718" s="234"/>
      <c r="H4718" s="238"/>
      <c r="I4718" s="237"/>
    </row>
    <row r="4719" spans="1:9" s="232" customFormat="1" ht="17" customHeight="1">
      <c r="A4719" s="234"/>
      <c r="B4719" s="233"/>
      <c r="C4719" s="238"/>
      <c r="E4719" s="545"/>
      <c r="F4719" s="546"/>
      <c r="G4719" s="234"/>
      <c r="H4719" s="238"/>
      <c r="I4719" s="237"/>
    </row>
    <row r="4720" spans="1:9" s="232" customFormat="1" ht="17" customHeight="1">
      <c r="A4720" s="234"/>
      <c r="B4720" s="233"/>
      <c r="C4720" s="238"/>
      <c r="E4720" s="545"/>
      <c r="F4720" s="546"/>
      <c r="G4720" s="234"/>
      <c r="H4720" s="238"/>
      <c r="I4720" s="237"/>
    </row>
    <row r="4721" spans="1:9" s="232" customFormat="1" ht="17" customHeight="1">
      <c r="A4721" s="234"/>
      <c r="B4721" s="233"/>
      <c r="C4721" s="238"/>
      <c r="E4721" s="545"/>
      <c r="F4721" s="546"/>
      <c r="G4721" s="234"/>
      <c r="H4721" s="238"/>
      <c r="I4721" s="237"/>
    </row>
    <row r="4722" spans="1:9" s="232" customFormat="1" ht="17" customHeight="1">
      <c r="A4722" s="234"/>
      <c r="B4722" s="233"/>
      <c r="C4722" s="238"/>
      <c r="E4722" s="545"/>
      <c r="F4722" s="546"/>
      <c r="G4722" s="234"/>
      <c r="H4722" s="238"/>
      <c r="I4722" s="237"/>
    </row>
    <row r="4723" spans="1:9" s="232" customFormat="1" ht="17" customHeight="1">
      <c r="A4723" s="234"/>
      <c r="B4723" s="233"/>
      <c r="C4723" s="238"/>
      <c r="E4723" s="545"/>
      <c r="F4723" s="546"/>
      <c r="G4723" s="234"/>
      <c r="H4723" s="238"/>
      <c r="I4723" s="237"/>
    </row>
    <row r="4724" spans="1:9" s="232" customFormat="1" ht="17" customHeight="1">
      <c r="A4724" s="234"/>
      <c r="B4724" s="233"/>
      <c r="C4724" s="238"/>
      <c r="E4724" s="545"/>
      <c r="F4724" s="546"/>
      <c r="G4724" s="234"/>
      <c r="H4724" s="238"/>
      <c r="I4724" s="237"/>
    </row>
    <row r="4725" spans="1:9" s="232" customFormat="1" ht="17" customHeight="1">
      <c r="A4725" s="234"/>
      <c r="B4725" s="233"/>
      <c r="C4725" s="238"/>
      <c r="E4725" s="545"/>
      <c r="F4725" s="546"/>
      <c r="G4725" s="234"/>
      <c r="H4725" s="238"/>
      <c r="I4725" s="237"/>
    </row>
    <row r="4726" spans="1:9" s="232" customFormat="1" ht="17" customHeight="1">
      <c r="A4726" s="234"/>
      <c r="B4726" s="233"/>
      <c r="C4726" s="238"/>
      <c r="E4726" s="545"/>
      <c r="F4726" s="546"/>
      <c r="G4726" s="234"/>
      <c r="H4726" s="238"/>
      <c r="I4726" s="237"/>
    </row>
    <row r="4727" spans="1:9" s="232" customFormat="1" ht="17" customHeight="1">
      <c r="A4727" s="234"/>
      <c r="B4727" s="233"/>
      <c r="C4727" s="238"/>
      <c r="E4727" s="545"/>
      <c r="F4727" s="546"/>
      <c r="G4727" s="234"/>
      <c r="H4727" s="238"/>
      <c r="I4727" s="237"/>
    </row>
    <row r="4728" spans="1:9" s="232" customFormat="1" ht="17" customHeight="1">
      <c r="A4728" s="234"/>
      <c r="B4728" s="233"/>
      <c r="C4728" s="238"/>
      <c r="E4728" s="545"/>
      <c r="F4728" s="546"/>
      <c r="G4728" s="234"/>
      <c r="H4728" s="238"/>
      <c r="I4728" s="237"/>
    </row>
    <row r="4729" spans="1:9" s="232" customFormat="1" ht="17" customHeight="1">
      <c r="A4729" s="234"/>
      <c r="B4729" s="233"/>
      <c r="C4729" s="238"/>
      <c r="E4729" s="545"/>
      <c r="F4729" s="546"/>
      <c r="G4729" s="234"/>
      <c r="H4729" s="238"/>
      <c r="I4729" s="237"/>
    </row>
    <row r="4730" spans="1:9" s="232" customFormat="1" ht="17" customHeight="1">
      <c r="A4730" s="234"/>
      <c r="B4730" s="233"/>
      <c r="C4730" s="238"/>
      <c r="E4730" s="545"/>
      <c r="F4730" s="546"/>
      <c r="G4730" s="234"/>
      <c r="H4730" s="238"/>
      <c r="I4730" s="237"/>
    </row>
    <row r="4731" spans="1:9" s="232" customFormat="1" ht="17" customHeight="1">
      <c r="A4731" s="234"/>
      <c r="B4731" s="233"/>
      <c r="C4731" s="238"/>
      <c r="E4731" s="545"/>
      <c r="F4731" s="546"/>
      <c r="G4731" s="234"/>
      <c r="H4731" s="238"/>
      <c r="I4731" s="237"/>
    </row>
    <row r="4732" spans="1:9" s="232" customFormat="1" ht="17" customHeight="1">
      <c r="A4732" s="234"/>
      <c r="B4732" s="233"/>
      <c r="C4732" s="238"/>
      <c r="E4732" s="545"/>
      <c r="F4732" s="546"/>
      <c r="G4732" s="234"/>
      <c r="H4732" s="238"/>
      <c r="I4732" s="237"/>
    </row>
    <row r="4733" spans="1:9" s="232" customFormat="1" ht="17" customHeight="1">
      <c r="A4733" s="234"/>
      <c r="B4733" s="233"/>
      <c r="C4733" s="238"/>
      <c r="E4733" s="545"/>
      <c r="F4733" s="546"/>
      <c r="G4733" s="234"/>
      <c r="H4733" s="238"/>
      <c r="I4733" s="237"/>
    </row>
    <row r="4734" spans="1:9" s="232" customFormat="1" ht="17" customHeight="1">
      <c r="A4734" s="234"/>
      <c r="B4734" s="233"/>
      <c r="C4734" s="238"/>
      <c r="E4734" s="545"/>
      <c r="F4734" s="546"/>
      <c r="G4734" s="234"/>
      <c r="H4734" s="238"/>
      <c r="I4734" s="237"/>
    </row>
    <row r="4735" spans="1:9" s="232" customFormat="1" ht="17" customHeight="1">
      <c r="A4735" s="234"/>
      <c r="B4735" s="233"/>
      <c r="C4735" s="238"/>
      <c r="E4735" s="545"/>
      <c r="F4735" s="546"/>
      <c r="G4735" s="234"/>
      <c r="H4735" s="238"/>
      <c r="I4735" s="237"/>
    </row>
    <row r="4736" spans="1:9" s="232" customFormat="1" ht="17" customHeight="1">
      <c r="A4736" s="234"/>
      <c r="B4736" s="233"/>
      <c r="C4736" s="238"/>
      <c r="E4736" s="545"/>
      <c r="F4736" s="546"/>
      <c r="G4736" s="234"/>
      <c r="H4736" s="238"/>
      <c r="I4736" s="237"/>
    </row>
    <row r="4737" spans="1:9" s="232" customFormat="1" ht="17" customHeight="1">
      <c r="A4737" s="234"/>
      <c r="B4737" s="233"/>
      <c r="C4737" s="238"/>
      <c r="E4737" s="545"/>
      <c r="F4737" s="546"/>
      <c r="G4737" s="234"/>
      <c r="H4737" s="238"/>
      <c r="I4737" s="237"/>
    </row>
    <row r="4738" spans="1:9" s="232" customFormat="1" ht="17" customHeight="1">
      <c r="A4738" s="234"/>
      <c r="B4738" s="233"/>
      <c r="C4738" s="238"/>
      <c r="E4738" s="545"/>
      <c r="F4738" s="546"/>
      <c r="G4738" s="234"/>
      <c r="H4738" s="238"/>
      <c r="I4738" s="237"/>
    </row>
    <row r="4739" spans="1:9" s="232" customFormat="1" ht="17" customHeight="1">
      <c r="A4739" s="234"/>
      <c r="B4739" s="233"/>
      <c r="C4739" s="238"/>
      <c r="E4739" s="545"/>
      <c r="F4739" s="546"/>
      <c r="G4739" s="234"/>
      <c r="H4739" s="238"/>
      <c r="I4739" s="237"/>
    </row>
    <row r="4740" spans="1:9" s="232" customFormat="1" ht="17" customHeight="1">
      <c r="A4740" s="234"/>
      <c r="B4740" s="233"/>
      <c r="C4740" s="238"/>
      <c r="E4740" s="545"/>
      <c r="F4740" s="546"/>
      <c r="G4740" s="234"/>
      <c r="H4740" s="238"/>
      <c r="I4740" s="237"/>
    </row>
    <row r="4741" spans="1:9" s="232" customFormat="1" ht="17" customHeight="1">
      <c r="A4741" s="234"/>
      <c r="B4741" s="233"/>
      <c r="C4741" s="238"/>
      <c r="E4741" s="545"/>
      <c r="F4741" s="546"/>
      <c r="G4741" s="234"/>
      <c r="H4741" s="238"/>
      <c r="I4741" s="237"/>
    </row>
    <row r="4742" spans="1:9" s="232" customFormat="1" ht="17" customHeight="1">
      <c r="A4742" s="234"/>
      <c r="B4742" s="233"/>
      <c r="C4742" s="238"/>
      <c r="E4742" s="545"/>
      <c r="F4742" s="546"/>
      <c r="G4742" s="234"/>
      <c r="H4742" s="238"/>
      <c r="I4742" s="237"/>
    </row>
    <row r="4743" spans="1:9" s="232" customFormat="1" ht="17" customHeight="1">
      <c r="A4743" s="234"/>
      <c r="B4743" s="233"/>
      <c r="C4743" s="238"/>
      <c r="E4743" s="545"/>
      <c r="F4743" s="546"/>
      <c r="G4743" s="234"/>
      <c r="H4743" s="238"/>
      <c r="I4743" s="237"/>
    </row>
    <row r="4744" spans="1:9" s="232" customFormat="1" ht="17" customHeight="1">
      <c r="A4744" s="234"/>
      <c r="B4744" s="233"/>
      <c r="C4744" s="238"/>
      <c r="E4744" s="545"/>
      <c r="F4744" s="546"/>
      <c r="G4744" s="234"/>
      <c r="H4744" s="238"/>
      <c r="I4744" s="237"/>
    </row>
    <row r="4745" spans="1:9" s="232" customFormat="1" ht="17" customHeight="1">
      <c r="A4745" s="234"/>
      <c r="B4745" s="233"/>
      <c r="C4745" s="238"/>
      <c r="E4745" s="545"/>
      <c r="F4745" s="546"/>
      <c r="G4745" s="234"/>
      <c r="H4745" s="238"/>
      <c r="I4745" s="237"/>
    </row>
    <row r="4746" spans="1:9" s="232" customFormat="1" ht="17" customHeight="1">
      <c r="A4746" s="234"/>
      <c r="B4746" s="233"/>
      <c r="C4746" s="238"/>
      <c r="E4746" s="545"/>
      <c r="F4746" s="546"/>
      <c r="G4746" s="234"/>
      <c r="H4746" s="238"/>
      <c r="I4746" s="237"/>
    </row>
    <row r="4747" spans="1:9" s="232" customFormat="1" ht="17" customHeight="1">
      <c r="A4747" s="234"/>
      <c r="B4747" s="233"/>
      <c r="C4747" s="238"/>
      <c r="E4747" s="545"/>
      <c r="F4747" s="546"/>
      <c r="G4747" s="234"/>
      <c r="H4747" s="238"/>
      <c r="I4747" s="237"/>
    </row>
    <row r="4748" spans="1:9" s="232" customFormat="1" ht="17" customHeight="1">
      <c r="A4748" s="234"/>
      <c r="B4748" s="233"/>
      <c r="C4748" s="238"/>
      <c r="E4748" s="545"/>
      <c r="F4748" s="546"/>
      <c r="G4748" s="234"/>
      <c r="H4748" s="238"/>
      <c r="I4748" s="237"/>
    </row>
    <row r="4749" spans="1:9" s="232" customFormat="1" ht="17" customHeight="1">
      <c r="A4749" s="234"/>
      <c r="B4749" s="233"/>
      <c r="C4749" s="238"/>
      <c r="E4749" s="545"/>
      <c r="F4749" s="546"/>
      <c r="G4749" s="234"/>
      <c r="H4749" s="238"/>
      <c r="I4749" s="237"/>
    </row>
    <row r="4750" spans="1:9" s="232" customFormat="1" ht="17" customHeight="1">
      <c r="A4750" s="234"/>
      <c r="B4750" s="233"/>
      <c r="C4750" s="238"/>
      <c r="E4750" s="545"/>
      <c r="F4750" s="546"/>
      <c r="G4750" s="234"/>
      <c r="H4750" s="238"/>
      <c r="I4750" s="237"/>
    </row>
    <row r="4751" spans="1:9" s="232" customFormat="1" ht="17" customHeight="1">
      <c r="A4751" s="234"/>
      <c r="B4751" s="233"/>
      <c r="C4751" s="238"/>
      <c r="E4751" s="545"/>
      <c r="F4751" s="546"/>
      <c r="G4751" s="234"/>
      <c r="H4751" s="238"/>
      <c r="I4751" s="237"/>
    </row>
    <row r="4752" spans="1:9" s="232" customFormat="1" ht="17" customHeight="1">
      <c r="A4752" s="234"/>
      <c r="B4752" s="233"/>
      <c r="C4752" s="238"/>
      <c r="E4752" s="545"/>
      <c r="F4752" s="546"/>
      <c r="G4752" s="234"/>
      <c r="H4752" s="238"/>
      <c r="I4752" s="237"/>
    </row>
    <row r="4753" spans="1:9" s="232" customFormat="1" ht="17" customHeight="1">
      <c r="A4753" s="234"/>
      <c r="B4753" s="233"/>
      <c r="C4753" s="238"/>
      <c r="E4753" s="545"/>
      <c r="F4753" s="546"/>
      <c r="G4753" s="234"/>
      <c r="H4753" s="238"/>
      <c r="I4753" s="237"/>
    </row>
    <row r="4754" spans="1:9" s="232" customFormat="1" ht="17" customHeight="1">
      <c r="A4754" s="234"/>
      <c r="B4754" s="233"/>
      <c r="C4754" s="238"/>
      <c r="E4754" s="545"/>
      <c r="F4754" s="546"/>
      <c r="G4754" s="234"/>
      <c r="H4754" s="238"/>
      <c r="I4754" s="237"/>
    </row>
    <row r="4755" spans="1:9" s="232" customFormat="1" ht="17" customHeight="1">
      <c r="A4755" s="234"/>
      <c r="B4755" s="233"/>
      <c r="C4755" s="238"/>
      <c r="E4755" s="545"/>
      <c r="F4755" s="546"/>
      <c r="G4755" s="234"/>
      <c r="H4755" s="238"/>
      <c r="I4755" s="237"/>
    </row>
    <row r="4756" spans="1:9" s="232" customFormat="1" ht="17" customHeight="1">
      <c r="A4756" s="234"/>
      <c r="B4756" s="233"/>
      <c r="C4756" s="238"/>
      <c r="E4756" s="545"/>
      <c r="F4756" s="546"/>
      <c r="G4756" s="234"/>
      <c r="H4756" s="238"/>
      <c r="I4756" s="237"/>
    </row>
    <row r="4757" spans="1:9" s="232" customFormat="1" ht="17" customHeight="1">
      <c r="A4757" s="234"/>
      <c r="B4757" s="233"/>
      <c r="C4757" s="238"/>
      <c r="E4757" s="545"/>
      <c r="F4757" s="546"/>
      <c r="G4757" s="234"/>
      <c r="H4757" s="238"/>
      <c r="I4757" s="237"/>
    </row>
    <row r="4758" spans="1:9" s="232" customFormat="1" ht="17" customHeight="1">
      <c r="A4758" s="234"/>
      <c r="B4758" s="233"/>
      <c r="C4758" s="238"/>
      <c r="E4758" s="545"/>
      <c r="F4758" s="546"/>
      <c r="G4758" s="234"/>
      <c r="H4758" s="238"/>
      <c r="I4758" s="237"/>
    </row>
    <row r="4759" spans="1:9" s="232" customFormat="1" ht="17" customHeight="1">
      <c r="A4759" s="234"/>
      <c r="B4759" s="233"/>
      <c r="C4759" s="238"/>
      <c r="E4759" s="545"/>
      <c r="F4759" s="546"/>
      <c r="G4759" s="234"/>
      <c r="H4759" s="238"/>
      <c r="I4759" s="237"/>
    </row>
    <row r="4760" spans="1:9" s="232" customFormat="1" ht="17" customHeight="1">
      <c r="A4760" s="234"/>
      <c r="B4760" s="233"/>
      <c r="C4760" s="238"/>
      <c r="E4760" s="545"/>
      <c r="F4760" s="546"/>
      <c r="G4760" s="234"/>
      <c r="H4760" s="238"/>
      <c r="I4760" s="237"/>
    </row>
    <row r="4761" spans="1:9" s="232" customFormat="1" ht="17" customHeight="1">
      <c r="A4761" s="234"/>
      <c r="B4761" s="233"/>
      <c r="C4761" s="238"/>
      <c r="E4761" s="545"/>
      <c r="F4761" s="546"/>
      <c r="G4761" s="234"/>
      <c r="H4761" s="238"/>
      <c r="I4761" s="237"/>
    </row>
    <row r="4762" spans="1:9" s="232" customFormat="1" ht="17" customHeight="1">
      <c r="A4762" s="234"/>
      <c r="B4762" s="233"/>
      <c r="C4762" s="238"/>
      <c r="E4762" s="545"/>
      <c r="F4762" s="546"/>
      <c r="G4762" s="234"/>
      <c r="H4762" s="238"/>
      <c r="I4762" s="237"/>
    </row>
    <row r="4763" spans="1:9" s="232" customFormat="1" ht="17" customHeight="1">
      <c r="A4763" s="234"/>
      <c r="B4763" s="233"/>
      <c r="C4763" s="238"/>
      <c r="E4763" s="545"/>
      <c r="F4763" s="546"/>
      <c r="G4763" s="234"/>
      <c r="H4763" s="238"/>
      <c r="I4763" s="237"/>
    </row>
    <row r="4764" spans="1:9" s="232" customFormat="1" ht="17" customHeight="1">
      <c r="A4764" s="234"/>
      <c r="B4764" s="233"/>
      <c r="C4764" s="238"/>
      <c r="E4764" s="545"/>
      <c r="F4764" s="546"/>
      <c r="G4764" s="234"/>
      <c r="H4764" s="238"/>
      <c r="I4764" s="237"/>
    </row>
    <row r="4765" spans="1:9" s="232" customFormat="1" ht="17" customHeight="1">
      <c r="A4765" s="234"/>
      <c r="B4765" s="233"/>
      <c r="C4765" s="238"/>
      <c r="E4765" s="545"/>
      <c r="F4765" s="546"/>
      <c r="G4765" s="234"/>
      <c r="H4765" s="238"/>
      <c r="I4765" s="237"/>
    </row>
    <row r="4766" spans="1:9" s="232" customFormat="1" ht="17" customHeight="1">
      <c r="A4766" s="234"/>
      <c r="B4766" s="233"/>
      <c r="C4766" s="238"/>
      <c r="E4766" s="545"/>
      <c r="F4766" s="546"/>
      <c r="G4766" s="234"/>
      <c r="H4766" s="238"/>
      <c r="I4766" s="237"/>
    </row>
    <row r="4767" spans="1:9" s="232" customFormat="1" ht="17" customHeight="1">
      <c r="A4767" s="234"/>
      <c r="B4767" s="233"/>
      <c r="C4767" s="238"/>
      <c r="E4767" s="545"/>
      <c r="F4767" s="546"/>
      <c r="G4767" s="234"/>
      <c r="H4767" s="238"/>
      <c r="I4767" s="237"/>
    </row>
    <row r="4768" spans="1:9" s="232" customFormat="1" ht="17" customHeight="1">
      <c r="A4768" s="234"/>
      <c r="B4768" s="233"/>
      <c r="C4768" s="238"/>
      <c r="E4768" s="545"/>
      <c r="F4768" s="546"/>
      <c r="G4768" s="234"/>
      <c r="H4768" s="238"/>
      <c r="I4768" s="237"/>
    </row>
    <row r="4769" spans="1:9" s="232" customFormat="1" ht="17" customHeight="1">
      <c r="A4769" s="234"/>
      <c r="B4769" s="233"/>
      <c r="C4769" s="238"/>
      <c r="E4769" s="545"/>
      <c r="F4769" s="546"/>
      <c r="G4769" s="234"/>
      <c r="H4769" s="238"/>
      <c r="I4769" s="237"/>
    </row>
    <row r="4770" spans="1:9" s="232" customFormat="1" ht="17" customHeight="1">
      <c r="A4770" s="234"/>
      <c r="B4770" s="233"/>
      <c r="C4770" s="238"/>
      <c r="E4770" s="545"/>
      <c r="F4770" s="546"/>
      <c r="G4770" s="234"/>
      <c r="H4770" s="238"/>
      <c r="I4770" s="237"/>
    </row>
    <row r="4771" spans="1:9" s="232" customFormat="1" ht="17" customHeight="1">
      <c r="A4771" s="234"/>
      <c r="B4771" s="233"/>
      <c r="C4771" s="238"/>
      <c r="E4771" s="545"/>
      <c r="F4771" s="546"/>
      <c r="G4771" s="234"/>
      <c r="H4771" s="238"/>
      <c r="I4771" s="237"/>
    </row>
    <row r="4772" spans="1:9" s="232" customFormat="1" ht="17" customHeight="1">
      <c r="A4772" s="234"/>
      <c r="B4772" s="233"/>
      <c r="C4772" s="238"/>
      <c r="E4772" s="545"/>
      <c r="F4772" s="546"/>
      <c r="G4772" s="234"/>
      <c r="H4772" s="238"/>
      <c r="I4772" s="237"/>
    </row>
    <row r="4773" spans="1:9" s="232" customFormat="1" ht="17" customHeight="1">
      <c r="A4773" s="234"/>
      <c r="B4773" s="233"/>
      <c r="C4773" s="238"/>
      <c r="E4773" s="545"/>
      <c r="F4773" s="546"/>
      <c r="G4773" s="234"/>
      <c r="H4773" s="238"/>
      <c r="I4773" s="237"/>
    </row>
    <row r="4774" spans="1:9" s="232" customFormat="1" ht="17" customHeight="1">
      <c r="A4774" s="234"/>
      <c r="B4774" s="233"/>
      <c r="C4774" s="238"/>
      <c r="E4774" s="545"/>
      <c r="F4774" s="546"/>
      <c r="G4774" s="234"/>
      <c r="H4774" s="238"/>
      <c r="I4774" s="237"/>
    </row>
    <row r="4775" spans="1:9" s="232" customFormat="1" ht="17" customHeight="1">
      <c r="A4775" s="234"/>
      <c r="B4775" s="233"/>
      <c r="C4775" s="238"/>
      <c r="E4775" s="545"/>
      <c r="F4775" s="546"/>
      <c r="G4775" s="234"/>
      <c r="H4775" s="238"/>
      <c r="I4775" s="237"/>
    </row>
    <row r="4776" spans="1:9" s="232" customFormat="1" ht="17" customHeight="1">
      <c r="A4776" s="234"/>
      <c r="B4776" s="233"/>
      <c r="C4776" s="238"/>
      <c r="E4776" s="545"/>
      <c r="F4776" s="546"/>
      <c r="G4776" s="234"/>
      <c r="H4776" s="238"/>
      <c r="I4776" s="237"/>
    </row>
    <row r="4777" spans="1:9" s="232" customFormat="1" ht="17" customHeight="1">
      <c r="A4777" s="234"/>
      <c r="B4777" s="233"/>
      <c r="C4777" s="238"/>
      <c r="E4777" s="545"/>
      <c r="F4777" s="546"/>
      <c r="G4777" s="234"/>
      <c r="H4777" s="238"/>
      <c r="I4777" s="237"/>
    </row>
    <row r="4778" spans="1:9" s="232" customFormat="1" ht="17" customHeight="1">
      <c r="A4778" s="234"/>
      <c r="B4778" s="233"/>
      <c r="C4778" s="238"/>
      <c r="E4778" s="545"/>
      <c r="F4778" s="546"/>
      <c r="G4778" s="234"/>
      <c r="H4778" s="238"/>
      <c r="I4778" s="237"/>
    </row>
    <row r="4779" spans="1:9" s="232" customFormat="1" ht="17" customHeight="1">
      <c r="A4779" s="234"/>
      <c r="B4779" s="233"/>
      <c r="C4779" s="238"/>
      <c r="E4779" s="545"/>
      <c r="F4779" s="546"/>
      <c r="G4779" s="234"/>
      <c r="H4779" s="238"/>
      <c r="I4779" s="237"/>
    </row>
    <row r="4780" spans="1:9" s="232" customFormat="1" ht="17" customHeight="1">
      <c r="A4780" s="234"/>
      <c r="B4780" s="233"/>
      <c r="C4780" s="238"/>
      <c r="E4780" s="545"/>
      <c r="F4780" s="546"/>
      <c r="G4780" s="234"/>
      <c r="H4780" s="238"/>
      <c r="I4780" s="237"/>
    </row>
    <row r="4781" spans="1:9" s="232" customFormat="1" ht="17" customHeight="1">
      <c r="A4781" s="234"/>
      <c r="B4781" s="233"/>
      <c r="C4781" s="238"/>
      <c r="E4781" s="545"/>
      <c r="F4781" s="546"/>
      <c r="G4781" s="234"/>
      <c r="H4781" s="238"/>
      <c r="I4781" s="237"/>
    </row>
    <row r="4782" spans="1:9" s="232" customFormat="1" ht="17" customHeight="1">
      <c r="A4782" s="234"/>
      <c r="B4782" s="233"/>
      <c r="C4782" s="238"/>
      <c r="E4782" s="545"/>
      <c r="F4782" s="546"/>
      <c r="G4782" s="234"/>
      <c r="H4782" s="238"/>
      <c r="I4782" s="237"/>
    </row>
    <row r="4783" spans="1:9" s="232" customFormat="1" ht="17" customHeight="1">
      <c r="A4783" s="234"/>
      <c r="B4783" s="233"/>
      <c r="C4783" s="238"/>
      <c r="E4783" s="545"/>
      <c r="F4783" s="546"/>
      <c r="G4783" s="234"/>
      <c r="H4783" s="238"/>
      <c r="I4783" s="237"/>
    </row>
    <row r="4784" spans="1:9" s="232" customFormat="1" ht="17" customHeight="1">
      <c r="A4784" s="234"/>
      <c r="B4784" s="233"/>
      <c r="C4784" s="238"/>
      <c r="E4784" s="545"/>
      <c r="F4784" s="546"/>
      <c r="G4784" s="234"/>
      <c r="H4784" s="238"/>
      <c r="I4784" s="237"/>
    </row>
    <row r="4785" spans="1:9" s="232" customFormat="1" ht="17" customHeight="1">
      <c r="A4785" s="234"/>
      <c r="B4785" s="233"/>
      <c r="C4785" s="238"/>
      <c r="E4785" s="545"/>
      <c r="F4785" s="546"/>
      <c r="G4785" s="234"/>
      <c r="H4785" s="238"/>
      <c r="I4785" s="237"/>
    </row>
    <row r="4786" spans="1:9" s="232" customFormat="1" ht="17" customHeight="1">
      <c r="A4786" s="234"/>
      <c r="B4786" s="233"/>
      <c r="C4786" s="238"/>
      <c r="E4786" s="545"/>
      <c r="F4786" s="546"/>
      <c r="G4786" s="234"/>
      <c r="H4786" s="238"/>
      <c r="I4786" s="237"/>
    </row>
    <row r="4787" spans="1:9" s="232" customFormat="1" ht="17" customHeight="1">
      <c r="A4787" s="234"/>
      <c r="B4787" s="233"/>
      <c r="C4787" s="238"/>
      <c r="E4787" s="545"/>
      <c r="F4787" s="546"/>
      <c r="G4787" s="234"/>
      <c r="H4787" s="238"/>
      <c r="I4787" s="237"/>
    </row>
    <row r="4788" spans="1:9" s="232" customFormat="1" ht="17" customHeight="1">
      <c r="A4788" s="234"/>
      <c r="B4788" s="233"/>
      <c r="C4788" s="238"/>
      <c r="E4788" s="545"/>
      <c r="F4788" s="546"/>
      <c r="G4788" s="234"/>
      <c r="H4788" s="238"/>
      <c r="I4788" s="237"/>
    </row>
    <row r="4789" spans="1:9" s="232" customFormat="1" ht="17" customHeight="1">
      <c r="A4789" s="234"/>
      <c r="B4789" s="233"/>
      <c r="C4789" s="238"/>
      <c r="E4789" s="545"/>
      <c r="F4789" s="546"/>
      <c r="G4789" s="234"/>
      <c r="H4789" s="238"/>
      <c r="I4789" s="237"/>
    </row>
    <row r="4790" spans="1:9" s="232" customFormat="1" ht="17" customHeight="1">
      <c r="A4790" s="234"/>
      <c r="B4790" s="233"/>
      <c r="C4790" s="238"/>
      <c r="E4790" s="545"/>
      <c r="F4790" s="546"/>
      <c r="G4790" s="234"/>
      <c r="H4790" s="238"/>
      <c r="I4790" s="237"/>
    </row>
    <row r="4791" spans="1:9" s="232" customFormat="1" ht="17" customHeight="1">
      <c r="A4791" s="234"/>
      <c r="B4791" s="233"/>
      <c r="C4791" s="238"/>
      <c r="E4791" s="545"/>
      <c r="F4791" s="546"/>
      <c r="G4791" s="234"/>
      <c r="H4791" s="238"/>
      <c r="I4791" s="237"/>
    </row>
    <row r="4792" spans="1:9" s="232" customFormat="1" ht="17" customHeight="1">
      <c r="A4792" s="234"/>
      <c r="B4792" s="233"/>
      <c r="C4792" s="238"/>
      <c r="E4792" s="545"/>
      <c r="F4792" s="546"/>
      <c r="G4792" s="234"/>
      <c r="H4792" s="238"/>
      <c r="I4792" s="237"/>
    </row>
    <row r="4793" spans="1:9" s="232" customFormat="1" ht="17" customHeight="1">
      <c r="A4793" s="234"/>
      <c r="B4793" s="233"/>
      <c r="C4793" s="238"/>
      <c r="E4793" s="545"/>
      <c r="F4793" s="546"/>
      <c r="G4793" s="234"/>
      <c r="H4793" s="238"/>
      <c r="I4793" s="237"/>
    </row>
    <row r="4794" spans="1:9" s="232" customFormat="1" ht="17" customHeight="1">
      <c r="A4794" s="234"/>
      <c r="B4794" s="233"/>
      <c r="C4794" s="238"/>
      <c r="E4794" s="545"/>
      <c r="F4794" s="546"/>
      <c r="G4794" s="234"/>
      <c r="H4794" s="238"/>
      <c r="I4794" s="237"/>
    </row>
    <row r="4795" spans="1:9" s="232" customFormat="1" ht="17" customHeight="1">
      <c r="A4795" s="234"/>
      <c r="B4795" s="233"/>
      <c r="C4795" s="238"/>
      <c r="E4795" s="545"/>
      <c r="F4795" s="546"/>
      <c r="G4795" s="234"/>
      <c r="H4795" s="238"/>
      <c r="I4795" s="237"/>
    </row>
    <row r="4796" spans="1:9" s="232" customFormat="1" ht="17" customHeight="1">
      <c r="A4796" s="234"/>
      <c r="B4796" s="233"/>
      <c r="C4796" s="238"/>
      <c r="E4796" s="545"/>
      <c r="F4796" s="546"/>
      <c r="G4796" s="234"/>
      <c r="H4796" s="238"/>
      <c r="I4796" s="237"/>
    </row>
    <row r="4797" spans="1:9" s="232" customFormat="1" ht="17" customHeight="1">
      <c r="A4797" s="234"/>
      <c r="B4797" s="233"/>
      <c r="C4797" s="238"/>
      <c r="E4797" s="545"/>
      <c r="F4797" s="546"/>
      <c r="G4797" s="234"/>
      <c r="H4797" s="238"/>
      <c r="I4797" s="237"/>
    </row>
    <row r="4798" spans="1:9" s="232" customFormat="1" ht="17" customHeight="1">
      <c r="A4798" s="234"/>
      <c r="B4798" s="233"/>
      <c r="C4798" s="238"/>
      <c r="E4798" s="545"/>
      <c r="F4798" s="546"/>
      <c r="G4798" s="234"/>
      <c r="H4798" s="238"/>
      <c r="I4798" s="237"/>
    </row>
    <row r="4799" spans="1:9" s="232" customFormat="1" ht="17" customHeight="1">
      <c r="A4799" s="234"/>
      <c r="B4799" s="233"/>
      <c r="C4799" s="238"/>
      <c r="E4799" s="545"/>
      <c r="F4799" s="546"/>
      <c r="G4799" s="234"/>
      <c r="H4799" s="238"/>
      <c r="I4799" s="237"/>
    </row>
    <row r="4800" spans="1:9" s="232" customFormat="1" ht="17" customHeight="1">
      <c r="A4800" s="234"/>
      <c r="B4800" s="233"/>
      <c r="C4800" s="238"/>
      <c r="E4800" s="545"/>
      <c r="F4800" s="546"/>
      <c r="G4800" s="234"/>
      <c r="H4800" s="238"/>
      <c r="I4800" s="237"/>
    </row>
    <row r="4801" spans="1:9" s="232" customFormat="1" ht="17" customHeight="1">
      <c r="A4801" s="234"/>
      <c r="B4801" s="233"/>
      <c r="C4801" s="238"/>
      <c r="E4801" s="545"/>
      <c r="F4801" s="546"/>
      <c r="G4801" s="234"/>
      <c r="H4801" s="238"/>
      <c r="I4801" s="237"/>
    </row>
    <row r="4802" spans="1:9" s="232" customFormat="1" ht="17" customHeight="1">
      <c r="A4802" s="234"/>
      <c r="B4802" s="233"/>
      <c r="C4802" s="238"/>
      <c r="E4802" s="545"/>
      <c r="F4802" s="546"/>
      <c r="G4802" s="234"/>
      <c r="H4802" s="238"/>
      <c r="I4802" s="237"/>
    </row>
    <row r="4803" spans="1:9" s="232" customFormat="1" ht="17" customHeight="1">
      <c r="A4803" s="234"/>
      <c r="B4803" s="233"/>
      <c r="C4803" s="238"/>
      <c r="E4803" s="545"/>
      <c r="F4803" s="546"/>
      <c r="G4803" s="234"/>
      <c r="H4803" s="238"/>
      <c r="I4803" s="237"/>
    </row>
    <row r="4804" spans="1:9" s="232" customFormat="1" ht="17" customHeight="1">
      <c r="A4804" s="234"/>
      <c r="B4804" s="233"/>
      <c r="C4804" s="238"/>
      <c r="E4804" s="545"/>
      <c r="F4804" s="546"/>
      <c r="G4804" s="234"/>
      <c r="H4804" s="238"/>
      <c r="I4804" s="237"/>
    </row>
    <row r="4805" spans="1:9" s="232" customFormat="1" ht="17" customHeight="1">
      <c r="A4805" s="234"/>
      <c r="B4805" s="233"/>
      <c r="C4805" s="238"/>
      <c r="E4805" s="545"/>
      <c r="F4805" s="546"/>
      <c r="G4805" s="234"/>
      <c r="H4805" s="238"/>
      <c r="I4805" s="237"/>
    </row>
    <row r="4806" spans="1:9" s="232" customFormat="1" ht="17" customHeight="1">
      <c r="A4806" s="234"/>
      <c r="B4806" s="233"/>
      <c r="C4806" s="238"/>
      <c r="E4806" s="545"/>
      <c r="F4806" s="546"/>
      <c r="G4806" s="234"/>
      <c r="H4806" s="238"/>
      <c r="I4806" s="237"/>
    </row>
    <row r="4807" spans="1:9" s="232" customFormat="1" ht="17" customHeight="1">
      <c r="A4807" s="234"/>
      <c r="B4807" s="233"/>
      <c r="C4807" s="238"/>
      <c r="E4807" s="545"/>
      <c r="F4807" s="546"/>
      <c r="G4807" s="234"/>
      <c r="H4807" s="238"/>
      <c r="I4807" s="237"/>
    </row>
    <row r="4808" spans="1:9" s="232" customFormat="1" ht="17" customHeight="1">
      <c r="A4808" s="234"/>
      <c r="B4808" s="233"/>
      <c r="C4808" s="238"/>
      <c r="E4808" s="545"/>
      <c r="F4808" s="546"/>
      <c r="G4808" s="234"/>
      <c r="H4808" s="238"/>
      <c r="I4808" s="237"/>
    </row>
    <row r="4809" spans="1:9" s="232" customFormat="1" ht="17" customHeight="1">
      <c r="A4809" s="234"/>
      <c r="B4809" s="233"/>
      <c r="C4809" s="238"/>
      <c r="E4809" s="545"/>
      <c r="F4809" s="546"/>
      <c r="G4809" s="234"/>
      <c r="H4809" s="238"/>
      <c r="I4809" s="237"/>
    </row>
    <row r="4810" spans="1:9" s="232" customFormat="1" ht="17" customHeight="1">
      <c r="A4810" s="234"/>
      <c r="B4810" s="233"/>
      <c r="C4810" s="238"/>
      <c r="E4810" s="545"/>
      <c r="F4810" s="546"/>
      <c r="G4810" s="234"/>
      <c r="H4810" s="238"/>
      <c r="I4810" s="237"/>
    </row>
    <row r="4811" spans="1:9" s="232" customFormat="1" ht="17" customHeight="1">
      <c r="A4811" s="234"/>
      <c r="B4811" s="233"/>
      <c r="C4811" s="238"/>
      <c r="E4811" s="545"/>
      <c r="F4811" s="546"/>
      <c r="G4811" s="234"/>
      <c r="H4811" s="238"/>
      <c r="I4811" s="237"/>
    </row>
    <row r="4812" spans="1:9" s="232" customFormat="1" ht="17" customHeight="1">
      <c r="A4812" s="234"/>
      <c r="B4812" s="233"/>
      <c r="C4812" s="238"/>
      <c r="E4812" s="545"/>
      <c r="F4812" s="546"/>
      <c r="G4812" s="234"/>
      <c r="H4812" s="238"/>
      <c r="I4812" s="237"/>
    </row>
    <row r="4813" spans="1:9" s="232" customFormat="1" ht="17" customHeight="1">
      <c r="A4813" s="234"/>
      <c r="B4813" s="233"/>
      <c r="C4813" s="238"/>
      <c r="E4813" s="545"/>
      <c r="F4813" s="546"/>
      <c r="G4813" s="234"/>
      <c r="H4813" s="238"/>
      <c r="I4813" s="237"/>
    </row>
    <row r="4814" spans="1:9" s="232" customFormat="1" ht="17" customHeight="1">
      <c r="A4814" s="234"/>
      <c r="B4814" s="233"/>
      <c r="C4814" s="238"/>
      <c r="E4814" s="545"/>
      <c r="F4814" s="546"/>
      <c r="G4814" s="234"/>
      <c r="H4814" s="238"/>
      <c r="I4814" s="237"/>
    </row>
    <row r="4815" spans="1:9" s="232" customFormat="1" ht="17" customHeight="1">
      <c r="A4815" s="234"/>
      <c r="B4815" s="233"/>
      <c r="C4815" s="238"/>
      <c r="E4815" s="545"/>
      <c r="F4815" s="546"/>
      <c r="G4815" s="234"/>
      <c r="H4815" s="238"/>
      <c r="I4815" s="237"/>
    </row>
    <row r="4816" spans="1:9" s="232" customFormat="1" ht="17" customHeight="1">
      <c r="A4816" s="234"/>
      <c r="B4816" s="233"/>
      <c r="C4816" s="238"/>
      <c r="E4816" s="545"/>
      <c r="F4816" s="546"/>
      <c r="G4816" s="234"/>
      <c r="H4816" s="238"/>
      <c r="I4816" s="237"/>
    </row>
    <row r="4817" spans="1:9" s="232" customFormat="1" ht="17" customHeight="1">
      <c r="A4817" s="234"/>
      <c r="B4817" s="233"/>
      <c r="C4817" s="238"/>
      <c r="E4817" s="545"/>
      <c r="F4817" s="546"/>
      <c r="G4817" s="234"/>
      <c r="H4817" s="238"/>
      <c r="I4817" s="237"/>
    </row>
    <row r="4818" spans="1:9" s="232" customFormat="1" ht="17" customHeight="1">
      <c r="A4818" s="234"/>
      <c r="B4818" s="233"/>
      <c r="C4818" s="238"/>
      <c r="E4818" s="545"/>
      <c r="F4818" s="546"/>
      <c r="G4818" s="234"/>
      <c r="H4818" s="238"/>
      <c r="I4818" s="237"/>
    </row>
    <row r="4819" spans="1:9" s="232" customFormat="1" ht="17" customHeight="1">
      <c r="A4819" s="234"/>
      <c r="B4819" s="233"/>
      <c r="C4819" s="238"/>
      <c r="E4819" s="545"/>
      <c r="F4819" s="546"/>
      <c r="G4819" s="234"/>
      <c r="H4819" s="238"/>
      <c r="I4819" s="237"/>
    </row>
    <row r="4820" spans="1:9" s="232" customFormat="1" ht="17" customHeight="1">
      <c r="A4820" s="234"/>
      <c r="B4820" s="233"/>
      <c r="C4820" s="238"/>
      <c r="E4820" s="545"/>
      <c r="F4820" s="546"/>
      <c r="G4820" s="234"/>
      <c r="H4820" s="238"/>
      <c r="I4820" s="237"/>
    </row>
    <row r="4821" spans="1:9" s="232" customFormat="1" ht="17" customHeight="1">
      <c r="A4821" s="234"/>
      <c r="B4821" s="233"/>
      <c r="C4821" s="238"/>
      <c r="E4821" s="545"/>
      <c r="F4821" s="546"/>
      <c r="G4821" s="234"/>
      <c r="H4821" s="238"/>
      <c r="I4821" s="237"/>
    </row>
    <row r="4822" spans="1:9" s="232" customFormat="1" ht="17" customHeight="1">
      <c r="A4822" s="234"/>
      <c r="B4822" s="233"/>
      <c r="C4822" s="238"/>
      <c r="E4822" s="545"/>
      <c r="F4822" s="546"/>
      <c r="G4822" s="234"/>
      <c r="H4822" s="238"/>
      <c r="I4822" s="237"/>
    </row>
    <row r="4823" spans="1:9" s="232" customFormat="1" ht="17" customHeight="1">
      <c r="A4823" s="234"/>
      <c r="B4823" s="233"/>
      <c r="C4823" s="238"/>
      <c r="E4823" s="545"/>
      <c r="F4823" s="546"/>
      <c r="G4823" s="234"/>
      <c r="H4823" s="238"/>
      <c r="I4823" s="237"/>
    </row>
    <row r="4824" spans="1:9" s="232" customFormat="1" ht="17" customHeight="1">
      <c r="A4824" s="234"/>
      <c r="B4824" s="233"/>
      <c r="C4824" s="238"/>
      <c r="E4824" s="545"/>
      <c r="F4824" s="546"/>
      <c r="G4824" s="234"/>
      <c r="H4824" s="238"/>
      <c r="I4824" s="237"/>
    </row>
    <row r="4825" spans="1:9" s="232" customFormat="1" ht="17" customHeight="1">
      <c r="A4825" s="234"/>
      <c r="B4825" s="233"/>
      <c r="C4825" s="238"/>
      <c r="E4825" s="545"/>
      <c r="F4825" s="546"/>
      <c r="G4825" s="234"/>
      <c r="H4825" s="238"/>
      <c r="I4825" s="237"/>
    </row>
    <row r="4826" spans="1:9" s="232" customFormat="1" ht="17" customHeight="1">
      <c r="A4826" s="234"/>
      <c r="B4826" s="233"/>
      <c r="C4826" s="238"/>
      <c r="E4826" s="545"/>
      <c r="F4826" s="546"/>
      <c r="G4826" s="234"/>
      <c r="H4826" s="238"/>
      <c r="I4826" s="237"/>
    </row>
    <row r="4827" spans="1:9" s="232" customFormat="1" ht="17" customHeight="1">
      <c r="A4827" s="234"/>
      <c r="B4827" s="233"/>
      <c r="C4827" s="238"/>
      <c r="E4827" s="545"/>
      <c r="F4827" s="546"/>
      <c r="G4827" s="234"/>
      <c r="H4827" s="238"/>
      <c r="I4827" s="237"/>
    </row>
    <row r="4828" spans="1:9" s="232" customFormat="1" ht="17" customHeight="1">
      <c r="A4828" s="234"/>
      <c r="B4828" s="233"/>
      <c r="C4828" s="238"/>
      <c r="E4828" s="545"/>
      <c r="F4828" s="546"/>
      <c r="G4828" s="234"/>
      <c r="H4828" s="238"/>
      <c r="I4828" s="237"/>
    </row>
    <row r="4829" spans="1:9" s="232" customFormat="1" ht="17" customHeight="1">
      <c r="A4829" s="234"/>
      <c r="B4829" s="233"/>
      <c r="C4829" s="238"/>
      <c r="E4829" s="545"/>
      <c r="F4829" s="546"/>
      <c r="G4829" s="234"/>
      <c r="H4829" s="238"/>
      <c r="I4829" s="237"/>
    </row>
    <row r="4830" spans="1:9" s="232" customFormat="1" ht="17" customHeight="1">
      <c r="A4830" s="234"/>
      <c r="B4830" s="233"/>
      <c r="C4830" s="238"/>
      <c r="E4830" s="545"/>
      <c r="F4830" s="546"/>
      <c r="G4830" s="234"/>
      <c r="H4830" s="238"/>
      <c r="I4830" s="237"/>
    </row>
    <row r="4831" spans="1:9" s="232" customFormat="1" ht="17" customHeight="1">
      <c r="A4831" s="234"/>
      <c r="B4831" s="233"/>
      <c r="C4831" s="238"/>
      <c r="E4831" s="545"/>
      <c r="F4831" s="546"/>
      <c r="G4831" s="234"/>
      <c r="H4831" s="238"/>
      <c r="I4831" s="237"/>
    </row>
    <row r="4832" spans="1:9" s="232" customFormat="1" ht="17" customHeight="1">
      <c r="A4832" s="234"/>
      <c r="B4832" s="233"/>
      <c r="C4832" s="238"/>
      <c r="E4832" s="545"/>
      <c r="F4832" s="546"/>
      <c r="G4832" s="234"/>
      <c r="H4832" s="238"/>
      <c r="I4832" s="237"/>
    </row>
    <row r="4833" spans="1:9" s="232" customFormat="1" ht="17" customHeight="1">
      <c r="A4833" s="234"/>
      <c r="B4833" s="233"/>
      <c r="C4833" s="238"/>
      <c r="E4833" s="545"/>
      <c r="F4833" s="546"/>
      <c r="G4833" s="234"/>
      <c r="H4833" s="238"/>
      <c r="I4833" s="237"/>
    </row>
    <row r="4834" spans="1:9" s="232" customFormat="1" ht="17" customHeight="1">
      <c r="A4834" s="234"/>
      <c r="B4834" s="233"/>
      <c r="C4834" s="238"/>
      <c r="E4834" s="545"/>
      <c r="F4834" s="546"/>
      <c r="G4834" s="234"/>
      <c r="H4834" s="238"/>
      <c r="I4834" s="237"/>
    </row>
    <row r="4835" spans="1:9" s="232" customFormat="1" ht="17" customHeight="1">
      <c r="A4835" s="234"/>
      <c r="B4835" s="233"/>
      <c r="C4835" s="238"/>
      <c r="E4835" s="545"/>
      <c r="F4835" s="546"/>
      <c r="G4835" s="234"/>
      <c r="H4835" s="238"/>
      <c r="I4835" s="237"/>
    </row>
    <row r="4836" spans="1:9" s="232" customFormat="1" ht="17" customHeight="1">
      <c r="A4836" s="234"/>
      <c r="B4836" s="233"/>
      <c r="C4836" s="238"/>
      <c r="E4836" s="545"/>
      <c r="F4836" s="546"/>
      <c r="G4836" s="234"/>
      <c r="H4836" s="238"/>
      <c r="I4836" s="237"/>
    </row>
    <row r="4837" spans="1:9" s="232" customFormat="1" ht="17" customHeight="1">
      <c r="A4837" s="234"/>
      <c r="B4837" s="233"/>
      <c r="C4837" s="238"/>
      <c r="E4837" s="545"/>
      <c r="F4837" s="546"/>
      <c r="G4837" s="234"/>
      <c r="H4837" s="238"/>
      <c r="I4837" s="237"/>
    </row>
    <row r="4838" spans="1:9" s="232" customFormat="1" ht="17" customHeight="1">
      <c r="A4838" s="234"/>
      <c r="B4838" s="233"/>
      <c r="C4838" s="238"/>
      <c r="E4838" s="545"/>
      <c r="F4838" s="546"/>
      <c r="G4838" s="234"/>
      <c r="H4838" s="238"/>
      <c r="I4838" s="237"/>
    </row>
    <row r="4839" spans="1:9" s="232" customFormat="1" ht="17" customHeight="1">
      <c r="A4839" s="234"/>
      <c r="B4839" s="233"/>
      <c r="C4839" s="238"/>
      <c r="E4839" s="545"/>
      <c r="F4839" s="546"/>
      <c r="G4839" s="234"/>
      <c r="H4839" s="238"/>
      <c r="I4839" s="237"/>
    </row>
    <row r="4840" spans="1:9" s="232" customFormat="1" ht="17" customHeight="1">
      <c r="A4840" s="234"/>
      <c r="B4840" s="233"/>
      <c r="C4840" s="238"/>
      <c r="E4840" s="545"/>
      <c r="F4840" s="546"/>
      <c r="G4840" s="234"/>
      <c r="H4840" s="238"/>
      <c r="I4840" s="237"/>
    </row>
    <row r="4841" spans="1:9" s="232" customFormat="1" ht="17" customHeight="1">
      <c r="A4841" s="234"/>
      <c r="B4841" s="233"/>
      <c r="C4841" s="238"/>
      <c r="E4841" s="545"/>
      <c r="F4841" s="546"/>
      <c r="G4841" s="234"/>
      <c r="H4841" s="238"/>
      <c r="I4841" s="237"/>
    </row>
    <row r="4842" spans="1:9" s="232" customFormat="1" ht="17" customHeight="1">
      <c r="A4842" s="234"/>
      <c r="B4842" s="233"/>
      <c r="C4842" s="238"/>
      <c r="E4842" s="545"/>
      <c r="F4842" s="546"/>
      <c r="G4842" s="234"/>
      <c r="H4842" s="238"/>
      <c r="I4842" s="237"/>
    </row>
    <row r="4843" spans="1:9" s="232" customFormat="1" ht="17" customHeight="1">
      <c r="A4843" s="234"/>
      <c r="B4843" s="233"/>
      <c r="C4843" s="238"/>
      <c r="E4843" s="545"/>
      <c r="F4843" s="546"/>
      <c r="G4843" s="234"/>
      <c r="H4843" s="238"/>
      <c r="I4843" s="237"/>
    </row>
    <row r="4844" spans="1:9" s="232" customFormat="1" ht="17" customHeight="1">
      <c r="A4844" s="234"/>
      <c r="B4844" s="233"/>
      <c r="C4844" s="238"/>
      <c r="E4844" s="545"/>
      <c r="F4844" s="546"/>
      <c r="G4844" s="234"/>
      <c r="H4844" s="238"/>
      <c r="I4844" s="237"/>
    </row>
    <row r="4845" spans="1:9" s="232" customFormat="1" ht="17" customHeight="1">
      <c r="A4845" s="234"/>
      <c r="B4845" s="233"/>
      <c r="C4845" s="238"/>
      <c r="E4845" s="545"/>
      <c r="F4845" s="546"/>
      <c r="G4845" s="234"/>
      <c r="H4845" s="238"/>
      <c r="I4845" s="237"/>
    </row>
    <row r="4846" spans="1:9" s="232" customFormat="1" ht="17" customHeight="1">
      <c r="A4846" s="234"/>
      <c r="B4846" s="233"/>
      <c r="C4846" s="238"/>
      <c r="E4846" s="545"/>
      <c r="F4846" s="546"/>
      <c r="G4846" s="234"/>
      <c r="H4846" s="238"/>
      <c r="I4846" s="237"/>
    </row>
    <row r="4847" spans="1:9" s="232" customFormat="1" ht="17" customHeight="1">
      <c r="A4847" s="234"/>
      <c r="B4847" s="233"/>
      <c r="C4847" s="238"/>
      <c r="E4847" s="545"/>
      <c r="F4847" s="546"/>
      <c r="G4847" s="234"/>
      <c r="H4847" s="238"/>
      <c r="I4847" s="237"/>
    </row>
    <row r="4848" spans="1:9" s="232" customFormat="1" ht="17" customHeight="1">
      <c r="A4848" s="234"/>
      <c r="B4848" s="233"/>
      <c r="C4848" s="238"/>
      <c r="E4848" s="545"/>
      <c r="F4848" s="546"/>
      <c r="G4848" s="234"/>
      <c r="H4848" s="238"/>
      <c r="I4848" s="237"/>
    </row>
    <row r="4849" spans="1:9" s="232" customFormat="1" ht="17" customHeight="1">
      <c r="A4849" s="234"/>
      <c r="B4849" s="233"/>
      <c r="C4849" s="238"/>
      <c r="E4849" s="545"/>
      <c r="F4849" s="546"/>
      <c r="G4849" s="234"/>
      <c r="H4849" s="238"/>
      <c r="I4849" s="237"/>
    </row>
    <row r="4850" spans="1:9" s="232" customFormat="1" ht="17" customHeight="1">
      <c r="A4850" s="234"/>
      <c r="B4850" s="233"/>
      <c r="C4850" s="238"/>
      <c r="E4850" s="545"/>
      <c r="F4850" s="546"/>
      <c r="G4850" s="234"/>
      <c r="H4850" s="238"/>
      <c r="I4850" s="237"/>
    </row>
    <row r="4851" spans="1:9" s="232" customFormat="1" ht="17" customHeight="1">
      <c r="A4851" s="234"/>
      <c r="B4851" s="233"/>
      <c r="C4851" s="238"/>
      <c r="E4851" s="545"/>
      <c r="F4851" s="546"/>
      <c r="G4851" s="234"/>
      <c r="H4851" s="238"/>
      <c r="I4851" s="237"/>
    </row>
    <row r="4852" spans="1:9" s="232" customFormat="1" ht="17" customHeight="1">
      <c r="A4852" s="234"/>
      <c r="B4852" s="233"/>
      <c r="C4852" s="238"/>
      <c r="E4852" s="545"/>
      <c r="F4852" s="546"/>
      <c r="G4852" s="234"/>
      <c r="H4852" s="238"/>
      <c r="I4852" s="237"/>
    </row>
    <row r="4853" spans="1:9" s="232" customFormat="1" ht="17" customHeight="1">
      <c r="A4853" s="234"/>
      <c r="B4853" s="233"/>
      <c r="C4853" s="238"/>
      <c r="E4853" s="545"/>
      <c r="F4853" s="546"/>
      <c r="G4853" s="234"/>
      <c r="H4853" s="238"/>
      <c r="I4853" s="237"/>
    </row>
    <row r="4854" spans="1:9" s="232" customFormat="1" ht="17" customHeight="1">
      <c r="A4854" s="234"/>
      <c r="B4854" s="233"/>
      <c r="C4854" s="238"/>
      <c r="E4854" s="545"/>
      <c r="F4854" s="546"/>
      <c r="G4854" s="234"/>
      <c r="H4854" s="238"/>
      <c r="I4854" s="237"/>
    </row>
    <row r="4855" spans="1:9" s="232" customFormat="1" ht="17" customHeight="1">
      <c r="A4855" s="234"/>
      <c r="B4855" s="233"/>
      <c r="C4855" s="238"/>
      <c r="E4855" s="545"/>
      <c r="F4855" s="546"/>
      <c r="G4855" s="234"/>
      <c r="H4855" s="238"/>
      <c r="I4855" s="237"/>
    </row>
    <row r="4856" spans="1:9" s="232" customFormat="1" ht="17" customHeight="1">
      <c r="A4856" s="234"/>
      <c r="B4856" s="233"/>
      <c r="C4856" s="238"/>
      <c r="E4856" s="545"/>
      <c r="F4856" s="546"/>
      <c r="G4856" s="234"/>
      <c r="H4856" s="238"/>
      <c r="I4856" s="237"/>
    </row>
    <row r="4857" spans="1:9" s="232" customFormat="1" ht="17" customHeight="1">
      <c r="A4857" s="234"/>
      <c r="B4857" s="233"/>
      <c r="C4857" s="238"/>
      <c r="E4857" s="545"/>
      <c r="F4857" s="546"/>
      <c r="G4857" s="234"/>
      <c r="H4857" s="238"/>
      <c r="I4857" s="237"/>
    </row>
    <row r="4858" spans="1:9" s="232" customFormat="1" ht="17" customHeight="1">
      <c r="A4858" s="234"/>
      <c r="B4858" s="233"/>
      <c r="C4858" s="238"/>
      <c r="E4858" s="545"/>
      <c r="F4858" s="546"/>
      <c r="G4858" s="234"/>
      <c r="H4858" s="238"/>
      <c r="I4858" s="237"/>
    </row>
    <row r="4859" spans="1:9" s="232" customFormat="1" ht="17" customHeight="1">
      <c r="A4859" s="234"/>
      <c r="B4859" s="233"/>
      <c r="C4859" s="238"/>
      <c r="E4859" s="545"/>
      <c r="F4859" s="546"/>
      <c r="G4859" s="234"/>
      <c r="H4859" s="238"/>
      <c r="I4859" s="237"/>
    </row>
    <row r="4860" spans="1:9" s="232" customFormat="1" ht="17" customHeight="1">
      <c r="A4860" s="234"/>
      <c r="B4860" s="233"/>
      <c r="C4860" s="238"/>
      <c r="E4860" s="545"/>
      <c r="F4860" s="546"/>
      <c r="G4860" s="234"/>
      <c r="H4860" s="238"/>
      <c r="I4860" s="237"/>
    </row>
    <row r="4861" spans="1:9" s="232" customFormat="1" ht="17" customHeight="1">
      <c r="A4861" s="234"/>
      <c r="B4861" s="233"/>
      <c r="C4861" s="238"/>
      <c r="E4861" s="545"/>
      <c r="F4861" s="546"/>
      <c r="G4861" s="234"/>
      <c r="H4861" s="238"/>
      <c r="I4861" s="237"/>
    </row>
    <row r="4862" spans="1:9" s="232" customFormat="1" ht="17" customHeight="1">
      <c r="A4862" s="234"/>
      <c r="B4862" s="233"/>
      <c r="C4862" s="238"/>
      <c r="E4862" s="545"/>
      <c r="F4862" s="546"/>
      <c r="G4862" s="234"/>
      <c r="H4862" s="238"/>
      <c r="I4862" s="237"/>
    </row>
    <row r="4863" spans="1:9" s="232" customFormat="1" ht="17" customHeight="1">
      <c r="A4863" s="234"/>
      <c r="B4863" s="233"/>
      <c r="C4863" s="238"/>
      <c r="E4863" s="545"/>
      <c r="F4863" s="546"/>
      <c r="G4863" s="234"/>
      <c r="H4863" s="238"/>
      <c r="I4863" s="237"/>
    </row>
    <row r="4864" spans="1:9" s="232" customFormat="1" ht="17" customHeight="1">
      <c r="A4864" s="234"/>
      <c r="B4864" s="233"/>
      <c r="C4864" s="238"/>
      <c r="E4864" s="545"/>
      <c r="F4864" s="546"/>
      <c r="G4864" s="234"/>
      <c r="H4864" s="238"/>
      <c r="I4864" s="237"/>
    </row>
    <row r="4865" spans="1:9" s="232" customFormat="1" ht="17" customHeight="1">
      <c r="A4865" s="234"/>
      <c r="B4865" s="233"/>
      <c r="C4865" s="238"/>
      <c r="E4865" s="545"/>
      <c r="F4865" s="546"/>
      <c r="G4865" s="234"/>
      <c r="H4865" s="238"/>
      <c r="I4865" s="237"/>
    </row>
    <row r="4866" spans="1:9" s="232" customFormat="1" ht="17" customHeight="1">
      <c r="A4866" s="234"/>
      <c r="B4866" s="233"/>
      <c r="C4866" s="238"/>
      <c r="E4866" s="545"/>
      <c r="F4866" s="546"/>
      <c r="G4866" s="234"/>
      <c r="H4866" s="238"/>
      <c r="I4866" s="237"/>
    </row>
    <row r="4867" spans="1:9" s="232" customFormat="1" ht="17" customHeight="1">
      <c r="A4867" s="234"/>
      <c r="B4867" s="233"/>
      <c r="C4867" s="238"/>
      <c r="E4867" s="545"/>
      <c r="F4867" s="546"/>
      <c r="G4867" s="234"/>
      <c r="H4867" s="238"/>
      <c r="I4867" s="237"/>
    </row>
    <row r="4868" spans="1:9" s="232" customFormat="1" ht="17" customHeight="1">
      <c r="A4868" s="234"/>
      <c r="B4868" s="233"/>
      <c r="C4868" s="238"/>
      <c r="E4868" s="545"/>
      <c r="F4868" s="546"/>
      <c r="G4868" s="234"/>
      <c r="H4868" s="238"/>
      <c r="I4868" s="237"/>
    </row>
    <row r="4869" spans="1:9" s="232" customFormat="1" ht="17" customHeight="1">
      <c r="A4869" s="234"/>
      <c r="B4869" s="233"/>
      <c r="C4869" s="238"/>
      <c r="E4869" s="545"/>
      <c r="F4869" s="546"/>
      <c r="G4869" s="234"/>
      <c r="H4869" s="238"/>
      <c r="I4869" s="237"/>
    </row>
    <row r="4870" spans="1:9" s="232" customFormat="1" ht="17" customHeight="1">
      <c r="A4870" s="234"/>
      <c r="B4870" s="233"/>
      <c r="C4870" s="238"/>
      <c r="E4870" s="545"/>
      <c r="F4870" s="546"/>
      <c r="G4870" s="234"/>
      <c r="H4870" s="238"/>
      <c r="I4870" s="237"/>
    </row>
    <row r="4871" spans="1:9" s="232" customFormat="1" ht="17" customHeight="1">
      <c r="A4871" s="234"/>
      <c r="B4871" s="233"/>
      <c r="C4871" s="238"/>
      <c r="E4871" s="545"/>
      <c r="F4871" s="546"/>
      <c r="G4871" s="234"/>
      <c r="H4871" s="238"/>
      <c r="I4871" s="237"/>
    </row>
    <row r="4872" spans="1:9" s="232" customFormat="1" ht="17" customHeight="1">
      <c r="A4872" s="234"/>
      <c r="B4872" s="233"/>
      <c r="C4872" s="238"/>
      <c r="E4872" s="545"/>
      <c r="F4872" s="546"/>
      <c r="G4872" s="234"/>
      <c r="H4872" s="238"/>
      <c r="I4872" s="237"/>
    </row>
    <row r="4873" spans="1:9" s="232" customFormat="1" ht="17" customHeight="1">
      <c r="A4873" s="234"/>
      <c r="B4873" s="233"/>
      <c r="C4873" s="238"/>
      <c r="E4873" s="545"/>
      <c r="F4873" s="546"/>
      <c r="G4873" s="234"/>
      <c r="H4873" s="238"/>
      <c r="I4873" s="237"/>
    </row>
    <row r="4874" spans="1:9" s="232" customFormat="1" ht="17" customHeight="1">
      <c r="A4874" s="234"/>
      <c r="B4874" s="233"/>
      <c r="C4874" s="238"/>
      <c r="E4874" s="545"/>
      <c r="F4874" s="546"/>
      <c r="G4874" s="234"/>
      <c r="H4874" s="238"/>
      <c r="I4874" s="237"/>
    </row>
    <row r="4875" spans="1:9" s="232" customFormat="1" ht="17" customHeight="1">
      <c r="A4875" s="234"/>
      <c r="B4875" s="233"/>
      <c r="C4875" s="238"/>
      <c r="E4875" s="545"/>
      <c r="F4875" s="546"/>
      <c r="G4875" s="234"/>
      <c r="H4875" s="238"/>
      <c r="I4875" s="237"/>
    </row>
    <row r="4876" spans="1:9" s="232" customFormat="1" ht="17" customHeight="1">
      <c r="A4876" s="234"/>
      <c r="B4876" s="233"/>
      <c r="C4876" s="238"/>
      <c r="E4876" s="545"/>
      <c r="F4876" s="546"/>
      <c r="G4876" s="234"/>
      <c r="H4876" s="238"/>
      <c r="I4876" s="237"/>
    </row>
    <row r="4877" spans="1:9" s="232" customFormat="1" ht="17" customHeight="1">
      <c r="A4877" s="234"/>
      <c r="B4877" s="233"/>
      <c r="C4877" s="238"/>
      <c r="E4877" s="545"/>
      <c r="F4877" s="546"/>
      <c r="G4877" s="234"/>
      <c r="H4877" s="238"/>
      <c r="I4877" s="237"/>
    </row>
    <row r="4878" spans="1:9" s="232" customFormat="1" ht="17" customHeight="1">
      <c r="A4878" s="234"/>
      <c r="B4878" s="233"/>
      <c r="C4878" s="238"/>
      <c r="E4878" s="545"/>
      <c r="F4878" s="546"/>
      <c r="G4878" s="234"/>
      <c r="H4878" s="238"/>
      <c r="I4878" s="237"/>
    </row>
    <row r="4879" spans="1:9" s="232" customFormat="1" ht="17" customHeight="1">
      <c r="A4879" s="234"/>
      <c r="B4879" s="233"/>
      <c r="C4879" s="238"/>
      <c r="E4879" s="545"/>
      <c r="F4879" s="546"/>
      <c r="G4879" s="234"/>
      <c r="H4879" s="238"/>
      <c r="I4879" s="237"/>
    </row>
    <row r="4880" spans="1:9" s="232" customFormat="1" ht="17" customHeight="1">
      <c r="A4880" s="234"/>
      <c r="B4880" s="233"/>
      <c r="C4880" s="238"/>
      <c r="E4880" s="545"/>
      <c r="F4880" s="546"/>
      <c r="G4880" s="234"/>
      <c r="H4880" s="238"/>
      <c r="I4880" s="237"/>
    </row>
    <row r="4881" spans="1:9" s="232" customFormat="1" ht="17" customHeight="1">
      <c r="A4881" s="234"/>
      <c r="B4881" s="233"/>
      <c r="C4881" s="238"/>
      <c r="E4881" s="545"/>
      <c r="F4881" s="546"/>
      <c r="G4881" s="234"/>
      <c r="H4881" s="238"/>
      <c r="I4881" s="237"/>
    </row>
    <row r="4882" spans="1:9" s="232" customFormat="1" ht="17" customHeight="1">
      <c r="A4882" s="234"/>
      <c r="B4882" s="233"/>
      <c r="C4882" s="238"/>
      <c r="E4882" s="545"/>
      <c r="F4882" s="546"/>
      <c r="G4882" s="234"/>
      <c r="H4882" s="238"/>
      <c r="I4882" s="237"/>
    </row>
    <row r="4883" spans="1:9" s="232" customFormat="1" ht="17" customHeight="1">
      <c r="A4883" s="234"/>
      <c r="B4883" s="233"/>
      <c r="C4883" s="238"/>
      <c r="E4883" s="545"/>
      <c r="F4883" s="546"/>
      <c r="G4883" s="234"/>
      <c r="H4883" s="238"/>
      <c r="I4883" s="237"/>
    </row>
    <row r="4884" spans="1:9" s="232" customFormat="1" ht="17" customHeight="1">
      <c r="A4884" s="234"/>
      <c r="B4884" s="233"/>
      <c r="C4884" s="238"/>
      <c r="E4884" s="545"/>
      <c r="F4884" s="546"/>
      <c r="G4884" s="234"/>
      <c r="H4884" s="238"/>
      <c r="I4884" s="237"/>
    </row>
    <row r="4885" spans="1:9" s="232" customFormat="1" ht="17" customHeight="1">
      <c r="A4885" s="234"/>
      <c r="B4885" s="233"/>
      <c r="C4885" s="238"/>
      <c r="E4885" s="545"/>
      <c r="F4885" s="546"/>
      <c r="G4885" s="234"/>
      <c r="H4885" s="238"/>
      <c r="I4885" s="237"/>
    </row>
    <row r="4886" spans="1:9" s="232" customFormat="1" ht="17" customHeight="1">
      <c r="A4886" s="234"/>
      <c r="B4886" s="233"/>
      <c r="C4886" s="238"/>
      <c r="E4886" s="545"/>
      <c r="F4886" s="546"/>
      <c r="G4886" s="234"/>
      <c r="H4886" s="238"/>
      <c r="I4886" s="237"/>
    </row>
    <row r="4887" spans="1:9" s="232" customFormat="1" ht="17" customHeight="1">
      <c r="A4887" s="234"/>
      <c r="B4887" s="233"/>
      <c r="C4887" s="238"/>
      <c r="E4887" s="545"/>
      <c r="F4887" s="546"/>
      <c r="G4887" s="234"/>
      <c r="H4887" s="238"/>
      <c r="I4887" s="237"/>
    </row>
    <row r="4888" spans="1:9" s="232" customFormat="1" ht="17" customHeight="1">
      <c r="A4888" s="234"/>
      <c r="B4888" s="233"/>
      <c r="C4888" s="238"/>
      <c r="E4888" s="545"/>
      <c r="F4888" s="546"/>
      <c r="G4888" s="234"/>
      <c r="H4888" s="238"/>
      <c r="I4888" s="237"/>
    </row>
    <row r="4889" spans="1:9" s="232" customFormat="1" ht="17" customHeight="1">
      <c r="A4889" s="234"/>
      <c r="B4889" s="233"/>
      <c r="C4889" s="238"/>
      <c r="E4889" s="545"/>
      <c r="F4889" s="546"/>
      <c r="G4889" s="234"/>
      <c r="H4889" s="238"/>
      <c r="I4889" s="237"/>
    </row>
    <row r="4890" spans="1:9" s="232" customFormat="1" ht="17" customHeight="1">
      <c r="A4890" s="234"/>
      <c r="B4890" s="233"/>
      <c r="C4890" s="238"/>
      <c r="E4890" s="545"/>
      <c r="F4890" s="546"/>
      <c r="G4890" s="234"/>
      <c r="H4890" s="238"/>
      <c r="I4890" s="237"/>
    </row>
    <row r="4891" spans="1:9" s="232" customFormat="1" ht="17" customHeight="1">
      <c r="A4891" s="234"/>
      <c r="B4891" s="233"/>
      <c r="C4891" s="238"/>
      <c r="E4891" s="545"/>
      <c r="F4891" s="546"/>
      <c r="G4891" s="234"/>
      <c r="H4891" s="238"/>
      <c r="I4891" s="237"/>
    </row>
    <row r="4892" spans="1:9" s="232" customFormat="1" ht="17" customHeight="1">
      <c r="A4892" s="234"/>
      <c r="B4892" s="233"/>
      <c r="C4892" s="238"/>
      <c r="E4892" s="545"/>
      <c r="F4892" s="546"/>
      <c r="G4892" s="234"/>
      <c r="H4892" s="238"/>
      <c r="I4892" s="237"/>
    </row>
    <row r="4893" spans="1:9" s="232" customFormat="1" ht="17" customHeight="1">
      <c r="A4893" s="234"/>
      <c r="B4893" s="233"/>
      <c r="C4893" s="238"/>
      <c r="E4893" s="545"/>
      <c r="F4893" s="546"/>
      <c r="G4893" s="234"/>
      <c r="H4893" s="238"/>
      <c r="I4893" s="237"/>
    </row>
    <row r="4894" spans="1:9" s="232" customFormat="1" ht="17" customHeight="1">
      <c r="A4894" s="234"/>
      <c r="B4894" s="233"/>
      <c r="C4894" s="238"/>
      <c r="E4894" s="545"/>
      <c r="F4894" s="546"/>
      <c r="G4894" s="234"/>
      <c r="H4894" s="238"/>
      <c r="I4894" s="237"/>
    </row>
    <row r="4895" spans="1:9" s="232" customFormat="1" ht="17" customHeight="1">
      <c r="A4895" s="234"/>
      <c r="B4895" s="233"/>
      <c r="C4895" s="238"/>
      <c r="E4895" s="545"/>
      <c r="F4895" s="546"/>
      <c r="G4895" s="234"/>
      <c r="H4895" s="238"/>
      <c r="I4895" s="237"/>
    </row>
    <row r="4896" spans="1:9" s="232" customFormat="1" ht="17" customHeight="1">
      <c r="A4896" s="234"/>
      <c r="B4896" s="233"/>
      <c r="C4896" s="238"/>
      <c r="E4896" s="545"/>
      <c r="F4896" s="546"/>
      <c r="G4896" s="234"/>
      <c r="H4896" s="238"/>
      <c r="I4896" s="237"/>
    </row>
    <row r="4897" spans="1:9" s="232" customFormat="1" ht="17" customHeight="1">
      <c r="A4897" s="234"/>
      <c r="B4897" s="233"/>
      <c r="C4897" s="238"/>
      <c r="E4897" s="545"/>
      <c r="F4897" s="546"/>
      <c r="G4897" s="234"/>
      <c r="H4897" s="238"/>
      <c r="I4897" s="237"/>
    </row>
    <row r="4898" spans="1:9" s="232" customFormat="1" ht="17" customHeight="1">
      <c r="A4898" s="234"/>
      <c r="B4898" s="233"/>
      <c r="C4898" s="238"/>
      <c r="E4898" s="545"/>
      <c r="F4898" s="546"/>
      <c r="G4898" s="234"/>
      <c r="H4898" s="238"/>
      <c r="I4898" s="237"/>
    </row>
    <row r="4899" spans="1:9" s="232" customFormat="1" ht="17" customHeight="1">
      <c r="A4899" s="234"/>
      <c r="B4899" s="233"/>
      <c r="C4899" s="238"/>
      <c r="E4899" s="545"/>
      <c r="F4899" s="546"/>
      <c r="G4899" s="234"/>
      <c r="H4899" s="238"/>
      <c r="I4899" s="237"/>
    </row>
    <row r="4900" spans="1:9" s="232" customFormat="1" ht="17" customHeight="1">
      <c r="A4900" s="234"/>
      <c r="B4900" s="233"/>
      <c r="C4900" s="238"/>
      <c r="E4900" s="545"/>
      <c r="F4900" s="546"/>
      <c r="G4900" s="234"/>
      <c r="H4900" s="238"/>
      <c r="I4900" s="237"/>
    </row>
    <row r="4901" spans="1:9" s="232" customFormat="1" ht="17" customHeight="1">
      <c r="A4901" s="234"/>
      <c r="B4901" s="233"/>
      <c r="C4901" s="238"/>
      <c r="E4901" s="545"/>
      <c r="F4901" s="546"/>
      <c r="G4901" s="234"/>
      <c r="H4901" s="238"/>
      <c r="I4901" s="237"/>
    </row>
    <row r="4902" spans="1:9" s="232" customFormat="1" ht="17" customHeight="1">
      <c r="A4902" s="234"/>
      <c r="B4902" s="233"/>
      <c r="C4902" s="238"/>
      <c r="E4902" s="545"/>
      <c r="F4902" s="546"/>
      <c r="G4902" s="234"/>
      <c r="H4902" s="238"/>
      <c r="I4902" s="237"/>
    </row>
    <row r="4903" spans="1:9" s="232" customFormat="1" ht="17" customHeight="1">
      <c r="A4903" s="234"/>
      <c r="B4903" s="233"/>
      <c r="C4903" s="238"/>
      <c r="E4903" s="545"/>
      <c r="F4903" s="546"/>
      <c r="G4903" s="234"/>
      <c r="H4903" s="238"/>
      <c r="I4903" s="237"/>
    </row>
    <row r="4904" spans="1:9" s="232" customFormat="1" ht="17" customHeight="1">
      <c r="A4904" s="234"/>
      <c r="B4904" s="233"/>
      <c r="C4904" s="238"/>
      <c r="E4904" s="545"/>
      <c r="F4904" s="546"/>
      <c r="G4904" s="234"/>
      <c r="H4904" s="238"/>
      <c r="I4904" s="237"/>
    </row>
    <row r="4905" spans="1:9" s="232" customFormat="1" ht="17" customHeight="1">
      <c r="A4905" s="234"/>
      <c r="B4905" s="233"/>
      <c r="C4905" s="238"/>
      <c r="E4905" s="545"/>
      <c r="F4905" s="546"/>
      <c r="G4905" s="234"/>
      <c r="H4905" s="238"/>
      <c r="I4905" s="237"/>
    </row>
    <row r="4906" spans="1:9" s="232" customFormat="1" ht="17" customHeight="1">
      <c r="A4906" s="234"/>
      <c r="B4906" s="233"/>
      <c r="C4906" s="238"/>
      <c r="E4906" s="545"/>
      <c r="F4906" s="546"/>
      <c r="G4906" s="234"/>
      <c r="H4906" s="238"/>
      <c r="I4906" s="237"/>
    </row>
    <row r="4907" spans="1:9" s="232" customFormat="1" ht="17" customHeight="1">
      <c r="A4907" s="234"/>
      <c r="B4907" s="233"/>
      <c r="C4907" s="238"/>
      <c r="E4907" s="545"/>
      <c r="F4907" s="546"/>
      <c r="G4907" s="234"/>
      <c r="H4907" s="238"/>
      <c r="I4907" s="237"/>
    </row>
    <row r="4908" spans="1:9" s="232" customFormat="1" ht="17" customHeight="1">
      <c r="A4908" s="234"/>
      <c r="B4908" s="233"/>
      <c r="C4908" s="238"/>
      <c r="E4908" s="545"/>
      <c r="F4908" s="546"/>
      <c r="G4908" s="234"/>
      <c r="H4908" s="238"/>
      <c r="I4908" s="237"/>
    </row>
    <row r="4909" spans="1:9" s="232" customFormat="1" ht="17" customHeight="1">
      <c r="A4909" s="234"/>
      <c r="B4909" s="233"/>
      <c r="C4909" s="238"/>
      <c r="E4909" s="545"/>
      <c r="F4909" s="546"/>
      <c r="G4909" s="234"/>
      <c r="H4909" s="238"/>
      <c r="I4909" s="237"/>
    </row>
    <row r="4910" spans="1:9" s="232" customFormat="1" ht="17" customHeight="1">
      <c r="A4910" s="234"/>
      <c r="B4910" s="233"/>
      <c r="C4910" s="238"/>
      <c r="E4910" s="545"/>
      <c r="F4910" s="546"/>
      <c r="G4910" s="234"/>
      <c r="H4910" s="238"/>
      <c r="I4910" s="237"/>
    </row>
    <row r="4911" spans="1:9" s="232" customFormat="1" ht="17" customHeight="1">
      <c r="A4911" s="234"/>
      <c r="B4911" s="233"/>
      <c r="C4911" s="238"/>
      <c r="E4911" s="545"/>
      <c r="F4911" s="546"/>
      <c r="G4911" s="234"/>
      <c r="H4911" s="238"/>
      <c r="I4911" s="237"/>
    </row>
    <row r="4912" spans="1:9" s="232" customFormat="1" ht="17" customHeight="1">
      <c r="A4912" s="234"/>
      <c r="B4912" s="233"/>
      <c r="C4912" s="238"/>
      <c r="E4912" s="545"/>
      <c r="F4912" s="546"/>
      <c r="G4912" s="234"/>
      <c r="H4912" s="238"/>
      <c r="I4912" s="237"/>
    </row>
    <row r="4913" spans="1:9" s="232" customFormat="1" ht="17" customHeight="1">
      <c r="A4913" s="234"/>
      <c r="B4913" s="233"/>
      <c r="C4913" s="238"/>
      <c r="E4913" s="545"/>
      <c r="F4913" s="546"/>
      <c r="G4913" s="234"/>
      <c r="H4913" s="238"/>
      <c r="I4913" s="237"/>
    </row>
    <row r="4914" spans="1:9" s="232" customFormat="1" ht="17" customHeight="1">
      <c r="A4914" s="234"/>
      <c r="B4914" s="233"/>
      <c r="C4914" s="238"/>
      <c r="E4914" s="545"/>
      <c r="F4914" s="546"/>
      <c r="G4914" s="234"/>
      <c r="H4914" s="238"/>
      <c r="I4914" s="237"/>
    </row>
    <row r="4915" spans="1:9" s="232" customFormat="1" ht="17" customHeight="1">
      <c r="A4915" s="234"/>
      <c r="B4915" s="233"/>
      <c r="C4915" s="238"/>
      <c r="E4915" s="545"/>
      <c r="F4915" s="546"/>
      <c r="G4915" s="234"/>
      <c r="H4915" s="238"/>
      <c r="I4915" s="237"/>
    </row>
    <row r="4916" spans="1:9" s="232" customFormat="1" ht="17" customHeight="1">
      <c r="A4916" s="234"/>
      <c r="B4916" s="233"/>
      <c r="C4916" s="238"/>
      <c r="E4916" s="545"/>
      <c r="F4916" s="546"/>
      <c r="G4916" s="234"/>
      <c r="H4916" s="238"/>
      <c r="I4916" s="237"/>
    </row>
    <row r="4917" spans="1:9" s="232" customFormat="1" ht="17" customHeight="1">
      <c r="A4917" s="234"/>
      <c r="B4917" s="233"/>
      <c r="C4917" s="238"/>
      <c r="E4917" s="545"/>
      <c r="F4917" s="546"/>
      <c r="G4917" s="234"/>
      <c r="H4917" s="238"/>
      <c r="I4917" s="237"/>
    </row>
    <row r="4918" spans="1:9" s="232" customFormat="1" ht="17" customHeight="1">
      <c r="A4918" s="234"/>
      <c r="B4918" s="233"/>
      <c r="C4918" s="238"/>
      <c r="E4918" s="545"/>
      <c r="F4918" s="546"/>
      <c r="G4918" s="234"/>
      <c r="H4918" s="238"/>
      <c r="I4918" s="237"/>
    </row>
    <row r="4919" spans="1:9" s="232" customFormat="1" ht="17" customHeight="1">
      <c r="A4919" s="234"/>
      <c r="B4919" s="233"/>
      <c r="C4919" s="238"/>
      <c r="E4919" s="545"/>
      <c r="F4919" s="546"/>
      <c r="G4919" s="234"/>
      <c r="H4919" s="238"/>
      <c r="I4919" s="237"/>
    </row>
    <row r="4920" spans="1:9" s="232" customFormat="1" ht="17" customHeight="1">
      <c r="A4920" s="234"/>
      <c r="B4920" s="233"/>
      <c r="C4920" s="238"/>
      <c r="E4920" s="545"/>
      <c r="F4920" s="546"/>
      <c r="G4920" s="234"/>
      <c r="H4920" s="238"/>
      <c r="I4920" s="237"/>
    </row>
    <row r="4921" spans="1:9" s="232" customFormat="1" ht="17" customHeight="1">
      <c r="A4921" s="234"/>
      <c r="B4921" s="233"/>
      <c r="C4921" s="238"/>
      <c r="E4921" s="545"/>
      <c r="F4921" s="546"/>
      <c r="G4921" s="234"/>
      <c r="H4921" s="238"/>
      <c r="I4921" s="237"/>
    </row>
    <row r="4922" spans="1:9" s="232" customFormat="1" ht="17" customHeight="1">
      <c r="A4922" s="234"/>
      <c r="B4922" s="233"/>
      <c r="C4922" s="238"/>
      <c r="E4922" s="545"/>
      <c r="F4922" s="546"/>
      <c r="G4922" s="234"/>
      <c r="H4922" s="238"/>
      <c r="I4922" s="237"/>
    </row>
    <row r="4923" spans="1:9" s="232" customFormat="1" ht="17" customHeight="1">
      <c r="A4923" s="234"/>
      <c r="B4923" s="233"/>
      <c r="C4923" s="238"/>
      <c r="E4923" s="545"/>
      <c r="F4923" s="546"/>
      <c r="G4923" s="234"/>
      <c r="H4923" s="238"/>
      <c r="I4923" s="237"/>
    </row>
    <row r="4924" spans="1:9" s="232" customFormat="1" ht="17" customHeight="1">
      <c r="A4924" s="234"/>
      <c r="B4924" s="233"/>
      <c r="C4924" s="238"/>
      <c r="E4924" s="545"/>
      <c r="F4924" s="546"/>
      <c r="G4924" s="234"/>
      <c r="H4924" s="238"/>
      <c r="I4924" s="237"/>
    </row>
    <row r="4925" spans="1:9" s="232" customFormat="1" ht="17" customHeight="1">
      <c r="A4925" s="234"/>
      <c r="B4925" s="233"/>
      <c r="C4925" s="238"/>
      <c r="E4925" s="545"/>
      <c r="F4925" s="546"/>
      <c r="G4925" s="234"/>
      <c r="H4925" s="238"/>
      <c r="I4925" s="237"/>
    </row>
    <row r="4926" spans="1:9" s="232" customFormat="1" ht="17" customHeight="1">
      <c r="A4926" s="234"/>
      <c r="B4926" s="233"/>
      <c r="C4926" s="238"/>
      <c r="E4926" s="545"/>
      <c r="F4926" s="546"/>
      <c r="G4926" s="234"/>
      <c r="H4926" s="238"/>
      <c r="I4926" s="237"/>
    </row>
    <row r="4927" spans="1:9" s="232" customFormat="1" ht="17" customHeight="1">
      <c r="A4927" s="234"/>
      <c r="B4927" s="233"/>
      <c r="C4927" s="238"/>
      <c r="E4927" s="545"/>
      <c r="F4927" s="546"/>
      <c r="G4927" s="234"/>
      <c r="H4927" s="238"/>
      <c r="I4927" s="237"/>
    </row>
    <row r="4928" spans="1:9" s="232" customFormat="1" ht="17" customHeight="1">
      <c r="A4928" s="234"/>
      <c r="B4928" s="233"/>
      <c r="C4928" s="238"/>
      <c r="E4928" s="545"/>
      <c r="F4928" s="546"/>
      <c r="G4928" s="234"/>
      <c r="H4928" s="238"/>
      <c r="I4928" s="237"/>
    </row>
    <row r="4929" spans="1:9" s="232" customFormat="1" ht="17" customHeight="1">
      <c r="A4929" s="234"/>
      <c r="B4929" s="233"/>
      <c r="C4929" s="238"/>
      <c r="E4929" s="545"/>
      <c r="F4929" s="546"/>
      <c r="G4929" s="234"/>
      <c r="H4929" s="238"/>
      <c r="I4929" s="237"/>
    </row>
    <row r="4930" spans="1:9" s="232" customFormat="1" ht="17" customHeight="1">
      <c r="A4930" s="234"/>
      <c r="B4930" s="233"/>
      <c r="C4930" s="238"/>
      <c r="E4930" s="545"/>
      <c r="F4930" s="546"/>
      <c r="G4930" s="234"/>
      <c r="H4930" s="238"/>
      <c r="I4930" s="237"/>
    </row>
    <row r="4931" spans="1:9" s="232" customFormat="1" ht="17" customHeight="1">
      <c r="A4931" s="234"/>
      <c r="B4931" s="233"/>
      <c r="C4931" s="238"/>
      <c r="E4931" s="545"/>
      <c r="F4931" s="546"/>
      <c r="G4931" s="234"/>
      <c r="H4931" s="238"/>
      <c r="I4931" s="237"/>
    </row>
    <row r="4932" spans="1:9" s="232" customFormat="1" ht="17" customHeight="1">
      <c r="A4932" s="234"/>
      <c r="B4932" s="233"/>
      <c r="C4932" s="238"/>
      <c r="E4932" s="545"/>
      <c r="F4932" s="546"/>
      <c r="G4932" s="234"/>
      <c r="H4932" s="238"/>
      <c r="I4932" s="237"/>
    </row>
    <row r="4933" spans="1:9" s="232" customFormat="1" ht="17" customHeight="1">
      <c r="A4933" s="234"/>
      <c r="B4933" s="233"/>
      <c r="C4933" s="238"/>
      <c r="E4933" s="545"/>
      <c r="F4933" s="546"/>
      <c r="G4933" s="234"/>
      <c r="H4933" s="238"/>
      <c r="I4933" s="237"/>
    </row>
    <row r="4934" spans="1:9" s="232" customFormat="1" ht="17" customHeight="1">
      <c r="A4934" s="234"/>
      <c r="B4934" s="233"/>
      <c r="C4934" s="238"/>
      <c r="E4934" s="545"/>
      <c r="F4934" s="546"/>
      <c r="G4934" s="234"/>
      <c r="H4934" s="238"/>
      <c r="I4934" s="237"/>
    </row>
    <row r="4935" spans="1:9" s="232" customFormat="1" ht="17" customHeight="1">
      <c r="A4935" s="234"/>
      <c r="B4935" s="233"/>
      <c r="C4935" s="238"/>
      <c r="E4935" s="545"/>
      <c r="F4935" s="546"/>
      <c r="G4935" s="234"/>
      <c r="H4935" s="238"/>
      <c r="I4935" s="237"/>
    </row>
    <row r="4936" spans="1:9" s="232" customFormat="1" ht="17" customHeight="1">
      <c r="A4936" s="234"/>
      <c r="B4936" s="233"/>
      <c r="C4936" s="238"/>
      <c r="E4936" s="545"/>
      <c r="F4936" s="546"/>
      <c r="G4936" s="234"/>
      <c r="H4936" s="238"/>
      <c r="I4936" s="237"/>
    </row>
    <row r="4937" spans="1:9" s="232" customFormat="1" ht="17" customHeight="1">
      <c r="A4937" s="234"/>
      <c r="B4937" s="233"/>
      <c r="C4937" s="238"/>
      <c r="E4937" s="545"/>
      <c r="F4937" s="546"/>
      <c r="G4937" s="234"/>
      <c r="H4937" s="238"/>
      <c r="I4937" s="237"/>
    </row>
    <row r="4938" spans="1:9" s="232" customFormat="1" ht="17" customHeight="1">
      <c r="A4938" s="234"/>
      <c r="B4938" s="233"/>
      <c r="C4938" s="238"/>
      <c r="E4938" s="545"/>
      <c r="F4938" s="546"/>
      <c r="G4938" s="234"/>
      <c r="H4938" s="238"/>
      <c r="I4938" s="237"/>
    </row>
    <row r="4939" spans="1:9" s="232" customFormat="1" ht="17" customHeight="1">
      <c r="A4939" s="234"/>
      <c r="B4939" s="233"/>
      <c r="C4939" s="238"/>
      <c r="E4939" s="545"/>
      <c r="F4939" s="546"/>
      <c r="G4939" s="234"/>
      <c r="H4939" s="238"/>
      <c r="I4939" s="237"/>
    </row>
    <row r="4940" spans="1:9" s="232" customFormat="1" ht="17" customHeight="1">
      <c r="A4940" s="234"/>
      <c r="B4940" s="233"/>
      <c r="C4940" s="238"/>
      <c r="E4940" s="545"/>
      <c r="F4940" s="546"/>
      <c r="G4940" s="234"/>
      <c r="H4940" s="238"/>
      <c r="I4940" s="237"/>
    </row>
    <row r="4941" spans="1:9" s="232" customFormat="1" ht="17" customHeight="1">
      <c r="A4941" s="234"/>
      <c r="B4941" s="233"/>
      <c r="C4941" s="238"/>
      <c r="E4941" s="545"/>
      <c r="F4941" s="546"/>
      <c r="G4941" s="234"/>
      <c r="H4941" s="238"/>
      <c r="I4941" s="237"/>
    </row>
    <row r="4942" spans="1:9" s="232" customFormat="1" ht="17" customHeight="1">
      <c r="A4942" s="234"/>
      <c r="B4942" s="233"/>
      <c r="C4942" s="238"/>
      <c r="E4942" s="545"/>
      <c r="F4942" s="546"/>
      <c r="G4942" s="234"/>
      <c r="H4942" s="238"/>
      <c r="I4942" s="237"/>
    </row>
    <row r="4943" spans="1:9" s="232" customFormat="1" ht="17" customHeight="1">
      <c r="A4943" s="234"/>
      <c r="B4943" s="233"/>
      <c r="C4943" s="238"/>
      <c r="E4943" s="545"/>
      <c r="F4943" s="546"/>
      <c r="G4943" s="234"/>
      <c r="H4943" s="238"/>
      <c r="I4943" s="237"/>
    </row>
    <row r="4944" spans="1:9" s="232" customFormat="1" ht="17" customHeight="1">
      <c r="A4944" s="234"/>
      <c r="B4944" s="233"/>
      <c r="C4944" s="238"/>
      <c r="E4944" s="545"/>
      <c r="F4944" s="546"/>
      <c r="G4944" s="234"/>
      <c r="H4944" s="238"/>
      <c r="I4944" s="237"/>
    </row>
    <row r="4945" spans="1:9" s="232" customFormat="1" ht="17" customHeight="1">
      <c r="A4945" s="234"/>
      <c r="B4945" s="233"/>
      <c r="C4945" s="238"/>
      <c r="E4945" s="545"/>
      <c r="F4945" s="546"/>
      <c r="G4945" s="234"/>
      <c r="H4945" s="238"/>
      <c r="I4945" s="237"/>
    </row>
    <row r="4946" spans="1:9" s="232" customFormat="1" ht="17" customHeight="1">
      <c r="A4946" s="234"/>
      <c r="B4946" s="233"/>
      <c r="C4946" s="238"/>
      <c r="E4946" s="545"/>
      <c r="F4946" s="546"/>
      <c r="G4946" s="234"/>
      <c r="H4946" s="238"/>
      <c r="I4946" s="237"/>
    </row>
    <row r="4947" spans="1:9" s="232" customFormat="1" ht="17" customHeight="1">
      <c r="A4947" s="234"/>
      <c r="B4947" s="233"/>
      <c r="C4947" s="238"/>
      <c r="E4947" s="545"/>
      <c r="F4947" s="546"/>
      <c r="G4947" s="234"/>
      <c r="H4947" s="238"/>
      <c r="I4947" s="237"/>
    </row>
    <row r="4948" spans="1:9" s="232" customFormat="1" ht="17" customHeight="1">
      <c r="A4948" s="234"/>
      <c r="B4948" s="233"/>
      <c r="C4948" s="238"/>
      <c r="E4948" s="545"/>
      <c r="F4948" s="546"/>
      <c r="G4948" s="234"/>
      <c r="H4948" s="238"/>
      <c r="I4948" s="237"/>
    </row>
    <row r="4949" spans="1:9" s="232" customFormat="1" ht="17" customHeight="1">
      <c r="A4949" s="234"/>
      <c r="B4949" s="233"/>
      <c r="C4949" s="238"/>
      <c r="E4949" s="545"/>
      <c r="F4949" s="546"/>
      <c r="G4949" s="234"/>
      <c r="H4949" s="238"/>
      <c r="I4949" s="237"/>
    </row>
    <row r="4950" spans="1:9" s="232" customFormat="1" ht="17" customHeight="1">
      <c r="A4950" s="234"/>
      <c r="B4950" s="233"/>
      <c r="C4950" s="238"/>
      <c r="E4950" s="545"/>
      <c r="F4950" s="546"/>
      <c r="G4950" s="234"/>
      <c r="H4950" s="238"/>
      <c r="I4950" s="237"/>
    </row>
    <row r="4951" spans="1:9" s="232" customFormat="1" ht="17" customHeight="1">
      <c r="A4951" s="234"/>
      <c r="B4951" s="233"/>
      <c r="C4951" s="238"/>
      <c r="E4951" s="545"/>
      <c r="F4951" s="546"/>
      <c r="G4951" s="234"/>
      <c r="H4951" s="238"/>
      <c r="I4951" s="237"/>
    </row>
    <row r="4952" spans="1:9" s="232" customFormat="1" ht="17" customHeight="1">
      <c r="A4952" s="234"/>
      <c r="B4952" s="233"/>
      <c r="C4952" s="238"/>
      <c r="E4952" s="545"/>
      <c r="F4952" s="546"/>
      <c r="G4952" s="234"/>
      <c r="H4952" s="238"/>
      <c r="I4952" s="237"/>
    </row>
    <row r="4953" spans="1:9" s="232" customFormat="1" ht="17" customHeight="1">
      <c r="A4953" s="234"/>
      <c r="B4953" s="233"/>
      <c r="C4953" s="238"/>
      <c r="E4953" s="545"/>
      <c r="F4953" s="546"/>
      <c r="G4953" s="234"/>
      <c r="H4953" s="238"/>
      <c r="I4953" s="237"/>
    </row>
    <row r="4954" spans="1:9" s="232" customFormat="1" ht="17" customHeight="1">
      <c r="A4954" s="234"/>
      <c r="B4954" s="233"/>
      <c r="C4954" s="238"/>
      <c r="E4954" s="545"/>
      <c r="F4954" s="546"/>
      <c r="G4954" s="234"/>
      <c r="H4954" s="238"/>
      <c r="I4954" s="237"/>
    </row>
    <row r="4955" spans="1:9" s="232" customFormat="1" ht="17" customHeight="1">
      <c r="A4955" s="234"/>
      <c r="B4955" s="233"/>
      <c r="C4955" s="238"/>
      <c r="E4955" s="545"/>
      <c r="F4955" s="546"/>
      <c r="G4955" s="234"/>
      <c r="H4955" s="238"/>
      <c r="I4955" s="237"/>
    </row>
    <row r="4956" spans="1:9" s="232" customFormat="1" ht="17" customHeight="1">
      <c r="A4956" s="234"/>
      <c r="B4956" s="233"/>
      <c r="C4956" s="238"/>
      <c r="E4956" s="545"/>
      <c r="F4956" s="546"/>
      <c r="G4956" s="234"/>
      <c r="H4956" s="238"/>
      <c r="I4956" s="237"/>
    </row>
    <row r="4957" spans="1:9" s="232" customFormat="1" ht="17" customHeight="1">
      <c r="A4957" s="234"/>
      <c r="B4957" s="233"/>
      <c r="C4957" s="238"/>
      <c r="E4957" s="545"/>
      <c r="F4957" s="546"/>
      <c r="G4957" s="234"/>
      <c r="H4957" s="238"/>
      <c r="I4957" s="237"/>
    </row>
    <row r="4958" spans="1:9" s="232" customFormat="1" ht="17" customHeight="1">
      <c r="A4958" s="234"/>
      <c r="B4958" s="233"/>
      <c r="C4958" s="238"/>
      <c r="E4958" s="545"/>
      <c r="F4958" s="546"/>
      <c r="G4958" s="234"/>
      <c r="H4958" s="238"/>
      <c r="I4958" s="237"/>
    </row>
    <row r="4959" spans="1:9" s="232" customFormat="1" ht="17" customHeight="1">
      <c r="A4959" s="234"/>
      <c r="B4959" s="233"/>
      <c r="C4959" s="238"/>
      <c r="E4959" s="545"/>
      <c r="F4959" s="546"/>
      <c r="G4959" s="234"/>
      <c r="H4959" s="238"/>
      <c r="I4959" s="237"/>
    </row>
    <row r="4960" spans="1:9" s="232" customFormat="1" ht="17" customHeight="1">
      <c r="A4960" s="234"/>
      <c r="B4960" s="233"/>
      <c r="C4960" s="238"/>
      <c r="E4960" s="545"/>
      <c r="F4960" s="546"/>
      <c r="G4960" s="234"/>
      <c r="H4960" s="238"/>
      <c r="I4960" s="237"/>
    </row>
    <row r="4961" spans="1:9" s="232" customFormat="1" ht="17" customHeight="1">
      <c r="A4961" s="234"/>
      <c r="B4961" s="233"/>
      <c r="C4961" s="238"/>
      <c r="E4961" s="545"/>
      <c r="F4961" s="546"/>
      <c r="G4961" s="234"/>
      <c r="H4961" s="238"/>
      <c r="I4961" s="237"/>
    </row>
    <row r="4962" spans="1:9" s="232" customFormat="1" ht="17" customHeight="1">
      <c r="A4962" s="234"/>
      <c r="B4962" s="233"/>
      <c r="C4962" s="238"/>
      <c r="E4962" s="545"/>
      <c r="F4962" s="546"/>
      <c r="G4962" s="234"/>
      <c r="H4962" s="238"/>
      <c r="I4962" s="237"/>
    </row>
    <row r="4963" spans="1:9" s="232" customFormat="1" ht="17" customHeight="1">
      <c r="A4963" s="234"/>
      <c r="B4963" s="233"/>
      <c r="C4963" s="238"/>
      <c r="E4963" s="545"/>
      <c r="F4963" s="546"/>
      <c r="G4963" s="234"/>
      <c r="H4963" s="238"/>
      <c r="I4963" s="237"/>
    </row>
    <row r="4964" spans="1:9" s="232" customFormat="1" ht="17" customHeight="1">
      <c r="A4964" s="234"/>
      <c r="B4964" s="233"/>
      <c r="C4964" s="238"/>
      <c r="E4964" s="545"/>
      <c r="F4964" s="546"/>
      <c r="G4964" s="234"/>
      <c r="H4964" s="238"/>
      <c r="I4964" s="237"/>
    </row>
    <row r="4965" spans="1:9" s="232" customFormat="1" ht="17" customHeight="1">
      <c r="A4965" s="234"/>
      <c r="B4965" s="233"/>
      <c r="C4965" s="238"/>
      <c r="E4965" s="545"/>
      <c r="F4965" s="546"/>
      <c r="G4965" s="234"/>
      <c r="H4965" s="238"/>
      <c r="I4965" s="237"/>
    </row>
    <row r="4966" spans="1:9" s="232" customFormat="1" ht="17" customHeight="1">
      <c r="A4966" s="234"/>
      <c r="B4966" s="233"/>
      <c r="C4966" s="238"/>
      <c r="E4966" s="545"/>
      <c r="F4966" s="546"/>
      <c r="G4966" s="234"/>
      <c r="H4966" s="238"/>
      <c r="I4966" s="237"/>
    </row>
    <row r="4967" spans="1:9" s="232" customFormat="1" ht="17" customHeight="1">
      <c r="A4967" s="234"/>
      <c r="B4967" s="233"/>
      <c r="C4967" s="238"/>
      <c r="E4967" s="545"/>
      <c r="F4967" s="546"/>
      <c r="G4967" s="234"/>
      <c r="H4967" s="238"/>
      <c r="I4967" s="237"/>
    </row>
    <row r="4968" spans="1:9" s="232" customFormat="1" ht="17" customHeight="1">
      <c r="A4968" s="234"/>
      <c r="B4968" s="233"/>
      <c r="C4968" s="238"/>
      <c r="E4968" s="545"/>
      <c r="F4968" s="546"/>
      <c r="G4968" s="234"/>
      <c r="H4968" s="238"/>
      <c r="I4968" s="237"/>
    </row>
    <row r="4969" spans="1:9" s="232" customFormat="1" ht="17" customHeight="1">
      <c r="A4969" s="234"/>
      <c r="B4969" s="233"/>
      <c r="C4969" s="238"/>
      <c r="E4969" s="545"/>
      <c r="F4969" s="546"/>
      <c r="G4969" s="234"/>
      <c r="H4969" s="238"/>
      <c r="I4969" s="237"/>
    </row>
    <row r="4970" spans="1:9" s="232" customFormat="1" ht="17" customHeight="1">
      <c r="A4970" s="234"/>
      <c r="B4970" s="233"/>
      <c r="C4970" s="238"/>
      <c r="E4970" s="545"/>
      <c r="F4970" s="546"/>
      <c r="G4970" s="234"/>
      <c r="H4970" s="238"/>
      <c r="I4970" s="237"/>
    </row>
    <row r="4971" spans="1:9" s="232" customFormat="1" ht="17" customHeight="1">
      <c r="A4971" s="234"/>
      <c r="B4971" s="233"/>
      <c r="C4971" s="238"/>
      <c r="E4971" s="545"/>
      <c r="F4971" s="546"/>
      <c r="G4971" s="234"/>
      <c r="H4971" s="238"/>
      <c r="I4971" s="237"/>
    </row>
    <row r="4972" spans="1:9" s="232" customFormat="1" ht="17" customHeight="1">
      <c r="A4972" s="234"/>
      <c r="B4972" s="233"/>
      <c r="C4972" s="238"/>
      <c r="E4972" s="545"/>
      <c r="F4972" s="546"/>
      <c r="G4972" s="234"/>
      <c r="H4972" s="238"/>
      <c r="I4972" s="237"/>
    </row>
    <row r="4973" spans="1:9" s="232" customFormat="1" ht="17" customHeight="1">
      <c r="A4973" s="234"/>
      <c r="B4973" s="233"/>
      <c r="C4973" s="238"/>
      <c r="E4973" s="545"/>
      <c r="F4973" s="546"/>
      <c r="G4973" s="234"/>
      <c r="H4973" s="238"/>
      <c r="I4973" s="237"/>
    </row>
    <row r="4974" spans="1:9" s="232" customFormat="1" ht="17" customHeight="1">
      <c r="A4974" s="234"/>
      <c r="B4974" s="233"/>
      <c r="C4974" s="238"/>
      <c r="E4974" s="545"/>
      <c r="F4974" s="546"/>
      <c r="G4974" s="234"/>
      <c r="H4974" s="238"/>
      <c r="I4974" s="237"/>
    </row>
    <row r="4975" spans="1:9" s="232" customFormat="1" ht="17" customHeight="1">
      <c r="A4975" s="234"/>
      <c r="B4975" s="233"/>
      <c r="C4975" s="238"/>
      <c r="E4975" s="545"/>
      <c r="F4975" s="546"/>
      <c r="G4975" s="234"/>
      <c r="H4975" s="238"/>
      <c r="I4975" s="237"/>
    </row>
    <row r="4976" spans="1:9" s="232" customFormat="1" ht="17" customHeight="1">
      <c r="A4976" s="234"/>
      <c r="B4976" s="233"/>
      <c r="C4976" s="238"/>
      <c r="E4976" s="545"/>
      <c r="F4976" s="546"/>
      <c r="G4976" s="234"/>
      <c r="H4976" s="238"/>
      <c r="I4976" s="237"/>
    </row>
    <row r="4977" spans="1:9" s="232" customFormat="1" ht="17" customHeight="1">
      <c r="A4977" s="234"/>
      <c r="B4977" s="233"/>
      <c r="C4977" s="238"/>
      <c r="E4977" s="545"/>
      <c r="F4977" s="546"/>
      <c r="G4977" s="234"/>
      <c r="H4977" s="238"/>
      <c r="I4977" s="237"/>
    </row>
    <row r="4978" spans="1:9" s="232" customFormat="1" ht="17" customHeight="1">
      <c r="A4978" s="234"/>
      <c r="B4978" s="233"/>
      <c r="C4978" s="238"/>
      <c r="E4978" s="545"/>
      <c r="F4978" s="546"/>
      <c r="G4978" s="234"/>
      <c r="H4978" s="238"/>
      <c r="I4978" s="237"/>
    </row>
    <row r="4979" spans="1:9" s="232" customFormat="1" ht="17" customHeight="1">
      <c r="A4979" s="234"/>
      <c r="B4979" s="233"/>
      <c r="C4979" s="238"/>
      <c r="E4979" s="545"/>
      <c r="F4979" s="546"/>
      <c r="G4979" s="234"/>
      <c r="H4979" s="238"/>
      <c r="I4979" s="237"/>
    </row>
    <row r="4980" spans="1:9" s="232" customFormat="1" ht="17" customHeight="1">
      <c r="A4980" s="234"/>
      <c r="B4980" s="233"/>
      <c r="C4980" s="238"/>
      <c r="E4980" s="545"/>
      <c r="F4980" s="546"/>
      <c r="G4980" s="234"/>
      <c r="H4980" s="238"/>
      <c r="I4980" s="237"/>
    </row>
    <row r="4981" spans="1:9" s="232" customFormat="1" ht="17" customHeight="1">
      <c r="A4981" s="234"/>
      <c r="B4981" s="233"/>
      <c r="C4981" s="238"/>
      <c r="E4981" s="545"/>
      <c r="F4981" s="546"/>
      <c r="G4981" s="234"/>
      <c r="H4981" s="238"/>
      <c r="I4981" s="237"/>
    </row>
    <row r="4982" spans="1:9" s="232" customFormat="1" ht="17" customHeight="1">
      <c r="A4982" s="234"/>
      <c r="B4982" s="233"/>
      <c r="C4982" s="238"/>
      <c r="E4982" s="545"/>
      <c r="F4982" s="546"/>
      <c r="G4982" s="234"/>
      <c r="H4982" s="238"/>
      <c r="I4982" s="237"/>
    </row>
    <row r="4983" spans="1:9" s="232" customFormat="1" ht="17" customHeight="1">
      <c r="A4983" s="234"/>
      <c r="B4983" s="233"/>
      <c r="C4983" s="238"/>
      <c r="E4983" s="545"/>
      <c r="F4983" s="546"/>
      <c r="G4983" s="234"/>
      <c r="H4983" s="238"/>
      <c r="I4983" s="237"/>
    </row>
    <row r="4984" spans="1:9" s="232" customFormat="1" ht="17" customHeight="1">
      <c r="A4984" s="234"/>
      <c r="B4984" s="233"/>
      <c r="C4984" s="238"/>
      <c r="E4984" s="545"/>
      <c r="F4984" s="546"/>
      <c r="G4984" s="234"/>
      <c r="H4984" s="238"/>
      <c r="I4984" s="237"/>
    </row>
    <row r="4985" spans="1:9" s="232" customFormat="1" ht="17" customHeight="1">
      <c r="A4985" s="234"/>
      <c r="B4985" s="233"/>
      <c r="C4985" s="238"/>
      <c r="E4985" s="545"/>
      <c r="F4985" s="546"/>
      <c r="G4985" s="234"/>
      <c r="H4985" s="238"/>
      <c r="I4985" s="237"/>
    </row>
    <row r="4986" spans="1:9" s="232" customFormat="1" ht="17" customHeight="1">
      <c r="A4986" s="234"/>
      <c r="B4986" s="233"/>
      <c r="C4986" s="238"/>
      <c r="E4986" s="545"/>
      <c r="F4986" s="546"/>
      <c r="G4986" s="234"/>
      <c r="H4986" s="238"/>
      <c r="I4986" s="237"/>
    </row>
    <row r="4987" spans="1:9" s="232" customFormat="1" ht="17" customHeight="1">
      <c r="A4987" s="234"/>
      <c r="B4987" s="233"/>
      <c r="C4987" s="238"/>
      <c r="E4987" s="545"/>
      <c r="F4987" s="546"/>
      <c r="G4987" s="234"/>
      <c r="H4987" s="238"/>
      <c r="I4987" s="237"/>
    </row>
    <row r="4988" spans="1:9" s="232" customFormat="1" ht="17" customHeight="1">
      <c r="A4988" s="234"/>
      <c r="B4988" s="233"/>
      <c r="C4988" s="238"/>
      <c r="E4988" s="545"/>
      <c r="F4988" s="546"/>
      <c r="G4988" s="234"/>
      <c r="H4988" s="238"/>
      <c r="I4988" s="237"/>
    </row>
    <row r="4989" spans="1:9" s="232" customFormat="1" ht="17" customHeight="1">
      <c r="A4989" s="234"/>
      <c r="B4989" s="233"/>
      <c r="C4989" s="238"/>
      <c r="E4989" s="545"/>
      <c r="F4989" s="546"/>
      <c r="G4989" s="234"/>
      <c r="H4989" s="238"/>
      <c r="I4989" s="237"/>
    </row>
    <row r="4990" spans="1:9" s="232" customFormat="1" ht="17" customHeight="1">
      <c r="A4990" s="234"/>
      <c r="B4990" s="233"/>
      <c r="C4990" s="238"/>
      <c r="E4990" s="545"/>
      <c r="F4990" s="546"/>
      <c r="G4990" s="234"/>
      <c r="H4990" s="238"/>
      <c r="I4990" s="237"/>
    </row>
    <row r="4991" spans="1:9" s="232" customFormat="1" ht="17" customHeight="1">
      <c r="A4991" s="234"/>
      <c r="B4991" s="233"/>
      <c r="C4991" s="238"/>
      <c r="E4991" s="545"/>
      <c r="F4991" s="546"/>
      <c r="G4991" s="234"/>
      <c r="H4991" s="238"/>
      <c r="I4991" s="237"/>
    </row>
    <row r="4992" spans="1:9" s="232" customFormat="1" ht="17" customHeight="1">
      <c r="A4992" s="234"/>
      <c r="B4992" s="233"/>
      <c r="C4992" s="238"/>
      <c r="E4992" s="545"/>
      <c r="F4992" s="546"/>
      <c r="G4992" s="234"/>
      <c r="H4992" s="238"/>
      <c r="I4992" s="237"/>
    </row>
    <row r="4993" spans="1:9" s="232" customFormat="1" ht="17" customHeight="1">
      <c r="A4993" s="234"/>
      <c r="B4993" s="233"/>
      <c r="C4993" s="238"/>
      <c r="E4993" s="545"/>
      <c r="F4993" s="546"/>
      <c r="G4993" s="234"/>
      <c r="H4993" s="238"/>
      <c r="I4993" s="237"/>
    </row>
    <row r="4994" spans="1:9" s="232" customFormat="1" ht="17" customHeight="1">
      <c r="A4994" s="234"/>
      <c r="B4994" s="233"/>
      <c r="C4994" s="238"/>
      <c r="E4994" s="545"/>
      <c r="F4994" s="546"/>
      <c r="G4994" s="234"/>
      <c r="H4994" s="238"/>
      <c r="I4994" s="237"/>
    </row>
    <row r="4995" spans="1:9" s="232" customFormat="1" ht="17" customHeight="1">
      <c r="A4995" s="234"/>
      <c r="B4995" s="233"/>
      <c r="C4995" s="238"/>
      <c r="E4995" s="545"/>
      <c r="F4995" s="546"/>
      <c r="G4995" s="234"/>
      <c r="H4995" s="238"/>
      <c r="I4995" s="237"/>
    </row>
    <row r="4996" spans="1:9" s="232" customFormat="1" ht="17" customHeight="1">
      <c r="A4996" s="234"/>
      <c r="B4996" s="233"/>
      <c r="C4996" s="238"/>
      <c r="E4996" s="545"/>
      <c r="F4996" s="546"/>
      <c r="G4996" s="234"/>
      <c r="H4996" s="238"/>
      <c r="I4996" s="237"/>
    </row>
    <row r="4997" spans="1:9" s="232" customFormat="1" ht="17" customHeight="1">
      <c r="A4997" s="234"/>
      <c r="B4997" s="233"/>
      <c r="C4997" s="238"/>
      <c r="E4997" s="545"/>
      <c r="F4997" s="546"/>
      <c r="G4997" s="234"/>
      <c r="H4997" s="238"/>
      <c r="I4997" s="237"/>
    </row>
    <row r="4998" spans="1:9" s="232" customFormat="1" ht="17" customHeight="1">
      <c r="A4998" s="234"/>
      <c r="B4998" s="233"/>
      <c r="C4998" s="238"/>
      <c r="E4998" s="545"/>
      <c r="F4998" s="546"/>
      <c r="G4998" s="234"/>
      <c r="H4998" s="238"/>
      <c r="I4998" s="237"/>
    </row>
    <row r="4999" spans="1:9" s="232" customFormat="1" ht="17" customHeight="1">
      <c r="A4999" s="234"/>
      <c r="B4999" s="233"/>
      <c r="C4999" s="238"/>
      <c r="E4999" s="545"/>
      <c r="F4999" s="546"/>
      <c r="G4999" s="234"/>
      <c r="H4999" s="238"/>
      <c r="I4999" s="237"/>
    </row>
    <row r="5000" spans="1:9" s="232" customFormat="1" ht="17" customHeight="1">
      <c r="A5000" s="234"/>
      <c r="B5000" s="233"/>
      <c r="C5000" s="238"/>
      <c r="E5000" s="545"/>
      <c r="F5000" s="546"/>
      <c r="G5000" s="234"/>
      <c r="H5000" s="238"/>
      <c r="I5000" s="237"/>
    </row>
    <row r="5001" spans="1:9" s="232" customFormat="1" ht="17" customHeight="1">
      <c r="A5001" s="234"/>
      <c r="B5001" s="233"/>
      <c r="C5001" s="238"/>
      <c r="E5001" s="545"/>
      <c r="F5001" s="546"/>
      <c r="G5001" s="234"/>
      <c r="H5001" s="238"/>
      <c r="I5001" s="237"/>
    </row>
    <row r="5002" spans="1:9" s="232" customFormat="1" ht="17" customHeight="1">
      <c r="A5002" s="234"/>
      <c r="B5002" s="233"/>
      <c r="C5002" s="238"/>
      <c r="E5002" s="545"/>
      <c r="F5002" s="546"/>
      <c r="G5002" s="234"/>
      <c r="H5002" s="238"/>
      <c r="I5002" s="237"/>
    </row>
    <row r="5003" spans="1:9" s="232" customFormat="1" ht="17" customHeight="1">
      <c r="A5003" s="234"/>
      <c r="B5003" s="233"/>
      <c r="C5003" s="238"/>
      <c r="E5003" s="545"/>
      <c r="F5003" s="546"/>
      <c r="G5003" s="234"/>
      <c r="H5003" s="238"/>
      <c r="I5003" s="237"/>
    </row>
    <row r="5004" spans="1:9" s="232" customFormat="1" ht="17" customHeight="1">
      <c r="A5004" s="234"/>
      <c r="B5004" s="233"/>
      <c r="C5004" s="238"/>
      <c r="E5004" s="545"/>
      <c r="F5004" s="546"/>
      <c r="G5004" s="234"/>
      <c r="H5004" s="238"/>
      <c r="I5004" s="237"/>
    </row>
    <row r="5005" spans="1:9" s="232" customFormat="1" ht="17" customHeight="1">
      <c r="A5005" s="234"/>
      <c r="B5005" s="233"/>
      <c r="C5005" s="238"/>
      <c r="E5005" s="545"/>
      <c r="F5005" s="546"/>
      <c r="G5005" s="234"/>
      <c r="H5005" s="238"/>
      <c r="I5005" s="237"/>
    </row>
    <row r="5006" spans="1:9" s="232" customFormat="1" ht="17" customHeight="1">
      <c r="A5006" s="234"/>
      <c r="B5006" s="233"/>
      <c r="C5006" s="238"/>
      <c r="E5006" s="545"/>
      <c r="F5006" s="546"/>
      <c r="G5006" s="234"/>
      <c r="H5006" s="238"/>
      <c r="I5006" s="237"/>
    </row>
    <row r="5007" spans="1:9" s="232" customFormat="1" ht="17" customHeight="1">
      <c r="A5007" s="234"/>
      <c r="B5007" s="233"/>
      <c r="C5007" s="238"/>
      <c r="E5007" s="545"/>
      <c r="F5007" s="546"/>
      <c r="G5007" s="234"/>
      <c r="H5007" s="238"/>
      <c r="I5007" s="237"/>
    </row>
    <row r="5008" spans="1:9" s="232" customFormat="1" ht="17" customHeight="1">
      <c r="A5008" s="234"/>
      <c r="B5008" s="233"/>
      <c r="C5008" s="238"/>
      <c r="E5008" s="545"/>
      <c r="F5008" s="546"/>
      <c r="G5008" s="234"/>
      <c r="H5008" s="238"/>
      <c r="I5008" s="237"/>
    </row>
    <row r="5009" spans="1:9" s="232" customFormat="1" ht="17" customHeight="1">
      <c r="A5009" s="234"/>
      <c r="B5009" s="233"/>
      <c r="C5009" s="238"/>
      <c r="E5009" s="545"/>
      <c r="F5009" s="546"/>
      <c r="G5009" s="234"/>
      <c r="H5009" s="238"/>
      <c r="I5009" s="237"/>
    </row>
    <row r="5010" spans="1:9" s="232" customFormat="1" ht="17" customHeight="1">
      <c r="A5010" s="234"/>
      <c r="B5010" s="233"/>
      <c r="C5010" s="238"/>
      <c r="E5010" s="545"/>
      <c r="F5010" s="546"/>
      <c r="G5010" s="234"/>
      <c r="H5010" s="238"/>
      <c r="I5010" s="237"/>
    </row>
    <row r="5011" spans="1:9" s="232" customFormat="1" ht="17" customHeight="1">
      <c r="A5011" s="234"/>
      <c r="B5011" s="233"/>
      <c r="C5011" s="238"/>
      <c r="E5011" s="545"/>
      <c r="F5011" s="546"/>
      <c r="G5011" s="234"/>
      <c r="H5011" s="238"/>
      <c r="I5011" s="237"/>
    </row>
    <row r="5012" spans="1:9" s="232" customFormat="1" ht="17" customHeight="1">
      <c r="A5012" s="234"/>
      <c r="B5012" s="233"/>
      <c r="C5012" s="238"/>
      <c r="E5012" s="545"/>
      <c r="F5012" s="546"/>
      <c r="G5012" s="234"/>
      <c r="H5012" s="238"/>
      <c r="I5012" s="237"/>
    </row>
    <row r="5013" spans="1:9" s="232" customFormat="1" ht="17" customHeight="1">
      <c r="A5013" s="234"/>
      <c r="B5013" s="233"/>
      <c r="C5013" s="238"/>
      <c r="E5013" s="545"/>
      <c r="F5013" s="546"/>
      <c r="G5013" s="234"/>
      <c r="H5013" s="238"/>
      <c r="I5013" s="237"/>
    </row>
    <row r="5014" spans="1:9" s="232" customFormat="1" ht="17" customHeight="1">
      <c r="A5014" s="234"/>
      <c r="B5014" s="233"/>
      <c r="C5014" s="238"/>
      <c r="E5014" s="545"/>
      <c r="F5014" s="546"/>
      <c r="G5014" s="234"/>
      <c r="H5014" s="238"/>
      <c r="I5014" s="237"/>
    </row>
    <row r="5015" spans="1:9" s="232" customFormat="1" ht="17" customHeight="1">
      <c r="A5015" s="234"/>
      <c r="B5015" s="233"/>
      <c r="C5015" s="238"/>
      <c r="E5015" s="545"/>
      <c r="F5015" s="546"/>
      <c r="G5015" s="234"/>
      <c r="H5015" s="238"/>
      <c r="I5015" s="237"/>
    </row>
    <row r="5016" spans="1:9" s="232" customFormat="1" ht="17" customHeight="1">
      <c r="A5016" s="234"/>
      <c r="B5016" s="233"/>
      <c r="C5016" s="238"/>
      <c r="E5016" s="545"/>
      <c r="F5016" s="546"/>
      <c r="G5016" s="234"/>
      <c r="H5016" s="238"/>
      <c r="I5016" s="237"/>
    </row>
    <row r="5017" spans="1:9" s="232" customFormat="1" ht="17" customHeight="1">
      <c r="A5017" s="234"/>
      <c r="B5017" s="233"/>
      <c r="C5017" s="238"/>
      <c r="E5017" s="545"/>
      <c r="F5017" s="546"/>
      <c r="G5017" s="234"/>
      <c r="H5017" s="238"/>
      <c r="I5017" s="237"/>
    </row>
    <row r="5018" spans="1:9" s="232" customFormat="1" ht="17" customHeight="1">
      <c r="A5018" s="234"/>
      <c r="B5018" s="233"/>
      <c r="C5018" s="238"/>
      <c r="E5018" s="545"/>
      <c r="F5018" s="546"/>
      <c r="G5018" s="234"/>
      <c r="H5018" s="238"/>
      <c r="I5018" s="237"/>
    </row>
    <row r="5019" spans="1:9" s="232" customFormat="1" ht="17" customHeight="1">
      <c r="A5019" s="234"/>
      <c r="B5019" s="233"/>
      <c r="C5019" s="238"/>
      <c r="E5019" s="545"/>
      <c r="F5019" s="546"/>
      <c r="G5019" s="234"/>
      <c r="H5019" s="238"/>
      <c r="I5019" s="237"/>
    </row>
    <row r="5020" spans="1:9" s="232" customFormat="1" ht="17" customHeight="1">
      <c r="A5020" s="234"/>
      <c r="B5020" s="233"/>
      <c r="C5020" s="238"/>
      <c r="E5020" s="545"/>
      <c r="F5020" s="546"/>
      <c r="G5020" s="234"/>
      <c r="H5020" s="238"/>
      <c r="I5020" s="237"/>
    </row>
    <row r="5021" spans="1:9" s="232" customFormat="1" ht="17" customHeight="1">
      <c r="A5021" s="234"/>
      <c r="B5021" s="233"/>
      <c r="C5021" s="238"/>
      <c r="E5021" s="545"/>
      <c r="F5021" s="546"/>
      <c r="G5021" s="234"/>
      <c r="H5021" s="238"/>
      <c r="I5021" s="237"/>
    </row>
    <row r="5022" spans="1:9" s="232" customFormat="1" ht="17" customHeight="1">
      <c r="A5022" s="234"/>
      <c r="B5022" s="233"/>
      <c r="C5022" s="238"/>
      <c r="E5022" s="545"/>
      <c r="F5022" s="546"/>
      <c r="G5022" s="234"/>
      <c r="H5022" s="238"/>
      <c r="I5022" s="237"/>
    </row>
    <row r="5023" spans="1:9" s="232" customFormat="1" ht="17" customHeight="1">
      <c r="A5023" s="234"/>
      <c r="B5023" s="233"/>
      <c r="C5023" s="238"/>
      <c r="E5023" s="545"/>
      <c r="F5023" s="546"/>
      <c r="G5023" s="234"/>
      <c r="H5023" s="238"/>
      <c r="I5023" s="237"/>
    </row>
    <row r="5024" spans="1:9" s="232" customFormat="1" ht="17" customHeight="1">
      <c r="A5024" s="234"/>
      <c r="B5024" s="233"/>
      <c r="C5024" s="238"/>
      <c r="E5024" s="545"/>
      <c r="F5024" s="546"/>
      <c r="G5024" s="234"/>
      <c r="H5024" s="238"/>
      <c r="I5024" s="237"/>
    </row>
    <row r="5025" spans="1:9" s="232" customFormat="1" ht="17" customHeight="1">
      <c r="A5025" s="234"/>
      <c r="B5025" s="233"/>
      <c r="C5025" s="238"/>
      <c r="E5025" s="545"/>
      <c r="F5025" s="546"/>
      <c r="G5025" s="234"/>
      <c r="H5025" s="238"/>
      <c r="I5025" s="237"/>
    </row>
    <row r="5026" spans="1:9" s="232" customFormat="1" ht="17" customHeight="1">
      <c r="A5026" s="234"/>
      <c r="B5026" s="233"/>
      <c r="C5026" s="238"/>
      <c r="E5026" s="545"/>
      <c r="F5026" s="546"/>
      <c r="G5026" s="234"/>
      <c r="H5026" s="238"/>
      <c r="I5026" s="237"/>
    </row>
    <row r="5027" spans="1:9" s="232" customFormat="1" ht="17" customHeight="1">
      <c r="A5027" s="234"/>
      <c r="B5027" s="233"/>
      <c r="C5027" s="238"/>
      <c r="E5027" s="545"/>
      <c r="F5027" s="546"/>
      <c r="G5027" s="234"/>
      <c r="H5027" s="238"/>
      <c r="I5027" s="237"/>
    </row>
    <row r="5028" spans="1:9" s="232" customFormat="1" ht="17" customHeight="1">
      <c r="A5028" s="234"/>
      <c r="B5028" s="233"/>
      <c r="C5028" s="238"/>
      <c r="E5028" s="545"/>
      <c r="F5028" s="546"/>
      <c r="G5028" s="234"/>
      <c r="H5028" s="238"/>
      <c r="I5028" s="237"/>
    </row>
    <row r="5029" spans="1:9" s="232" customFormat="1" ht="17" customHeight="1">
      <c r="A5029" s="234"/>
      <c r="B5029" s="233"/>
      <c r="C5029" s="238"/>
      <c r="E5029" s="545"/>
      <c r="F5029" s="546"/>
      <c r="G5029" s="234"/>
      <c r="H5029" s="238"/>
      <c r="I5029" s="237"/>
    </row>
    <row r="5030" spans="1:9" s="232" customFormat="1" ht="17" customHeight="1">
      <c r="A5030" s="234"/>
      <c r="B5030" s="233"/>
      <c r="C5030" s="238"/>
      <c r="E5030" s="545"/>
      <c r="F5030" s="546"/>
      <c r="G5030" s="234"/>
      <c r="H5030" s="238"/>
      <c r="I5030" s="237"/>
    </row>
    <row r="5031" spans="1:9" s="232" customFormat="1" ht="17" customHeight="1">
      <c r="A5031" s="234"/>
      <c r="B5031" s="233"/>
      <c r="C5031" s="238"/>
      <c r="E5031" s="545"/>
      <c r="F5031" s="546"/>
      <c r="G5031" s="234"/>
      <c r="H5031" s="238"/>
      <c r="I5031" s="237"/>
    </row>
    <row r="5032" spans="1:9" s="232" customFormat="1" ht="17" customHeight="1">
      <c r="A5032" s="234"/>
      <c r="B5032" s="233"/>
      <c r="C5032" s="238"/>
      <c r="E5032" s="545"/>
      <c r="F5032" s="546"/>
      <c r="G5032" s="234"/>
      <c r="H5032" s="238"/>
      <c r="I5032" s="237"/>
    </row>
    <row r="5033" spans="1:9" s="232" customFormat="1" ht="17" customHeight="1">
      <c r="A5033" s="234"/>
      <c r="B5033" s="233"/>
      <c r="C5033" s="238"/>
      <c r="E5033" s="545"/>
      <c r="F5033" s="546"/>
      <c r="G5033" s="234"/>
      <c r="H5033" s="238"/>
      <c r="I5033" s="237"/>
    </row>
    <row r="5034" spans="1:9" s="232" customFormat="1" ht="17" customHeight="1">
      <c r="A5034" s="234"/>
      <c r="B5034" s="233"/>
      <c r="C5034" s="238"/>
      <c r="E5034" s="545"/>
      <c r="F5034" s="546"/>
      <c r="G5034" s="234"/>
      <c r="H5034" s="238"/>
      <c r="I5034" s="237"/>
    </row>
    <row r="5035" spans="1:9" s="232" customFormat="1" ht="17" customHeight="1">
      <c r="A5035" s="234"/>
      <c r="B5035" s="233"/>
      <c r="C5035" s="238"/>
      <c r="E5035" s="545"/>
      <c r="F5035" s="546"/>
      <c r="G5035" s="234"/>
      <c r="H5035" s="238"/>
      <c r="I5035" s="237"/>
    </row>
    <row r="5036" spans="1:9" s="232" customFormat="1" ht="17" customHeight="1">
      <c r="A5036" s="234"/>
      <c r="B5036" s="233"/>
      <c r="C5036" s="238"/>
      <c r="E5036" s="545"/>
      <c r="F5036" s="546"/>
      <c r="G5036" s="234"/>
      <c r="H5036" s="238"/>
      <c r="I5036" s="237"/>
    </row>
    <row r="5037" spans="1:9" s="232" customFormat="1" ht="17" customHeight="1">
      <c r="A5037" s="234"/>
      <c r="B5037" s="233"/>
      <c r="C5037" s="238"/>
      <c r="E5037" s="545"/>
      <c r="F5037" s="546"/>
      <c r="G5037" s="234"/>
      <c r="H5037" s="238"/>
      <c r="I5037" s="237"/>
    </row>
    <row r="5038" spans="1:9" s="232" customFormat="1" ht="17" customHeight="1">
      <c r="A5038" s="234"/>
      <c r="B5038" s="233"/>
      <c r="C5038" s="238"/>
      <c r="E5038" s="545"/>
      <c r="F5038" s="546"/>
      <c r="G5038" s="234"/>
      <c r="H5038" s="238"/>
      <c r="I5038" s="237"/>
    </row>
    <row r="5039" spans="1:9" s="232" customFormat="1" ht="17" customHeight="1">
      <c r="A5039" s="234"/>
      <c r="B5039" s="233"/>
      <c r="C5039" s="238"/>
      <c r="E5039" s="545"/>
      <c r="F5039" s="546"/>
      <c r="G5039" s="234"/>
      <c r="H5039" s="238"/>
      <c r="I5039" s="237"/>
    </row>
    <row r="5040" spans="1:9" s="232" customFormat="1" ht="17" customHeight="1">
      <c r="A5040" s="234"/>
      <c r="B5040" s="233"/>
      <c r="C5040" s="238"/>
      <c r="E5040" s="545"/>
      <c r="F5040" s="546"/>
      <c r="G5040" s="234"/>
      <c r="H5040" s="238"/>
      <c r="I5040" s="237"/>
    </row>
    <row r="5041" spans="1:9" s="232" customFormat="1" ht="17" customHeight="1">
      <c r="A5041" s="234"/>
      <c r="B5041" s="233"/>
      <c r="C5041" s="238"/>
      <c r="E5041" s="545"/>
      <c r="F5041" s="546"/>
      <c r="G5041" s="234"/>
      <c r="H5041" s="238"/>
      <c r="I5041" s="237"/>
    </row>
    <row r="5042" spans="1:9" s="232" customFormat="1" ht="17" customHeight="1">
      <c r="A5042" s="234"/>
      <c r="B5042" s="233"/>
      <c r="C5042" s="238"/>
      <c r="E5042" s="545"/>
      <c r="F5042" s="546"/>
      <c r="G5042" s="234"/>
      <c r="H5042" s="238"/>
      <c r="I5042" s="237"/>
    </row>
    <row r="5043" spans="1:9" s="232" customFormat="1" ht="17" customHeight="1">
      <c r="A5043" s="234"/>
      <c r="B5043" s="233"/>
      <c r="C5043" s="238"/>
      <c r="E5043" s="545"/>
      <c r="F5043" s="546"/>
      <c r="G5043" s="234"/>
      <c r="H5043" s="238"/>
      <c r="I5043" s="237"/>
    </row>
    <row r="5044" spans="1:9" s="232" customFormat="1" ht="17" customHeight="1">
      <c r="A5044" s="234"/>
      <c r="B5044" s="233"/>
      <c r="C5044" s="238"/>
      <c r="E5044" s="545"/>
      <c r="F5044" s="546"/>
      <c r="G5044" s="234"/>
      <c r="H5044" s="238"/>
      <c r="I5044" s="237"/>
    </row>
    <row r="5045" spans="1:9" s="232" customFormat="1" ht="17" customHeight="1">
      <c r="A5045" s="234"/>
      <c r="B5045" s="233"/>
      <c r="C5045" s="238"/>
      <c r="E5045" s="545"/>
      <c r="F5045" s="546"/>
      <c r="G5045" s="234"/>
      <c r="H5045" s="238"/>
      <c r="I5045" s="237"/>
    </row>
    <row r="5046" spans="1:9" s="232" customFormat="1" ht="17" customHeight="1">
      <c r="A5046" s="234"/>
      <c r="B5046" s="233"/>
      <c r="C5046" s="238"/>
      <c r="E5046" s="545"/>
      <c r="F5046" s="546"/>
      <c r="G5046" s="234"/>
      <c r="H5046" s="238"/>
      <c r="I5046" s="237"/>
    </row>
    <row r="5047" spans="1:9" s="232" customFormat="1" ht="17" customHeight="1">
      <c r="A5047" s="234"/>
      <c r="B5047" s="233"/>
      <c r="C5047" s="238"/>
      <c r="E5047" s="545"/>
      <c r="F5047" s="546"/>
      <c r="G5047" s="234"/>
      <c r="H5047" s="238"/>
      <c r="I5047" s="237"/>
    </row>
    <row r="5048" spans="1:9" s="232" customFormat="1" ht="17" customHeight="1">
      <c r="A5048" s="234"/>
      <c r="B5048" s="233"/>
      <c r="C5048" s="238"/>
      <c r="E5048" s="545"/>
      <c r="F5048" s="546"/>
      <c r="G5048" s="234"/>
      <c r="H5048" s="238"/>
      <c r="I5048" s="237"/>
    </row>
    <row r="5049" spans="1:9" s="232" customFormat="1" ht="17" customHeight="1">
      <c r="A5049" s="234"/>
      <c r="B5049" s="233"/>
      <c r="C5049" s="238"/>
      <c r="E5049" s="545"/>
      <c r="F5049" s="546"/>
      <c r="G5049" s="234"/>
      <c r="H5049" s="238"/>
      <c r="I5049" s="237"/>
    </row>
    <row r="5050" spans="1:9" s="232" customFormat="1" ht="17" customHeight="1">
      <c r="A5050" s="234"/>
      <c r="B5050" s="233"/>
      <c r="C5050" s="238"/>
      <c r="E5050" s="545"/>
      <c r="F5050" s="546"/>
      <c r="G5050" s="234"/>
      <c r="H5050" s="238"/>
      <c r="I5050" s="237"/>
    </row>
    <row r="5051" spans="1:9" s="232" customFormat="1" ht="17" customHeight="1">
      <c r="A5051" s="234"/>
      <c r="B5051" s="233"/>
      <c r="C5051" s="238"/>
      <c r="E5051" s="545"/>
      <c r="F5051" s="546"/>
      <c r="G5051" s="234"/>
      <c r="H5051" s="238"/>
      <c r="I5051" s="237"/>
    </row>
    <row r="5052" spans="1:9" s="232" customFormat="1" ht="17" customHeight="1">
      <c r="A5052" s="234"/>
      <c r="B5052" s="233"/>
      <c r="C5052" s="238"/>
      <c r="E5052" s="545"/>
      <c r="F5052" s="546"/>
      <c r="G5052" s="234"/>
      <c r="H5052" s="238"/>
      <c r="I5052" s="237"/>
    </row>
    <row r="5053" spans="1:9" s="232" customFormat="1" ht="17" customHeight="1">
      <c r="A5053" s="234"/>
      <c r="B5053" s="233"/>
      <c r="C5053" s="238"/>
      <c r="E5053" s="545"/>
      <c r="F5053" s="546"/>
      <c r="G5053" s="234"/>
      <c r="H5053" s="238"/>
      <c r="I5053" s="237"/>
    </row>
    <row r="5054" spans="1:9" s="232" customFormat="1" ht="17" customHeight="1">
      <c r="A5054" s="234"/>
      <c r="B5054" s="233"/>
      <c r="C5054" s="238"/>
      <c r="E5054" s="545"/>
      <c r="F5054" s="546"/>
      <c r="G5054" s="234"/>
      <c r="H5054" s="238"/>
      <c r="I5054" s="237"/>
    </row>
    <row r="5055" spans="1:9" s="232" customFormat="1" ht="17" customHeight="1">
      <c r="A5055" s="234"/>
      <c r="B5055" s="233"/>
      <c r="C5055" s="238"/>
      <c r="E5055" s="545"/>
      <c r="F5055" s="546"/>
      <c r="G5055" s="234"/>
      <c r="H5055" s="238"/>
      <c r="I5055" s="237"/>
    </row>
    <row r="5056" spans="1:9" s="232" customFormat="1" ht="17" customHeight="1">
      <c r="A5056" s="234"/>
      <c r="B5056" s="233"/>
      <c r="C5056" s="238"/>
      <c r="E5056" s="545"/>
      <c r="F5056" s="546"/>
      <c r="G5056" s="234"/>
      <c r="H5056" s="238"/>
      <c r="I5056" s="237"/>
    </row>
    <row r="5057" spans="1:9" s="232" customFormat="1" ht="17" customHeight="1">
      <c r="A5057" s="234"/>
      <c r="B5057" s="233"/>
      <c r="C5057" s="238"/>
      <c r="E5057" s="545"/>
      <c r="F5057" s="546"/>
      <c r="G5057" s="234"/>
      <c r="H5057" s="238"/>
      <c r="I5057" s="237"/>
    </row>
    <row r="5058" spans="1:9" s="232" customFormat="1" ht="17" customHeight="1">
      <c r="A5058" s="234"/>
      <c r="B5058" s="233"/>
      <c r="C5058" s="238"/>
      <c r="E5058" s="545"/>
      <c r="F5058" s="546"/>
      <c r="G5058" s="234"/>
      <c r="H5058" s="238"/>
      <c r="I5058" s="237"/>
    </row>
    <row r="5059" spans="1:9" s="232" customFormat="1" ht="17" customHeight="1">
      <c r="A5059" s="234"/>
      <c r="B5059" s="233"/>
      <c r="C5059" s="238"/>
      <c r="E5059" s="545"/>
      <c r="F5059" s="546"/>
      <c r="G5059" s="234"/>
      <c r="H5059" s="238"/>
      <c r="I5059" s="237"/>
    </row>
    <row r="5060" spans="1:9" s="232" customFormat="1" ht="17" customHeight="1">
      <c r="A5060" s="234"/>
      <c r="B5060" s="233"/>
      <c r="C5060" s="238"/>
      <c r="E5060" s="545"/>
      <c r="F5060" s="546"/>
      <c r="G5060" s="234"/>
      <c r="H5060" s="238"/>
      <c r="I5060" s="237"/>
    </row>
    <row r="5061" spans="1:9" s="232" customFormat="1" ht="17" customHeight="1">
      <c r="A5061" s="234"/>
      <c r="B5061" s="233"/>
      <c r="C5061" s="238"/>
      <c r="E5061" s="545"/>
      <c r="F5061" s="546"/>
      <c r="G5061" s="234"/>
      <c r="H5061" s="238"/>
      <c r="I5061" s="237"/>
    </row>
    <row r="5062" spans="1:9" s="232" customFormat="1" ht="17" customHeight="1">
      <c r="A5062" s="234"/>
      <c r="B5062" s="233"/>
      <c r="C5062" s="238"/>
      <c r="E5062" s="545"/>
      <c r="F5062" s="546"/>
      <c r="G5062" s="234"/>
      <c r="H5062" s="238"/>
      <c r="I5062" s="237"/>
    </row>
    <row r="5063" spans="1:9" s="232" customFormat="1" ht="17" customHeight="1">
      <c r="A5063" s="234"/>
      <c r="B5063" s="233"/>
      <c r="C5063" s="238"/>
      <c r="E5063" s="545"/>
      <c r="F5063" s="546"/>
      <c r="G5063" s="234"/>
      <c r="H5063" s="238"/>
      <c r="I5063" s="237"/>
    </row>
    <row r="5064" spans="1:9" s="232" customFormat="1" ht="17" customHeight="1">
      <c r="A5064" s="234"/>
      <c r="B5064" s="233"/>
      <c r="C5064" s="238"/>
      <c r="E5064" s="545"/>
      <c r="F5064" s="546"/>
      <c r="G5064" s="234"/>
      <c r="H5064" s="238"/>
      <c r="I5064" s="237"/>
    </row>
    <row r="5065" spans="1:9" s="232" customFormat="1" ht="17" customHeight="1">
      <c r="A5065" s="234"/>
      <c r="B5065" s="233"/>
      <c r="C5065" s="238"/>
      <c r="E5065" s="545"/>
      <c r="F5065" s="546"/>
      <c r="G5065" s="234"/>
      <c r="H5065" s="238"/>
      <c r="I5065" s="237"/>
    </row>
    <row r="5066" spans="1:9" s="232" customFormat="1" ht="17" customHeight="1">
      <c r="A5066" s="234"/>
      <c r="B5066" s="233"/>
      <c r="C5066" s="238"/>
      <c r="E5066" s="545"/>
      <c r="F5066" s="546"/>
      <c r="G5066" s="234"/>
      <c r="H5066" s="238"/>
      <c r="I5066" s="237"/>
    </row>
    <row r="5067" spans="1:9" s="232" customFormat="1" ht="17" customHeight="1">
      <c r="A5067" s="234"/>
      <c r="B5067" s="233"/>
      <c r="C5067" s="238"/>
      <c r="E5067" s="545"/>
      <c r="F5067" s="546"/>
      <c r="G5067" s="234"/>
      <c r="H5067" s="238"/>
      <c r="I5067" s="237"/>
    </row>
    <row r="5068" spans="1:9" s="232" customFormat="1" ht="17" customHeight="1">
      <c r="A5068" s="234"/>
      <c r="B5068" s="233"/>
      <c r="C5068" s="238"/>
      <c r="E5068" s="545"/>
      <c r="F5068" s="546"/>
      <c r="G5068" s="234"/>
      <c r="H5068" s="238"/>
      <c r="I5068" s="237"/>
    </row>
    <row r="5069" spans="1:9" s="232" customFormat="1" ht="17" customHeight="1">
      <c r="A5069" s="234"/>
      <c r="B5069" s="233"/>
      <c r="C5069" s="238"/>
      <c r="E5069" s="545"/>
      <c r="F5069" s="546"/>
      <c r="G5069" s="234"/>
      <c r="H5069" s="238"/>
      <c r="I5069" s="237"/>
    </row>
    <row r="5070" spans="1:9" s="232" customFormat="1" ht="17" customHeight="1">
      <c r="A5070" s="234"/>
      <c r="B5070" s="233"/>
      <c r="C5070" s="238"/>
      <c r="E5070" s="545"/>
      <c r="F5070" s="546"/>
      <c r="G5070" s="234"/>
      <c r="H5070" s="238"/>
      <c r="I5070" s="237"/>
    </row>
    <row r="5071" spans="1:9" s="232" customFormat="1" ht="17" customHeight="1">
      <c r="A5071" s="234"/>
      <c r="B5071" s="233"/>
      <c r="C5071" s="238"/>
      <c r="E5071" s="545"/>
      <c r="F5071" s="546"/>
      <c r="G5071" s="234"/>
      <c r="H5071" s="238"/>
      <c r="I5071" s="237"/>
    </row>
    <row r="5072" spans="1:9" s="232" customFormat="1" ht="17" customHeight="1">
      <c r="A5072" s="234"/>
      <c r="B5072" s="233"/>
      <c r="C5072" s="238"/>
      <c r="E5072" s="545"/>
      <c r="F5072" s="546"/>
      <c r="G5072" s="234"/>
      <c r="H5072" s="238"/>
      <c r="I5072" s="237"/>
    </row>
    <row r="5073" spans="1:9" s="232" customFormat="1" ht="17" customHeight="1">
      <c r="A5073" s="234"/>
      <c r="B5073" s="233"/>
      <c r="C5073" s="238"/>
      <c r="E5073" s="545"/>
      <c r="F5073" s="546"/>
      <c r="G5073" s="234"/>
      <c r="H5073" s="238"/>
      <c r="I5073" s="237"/>
    </row>
    <row r="5074" spans="1:9" s="232" customFormat="1" ht="17" customHeight="1">
      <c r="A5074" s="234"/>
      <c r="B5074" s="233"/>
      <c r="C5074" s="238"/>
      <c r="E5074" s="545"/>
      <c r="F5074" s="546"/>
      <c r="G5074" s="234"/>
      <c r="H5074" s="238"/>
      <c r="I5074" s="237"/>
    </row>
    <row r="5075" spans="1:9" s="232" customFormat="1" ht="17" customHeight="1">
      <c r="A5075" s="234"/>
      <c r="B5075" s="233"/>
      <c r="C5075" s="238"/>
      <c r="E5075" s="545"/>
      <c r="F5075" s="546"/>
      <c r="G5075" s="234"/>
      <c r="H5075" s="238"/>
      <c r="I5075" s="237"/>
    </row>
    <row r="5076" spans="1:9" s="232" customFormat="1" ht="17" customHeight="1">
      <c r="A5076" s="234"/>
      <c r="B5076" s="233"/>
      <c r="C5076" s="238"/>
      <c r="E5076" s="545"/>
      <c r="F5076" s="546"/>
      <c r="G5076" s="234"/>
      <c r="H5076" s="238"/>
      <c r="I5076" s="237"/>
    </row>
    <row r="5077" spans="1:9" s="232" customFormat="1" ht="17" customHeight="1">
      <c r="A5077" s="234"/>
      <c r="B5077" s="233"/>
      <c r="C5077" s="238"/>
      <c r="E5077" s="545"/>
      <c r="F5077" s="546"/>
      <c r="G5077" s="234"/>
      <c r="H5077" s="238"/>
      <c r="I5077" s="237"/>
    </row>
    <row r="5078" spans="1:9" s="232" customFormat="1" ht="17" customHeight="1">
      <c r="A5078" s="234"/>
      <c r="B5078" s="233"/>
      <c r="C5078" s="238"/>
      <c r="E5078" s="545"/>
      <c r="F5078" s="546"/>
      <c r="G5078" s="234"/>
      <c r="H5078" s="238"/>
      <c r="I5078" s="237"/>
    </row>
    <row r="5079" spans="1:9" s="232" customFormat="1" ht="17" customHeight="1">
      <c r="A5079" s="234"/>
      <c r="B5079" s="233"/>
      <c r="C5079" s="238"/>
      <c r="E5079" s="545"/>
      <c r="F5079" s="546"/>
      <c r="G5079" s="234"/>
      <c r="H5079" s="238"/>
      <c r="I5079" s="237"/>
    </row>
    <row r="5080" spans="1:9" s="232" customFormat="1" ht="17" customHeight="1">
      <c r="A5080" s="234"/>
      <c r="B5080" s="233"/>
      <c r="C5080" s="238"/>
      <c r="E5080" s="545"/>
      <c r="F5080" s="546"/>
      <c r="G5080" s="234"/>
      <c r="H5080" s="238"/>
      <c r="I5080" s="237"/>
    </row>
    <row r="5081" spans="1:9" s="232" customFormat="1" ht="17" customHeight="1">
      <c r="A5081" s="234"/>
      <c r="B5081" s="233"/>
      <c r="C5081" s="238"/>
      <c r="E5081" s="545"/>
      <c r="F5081" s="546"/>
      <c r="G5081" s="234"/>
      <c r="H5081" s="238"/>
      <c r="I5081" s="237"/>
    </row>
    <row r="5082" spans="1:9" s="232" customFormat="1" ht="17" customHeight="1">
      <c r="A5082" s="234"/>
      <c r="B5082" s="233"/>
      <c r="C5082" s="238"/>
      <c r="E5082" s="545"/>
      <c r="F5082" s="546"/>
      <c r="G5082" s="234"/>
      <c r="H5082" s="238"/>
      <c r="I5082" s="237"/>
    </row>
    <row r="5083" spans="1:9" s="232" customFormat="1" ht="17" customHeight="1">
      <c r="A5083" s="234"/>
      <c r="B5083" s="233"/>
      <c r="C5083" s="238"/>
      <c r="E5083" s="545"/>
      <c r="F5083" s="546"/>
      <c r="G5083" s="234"/>
      <c r="H5083" s="238"/>
      <c r="I5083" s="237"/>
    </row>
    <row r="5084" spans="1:9" s="232" customFormat="1" ht="17" customHeight="1">
      <c r="A5084" s="234"/>
      <c r="B5084" s="233"/>
      <c r="C5084" s="238"/>
      <c r="E5084" s="545"/>
      <c r="F5084" s="546"/>
      <c r="G5084" s="234"/>
      <c r="H5084" s="238"/>
      <c r="I5084" s="237"/>
    </row>
    <row r="5085" spans="1:9" s="232" customFormat="1" ht="17" customHeight="1">
      <c r="A5085" s="234"/>
      <c r="B5085" s="233"/>
      <c r="C5085" s="238"/>
      <c r="E5085" s="545"/>
      <c r="F5085" s="546"/>
      <c r="G5085" s="234"/>
      <c r="H5085" s="238"/>
      <c r="I5085" s="237"/>
    </row>
    <row r="5086" spans="1:9" s="232" customFormat="1" ht="17" customHeight="1">
      <c r="A5086" s="234"/>
      <c r="B5086" s="233"/>
      <c r="C5086" s="238"/>
      <c r="E5086" s="545"/>
      <c r="F5086" s="546"/>
      <c r="G5086" s="234"/>
      <c r="H5086" s="238"/>
      <c r="I5086" s="237"/>
    </row>
    <row r="5087" spans="1:9" s="232" customFormat="1" ht="17" customHeight="1">
      <c r="A5087" s="234"/>
      <c r="B5087" s="233"/>
      <c r="C5087" s="238"/>
      <c r="E5087" s="545"/>
      <c r="F5087" s="546"/>
      <c r="G5087" s="234"/>
      <c r="H5087" s="238"/>
      <c r="I5087" s="237"/>
    </row>
    <row r="5088" spans="1:9" s="232" customFormat="1" ht="17" customHeight="1">
      <c r="A5088" s="234"/>
      <c r="B5088" s="233"/>
      <c r="C5088" s="238"/>
      <c r="E5088" s="545"/>
      <c r="F5088" s="546"/>
      <c r="G5088" s="234"/>
      <c r="H5088" s="238"/>
      <c r="I5088" s="237"/>
    </row>
    <row r="5089" spans="1:9" s="232" customFormat="1" ht="17" customHeight="1">
      <c r="A5089" s="234"/>
      <c r="B5089" s="233"/>
      <c r="C5089" s="238"/>
      <c r="E5089" s="545"/>
      <c r="F5089" s="546"/>
      <c r="G5089" s="234"/>
      <c r="H5089" s="238"/>
      <c r="I5089" s="237"/>
    </row>
    <row r="5090" spans="1:9" s="232" customFormat="1" ht="17" customHeight="1">
      <c r="A5090" s="234"/>
      <c r="B5090" s="233"/>
      <c r="C5090" s="238"/>
      <c r="E5090" s="545"/>
      <c r="F5090" s="546"/>
      <c r="G5090" s="234"/>
      <c r="H5090" s="238"/>
      <c r="I5090" s="237"/>
    </row>
    <row r="5091" spans="1:9" s="232" customFormat="1" ht="17" customHeight="1">
      <c r="A5091" s="234"/>
      <c r="B5091" s="233"/>
      <c r="C5091" s="238"/>
      <c r="E5091" s="545"/>
      <c r="F5091" s="546"/>
      <c r="G5091" s="234"/>
      <c r="H5091" s="238"/>
      <c r="I5091" s="237"/>
    </row>
    <row r="5092" spans="1:9" s="232" customFormat="1" ht="17" customHeight="1">
      <c r="A5092" s="234"/>
      <c r="B5092" s="233"/>
      <c r="C5092" s="238"/>
      <c r="E5092" s="545"/>
      <c r="F5092" s="546"/>
      <c r="G5092" s="234"/>
      <c r="H5092" s="238"/>
      <c r="I5092" s="237"/>
    </row>
    <row r="5093" spans="1:9" s="232" customFormat="1" ht="17" customHeight="1">
      <c r="A5093" s="234"/>
      <c r="B5093" s="233"/>
      <c r="C5093" s="238"/>
      <c r="E5093" s="545"/>
      <c r="F5093" s="546"/>
      <c r="G5093" s="234"/>
      <c r="H5093" s="238"/>
      <c r="I5093" s="237"/>
    </row>
    <row r="5094" spans="1:9" s="232" customFormat="1" ht="17" customHeight="1">
      <c r="A5094" s="234"/>
      <c r="B5094" s="233"/>
      <c r="C5094" s="238"/>
      <c r="E5094" s="545"/>
      <c r="F5094" s="546"/>
      <c r="G5094" s="234"/>
      <c r="H5094" s="238"/>
      <c r="I5094" s="237"/>
    </row>
    <row r="5095" spans="1:9" s="232" customFormat="1" ht="17" customHeight="1">
      <c r="A5095" s="234"/>
      <c r="B5095" s="233"/>
      <c r="C5095" s="238"/>
      <c r="E5095" s="545"/>
      <c r="F5095" s="546"/>
      <c r="G5095" s="234"/>
      <c r="H5095" s="238"/>
      <c r="I5095" s="237"/>
    </row>
    <row r="5096" spans="1:9" s="232" customFormat="1" ht="17" customHeight="1">
      <c r="A5096" s="234"/>
      <c r="B5096" s="233"/>
      <c r="C5096" s="238"/>
      <c r="E5096" s="545"/>
      <c r="F5096" s="546"/>
      <c r="G5096" s="234"/>
      <c r="H5096" s="238"/>
      <c r="I5096" s="237"/>
    </row>
    <row r="5097" spans="1:9" s="232" customFormat="1" ht="17" customHeight="1">
      <c r="A5097" s="234"/>
      <c r="B5097" s="233"/>
      <c r="C5097" s="238"/>
      <c r="E5097" s="545"/>
      <c r="F5097" s="546"/>
      <c r="G5097" s="234"/>
      <c r="H5097" s="238"/>
      <c r="I5097" s="237"/>
    </row>
    <row r="5098" spans="1:9" s="232" customFormat="1" ht="17" customHeight="1">
      <c r="A5098" s="234"/>
      <c r="B5098" s="233"/>
      <c r="C5098" s="238"/>
      <c r="E5098" s="545"/>
      <c r="F5098" s="546"/>
      <c r="G5098" s="234"/>
      <c r="H5098" s="238"/>
      <c r="I5098" s="237"/>
    </row>
    <row r="5099" spans="1:9" s="232" customFormat="1" ht="17" customHeight="1">
      <c r="A5099" s="234"/>
      <c r="B5099" s="233"/>
      <c r="C5099" s="238"/>
      <c r="E5099" s="545"/>
      <c r="F5099" s="546"/>
      <c r="G5099" s="234"/>
      <c r="H5099" s="238"/>
      <c r="I5099" s="237"/>
    </row>
    <row r="5100" spans="1:9" s="232" customFormat="1" ht="17" customHeight="1">
      <c r="A5100" s="234"/>
      <c r="B5100" s="233"/>
      <c r="C5100" s="238"/>
      <c r="E5100" s="545"/>
      <c r="F5100" s="546"/>
      <c r="G5100" s="234"/>
      <c r="H5100" s="238"/>
      <c r="I5100" s="237"/>
    </row>
    <row r="5101" spans="1:9" s="232" customFormat="1" ht="17" customHeight="1">
      <c r="A5101" s="234"/>
      <c r="B5101" s="233"/>
      <c r="C5101" s="238"/>
      <c r="E5101" s="545"/>
      <c r="F5101" s="546"/>
      <c r="G5101" s="234"/>
      <c r="H5101" s="238"/>
      <c r="I5101" s="237"/>
    </row>
    <row r="5102" spans="1:9" s="232" customFormat="1" ht="17" customHeight="1">
      <c r="A5102" s="234"/>
      <c r="B5102" s="233"/>
      <c r="C5102" s="238"/>
      <c r="E5102" s="545"/>
      <c r="F5102" s="546"/>
      <c r="G5102" s="234"/>
      <c r="H5102" s="238"/>
      <c r="I5102" s="237"/>
    </row>
    <row r="5103" spans="1:9" s="232" customFormat="1" ht="17" customHeight="1">
      <c r="A5103" s="234"/>
      <c r="B5103" s="233"/>
      <c r="C5103" s="238"/>
      <c r="E5103" s="545"/>
      <c r="F5103" s="546"/>
      <c r="G5103" s="234"/>
      <c r="H5103" s="238"/>
      <c r="I5103" s="237"/>
    </row>
    <row r="5104" spans="1:9" s="232" customFormat="1" ht="17" customHeight="1">
      <c r="A5104" s="234"/>
      <c r="B5104" s="233"/>
      <c r="C5104" s="238"/>
      <c r="E5104" s="545"/>
      <c r="F5104" s="546"/>
      <c r="G5104" s="234"/>
      <c r="H5104" s="238"/>
      <c r="I5104" s="237"/>
    </row>
    <row r="5105" spans="1:9" s="232" customFormat="1" ht="17" customHeight="1">
      <c r="A5105" s="234"/>
      <c r="B5105" s="233"/>
      <c r="C5105" s="238"/>
      <c r="E5105" s="545"/>
      <c r="F5105" s="546"/>
      <c r="G5105" s="234"/>
      <c r="H5105" s="238"/>
      <c r="I5105" s="237"/>
    </row>
    <row r="5106" spans="1:9" s="232" customFormat="1" ht="17" customHeight="1">
      <c r="A5106" s="234"/>
      <c r="B5106" s="233"/>
      <c r="C5106" s="238"/>
      <c r="E5106" s="545"/>
      <c r="F5106" s="546"/>
      <c r="G5106" s="234"/>
      <c r="H5106" s="238"/>
      <c r="I5106" s="237"/>
    </row>
    <row r="5107" spans="1:9" s="232" customFormat="1" ht="17" customHeight="1">
      <c r="A5107" s="234"/>
      <c r="B5107" s="233"/>
      <c r="C5107" s="238"/>
      <c r="E5107" s="545"/>
      <c r="F5107" s="546"/>
      <c r="G5107" s="234"/>
      <c r="H5107" s="238"/>
      <c r="I5107" s="237"/>
    </row>
    <row r="5108" spans="1:9" s="232" customFormat="1" ht="17" customHeight="1">
      <c r="A5108" s="234"/>
      <c r="B5108" s="233"/>
      <c r="C5108" s="238"/>
      <c r="E5108" s="545"/>
      <c r="F5108" s="546"/>
      <c r="G5108" s="234"/>
      <c r="H5108" s="238"/>
      <c r="I5108" s="237"/>
    </row>
    <row r="5109" spans="1:9" s="232" customFormat="1" ht="17" customHeight="1">
      <c r="A5109" s="234"/>
      <c r="B5109" s="233"/>
      <c r="C5109" s="238"/>
      <c r="E5109" s="545"/>
      <c r="F5109" s="546"/>
      <c r="G5109" s="234"/>
      <c r="H5109" s="238"/>
      <c r="I5109" s="237"/>
    </row>
    <row r="5110" spans="1:9" s="232" customFormat="1" ht="17" customHeight="1">
      <c r="A5110" s="234"/>
      <c r="B5110" s="233"/>
      <c r="C5110" s="238"/>
      <c r="E5110" s="545"/>
      <c r="F5110" s="546"/>
      <c r="G5110" s="234"/>
      <c r="H5110" s="238"/>
      <c r="I5110" s="237"/>
    </row>
    <row r="5111" spans="1:9" s="232" customFormat="1" ht="17" customHeight="1">
      <c r="A5111" s="234"/>
      <c r="B5111" s="233"/>
      <c r="C5111" s="238"/>
      <c r="E5111" s="545"/>
      <c r="F5111" s="546"/>
      <c r="G5111" s="234"/>
      <c r="H5111" s="238"/>
      <c r="I5111" s="237"/>
    </row>
    <row r="5112" spans="1:9" s="232" customFormat="1" ht="17" customHeight="1">
      <c r="A5112" s="234"/>
      <c r="B5112" s="233"/>
      <c r="C5112" s="238"/>
      <c r="E5112" s="545"/>
      <c r="F5112" s="546"/>
      <c r="G5112" s="234"/>
      <c r="H5112" s="238"/>
      <c r="I5112" s="237"/>
    </row>
    <row r="5113" spans="1:9" s="232" customFormat="1" ht="17" customHeight="1">
      <c r="A5113" s="234"/>
      <c r="B5113" s="233"/>
      <c r="C5113" s="238"/>
      <c r="E5113" s="545"/>
      <c r="F5113" s="546"/>
      <c r="G5113" s="234"/>
      <c r="H5113" s="238"/>
      <c r="I5113" s="237"/>
    </row>
    <row r="5114" spans="1:9" s="232" customFormat="1" ht="17" customHeight="1">
      <c r="A5114" s="234"/>
      <c r="B5114" s="233"/>
      <c r="C5114" s="238"/>
      <c r="E5114" s="545"/>
      <c r="F5114" s="546"/>
      <c r="G5114" s="234"/>
      <c r="H5114" s="238"/>
      <c r="I5114" s="237"/>
    </row>
    <row r="5115" spans="1:9" s="232" customFormat="1" ht="17" customHeight="1">
      <c r="A5115" s="234"/>
      <c r="B5115" s="233"/>
      <c r="C5115" s="238"/>
      <c r="E5115" s="545"/>
      <c r="F5115" s="546"/>
      <c r="G5115" s="234"/>
      <c r="H5115" s="238"/>
      <c r="I5115" s="237"/>
    </row>
    <row r="5116" spans="1:9" s="232" customFormat="1" ht="17" customHeight="1">
      <c r="A5116" s="234"/>
      <c r="B5116" s="233"/>
      <c r="C5116" s="238"/>
      <c r="E5116" s="545"/>
      <c r="F5116" s="546"/>
      <c r="G5116" s="234"/>
      <c r="H5116" s="238"/>
      <c r="I5116" s="237"/>
    </row>
    <row r="5117" spans="1:9" s="232" customFormat="1" ht="17" customHeight="1">
      <c r="A5117" s="234"/>
      <c r="B5117" s="233"/>
      <c r="C5117" s="238"/>
      <c r="E5117" s="545"/>
      <c r="F5117" s="546"/>
      <c r="G5117" s="234"/>
      <c r="H5117" s="238"/>
      <c r="I5117" s="237"/>
    </row>
    <row r="5118" spans="1:9" s="232" customFormat="1" ht="17" customHeight="1">
      <c r="A5118" s="234"/>
      <c r="B5118" s="233"/>
      <c r="C5118" s="238"/>
      <c r="E5118" s="545"/>
      <c r="F5118" s="546"/>
      <c r="G5118" s="234"/>
      <c r="H5118" s="238"/>
      <c r="I5118" s="237"/>
    </row>
    <row r="5119" spans="1:9" s="232" customFormat="1" ht="17" customHeight="1">
      <c r="A5119" s="234"/>
      <c r="B5119" s="233"/>
      <c r="C5119" s="238"/>
      <c r="E5119" s="545"/>
      <c r="F5119" s="546"/>
      <c r="G5119" s="234"/>
      <c r="H5119" s="238"/>
      <c r="I5119" s="237"/>
    </row>
    <row r="5120" spans="1:9" s="232" customFormat="1" ht="17" customHeight="1">
      <c r="A5120" s="234"/>
      <c r="B5120" s="233"/>
      <c r="C5120" s="238"/>
      <c r="E5120" s="545"/>
      <c r="F5120" s="546"/>
      <c r="G5120" s="234"/>
      <c r="H5120" s="238"/>
      <c r="I5120" s="237"/>
    </row>
    <row r="5121" spans="1:9" s="232" customFormat="1" ht="17" customHeight="1">
      <c r="A5121" s="234"/>
      <c r="B5121" s="233"/>
      <c r="C5121" s="238"/>
      <c r="E5121" s="545"/>
      <c r="F5121" s="546"/>
      <c r="G5121" s="234"/>
      <c r="H5121" s="238"/>
      <c r="I5121" s="237"/>
    </row>
    <row r="5122" spans="1:9" s="232" customFormat="1" ht="17" customHeight="1">
      <c r="A5122" s="234"/>
      <c r="B5122" s="233"/>
      <c r="C5122" s="238"/>
      <c r="E5122" s="545"/>
      <c r="F5122" s="546"/>
      <c r="G5122" s="234"/>
      <c r="H5122" s="238"/>
      <c r="I5122" s="237"/>
    </row>
    <row r="5123" spans="1:9" s="232" customFormat="1" ht="17" customHeight="1">
      <c r="A5123" s="234"/>
      <c r="B5123" s="233"/>
      <c r="C5123" s="238"/>
      <c r="E5123" s="545"/>
      <c r="F5123" s="546"/>
      <c r="G5123" s="234"/>
      <c r="H5123" s="238"/>
      <c r="I5123" s="237"/>
    </row>
    <row r="5124" spans="1:9" s="232" customFormat="1" ht="17" customHeight="1">
      <c r="A5124" s="234"/>
      <c r="B5124" s="233"/>
      <c r="C5124" s="238"/>
      <c r="E5124" s="545"/>
      <c r="F5124" s="546"/>
      <c r="G5124" s="234"/>
      <c r="H5124" s="238"/>
      <c r="I5124" s="237"/>
    </row>
    <row r="5125" spans="1:9" s="232" customFormat="1" ht="17" customHeight="1">
      <c r="A5125" s="234"/>
      <c r="B5125" s="233"/>
      <c r="C5125" s="238"/>
      <c r="E5125" s="545"/>
      <c r="F5125" s="546"/>
      <c r="G5125" s="234"/>
      <c r="H5125" s="238"/>
      <c r="I5125" s="237"/>
    </row>
    <row r="5126" spans="1:9" s="232" customFormat="1" ht="17" customHeight="1">
      <c r="A5126" s="234"/>
      <c r="B5126" s="233"/>
      <c r="C5126" s="238"/>
      <c r="E5126" s="545"/>
      <c r="F5126" s="546"/>
      <c r="G5126" s="234"/>
      <c r="H5126" s="238"/>
      <c r="I5126" s="237"/>
    </row>
    <row r="5127" spans="1:9" s="232" customFormat="1" ht="17" customHeight="1">
      <c r="A5127" s="234"/>
      <c r="B5127" s="233"/>
      <c r="C5127" s="238"/>
      <c r="E5127" s="545"/>
      <c r="F5127" s="546"/>
      <c r="G5127" s="234"/>
      <c r="H5127" s="238"/>
      <c r="I5127" s="237"/>
    </row>
    <row r="5128" spans="1:9" s="232" customFormat="1" ht="17" customHeight="1">
      <c r="A5128" s="234"/>
      <c r="B5128" s="233"/>
      <c r="C5128" s="238"/>
      <c r="E5128" s="545"/>
      <c r="F5128" s="546"/>
      <c r="G5128" s="234"/>
      <c r="H5128" s="238"/>
      <c r="I5128" s="237"/>
    </row>
    <row r="5129" spans="1:9" s="232" customFormat="1" ht="17" customHeight="1">
      <c r="A5129" s="234"/>
      <c r="B5129" s="233"/>
      <c r="C5129" s="238"/>
      <c r="E5129" s="545"/>
      <c r="F5129" s="546"/>
      <c r="G5129" s="234"/>
      <c r="H5129" s="238"/>
      <c r="I5129" s="237"/>
    </row>
    <row r="5130" spans="1:9" s="232" customFormat="1" ht="17" customHeight="1">
      <c r="A5130" s="234"/>
      <c r="B5130" s="233"/>
      <c r="C5130" s="238"/>
      <c r="E5130" s="545"/>
      <c r="F5130" s="546"/>
      <c r="G5130" s="234"/>
      <c r="H5130" s="238"/>
      <c r="I5130" s="237"/>
    </row>
    <row r="5131" spans="1:9" s="232" customFormat="1" ht="17" customHeight="1">
      <c r="A5131" s="234"/>
      <c r="B5131" s="233"/>
      <c r="C5131" s="238"/>
      <c r="E5131" s="545"/>
      <c r="F5131" s="546"/>
      <c r="G5131" s="234"/>
      <c r="H5131" s="238"/>
      <c r="I5131" s="237"/>
    </row>
    <row r="5132" spans="1:9" s="232" customFormat="1" ht="17" customHeight="1">
      <c r="A5132" s="234"/>
      <c r="B5132" s="233"/>
      <c r="C5132" s="238"/>
      <c r="E5132" s="545"/>
      <c r="F5132" s="546"/>
      <c r="G5132" s="234"/>
      <c r="H5132" s="238"/>
      <c r="I5132" s="237"/>
    </row>
    <row r="5133" spans="1:9" s="232" customFormat="1" ht="17" customHeight="1">
      <c r="A5133" s="234"/>
      <c r="B5133" s="233"/>
      <c r="C5133" s="238"/>
      <c r="E5133" s="545"/>
      <c r="F5133" s="546"/>
      <c r="G5133" s="234"/>
      <c r="H5133" s="238"/>
      <c r="I5133" s="237"/>
    </row>
    <row r="5134" spans="1:9" s="232" customFormat="1" ht="17" customHeight="1">
      <c r="A5134" s="234"/>
      <c r="B5134" s="233"/>
      <c r="C5134" s="238"/>
      <c r="E5134" s="545"/>
      <c r="F5134" s="546"/>
      <c r="G5134" s="234"/>
      <c r="H5134" s="238"/>
      <c r="I5134" s="237"/>
    </row>
    <row r="5135" spans="1:9" s="232" customFormat="1" ht="17" customHeight="1">
      <c r="A5135" s="234"/>
      <c r="B5135" s="233"/>
      <c r="C5135" s="238"/>
      <c r="E5135" s="545"/>
      <c r="F5135" s="546"/>
      <c r="G5135" s="234"/>
      <c r="H5135" s="238"/>
      <c r="I5135" s="237"/>
    </row>
    <row r="5136" spans="1:9" s="232" customFormat="1" ht="17" customHeight="1">
      <c r="A5136" s="234"/>
      <c r="B5136" s="233"/>
      <c r="C5136" s="238"/>
      <c r="E5136" s="545"/>
      <c r="F5136" s="546"/>
      <c r="G5136" s="234"/>
      <c r="H5136" s="238"/>
      <c r="I5136" s="237"/>
    </row>
    <row r="5137" spans="1:9" s="232" customFormat="1" ht="17" customHeight="1">
      <c r="A5137" s="234"/>
      <c r="B5137" s="233"/>
      <c r="C5137" s="238"/>
      <c r="E5137" s="545"/>
      <c r="F5137" s="546"/>
      <c r="G5137" s="234"/>
      <c r="H5137" s="238"/>
      <c r="I5137" s="237"/>
    </row>
    <row r="5138" spans="1:9" s="232" customFormat="1" ht="17" customHeight="1">
      <c r="A5138" s="234"/>
      <c r="B5138" s="233"/>
      <c r="C5138" s="238"/>
      <c r="E5138" s="545"/>
      <c r="F5138" s="546"/>
      <c r="G5138" s="234"/>
      <c r="H5138" s="238"/>
      <c r="I5138" s="237"/>
    </row>
    <row r="5139" spans="1:9" s="232" customFormat="1" ht="17" customHeight="1">
      <c r="A5139" s="234"/>
      <c r="B5139" s="233"/>
      <c r="C5139" s="238"/>
      <c r="E5139" s="545"/>
      <c r="F5139" s="546"/>
      <c r="G5139" s="234"/>
      <c r="H5139" s="238"/>
      <c r="I5139" s="237"/>
    </row>
    <row r="5140" spans="1:9" s="232" customFormat="1" ht="17" customHeight="1">
      <c r="A5140" s="234"/>
      <c r="B5140" s="233"/>
      <c r="C5140" s="238"/>
      <c r="E5140" s="545"/>
      <c r="F5140" s="546"/>
      <c r="G5140" s="234"/>
      <c r="H5140" s="238"/>
      <c r="I5140" s="237"/>
    </row>
    <row r="5141" spans="1:9" s="232" customFormat="1" ht="17" customHeight="1">
      <c r="A5141" s="234"/>
      <c r="B5141" s="233"/>
      <c r="C5141" s="238"/>
      <c r="E5141" s="545"/>
      <c r="F5141" s="546"/>
      <c r="G5141" s="234"/>
      <c r="H5141" s="238"/>
      <c r="I5141" s="237"/>
    </row>
    <row r="5142" spans="1:9" s="232" customFormat="1" ht="17" customHeight="1">
      <c r="A5142" s="234"/>
      <c r="B5142" s="233"/>
      <c r="C5142" s="238"/>
      <c r="E5142" s="545"/>
      <c r="F5142" s="546"/>
      <c r="G5142" s="234"/>
      <c r="H5142" s="238"/>
      <c r="I5142" s="237"/>
    </row>
    <row r="5143" spans="1:9" s="232" customFormat="1" ht="17" customHeight="1">
      <c r="A5143" s="234"/>
      <c r="B5143" s="233"/>
      <c r="C5143" s="238"/>
      <c r="E5143" s="545"/>
      <c r="F5143" s="546"/>
      <c r="G5143" s="234"/>
      <c r="H5143" s="238"/>
      <c r="I5143" s="237"/>
    </row>
    <row r="5144" spans="1:9" s="232" customFormat="1" ht="17" customHeight="1">
      <c r="A5144" s="234"/>
      <c r="B5144" s="233"/>
      <c r="C5144" s="238"/>
      <c r="E5144" s="545"/>
      <c r="F5144" s="546"/>
      <c r="G5144" s="234"/>
      <c r="H5144" s="238"/>
      <c r="I5144" s="237"/>
    </row>
    <row r="5145" spans="1:9" s="232" customFormat="1" ht="17" customHeight="1">
      <c r="A5145" s="234"/>
      <c r="B5145" s="233"/>
      <c r="C5145" s="238"/>
      <c r="E5145" s="545"/>
      <c r="F5145" s="546"/>
      <c r="G5145" s="234"/>
      <c r="H5145" s="238"/>
      <c r="I5145" s="237"/>
    </row>
    <row r="5146" spans="1:9" s="232" customFormat="1" ht="17" customHeight="1">
      <c r="A5146" s="234"/>
      <c r="B5146" s="233"/>
      <c r="C5146" s="238"/>
      <c r="E5146" s="545"/>
      <c r="F5146" s="546"/>
      <c r="G5146" s="234"/>
      <c r="H5146" s="238"/>
      <c r="I5146" s="237"/>
    </row>
    <row r="5147" spans="1:9" s="232" customFormat="1" ht="17" customHeight="1">
      <c r="A5147" s="234"/>
      <c r="B5147" s="233"/>
      <c r="C5147" s="238"/>
      <c r="E5147" s="545"/>
      <c r="F5147" s="546"/>
      <c r="G5147" s="234"/>
      <c r="H5147" s="238"/>
      <c r="I5147" s="237"/>
    </row>
    <row r="5148" spans="1:9" s="232" customFormat="1" ht="17" customHeight="1">
      <c r="A5148" s="234"/>
      <c r="B5148" s="233"/>
      <c r="C5148" s="238"/>
      <c r="E5148" s="545"/>
      <c r="F5148" s="546"/>
      <c r="G5148" s="234"/>
      <c r="H5148" s="238"/>
      <c r="I5148" s="237"/>
    </row>
    <row r="5149" spans="1:9" s="232" customFormat="1" ht="17" customHeight="1">
      <c r="A5149" s="234"/>
      <c r="B5149" s="233"/>
      <c r="C5149" s="238"/>
      <c r="E5149" s="545"/>
      <c r="F5149" s="546"/>
      <c r="G5149" s="234"/>
      <c r="H5149" s="238"/>
      <c r="I5149" s="237"/>
    </row>
    <row r="5150" spans="1:9" s="232" customFormat="1" ht="17" customHeight="1">
      <c r="A5150" s="234"/>
      <c r="B5150" s="233"/>
      <c r="C5150" s="238"/>
      <c r="E5150" s="545"/>
      <c r="F5150" s="546"/>
      <c r="G5150" s="234"/>
      <c r="H5150" s="238"/>
      <c r="I5150" s="237"/>
    </row>
    <row r="5151" spans="1:9" s="232" customFormat="1" ht="17" customHeight="1">
      <c r="A5151" s="234"/>
      <c r="B5151" s="233"/>
      <c r="C5151" s="238"/>
      <c r="E5151" s="545"/>
      <c r="F5151" s="546"/>
      <c r="G5151" s="234"/>
      <c r="H5151" s="238"/>
      <c r="I5151" s="237"/>
    </row>
    <row r="5152" spans="1:9" s="232" customFormat="1" ht="17" customHeight="1">
      <c r="A5152" s="234"/>
      <c r="B5152" s="233"/>
      <c r="C5152" s="238"/>
      <c r="E5152" s="545"/>
      <c r="F5152" s="546"/>
      <c r="G5152" s="234"/>
      <c r="H5152" s="238"/>
      <c r="I5152" s="237"/>
    </row>
    <row r="5153" spans="1:9" s="232" customFormat="1" ht="17" customHeight="1">
      <c r="A5153" s="234"/>
      <c r="B5153" s="233"/>
      <c r="C5153" s="238"/>
      <c r="E5153" s="545"/>
      <c r="F5153" s="546"/>
      <c r="G5153" s="234"/>
      <c r="H5153" s="238"/>
      <c r="I5153" s="237"/>
    </row>
    <row r="5154" spans="1:9" s="232" customFormat="1" ht="17" customHeight="1">
      <c r="A5154" s="234"/>
      <c r="B5154" s="233"/>
      <c r="C5154" s="238"/>
      <c r="E5154" s="545"/>
      <c r="F5154" s="546"/>
      <c r="G5154" s="234"/>
      <c r="H5154" s="238"/>
      <c r="I5154" s="237"/>
    </row>
    <row r="5155" spans="1:9" s="232" customFormat="1" ht="17" customHeight="1">
      <c r="A5155" s="234"/>
      <c r="B5155" s="233"/>
      <c r="C5155" s="238"/>
      <c r="E5155" s="545"/>
      <c r="F5155" s="546"/>
      <c r="G5155" s="234"/>
      <c r="H5155" s="238"/>
      <c r="I5155" s="237"/>
    </row>
    <row r="5156" spans="1:9" s="232" customFormat="1" ht="17" customHeight="1">
      <c r="A5156" s="234"/>
      <c r="B5156" s="233"/>
      <c r="C5156" s="238"/>
      <c r="E5156" s="545"/>
      <c r="F5156" s="546"/>
      <c r="G5156" s="234"/>
      <c r="H5156" s="238"/>
      <c r="I5156" s="237"/>
    </row>
    <row r="5157" spans="1:9" s="232" customFormat="1" ht="17" customHeight="1">
      <c r="A5157" s="234"/>
      <c r="B5157" s="233"/>
      <c r="C5157" s="238"/>
      <c r="E5157" s="545"/>
      <c r="F5157" s="546"/>
      <c r="G5157" s="234"/>
      <c r="H5157" s="238"/>
      <c r="I5157" s="237"/>
    </row>
    <row r="5158" spans="1:9" s="232" customFormat="1" ht="17" customHeight="1">
      <c r="A5158" s="234"/>
      <c r="B5158" s="233"/>
      <c r="C5158" s="238"/>
      <c r="E5158" s="545"/>
      <c r="F5158" s="546"/>
      <c r="G5158" s="234"/>
      <c r="H5158" s="238"/>
      <c r="I5158" s="237"/>
    </row>
    <row r="5159" spans="1:9" s="232" customFormat="1" ht="17" customHeight="1">
      <c r="A5159" s="234"/>
      <c r="B5159" s="233"/>
      <c r="C5159" s="238"/>
      <c r="E5159" s="545"/>
      <c r="F5159" s="546"/>
      <c r="G5159" s="234"/>
      <c r="H5159" s="238"/>
      <c r="I5159" s="237"/>
    </row>
    <row r="5160" spans="1:9" s="232" customFormat="1" ht="17" customHeight="1">
      <c r="A5160" s="234"/>
      <c r="B5160" s="233"/>
      <c r="C5160" s="238"/>
      <c r="E5160" s="545"/>
      <c r="F5160" s="546"/>
      <c r="G5160" s="234"/>
      <c r="H5160" s="238"/>
      <c r="I5160" s="237"/>
    </row>
    <row r="5161" spans="1:9" s="232" customFormat="1" ht="17" customHeight="1">
      <c r="A5161" s="234"/>
      <c r="B5161" s="233"/>
      <c r="C5161" s="238"/>
      <c r="E5161" s="545"/>
      <c r="F5161" s="546"/>
      <c r="G5161" s="234"/>
      <c r="H5161" s="238"/>
      <c r="I5161" s="237"/>
    </row>
    <row r="5162" spans="1:9" s="232" customFormat="1" ht="17" customHeight="1">
      <c r="A5162" s="234"/>
      <c r="B5162" s="233"/>
      <c r="C5162" s="238"/>
      <c r="E5162" s="545"/>
      <c r="F5162" s="546"/>
      <c r="G5162" s="234"/>
      <c r="H5162" s="238"/>
      <c r="I5162" s="237"/>
    </row>
    <row r="5163" spans="1:9" s="232" customFormat="1" ht="17" customHeight="1">
      <c r="A5163" s="234"/>
      <c r="B5163" s="233"/>
      <c r="C5163" s="238"/>
      <c r="E5163" s="545"/>
      <c r="F5163" s="546"/>
      <c r="G5163" s="234"/>
      <c r="H5163" s="238"/>
      <c r="I5163" s="237"/>
    </row>
    <row r="5164" spans="1:9" s="232" customFormat="1" ht="17" customHeight="1">
      <c r="A5164" s="234"/>
      <c r="B5164" s="233"/>
      <c r="C5164" s="238"/>
      <c r="E5164" s="545"/>
      <c r="F5164" s="546"/>
      <c r="G5164" s="234"/>
      <c r="H5164" s="238"/>
      <c r="I5164" s="237"/>
    </row>
    <row r="5165" spans="1:9" s="232" customFormat="1" ht="17" customHeight="1">
      <c r="A5165" s="234"/>
      <c r="B5165" s="233"/>
      <c r="C5165" s="238"/>
      <c r="E5165" s="545"/>
      <c r="F5165" s="546"/>
      <c r="G5165" s="234"/>
      <c r="H5165" s="238"/>
      <c r="I5165" s="237"/>
    </row>
    <row r="5166" spans="1:9" s="232" customFormat="1" ht="17" customHeight="1">
      <c r="A5166" s="234"/>
      <c r="B5166" s="233"/>
      <c r="C5166" s="238"/>
      <c r="E5166" s="545"/>
      <c r="F5166" s="546"/>
      <c r="G5166" s="234"/>
      <c r="H5166" s="238"/>
      <c r="I5166" s="237"/>
    </row>
    <row r="5167" spans="1:9" s="232" customFormat="1" ht="17" customHeight="1">
      <c r="A5167" s="234"/>
      <c r="B5167" s="233"/>
      <c r="C5167" s="238"/>
      <c r="E5167" s="545"/>
      <c r="F5167" s="546"/>
      <c r="G5167" s="234"/>
      <c r="H5167" s="238"/>
      <c r="I5167" s="237"/>
    </row>
    <row r="5168" spans="1:9" s="232" customFormat="1" ht="17" customHeight="1">
      <c r="A5168" s="234"/>
      <c r="B5168" s="233"/>
      <c r="C5168" s="238"/>
      <c r="E5168" s="545"/>
      <c r="F5168" s="546"/>
      <c r="G5168" s="234"/>
      <c r="H5168" s="238"/>
      <c r="I5168" s="237"/>
    </row>
    <row r="5169" spans="1:9" s="232" customFormat="1" ht="17" customHeight="1">
      <c r="A5169" s="234"/>
      <c r="B5169" s="233"/>
      <c r="C5169" s="238"/>
      <c r="E5169" s="545"/>
      <c r="F5169" s="546"/>
      <c r="G5169" s="234"/>
      <c r="H5169" s="238"/>
      <c r="I5169" s="237"/>
    </row>
    <row r="5170" spans="1:9" s="232" customFormat="1" ht="17" customHeight="1">
      <c r="A5170" s="234"/>
      <c r="B5170" s="233"/>
      <c r="C5170" s="238"/>
      <c r="E5170" s="545"/>
      <c r="F5170" s="546"/>
      <c r="G5170" s="234"/>
      <c r="H5170" s="238"/>
      <c r="I5170" s="237"/>
    </row>
    <row r="5171" spans="1:9" s="232" customFormat="1" ht="17" customHeight="1">
      <c r="A5171" s="234"/>
      <c r="B5171" s="233"/>
      <c r="C5171" s="238"/>
      <c r="E5171" s="545"/>
      <c r="F5171" s="546"/>
      <c r="G5171" s="234"/>
      <c r="H5171" s="238"/>
      <c r="I5171" s="237"/>
    </row>
    <row r="5172" spans="1:9" s="232" customFormat="1" ht="17" customHeight="1">
      <c r="A5172" s="234"/>
      <c r="B5172" s="233"/>
      <c r="C5172" s="238"/>
      <c r="E5172" s="545"/>
      <c r="F5172" s="546"/>
      <c r="G5172" s="234"/>
      <c r="H5172" s="238"/>
      <c r="I5172" s="237"/>
    </row>
    <row r="5173" spans="1:9" s="232" customFormat="1" ht="17" customHeight="1">
      <c r="A5173" s="234"/>
      <c r="B5173" s="233"/>
      <c r="C5173" s="238"/>
      <c r="E5173" s="545"/>
      <c r="F5173" s="546"/>
      <c r="G5173" s="234"/>
      <c r="H5173" s="238"/>
      <c r="I5173" s="237"/>
    </row>
    <row r="5174" spans="1:9" s="232" customFormat="1" ht="17" customHeight="1">
      <c r="A5174" s="234"/>
      <c r="B5174" s="233"/>
      <c r="C5174" s="238"/>
      <c r="E5174" s="545"/>
      <c r="F5174" s="546"/>
      <c r="G5174" s="234"/>
      <c r="H5174" s="238"/>
      <c r="I5174" s="237"/>
    </row>
    <row r="5175" spans="1:9" s="232" customFormat="1" ht="17" customHeight="1">
      <c r="A5175" s="234"/>
      <c r="B5175" s="233"/>
      <c r="C5175" s="238"/>
      <c r="E5175" s="545"/>
      <c r="F5175" s="546"/>
      <c r="G5175" s="234"/>
      <c r="H5175" s="238"/>
      <c r="I5175" s="237"/>
    </row>
    <row r="5176" spans="1:9" s="232" customFormat="1" ht="17" customHeight="1">
      <c r="A5176" s="234"/>
      <c r="B5176" s="233"/>
      <c r="C5176" s="238"/>
      <c r="E5176" s="545"/>
      <c r="F5176" s="546"/>
      <c r="G5176" s="234"/>
      <c r="H5176" s="238"/>
      <c r="I5176" s="237"/>
    </row>
    <row r="5177" spans="1:9" s="232" customFormat="1" ht="17" customHeight="1">
      <c r="A5177" s="234"/>
      <c r="B5177" s="233"/>
      <c r="C5177" s="238"/>
      <c r="E5177" s="545"/>
      <c r="F5177" s="546"/>
      <c r="G5177" s="234"/>
      <c r="H5177" s="238"/>
      <c r="I5177" s="237"/>
    </row>
    <row r="5178" spans="1:9" s="232" customFormat="1" ht="17" customHeight="1">
      <c r="A5178" s="234"/>
      <c r="B5178" s="233"/>
      <c r="C5178" s="238"/>
      <c r="E5178" s="545"/>
      <c r="F5178" s="546"/>
      <c r="G5178" s="234"/>
      <c r="H5178" s="238"/>
      <c r="I5178" s="237"/>
    </row>
    <row r="5179" spans="1:9" s="232" customFormat="1" ht="17" customHeight="1">
      <c r="A5179" s="234"/>
      <c r="B5179" s="233"/>
      <c r="C5179" s="238"/>
      <c r="E5179" s="545"/>
      <c r="F5179" s="546"/>
      <c r="G5179" s="234"/>
      <c r="H5179" s="238"/>
      <c r="I5179" s="237"/>
    </row>
    <row r="5180" spans="1:9" s="232" customFormat="1" ht="17" customHeight="1">
      <c r="A5180" s="234"/>
      <c r="B5180" s="233"/>
      <c r="C5180" s="238"/>
      <c r="E5180" s="545"/>
      <c r="F5180" s="546"/>
      <c r="G5180" s="234"/>
      <c r="H5180" s="238"/>
      <c r="I5180" s="237"/>
    </row>
    <row r="5181" spans="1:9" s="232" customFormat="1" ht="17" customHeight="1">
      <c r="A5181" s="234"/>
      <c r="B5181" s="233"/>
      <c r="C5181" s="238"/>
      <c r="E5181" s="545"/>
      <c r="F5181" s="546"/>
      <c r="G5181" s="234"/>
      <c r="H5181" s="238"/>
      <c r="I5181" s="237"/>
    </row>
    <row r="5182" spans="1:9" s="232" customFormat="1" ht="17" customHeight="1">
      <c r="A5182" s="234"/>
      <c r="B5182" s="233"/>
      <c r="C5182" s="238"/>
      <c r="E5182" s="545"/>
      <c r="F5182" s="546"/>
      <c r="G5182" s="234"/>
      <c r="H5182" s="238"/>
      <c r="I5182" s="237"/>
    </row>
    <row r="5183" spans="1:9" s="232" customFormat="1" ht="17" customHeight="1">
      <c r="A5183" s="234"/>
      <c r="B5183" s="233"/>
      <c r="C5183" s="238"/>
      <c r="E5183" s="545"/>
      <c r="F5183" s="546"/>
      <c r="G5183" s="234"/>
      <c r="H5183" s="238"/>
      <c r="I5183" s="237"/>
    </row>
    <row r="5184" spans="1:9" s="232" customFormat="1" ht="17" customHeight="1">
      <c r="A5184" s="234"/>
      <c r="B5184" s="233"/>
      <c r="C5184" s="238"/>
      <c r="E5184" s="545"/>
      <c r="F5184" s="546"/>
      <c r="G5184" s="234"/>
      <c r="H5184" s="238"/>
      <c r="I5184" s="237"/>
    </row>
    <row r="5185" spans="1:9" s="232" customFormat="1" ht="17" customHeight="1">
      <c r="A5185" s="234"/>
      <c r="B5185" s="233"/>
      <c r="C5185" s="238"/>
      <c r="E5185" s="545"/>
      <c r="F5185" s="546"/>
      <c r="G5185" s="234"/>
      <c r="H5185" s="238"/>
      <c r="I5185" s="237"/>
    </row>
    <row r="5186" spans="1:9" s="232" customFormat="1" ht="17" customHeight="1">
      <c r="A5186" s="234"/>
      <c r="B5186" s="233"/>
      <c r="C5186" s="238"/>
      <c r="E5186" s="545"/>
      <c r="F5186" s="546"/>
      <c r="G5186" s="234"/>
      <c r="H5186" s="238"/>
      <c r="I5186" s="237"/>
    </row>
    <row r="5187" spans="1:9" s="232" customFormat="1" ht="17" customHeight="1">
      <c r="A5187" s="234"/>
      <c r="B5187" s="233"/>
      <c r="C5187" s="238"/>
      <c r="E5187" s="545"/>
      <c r="F5187" s="546"/>
      <c r="G5187" s="234"/>
      <c r="H5187" s="238"/>
      <c r="I5187" s="237"/>
    </row>
    <row r="5188" spans="1:9" s="232" customFormat="1" ht="17" customHeight="1">
      <c r="A5188" s="234"/>
      <c r="B5188" s="233"/>
      <c r="C5188" s="238"/>
      <c r="E5188" s="545"/>
      <c r="F5188" s="546"/>
      <c r="G5188" s="234"/>
      <c r="H5188" s="238"/>
      <c r="I5188" s="237"/>
    </row>
    <row r="5189" spans="1:9" s="232" customFormat="1" ht="17" customHeight="1">
      <c r="A5189" s="234"/>
      <c r="B5189" s="233"/>
      <c r="C5189" s="238"/>
      <c r="E5189" s="545"/>
      <c r="F5189" s="546"/>
      <c r="G5189" s="234"/>
      <c r="H5189" s="238"/>
      <c r="I5189" s="237"/>
    </row>
    <row r="5190" spans="1:9" s="232" customFormat="1" ht="17" customHeight="1">
      <c r="A5190" s="234"/>
      <c r="B5190" s="233"/>
      <c r="C5190" s="238"/>
      <c r="E5190" s="545"/>
      <c r="F5190" s="546"/>
      <c r="G5190" s="234"/>
      <c r="H5190" s="238"/>
      <c r="I5190" s="237"/>
    </row>
    <row r="5191" spans="1:9" s="232" customFormat="1" ht="17" customHeight="1">
      <c r="A5191" s="234"/>
      <c r="B5191" s="233"/>
      <c r="C5191" s="238"/>
      <c r="E5191" s="545"/>
      <c r="F5191" s="546"/>
      <c r="G5191" s="234"/>
      <c r="H5191" s="238"/>
      <c r="I5191" s="237"/>
    </row>
    <row r="5192" spans="1:9" s="232" customFormat="1" ht="17" customHeight="1">
      <c r="A5192" s="234"/>
      <c r="B5192" s="233"/>
      <c r="C5192" s="238"/>
      <c r="E5192" s="545"/>
      <c r="F5192" s="546"/>
      <c r="G5192" s="234"/>
      <c r="H5192" s="238"/>
      <c r="I5192" s="237"/>
    </row>
    <row r="5193" spans="1:9" s="232" customFormat="1" ht="17" customHeight="1">
      <c r="A5193" s="234"/>
      <c r="B5193" s="233"/>
      <c r="C5193" s="238"/>
      <c r="E5193" s="545"/>
      <c r="F5193" s="546"/>
      <c r="G5193" s="234"/>
      <c r="H5193" s="238"/>
      <c r="I5193" s="237"/>
    </row>
    <row r="5194" spans="1:9" s="232" customFormat="1" ht="17" customHeight="1">
      <c r="A5194" s="234"/>
      <c r="B5194" s="233"/>
      <c r="C5194" s="238"/>
      <c r="E5194" s="545"/>
      <c r="F5194" s="546"/>
      <c r="G5194" s="234"/>
      <c r="H5194" s="238"/>
      <c r="I5194" s="237"/>
    </row>
    <row r="5195" spans="1:9" s="232" customFormat="1" ht="17" customHeight="1">
      <c r="A5195" s="234"/>
      <c r="B5195" s="233"/>
      <c r="C5195" s="238"/>
      <c r="E5195" s="545"/>
      <c r="F5195" s="546"/>
      <c r="G5195" s="234"/>
      <c r="H5195" s="238"/>
      <c r="I5195" s="237"/>
    </row>
    <row r="5196" spans="1:9" s="232" customFormat="1" ht="17" customHeight="1">
      <c r="A5196" s="234"/>
      <c r="B5196" s="233"/>
      <c r="C5196" s="238"/>
      <c r="E5196" s="545"/>
      <c r="F5196" s="546"/>
      <c r="G5196" s="234"/>
      <c r="H5196" s="238"/>
      <c r="I5196" s="237"/>
    </row>
    <row r="5197" spans="1:9" s="232" customFormat="1" ht="17" customHeight="1">
      <c r="A5197" s="234"/>
      <c r="B5197" s="233"/>
      <c r="C5197" s="238"/>
      <c r="E5197" s="545"/>
      <c r="F5197" s="546"/>
      <c r="G5197" s="234"/>
      <c r="H5197" s="238"/>
      <c r="I5197" s="237"/>
    </row>
    <row r="5198" spans="1:9" s="232" customFormat="1" ht="17" customHeight="1">
      <c r="A5198" s="234"/>
      <c r="B5198" s="233"/>
      <c r="C5198" s="238"/>
      <c r="E5198" s="545"/>
      <c r="F5198" s="546"/>
      <c r="G5198" s="234"/>
      <c r="H5198" s="238"/>
      <c r="I5198" s="237"/>
    </row>
    <row r="5199" spans="1:9" s="232" customFormat="1" ht="17" customHeight="1">
      <c r="A5199" s="234"/>
      <c r="B5199" s="233"/>
      <c r="C5199" s="238"/>
      <c r="E5199" s="545"/>
      <c r="F5199" s="546"/>
      <c r="G5199" s="234"/>
      <c r="H5199" s="238"/>
      <c r="I5199" s="237"/>
    </row>
    <row r="5200" spans="1:9" s="232" customFormat="1" ht="17" customHeight="1">
      <c r="A5200" s="234"/>
      <c r="B5200" s="233"/>
      <c r="C5200" s="238"/>
      <c r="E5200" s="545"/>
      <c r="F5200" s="546"/>
      <c r="G5200" s="234"/>
      <c r="H5200" s="238"/>
      <c r="I5200" s="237"/>
    </row>
    <row r="5201" spans="1:9" s="232" customFormat="1" ht="17" customHeight="1">
      <c r="A5201" s="234"/>
      <c r="B5201" s="233"/>
      <c r="C5201" s="238"/>
      <c r="E5201" s="545"/>
      <c r="F5201" s="546"/>
      <c r="G5201" s="234"/>
      <c r="H5201" s="238"/>
      <c r="I5201" s="237"/>
    </row>
    <row r="5202" spans="1:9" s="232" customFormat="1" ht="17" customHeight="1">
      <c r="A5202" s="234"/>
      <c r="B5202" s="233"/>
      <c r="C5202" s="238"/>
      <c r="E5202" s="545"/>
      <c r="F5202" s="546"/>
      <c r="G5202" s="234"/>
      <c r="H5202" s="238"/>
      <c r="I5202" s="237"/>
    </row>
    <row r="5203" spans="1:9" s="232" customFormat="1" ht="17" customHeight="1">
      <c r="A5203" s="234"/>
      <c r="B5203" s="233"/>
      <c r="C5203" s="238"/>
      <c r="E5203" s="545"/>
      <c r="F5203" s="546"/>
      <c r="G5203" s="234"/>
      <c r="H5203" s="238"/>
      <c r="I5203" s="237"/>
    </row>
    <row r="5204" spans="1:9" s="232" customFormat="1" ht="17" customHeight="1">
      <c r="A5204" s="234"/>
      <c r="B5204" s="233"/>
      <c r="C5204" s="238"/>
      <c r="E5204" s="545"/>
      <c r="F5204" s="546"/>
      <c r="G5204" s="234"/>
      <c r="H5204" s="238"/>
      <c r="I5204" s="237"/>
    </row>
    <row r="5205" spans="1:9" s="232" customFormat="1" ht="17" customHeight="1">
      <c r="A5205" s="234"/>
      <c r="B5205" s="233"/>
      <c r="C5205" s="238"/>
      <c r="E5205" s="545"/>
      <c r="F5205" s="546"/>
      <c r="G5205" s="234"/>
      <c r="H5205" s="238"/>
      <c r="I5205" s="237"/>
    </row>
    <row r="5206" spans="1:9" s="232" customFormat="1" ht="17" customHeight="1">
      <c r="A5206" s="234"/>
      <c r="B5206" s="233"/>
      <c r="C5206" s="238"/>
      <c r="E5206" s="545"/>
      <c r="F5206" s="546"/>
      <c r="G5206" s="234"/>
      <c r="H5206" s="238"/>
      <c r="I5206" s="237"/>
    </row>
    <row r="5207" spans="1:9" s="232" customFormat="1" ht="17" customHeight="1">
      <c r="A5207" s="234"/>
      <c r="B5207" s="233"/>
      <c r="C5207" s="238"/>
      <c r="E5207" s="545"/>
      <c r="F5207" s="546"/>
      <c r="G5207" s="234"/>
      <c r="H5207" s="238"/>
      <c r="I5207" s="237"/>
    </row>
    <row r="5208" spans="1:9" s="232" customFormat="1" ht="17" customHeight="1">
      <c r="A5208" s="234"/>
      <c r="B5208" s="233"/>
      <c r="C5208" s="238"/>
      <c r="E5208" s="545"/>
      <c r="F5208" s="546"/>
      <c r="G5208" s="234"/>
      <c r="H5208" s="238"/>
      <c r="I5208" s="237"/>
    </row>
    <row r="5209" spans="1:9" s="232" customFormat="1" ht="17" customHeight="1">
      <c r="A5209" s="234"/>
      <c r="B5209" s="233"/>
      <c r="C5209" s="238"/>
      <c r="E5209" s="545"/>
      <c r="F5209" s="546"/>
      <c r="G5209" s="234"/>
      <c r="H5209" s="238"/>
      <c r="I5209" s="237"/>
    </row>
    <row r="5210" spans="1:9" s="232" customFormat="1" ht="17" customHeight="1">
      <c r="A5210" s="234"/>
      <c r="B5210" s="233"/>
      <c r="C5210" s="238"/>
      <c r="E5210" s="545"/>
      <c r="F5210" s="546"/>
      <c r="G5210" s="234"/>
      <c r="H5210" s="238"/>
      <c r="I5210" s="237"/>
    </row>
    <row r="5211" spans="1:9" s="232" customFormat="1" ht="17" customHeight="1">
      <c r="A5211" s="234"/>
      <c r="B5211" s="233"/>
      <c r="C5211" s="238"/>
      <c r="E5211" s="545"/>
      <c r="F5211" s="546"/>
      <c r="G5211" s="234"/>
      <c r="H5211" s="238"/>
      <c r="I5211" s="237"/>
    </row>
    <row r="5212" spans="1:9" s="232" customFormat="1" ht="17" customHeight="1">
      <c r="A5212" s="234"/>
      <c r="B5212" s="233"/>
      <c r="C5212" s="238"/>
      <c r="E5212" s="545"/>
      <c r="F5212" s="546"/>
      <c r="G5212" s="234"/>
      <c r="H5212" s="238"/>
      <c r="I5212" s="237"/>
    </row>
    <row r="5213" spans="1:9" s="232" customFormat="1" ht="17" customHeight="1">
      <c r="A5213" s="234"/>
      <c r="B5213" s="233"/>
      <c r="C5213" s="238"/>
      <c r="E5213" s="545"/>
      <c r="F5213" s="546"/>
      <c r="G5213" s="234"/>
      <c r="H5213" s="238"/>
      <c r="I5213" s="237"/>
    </row>
    <row r="5214" spans="1:9" s="232" customFormat="1" ht="17" customHeight="1">
      <c r="A5214" s="234"/>
      <c r="B5214" s="233"/>
      <c r="C5214" s="238"/>
      <c r="E5214" s="545"/>
      <c r="F5214" s="546"/>
      <c r="G5214" s="234"/>
      <c r="H5214" s="238"/>
      <c r="I5214" s="237"/>
    </row>
    <row r="5215" spans="1:9" s="232" customFormat="1" ht="17" customHeight="1">
      <c r="A5215" s="234"/>
      <c r="B5215" s="233"/>
      <c r="C5215" s="238"/>
      <c r="E5215" s="545"/>
      <c r="F5215" s="546"/>
      <c r="G5215" s="234"/>
      <c r="H5215" s="238"/>
      <c r="I5215" s="237"/>
    </row>
    <row r="5216" spans="1:9" s="232" customFormat="1" ht="17" customHeight="1">
      <c r="A5216" s="234"/>
      <c r="B5216" s="233"/>
      <c r="C5216" s="238"/>
      <c r="E5216" s="545"/>
      <c r="F5216" s="546"/>
      <c r="G5216" s="234"/>
      <c r="H5216" s="238"/>
      <c r="I5216" s="237"/>
    </row>
    <row r="5217" spans="1:9" s="232" customFormat="1" ht="17" customHeight="1">
      <c r="A5217" s="234"/>
      <c r="B5217" s="233"/>
      <c r="C5217" s="238"/>
      <c r="E5217" s="545"/>
      <c r="F5217" s="546"/>
      <c r="G5217" s="234"/>
      <c r="H5217" s="238"/>
      <c r="I5217" s="237"/>
    </row>
    <row r="5218" spans="1:9" s="232" customFormat="1" ht="17" customHeight="1">
      <c r="A5218" s="234"/>
      <c r="B5218" s="233"/>
      <c r="C5218" s="238"/>
      <c r="E5218" s="545"/>
      <c r="F5218" s="546"/>
      <c r="G5218" s="234"/>
      <c r="H5218" s="238"/>
      <c r="I5218" s="237"/>
    </row>
    <row r="5219" spans="1:9" s="232" customFormat="1" ht="17" customHeight="1">
      <c r="A5219" s="234"/>
      <c r="B5219" s="233"/>
      <c r="C5219" s="238"/>
      <c r="E5219" s="545"/>
      <c r="F5219" s="546"/>
      <c r="G5219" s="234"/>
      <c r="H5219" s="238"/>
      <c r="I5219" s="237"/>
    </row>
    <row r="5220" spans="1:9" s="232" customFormat="1" ht="17" customHeight="1">
      <c r="A5220" s="234"/>
      <c r="B5220" s="233"/>
      <c r="C5220" s="238"/>
      <c r="E5220" s="545"/>
      <c r="F5220" s="546"/>
      <c r="G5220" s="234"/>
      <c r="H5220" s="238"/>
      <c r="I5220" s="237"/>
    </row>
    <row r="5221" spans="1:9" s="232" customFormat="1" ht="17" customHeight="1">
      <c r="A5221" s="234"/>
      <c r="B5221" s="233"/>
      <c r="C5221" s="238"/>
      <c r="E5221" s="545"/>
      <c r="F5221" s="546"/>
      <c r="G5221" s="234"/>
      <c r="H5221" s="238"/>
      <c r="I5221" s="237"/>
    </row>
    <row r="5222" spans="1:9" s="232" customFormat="1" ht="17" customHeight="1">
      <c r="A5222" s="234"/>
      <c r="B5222" s="233"/>
      <c r="C5222" s="238"/>
      <c r="E5222" s="545"/>
      <c r="F5222" s="546"/>
      <c r="G5222" s="234"/>
      <c r="H5222" s="238"/>
      <c r="I5222" s="237"/>
    </row>
    <row r="5223" spans="1:9" s="232" customFormat="1" ht="17" customHeight="1">
      <c r="A5223" s="234"/>
      <c r="B5223" s="233"/>
      <c r="C5223" s="238"/>
      <c r="E5223" s="545"/>
      <c r="F5223" s="546"/>
      <c r="G5223" s="234"/>
      <c r="H5223" s="238"/>
      <c r="I5223" s="237"/>
    </row>
    <row r="5224" spans="1:9" s="232" customFormat="1" ht="17" customHeight="1">
      <c r="A5224" s="234"/>
      <c r="B5224" s="233"/>
      <c r="C5224" s="238"/>
      <c r="E5224" s="545"/>
      <c r="F5224" s="546"/>
      <c r="G5224" s="234"/>
      <c r="H5224" s="238"/>
      <c r="I5224" s="237"/>
    </row>
    <row r="5225" spans="1:9" s="232" customFormat="1" ht="17" customHeight="1">
      <c r="A5225" s="234"/>
      <c r="B5225" s="233"/>
      <c r="C5225" s="238"/>
      <c r="E5225" s="545"/>
      <c r="F5225" s="546"/>
      <c r="G5225" s="234"/>
      <c r="H5225" s="238"/>
      <c r="I5225" s="237"/>
    </row>
    <row r="5226" spans="1:9" s="232" customFormat="1" ht="17" customHeight="1">
      <c r="A5226" s="234"/>
      <c r="B5226" s="233"/>
      <c r="C5226" s="238"/>
      <c r="E5226" s="545"/>
      <c r="F5226" s="546"/>
      <c r="G5226" s="234"/>
      <c r="H5226" s="238"/>
      <c r="I5226" s="237"/>
    </row>
    <row r="5227" spans="1:9" s="232" customFormat="1" ht="17" customHeight="1">
      <c r="A5227" s="234"/>
      <c r="B5227" s="233"/>
      <c r="C5227" s="238"/>
      <c r="E5227" s="545"/>
      <c r="F5227" s="546"/>
      <c r="G5227" s="234"/>
      <c r="H5227" s="238"/>
      <c r="I5227" s="237"/>
    </row>
    <row r="5228" spans="1:9" s="232" customFormat="1" ht="17" customHeight="1">
      <c r="A5228" s="234"/>
      <c r="B5228" s="233"/>
      <c r="C5228" s="238"/>
      <c r="E5228" s="545"/>
      <c r="F5228" s="546"/>
      <c r="G5228" s="234"/>
      <c r="H5228" s="238"/>
      <c r="I5228" s="237"/>
    </row>
    <row r="5229" spans="1:9" s="232" customFormat="1" ht="17" customHeight="1">
      <c r="A5229" s="234"/>
      <c r="B5229" s="233"/>
      <c r="C5229" s="238"/>
      <c r="E5229" s="545"/>
      <c r="F5229" s="546"/>
      <c r="G5229" s="234"/>
      <c r="H5229" s="238"/>
      <c r="I5229" s="237"/>
    </row>
    <row r="5230" spans="1:9" s="232" customFormat="1" ht="17" customHeight="1">
      <c r="A5230" s="234"/>
      <c r="B5230" s="233"/>
      <c r="C5230" s="238"/>
      <c r="E5230" s="545"/>
      <c r="F5230" s="546"/>
      <c r="G5230" s="234"/>
      <c r="H5230" s="238"/>
      <c r="I5230" s="237"/>
    </row>
    <row r="5231" spans="1:9" s="232" customFormat="1" ht="17" customHeight="1">
      <c r="A5231" s="234"/>
      <c r="B5231" s="233"/>
      <c r="C5231" s="238"/>
      <c r="E5231" s="545"/>
      <c r="F5231" s="546"/>
      <c r="G5231" s="234"/>
      <c r="H5231" s="238"/>
      <c r="I5231" s="237"/>
    </row>
    <row r="5232" spans="1:9" s="232" customFormat="1" ht="17" customHeight="1">
      <c r="A5232" s="234"/>
      <c r="B5232" s="233"/>
      <c r="C5232" s="238"/>
      <c r="E5232" s="545"/>
      <c r="F5232" s="546"/>
      <c r="G5232" s="234"/>
      <c r="H5232" s="238"/>
      <c r="I5232" s="237"/>
    </row>
    <row r="5233" spans="1:9" s="232" customFormat="1" ht="17" customHeight="1">
      <c r="A5233" s="234"/>
      <c r="B5233" s="233"/>
      <c r="C5233" s="238"/>
      <c r="E5233" s="545"/>
      <c r="F5233" s="546"/>
      <c r="G5233" s="234"/>
      <c r="H5233" s="238"/>
      <c r="I5233" s="237"/>
    </row>
    <row r="5234" spans="1:9" s="232" customFormat="1" ht="17" customHeight="1">
      <c r="A5234" s="234"/>
      <c r="B5234" s="233"/>
      <c r="C5234" s="238"/>
      <c r="E5234" s="545"/>
      <c r="F5234" s="546"/>
      <c r="G5234" s="234"/>
      <c r="H5234" s="238"/>
      <c r="I5234" s="237"/>
    </row>
    <row r="5235" spans="1:9" s="232" customFormat="1" ht="17" customHeight="1">
      <c r="A5235" s="234"/>
      <c r="B5235" s="233"/>
      <c r="C5235" s="238"/>
      <c r="E5235" s="545"/>
      <c r="F5235" s="546"/>
      <c r="G5235" s="234"/>
      <c r="H5235" s="238"/>
      <c r="I5235" s="237"/>
    </row>
    <row r="5236" spans="1:9" s="232" customFormat="1" ht="17" customHeight="1">
      <c r="A5236" s="234"/>
      <c r="B5236" s="233"/>
      <c r="C5236" s="238"/>
      <c r="E5236" s="545"/>
      <c r="F5236" s="546"/>
      <c r="G5236" s="234"/>
      <c r="H5236" s="238"/>
      <c r="I5236" s="237"/>
    </row>
    <row r="5237" spans="1:9" s="232" customFormat="1" ht="17" customHeight="1">
      <c r="A5237" s="234"/>
      <c r="B5237" s="233"/>
      <c r="C5237" s="238"/>
      <c r="E5237" s="545"/>
      <c r="F5237" s="546"/>
      <c r="G5237" s="234"/>
      <c r="H5237" s="238"/>
      <c r="I5237" s="237"/>
    </row>
    <row r="5238" spans="1:9" s="232" customFormat="1" ht="17" customHeight="1">
      <c r="A5238" s="234"/>
      <c r="B5238" s="233"/>
      <c r="C5238" s="238"/>
      <c r="E5238" s="545"/>
      <c r="F5238" s="546"/>
      <c r="G5238" s="234"/>
      <c r="H5238" s="238"/>
      <c r="I5238" s="237"/>
    </row>
    <row r="5239" spans="1:9" s="232" customFormat="1" ht="17" customHeight="1">
      <c r="A5239" s="234"/>
      <c r="B5239" s="233"/>
      <c r="C5239" s="238"/>
      <c r="E5239" s="545"/>
      <c r="F5239" s="546"/>
      <c r="G5239" s="234"/>
      <c r="H5239" s="238"/>
      <c r="I5239" s="237"/>
    </row>
    <row r="5240" spans="1:9" s="232" customFormat="1" ht="17" customHeight="1">
      <c r="A5240" s="234"/>
      <c r="B5240" s="233"/>
      <c r="C5240" s="238"/>
      <c r="E5240" s="545"/>
      <c r="F5240" s="546"/>
      <c r="G5240" s="234"/>
      <c r="H5240" s="238"/>
      <c r="I5240" s="237"/>
    </row>
    <row r="5241" spans="1:9" s="232" customFormat="1" ht="17" customHeight="1">
      <c r="A5241" s="234"/>
      <c r="B5241" s="233"/>
      <c r="C5241" s="238"/>
      <c r="E5241" s="545"/>
      <c r="F5241" s="546"/>
      <c r="G5241" s="234"/>
      <c r="H5241" s="238"/>
      <c r="I5241" s="237"/>
    </row>
    <row r="5242" spans="1:9" s="232" customFormat="1" ht="17" customHeight="1">
      <c r="A5242" s="234"/>
      <c r="B5242" s="233"/>
      <c r="C5242" s="238"/>
      <c r="E5242" s="545"/>
      <c r="F5242" s="546"/>
      <c r="G5242" s="234"/>
      <c r="H5242" s="238"/>
      <c r="I5242" s="237"/>
    </row>
    <row r="5243" spans="1:9" s="232" customFormat="1" ht="17" customHeight="1">
      <c r="A5243" s="234"/>
      <c r="B5243" s="233"/>
      <c r="C5243" s="238"/>
      <c r="E5243" s="545"/>
      <c r="F5243" s="546"/>
      <c r="G5243" s="234"/>
      <c r="H5243" s="238"/>
      <c r="I5243" s="237"/>
    </row>
    <row r="5244" spans="1:9" s="232" customFormat="1" ht="17" customHeight="1">
      <c r="A5244" s="234"/>
      <c r="B5244" s="233"/>
      <c r="C5244" s="238"/>
      <c r="E5244" s="545"/>
      <c r="F5244" s="546"/>
      <c r="G5244" s="234"/>
      <c r="H5244" s="238"/>
      <c r="I5244" s="237"/>
    </row>
    <row r="5245" spans="1:9" s="232" customFormat="1" ht="17" customHeight="1">
      <c r="A5245" s="234"/>
      <c r="B5245" s="233"/>
      <c r="C5245" s="238"/>
      <c r="E5245" s="545"/>
      <c r="F5245" s="546"/>
      <c r="G5245" s="234"/>
      <c r="H5245" s="238"/>
      <c r="I5245" s="237"/>
    </row>
    <row r="5246" spans="1:9" s="232" customFormat="1" ht="17" customHeight="1">
      <c r="A5246" s="234"/>
      <c r="B5246" s="233"/>
      <c r="C5246" s="238"/>
      <c r="E5246" s="545"/>
      <c r="F5246" s="546"/>
      <c r="G5246" s="234"/>
      <c r="H5246" s="238"/>
      <c r="I5246" s="237"/>
    </row>
    <row r="5247" spans="1:9" s="232" customFormat="1" ht="17" customHeight="1">
      <c r="A5247" s="234"/>
      <c r="B5247" s="233"/>
      <c r="C5247" s="238"/>
      <c r="E5247" s="545"/>
      <c r="F5247" s="546"/>
      <c r="G5247" s="234"/>
      <c r="H5247" s="238"/>
      <c r="I5247" s="237"/>
    </row>
    <row r="5248" spans="1:9" s="232" customFormat="1" ht="17" customHeight="1">
      <c r="A5248" s="234"/>
      <c r="B5248" s="233"/>
      <c r="C5248" s="238"/>
      <c r="E5248" s="545"/>
      <c r="F5248" s="546"/>
      <c r="G5248" s="234"/>
      <c r="H5248" s="238"/>
      <c r="I5248" s="237"/>
    </row>
    <row r="5249" spans="1:9" s="232" customFormat="1" ht="17" customHeight="1">
      <c r="A5249" s="234"/>
      <c r="B5249" s="233"/>
      <c r="C5249" s="238"/>
      <c r="E5249" s="545"/>
      <c r="F5249" s="546"/>
      <c r="G5249" s="234"/>
      <c r="H5249" s="238"/>
      <c r="I5249" s="237"/>
    </row>
    <row r="5250" spans="1:9" s="232" customFormat="1" ht="17" customHeight="1">
      <c r="A5250" s="234"/>
      <c r="B5250" s="233"/>
      <c r="C5250" s="238"/>
      <c r="E5250" s="545"/>
      <c r="F5250" s="546"/>
      <c r="G5250" s="234"/>
      <c r="H5250" s="238"/>
      <c r="I5250" s="237"/>
    </row>
    <row r="5251" spans="1:9" s="232" customFormat="1" ht="17" customHeight="1">
      <c r="A5251" s="234"/>
      <c r="B5251" s="233"/>
      <c r="C5251" s="238"/>
      <c r="E5251" s="545"/>
      <c r="F5251" s="546"/>
      <c r="G5251" s="234"/>
      <c r="H5251" s="238"/>
      <c r="I5251" s="237"/>
    </row>
    <row r="5252" spans="1:9" s="232" customFormat="1" ht="17" customHeight="1">
      <c r="A5252" s="234"/>
      <c r="B5252" s="233"/>
      <c r="C5252" s="238"/>
      <c r="E5252" s="545"/>
      <c r="F5252" s="546"/>
      <c r="G5252" s="234"/>
      <c r="H5252" s="238"/>
      <c r="I5252" s="237"/>
    </row>
    <row r="5253" spans="1:9" s="232" customFormat="1" ht="17" customHeight="1">
      <c r="A5253" s="234"/>
      <c r="B5253" s="233"/>
      <c r="C5253" s="238"/>
      <c r="E5253" s="545"/>
      <c r="F5253" s="546"/>
      <c r="G5253" s="234"/>
      <c r="H5253" s="238"/>
      <c r="I5253" s="237"/>
    </row>
    <row r="5254" spans="1:9" s="232" customFormat="1" ht="17" customHeight="1">
      <c r="A5254" s="234"/>
      <c r="B5254" s="233"/>
      <c r="C5254" s="238"/>
      <c r="E5254" s="545"/>
      <c r="F5254" s="546"/>
      <c r="G5254" s="234"/>
      <c r="H5254" s="238"/>
      <c r="I5254" s="237"/>
    </row>
    <row r="5255" spans="1:9" s="232" customFormat="1" ht="17" customHeight="1">
      <c r="A5255" s="234"/>
      <c r="B5255" s="233"/>
      <c r="C5255" s="238"/>
      <c r="E5255" s="545"/>
      <c r="F5255" s="546"/>
      <c r="G5255" s="234"/>
      <c r="H5255" s="238"/>
      <c r="I5255" s="237"/>
    </row>
    <row r="5256" spans="1:9" s="232" customFormat="1" ht="17" customHeight="1">
      <c r="A5256" s="234"/>
      <c r="B5256" s="233"/>
      <c r="C5256" s="238"/>
      <c r="E5256" s="545"/>
      <c r="F5256" s="546"/>
      <c r="G5256" s="234"/>
      <c r="H5256" s="238"/>
      <c r="I5256" s="237"/>
    </row>
    <row r="5257" spans="1:9" s="232" customFormat="1" ht="17" customHeight="1">
      <c r="A5257" s="234"/>
      <c r="B5257" s="233"/>
      <c r="C5257" s="238"/>
      <c r="E5257" s="545"/>
      <c r="F5257" s="546"/>
      <c r="G5257" s="234"/>
      <c r="H5257" s="238"/>
      <c r="I5257" s="237"/>
    </row>
    <row r="5258" spans="1:9" s="232" customFormat="1" ht="17" customHeight="1">
      <c r="A5258" s="234"/>
      <c r="B5258" s="233"/>
      <c r="C5258" s="238"/>
      <c r="E5258" s="545"/>
      <c r="F5258" s="546"/>
      <c r="G5258" s="234"/>
      <c r="H5258" s="238"/>
      <c r="I5258" s="237"/>
    </row>
    <row r="5259" spans="1:9" s="232" customFormat="1" ht="17" customHeight="1">
      <c r="A5259" s="234"/>
      <c r="B5259" s="233"/>
      <c r="C5259" s="238"/>
      <c r="E5259" s="545"/>
      <c r="F5259" s="546"/>
      <c r="G5259" s="234"/>
      <c r="H5259" s="238"/>
      <c r="I5259" s="237"/>
    </row>
    <row r="5260" spans="1:9" s="232" customFormat="1" ht="17" customHeight="1">
      <c r="A5260" s="234"/>
      <c r="B5260" s="233"/>
      <c r="C5260" s="238"/>
      <c r="E5260" s="545"/>
      <c r="F5260" s="546"/>
      <c r="G5260" s="234"/>
      <c r="H5260" s="238"/>
      <c r="I5260" s="237"/>
    </row>
    <row r="5261" spans="1:9" s="232" customFormat="1" ht="17" customHeight="1">
      <c r="A5261" s="234"/>
      <c r="B5261" s="233"/>
      <c r="C5261" s="238"/>
      <c r="E5261" s="545"/>
      <c r="F5261" s="546"/>
      <c r="G5261" s="234"/>
      <c r="H5261" s="238"/>
      <c r="I5261" s="237"/>
    </row>
    <row r="5262" spans="1:9" s="232" customFormat="1" ht="17" customHeight="1">
      <c r="A5262" s="234"/>
      <c r="B5262" s="233"/>
      <c r="C5262" s="238"/>
      <c r="E5262" s="545"/>
      <c r="F5262" s="546"/>
      <c r="G5262" s="234"/>
      <c r="H5262" s="238"/>
      <c r="I5262" s="237"/>
    </row>
    <row r="5263" spans="1:9" s="232" customFormat="1" ht="17" customHeight="1">
      <c r="A5263" s="234"/>
      <c r="B5263" s="233"/>
      <c r="C5263" s="238"/>
      <c r="E5263" s="545"/>
      <c r="F5263" s="546"/>
      <c r="G5263" s="234"/>
      <c r="H5263" s="238"/>
      <c r="I5263" s="237"/>
    </row>
    <row r="5264" spans="1:9" s="232" customFormat="1" ht="17" customHeight="1">
      <c r="A5264" s="234"/>
      <c r="B5264" s="233"/>
      <c r="C5264" s="238"/>
      <c r="E5264" s="545"/>
      <c r="F5264" s="546"/>
      <c r="G5264" s="234"/>
      <c r="H5264" s="238"/>
      <c r="I5264" s="237"/>
    </row>
    <row r="5265" spans="1:9" s="232" customFormat="1" ht="17" customHeight="1">
      <c r="A5265" s="234"/>
      <c r="B5265" s="233"/>
      <c r="C5265" s="238"/>
      <c r="E5265" s="545"/>
      <c r="F5265" s="546"/>
      <c r="G5265" s="234"/>
      <c r="H5265" s="238"/>
      <c r="I5265" s="237"/>
    </row>
    <row r="5266" spans="1:9" s="232" customFormat="1" ht="17" customHeight="1">
      <c r="A5266" s="234"/>
      <c r="B5266" s="233"/>
      <c r="C5266" s="238"/>
      <c r="E5266" s="545"/>
      <c r="F5266" s="546"/>
      <c r="G5266" s="234"/>
      <c r="H5266" s="238"/>
      <c r="I5266" s="237"/>
    </row>
    <row r="5267" spans="1:9" s="232" customFormat="1" ht="17" customHeight="1">
      <c r="A5267" s="234"/>
      <c r="B5267" s="233"/>
      <c r="C5267" s="238"/>
      <c r="E5267" s="545"/>
      <c r="F5267" s="546"/>
      <c r="G5267" s="234"/>
      <c r="H5267" s="238"/>
      <c r="I5267" s="237"/>
    </row>
    <row r="5268" spans="1:9" s="232" customFormat="1" ht="17" customHeight="1">
      <c r="A5268" s="234"/>
      <c r="B5268" s="233"/>
      <c r="C5268" s="238"/>
      <c r="E5268" s="545"/>
      <c r="F5268" s="546"/>
      <c r="G5268" s="234"/>
      <c r="H5268" s="238"/>
      <c r="I5268" s="237"/>
    </row>
    <row r="5269" spans="1:9" s="232" customFormat="1" ht="17" customHeight="1">
      <c r="A5269" s="234"/>
      <c r="B5269" s="233"/>
      <c r="C5269" s="238"/>
      <c r="E5269" s="545"/>
      <c r="F5269" s="546"/>
      <c r="G5269" s="234"/>
      <c r="H5269" s="238"/>
      <c r="I5269" s="237"/>
    </row>
    <row r="5270" spans="1:9" s="232" customFormat="1" ht="17" customHeight="1">
      <c r="A5270" s="234"/>
      <c r="B5270" s="233"/>
      <c r="C5270" s="238"/>
      <c r="E5270" s="545"/>
      <c r="F5270" s="546"/>
      <c r="G5270" s="234"/>
      <c r="H5270" s="238"/>
      <c r="I5270" s="237"/>
    </row>
    <row r="5271" spans="1:9" s="232" customFormat="1" ht="17" customHeight="1">
      <c r="A5271" s="234"/>
      <c r="B5271" s="233"/>
      <c r="C5271" s="238"/>
      <c r="E5271" s="545"/>
      <c r="F5271" s="546"/>
      <c r="G5271" s="234"/>
      <c r="H5271" s="238"/>
      <c r="I5271" s="237"/>
    </row>
    <row r="5272" spans="1:9" s="232" customFormat="1" ht="17" customHeight="1">
      <c r="A5272" s="234"/>
      <c r="B5272" s="233"/>
      <c r="C5272" s="238"/>
      <c r="E5272" s="545"/>
      <c r="F5272" s="546"/>
      <c r="G5272" s="234"/>
      <c r="H5272" s="238"/>
      <c r="I5272" s="237"/>
    </row>
    <row r="5273" spans="1:9" s="232" customFormat="1" ht="17" customHeight="1">
      <c r="A5273" s="234"/>
      <c r="B5273" s="233"/>
      <c r="C5273" s="238"/>
      <c r="E5273" s="545"/>
      <c r="F5273" s="546"/>
      <c r="G5273" s="234"/>
      <c r="H5273" s="238"/>
      <c r="I5273" s="237"/>
    </row>
    <row r="5274" spans="1:9" s="232" customFormat="1" ht="17" customHeight="1">
      <c r="A5274" s="234"/>
      <c r="B5274" s="233"/>
      <c r="C5274" s="238"/>
      <c r="E5274" s="545"/>
      <c r="F5274" s="546"/>
      <c r="G5274" s="234"/>
      <c r="H5274" s="238"/>
      <c r="I5274" s="237"/>
    </row>
    <row r="5275" spans="1:9" s="232" customFormat="1" ht="17" customHeight="1">
      <c r="A5275" s="234"/>
      <c r="B5275" s="233"/>
      <c r="C5275" s="238"/>
      <c r="E5275" s="545"/>
      <c r="F5275" s="546"/>
      <c r="G5275" s="234"/>
      <c r="H5275" s="238"/>
      <c r="I5275" s="237"/>
    </row>
    <row r="5276" spans="1:9" s="232" customFormat="1" ht="17" customHeight="1">
      <c r="A5276" s="234"/>
      <c r="B5276" s="233"/>
      <c r="C5276" s="238"/>
      <c r="E5276" s="545"/>
      <c r="F5276" s="546"/>
      <c r="G5276" s="234"/>
      <c r="H5276" s="238"/>
      <c r="I5276" s="237"/>
    </row>
    <row r="5277" spans="1:9" s="232" customFormat="1" ht="17" customHeight="1">
      <c r="A5277" s="234"/>
      <c r="B5277" s="233"/>
      <c r="C5277" s="238"/>
      <c r="E5277" s="545"/>
      <c r="F5277" s="546"/>
      <c r="G5277" s="234"/>
      <c r="H5277" s="238"/>
      <c r="I5277" s="237"/>
    </row>
    <row r="5278" spans="1:9" s="232" customFormat="1" ht="17" customHeight="1">
      <c r="A5278" s="234"/>
      <c r="B5278" s="233"/>
      <c r="C5278" s="238"/>
      <c r="E5278" s="545"/>
      <c r="F5278" s="546"/>
      <c r="G5278" s="234"/>
      <c r="H5278" s="238"/>
      <c r="I5278" s="237"/>
    </row>
    <row r="5279" spans="1:9" s="232" customFormat="1" ht="17" customHeight="1">
      <c r="A5279" s="234"/>
      <c r="B5279" s="233"/>
      <c r="C5279" s="238"/>
      <c r="E5279" s="545"/>
      <c r="F5279" s="546"/>
      <c r="G5279" s="234"/>
      <c r="H5279" s="238"/>
      <c r="I5279" s="237"/>
    </row>
    <row r="5280" spans="1:9" s="232" customFormat="1" ht="17" customHeight="1">
      <c r="A5280" s="234"/>
      <c r="B5280" s="233"/>
      <c r="C5280" s="238"/>
      <c r="E5280" s="545"/>
      <c r="F5280" s="546"/>
      <c r="G5280" s="234"/>
      <c r="H5280" s="238"/>
      <c r="I5280" s="237"/>
    </row>
    <row r="5281" spans="1:9" s="232" customFormat="1" ht="17" customHeight="1">
      <c r="A5281" s="234"/>
      <c r="B5281" s="233"/>
      <c r="C5281" s="238"/>
      <c r="E5281" s="545"/>
      <c r="F5281" s="546"/>
      <c r="G5281" s="234"/>
      <c r="H5281" s="238"/>
      <c r="I5281" s="237"/>
    </row>
    <row r="5282" spans="1:9" s="232" customFormat="1" ht="17" customHeight="1">
      <c r="A5282" s="234"/>
      <c r="B5282" s="233"/>
      <c r="C5282" s="238"/>
      <c r="E5282" s="545"/>
      <c r="F5282" s="546"/>
      <c r="G5282" s="234"/>
      <c r="H5282" s="238"/>
      <c r="I5282" s="237"/>
    </row>
    <row r="5283" spans="1:9" s="232" customFormat="1" ht="17" customHeight="1">
      <c r="A5283" s="234"/>
      <c r="B5283" s="233"/>
      <c r="C5283" s="238"/>
      <c r="E5283" s="545"/>
      <c r="F5283" s="546"/>
      <c r="G5283" s="234"/>
      <c r="H5283" s="238"/>
      <c r="I5283" s="237"/>
    </row>
    <row r="5284" spans="1:9" s="232" customFormat="1" ht="17" customHeight="1">
      <c r="A5284" s="234"/>
      <c r="B5284" s="233"/>
      <c r="C5284" s="238"/>
      <c r="E5284" s="545"/>
      <c r="F5284" s="546"/>
      <c r="G5284" s="234"/>
      <c r="H5284" s="238"/>
      <c r="I5284" s="237"/>
    </row>
    <row r="5285" spans="1:9" s="232" customFormat="1" ht="17" customHeight="1">
      <c r="A5285" s="234"/>
      <c r="B5285" s="233"/>
      <c r="C5285" s="238"/>
      <c r="E5285" s="545"/>
      <c r="F5285" s="546"/>
      <c r="G5285" s="234"/>
      <c r="H5285" s="238"/>
      <c r="I5285" s="237"/>
    </row>
    <row r="5286" spans="1:9" s="232" customFormat="1" ht="17" customHeight="1">
      <c r="A5286" s="234"/>
      <c r="B5286" s="233"/>
      <c r="C5286" s="238"/>
      <c r="E5286" s="545"/>
      <c r="F5286" s="546"/>
      <c r="G5286" s="234"/>
      <c r="H5286" s="238"/>
      <c r="I5286" s="237"/>
    </row>
    <row r="5287" spans="1:9" s="232" customFormat="1" ht="17" customHeight="1">
      <c r="A5287" s="234"/>
      <c r="B5287" s="233"/>
      <c r="C5287" s="238"/>
      <c r="E5287" s="545"/>
      <c r="F5287" s="546"/>
      <c r="G5287" s="234"/>
      <c r="H5287" s="238"/>
      <c r="I5287" s="237"/>
    </row>
    <row r="5288" spans="1:9" s="232" customFormat="1" ht="17" customHeight="1">
      <c r="A5288" s="234"/>
      <c r="B5288" s="233"/>
      <c r="C5288" s="238"/>
      <c r="E5288" s="545"/>
      <c r="F5288" s="546"/>
      <c r="G5288" s="234"/>
      <c r="H5288" s="238"/>
      <c r="I5288" s="237"/>
    </row>
    <row r="5289" spans="1:9" s="232" customFormat="1" ht="17" customHeight="1">
      <c r="A5289" s="234"/>
      <c r="B5289" s="233"/>
      <c r="C5289" s="238"/>
      <c r="E5289" s="545"/>
      <c r="F5289" s="546"/>
      <c r="G5289" s="234"/>
      <c r="H5289" s="238"/>
      <c r="I5289" s="237"/>
    </row>
    <row r="5290" spans="1:9" s="232" customFormat="1" ht="17" customHeight="1">
      <c r="A5290" s="234"/>
      <c r="B5290" s="233"/>
      <c r="C5290" s="238"/>
      <c r="E5290" s="545"/>
      <c r="F5290" s="546"/>
      <c r="G5290" s="234"/>
      <c r="H5290" s="238"/>
      <c r="I5290" s="237"/>
    </row>
    <row r="5291" spans="1:9" s="232" customFormat="1" ht="17" customHeight="1">
      <c r="A5291" s="234"/>
      <c r="B5291" s="233"/>
      <c r="C5291" s="238"/>
      <c r="E5291" s="545"/>
      <c r="F5291" s="546"/>
      <c r="G5291" s="234"/>
      <c r="H5291" s="238"/>
      <c r="I5291" s="237"/>
    </row>
    <row r="5292" spans="1:9" s="232" customFormat="1" ht="17" customHeight="1">
      <c r="A5292" s="234"/>
      <c r="B5292" s="233"/>
      <c r="C5292" s="238"/>
      <c r="E5292" s="545"/>
      <c r="F5292" s="546"/>
      <c r="G5292" s="234"/>
      <c r="H5292" s="238"/>
      <c r="I5292" s="237"/>
    </row>
    <row r="5293" spans="1:9" s="232" customFormat="1" ht="17" customHeight="1">
      <c r="A5293" s="234"/>
      <c r="B5293" s="233"/>
      <c r="C5293" s="238"/>
      <c r="E5293" s="545"/>
      <c r="F5293" s="546"/>
      <c r="G5293" s="234"/>
      <c r="H5293" s="238"/>
      <c r="I5293" s="237"/>
    </row>
    <row r="5294" spans="1:9" s="232" customFormat="1" ht="17" customHeight="1">
      <c r="A5294" s="234"/>
      <c r="B5294" s="233"/>
      <c r="C5294" s="238"/>
      <c r="E5294" s="545"/>
      <c r="F5294" s="546"/>
      <c r="G5294" s="234"/>
      <c r="H5294" s="238"/>
      <c r="I5294" s="237"/>
    </row>
    <row r="5295" spans="1:9" s="232" customFormat="1" ht="17" customHeight="1">
      <c r="A5295" s="234"/>
      <c r="B5295" s="233"/>
      <c r="C5295" s="238"/>
      <c r="E5295" s="545"/>
      <c r="F5295" s="546"/>
      <c r="G5295" s="234"/>
      <c r="H5295" s="238"/>
      <c r="I5295" s="237"/>
    </row>
    <row r="5296" spans="1:9" s="232" customFormat="1" ht="17" customHeight="1">
      <c r="A5296" s="234"/>
      <c r="B5296" s="233"/>
      <c r="C5296" s="238"/>
      <c r="E5296" s="545"/>
      <c r="F5296" s="546"/>
      <c r="G5296" s="234"/>
      <c r="H5296" s="238"/>
      <c r="I5296" s="237"/>
    </row>
    <row r="5297" spans="1:9" s="232" customFormat="1" ht="17" customHeight="1">
      <c r="A5297" s="234"/>
      <c r="B5297" s="233"/>
      <c r="C5297" s="238"/>
      <c r="E5297" s="545"/>
      <c r="F5297" s="546"/>
      <c r="G5297" s="234"/>
      <c r="H5297" s="238"/>
      <c r="I5297" s="237"/>
    </row>
    <row r="5298" spans="1:9" s="232" customFormat="1" ht="17" customHeight="1">
      <c r="A5298" s="234"/>
      <c r="B5298" s="233"/>
      <c r="C5298" s="238"/>
      <c r="E5298" s="545"/>
      <c r="F5298" s="546"/>
      <c r="G5298" s="234"/>
      <c r="H5298" s="238"/>
      <c r="I5298" s="237"/>
    </row>
    <row r="5299" spans="1:9" s="232" customFormat="1" ht="17" customHeight="1">
      <c r="A5299" s="234"/>
      <c r="B5299" s="233"/>
      <c r="C5299" s="238"/>
      <c r="E5299" s="545"/>
      <c r="F5299" s="546"/>
      <c r="G5299" s="234"/>
      <c r="H5299" s="238"/>
      <c r="I5299" s="237"/>
    </row>
    <row r="5300" spans="1:9" s="232" customFormat="1" ht="17" customHeight="1">
      <c r="A5300" s="234"/>
      <c r="B5300" s="233"/>
      <c r="C5300" s="238"/>
      <c r="E5300" s="545"/>
      <c r="F5300" s="546"/>
      <c r="G5300" s="234"/>
      <c r="H5300" s="238"/>
      <c r="I5300" s="237"/>
    </row>
    <row r="5301" spans="1:9" s="232" customFormat="1" ht="17" customHeight="1">
      <c r="A5301" s="234"/>
      <c r="B5301" s="233"/>
      <c r="C5301" s="238"/>
      <c r="E5301" s="545"/>
      <c r="F5301" s="546"/>
      <c r="G5301" s="234"/>
      <c r="H5301" s="238"/>
      <c r="I5301" s="237"/>
    </row>
    <row r="5302" spans="1:9" s="232" customFormat="1" ht="17" customHeight="1">
      <c r="A5302" s="234"/>
      <c r="B5302" s="233"/>
      <c r="C5302" s="238"/>
      <c r="E5302" s="545"/>
      <c r="F5302" s="546"/>
      <c r="G5302" s="234"/>
      <c r="H5302" s="238"/>
      <c r="I5302" s="237"/>
    </row>
    <row r="5303" spans="1:9" s="232" customFormat="1" ht="17" customHeight="1">
      <c r="A5303" s="234"/>
      <c r="B5303" s="233"/>
      <c r="C5303" s="238"/>
      <c r="E5303" s="545"/>
      <c r="F5303" s="546"/>
      <c r="G5303" s="234"/>
      <c r="H5303" s="238"/>
      <c r="I5303" s="237"/>
    </row>
    <row r="5304" spans="1:9" s="232" customFormat="1" ht="17" customHeight="1">
      <c r="A5304" s="234"/>
      <c r="B5304" s="233"/>
      <c r="C5304" s="238"/>
      <c r="E5304" s="545"/>
      <c r="F5304" s="546"/>
      <c r="G5304" s="234"/>
      <c r="H5304" s="238"/>
      <c r="I5304" s="237"/>
    </row>
    <row r="5305" spans="1:9" s="232" customFormat="1" ht="17" customHeight="1">
      <c r="A5305" s="234"/>
      <c r="B5305" s="233"/>
      <c r="C5305" s="238"/>
      <c r="E5305" s="545"/>
      <c r="F5305" s="546"/>
      <c r="G5305" s="234"/>
      <c r="H5305" s="238"/>
      <c r="I5305" s="237"/>
    </row>
    <row r="5306" spans="1:9" s="232" customFormat="1" ht="17" customHeight="1">
      <c r="A5306" s="234"/>
      <c r="B5306" s="233"/>
      <c r="C5306" s="238"/>
      <c r="E5306" s="545"/>
      <c r="F5306" s="546"/>
      <c r="G5306" s="234"/>
      <c r="H5306" s="238"/>
      <c r="I5306" s="237"/>
    </row>
    <row r="5307" spans="1:9" s="232" customFormat="1" ht="17" customHeight="1">
      <c r="A5307" s="234"/>
      <c r="B5307" s="233"/>
      <c r="C5307" s="238"/>
      <c r="E5307" s="545"/>
      <c r="F5307" s="546"/>
      <c r="G5307" s="234"/>
      <c r="H5307" s="238"/>
      <c r="I5307" s="237"/>
    </row>
    <row r="5308" spans="1:9" s="232" customFormat="1" ht="17" customHeight="1">
      <c r="A5308" s="234"/>
      <c r="B5308" s="233"/>
      <c r="C5308" s="238"/>
      <c r="E5308" s="545"/>
      <c r="F5308" s="546"/>
      <c r="G5308" s="234"/>
      <c r="H5308" s="238"/>
      <c r="I5308" s="237"/>
    </row>
    <row r="5309" spans="1:9" s="232" customFormat="1" ht="17" customHeight="1">
      <c r="A5309" s="234"/>
      <c r="B5309" s="233"/>
      <c r="C5309" s="238"/>
      <c r="E5309" s="545"/>
      <c r="F5309" s="546"/>
      <c r="G5309" s="234"/>
      <c r="H5309" s="238"/>
      <c r="I5309" s="237"/>
    </row>
    <row r="5310" spans="1:9" s="232" customFormat="1" ht="17" customHeight="1">
      <c r="A5310" s="234"/>
      <c r="B5310" s="233"/>
      <c r="C5310" s="238"/>
      <c r="E5310" s="545"/>
      <c r="F5310" s="546"/>
      <c r="G5310" s="234"/>
      <c r="H5310" s="238"/>
      <c r="I5310" s="237"/>
    </row>
    <row r="5311" spans="1:9" s="232" customFormat="1" ht="17" customHeight="1">
      <c r="A5311" s="234"/>
      <c r="B5311" s="233"/>
      <c r="C5311" s="238"/>
      <c r="E5311" s="545"/>
      <c r="F5311" s="546"/>
      <c r="G5311" s="234"/>
      <c r="H5311" s="238"/>
      <c r="I5311" s="237"/>
    </row>
    <row r="5312" spans="1:9" s="232" customFormat="1" ht="17" customHeight="1">
      <c r="A5312" s="234"/>
      <c r="B5312" s="233"/>
      <c r="C5312" s="238"/>
      <c r="E5312" s="545"/>
      <c r="F5312" s="546"/>
      <c r="G5312" s="234"/>
      <c r="H5312" s="238"/>
      <c r="I5312" s="237"/>
    </row>
    <row r="5313" spans="1:9" s="232" customFormat="1" ht="17" customHeight="1">
      <c r="A5313" s="234"/>
      <c r="B5313" s="233"/>
      <c r="C5313" s="238"/>
      <c r="E5313" s="545"/>
      <c r="F5313" s="546"/>
      <c r="G5313" s="234"/>
      <c r="H5313" s="238"/>
      <c r="I5313" s="237"/>
    </row>
    <row r="5314" spans="1:9" s="232" customFormat="1" ht="17" customHeight="1">
      <c r="A5314" s="234"/>
      <c r="B5314" s="233"/>
      <c r="C5314" s="238"/>
      <c r="E5314" s="545"/>
      <c r="F5314" s="546"/>
      <c r="G5314" s="234"/>
      <c r="H5314" s="238"/>
      <c r="I5314" s="237"/>
    </row>
    <row r="5315" spans="1:9" s="232" customFormat="1" ht="17" customHeight="1">
      <c r="A5315" s="234"/>
      <c r="B5315" s="233"/>
      <c r="C5315" s="238"/>
      <c r="E5315" s="545"/>
      <c r="F5315" s="546"/>
      <c r="G5315" s="234"/>
      <c r="H5315" s="238"/>
      <c r="I5315" s="237"/>
    </row>
    <row r="5316" spans="1:9" s="232" customFormat="1" ht="17" customHeight="1">
      <c r="A5316" s="234"/>
      <c r="B5316" s="233"/>
      <c r="C5316" s="238"/>
      <c r="E5316" s="545"/>
      <c r="F5316" s="546"/>
      <c r="G5316" s="234"/>
      <c r="H5316" s="238"/>
      <c r="I5316" s="237"/>
    </row>
    <row r="5317" spans="1:9" s="232" customFormat="1" ht="17" customHeight="1">
      <c r="A5317" s="234"/>
      <c r="B5317" s="233"/>
      <c r="C5317" s="238"/>
      <c r="E5317" s="545"/>
      <c r="F5317" s="546"/>
      <c r="G5317" s="234"/>
      <c r="H5317" s="238"/>
      <c r="I5317" s="237"/>
    </row>
    <row r="5318" spans="1:9" s="232" customFormat="1" ht="17" customHeight="1">
      <c r="A5318" s="234"/>
      <c r="B5318" s="233"/>
      <c r="C5318" s="238"/>
      <c r="E5318" s="545"/>
      <c r="F5318" s="546"/>
      <c r="G5318" s="234"/>
      <c r="H5318" s="238"/>
      <c r="I5318" s="237"/>
    </row>
    <row r="5319" spans="1:9" s="232" customFormat="1" ht="17" customHeight="1">
      <c r="A5319" s="234"/>
      <c r="B5319" s="233"/>
      <c r="C5319" s="238"/>
      <c r="E5319" s="545"/>
      <c r="F5319" s="546"/>
      <c r="G5319" s="234"/>
      <c r="H5319" s="238"/>
      <c r="I5319" s="237"/>
    </row>
    <row r="5320" spans="1:9" s="232" customFormat="1" ht="17" customHeight="1">
      <c r="A5320" s="234"/>
      <c r="B5320" s="233"/>
      <c r="C5320" s="238"/>
      <c r="E5320" s="545"/>
      <c r="F5320" s="546"/>
      <c r="G5320" s="234"/>
      <c r="H5320" s="238"/>
      <c r="I5320" s="237"/>
    </row>
    <row r="5321" spans="1:9" s="232" customFormat="1" ht="17" customHeight="1">
      <c r="A5321" s="234"/>
      <c r="B5321" s="233"/>
      <c r="C5321" s="238"/>
      <c r="E5321" s="545"/>
      <c r="F5321" s="546"/>
      <c r="G5321" s="234"/>
      <c r="H5321" s="238"/>
      <c r="I5321" s="237"/>
    </row>
    <row r="5322" spans="1:9" s="232" customFormat="1" ht="17" customHeight="1">
      <c r="A5322" s="234"/>
      <c r="B5322" s="233"/>
      <c r="C5322" s="238"/>
      <c r="E5322" s="545"/>
      <c r="F5322" s="546"/>
      <c r="G5322" s="234"/>
      <c r="H5322" s="238"/>
      <c r="I5322" s="237"/>
    </row>
    <row r="5323" spans="1:9" s="232" customFormat="1" ht="17" customHeight="1">
      <c r="A5323" s="234"/>
      <c r="B5323" s="233"/>
      <c r="C5323" s="238"/>
      <c r="E5323" s="545"/>
      <c r="F5323" s="546"/>
      <c r="G5323" s="234"/>
      <c r="H5323" s="238"/>
      <c r="I5323" s="237"/>
    </row>
    <row r="5324" spans="1:9" s="232" customFormat="1" ht="17" customHeight="1">
      <c r="A5324" s="234"/>
      <c r="B5324" s="233"/>
      <c r="C5324" s="238"/>
      <c r="E5324" s="545"/>
      <c r="F5324" s="546"/>
      <c r="G5324" s="234"/>
      <c r="H5324" s="238"/>
      <c r="I5324" s="237"/>
    </row>
    <row r="5325" spans="1:9" s="232" customFormat="1" ht="17" customHeight="1">
      <c r="A5325" s="234"/>
      <c r="B5325" s="233"/>
      <c r="C5325" s="238"/>
      <c r="E5325" s="545"/>
      <c r="F5325" s="546"/>
      <c r="G5325" s="234"/>
      <c r="H5325" s="238"/>
      <c r="I5325" s="237"/>
    </row>
    <row r="5326" spans="1:9" s="232" customFormat="1" ht="17" customHeight="1">
      <c r="A5326" s="234"/>
      <c r="B5326" s="233"/>
      <c r="C5326" s="238"/>
      <c r="E5326" s="545"/>
      <c r="F5326" s="546"/>
      <c r="G5326" s="234"/>
      <c r="H5326" s="238"/>
      <c r="I5326" s="237"/>
    </row>
    <row r="5327" spans="1:9" s="232" customFormat="1" ht="17" customHeight="1">
      <c r="A5327" s="234"/>
      <c r="B5327" s="233"/>
      <c r="C5327" s="238"/>
      <c r="E5327" s="545"/>
      <c r="F5327" s="546"/>
      <c r="G5327" s="234"/>
      <c r="H5327" s="238"/>
      <c r="I5327" s="237"/>
    </row>
    <row r="5328" spans="1:9" s="232" customFormat="1" ht="17" customHeight="1">
      <c r="A5328" s="234"/>
      <c r="B5328" s="233"/>
      <c r="C5328" s="238"/>
      <c r="E5328" s="545"/>
      <c r="F5328" s="546"/>
      <c r="G5328" s="234"/>
      <c r="H5328" s="238"/>
      <c r="I5328" s="237"/>
    </row>
    <row r="5329" spans="1:9" s="232" customFormat="1" ht="17" customHeight="1">
      <c r="A5329" s="234"/>
      <c r="B5329" s="233"/>
      <c r="C5329" s="238"/>
      <c r="E5329" s="545"/>
      <c r="F5329" s="546"/>
      <c r="G5329" s="234"/>
      <c r="H5329" s="238"/>
      <c r="I5329" s="237"/>
    </row>
    <row r="5330" spans="1:9" s="232" customFormat="1" ht="17" customHeight="1">
      <c r="A5330" s="234"/>
      <c r="B5330" s="233"/>
      <c r="C5330" s="238"/>
      <c r="E5330" s="545"/>
      <c r="F5330" s="546"/>
      <c r="G5330" s="234"/>
      <c r="H5330" s="238"/>
      <c r="I5330" s="237"/>
    </row>
    <row r="5331" spans="1:9" s="232" customFormat="1" ht="17" customHeight="1">
      <c r="A5331" s="234"/>
      <c r="B5331" s="233"/>
      <c r="C5331" s="238"/>
      <c r="E5331" s="545"/>
      <c r="F5331" s="546"/>
      <c r="G5331" s="234"/>
      <c r="H5331" s="238"/>
      <c r="I5331" s="237"/>
    </row>
    <row r="5332" spans="1:9" s="232" customFormat="1" ht="17" customHeight="1">
      <c r="A5332" s="234"/>
      <c r="B5332" s="233"/>
      <c r="C5332" s="238"/>
      <c r="E5332" s="545"/>
      <c r="F5332" s="546"/>
      <c r="G5332" s="234"/>
      <c r="H5332" s="238"/>
      <c r="I5332" s="237"/>
    </row>
    <row r="5333" spans="1:9" s="232" customFormat="1" ht="17" customHeight="1">
      <c r="A5333" s="234"/>
      <c r="B5333" s="233"/>
      <c r="C5333" s="238"/>
      <c r="E5333" s="545"/>
      <c r="F5333" s="546"/>
      <c r="G5333" s="234"/>
      <c r="H5333" s="238"/>
      <c r="I5333" s="237"/>
    </row>
    <row r="5334" spans="1:9" s="232" customFormat="1" ht="17" customHeight="1">
      <c r="A5334" s="234"/>
      <c r="B5334" s="233"/>
      <c r="C5334" s="238"/>
      <c r="E5334" s="545"/>
      <c r="F5334" s="546"/>
      <c r="G5334" s="234"/>
      <c r="H5334" s="238"/>
      <c r="I5334" s="237"/>
    </row>
    <row r="5335" spans="1:9" s="232" customFormat="1" ht="17" customHeight="1">
      <c r="A5335" s="234"/>
      <c r="B5335" s="233"/>
      <c r="C5335" s="238"/>
      <c r="E5335" s="545"/>
      <c r="F5335" s="546"/>
      <c r="G5335" s="234"/>
      <c r="H5335" s="238"/>
      <c r="I5335" s="237"/>
    </row>
    <row r="5336" spans="1:9" s="232" customFormat="1" ht="17" customHeight="1">
      <c r="A5336" s="234"/>
      <c r="B5336" s="233"/>
      <c r="C5336" s="238"/>
      <c r="E5336" s="545"/>
      <c r="F5336" s="546"/>
      <c r="G5336" s="234"/>
      <c r="H5336" s="238"/>
      <c r="I5336" s="237"/>
    </row>
    <row r="5337" spans="1:9" s="232" customFormat="1" ht="17" customHeight="1">
      <c r="A5337" s="234"/>
      <c r="B5337" s="233"/>
      <c r="C5337" s="238"/>
      <c r="E5337" s="545"/>
      <c r="F5337" s="546"/>
      <c r="G5337" s="234"/>
      <c r="H5337" s="238"/>
      <c r="I5337" s="237"/>
    </row>
    <row r="5338" spans="1:9" s="232" customFormat="1" ht="17" customHeight="1">
      <c r="A5338" s="234"/>
      <c r="B5338" s="233"/>
      <c r="C5338" s="238"/>
      <c r="E5338" s="545"/>
      <c r="F5338" s="546"/>
      <c r="G5338" s="234"/>
      <c r="H5338" s="238"/>
      <c r="I5338" s="237"/>
    </row>
    <row r="5339" spans="1:9" s="232" customFormat="1" ht="17" customHeight="1">
      <c r="A5339" s="234"/>
      <c r="B5339" s="233"/>
      <c r="C5339" s="238"/>
      <c r="E5339" s="545"/>
      <c r="F5339" s="546"/>
      <c r="G5339" s="234"/>
      <c r="H5339" s="238"/>
      <c r="I5339" s="237"/>
    </row>
    <row r="5340" spans="1:9" s="232" customFormat="1" ht="17" customHeight="1">
      <c r="A5340" s="234"/>
      <c r="B5340" s="233"/>
      <c r="C5340" s="238"/>
      <c r="E5340" s="545"/>
      <c r="F5340" s="546"/>
      <c r="G5340" s="234"/>
      <c r="H5340" s="238"/>
      <c r="I5340" s="237"/>
    </row>
    <row r="5341" spans="1:9" s="232" customFormat="1" ht="17" customHeight="1">
      <c r="A5341" s="234"/>
      <c r="B5341" s="233"/>
      <c r="C5341" s="238"/>
      <c r="E5341" s="545"/>
      <c r="F5341" s="546"/>
      <c r="G5341" s="234"/>
      <c r="H5341" s="238"/>
      <c r="I5341" s="237"/>
    </row>
    <row r="5342" spans="1:9" s="232" customFormat="1" ht="17" customHeight="1">
      <c r="A5342" s="234"/>
      <c r="B5342" s="233"/>
      <c r="C5342" s="238"/>
      <c r="E5342" s="545"/>
      <c r="F5342" s="546"/>
      <c r="G5342" s="234"/>
      <c r="H5342" s="238"/>
      <c r="I5342" s="237"/>
    </row>
    <row r="5343" spans="1:9" s="232" customFormat="1" ht="17" customHeight="1">
      <c r="A5343" s="234"/>
      <c r="B5343" s="233"/>
      <c r="C5343" s="238"/>
      <c r="E5343" s="545"/>
      <c r="F5343" s="546"/>
      <c r="G5343" s="234"/>
      <c r="H5343" s="238"/>
      <c r="I5343" s="237"/>
    </row>
    <row r="5344" spans="1:9" s="232" customFormat="1" ht="17" customHeight="1">
      <c r="A5344" s="234"/>
      <c r="B5344" s="233"/>
      <c r="C5344" s="238"/>
      <c r="E5344" s="545"/>
      <c r="F5344" s="546"/>
      <c r="G5344" s="234"/>
      <c r="H5344" s="238"/>
      <c r="I5344" s="237"/>
    </row>
    <row r="5345" spans="1:9" s="232" customFormat="1" ht="17" customHeight="1">
      <c r="A5345" s="234"/>
      <c r="B5345" s="233"/>
      <c r="C5345" s="238"/>
      <c r="E5345" s="545"/>
      <c r="F5345" s="546"/>
      <c r="G5345" s="234"/>
      <c r="H5345" s="238"/>
      <c r="I5345" s="237"/>
    </row>
    <row r="5346" spans="1:9" s="232" customFormat="1" ht="17" customHeight="1">
      <c r="A5346" s="234"/>
      <c r="B5346" s="233"/>
      <c r="C5346" s="238"/>
      <c r="E5346" s="545"/>
      <c r="F5346" s="546"/>
      <c r="G5346" s="234"/>
      <c r="H5346" s="238"/>
      <c r="I5346" s="237"/>
    </row>
    <row r="5347" spans="1:9" s="232" customFormat="1" ht="17" customHeight="1">
      <c r="A5347" s="234"/>
      <c r="B5347" s="233"/>
      <c r="C5347" s="238"/>
      <c r="E5347" s="545"/>
      <c r="F5347" s="546"/>
      <c r="G5347" s="234"/>
      <c r="H5347" s="238"/>
      <c r="I5347" s="237"/>
    </row>
    <row r="5348" spans="1:9" s="232" customFormat="1" ht="17" customHeight="1">
      <c r="A5348" s="234"/>
      <c r="B5348" s="233"/>
      <c r="C5348" s="238"/>
      <c r="E5348" s="545"/>
      <c r="F5348" s="546"/>
      <c r="G5348" s="234"/>
      <c r="H5348" s="238"/>
      <c r="I5348" s="237"/>
    </row>
    <row r="5349" spans="1:9" s="232" customFormat="1" ht="17" customHeight="1">
      <c r="A5349" s="234"/>
      <c r="B5349" s="233"/>
      <c r="C5349" s="238"/>
      <c r="E5349" s="545"/>
      <c r="F5349" s="546"/>
      <c r="G5349" s="234"/>
      <c r="H5349" s="238"/>
      <c r="I5349" s="237"/>
    </row>
    <row r="5350" spans="1:9" s="232" customFormat="1" ht="17" customHeight="1">
      <c r="A5350" s="234"/>
      <c r="B5350" s="233"/>
      <c r="C5350" s="238"/>
      <c r="E5350" s="545"/>
      <c r="F5350" s="546"/>
      <c r="G5350" s="234"/>
      <c r="H5350" s="238"/>
      <c r="I5350" s="237"/>
    </row>
    <row r="5351" spans="1:9" s="232" customFormat="1" ht="17" customHeight="1">
      <c r="A5351" s="234"/>
      <c r="B5351" s="233"/>
      <c r="C5351" s="238"/>
      <c r="E5351" s="545"/>
      <c r="F5351" s="546"/>
      <c r="G5351" s="234"/>
      <c r="H5351" s="238"/>
      <c r="I5351" s="237"/>
    </row>
    <row r="5352" spans="1:9" s="232" customFormat="1" ht="17" customHeight="1">
      <c r="A5352" s="234"/>
      <c r="B5352" s="233"/>
      <c r="C5352" s="238"/>
      <c r="E5352" s="545"/>
      <c r="F5352" s="546"/>
      <c r="G5352" s="234"/>
      <c r="H5352" s="238"/>
      <c r="I5352" s="237"/>
    </row>
    <row r="5353" spans="1:9" s="232" customFormat="1" ht="17" customHeight="1">
      <c r="A5353" s="234"/>
      <c r="B5353" s="233"/>
      <c r="C5353" s="238"/>
      <c r="E5353" s="545"/>
      <c r="F5353" s="546"/>
      <c r="G5353" s="234"/>
      <c r="H5353" s="238"/>
      <c r="I5353" s="237"/>
    </row>
    <row r="5354" spans="1:9" s="232" customFormat="1" ht="17" customHeight="1">
      <c r="A5354" s="234"/>
      <c r="B5354" s="233"/>
      <c r="C5354" s="238"/>
      <c r="E5354" s="545"/>
      <c r="F5354" s="546"/>
      <c r="G5354" s="234"/>
      <c r="H5354" s="238"/>
      <c r="I5354" s="237"/>
    </row>
    <row r="5355" spans="1:9" s="232" customFormat="1" ht="17" customHeight="1">
      <c r="A5355" s="234"/>
      <c r="B5355" s="233"/>
      <c r="C5355" s="238"/>
      <c r="E5355" s="545"/>
      <c r="F5355" s="546"/>
      <c r="G5355" s="234"/>
      <c r="H5355" s="238"/>
      <c r="I5355" s="237"/>
    </row>
    <row r="5356" spans="1:9" s="232" customFormat="1" ht="17" customHeight="1">
      <c r="A5356" s="234"/>
      <c r="B5356" s="233"/>
      <c r="C5356" s="238"/>
      <c r="E5356" s="545"/>
      <c r="F5356" s="546"/>
      <c r="G5356" s="234"/>
      <c r="H5356" s="238"/>
      <c r="I5356" s="237"/>
    </row>
    <row r="5357" spans="1:9" s="232" customFormat="1" ht="17" customHeight="1">
      <c r="A5357" s="234"/>
      <c r="B5357" s="233"/>
      <c r="C5357" s="238"/>
      <c r="E5357" s="545"/>
      <c r="F5357" s="546"/>
      <c r="G5357" s="234"/>
      <c r="H5357" s="238"/>
      <c r="I5357" s="237"/>
    </row>
    <row r="5358" spans="1:9" s="232" customFormat="1" ht="17" customHeight="1">
      <c r="A5358" s="234"/>
      <c r="B5358" s="233"/>
      <c r="C5358" s="238"/>
      <c r="E5358" s="545"/>
      <c r="F5358" s="546"/>
      <c r="G5358" s="234"/>
      <c r="H5358" s="238"/>
      <c r="I5358" s="237"/>
    </row>
    <row r="5359" spans="1:9" s="232" customFormat="1" ht="17" customHeight="1">
      <c r="A5359" s="234"/>
      <c r="B5359" s="233"/>
      <c r="C5359" s="238"/>
      <c r="E5359" s="545"/>
      <c r="F5359" s="546"/>
      <c r="G5359" s="234"/>
      <c r="H5359" s="238"/>
      <c r="I5359" s="237"/>
    </row>
    <row r="5360" spans="1:9" s="232" customFormat="1" ht="17" customHeight="1">
      <c r="A5360" s="234"/>
      <c r="B5360" s="233"/>
      <c r="C5360" s="238"/>
      <c r="E5360" s="545"/>
      <c r="F5360" s="546"/>
      <c r="G5360" s="234"/>
      <c r="H5360" s="238"/>
      <c r="I5360" s="237"/>
    </row>
    <row r="5361" spans="1:9" s="232" customFormat="1" ht="17" customHeight="1">
      <c r="A5361" s="234"/>
      <c r="B5361" s="233"/>
      <c r="C5361" s="238"/>
      <c r="E5361" s="545"/>
      <c r="F5361" s="546"/>
      <c r="G5361" s="234"/>
      <c r="H5361" s="238"/>
      <c r="I5361" s="237"/>
    </row>
    <row r="5362" spans="1:9" s="232" customFormat="1" ht="17" customHeight="1">
      <c r="A5362" s="234"/>
      <c r="B5362" s="233"/>
      <c r="C5362" s="238"/>
      <c r="E5362" s="545"/>
      <c r="F5362" s="546"/>
      <c r="G5362" s="234"/>
      <c r="H5362" s="238"/>
      <c r="I5362" s="237"/>
    </row>
    <row r="5363" spans="1:9" s="232" customFormat="1" ht="17" customHeight="1">
      <c r="A5363" s="234"/>
      <c r="B5363" s="233"/>
      <c r="C5363" s="238"/>
      <c r="E5363" s="545"/>
      <c r="F5363" s="546"/>
      <c r="G5363" s="234"/>
      <c r="H5363" s="238"/>
      <c r="I5363" s="237"/>
    </row>
    <row r="5364" spans="1:9" s="232" customFormat="1" ht="17" customHeight="1">
      <c r="A5364" s="234"/>
      <c r="B5364" s="233"/>
      <c r="C5364" s="238"/>
      <c r="E5364" s="545"/>
      <c r="F5364" s="546"/>
      <c r="G5364" s="234"/>
      <c r="H5364" s="238"/>
      <c r="I5364" s="237"/>
    </row>
    <row r="5365" spans="1:9" s="232" customFormat="1" ht="17" customHeight="1">
      <c r="A5365" s="234"/>
      <c r="B5365" s="233"/>
      <c r="C5365" s="238"/>
      <c r="E5365" s="545"/>
      <c r="F5365" s="546"/>
      <c r="G5365" s="234"/>
      <c r="H5365" s="238"/>
      <c r="I5365" s="237"/>
    </row>
    <row r="5366" spans="1:9" s="232" customFormat="1" ht="17" customHeight="1">
      <c r="A5366" s="234"/>
      <c r="B5366" s="233"/>
      <c r="C5366" s="238"/>
      <c r="E5366" s="545"/>
      <c r="F5366" s="546"/>
      <c r="G5366" s="234"/>
      <c r="H5366" s="238"/>
      <c r="I5366" s="237"/>
    </row>
    <row r="5367" spans="1:9" s="232" customFormat="1" ht="17" customHeight="1">
      <c r="A5367" s="234"/>
      <c r="B5367" s="233"/>
      <c r="C5367" s="238"/>
      <c r="E5367" s="545"/>
      <c r="F5367" s="546"/>
      <c r="G5367" s="234"/>
      <c r="H5367" s="238"/>
      <c r="I5367" s="237"/>
    </row>
    <row r="5368" spans="1:9" s="232" customFormat="1" ht="17" customHeight="1">
      <c r="A5368" s="234"/>
      <c r="B5368" s="233"/>
      <c r="C5368" s="238"/>
      <c r="E5368" s="545"/>
      <c r="F5368" s="546"/>
      <c r="G5368" s="234"/>
      <c r="H5368" s="238"/>
      <c r="I5368" s="237"/>
    </row>
    <row r="5369" spans="1:9" s="232" customFormat="1" ht="17" customHeight="1">
      <c r="A5369" s="234"/>
      <c r="B5369" s="233"/>
      <c r="C5369" s="238"/>
      <c r="E5369" s="545"/>
      <c r="F5369" s="546"/>
      <c r="G5369" s="234"/>
      <c r="H5369" s="238"/>
      <c r="I5369" s="237"/>
    </row>
    <row r="5370" spans="1:9" s="232" customFormat="1" ht="17" customHeight="1">
      <c r="A5370" s="234"/>
      <c r="B5370" s="233"/>
      <c r="C5370" s="238"/>
      <c r="E5370" s="545"/>
      <c r="F5370" s="546"/>
      <c r="G5370" s="234"/>
      <c r="H5370" s="238"/>
      <c r="I5370" s="237"/>
    </row>
    <row r="5371" spans="1:9" s="232" customFormat="1" ht="17" customHeight="1">
      <c r="A5371" s="234"/>
      <c r="B5371" s="233"/>
      <c r="C5371" s="238"/>
      <c r="E5371" s="545"/>
      <c r="F5371" s="546"/>
      <c r="G5371" s="234"/>
      <c r="H5371" s="238"/>
      <c r="I5371" s="237"/>
    </row>
    <row r="5372" spans="1:9" s="232" customFormat="1" ht="17" customHeight="1">
      <c r="A5372" s="234"/>
      <c r="B5372" s="233"/>
      <c r="C5372" s="238"/>
      <c r="E5372" s="545"/>
      <c r="F5372" s="546"/>
      <c r="G5372" s="234"/>
      <c r="H5372" s="238"/>
      <c r="I5372" s="237"/>
    </row>
    <row r="5373" spans="1:9" s="232" customFormat="1" ht="17" customHeight="1">
      <c r="A5373" s="234"/>
      <c r="B5373" s="233"/>
      <c r="C5373" s="238"/>
      <c r="E5373" s="545"/>
      <c r="F5373" s="546"/>
      <c r="G5373" s="234"/>
      <c r="H5373" s="238"/>
      <c r="I5373" s="237"/>
    </row>
    <row r="5374" spans="1:9" s="232" customFormat="1" ht="17" customHeight="1">
      <c r="A5374" s="234"/>
      <c r="B5374" s="233"/>
      <c r="C5374" s="238"/>
      <c r="E5374" s="545"/>
      <c r="F5374" s="546"/>
      <c r="G5374" s="234"/>
      <c r="H5374" s="238"/>
      <c r="I5374" s="237"/>
    </row>
    <row r="5375" spans="1:9" s="232" customFormat="1" ht="17" customHeight="1">
      <c r="A5375" s="234"/>
      <c r="B5375" s="233"/>
      <c r="C5375" s="238"/>
      <c r="E5375" s="545"/>
      <c r="F5375" s="546"/>
      <c r="G5375" s="234"/>
      <c r="H5375" s="238"/>
      <c r="I5375" s="237"/>
    </row>
    <row r="5376" spans="1:9" s="232" customFormat="1" ht="17" customHeight="1">
      <c r="A5376" s="234"/>
      <c r="B5376" s="233"/>
      <c r="C5376" s="238"/>
      <c r="E5376" s="545"/>
      <c r="F5376" s="546"/>
      <c r="G5376" s="234"/>
      <c r="H5376" s="238"/>
      <c r="I5376" s="237"/>
    </row>
    <row r="5377" spans="1:9" s="232" customFormat="1" ht="17" customHeight="1">
      <c r="A5377" s="234"/>
      <c r="B5377" s="233"/>
      <c r="C5377" s="238"/>
      <c r="E5377" s="545"/>
      <c r="F5377" s="546"/>
      <c r="G5377" s="234"/>
      <c r="H5377" s="238"/>
      <c r="I5377" s="237"/>
    </row>
    <row r="5378" spans="1:9" s="232" customFormat="1" ht="17" customHeight="1">
      <c r="A5378" s="234"/>
      <c r="B5378" s="233"/>
      <c r="C5378" s="238"/>
      <c r="E5378" s="545"/>
      <c r="F5378" s="546"/>
      <c r="G5378" s="234"/>
      <c r="H5378" s="238"/>
      <c r="I5378" s="237"/>
    </row>
    <row r="5379" spans="1:9" s="232" customFormat="1" ht="17" customHeight="1">
      <c r="A5379" s="234"/>
      <c r="B5379" s="233"/>
      <c r="C5379" s="238"/>
      <c r="E5379" s="545"/>
      <c r="F5379" s="546"/>
      <c r="G5379" s="234"/>
      <c r="H5379" s="238"/>
      <c r="I5379" s="237"/>
    </row>
    <row r="5380" spans="1:9" s="232" customFormat="1" ht="17" customHeight="1">
      <c r="A5380" s="234"/>
      <c r="B5380" s="233"/>
      <c r="C5380" s="238"/>
      <c r="E5380" s="545"/>
      <c r="F5380" s="546"/>
      <c r="G5380" s="234"/>
      <c r="H5380" s="238"/>
      <c r="I5380" s="237"/>
    </row>
    <row r="5381" spans="1:9" s="232" customFormat="1" ht="17" customHeight="1">
      <c r="A5381" s="234"/>
      <c r="B5381" s="233"/>
      <c r="C5381" s="238"/>
      <c r="E5381" s="545"/>
      <c r="F5381" s="546"/>
      <c r="G5381" s="234"/>
      <c r="H5381" s="238"/>
      <c r="I5381" s="237"/>
    </row>
    <row r="5382" spans="1:9" s="232" customFormat="1" ht="17" customHeight="1">
      <c r="A5382" s="234"/>
      <c r="B5382" s="233"/>
      <c r="C5382" s="238"/>
      <c r="E5382" s="545"/>
      <c r="F5382" s="546"/>
      <c r="G5382" s="234"/>
      <c r="H5382" s="238"/>
      <c r="I5382" s="237"/>
    </row>
    <row r="5383" spans="1:9" s="232" customFormat="1" ht="17" customHeight="1">
      <c r="A5383" s="234"/>
      <c r="B5383" s="233"/>
      <c r="C5383" s="238"/>
      <c r="E5383" s="545"/>
      <c r="F5383" s="546"/>
      <c r="G5383" s="234"/>
      <c r="H5383" s="238"/>
      <c r="I5383" s="237"/>
    </row>
    <row r="5384" spans="1:9" s="232" customFormat="1" ht="17" customHeight="1">
      <c r="A5384" s="234"/>
      <c r="B5384" s="233"/>
      <c r="C5384" s="238"/>
      <c r="E5384" s="545"/>
      <c r="F5384" s="546"/>
      <c r="G5384" s="234"/>
      <c r="H5384" s="238"/>
      <c r="I5384" s="237"/>
    </row>
    <row r="5385" spans="1:9" s="232" customFormat="1" ht="17" customHeight="1">
      <c r="A5385" s="234"/>
      <c r="B5385" s="233"/>
      <c r="C5385" s="238"/>
      <c r="E5385" s="545"/>
      <c r="F5385" s="546"/>
      <c r="G5385" s="234"/>
      <c r="H5385" s="238"/>
      <c r="I5385" s="237"/>
    </row>
    <row r="5386" spans="1:9" s="232" customFormat="1" ht="17" customHeight="1">
      <c r="A5386" s="234"/>
      <c r="B5386" s="233"/>
      <c r="C5386" s="238"/>
      <c r="E5386" s="545"/>
      <c r="F5386" s="546"/>
      <c r="G5386" s="234"/>
      <c r="H5386" s="238"/>
      <c r="I5386" s="237"/>
    </row>
    <row r="5387" spans="1:9" s="232" customFormat="1" ht="17" customHeight="1">
      <c r="A5387" s="234"/>
      <c r="B5387" s="233"/>
      <c r="C5387" s="238"/>
      <c r="E5387" s="545"/>
      <c r="F5387" s="546"/>
      <c r="G5387" s="234"/>
      <c r="H5387" s="238"/>
      <c r="I5387" s="237"/>
    </row>
    <row r="5388" spans="1:9" s="232" customFormat="1" ht="17" customHeight="1">
      <c r="A5388" s="234"/>
      <c r="B5388" s="233"/>
      <c r="C5388" s="238"/>
      <c r="E5388" s="545"/>
      <c r="F5388" s="546"/>
      <c r="G5388" s="234"/>
      <c r="H5388" s="238"/>
      <c r="I5388" s="237"/>
    </row>
    <row r="5389" spans="1:9" s="232" customFormat="1" ht="17" customHeight="1">
      <c r="A5389" s="234"/>
      <c r="B5389" s="233"/>
      <c r="C5389" s="238"/>
      <c r="E5389" s="545"/>
      <c r="F5389" s="546"/>
      <c r="G5389" s="234"/>
      <c r="H5389" s="238"/>
      <c r="I5389" s="237"/>
    </row>
    <row r="5390" spans="1:9" s="232" customFormat="1" ht="17" customHeight="1">
      <c r="A5390" s="234"/>
      <c r="B5390" s="233"/>
      <c r="C5390" s="238"/>
      <c r="E5390" s="545"/>
      <c r="F5390" s="546"/>
      <c r="G5390" s="234"/>
      <c r="H5390" s="238"/>
      <c r="I5390" s="237"/>
    </row>
    <row r="5391" spans="1:9" s="232" customFormat="1" ht="17" customHeight="1">
      <c r="A5391" s="234"/>
      <c r="B5391" s="233"/>
      <c r="C5391" s="238"/>
      <c r="E5391" s="545"/>
      <c r="F5391" s="546"/>
      <c r="G5391" s="234"/>
      <c r="H5391" s="238"/>
      <c r="I5391" s="237"/>
    </row>
    <row r="5392" spans="1:9" s="232" customFormat="1" ht="17" customHeight="1">
      <c r="A5392" s="234"/>
      <c r="B5392" s="233"/>
      <c r="C5392" s="238"/>
      <c r="E5392" s="545"/>
      <c r="F5392" s="546"/>
      <c r="G5392" s="234"/>
      <c r="H5392" s="238"/>
      <c r="I5392" s="237"/>
    </row>
    <row r="5393" spans="1:9" s="232" customFormat="1" ht="17" customHeight="1">
      <c r="A5393" s="234"/>
      <c r="B5393" s="233"/>
      <c r="C5393" s="238"/>
      <c r="E5393" s="545"/>
      <c r="F5393" s="546"/>
      <c r="G5393" s="234"/>
      <c r="H5393" s="238"/>
      <c r="I5393" s="237"/>
    </row>
    <row r="5394" spans="1:9" s="232" customFormat="1" ht="17" customHeight="1">
      <c r="A5394" s="234"/>
      <c r="B5394" s="233"/>
      <c r="C5394" s="238"/>
      <c r="E5394" s="545"/>
      <c r="F5394" s="546"/>
      <c r="G5394" s="234"/>
      <c r="H5394" s="238"/>
      <c r="I5394" s="237"/>
    </row>
    <row r="5395" spans="1:9" s="232" customFormat="1" ht="17" customHeight="1">
      <c r="A5395" s="234"/>
      <c r="B5395" s="233"/>
      <c r="C5395" s="238"/>
      <c r="E5395" s="545"/>
      <c r="F5395" s="546"/>
      <c r="G5395" s="234"/>
      <c r="H5395" s="238"/>
      <c r="I5395" s="237"/>
    </row>
    <row r="5396" spans="1:9" s="232" customFormat="1" ht="17" customHeight="1">
      <c r="A5396" s="234"/>
      <c r="B5396" s="233"/>
      <c r="C5396" s="238"/>
      <c r="E5396" s="545"/>
      <c r="F5396" s="546"/>
      <c r="G5396" s="234"/>
      <c r="H5396" s="238"/>
      <c r="I5396" s="237"/>
    </row>
    <row r="5397" spans="1:9" s="232" customFormat="1" ht="17" customHeight="1">
      <c r="A5397" s="234"/>
      <c r="B5397" s="233"/>
      <c r="C5397" s="238"/>
      <c r="E5397" s="545"/>
      <c r="F5397" s="546"/>
      <c r="G5397" s="234"/>
      <c r="H5397" s="238"/>
      <c r="I5397" s="237"/>
    </row>
    <row r="5398" spans="1:9" s="232" customFormat="1" ht="17" customHeight="1">
      <c r="A5398" s="234"/>
      <c r="B5398" s="233"/>
      <c r="C5398" s="238"/>
      <c r="E5398" s="545"/>
      <c r="F5398" s="546"/>
      <c r="G5398" s="234"/>
      <c r="H5398" s="238"/>
      <c r="I5398" s="237"/>
    </row>
    <row r="5399" spans="1:9" s="232" customFormat="1" ht="17" customHeight="1">
      <c r="A5399" s="234"/>
      <c r="B5399" s="233"/>
      <c r="C5399" s="238"/>
      <c r="E5399" s="545"/>
      <c r="F5399" s="546"/>
      <c r="G5399" s="234"/>
      <c r="H5399" s="238"/>
      <c r="I5399" s="237"/>
    </row>
    <row r="5400" spans="1:9" s="232" customFormat="1" ht="17" customHeight="1">
      <c r="A5400" s="234"/>
      <c r="B5400" s="233"/>
      <c r="C5400" s="238"/>
      <c r="E5400" s="545"/>
      <c r="F5400" s="546"/>
      <c r="G5400" s="234"/>
      <c r="H5400" s="238"/>
      <c r="I5400" s="237"/>
    </row>
    <row r="5401" spans="1:9" s="232" customFormat="1" ht="17" customHeight="1">
      <c r="A5401" s="234"/>
      <c r="B5401" s="233"/>
      <c r="C5401" s="238"/>
      <c r="E5401" s="545"/>
      <c r="F5401" s="546"/>
      <c r="G5401" s="234"/>
      <c r="H5401" s="238"/>
      <c r="I5401" s="237"/>
    </row>
    <row r="5402" spans="1:9" s="232" customFormat="1" ht="17" customHeight="1">
      <c r="A5402" s="234"/>
      <c r="B5402" s="233"/>
      <c r="C5402" s="238"/>
      <c r="E5402" s="545"/>
      <c r="F5402" s="546"/>
      <c r="G5402" s="234"/>
      <c r="H5402" s="238"/>
      <c r="I5402" s="237"/>
    </row>
    <row r="5403" spans="1:9" s="232" customFormat="1" ht="17" customHeight="1">
      <c r="A5403" s="234"/>
      <c r="B5403" s="233"/>
      <c r="C5403" s="238"/>
      <c r="E5403" s="545"/>
      <c r="F5403" s="546"/>
      <c r="G5403" s="234"/>
      <c r="H5403" s="238"/>
      <c r="I5403" s="237"/>
    </row>
    <row r="5404" spans="1:9" s="232" customFormat="1" ht="17" customHeight="1">
      <c r="A5404" s="234"/>
      <c r="B5404" s="233"/>
      <c r="C5404" s="238"/>
      <c r="E5404" s="545"/>
      <c r="F5404" s="546"/>
      <c r="G5404" s="234"/>
      <c r="H5404" s="238"/>
      <c r="I5404" s="237"/>
    </row>
    <row r="5405" spans="1:9" s="232" customFormat="1" ht="17" customHeight="1">
      <c r="A5405" s="234"/>
      <c r="B5405" s="233"/>
      <c r="C5405" s="238"/>
      <c r="E5405" s="545"/>
      <c r="F5405" s="546"/>
      <c r="G5405" s="234"/>
      <c r="H5405" s="238"/>
      <c r="I5405" s="237"/>
    </row>
    <row r="5406" spans="1:9" s="232" customFormat="1" ht="17" customHeight="1">
      <c r="A5406" s="234"/>
      <c r="B5406" s="233"/>
      <c r="C5406" s="238"/>
      <c r="E5406" s="545"/>
      <c r="F5406" s="546"/>
      <c r="G5406" s="234"/>
      <c r="H5406" s="238"/>
      <c r="I5406" s="237"/>
    </row>
    <row r="5407" spans="1:9" s="232" customFormat="1" ht="17" customHeight="1">
      <c r="A5407" s="234"/>
      <c r="B5407" s="233"/>
      <c r="C5407" s="238"/>
      <c r="E5407" s="545"/>
      <c r="F5407" s="546"/>
      <c r="G5407" s="234"/>
      <c r="H5407" s="238"/>
      <c r="I5407" s="237"/>
    </row>
    <row r="5408" spans="1:9" s="232" customFormat="1" ht="17" customHeight="1">
      <c r="A5408" s="234"/>
      <c r="B5408" s="233"/>
      <c r="C5408" s="238"/>
      <c r="E5408" s="545"/>
      <c r="F5408" s="546"/>
      <c r="G5408" s="234"/>
      <c r="H5408" s="238"/>
      <c r="I5408" s="237"/>
    </row>
    <row r="5409" spans="1:9" s="232" customFormat="1" ht="17" customHeight="1">
      <c r="A5409" s="234"/>
      <c r="B5409" s="233"/>
      <c r="C5409" s="238"/>
      <c r="E5409" s="545"/>
      <c r="F5409" s="546"/>
      <c r="G5409" s="234"/>
      <c r="H5409" s="238"/>
      <c r="I5409" s="237"/>
    </row>
    <row r="5410" spans="1:9" s="232" customFormat="1" ht="17" customHeight="1">
      <c r="A5410" s="234"/>
      <c r="B5410" s="233"/>
      <c r="C5410" s="238"/>
      <c r="E5410" s="545"/>
      <c r="F5410" s="546"/>
      <c r="G5410" s="234"/>
      <c r="H5410" s="238"/>
      <c r="I5410" s="237"/>
    </row>
    <row r="5411" spans="1:9" s="232" customFormat="1" ht="17" customHeight="1">
      <c r="A5411" s="234"/>
      <c r="B5411" s="233"/>
      <c r="C5411" s="238"/>
      <c r="E5411" s="545"/>
      <c r="F5411" s="546"/>
      <c r="G5411" s="234"/>
      <c r="H5411" s="238"/>
      <c r="I5411" s="237"/>
    </row>
    <row r="5412" spans="1:9" s="232" customFormat="1" ht="17" customHeight="1">
      <c r="A5412" s="234"/>
      <c r="B5412" s="233"/>
      <c r="C5412" s="238"/>
      <c r="E5412" s="545"/>
      <c r="F5412" s="546"/>
      <c r="G5412" s="234"/>
      <c r="H5412" s="238"/>
      <c r="I5412" s="237"/>
    </row>
    <row r="5413" spans="1:9" s="232" customFormat="1" ht="17" customHeight="1">
      <c r="A5413" s="234"/>
      <c r="B5413" s="233"/>
      <c r="C5413" s="238"/>
      <c r="E5413" s="545"/>
      <c r="F5413" s="546"/>
      <c r="G5413" s="234"/>
      <c r="H5413" s="238"/>
      <c r="I5413" s="237"/>
    </row>
    <row r="5414" spans="1:9" s="232" customFormat="1" ht="17" customHeight="1">
      <c r="A5414" s="234"/>
      <c r="B5414" s="233"/>
      <c r="C5414" s="238"/>
      <c r="E5414" s="545"/>
      <c r="F5414" s="546"/>
      <c r="G5414" s="234"/>
      <c r="H5414" s="238"/>
      <c r="I5414" s="237"/>
    </row>
    <row r="5415" spans="1:9" s="232" customFormat="1" ht="17" customHeight="1">
      <c r="A5415" s="234"/>
      <c r="B5415" s="233"/>
      <c r="C5415" s="238"/>
      <c r="E5415" s="545"/>
      <c r="F5415" s="546"/>
      <c r="G5415" s="234"/>
      <c r="H5415" s="238"/>
      <c r="I5415" s="237"/>
    </row>
    <row r="5416" spans="1:9" s="232" customFormat="1" ht="17" customHeight="1">
      <c r="A5416" s="234"/>
      <c r="B5416" s="233"/>
      <c r="C5416" s="238"/>
      <c r="E5416" s="545"/>
      <c r="F5416" s="546"/>
      <c r="G5416" s="234"/>
      <c r="H5416" s="238"/>
      <c r="I5416" s="237"/>
    </row>
    <row r="5417" spans="1:9" s="232" customFormat="1" ht="17" customHeight="1">
      <c r="A5417" s="234"/>
      <c r="B5417" s="233"/>
      <c r="C5417" s="238"/>
      <c r="E5417" s="545"/>
      <c r="F5417" s="546"/>
      <c r="G5417" s="234"/>
      <c r="H5417" s="238"/>
      <c r="I5417" s="237"/>
    </row>
    <row r="5418" spans="1:9" s="232" customFormat="1" ht="17" customHeight="1">
      <c r="A5418" s="234"/>
      <c r="B5418" s="233"/>
      <c r="C5418" s="238"/>
      <c r="E5418" s="545"/>
      <c r="F5418" s="546"/>
      <c r="G5418" s="234"/>
      <c r="H5418" s="238"/>
      <c r="I5418" s="237"/>
    </row>
    <row r="5419" spans="1:9" s="232" customFormat="1" ht="17" customHeight="1">
      <c r="A5419" s="234"/>
      <c r="B5419" s="233"/>
      <c r="C5419" s="238"/>
      <c r="E5419" s="545"/>
      <c r="F5419" s="546"/>
      <c r="G5419" s="234"/>
      <c r="H5419" s="238"/>
      <c r="I5419" s="237"/>
    </row>
    <row r="5420" spans="1:9" s="232" customFormat="1" ht="17" customHeight="1">
      <c r="A5420" s="234"/>
      <c r="B5420" s="233"/>
      <c r="C5420" s="238"/>
      <c r="E5420" s="545"/>
      <c r="F5420" s="546"/>
      <c r="G5420" s="234"/>
      <c r="H5420" s="238"/>
      <c r="I5420" s="237"/>
    </row>
    <row r="5421" spans="1:9" s="232" customFormat="1" ht="17" customHeight="1">
      <c r="A5421" s="234"/>
      <c r="B5421" s="233"/>
      <c r="C5421" s="238"/>
      <c r="E5421" s="545"/>
      <c r="F5421" s="546"/>
      <c r="G5421" s="234"/>
      <c r="H5421" s="238"/>
      <c r="I5421" s="237"/>
    </row>
    <row r="5422" spans="1:9" s="232" customFormat="1" ht="17" customHeight="1">
      <c r="A5422" s="234"/>
      <c r="B5422" s="233"/>
      <c r="C5422" s="238"/>
      <c r="E5422" s="545"/>
      <c r="F5422" s="546"/>
      <c r="G5422" s="234"/>
      <c r="H5422" s="238"/>
      <c r="I5422" s="237"/>
    </row>
    <row r="5423" spans="1:9" s="232" customFormat="1" ht="17" customHeight="1">
      <c r="A5423" s="234"/>
      <c r="B5423" s="233"/>
      <c r="C5423" s="238"/>
      <c r="E5423" s="545"/>
      <c r="F5423" s="546"/>
      <c r="G5423" s="234"/>
      <c r="H5423" s="238"/>
      <c r="I5423" s="237"/>
    </row>
    <row r="5424" spans="1:9" s="232" customFormat="1" ht="17" customHeight="1">
      <c r="A5424" s="234"/>
      <c r="B5424" s="233"/>
      <c r="C5424" s="238"/>
      <c r="E5424" s="545"/>
      <c r="F5424" s="546"/>
      <c r="G5424" s="234"/>
      <c r="H5424" s="238"/>
      <c r="I5424" s="237"/>
    </row>
    <row r="5425" spans="1:9" s="232" customFormat="1" ht="17" customHeight="1">
      <c r="A5425" s="234"/>
      <c r="B5425" s="233"/>
      <c r="C5425" s="238"/>
      <c r="E5425" s="545"/>
      <c r="F5425" s="546"/>
      <c r="G5425" s="234"/>
      <c r="H5425" s="238"/>
      <c r="I5425" s="237"/>
    </row>
    <row r="5426" spans="1:9" s="232" customFormat="1" ht="17" customHeight="1">
      <c r="A5426" s="234"/>
      <c r="B5426" s="233"/>
      <c r="C5426" s="238"/>
      <c r="E5426" s="545"/>
      <c r="F5426" s="546"/>
      <c r="G5426" s="234"/>
      <c r="H5426" s="238"/>
      <c r="I5426" s="237"/>
    </row>
    <row r="5427" spans="1:9" s="232" customFormat="1" ht="17" customHeight="1">
      <c r="A5427" s="234"/>
      <c r="B5427" s="233"/>
      <c r="C5427" s="238"/>
      <c r="E5427" s="545"/>
      <c r="F5427" s="546"/>
      <c r="G5427" s="234"/>
      <c r="H5427" s="238"/>
      <c r="I5427" s="237"/>
    </row>
    <row r="5428" spans="1:9" s="232" customFormat="1" ht="17" customHeight="1">
      <c r="A5428" s="234"/>
      <c r="B5428" s="233"/>
      <c r="C5428" s="238"/>
      <c r="E5428" s="545"/>
      <c r="F5428" s="546"/>
      <c r="G5428" s="234"/>
      <c r="H5428" s="238"/>
      <c r="I5428" s="237"/>
    </row>
    <row r="5429" spans="1:9" s="232" customFormat="1" ht="17" customHeight="1">
      <c r="A5429" s="234"/>
      <c r="B5429" s="233"/>
      <c r="C5429" s="238"/>
      <c r="E5429" s="545"/>
      <c r="F5429" s="546"/>
      <c r="G5429" s="234"/>
      <c r="H5429" s="238"/>
      <c r="I5429" s="237"/>
    </row>
    <row r="5430" spans="1:9" s="232" customFormat="1" ht="17" customHeight="1">
      <c r="A5430" s="234"/>
      <c r="B5430" s="233"/>
      <c r="C5430" s="238"/>
      <c r="E5430" s="545"/>
      <c r="F5430" s="546"/>
      <c r="G5430" s="234"/>
      <c r="H5430" s="238"/>
      <c r="I5430" s="237"/>
    </row>
    <row r="5431" spans="1:9" s="232" customFormat="1" ht="17" customHeight="1">
      <c r="A5431" s="234"/>
      <c r="B5431" s="233"/>
      <c r="C5431" s="238"/>
      <c r="E5431" s="545"/>
      <c r="F5431" s="546"/>
      <c r="G5431" s="234"/>
      <c r="H5431" s="238"/>
      <c r="I5431" s="237"/>
    </row>
    <row r="5432" spans="1:9" s="232" customFormat="1" ht="17" customHeight="1">
      <c r="A5432" s="234"/>
      <c r="B5432" s="233"/>
      <c r="C5432" s="238"/>
      <c r="E5432" s="545"/>
      <c r="F5432" s="546"/>
      <c r="G5432" s="234"/>
      <c r="H5432" s="238"/>
      <c r="I5432" s="237"/>
    </row>
    <row r="5433" spans="1:9" s="232" customFormat="1" ht="17" customHeight="1">
      <c r="A5433" s="234"/>
      <c r="B5433" s="233"/>
      <c r="C5433" s="238"/>
      <c r="E5433" s="545"/>
      <c r="F5433" s="546"/>
      <c r="G5433" s="234"/>
      <c r="H5433" s="238"/>
      <c r="I5433" s="237"/>
    </row>
    <row r="5434" spans="1:9" s="232" customFormat="1" ht="17" customHeight="1">
      <c r="A5434" s="234"/>
      <c r="B5434" s="233"/>
      <c r="C5434" s="238"/>
      <c r="E5434" s="545"/>
      <c r="F5434" s="546"/>
      <c r="G5434" s="234"/>
      <c r="H5434" s="238"/>
      <c r="I5434" s="237"/>
    </row>
    <row r="5435" spans="1:9" s="232" customFormat="1" ht="17" customHeight="1">
      <c r="A5435" s="234"/>
      <c r="B5435" s="233"/>
      <c r="C5435" s="238"/>
      <c r="E5435" s="545"/>
      <c r="F5435" s="546"/>
      <c r="G5435" s="234"/>
      <c r="H5435" s="238"/>
      <c r="I5435" s="237"/>
    </row>
    <row r="5436" spans="1:9" s="232" customFormat="1" ht="17" customHeight="1">
      <c r="A5436" s="234"/>
      <c r="B5436" s="233"/>
      <c r="C5436" s="238"/>
      <c r="E5436" s="545"/>
      <c r="F5436" s="546"/>
      <c r="G5436" s="234"/>
      <c r="H5436" s="238"/>
      <c r="I5436" s="237"/>
    </row>
    <row r="5437" spans="1:9" s="232" customFormat="1" ht="17" customHeight="1">
      <c r="A5437" s="234"/>
      <c r="B5437" s="233"/>
      <c r="C5437" s="238"/>
      <c r="E5437" s="545"/>
      <c r="F5437" s="546"/>
      <c r="G5437" s="234"/>
      <c r="H5437" s="238"/>
      <c r="I5437" s="237"/>
    </row>
    <row r="5438" spans="1:9" s="232" customFormat="1" ht="17" customHeight="1">
      <c r="A5438" s="234"/>
      <c r="B5438" s="233"/>
      <c r="C5438" s="238"/>
      <c r="E5438" s="545"/>
      <c r="F5438" s="546"/>
      <c r="G5438" s="234"/>
      <c r="H5438" s="238"/>
      <c r="I5438" s="237"/>
    </row>
    <row r="5439" spans="1:9" s="232" customFormat="1" ht="17" customHeight="1">
      <c r="A5439" s="234"/>
      <c r="B5439" s="233"/>
      <c r="C5439" s="238"/>
      <c r="E5439" s="545"/>
      <c r="F5439" s="546"/>
      <c r="G5439" s="234"/>
      <c r="H5439" s="238"/>
      <c r="I5439" s="237"/>
    </row>
    <row r="5440" spans="1:9" s="232" customFormat="1" ht="17" customHeight="1">
      <c r="A5440" s="234"/>
      <c r="B5440" s="233"/>
      <c r="C5440" s="238"/>
      <c r="E5440" s="545"/>
      <c r="F5440" s="546"/>
      <c r="G5440" s="234"/>
      <c r="H5440" s="238"/>
      <c r="I5440" s="237"/>
    </row>
    <row r="5441" spans="1:9" s="232" customFormat="1" ht="17" customHeight="1">
      <c r="A5441" s="234"/>
      <c r="B5441" s="233"/>
      <c r="C5441" s="238"/>
      <c r="E5441" s="545"/>
      <c r="F5441" s="546"/>
      <c r="G5441" s="234"/>
      <c r="H5441" s="238"/>
      <c r="I5441" s="237"/>
    </row>
    <row r="5442" spans="1:9" s="232" customFormat="1" ht="17" customHeight="1">
      <c r="A5442" s="234"/>
      <c r="B5442" s="233"/>
      <c r="C5442" s="238"/>
      <c r="E5442" s="545"/>
      <c r="F5442" s="546"/>
      <c r="G5442" s="234"/>
      <c r="H5442" s="238"/>
      <c r="I5442" s="237"/>
    </row>
    <row r="5443" spans="1:9" s="232" customFormat="1" ht="17" customHeight="1">
      <c r="A5443" s="234"/>
      <c r="B5443" s="233"/>
      <c r="C5443" s="238"/>
      <c r="E5443" s="545"/>
      <c r="F5443" s="546"/>
      <c r="G5443" s="234"/>
      <c r="H5443" s="238"/>
      <c r="I5443" s="237"/>
    </row>
    <row r="5444" spans="1:9" s="232" customFormat="1" ht="17" customHeight="1">
      <c r="A5444" s="234"/>
      <c r="B5444" s="233"/>
      <c r="C5444" s="238"/>
      <c r="E5444" s="545"/>
      <c r="F5444" s="546"/>
      <c r="G5444" s="234"/>
      <c r="H5444" s="238"/>
      <c r="I5444" s="237"/>
    </row>
    <row r="5445" spans="1:9" s="232" customFormat="1" ht="17" customHeight="1">
      <c r="A5445" s="234"/>
      <c r="B5445" s="233"/>
      <c r="C5445" s="238"/>
      <c r="E5445" s="545"/>
      <c r="F5445" s="546"/>
      <c r="G5445" s="234"/>
      <c r="H5445" s="238"/>
      <c r="I5445" s="237"/>
    </row>
    <row r="5446" spans="1:9" s="232" customFormat="1" ht="17" customHeight="1">
      <c r="A5446" s="234"/>
      <c r="B5446" s="233"/>
      <c r="C5446" s="238"/>
      <c r="E5446" s="545"/>
      <c r="F5446" s="546"/>
      <c r="G5446" s="234"/>
      <c r="H5446" s="238"/>
      <c r="I5446" s="237"/>
    </row>
    <row r="5447" spans="1:9" s="232" customFormat="1" ht="17" customHeight="1">
      <c r="A5447" s="234"/>
      <c r="B5447" s="233"/>
      <c r="C5447" s="238"/>
      <c r="E5447" s="545"/>
      <c r="F5447" s="546"/>
      <c r="G5447" s="234"/>
      <c r="H5447" s="238"/>
      <c r="I5447" s="237"/>
    </row>
    <row r="5448" spans="1:9" s="232" customFormat="1" ht="17" customHeight="1">
      <c r="A5448" s="234"/>
      <c r="B5448" s="233"/>
      <c r="C5448" s="238"/>
      <c r="E5448" s="545"/>
      <c r="F5448" s="546"/>
      <c r="G5448" s="234"/>
      <c r="H5448" s="238"/>
      <c r="I5448" s="237"/>
    </row>
    <row r="5449" spans="1:9" s="232" customFormat="1" ht="17" customHeight="1">
      <c r="A5449" s="234"/>
      <c r="B5449" s="233"/>
      <c r="C5449" s="238"/>
      <c r="E5449" s="545"/>
      <c r="F5449" s="546"/>
      <c r="G5449" s="234"/>
      <c r="H5449" s="238"/>
      <c r="I5449" s="237"/>
    </row>
    <row r="5450" spans="1:9" s="232" customFormat="1" ht="17" customHeight="1">
      <c r="A5450" s="234"/>
      <c r="B5450" s="233"/>
      <c r="C5450" s="238"/>
      <c r="E5450" s="545"/>
      <c r="F5450" s="546"/>
      <c r="G5450" s="234"/>
      <c r="H5450" s="238"/>
      <c r="I5450" s="237"/>
    </row>
    <row r="5451" spans="1:9" s="232" customFormat="1" ht="17" customHeight="1">
      <c r="A5451" s="234"/>
      <c r="B5451" s="233"/>
      <c r="C5451" s="238"/>
      <c r="E5451" s="545"/>
      <c r="F5451" s="546"/>
      <c r="G5451" s="234"/>
      <c r="H5451" s="238"/>
      <c r="I5451" s="237"/>
    </row>
    <row r="5452" spans="1:9" s="232" customFormat="1" ht="17" customHeight="1">
      <c r="A5452" s="234"/>
      <c r="B5452" s="233"/>
      <c r="C5452" s="238"/>
      <c r="E5452" s="545"/>
      <c r="F5452" s="546"/>
      <c r="G5452" s="234"/>
      <c r="H5452" s="238"/>
      <c r="I5452" s="237"/>
    </row>
    <row r="5453" spans="1:9" s="232" customFormat="1" ht="17" customHeight="1">
      <c r="A5453" s="234"/>
      <c r="B5453" s="233"/>
      <c r="C5453" s="238"/>
      <c r="E5453" s="545"/>
      <c r="F5453" s="546"/>
      <c r="G5453" s="234"/>
      <c r="H5453" s="238"/>
      <c r="I5453" s="237"/>
    </row>
    <row r="5454" spans="1:9" s="232" customFormat="1" ht="17" customHeight="1">
      <c r="A5454" s="234"/>
      <c r="B5454" s="233"/>
      <c r="C5454" s="238"/>
      <c r="E5454" s="545"/>
      <c r="F5454" s="546"/>
      <c r="G5454" s="234"/>
      <c r="H5454" s="238"/>
      <c r="I5454" s="237"/>
    </row>
    <row r="5455" spans="1:9" s="232" customFormat="1" ht="17" customHeight="1">
      <c r="A5455" s="234"/>
      <c r="B5455" s="233"/>
      <c r="C5455" s="238"/>
      <c r="E5455" s="545"/>
      <c r="F5455" s="546"/>
      <c r="G5455" s="234"/>
      <c r="H5455" s="238"/>
      <c r="I5455" s="237"/>
    </row>
    <row r="5456" spans="1:9" s="232" customFormat="1" ht="17" customHeight="1">
      <c r="A5456" s="234"/>
      <c r="B5456" s="233"/>
      <c r="C5456" s="238"/>
      <c r="E5456" s="545"/>
      <c r="F5456" s="546"/>
      <c r="G5456" s="234"/>
      <c r="H5456" s="238"/>
      <c r="I5456" s="237"/>
    </row>
    <row r="5457" spans="1:9" s="232" customFormat="1" ht="17" customHeight="1">
      <c r="A5457" s="234"/>
      <c r="B5457" s="233"/>
      <c r="C5457" s="238"/>
      <c r="E5457" s="545"/>
      <c r="F5457" s="546"/>
      <c r="G5457" s="234"/>
      <c r="H5457" s="238"/>
      <c r="I5457" s="237"/>
    </row>
    <row r="5458" spans="1:9" s="232" customFormat="1" ht="17" customHeight="1">
      <c r="A5458" s="234"/>
      <c r="B5458" s="233"/>
      <c r="C5458" s="238"/>
      <c r="E5458" s="545"/>
      <c r="F5458" s="546"/>
      <c r="G5458" s="234"/>
      <c r="H5458" s="238"/>
      <c r="I5458" s="237"/>
    </row>
    <row r="5459" spans="1:9" s="232" customFormat="1" ht="17" customHeight="1">
      <c r="A5459" s="234"/>
      <c r="B5459" s="233"/>
      <c r="C5459" s="238"/>
      <c r="E5459" s="545"/>
      <c r="F5459" s="546"/>
      <c r="G5459" s="234"/>
      <c r="H5459" s="238"/>
      <c r="I5459" s="237"/>
    </row>
    <row r="5460" spans="1:9" s="232" customFormat="1" ht="17" customHeight="1">
      <c r="A5460" s="234"/>
      <c r="B5460" s="233"/>
      <c r="C5460" s="238"/>
      <c r="E5460" s="545"/>
      <c r="F5460" s="546"/>
      <c r="G5460" s="234"/>
      <c r="H5460" s="238"/>
      <c r="I5460" s="237"/>
    </row>
    <row r="5461" spans="1:9" s="232" customFormat="1" ht="17" customHeight="1">
      <c r="A5461" s="234"/>
      <c r="B5461" s="233"/>
      <c r="C5461" s="238"/>
      <c r="E5461" s="545"/>
      <c r="F5461" s="546"/>
      <c r="G5461" s="234"/>
      <c r="H5461" s="238"/>
      <c r="I5461" s="237"/>
    </row>
    <row r="5462" spans="1:9" s="232" customFormat="1" ht="17" customHeight="1">
      <c r="A5462" s="234"/>
      <c r="B5462" s="233"/>
      <c r="C5462" s="238"/>
      <c r="E5462" s="545"/>
      <c r="F5462" s="546"/>
      <c r="G5462" s="234"/>
      <c r="H5462" s="238"/>
      <c r="I5462" s="237"/>
    </row>
    <row r="5463" spans="1:9" s="232" customFormat="1" ht="17" customHeight="1">
      <c r="A5463" s="234"/>
      <c r="B5463" s="233"/>
      <c r="C5463" s="238"/>
      <c r="E5463" s="545"/>
      <c r="F5463" s="546"/>
      <c r="G5463" s="234"/>
      <c r="H5463" s="238"/>
      <c r="I5463" s="237"/>
    </row>
    <row r="5464" spans="1:9" s="232" customFormat="1" ht="17" customHeight="1">
      <c r="A5464" s="234"/>
      <c r="B5464" s="233"/>
      <c r="C5464" s="238"/>
      <c r="E5464" s="545"/>
      <c r="F5464" s="546"/>
      <c r="G5464" s="234"/>
      <c r="H5464" s="238"/>
      <c r="I5464" s="237"/>
    </row>
    <row r="5465" spans="1:9" s="232" customFormat="1" ht="17" customHeight="1">
      <c r="A5465" s="234"/>
      <c r="B5465" s="233"/>
      <c r="C5465" s="238"/>
      <c r="E5465" s="545"/>
      <c r="F5465" s="546"/>
      <c r="G5465" s="234"/>
      <c r="H5465" s="238"/>
      <c r="I5465" s="237"/>
    </row>
    <row r="5466" spans="1:9" s="232" customFormat="1" ht="17" customHeight="1">
      <c r="A5466" s="234"/>
      <c r="B5466" s="233"/>
      <c r="C5466" s="238"/>
      <c r="E5466" s="545"/>
      <c r="F5466" s="546"/>
      <c r="G5466" s="234"/>
      <c r="H5466" s="238"/>
      <c r="I5466" s="237"/>
    </row>
    <row r="5467" spans="1:9" s="232" customFormat="1" ht="17" customHeight="1">
      <c r="A5467" s="234"/>
      <c r="B5467" s="233"/>
      <c r="C5467" s="238"/>
      <c r="E5467" s="545"/>
      <c r="F5467" s="546"/>
      <c r="G5467" s="234"/>
      <c r="H5467" s="238"/>
      <c r="I5467" s="237"/>
    </row>
    <row r="5468" spans="1:9" s="232" customFormat="1" ht="17" customHeight="1">
      <c r="A5468" s="234"/>
      <c r="B5468" s="233"/>
      <c r="C5468" s="238"/>
      <c r="E5468" s="545"/>
      <c r="F5468" s="546"/>
      <c r="G5468" s="234"/>
      <c r="H5468" s="238"/>
      <c r="I5468" s="237"/>
    </row>
    <row r="5469" spans="1:9" s="232" customFormat="1" ht="17" customHeight="1">
      <c r="A5469" s="234"/>
      <c r="B5469" s="233"/>
      <c r="C5469" s="238"/>
      <c r="E5469" s="545"/>
      <c r="F5469" s="546"/>
      <c r="G5469" s="234"/>
      <c r="H5469" s="238"/>
      <c r="I5469" s="237"/>
    </row>
    <row r="5470" spans="1:9" s="232" customFormat="1" ht="17" customHeight="1">
      <c r="A5470" s="234"/>
      <c r="B5470" s="233"/>
      <c r="C5470" s="238"/>
      <c r="E5470" s="545"/>
      <c r="F5470" s="546"/>
      <c r="G5470" s="234"/>
      <c r="H5470" s="238"/>
      <c r="I5470" s="237"/>
    </row>
    <row r="5471" spans="1:9" s="232" customFormat="1" ht="17" customHeight="1">
      <c r="A5471" s="234"/>
      <c r="B5471" s="233"/>
      <c r="C5471" s="238"/>
      <c r="E5471" s="545"/>
      <c r="F5471" s="546"/>
      <c r="G5471" s="234"/>
      <c r="H5471" s="238"/>
      <c r="I5471" s="237"/>
    </row>
    <row r="5472" spans="1:9" s="232" customFormat="1" ht="17" customHeight="1">
      <c r="A5472" s="234"/>
      <c r="B5472" s="233"/>
      <c r="C5472" s="238"/>
      <c r="E5472" s="545"/>
      <c r="F5472" s="546"/>
      <c r="G5472" s="234"/>
      <c r="H5472" s="238"/>
      <c r="I5472" s="237"/>
    </row>
    <row r="5473" spans="1:9" s="232" customFormat="1" ht="17" customHeight="1">
      <c r="A5473" s="234"/>
      <c r="B5473" s="233"/>
      <c r="C5473" s="238"/>
      <c r="E5473" s="545"/>
      <c r="F5473" s="546"/>
      <c r="G5473" s="234"/>
      <c r="H5473" s="238"/>
      <c r="I5473" s="237"/>
    </row>
    <row r="5474" spans="1:9" s="232" customFormat="1" ht="17" customHeight="1">
      <c r="A5474" s="234"/>
      <c r="B5474" s="233"/>
      <c r="C5474" s="238"/>
      <c r="E5474" s="545"/>
      <c r="F5474" s="546"/>
      <c r="G5474" s="234"/>
      <c r="H5474" s="238"/>
      <c r="I5474" s="237"/>
    </row>
    <row r="5475" spans="1:9" s="232" customFormat="1" ht="17" customHeight="1">
      <c r="A5475" s="234"/>
      <c r="B5475" s="233"/>
      <c r="C5475" s="238"/>
      <c r="E5475" s="545"/>
      <c r="F5475" s="546"/>
      <c r="G5475" s="234"/>
      <c r="H5475" s="238"/>
      <c r="I5475" s="237"/>
    </row>
    <row r="5476" spans="1:9" s="232" customFormat="1" ht="17" customHeight="1">
      <c r="A5476" s="234"/>
      <c r="B5476" s="233"/>
      <c r="C5476" s="238"/>
      <c r="E5476" s="545"/>
      <c r="F5476" s="546"/>
      <c r="G5476" s="234"/>
      <c r="H5476" s="238"/>
      <c r="I5476" s="237"/>
    </row>
    <row r="5477" spans="1:9" s="232" customFormat="1" ht="17" customHeight="1">
      <c r="A5477" s="234"/>
      <c r="B5477" s="233"/>
      <c r="C5477" s="238"/>
      <c r="E5477" s="545"/>
      <c r="F5477" s="546"/>
      <c r="G5477" s="234"/>
      <c r="H5477" s="238"/>
      <c r="I5477" s="237"/>
    </row>
    <row r="5478" spans="1:9" s="232" customFormat="1" ht="17" customHeight="1">
      <c r="A5478" s="234"/>
      <c r="B5478" s="233"/>
      <c r="C5478" s="238"/>
      <c r="E5478" s="545"/>
      <c r="F5478" s="546"/>
      <c r="G5478" s="234"/>
      <c r="H5478" s="238"/>
      <c r="I5478" s="237"/>
    </row>
    <row r="5479" spans="1:9" s="232" customFormat="1" ht="17" customHeight="1">
      <c r="A5479" s="234"/>
      <c r="B5479" s="233"/>
      <c r="C5479" s="238"/>
      <c r="E5479" s="545"/>
      <c r="F5479" s="546"/>
      <c r="G5479" s="234"/>
      <c r="H5479" s="238"/>
      <c r="I5479" s="237"/>
    </row>
    <row r="5480" spans="1:9" s="232" customFormat="1" ht="17" customHeight="1">
      <c r="A5480" s="234"/>
      <c r="B5480" s="233"/>
      <c r="C5480" s="238"/>
      <c r="E5480" s="545"/>
      <c r="F5480" s="546"/>
      <c r="G5480" s="234"/>
      <c r="H5480" s="238"/>
      <c r="I5480" s="237"/>
    </row>
    <row r="5481" spans="1:9" s="232" customFormat="1" ht="17" customHeight="1">
      <c r="A5481" s="234"/>
      <c r="B5481" s="233"/>
      <c r="C5481" s="238"/>
      <c r="E5481" s="545"/>
      <c r="F5481" s="546"/>
      <c r="G5481" s="234"/>
      <c r="H5481" s="238"/>
      <c r="I5481" s="237"/>
    </row>
    <row r="5482" spans="1:9" s="232" customFormat="1" ht="17" customHeight="1">
      <c r="A5482" s="234"/>
      <c r="B5482" s="233"/>
      <c r="C5482" s="238"/>
      <c r="E5482" s="545"/>
      <c r="F5482" s="546"/>
      <c r="G5482" s="234"/>
      <c r="H5482" s="238"/>
      <c r="I5482" s="237"/>
    </row>
    <row r="5483" spans="1:9" s="232" customFormat="1" ht="17" customHeight="1">
      <c r="A5483" s="234"/>
      <c r="B5483" s="233"/>
      <c r="C5483" s="238"/>
      <c r="E5483" s="545"/>
      <c r="F5483" s="546"/>
      <c r="G5483" s="234"/>
      <c r="H5483" s="238"/>
      <c r="I5483" s="237"/>
    </row>
    <row r="5484" spans="1:9" s="232" customFormat="1" ht="17" customHeight="1">
      <c r="A5484" s="234"/>
      <c r="B5484" s="233"/>
      <c r="C5484" s="238"/>
      <c r="E5484" s="545"/>
      <c r="F5484" s="546"/>
      <c r="G5484" s="234"/>
      <c r="H5484" s="238"/>
      <c r="I5484" s="237"/>
    </row>
    <row r="5485" spans="1:9" s="232" customFormat="1" ht="17" customHeight="1">
      <c r="A5485" s="234"/>
      <c r="B5485" s="233"/>
      <c r="C5485" s="238"/>
      <c r="E5485" s="545"/>
      <c r="F5485" s="546"/>
      <c r="G5485" s="234"/>
      <c r="H5485" s="238"/>
      <c r="I5485" s="237"/>
    </row>
    <row r="5486" spans="1:9" s="232" customFormat="1" ht="17" customHeight="1">
      <c r="A5486" s="234"/>
      <c r="B5486" s="233"/>
      <c r="C5486" s="238"/>
      <c r="E5486" s="545"/>
      <c r="F5486" s="546"/>
      <c r="G5486" s="234"/>
      <c r="H5486" s="238"/>
      <c r="I5486" s="237"/>
    </row>
    <row r="5487" spans="1:9" s="232" customFormat="1" ht="17" customHeight="1">
      <c r="A5487" s="234"/>
      <c r="B5487" s="233"/>
      <c r="C5487" s="238"/>
      <c r="E5487" s="545"/>
      <c r="F5487" s="546"/>
      <c r="G5487" s="234"/>
      <c r="H5487" s="238"/>
      <c r="I5487" s="237"/>
    </row>
    <row r="5488" spans="1:9" s="232" customFormat="1" ht="17" customHeight="1">
      <c r="A5488" s="234"/>
      <c r="B5488" s="233"/>
      <c r="C5488" s="238"/>
      <c r="E5488" s="545"/>
      <c r="F5488" s="546"/>
      <c r="G5488" s="234"/>
      <c r="H5488" s="238"/>
      <c r="I5488" s="237"/>
    </row>
    <row r="5489" spans="1:9" s="232" customFormat="1" ht="17" customHeight="1">
      <c r="A5489" s="234"/>
      <c r="B5489" s="233"/>
      <c r="C5489" s="238"/>
      <c r="E5489" s="545"/>
      <c r="F5489" s="546"/>
      <c r="G5489" s="234"/>
      <c r="H5489" s="238"/>
      <c r="I5489" s="237"/>
    </row>
    <row r="5490" spans="1:9" s="232" customFormat="1" ht="17" customHeight="1">
      <c r="A5490" s="234"/>
      <c r="B5490" s="233"/>
      <c r="C5490" s="238"/>
      <c r="E5490" s="545"/>
      <c r="F5490" s="546"/>
      <c r="G5490" s="234"/>
      <c r="H5490" s="238"/>
      <c r="I5490" s="237"/>
    </row>
    <row r="5491" spans="1:9" s="232" customFormat="1" ht="17" customHeight="1">
      <c r="A5491" s="234"/>
      <c r="B5491" s="233"/>
      <c r="C5491" s="238"/>
      <c r="E5491" s="545"/>
      <c r="F5491" s="546"/>
      <c r="G5491" s="234"/>
      <c r="H5491" s="238"/>
      <c r="I5491" s="237"/>
    </row>
    <row r="5492" spans="1:9" s="232" customFormat="1" ht="17" customHeight="1">
      <c r="A5492" s="234"/>
      <c r="B5492" s="233"/>
      <c r="C5492" s="238"/>
      <c r="E5492" s="545"/>
      <c r="F5492" s="546"/>
      <c r="G5492" s="234"/>
      <c r="H5492" s="238"/>
      <c r="I5492" s="237"/>
    </row>
    <row r="5493" spans="1:9" s="232" customFormat="1" ht="17" customHeight="1">
      <c r="A5493" s="234"/>
      <c r="B5493" s="233"/>
      <c r="C5493" s="238"/>
      <c r="E5493" s="545"/>
      <c r="F5493" s="546"/>
      <c r="G5493" s="234"/>
      <c r="H5493" s="238"/>
      <c r="I5493" s="237"/>
    </row>
    <row r="5494" spans="1:9" s="232" customFormat="1" ht="17" customHeight="1">
      <c r="A5494" s="234"/>
      <c r="B5494" s="233"/>
      <c r="C5494" s="238"/>
      <c r="E5494" s="545"/>
      <c r="F5494" s="546"/>
      <c r="G5494" s="234"/>
      <c r="H5494" s="238"/>
      <c r="I5494" s="237"/>
    </row>
    <row r="5495" spans="1:9" s="232" customFormat="1" ht="17" customHeight="1">
      <c r="A5495" s="234"/>
      <c r="B5495" s="233"/>
      <c r="C5495" s="238"/>
      <c r="E5495" s="545"/>
      <c r="F5495" s="546"/>
      <c r="G5495" s="234"/>
      <c r="H5495" s="238"/>
      <c r="I5495" s="237"/>
    </row>
    <row r="5496" spans="1:9" s="232" customFormat="1" ht="17" customHeight="1">
      <c r="A5496" s="234"/>
      <c r="B5496" s="233"/>
      <c r="C5496" s="238"/>
      <c r="E5496" s="545"/>
      <c r="F5496" s="546"/>
      <c r="G5496" s="234"/>
      <c r="H5496" s="238"/>
      <c r="I5496" s="237"/>
    </row>
    <row r="5497" spans="1:9" s="232" customFormat="1" ht="17" customHeight="1">
      <c r="A5497" s="234"/>
      <c r="B5497" s="233"/>
      <c r="C5497" s="238"/>
      <c r="E5497" s="545"/>
      <c r="F5497" s="546"/>
      <c r="G5497" s="234"/>
      <c r="H5497" s="238"/>
      <c r="I5497" s="237"/>
    </row>
    <row r="5498" spans="1:9" s="232" customFormat="1" ht="17" customHeight="1">
      <c r="A5498" s="234"/>
      <c r="B5498" s="233"/>
      <c r="C5498" s="238"/>
      <c r="E5498" s="545"/>
      <c r="F5498" s="546"/>
      <c r="G5498" s="234"/>
      <c r="H5498" s="238"/>
      <c r="I5498" s="237"/>
    </row>
    <row r="5499" spans="1:9" s="232" customFormat="1" ht="17" customHeight="1">
      <c r="A5499" s="234"/>
      <c r="B5499" s="233"/>
      <c r="C5499" s="238"/>
      <c r="E5499" s="545"/>
      <c r="F5499" s="546"/>
      <c r="G5499" s="234"/>
      <c r="H5499" s="238"/>
      <c r="I5499" s="237"/>
    </row>
    <row r="5500" spans="1:9" s="232" customFormat="1" ht="17" customHeight="1">
      <c r="A5500" s="234"/>
      <c r="B5500" s="233"/>
      <c r="C5500" s="238"/>
      <c r="E5500" s="545"/>
      <c r="F5500" s="546"/>
      <c r="G5500" s="234"/>
      <c r="H5500" s="238"/>
      <c r="I5500" s="237"/>
    </row>
    <row r="5501" spans="1:9" s="232" customFormat="1" ht="17" customHeight="1">
      <c r="A5501" s="234"/>
      <c r="B5501" s="233"/>
      <c r="C5501" s="238"/>
      <c r="E5501" s="545"/>
      <c r="F5501" s="546"/>
      <c r="G5501" s="234"/>
      <c r="H5501" s="238"/>
      <c r="I5501" s="237"/>
    </row>
    <row r="5502" spans="1:9" s="232" customFormat="1" ht="17" customHeight="1">
      <c r="A5502" s="234"/>
      <c r="B5502" s="233"/>
      <c r="C5502" s="238"/>
      <c r="E5502" s="545"/>
      <c r="F5502" s="546"/>
      <c r="G5502" s="234"/>
      <c r="H5502" s="238"/>
      <c r="I5502" s="237"/>
    </row>
    <row r="5503" spans="1:9" s="232" customFormat="1" ht="17" customHeight="1">
      <c r="A5503" s="234"/>
      <c r="B5503" s="233"/>
      <c r="C5503" s="238"/>
      <c r="E5503" s="545"/>
      <c r="F5503" s="546"/>
      <c r="G5503" s="234"/>
      <c r="H5503" s="238"/>
      <c r="I5503" s="237"/>
    </row>
    <row r="5504" spans="1:9" s="232" customFormat="1" ht="17" customHeight="1">
      <c r="A5504" s="234"/>
      <c r="B5504" s="233"/>
      <c r="C5504" s="238"/>
      <c r="E5504" s="545"/>
      <c r="F5504" s="546"/>
      <c r="G5504" s="234"/>
      <c r="H5504" s="238"/>
      <c r="I5504" s="237"/>
    </row>
    <row r="5505" spans="1:9" s="232" customFormat="1" ht="17" customHeight="1">
      <c r="A5505" s="234"/>
      <c r="B5505" s="233"/>
      <c r="C5505" s="238"/>
      <c r="E5505" s="545"/>
      <c r="F5505" s="546"/>
      <c r="G5505" s="234"/>
      <c r="H5505" s="238"/>
      <c r="I5505" s="237"/>
    </row>
    <row r="5506" spans="1:9" s="232" customFormat="1" ht="17" customHeight="1">
      <c r="A5506" s="234"/>
      <c r="B5506" s="233"/>
      <c r="C5506" s="238"/>
      <c r="E5506" s="545"/>
      <c r="F5506" s="546"/>
      <c r="G5506" s="234"/>
      <c r="H5506" s="238"/>
      <c r="I5506" s="237"/>
    </row>
    <row r="5507" spans="1:9" s="232" customFormat="1" ht="17" customHeight="1">
      <c r="A5507" s="234"/>
      <c r="B5507" s="233"/>
      <c r="C5507" s="238"/>
      <c r="E5507" s="545"/>
      <c r="F5507" s="546"/>
      <c r="G5507" s="234"/>
      <c r="H5507" s="238"/>
      <c r="I5507" s="237"/>
    </row>
    <row r="5508" spans="1:9" s="232" customFormat="1" ht="17" customHeight="1">
      <c r="A5508" s="234"/>
      <c r="B5508" s="233"/>
      <c r="C5508" s="238"/>
      <c r="E5508" s="545"/>
      <c r="F5508" s="546"/>
      <c r="G5508" s="234"/>
      <c r="H5508" s="238"/>
      <c r="I5508" s="237"/>
    </row>
    <row r="5509" spans="1:9" s="232" customFormat="1" ht="17" customHeight="1">
      <c r="A5509" s="234"/>
      <c r="B5509" s="233"/>
      <c r="C5509" s="238"/>
      <c r="E5509" s="545"/>
      <c r="F5509" s="546"/>
      <c r="G5509" s="234"/>
      <c r="H5509" s="238"/>
      <c r="I5509" s="237"/>
    </row>
    <row r="5510" spans="1:9" s="232" customFormat="1" ht="17" customHeight="1">
      <c r="A5510" s="234"/>
      <c r="B5510" s="233"/>
      <c r="C5510" s="238"/>
      <c r="E5510" s="545"/>
      <c r="F5510" s="546"/>
      <c r="G5510" s="234"/>
      <c r="H5510" s="238"/>
      <c r="I5510" s="237"/>
    </row>
    <row r="5511" spans="1:9" s="232" customFormat="1" ht="17" customHeight="1">
      <c r="A5511" s="234"/>
      <c r="B5511" s="233"/>
      <c r="C5511" s="238"/>
      <c r="E5511" s="545"/>
      <c r="F5511" s="546"/>
      <c r="G5511" s="234"/>
      <c r="H5511" s="238"/>
      <c r="I5511" s="237"/>
    </row>
    <row r="5512" spans="1:9" s="232" customFormat="1" ht="17" customHeight="1">
      <c r="A5512" s="234"/>
      <c r="B5512" s="233"/>
      <c r="C5512" s="238"/>
      <c r="E5512" s="545"/>
      <c r="F5512" s="546"/>
      <c r="G5512" s="234"/>
      <c r="H5512" s="238"/>
      <c r="I5512" s="237"/>
    </row>
    <row r="5513" spans="1:9" s="232" customFormat="1" ht="17" customHeight="1">
      <c r="A5513" s="234"/>
      <c r="B5513" s="233"/>
      <c r="C5513" s="238"/>
      <c r="E5513" s="545"/>
      <c r="F5513" s="546"/>
      <c r="G5513" s="234"/>
      <c r="H5513" s="238"/>
      <c r="I5513" s="237"/>
    </row>
    <row r="5514" spans="1:9" s="232" customFormat="1" ht="17" customHeight="1">
      <c r="A5514" s="234"/>
      <c r="B5514" s="233"/>
      <c r="C5514" s="238"/>
      <c r="E5514" s="545"/>
      <c r="F5514" s="546"/>
      <c r="G5514" s="234"/>
      <c r="H5514" s="238"/>
      <c r="I5514" s="237"/>
    </row>
    <row r="5515" spans="1:9" s="232" customFormat="1" ht="17" customHeight="1">
      <c r="A5515" s="234"/>
      <c r="B5515" s="233"/>
      <c r="C5515" s="238"/>
      <c r="E5515" s="545"/>
      <c r="F5515" s="546"/>
      <c r="G5515" s="234"/>
      <c r="H5515" s="238"/>
      <c r="I5515" s="237"/>
    </row>
    <row r="5516" spans="1:9" s="232" customFormat="1" ht="17" customHeight="1">
      <c r="A5516" s="234"/>
      <c r="B5516" s="233"/>
      <c r="C5516" s="238"/>
      <c r="E5516" s="545"/>
      <c r="F5516" s="546"/>
      <c r="G5516" s="234"/>
      <c r="H5516" s="238"/>
      <c r="I5516" s="237"/>
    </row>
    <row r="5517" spans="1:9" s="232" customFormat="1" ht="17" customHeight="1">
      <c r="A5517" s="234"/>
      <c r="B5517" s="233"/>
      <c r="C5517" s="238"/>
      <c r="E5517" s="545"/>
      <c r="F5517" s="546"/>
      <c r="G5517" s="234"/>
      <c r="H5517" s="238"/>
      <c r="I5517" s="237"/>
    </row>
    <row r="5518" spans="1:9" s="232" customFormat="1" ht="17" customHeight="1">
      <c r="A5518" s="234"/>
      <c r="B5518" s="233"/>
      <c r="C5518" s="238"/>
      <c r="E5518" s="545"/>
      <c r="F5518" s="546"/>
      <c r="G5518" s="234"/>
      <c r="H5518" s="238"/>
      <c r="I5518" s="237"/>
    </row>
    <row r="5519" spans="1:9" s="232" customFormat="1" ht="17" customHeight="1">
      <c r="A5519" s="234"/>
      <c r="B5519" s="233"/>
      <c r="C5519" s="238"/>
      <c r="E5519" s="545"/>
      <c r="F5519" s="546"/>
      <c r="G5519" s="234"/>
      <c r="H5519" s="238"/>
      <c r="I5519" s="237"/>
    </row>
    <row r="5520" spans="1:9" s="232" customFormat="1" ht="17" customHeight="1">
      <c r="A5520" s="234"/>
      <c r="B5520" s="233"/>
      <c r="C5520" s="238"/>
      <c r="E5520" s="545"/>
      <c r="F5520" s="546"/>
      <c r="G5520" s="234"/>
      <c r="H5520" s="238"/>
      <c r="I5520" s="237"/>
    </row>
    <row r="5521" spans="1:9" s="232" customFormat="1" ht="17" customHeight="1">
      <c r="A5521" s="234"/>
      <c r="B5521" s="233"/>
      <c r="C5521" s="238"/>
      <c r="E5521" s="545"/>
      <c r="F5521" s="546"/>
      <c r="G5521" s="234"/>
      <c r="H5521" s="238"/>
      <c r="I5521" s="237"/>
    </row>
    <row r="5522" spans="1:9" s="232" customFormat="1" ht="17" customHeight="1">
      <c r="A5522" s="234"/>
      <c r="B5522" s="233"/>
      <c r="C5522" s="238"/>
      <c r="E5522" s="545"/>
      <c r="F5522" s="546"/>
      <c r="G5522" s="234"/>
      <c r="H5522" s="238"/>
      <c r="I5522" s="237"/>
    </row>
    <row r="5523" spans="1:9" s="232" customFormat="1" ht="17" customHeight="1">
      <c r="A5523" s="234"/>
      <c r="B5523" s="233"/>
      <c r="C5523" s="238"/>
      <c r="E5523" s="545"/>
      <c r="F5523" s="546"/>
      <c r="G5523" s="234"/>
      <c r="H5523" s="238"/>
      <c r="I5523" s="237"/>
    </row>
    <row r="5524" spans="1:9" s="232" customFormat="1" ht="17" customHeight="1">
      <c r="A5524" s="234"/>
      <c r="B5524" s="233"/>
      <c r="C5524" s="238"/>
      <c r="E5524" s="545"/>
      <c r="F5524" s="546"/>
      <c r="G5524" s="234"/>
      <c r="H5524" s="238"/>
      <c r="I5524" s="237"/>
    </row>
    <row r="5525" spans="1:9" s="232" customFormat="1" ht="17" customHeight="1">
      <c r="A5525" s="234"/>
      <c r="B5525" s="233"/>
      <c r="C5525" s="238"/>
      <c r="E5525" s="545"/>
      <c r="F5525" s="546"/>
      <c r="G5525" s="234"/>
      <c r="H5525" s="238"/>
      <c r="I5525" s="237"/>
    </row>
    <row r="5526" spans="1:9" s="232" customFormat="1" ht="17" customHeight="1">
      <c r="A5526" s="234"/>
      <c r="B5526" s="233"/>
      <c r="C5526" s="238"/>
      <c r="E5526" s="545"/>
      <c r="F5526" s="546"/>
      <c r="G5526" s="234"/>
      <c r="H5526" s="238"/>
      <c r="I5526" s="237"/>
    </row>
    <row r="5527" spans="1:9" s="232" customFormat="1" ht="17" customHeight="1">
      <c r="A5527" s="234"/>
      <c r="B5527" s="233"/>
      <c r="C5527" s="238"/>
      <c r="E5527" s="545"/>
      <c r="F5527" s="546"/>
      <c r="G5527" s="234"/>
      <c r="H5527" s="238"/>
      <c r="I5527" s="237"/>
    </row>
    <row r="5528" spans="1:9" s="232" customFormat="1" ht="17" customHeight="1">
      <c r="A5528" s="234"/>
      <c r="B5528" s="233"/>
      <c r="C5528" s="238"/>
      <c r="E5528" s="545"/>
      <c r="F5528" s="546"/>
      <c r="G5528" s="234"/>
      <c r="H5528" s="238"/>
      <c r="I5528" s="237"/>
    </row>
    <row r="5529" spans="1:9" s="232" customFormat="1" ht="17" customHeight="1">
      <c r="A5529" s="234"/>
      <c r="B5529" s="233"/>
      <c r="C5529" s="238"/>
      <c r="E5529" s="545"/>
      <c r="F5529" s="546"/>
      <c r="G5529" s="234"/>
      <c r="H5529" s="238"/>
      <c r="I5529" s="237"/>
    </row>
    <row r="5530" spans="1:9" s="232" customFormat="1" ht="17" customHeight="1">
      <c r="A5530" s="234"/>
      <c r="B5530" s="233"/>
      <c r="C5530" s="238"/>
      <c r="E5530" s="545"/>
      <c r="F5530" s="546"/>
      <c r="G5530" s="234"/>
      <c r="H5530" s="238"/>
      <c r="I5530" s="237"/>
    </row>
    <row r="5531" spans="1:9" s="232" customFormat="1" ht="17" customHeight="1">
      <c r="A5531" s="234"/>
      <c r="B5531" s="233"/>
      <c r="C5531" s="238"/>
      <c r="E5531" s="545"/>
      <c r="F5531" s="546"/>
      <c r="G5531" s="234"/>
      <c r="H5531" s="238"/>
      <c r="I5531" s="237"/>
    </row>
    <row r="5532" spans="1:9" s="232" customFormat="1" ht="17" customHeight="1">
      <c r="A5532" s="234"/>
      <c r="B5532" s="233"/>
      <c r="C5532" s="238"/>
      <c r="E5532" s="545"/>
      <c r="F5532" s="546"/>
      <c r="G5532" s="234"/>
      <c r="H5532" s="238"/>
      <c r="I5532" s="237"/>
    </row>
    <row r="5533" spans="1:9" s="232" customFormat="1" ht="17" customHeight="1">
      <c r="A5533" s="234"/>
      <c r="B5533" s="233"/>
      <c r="C5533" s="238"/>
      <c r="E5533" s="545"/>
      <c r="F5533" s="546"/>
      <c r="G5533" s="234"/>
      <c r="H5533" s="238"/>
      <c r="I5533" s="237"/>
    </row>
    <row r="5534" spans="1:9" s="232" customFormat="1" ht="17" customHeight="1">
      <c r="A5534" s="234"/>
      <c r="B5534" s="233"/>
      <c r="C5534" s="238"/>
      <c r="E5534" s="545"/>
      <c r="F5534" s="546"/>
      <c r="G5534" s="234"/>
      <c r="H5534" s="238"/>
      <c r="I5534" s="237"/>
    </row>
    <row r="5535" spans="1:9" s="232" customFormat="1" ht="17" customHeight="1">
      <c r="A5535" s="234"/>
      <c r="B5535" s="233"/>
      <c r="C5535" s="238"/>
      <c r="E5535" s="545"/>
      <c r="F5535" s="546"/>
      <c r="G5535" s="234"/>
      <c r="H5535" s="238"/>
      <c r="I5535" s="237"/>
    </row>
    <row r="5536" spans="1:9" s="232" customFormat="1" ht="17" customHeight="1">
      <c r="A5536" s="234"/>
      <c r="B5536" s="233"/>
      <c r="C5536" s="238"/>
      <c r="E5536" s="545"/>
      <c r="F5536" s="546"/>
      <c r="G5536" s="234"/>
      <c r="H5536" s="238"/>
      <c r="I5536" s="237"/>
    </row>
    <row r="5537" spans="1:9" s="232" customFormat="1" ht="17" customHeight="1">
      <c r="A5537" s="234"/>
      <c r="B5537" s="233"/>
      <c r="C5537" s="238"/>
      <c r="E5537" s="545"/>
      <c r="F5537" s="546"/>
      <c r="G5537" s="234"/>
      <c r="H5537" s="238"/>
      <c r="I5537" s="237"/>
    </row>
    <row r="5538" spans="1:9" s="232" customFormat="1" ht="17" customHeight="1">
      <c r="A5538" s="234"/>
      <c r="B5538" s="233"/>
      <c r="C5538" s="238"/>
      <c r="E5538" s="545"/>
      <c r="F5538" s="546"/>
      <c r="G5538" s="234"/>
      <c r="H5538" s="238"/>
      <c r="I5538" s="237"/>
    </row>
    <row r="5539" spans="1:9" s="232" customFormat="1" ht="17" customHeight="1">
      <c r="A5539" s="234"/>
      <c r="B5539" s="233"/>
      <c r="C5539" s="238"/>
      <c r="E5539" s="545"/>
      <c r="F5539" s="546"/>
      <c r="G5539" s="234"/>
      <c r="H5539" s="238"/>
      <c r="I5539" s="237"/>
    </row>
    <row r="5540" spans="1:9" s="232" customFormat="1" ht="17" customHeight="1">
      <c r="A5540" s="234"/>
      <c r="B5540" s="233"/>
      <c r="C5540" s="238"/>
      <c r="E5540" s="545"/>
      <c r="F5540" s="546"/>
      <c r="G5540" s="234"/>
      <c r="H5540" s="238"/>
      <c r="I5540" s="237"/>
    </row>
    <row r="5541" spans="1:9" s="232" customFormat="1" ht="17" customHeight="1">
      <c r="A5541" s="234"/>
      <c r="B5541" s="233"/>
      <c r="C5541" s="238"/>
      <c r="E5541" s="545"/>
      <c r="F5541" s="546"/>
      <c r="G5541" s="234"/>
      <c r="H5541" s="238"/>
      <c r="I5541" s="237"/>
    </row>
    <row r="5542" spans="1:9" s="232" customFormat="1" ht="17" customHeight="1">
      <c r="A5542" s="234"/>
      <c r="B5542" s="233"/>
      <c r="C5542" s="238"/>
      <c r="E5542" s="545"/>
      <c r="F5542" s="546"/>
      <c r="G5542" s="234"/>
      <c r="H5542" s="238"/>
      <c r="I5542" s="237"/>
    </row>
    <row r="5543" spans="1:9" s="232" customFormat="1" ht="17" customHeight="1">
      <c r="A5543" s="234"/>
      <c r="B5543" s="233"/>
      <c r="C5543" s="238"/>
      <c r="E5543" s="545"/>
      <c r="F5543" s="546"/>
      <c r="G5543" s="234"/>
      <c r="H5543" s="238"/>
      <c r="I5543" s="237"/>
    </row>
    <row r="5544" spans="1:9" s="232" customFormat="1" ht="17" customHeight="1">
      <c r="A5544" s="234"/>
      <c r="B5544" s="233"/>
      <c r="C5544" s="238"/>
      <c r="E5544" s="545"/>
      <c r="F5544" s="546"/>
      <c r="G5544" s="234"/>
      <c r="H5544" s="238"/>
      <c r="I5544" s="237"/>
    </row>
    <row r="5545" spans="1:9" s="232" customFormat="1" ht="17" customHeight="1">
      <c r="A5545" s="234"/>
      <c r="B5545" s="233"/>
      <c r="C5545" s="238"/>
      <c r="E5545" s="545"/>
      <c r="F5545" s="546"/>
      <c r="G5545" s="234"/>
      <c r="H5545" s="238"/>
      <c r="I5545" s="237"/>
    </row>
    <row r="5546" spans="1:9" s="232" customFormat="1" ht="17" customHeight="1">
      <c r="A5546" s="234"/>
      <c r="B5546" s="233"/>
      <c r="C5546" s="238"/>
      <c r="E5546" s="545"/>
      <c r="F5546" s="546"/>
      <c r="G5546" s="234"/>
      <c r="H5546" s="238"/>
      <c r="I5546" s="237"/>
    </row>
    <row r="5547" spans="1:9" s="232" customFormat="1" ht="17" customHeight="1">
      <c r="A5547" s="234"/>
      <c r="B5547" s="233"/>
      <c r="C5547" s="238"/>
      <c r="E5547" s="545"/>
      <c r="F5547" s="546"/>
      <c r="G5547" s="234"/>
      <c r="H5547" s="238"/>
      <c r="I5547" s="237"/>
    </row>
    <row r="5548" spans="1:9" s="232" customFormat="1" ht="17" customHeight="1">
      <c r="A5548" s="234"/>
      <c r="B5548" s="233"/>
      <c r="C5548" s="238"/>
      <c r="E5548" s="545"/>
      <c r="F5548" s="546"/>
      <c r="G5548" s="234"/>
      <c r="H5548" s="238"/>
      <c r="I5548" s="237"/>
    </row>
    <row r="5549" spans="1:9" s="232" customFormat="1" ht="17" customHeight="1">
      <c r="A5549" s="234"/>
      <c r="B5549" s="233"/>
      <c r="C5549" s="238"/>
      <c r="E5549" s="545"/>
      <c r="F5549" s="546"/>
      <c r="G5549" s="234"/>
      <c r="H5549" s="238"/>
      <c r="I5549" s="237"/>
    </row>
    <row r="5550" spans="1:9" s="232" customFormat="1" ht="17" customHeight="1">
      <c r="A5550" s="234"/>
      <c r="B5550" s="233"/>
      <c r="C5550" s="238"/>
      <c r="E5550" s="545"/>
      <c r="F5550" s="546"/>
      <c r="G5550" s="234"/>
      <c r="H5550" s="238"/>
      <c r="I5550" s="237"/>
    </row>
    <row r="5551" spans="1:9" s="232" customFormat="1" ht="17" customHeight="1">
      <c r="A5551" s="234"/>
      <c r="B5551" s="233"/>
      <c r="C5551" s="238"/>
      <c r="E5551" s="545"/>
      <c r="F5551" s="546"/>
      <c r="G5551" s="234"/>
      <c r="H5551" s="238"/>
      <c r="I5551" s="237"/>
    </row>
    <row r="5552" spans="1:9" s="232" customFormat="1" ht="17" customHeight="1">
      <c r="A5552" s="234"/>
      <c r="B5552" s="233"/>
      <c r="C5552" s="238"/>
      <c r="E5552" s="545"/>
      <c r="F5552" s="546"/>
      <c r="G5552" s="234"/>
      <c r="H5552" s="238"/>
      <c r="I5552" s="237"/>
    </row>
    <row r="5553" spans="1:9" s="232" customFormat="1" ht="17" customHeight="1">
      <c r="A5553" s="234"/>
      <c r="B5553" s="233"/>
      <c r="C5553" s="238"/>
      <c r="E5553" s="545"/>
      <c r="F5553" s="546"/>
      <c r="G5553" s="234"/>
      <c r="H5553" s="238"/>
      <c r="I5553" s="237"/>
    </row>
    <row r="5554" spans="1:9" s="232" customFormat="1" ht="17" customHeight="1">
      <c r="A5554" s="234"/>
      <c r="B5554" s="233"/>
      <c r="C5554" s="238"/>
      <c r="E5554" s="545"/>
      <c r="F5554" s="546"/>
      <c r="G5554" s="234"/>
      <c r="H5554" s="238"/>
      <c r="I5554" s="237"/>
    </row>
    <row r="5555" spans="1:9" s="232" customFormat="1" ht="17" customHeight="1">
      <c r="A5555" s="234"/>
      <c r="B5555" s="233"/>
      <c r="C5555" s="238"/>
      <c r="E5555" s="545"/>
      <c r="F5555" s="546"/>
      <c r="G5555" s="234"/>
      <c r="H5555" s="238"/>
      <c r="I5555" s="237"/>
    </row>
    <row r="5556" spans="1:9" s="232" customFormat="1" ht="17" customHeight="1">
      <c r="A5556" s="234"/>
      <c r="B5556" s="233"/>
      <c r="C5556" s="238"/>
      <c r="E5556" s="545"/>
      <c r="F5556" s="546"/>
      <c r="G5556" s="234"/>
      <c r="H5556" s="238"/>
      <c r="I5556" s="237"/>
    </row>
    <row r="5557" spans="1:9" s="232" customFormat="1" ht="17" customHeight="1">
      <c r="A5557" s="234"/>
      <c r="B5557" s="233"/>
      <c r="C5557" s="238"/>
      <c r="E5557" s="545"/>
      <c r="F5557" s="546"/>
      <c r="G5557" s="234"/>
      <c r="H5557" s="238"/>
      <c r="I5557" s="237"/>
    </row>
    <row r="5558" spans="1:9" s="232" customFormat="1" ht="17" customHeight="1">
      <c r="A5558" s="234"/>
      <c r="B5558" s="233"/>
      <c r="C5558" s="238"/>
      <c r="E5558" s="545"/>
      <c r="F5558" s="546"/>
      <c r="G5558" s="234"/>
      <c r="H5558" s="238"/>
      <c r="I5558" s="237"/>
    </row>
    <row r="5559" spans="1:9" s="232" customFormat="1" ht="17" customHeight="1">
      <c r="A5559" s="234"/>
      <c r="B5559" s="233"/>
      <c r="C5559" s="238"/>
      <c r="E5559" s="545"/>
      <c r="F5559" s="546"/>
      <c r="G5559" s="234"/>
      <c r="H5559" s="238"/>
      <c r="I5559" s="237"/>
    </row>
    <row r="5560" spans="1:9" s="232" customFormat="1" ht="17" customHeight="1">
      <c r="A5560" s="234"/>
      <c r="B5560" s="233"/>
      <c r="C5560" s="238"/>
      <c r="E5560" s="545"/>
      <c r="F5560" s="546"/>
      <c r="G5560" s="234"/>
      <c r="H5560" s="238"/>
      <c r="I5560" s="237"/>
    </row>
    <row r="5561" spans="1:9" s="232" customFormat="1" ht="17" customHeight="1">
      <c r="A5561" s="234"/>
      <c r="B5561" s="233"/>
      <c r="C5561" s="238"/>
      <c r="E5561" s="545"/>
      <c r="F5561" s="546"/>
      <c r="G5561" s="234"/>
      <c r="H5561" s="238"/>
      <c r="I5561" s="237"/>
    </row>
    <row r="5562" spans="1:9" s="232" customFormat="1" ht="17" customHeight="1">
      <c r="A5562" s="234"/>
      <c r="B5562" s="233"/>
      <c r="C5562" s="238"/>
      <c r="E5562" s="545"/>
      <c r="F5562" s="546"/>
      <c r="G5562" s="234"/>
      <c r="H5562" s="238"/>
      <c r="I5562" s="237"/>
    </row>
    <row r="5563" spans="1:9" s="232" customFormat="1" ht="17" customHeight="1">
      <c r="A5563" s="234"/>
      <c r="B5563" s="233"/>
      <c r="C5563" s="238"/>
      <c r="E5563" s="545"/>
      <c r="F5563" s="546"/>
      <c r="G5563" s="234"/>
      <c r="H5563" s="238"/>
      <c r="I5563" s="237"/>
    </row>
    <row r="5564" spans="1:9" s="232" customFormat="1" ht="17" customHeight="1">
      <c r="A5564" s="234"/>
      <c r="B5564" s="233"/>
      <c r="C5564" s="238"/>
      <c r="E5564" s="545"/>
      <c r="F5564" s="546"/>
      <c r="G5564" s="234"/>
      <c r="H5564" s="238"/>
      <c r="I5564" s="237"/>
    </row>
    <row r="5565" spans="1:9" s="232" customFormat="1" ht="17" customHeight="1">
      <c r="A5565" s="234"/>
      <c r="B5565" s="233"/>
      <c r="C5565" s="238"/>
      <c r="E5565" s="545"/>
      <c r="F5565" s="546"/>
      <c r="G5565" s="234"/>
      <c r="H5565" s="238"/>
      <c r="I5565" s="237"/>
    </row>
    <row r="5566" spans="1:9" s="232" customFormat="1" ht="17" customHeight="1">
      <c r="A5566" s="234"/>
      <c r="B5566" s="233"/>
      <c r="C5566" s="238"/>
      <c r="E5566" s="545"/>
      <c r="F5566" s="546"/>
      <c r="G5566" s="234"/>
      <c r="H5566" s="238"/>
      <c r="I5566" s="237"/>
    </row>
    <row r="5567" spans="1:9" s="232" customFormat="1" ht="17" customHeight="1">
      <c r="A5567" s="234"/>
      <c r="B5567" s="233"/>
      <c r="C5567" s="238"/>
      <c r="E5567" s="545"/>
      <c r="F5567" s="546"/>
      <c r="G5567" s="234"/>
      <c r="H5567" s="238"/>
      <c r="I5567" s="237"/>
    </row>
    <row r="5568" spans="1:9" s="232" customFormat="1" ht="17" customHeight="1">
      <c r="A5568" s="234"/>
      <c r="B5568" s="233"/>
      <c r="C5568" s="238"/>
      <c r="E5568" s="545"/>
      <c r="F5568" s="546"/>
      <c r="G5568" s="234"/>
      <c r="H5568" s="238"/>
      <c r="I5568" s="237"/>
    </row>
    <row r="5569" spans="1:9" s="232" customFormat="1" ht="17" customHeight="1">
      <c r="A5569" s="234"/>
      <c r="B5569" s="233"/>
      <c r="C5569" s="238"/>
      <c r="E5569" s="545"/>
      <c r="F5569" s="546"/>
      <c r="G5569" s="234"/>
      <c r="H5569" s="238"/>
      <c r="I5569" s="237"/>
    </row>
    <row r="5570" spans="1:9" s="232" customFormat="1" ht="17" customHeight="1">
      <c r="A5570" s="234"/>
      <c r="B5570" s="233"/>
      <c r="C5570" s="238"/>
      <c r="E5570" s="545"/>
      <c r="F5570" s="546"/>
      <c r="G5570" s="234"/>
      <c r="H5570" s="238"/>
      <c r="I5570" s="237"/>
    </row>
    <row r="5571" spans="1:9" s="232" customFormat="1" ht="17" customHeight="1">
      <c r="A5571" s="234"/>
      <c r="B5571" s="233"/>
      <c r="C5571" s="238"/>
      <c r="E5571" s="545"/>
      <c r="F5571" s="546"/>
      <c r="G5571" s="234"/>
      <c r="H5571" s="238"/>
      <c r="I5571" s="237"/>
    </row>
    <row r="5572" spans="1:9" s="232" customFormat="1" ht="17" customHeight="1">
      <c r="A5572" s="234"/>
      <c r="B5572" s="233"/>
      <c r="C5572" s="238"/>
      <c r="E5572" s="545"/>
      <c r="F5572" s="546"/>
      <c r="G5572" s="234"/>
      <c r="H5572" s="238"/>
      <c r="I5572" s="237"/>
    </row>
    <row r="5573" spans="1:9" s="232" customFormat="1" ht="17" customHeight="1">
      <c r="A5573" s="234"/>
      <c r="B5573" s="233"/>
      <c r="C5573" s="238"/>
      <c r="E5573" s="545"/>
      <c r="F5573" s="546"/>
      <c r="G5573" s="234"/>
      <c r="H5573" s="238"/>
      <c r="I5573" s="237"/>
    </row>
    <row r="5574" spans="1:9" s="232" customFormat="1" ht="17" customHeight="1">
      <c r="A5574" s="234"/>
      <c r="B5574" s="233"/>
      <c r="C5574" s="238"/>
      <c r="E5574" s="545"/>
      <c r="F5574" s="546"/>
      <c r="G5574" s="234"/>
      <c r="H5574" s="238"/>
      <c r="I5574" s="237"/>
    </row>
    <row r="5575" spans="1:9" s="232" customFormat="1" ht="17" customHeight="1">
      <c r="A5575" s="234"/>
      <c r="B5575" s="233"/>
      <c r="C5575" s="238"/>
      <c r="E5575" s="545"/>
      <c r="F5575" s="546"/>
      <c r="G5575" s="234"/>
      <c r="H5575" s="238"/>
      <c r="I5575" s="237"/>
    </row>
    <row r="5576" spans="1:9" s="232" customFormat="1" ht="17" customHeight="1">
      <c r="A5576" s="234"/>
      <c r="B5576" s="233"/>
      <c r="C5576" s="238"/>
      <c r="E5576" s="545"/>
      <c r="F5576" s="546"/>
      <c r="G5576" s="234"/>
      <c r="H5576" s="238"/>
      <c r="I5576" s="237"/>
    </row>
    <row r="5577" spans="1:9" s="232" customFormat="1" ht="17" customHeight="1">
      <c r="A5577" s="234"/>
      <c r="B5577" s="233"/>
      <c r="C5577" s="238"/>
      <c r="E5577" s="545"/>
      <c r="F5577" s="546"/>
      <c r="G5577" s="234"/>
      <c r="H5577" s="238"/>
      <c r="I5577" s="237"/>
    </row>
    <row r="5578" spans="1:9" s="232" customFormat="1" ht="17" customHeight="1">
      <c r="A5578" s="234"/>
      <c r="B5578" s="233"/>
      <c r="C5578" s="238"/>
      <c r="E5578" s="545"/>
      <c r="F5578" s="546"/>
      <c r="G5578" s="234"/>
      <c r="H5578" s="238"/>
      <c r="I5578" s="237"/>
    </row>
    <row r="5579" spans="1:9" s="232" customFormat="1" ht="17" customHeight="1">
      <c r="A5579" s="234"/>
      <c r="B5579" s="233"/>
      <c r="C5579" s="238"/>
      <c r="E5579" s="545"/>
      <c r="F5579" s="546"/>
      <c r="G5579" s="234"/>
      <c r="H5579" s="238"/>
      <c r="I5579" s="237"/>
    </row>
    <row r="5580" spans="1:9" s="232" customFormat="1" ht="17" customHeight="1">
      <c r="A5580" s="234"/>
      <c r="B5580" s="233"/>
      <c r="C5580" s="238"/>
      <c r="E5580" s="545"/>
      <c r="F5580" s="546"/>
      <c r="G5580" s="234"/>
      <c r="H5580" s="238"/>
      <c r="I5580" s="237"/>
    </row>
    <row r="5581" spans="1:9" s="232" customFormat="1" ht="17" customHeight="1">
      <c r="A5581" s="234"/>
      <c r="B5581" s="233"/>
      <c r="C5581" s="238"/>
      <c r="E5581" s="545"/>
      <c r="F5581" s="546"/>
      <c r="G5581" s="234"/>
      <c r="H5581" s="238"/>
      <c r="I5581" s="237"/>
    </row>
    <row r="5582" spans="1:9" s="232" customFormat="1" ht="17" customHeight="1">
      <c r="A5582" s="234"/>
      <c r="B5582" s="233"/>
      <c r="C5582" s="238"/>
      <c r="E5582" s="545"/>
      <c r="F5582" s="546"/>
      <c r="G5582" s="234"/>
      <c r="H5582" s="238"/>
      <c r="I5582" s="237"/>
    </row>
    <row r="5583" spans="1:9" s="232" customFormat="1" ht="17" customHeight="1">
      <c r="A5583" s="234"/>
      <c r="B5583" s="233"/>
      <c r="C5583" s="238"/>
      <c r="E5583" s="545"/>
      <c r="F5583" s="546"/>
      <c r="G5583" s="234"/>
      <c r="H5583" s="238"/>
      <c r="I5583" s="237"/>
    </row>
    <row r="5584" spans="1:9" s="232" customFormat="1" ht="17" customHeight="1">
      <c r="A5584" s="234"/>
      <c r="B5584" s="233"/>
      <c r="C5584" s="238"/>
      <c r="E5584" s="545"/>
      <c r="F5584" s="546"/>
      <c r="G5584" s="234"/>
      <c r="H5584" s="238"/>
      <c r="I5584" s="237"/>
    </row>
    <row r="5585" spans="1:9" s="232" customFormat="1" ht="17" customHeight="1">
      <c r="A5585" s="234"/>
      <c r="B5585" s="233"/>
      <c r="C5585" s="238"/>
      <c r="E5585" s="545"/>
      <c r="F5585" s="546"/>
      <c r="G5585" s="234"/>
      <c r="H5585" s="238"/>
      <c r="I5585" s="237"/>
    </row>
    <row r="5586" spans="1:9" s="232" customFormat="1" ht="17" customHeight="1">
      <c r="A5586" s="234"/>
      <c r="B5586" s="233"/>
      <c r="C5586" s="238"/>
      <c r="E5586" s="545"/>
      <c r="F5586" s="546"/>
      <c r="G5586" s="234"/>
      <c r="H5586" s="238"/>
      <c r="I5586" s="237"/>
    </row>
    <row r="5587" spans="1:9" s="232" customFormat="1" ht="17" customHeight="1">
      <c r="A5587" s="234"/>
      <c r="B5587" s="233"/>
      <c r="C5587" s="238"/>
      <c r="E5587" s="545"/>
      <c r="F5587" s="546"/>
      <c r="G5587" s="234"/>
      <c r="H5587" s="238"/>
      <c r="I5587" s="237"/>
    </row>
    <row r="5588" spans="1:9" s="232" customFormat="1" ht="17" customHeight="1">
      <c r="A5588" s="234"/>
      <c r="B5588" s="233"/>
      <c r="C5588" s="238"/>
      <c r="E5588" s="545"/>
      <c r="F5588" s="546"/>
      <c r="G5588" s="234"/>
      <c r="H5588" s="238"/>
      <c r="I5588" s="237"/>
    </row>
    <row r="5589" spans="1:9" s="232" customFormat="1" ht="17" customHeight="1">
      <c r="A5589" s="234"/>
      <c r="B5589" s="233"/>
      <c r="C5589" s="238"/>
      <c r="E5589" s="545"/>
      <c r="F5589" s="546"/>
      <c r="G5589" s="234"/>
      <c r="H5589" s="238"/>
      <c r="I5589" s="237"/>
    </row>
    <row r="5590" spans="1:9" s="232" customFormat="1" ht="17" customHeight="1">
      <c r="A5590" s="234"/>
      <c r="B5590" s="233"/>
      <c r="C5590" s="238"/>
      <c r="E5590" s="545"/>
      <c r="F5590" s="546"/>
      <c r="G5590" s="234"/>
      <c r="H5590" s="238"/>
      <c r="I5590" s="237"/>
    </row>
    <row r="5591" spans="1:9" s="232" customFormat="1" ht="17" customHeight="1">
      <c r="A5591" s="234"/>
      <c r="B5591" s="233"/>
      <c r="C5591" s="238"/>
      <c r="E5591" s="545"/>
      <c r="F5591" s="546"/>
      <c r="G5591" s="234"/>
      <c r="H5591" s="238"/>
      <c r="I5591" s="237"/>
    </row>
    <row r="5592" spans="1:9" s="232" customFormat="1" ht="17" customHeight="1">
      <c r="A5592" s="234"/>
      <c r="B5592" s="233"/>
      <c r="C5592" s="238"/>
      <c r="E5592" s="545"/>
      <c r="F5592" s="546"/>
      <c r="G5592" s="234"/>
      <c r="H5592" s="238"/>
      <c r="I5592" s="237"/>
    </row>
    <row r="5593" spans="1:9" s="232" customFormat="1" ht="17" customHeight="1">
      <c r="A5593" s="234"/>
      <c r="B5593" s="233"/>
      <c r="C5593" s="238"/>
      <c r="E5593" s="545"/>
      <c r="F5593" s="546"/>
      <c r="G5593" s="234"/>
      <c r="H5593" s="238"/>
      <c r="I5593" s="237"/>
    </row>
    <row r="5594" spans="1:9" s="232" customFormat="1" ht="17" customHeight="1">
      <c r="A5594" s="234"/>
      <c r="B5594" s="233"/>
      <c r="C5594" s="238"/>
      <c r="E5594" s="545"/>
      <c r="F5594" s="546"/>
      <c r="G5594" s="234"/>
      <c r="H5594" s="238"/>
      <c r="I5594" s="237"/>
    </row>
    <row r="5595" spans="1:9" s="232" customFormat="1" ht="17" customHeight="1">
      <c r="A5595" s="234"/>
      <c r="B5595" s="233"/>
      <c r="C5595" s="238"/>
      <c r="E5595" s="545"/>
      <c r="F5595" s="546"/>
      <c r="G5595" s="234"/>
      <c r="H5595" s="238"/>
      <c r="I5595" s="237"/>
    </row>
    <row r="5596" spans="1:9" s="232" customFormat="1" ht="17" customHeight="1">
      <c r="A5596" s="234"/>
      <c r="B5596" s="233"/>
      <c r="C5596" s="238"/>
      <c r="E5596" s="545"/>
      <c r="F5596" s="546"/>
      <c r="G5596" s="234"/>
      <c r="H5596" s="238"/>
      <c r="I5596" s="237"/>
    </row>
    <row r="5597" spans="1:9" s="232" customFormat="1" ht="17" customHeight="1">
      <c r="A5597" s="234"/>
      <c r="B5597" s="233"/>
      <c r="C5597" s="238"/>
      <c r="E5597" s="545"/>
      <c r="F5597" s="546"/>
      <c r="G5597" s="234"/>
      <c r="H5597" s="238"/>
      <c r="I5597" s="237"/>
    </row>
    <row r="5598" spans="1:9" s="232" customFormat="1" ht="17" customHeight="1">
      <c r="A5598" s="234"/>
      <c r="B5598" s="233"/>
      <c r="C5598" s="238"/>
      <c r="E5598" s="545"/>
      <c r="F5598" s="546"/>
      <c r="G5598" s="234"/>
      <c r="H5598" s="238"/>
      <c r="I5598" s="237"/>
    </row>
    <row r="5599" spans="1:9" s="232" customFormat="1" ht="17" customHeight="1">
      <c r="A5599" s="234"/>
      <c r="B5599" s="233"/>
      <c r="C5599" s="238"/>
      <c r="E5599" s="545"/>
      <c r="F5599" s="546"/>
      <c r="G5599" s="234"/>
      <c r="H5599" s="238"/>
      <c r="I5599" s="237"/>
    </row>
    <row r="5600" spans="1:9" s="232" customFormat="1" ht="17" customHeight="1">
      <c r="A5600" s="234"/>
      <c r="B5600" s="233"/>
      <c r="C5600" s="238"/>
      <c r="E5600" s="545"/>
      <c r="F5600" s="546"/>
      <c r="G5600" s="234"/>
      <c r="H5600" s="238"/>
      <c r="I5600" s="237"/>
    </row>
    <row r="5601" spans="1:9" s="232" customFormat="1" ht="17" customHeight="1">
      <c r="A5601" s="234"/>
      <c r="B5601" s="233"/>
      <c r="C5601" s="238"/>
      <c r="E5601" s="545"/>
      <c r="F5601" s="546"/>
      <c r="G5601" s="234"/>
      <c r="H5601" s="238"/>
      <c r="I5601" s="237"/>
    </row>
    <row r="5602" spans="1:9" s="232" customFormat="1" ht="17" customHeight="1">
      <c r="A5602" s="234"/>
      <c r="B5602" s="233"/>
      <c r="C5602" s="238"/>
      <c r="E5602" s="545"/>
      <c r="F5602" s="546"/>
      <c r="G5602" s="234"/>
      <c r="H5602" s="238"/>
      <c r="I5602" s="237"/>
    </row>
    <row r="5603" spans="1:9" s="232" customFormat="1" ht="17" customHeight="1">
      <c r="A5603" s="234"/>
      <c r="B5603" s="233"/>
      <c r="C5603" s="238"/>
      <c r="E5603" s="545"/>
      <c r="F5603" s="546"/>
      <c r="G5603" s="234"/>
      <c r="H5603" s="238"/>
      <c r="I5603" s="237"/>
    </row>
    <row r="5604" spans="1:9" s="232" customFormat="1" ht="17" customHeight="1">
      <c r="A5604" s="234"/>
      <c r="B5604" s="233"/>
      <c r="C5604" s="238"/>
      <c r="E5604" s="545"/>
      <c r="F5604" s="546"/>
      <c r="G5604" s="234"/>
      <c r="H5604" s="238"/>
      <c r="I5604" s="237"/>
    </row>
    <row r="5605" spans="1:9" s="232" customFormat="1" ht="17" customHeight="1">
      <c r="A5605" s="234"/>
      <c r="B5605" s="233"/>
      <c r="C5605" s="238"/>
      <c r="E5605" s="545"/>
      <c r="F5605" s="546"/>
      <c r="G5605" s="234"/>
      <c r="H5605" s="238"/>
      <c r="I5605" s="237"/>
    </row>
    <row r="5606" spans="1:9" s="232" customFormat="1" ht="17" customHeight="1">
      <c r="A5606" s="234"/>
      <c r="B5606" s="233"/>
      <c r="C5606" s="238"/>
      <c r="E5606" s="545"/>
      <c r="F5606" s="546"/>
      <c r="G5606" s="234"/>
      <c r="H5606" s="238"/>
      <c r="I5606" s="237"/>
    </row>
    <row r="5607" spans="1:9" s="232" customFormat="1" ht="17" customHeight="1">
      <c r="A5607" s="234"/>
      <c r="B5607" s="233"/>
      <c r="C5607" s="238"/>
      <c r="E5607" s="545"/>
      <c r="F5607" s="546"/>
      <c r="G5607" s="234"/>
      <c r="H5607" s="238"/>
      <c r="I5607" s="237"/>
    </row>
    <row r="5608" spans="1:9" s="232" customFormat="1" ht="17" customHeight="1">
      <c r="A5608" s="234"/>
      <c r="B5608" s="233"/>
      <c r="C5608" s="238"/>
      <c r="E5608" s="545"/>
      <c r="F5608" s="546"/>
      <c r="G5608" s="234"/>
      <c r="H5608" s="238"/>
      <c r="I5608" s="237"/>
    </row>
    <row r="5609" spans="1:9" s="232" customFormat="1" ht="17" customHeight="1">
      <c r="A5609" s="234"/>
      <c r="B5609" s="233"/>
      <c r="C5609" s="238"/>
      <c r="E5609" s="545"/>
      <c r="F5609" s="546"/>
      <c r="G5609" s="234"/>
      <c r="H5609" s="238"/>
      <c r="I5609" s="237"/>
    </row>
    <row r="5610" spans="1:9" s="232" customFormat="1" ht="17" customHeight="1">
      <c r="A5610" s="234"/>
      <c r="B5610" s="233"/>
      <c r="C5610" s="238"/>
      <c r="E5610" s="545"/>
      <c r="F5610" s="546"/>
      <c r="G5610" s="234"/>
      <c r="H5610" s="238"/>
      <c r="I5610" s="237"/>
    </row>
    <row r="5611" spans="1:9" s="232" customFormat="1" ht="17" customHeight="1">
      <c r="A5611" s="234"/>
      <c r="B5611" s="233"/>
      <c r="C5611" s="238"/>
      <c r="E5611" s="545"/>
      <c r="F5611" s="546"/>
      <c r="G5611" s="234"/>
      <c r="H5611" s="238"/>
      <c r="I5611" s="237"/>
    </row>
    <row r="5612" spans="1:9" s="232" customFormat="1" ht="17" customHeight="1">
      <c r="A5612" s="234"/>
      <c r="B5612" s="233"/>
      <c r="C5612" s="238"/>
      <c r="E5612" s="545"/>
      <c r="F5612" s="546"/>
      <c r="G5612" s="234"/>
      <c r="H5612" s="238"/>
      <c r="I5612" s="237"/>
    </row>
    <row r="5613" spans="1:9" s="232" customFormat="1" ht="17" customHeight="1">
      <c r="A5613" s="234"/>
      <c r="B5613" s="233"/>
      <c r="C5613" s="238"/>
      <c r="E5613" s="545"/>
      <c r="F5613" s="546"/>
      <c r="G5613" s="234"/>
      <c r="H5613" s="238"/>
      <c r="I5613" s="237"/>
    </row>
    <row r="5614" spans="1:9" s="232" customFormat="1" ht="17" customHeight="1">
      <c r="A5614" s="234"/>
      <c r="B5614" s="233"/>
      <c r="C5614" s="238"/>
      <c r="E5614" s="545"/>
      <c r="F5614" s="546"/>
      <c r="G5614" s="234"/>
      <c r="H5614" s="238"/>
      <c r="I5614" s="237"/>
    </row>
    <row r="5615" spans="1:9" s="232" customFormat="1" ht="17" customHeight="1">
      <c r="A5615" s="234"/>
      <c r="B5615" s="233"/>
      <c r="C5615" s="238"/>
      <c r="E5615" s="545"/>
      <c r="F5615" s="546"/>
      <c r="G5615" s="234"/>
      <c r="H5615" s="238"/>
      <c r="I5615" s="237"/>
    </row>
    <row r="5616" spans="1:9" s="232" customFormat="1" ht="17" customHeight="1">
      <c r="A5616" s="234"/>
      <c r="B5616" s="233"/>
      <c r="C5616" s="238"/>
      <c r="E5616" s="545"/>
      <c r="F5616" s="546"/>
      <c r="G5616" s="234"/>
      <c r="H5616" s="238"/>
      <c r="I5616" s="237"/>
    </row>
    <row r="5617" spans="1:9" s="232" customFormat="1" ht="17" customHeight="1">
      <c r="A5617" s="234"/>
      <c r="B5617" s="233"/>
      <c r="C5617" s="238"/>
      <c r="E5617" s="545"/>
      <c r="F5617" s="546"/>
      <c r="G5617" s="234"/>
      <c r="H5617" s="238"/>
      <c r="I5617" s="237"/>
    </row>
    <row r="5618" spans="1:9" s="232" customFormat="1" ht="17" customHeight="1">
      <c r="A5618" s="234"/>
      <c r="B5618" s="233"/>
      <c r="C5618" s="238"/>
      <c r="E5618" s="545"/>
      <c r="F5618" s="546"/>
      <c r="G5618" s="234"/>
      <c r="H5618" s="238"/>
      <c r="I5618" s="237"/>
    </row>
    <row r="5619" spans="1:9" s="232" customFormat="1" ht="17" customHeight="1">
      <c r="A5619" s="234"/>
      <c r="B5619" s="233"/>
      <c r="C5619" s="238"/>
      <c r="E5619" s="545"/>
      <c r="F5619" s="546"/>
      <c r="G5619" s="234"/>
      <c r="H5619" s="238"/>
      <c r="I5619" s="237"/>
    </row>
    <row r="5620" spans="1:9" s="232" customFormat="1" ht="17" customHeight="1">
      <c r="A5620" s="234"/>
      <c r="B5620" s="233"/>
      <c r="C5620" s="238"/>
      <c r="E5620" s="545"/>
      <c r="F5620" s="546"/>
      <c r="G5620" s="234"/>
      <c r="H5620" s="238"/>
      <c r="I5620" s="237"/>
    </row>
    <row r="5621" spans="1:9" s="232" customFormat="1" ht="17" customHeight="1">
      <c r="A5621" s="234"/>
      <c r="B5621" s="233"/>
      <c r="C5621" s="238"/>
      <c r="E5621" s="545"/>
      <c r="F5621" s="546"/>
      <c r="G5621" s="234"/>
      <c r="H5621" s="238"/>
      <c r="I5621" s="237"/>
    </row>
    <row r="5622" spans="1:9" s="232" customFormat="1" ht="17" customHeight="1">
      <c r="A5622" s="234"/>
      <c r="B5622" s="233"/>
      <c r="C5622" s="238"/>
      <c r="E5622" s="545"/>
      <c r="F5622" s="546"/>
      <c r="G5622" s="234"/>
      <c r="H5622" s="238"/>
      <c r="I5622" s="237"/>
    </row>
    <row r="5623" spans="1:9" s="232" customFormat="1" ht="17" customHeight="1">
      <c r="A5623" s="234"/>
      <c r="B5623" s="233"/>
      <c r="C5623" s="238"/>
      <c r="E5623" s="545"/>
      <c r="F5623" s="546"/>
      <c r="G5623" s="234"/>
      <c r="H5623" s="238"/>
      <c r="I5623" s="237"/>
    </row>
    <row r="5624" spans="1:9" s="232" customFormat="1" ht="17" customHeight="1">
      <c r="A5624" s="234"/>
      <c r="B5624" s="233"/>
      <c r="C5624" s="238"/>
      <c r="E5624" s="545"/>
      <c r="F5624" s="546"/>
      <c r="G5624" s="234"/>
      <c r="H5624" s="238"/>
      <c r="I5624" s="237"/>
    </row>
    <row r="5625" spans="1:9" s="232" customFormat="1" ht="17" customHeight="1">
      <c r="A5625" s="234"/>
      <c r="B5625" s="233"/>
      <c r="C5625" s="238"/>
      <c r="E5625" s="545"/>
      <c r="F5625" s="546"/>
      <c r="G5625" s="234"/>
      <c r="H5625" s="238"/>
      <c r="I5625" s="237"/>
    </row>
    <row r="5626" spans="1:9" s="232" customFormat="1" ht="17" customHeight="1">
      <c r="A5626" s="234"/>
      <c r="B5626" s="233"/>
      <c r="C5626" s="238"/>
      <c r="E5626" s="545"/>
      <c r="F5626" s="546"/>
      <c r="G5626" s="234"/>
      <c r="H5626" s="238"/>
      <c r="I5626" s="237"/>
    </row>
    <row r="5627" spans="1:9" s="232" customFormat="1" ht="17" customHeight="1">
      <c r="A5627" s="234"/>
      <c r="B5627" s="233"/>
      <c r="C5627" s="238"/>
      <c r="E5627" s="545"/>
      <c r="F5627" s="546"/>
      <c r="G5627" s="234"/>
      <c r="H5627" s="238"/>
      <c r="I5627" s="237"/>
    </row>
    <row r="5628" spans="1:9" s="232" customFormat="1" ht="17" customHeight="1">
      <c r="A5628" s="234"/>
      <c r="B5628" s="233"/>
      <c r="C5628" s="238"/>
      <c r="E5628" s="545"/>
      <c r="F5628" s="546"/>
      <c r="G5628" s="234"/>
      <c r="H5628" s="238"/>
      <c r="I5628" s="237"/>
    </row>
    <row r="5629" spans="1:9" s="232" customFormat="1" ht="17" customHeight="1">
      <c r="A5629" s="234"/>
      <c r="B5629" s="233"/>
      <c r="C5629" s="238"/>
      <c r="E5629" s="545"/>
      <c r="F5629" s="546"/>
      <c r="G5629" s="234"/>
      <c r="H5629" s="238"/>
      <c r="I5629" s="237"/>
    </row>
    <row r="5630" spans="1:9" s="232" customFormat="1" ht="17" customHeight="1">
      <c r="A5630" s="234"/>
      <c r="B5630" s="233"/>
      <c r="C5630" s="238"/>
      <c r="E5630" s="545"/>
      <c r="F5630" s="546"/>
      <c r="G5630" s="234"/>
      <c r="H5630" s="238"/>
      <c r="I5630" s="237"/>
    </row>
    <row r="5631" spans="1:9" s="232" customFormat="1" ht="17" customHeight="1">
      <c r="A5631" s="234"/>
      <c r="B5631" s="233"/>
      <c r="C5631" s="238"/>
      <c r="E5631" s="545"/>
      <c r="F5631" s="546"/>
      <c r="G5631" s="234"/>
      <c r="H5631" s="238"/>
      <c r="I5631" s="237"/>
    </row>
    <row r="5632" spans="1:9" s="232" customFormat="1" ht="17" customHeight="1">
      <c r="A5632" s="234"/>
      <c r="B5632" s="233"/>
      <c r="C5632" s="238"/>
      <c r="E5632" s="545"/>
      <c r="F5632" s="546"/>
      <c r="G5632" s="234"/>
      <c r="H5632" s="238"/>
      <c r="I5632" s="237"/>
    </row>
    <row r="5633" spans="1:9" s="232" customFormat="1" ht="17" customHeight="1">
      <c r="A5633" s="234"/>
      <c r="B5633" s="233"/>
      <c r="C5633" s="238"/>
      <c r="E5633" s="545"/>
      <c r="F5633" s="546"/>
      <c r="G5633" s="234"/>
      <c r="H5633" s="238"/>
      <c r="I5633" s="237"/>
    </row>
    <row r="5634" spans="1:9" s="232" customFormat="1" ht="17" customHeight="1">
      <c r="A5634" s="234"/>
      <c r="B5634" s="233"/>
      <c r="C5634" s="238"/>
      <c r="E5634" s="545"/>
      <c r="F5634" s="546"/>
      <c r="G5634" s="234"/>
      <c r="H5634" s="238"/>
      <c r="I5634" s="237"/>
    </row>
    <row r="5635" spans="1:9" s="232" customFormat="1" ht="17" customHeight="1">
      <c r="A5635" s="234"/>
      <c r="B5635" s="233"/>
      <c r="C5635" s="238"/>
      <c r="E5635" s="545"/>
      <c r="F5635" s="546"/>
      <c r="G5635" s="234"/>
      <c r="H5635" s="238"/>
      <c r="I5635" s="237"/>
    </row>
    <row r="5636" spans="1:9" s="232" customFormat="1" ht="17" customHeight="1">
      <c r="A5636" s="234"/>
      <c r="B5636" s="233"/>
      <c r="C5636" s="238"/>
      <c r="E5636" s="545"/>
      <c r="F5636" s="546"/>
      <c r="G5636" s="234"/>
      <c r="H5636" s="238"/>
      <c r="I5636" s="237"/>
    </row>
    <row r="5637" spans="1:9" s="232" customFormat="1" ht="17" customHeight="1">
      <c r="A5637" s="234"/>
      <c r="B5637" s="233"/>
      <c r="C5637" s="238"/>
      <c r="E5637" s="545"/>
      <c r="F5637" s="546"/>
      <c r="G5637" s="234"/>
      <c r="H5637" s="238"/>
      <c r="I5637" s="237"/>
    </row>
    <row r="5638" spans="1:9" s="232" customFormat="1" ht="17" customHeight="1">
      <c r="A5638" s="234"/>
      <c r="B5638" s="233"/>
      <c r="C5638" s="238"/>
      <c r="E5638" s="545"/>
      <c r="F5638" s="546"/>
      <c r="G5638" s="234"/>
      <c r="H5638" s="238"/>
      <c r="I5638" s="237"/>
    </row>
    <row r="5639" spans="1:9" s="232" customFormat="1" ht="17" customHeight="1">
      <c r="A5639" s="234"/>
      <c r="B5639" s="233"/>
      <c r="C5639" s="238"/>
      <c r="E5639" s="545"/>
      <c r="F5639" s="546"/>
      <c r="G5639" s="234"/>
      <c r="H5639" s="238"/>
      <c r="I5639" s="237"/>
    </row>
    <row r="5640" spans="1:9" s="232" customFormat="1" ht="17" customHeight="1">
      <c r="A5640" s="234"/>
      <c r="B5640" s="233"/>
      <c r="C5640" s="238"/>
      <c r="E5640" s="545"/>
      <c r="F5640" s="546"/>
      <c r="G5640" s="234"/>
      <c r="H5640" s="238"/>
      <c r="I5640" s="237"/>
    </row>
    <row r="5641" spans="1:9" s="232" customFormat="1" ht="17" customHeight="1">
      <c r="A5641" s="234"/>
      <c r="B5641" s="233"/>
      <c r="C5641" s="238"/>
      <c r="E5641" s="545"/>
      <c r="F5641" s="546"/>
      <c r="G5641" s="234"/>
      <c r="H5641" s="238"/>
      <c r="I5641" s="237"/>
    </row>
    <row r="5642" spans="1:9" s="232" customFormat="1" ht="17" customHeight="1">
      <c r="A5642" s="234"/>
      <c r="B5642" s="233"/>
      <c r="C5642" s="238"/>
      <c r="E5642" s="545"/>
      <c r="F5642" s="546"/>
      <c r="G5642" s="234"/>
      <c r="H5642" s="238"/>
      <c r="I5642" s="237"/>
    </row>
    <row r="5643" spans="1:9" s="232" customFormat="1" ht="17" customHeight="1">
      <c r="A5643" s="234"/>
      <c r="B5643" s="233"/>
      <c r="C5643" s="238"/>
      <c r="E5643" s="545"/>
      <c r="F5643" s="546"/>
      <c r="G5643" s="234"/>
      <c r="H5643" s="238"/>
      <c r="I5643" s="237"/>
    </row>
    <row r="5644" spans="1:9" s="232" customFormat="1" ht="17" customHeight="1">
      <c r="A5644" s="234"/>
      <c r="B5644" s="233"/>
      <c r="C5644" s="238"/>
      <c r="E5644" s="545"/>
      <c r="F5644" s="546"/>
      <c r="G5644" s="234"/>
      <c r="H5644" s="238"/>
      <c r="I5644" s="237"/>
    </row>
    <row r="5645" spans="1:9" s="232" customFormat="1" ht="17" customHeight="1">
      <c r="A5645" s="234"/>
      <c r="B5645" s="233"/>
      <c r="C5645" s="238"/>
      <c r="E5645" s="545"/>
      <c r="F5645" s="546"/>
      <c r="G5645" s="234"/>
      <c r="H5645" s="238"/>
      <c r="I5645" s="237"/>
    </row>
    <row r="5646" spans="1:9" s="232" customFormat="1" ht="17" customHeight="1">
      <c r="A5646" s="234"/>
      <c r="B5646" s="233"/>
      <c r="C5646" s="238"/>
      <c r="E5646" s="545"/>
      <c r="F5646" s="546"/>
      <c r="G5646" s="234"/>
      <c r="H5646" s="238"/>
      <c r="I5646" s="237"/>
    </row>
    <row r="5647" spans="1:9" s="232" customFormat="1" ht="17" customHeight="1">
      <c r="A5647" s="234"/>
      <c r="B5647" s="233"/>
      <c r="C5647" s="238"/>
      <c r="E5647" s="545"/>
      <c r="F5647" s="546"/>
      <c r="G5647" s="234"/>
      <c r="H5647" s="238"/>
      <c r="I5647" s="237"/>
    </row>
    <row r="5648" spans="1:9" s="232" customFormat="1" ht="17" customHeight="1">
      <c r="A5648" s="234"/>
      <c r="B5648" s="233"/>
      <c r="C5648" s="238"/>
      <c r="E5648" s="545"/>
      <c r="F5648" s="546"/>
      <c r="G5648" s="234"/>
      <c r="H5648" s="238"/>
      <c r="I5648" s="237"/>
    </row>
    <row r="5649" spans="1:9" s="232" customFormat="1" ht="17" customHeight="1">
      <c r="A5649" s="234"/>
      <c r="B5649" s="233"/>
      <c r="C5649" s="238"/>
      <c r="E5649" s="545"/>
      <c r="F5649" s="546"/>
      <c r="G5649" s="234"/>
      <c r="H5649" s="238"/>
      <c r="I5649" s="237"/>
    </row>
    <row r="5650" spans="1:9" s="232" customFormat="1" ht="17" customHeight="1">
      <c r="A5650" s="234"/>
      <c r="B5650" s="233"/>
      <c r="C5650" s="238"/>
      <c r="E5650" s="545"/>
      <c r="F5650" s="546"/>
      <c r="G5650" s="234"/>
      <c r="H5650" s="238"/>
      <c r="I5650" s="237"/>
    </row>
    <row r="5651" spans="1:9" s="232" customFormat="1" ht="17" customHeight="1">
      <c r="A5651" s="234"/>
      <c r="B5651" s="233"/>
      <c r="C5651" s="238"/>
      <c r="E5651" s="545"/>
      <c r="F5651" s="546"/>
      <c r="G5651" s="234"/>
      <c r="H5651" s="238"/>
      <c r="I5651" s="237"/>
    </row>
    <row r="5652" spans="1:9" s="232" customFormat="1" ht="17" customHeight="1">
      <c r="A5652" s="234"/>
      <c r="B5652" s="233"/>
      <c r="C5652" s="238"/>
      <c r="E5652" s="545"/>
      <c r="F5652" s="546"/>
      <c r="G5652" s="234"/>
      <c r="H5652" s="238"/>
      <c r="I5652" s="237"/>
    </row>
    <row r="5653" spans="1:9" s="232" customFormat="1" ht="17" customHeight="1">
      <c r="A5653" s="234"/>
      <c r="B5653" s="233"/>
      <c r="C5653" s="238"/>
      <c r="E5653" s="545"/>
      <c r="F5653" s="546"/>
      <c r="G5653" s="234"/>
      <c r="H5653" s="238"/>
      <c r="I5653" s="237"/>
    </row>
    <row r="5654" spans="1:9" s="232" customFormat="1" ht="17" customHeight="1">
      <c r="A5654" s="234"/>
      <c r="B5654" s="233"/>
      <c r="C5654" s="238"/>
      <c r="E5654" s="545"/>
      <c r="F5654" s="546"/>
      <c r="G5654" s="234"/>
      <c r="H5654" s="238"/>
      <c r="I5654" s="237"/>
    </row>
    <row r="5655" spans="1:9" s="232" customFormat="1" ht="17" customHeight="1">
      <c r="A5655" s="234"/>
      <c r="B5655" s="233"/>
      <c r="C5655" s="238"/>
      <c r="E5655" s="545"/>
      <c r="F5655" s="546"/>
      <c r="G5655" s="234"/>
      <c r="H5655" s="238"/>
      <c r="I5655" s="237"/>
    </row>
    <row r="5656" spans="1:9" s="232" customFormat="1" ht="17" customHeight="1">
      <c r="A5656" s="234"/>
      <c r="B5656" s="233"/>
      <c r="C5656" s="238"/>
      <c r="E5656" s="545"/>
      <c r="F5656" s="546"/>
      <c r="G5656" s="234"/>
      <c r="H5656" s="238"/>
      <c r="I5656" s="237"/>
    </row>
    <row r="5657" spans="1:9" s="232" customFormat="1" ht="17" customHeight="1">
      <c r="A5657" s="234"/>
      <c r="B5657" s="233"/>
      <c r="C5657" s="238"/>
      <c r="E5657" s="545"/>
      <c r="F5657" s="546"/>
      <c r="G5657" s="234"/>
      <c r="H5657" s="238"/>
      <c r="I5657" s="237"/>
    </row>
    <row r="5658" spans="1:9" s="232" customFormat="1" ht="17" customHeight="1">
      <c r="A5658" s="234"/>
      <c r="B5658" s="233"/>
      <c r="C5658" s="238"/>
      <c r="E5658" s="545"/>
      <c r="F5658" s="546"/>
      <c r="G5658" s="234"/>
      <c r="H5658" s="238"/>
      <c r="I5658" s="237"/>
    </row>
    <row r="5659" spans="1:9" s="232" customFormat="1" ht="17" customHeight="1">
      <c r="A5659" s="234"/>
      <c r="B5659" s="233"/>
      <c r="C5659" s="238"/>
      <c r="E5659" s="545"/>
      <c r="F5659" s="546"/>
      <c r="G5659" s="234"/>
      <c r="H5659" s="238"/>
      <c r="I5659" s="237"/>
    </row>
    <row r="5660" spans="1:9" s="232" customFormat="1" ht="17" customHeight="1">
      <c r="A5660" s="234"/>
      <c r="B5660" s="233"/>
      <c r="C5660" s="238"/>
      <c r="E5660" s="545"/>
      <c r="F5660" s="546"/>
      <c r="G5660" s="234"/>
      <c r="H5660" s="238"/>
      <c r="I5660" s="237"/>
    </row>
    <row r="5661" spans="1:9" s="232" customFormat="1" ht="17" customHeight="1">
      <c r="A5661" s="234"/>
      <c r="B5661" s="233"/>
      <c r="C5661" s="238"/>
      <c r="E5661" s="545"/>
      <c r="F5661" s="546"/>
      <c r="G5661" s="234"/>
      <c r="H5661" s="238"/>
      <c r="I5661" s="237"/>
    </row>
    <row r="5662" spans="1:9" s="232" customFormat="1" ht="17" customHeight="1">
      <c r="A5662" s="234"/>
      <c r="B5662" s="233"/>
      <c r="C5662" s="238"/>
      <c r="E5662" s="545"/>
      <c r="F5662" s="546"/>
      <c r="G5662" s="234"/>
      <c r="H5662" s="238"/>
      <c r="I5662" s="237"/>
    </row>
    <row r="5663" spans="1:9" s="232" customFormat="1" ht="17" customHeight="1">
      <c r="A5663" s="234"/>
      <c r="B5663" s="233"/>
      <c r="C5663" s="238"/>
      <c r="E5663" s="545"/>
      <c r="F5663" s="546"/>
      <c r="G5663" s="234"/>
      <c r="H5663" s="238"/>
      <c r="I5663" s="237"/>
    </row>
    <row r="5664" spans="1:9" s="232" customFormat="1" ht="17" customHeight="1">
      <c r="A5664" s="234"/>
      <c r="B5664" s="233"/>
      <c r="C5664" s="238"/>
      <c r="E5664" s="545"/>
      <c r="F5664" s="546"/>
      <c r="G5664" s="234"/>
      <c r="H5664" s="238"/>
      <c r="I5664" s="237"/>
    </row>
    <row r="5665" spans="1:9" s="232" customFormat="1" ht="17" customHeight="1">
      <c r="A5665" s="234"/>
      <c r="B5665" s="233"/>
      <c r="C5665" s="238"/>
      <c r="E5665" s="545"/>
      <c r="F5665" s="546"/>
      <c r="G5665" s="234"/>
      <c r="H5665" s="238"/>
      <c r="I5665" s="237"/>
    </row>
    <row r="5666" spans="1:9" s="232" customFormat="1" ht="17" customHeight="1">
      <c r="A5666" s="234"/>
      <c r="B5666" s="233"/>
      <c r="C5666" s="238"/>
      <c r="E5666" s="545"/>
      <c r="F5666" s="546"/>
      <c r="G5666" s="234"/>
      <c r="H5666" s="238"/>
      <c r="I5666" s="237"/>
    </row>
    <row r="5667" spans="1:9" s="232" customFormat="1" ht="17" customHeight="1">
      <c r="A5667" s="234"/>
      <c r="B5667" s="233"/>
      <c r="C5667" s="238"/>
      <c r="E5667" s="545"/>
      <c r="F5667" s="546"/>
      <c r="G5667" s="234"/>
      <c r="H5667" s="238"/>
      <c r="I5667" s="237"/>
    </row>
    <row r="5668" spans="1:9" s="232" customFormat="1" ht="17" customHeight="1">
      <c r="A5668" s="234"/>
      <c r="B5668" s="233"/>
      <c r="C5668" s="238"/>
      <c r="E5668" s="545"/>
      <c r="F5668" s="546"/>
      <c r="G5668" s="234"/>
      <c r="H5668" s="238"/>
      <c r="I5668" s="237"/>
    </row>
    <row r="5669" spans="1:9" s="232" customFormat="1" ht="17" customHeight="1">
      <c r="A5669" s="234"/>
      <c r="B5669" s="233"/>
      <c r="C5669" s="238"/>
      <c r="E5669" s="545"/>
      <c r="F5669" s="546"/>
      <c r="G5669" s="234"/>
      <c r="H5669" s="238"/>
      <c r="I5669" s="237"/>
    </row>
    <row r="5670" spans="1:9" s="232" customFormat="1" ht="17" customHeight="1">
      <c r="A5670" s="234"/>
      <c r="B5670" s="233"/>
      <c r="C5670" s="238"/>
      <c r="E5670" s="545"/>
      <c r="F5670" s="546"/>
      <c r="G5670" s="234"/>
      <c r="H5670" s="238"/>
      <c r="I5670" s="237"/>
    </row>
    <row r="5671" spans="1:9" s="232" customFormat="1" ht="17" customHeight="1">
      <c r="A5671" s="234"/>
      <c r="B5671" s="233"/>
      <c r="C5671" s="238"/>
      <c r="E5671" s="545"/>
      <c r="F5671" s="546"/>
      <c r="G5671" s="234"/>
      <c r="H5671" s="238"/>
      <c r="I5671" s="237"/>
    </row>
    <row r="5672" spans="1:9" s="232" customFormat="1" ht="17" customHeight="1">
      <c r="A5672" s="234"/>
      <c r="B5672" s="233"/>
      <c r="C5672" s="238"/>
      <c r="E5672" s="545"/>
      <c r="F5672" s="546"/>
      <c r="G5672" s="234"/>
      <c r="H5672" s="238"/>
      <c r="I5672" s="237"/>
    </row>
    <row r="5673" spans="1:9" s="232" customFormat="1" ht="17" customHeight="1">
      <c r="A5673" s="234"/>
      <c r="B5673" s="233"/>
      <c r="C5673" s="238"/>
      <c r="E5673" s="545"/>
      <c r="F5673" s="546"/>
      <c r="G5673" s="234"/>
      <c r="H5673" s="238"/>
      <c r="I5673" s="237"/>
    </row>
    <row r="5674" spans="1:9" s="232" customFormat="1" ht="17" customHeight="1">
      <c r="A5674" s="234"/>
      <c r="B5674" s="233"/>
      <c r="C5674" s="238"/>
      <c r="E5674" s="545"/>
      <c r="F5674" s="546"/>
      <c r="G5674" s="234"/>
      <c r="H5674" s="238"/>
      <c r="I5674" s="237"/>
    </row>
    <row r="5675" spans="1:9" s="232" customFormat="1" ht="17" customHeight="1">
      <c r="A5675" s="234"/>
      <c r="B5675" s="233"/>
      <c r="C5675" s="238"/>
      <c r="E5675" s="545"/>
      <c r="F5675" s="546"/>
      <c r="G5675" s="234"/>
      <c r="H5675" s="238"/>
      <c r="I5675" s="237"/>
    </row>
    <row r="5676" spans="1:9" s="232" customFormat="1" ht="17" customHeight="1">
      <c r="A5676" s="234"/>
      <c r="B5676" s="233"/>
      <c r="C5676" s="238"/>
      <c r="E5676" s="545"/>
      <c r="F5676" s="546"/>
      <c r="G5676" s="234"/>
      <c r="H5676" s="238"/>
      <c r="I5676" s="237"/>
    </row>
    <row r="5677" spans="1:9" s="232" customFormat="1" ht="17" customHeight="1">
      <c r="A5677" s="234"/>
      <c r="B5677" s="233"/>
      <c r="C5677" s="238"/>
      <c r="E5677" s="545"/>
      <c r="F5677" s="546"/>
      <c r="G5677" s="234"/>
      <c r="H5677" s="238"/>
      <c r="I5677" s="237"/>
    </row>
    <row r="5678" spans="1:9" s="232" customFormat="1" ht="17" customHeight="1">
      <c r="A5678" s="234"/>
      <c r="B5678" s="233"/>
      <c r="C5678" s="238"/>
      <c r="E5678" s="545"/>
      <c r="F5678" s="546"/>
      <c r="G5678" s="234"/>
      <c r="H5678" s="238"/>
      <c r="I5678" s="237"/>
    </row>
    <row r="5679" spans="1:9" s="232" customFormat="1" ht="17" customHeight="1">
      <c r="A5679" s="234"/>
      <c r="B5679" s="233"/>
      <c r="C5679" s="238"/>
      <c r="E5679" s="545"/>
      <c r="F5679" s="546"/>
      <c r="G5679" s="234"/>
      <c r="H5679" s="238"/>
      <c r="I5679" s="237"/>
    </row>
    <row r="5680" spans="1:9" s="232" customFormat="1" ht="17" customHeight="1">
      <c r="A5680" s="234"/>
      <c r="B5680" s="233"/>
      <c r="C5680" s="238"/>
      <c r="E5680" s="545"/>
      <c r="F5680" s="546"/>
      <c r="G5680" s="234"/>
      <c r="H5680" s="238"/>
      <c r="I5680" s="237"/>
    </row>
    <row r="5681" spans="1:9" s="232" customFormat="1" ht="17" customHeight="1">
      <c r="A5681" s="234"/>
      <c r="B5681" s="233"/>
      <c r="C5681" s="238"/>
      <c r="E5681" s="545"/>
      <c r="F5681" s="546"/>
      <c r="G5681" s="234"/>
      <c r="H5681" s="238"/>
      <c r="I5681" s="237"/>
    </row>
    <row r="5682" spans="1:9" s="232" customFormat="1" ht="17" customHeight="1">
      <c r="A5682" s="234"/>
      <c r="B5682" s="233"/>
      <c r="C5682" s="238"/>
      <c r="E5682" s="545"/>
      <c r="F5682" s="546"/>
      <c r="G5682" s="234"/>
      <c r="H5682" s="238"/>
      <c r="I5682" s="237"/>
    </row>
    <row r="5683" spans="1:9" s="232" customFormat="1" ht="17" customHeight="1">
      <c r="A5683" s="234"/>
      <c r="B5683" s="233"/>
      <c r="C5683" s="238"/>
      <c r="E5683" s="545"/>
      <c r="F5683" s="546"/>
      <c r="G5683" s="234"/>
      <c r="H5683" s="238"/>
      <c r="I5683" s="237"/>
    </row>
    <row r="5684" spans="1:9" s="232" customFormat="1" ht="17" customHeight="1">
      <c r="A5684" s="234"/>
      <c r="B5684" s="233"/>
      <c r="C5684" s="238"/>
      <c r="E5684" s="545"/>
      <c r="F5684" s="546"/>
      <c r="G5684" s="234"/>
      <c r="H5684" s="238"/>
      <c r="I5684" s="237"/>
    </row>
    <row r="5685" spans="1:9" s="232" customFormat="1" ht="17" customHeight="1">
      <c r="A5685" s="234"/>
      <c r="B5685" s="233"/>
      <c r="C5685" s="238"/>
      <c r="E5685" s="545"/>
      <c r="F5685" s="546"/>
      <c r="G5685" s="234"/>
      <c r="H5685" s="238"/>
      <c r="I5685" s="237"/>
    </row>
    <row r="5686" spans="1:9" s="232" customFormat="1" ht="17" customHeight="1">
      <c r="A5686" s="234"/>
      <c r="B5686" s="233"/>
      <c r="C5686" s="238"/>
      <c r="E5686" s="545"/>
      <c r="F5686" s="546"/>
      <c r="G5686" s="234"/>
      <c r="H5686" s="238"/>
      <c r="I5686" s="237"/>
    </row>
    <row r="5687" spans="1:9" s="232" customFormat="1" ht="17" customHeight="1">
      <c r="A5687" s="234"/>
      <c r="B5687" s="233"/>
      <c r="C5687" s="238"/>
      <c r="E5687" s="545"/>
      <c r="F5687" s="546"/>
      <c r="G5687" s="234"/>
      <c r="H5687" s="238"/>
      <c r="I5687" s="237"/>
    </row>
    <row r="5688" spans="1:9" s="232" customFormat="1" ht="17" customHeight="1">
      <c r="A5688" s="234"/>
      <c r="B5688" s="233"/>
      <c r="C5688" s="238"/>
      <c r="E5688" s="545"/>
      <c r="F5688" s="546"/>
      <c r="G5688" s="234"/>
      <c r="H5688" s="238"/>
      <c r="I5688" s="237"/>
    </row>
    <row r="5689" spans="1:9" s="232" customFormat="1" ht="17" customHeight="1">
      <c r="A5689" s="234"/>
      <c r="B5689" s="233"/>
      <c r="C5689" s="238"/>
      <c r="E5689" s="545"/>
      <c r="F5689" s="546"/>
      <c r="G5689" s="234"/>
      <c r="H5689" s="238"/>
      <c r="I5689" s="237"/>
    </row>
    <row r="5690" spans="1:9" s="232" customFormat="1" ht="17" customHeight="1">
      <c r="A5690" s="234"/>
      <c r="B5690" s="233"/>
      <c r="C5690" s="238"/>
      <c r="E5690" s="545"/>
      <c r="F5690" s="546"/>
      <c r="G5690" s="234"/>
      <c r="H5690" s="238"/>
      <c r="I5690" s="237"/>
    </row>
    <row r="5691" spans="1:9" s="232" customFormat="1" ht="17" customHeight="1">
      <c r="A5691" s="234"/>
      <c r="B5691" s="233"/>
      <c r="C5691" s="238"/>
      <c r="E5691" s="545"/>
      <c r="F5691" s="546"/>
      <c r="G5691" s="234"/>
      <c r="H5691" s="238"/>
      <c r="I5691" s="237"/>
    </row>
    <row r="5692" spans="1:9" s="232" customFormat="1" ht="17" customHeight="1">
      <c r="A5692" s="234"/>
      <c r="B5692" s="233"/>
      <c r="C5692" s="238"/>
      <c r="E5692" s="545"/>
      <c r="F5692" s="546"/>
      <c r="G5692" s="234"/>
      <c r="H5692" s="238"/>
      <c r="I5692" s="237"/>
    </row>
    <row r="5693" spans="1:9" s="232" customFormat="1" ht="17" customHeight="1">
      <c r="A5693" s="234"/>
      <c r="B5693" s="233"/>
      <c r="C5693" s="238"/>
      <c r="E5693" s="545"/>
      <c r="F5693" s="546"/>
      <c r="G5693" s="234"/>
      <c r="H5693" s="238"/>
      <c r="I5693" s="237"/>
    </row>
    <row r="5694" spans="1:9" s="232" customFormat="1" ht="17" customHeight="1">
      <c r="A5694" s="234"/>
      <c r="B5694" s="233"/>
      <c r="C5694" s="238"/>
      <c r="E5694" s="545"/>
      <c r="F5694" s="546"/>
      <c r="G5694" s="234"/>
      <c r="H5694" s="238"/>
      <c r="I5694" s="237"/>
    </row>
    <row r="5695" spans="1:9" s="232" customFormat="1" ht="17" customHeight="1">
      <c r="A5695" s="234"/>
      <c r="B5695" s="233"/>
      <c r="C5695" s="238"/>
      <c r="E5695" s="545"/>
      <c r="F5695" s="546"/>
      <c r="G5695" s="234"/>
      <c r="H5695" s="238"/>
      <c r="I5695" s="237"/>
    </row>
    <row r="5696" spans="1:9" s="232" customFormat="1" ht="17" customHeight="1">
      <c r="A5696" s="234"/>
      <c r="B5696" s="233"/>
      <c r="C5696" s="238"/>
      <c r="E5696" s="545"/>
      <c r="F5696" s="546"/>
      <c r="G5696" s="234"/>
      <c r="H5696" s="238"/>
      <c r="I5696" s="237"/>
    </row>
    <row r="5697" spans="1:9" s="232" customFormat="1" ht="17" customHeight="1">
      <c r="A5697" s="234"/>
      <c r="B5697" s="233"/>
      <c r="C5697" s="238"/>
      <c r="E5697" s="545"/>
      <c r="F5697" s="546"/>
      <c r="G5697" s="234"/>
      <c r="H5697" s="238"/>
      <c r="I5697" s="237"/>
    </row>
    <row r="5698" spans="1:9" s="232" customFormat="1" ht="17" customHeight="1">
      <c r="A5698" s="234"/>
      <c r="B5698" s="233"/>
      <c r="C5698" s="238"/>
      <c r="E5698" s="545"/>
      <c r="F5698" s="546"/>
      <c r="G5698" s="234"/>
      <c r="H5698" s="238"/>
      <c r="I5698" s="237"/>
    </row>
    <row r="5699" spans="1:9" s="232" customFormat="1" ht="17" customHeight="1">
      <c r="A5699" s="234"/>
      <c r="B5699" s="233"/>
      <c r="C5699" s="238"/>
      <c r="E5699" s="545"/>
      <c r="F5699" s="546"/>
      <c r="G5699" s="234"/>
      <c r="H5699" s="238"/>
      <c r="I5699" s="237"/>
    </row>
    <row r="5700" spans="1:9" s="232" customFormat="1" ht="17" customHeight="1">
      <c r="A5700" s="234"/>
      <c r="B5700" s="233"/>
      <c r="C5700" s="238"/>
      <c r="E5700" s="545"/>
      <c r="F5700" s="546"/>
      <c r="G5700" s="234"/>
      <c r="H5700" s="238"/>
      <c r="I5700" s="237"/>
    </row>
    <row r="5701" spans="1:9" s="232" customFormat="1" ht="17" customHeight="1">
      <c r="A5701" s="234"/>
      <c r="B5701" s="233"/>
      <c r="C5701" s="238"/>
      <c r="E5701" s="545"/>
      <c r="F5701" s="546"/>
      <c r="G5701" s="234"/>
      <c r="H5701" s="238"/>
      <c r="I5701" s="237"/>
    </row>
    <row r="5702" spans="1:9" s="232" customFormat="1" ht="17" customHeight="1">
      <c r="A5702" s="234"/>
      <c r="B5702" s="233"/>
      <c r="C5702" s="238"/>
      <c r="E5702" s="545"/>
      <c r="F5702" s="546"/>
      <c r="G5702" s="234"/>
      <c r="H5702" s="238"/>
      <c r="I5702" s="237"/>
    </row>
    <row r="5703" spans="1:9" s="232" customFormat="1" ht="17" customHeight="1">
      <c r="A5703" s="234"/>
      <c r="B5703" s="233"/>
      <c r="C5703" s="238"/>
      <c r="E5703" s="545"/>
      <c r="F5703" s="546"/>
      <c r="G5703" s="234"/>
      <c r="H5703" s="238"/>
      <c r="I5703" s="237"/>
    </row>
    <row r="5704" spans="1:9" s="232" customFormat="1" ht="17" customHeight="1">
      <c r="A5704" s="234"/>
      <c r="B5704" s="233"/>
      <c r="C5704" s="238"/>
      <c r="E5704" s="545"/>
      <c r="F5704" s="546"/>
      <c r="G5704" s="234"/>
      <c r="H5704" s="238"/>
      <c r="I5704" s="237"/>
    </row>
    <row r="5705" spans="1:9" s="232" customFormat="1" ht="17" customHeight="1">
      <c r="A5705" s="234"/>
      <c r="B5705" s="233"/>
      <c r="C5705" s="238"/>
      <c r="E5705" s="545"/>
      <c r="F5705" s="546"/>
      <c r="G5705" s="234"/>
      <c r="H5705" s="238"/>
      <c r="I5705" s="237"/>
    </row>
    <row r="5706" spans="1:9" s="232" customFormat="1" ht="17" customHeight="1">
      <c r="A5706" s="234"/>
      <c r="B5706" s="233"/>
      <c r="C5706" s="238"/>
      <c r="E5706" s="545"/>
      <c r="F5706" s="546"/>
      <c r="G5706" s="234"/>
      <c r="H5706" s="238"/>
      <c r="I5706" s="237"/>
    </row>
    <row r="5707" spans="1:9" s="232" customFormat="1" ht="17" customHeight="1">
      <c r="A5707" s="234"/>
      <c r="B5707" s="233"/>
      <c r="C5707" s="238"/>
      <c r="E5707" s="545"/>
      <c r="F5707" s="546"/>
      <c r="G5707" s="234"/>
      <c r="H5707" s="238"/>
      <c r="I5707" s="237"/>
    </row>
    <row r="5708" spans="1:9" s="232" customFormat="1" ht="17" customHeight="1">
      <c r="A5708" s="234"/>
      <c r="B5708" s="233"/>
      <c r="C5708" s="238"/>
      <c r="E5708" s="545"/>
      <c r="F5708" s="546"/>
      <c r="G5708" s="234"/>
      <c r="H5708" s="238"/>
      <c r="I5708" s="237"/>
    </row>
    <row r="5709" spans="1:9" s="232" customFormat="1" ht="17" customHeight="1">
      <c r="A5709" s="234"/>
      <c r="B5709" s="233"/>
      <c r="C5709" s="238"/>
      <c r="E5709" s="545"/>
      <c r="F5709" s="546"/>
      <c r="G5709" s="234"/>
      <c r="H5709" s="238"/>
      <c r="I5709" s="237"/>
    </row>
    <row r="5710" spans="1:9" s="232" customFormat="1" ht="17" customHeight="1">
      <c r="A5710" s="234"/>
      <c r="B5710" s="233"/>
      <c r="C5710" s="238"/>
      <c r="E5710" s="545"/>
      <c r="F5710" s="546"/>
      <c r="G5710" s="234"/>
      <c r="H5710" s="238"/>
      <c r="I5710" s="237"/>
    </row>
    <row r="5711" spans="1:9" s="232" customFormat="1" ht="17" customHeight="1">
      <c r="A5711" s="234"/>
      <c r="B5711" s="233"/>
      <c r="C5711" s="238"/>
      <c r="E5711" s="545"/>
      <c r="F5711" s="546"/>
      <c r="G5711" s="234"/>
      <c r="H5711" s="238"/>
      <c r="I5711" s="237"/>
    </row>
    <row r="5712" spans="1:9" s="232" customFormat="1" ht="17" customHeight="1">
      <c r="A5712" s="234"/>
      <c r="B5712" s="233"/>
      <c r="C5712" s="238"/>
      <c r="E5712" s="545"/>
      <c r="F5712" s="546"/>
      <c r="G5712" s="234"/>
      <c r="H5712" s="238"/>
      <c r="I5712" s="237"/>
    </row>
    <row r="5713" spans="1:9" s="232" customFormat="1" ht="17" customHeight="1">
      <c r="A5713" s="234"/>
      <c r="B5713" s="233"/>
      <c r="C5713" s="238"/>
      <c r="E5713" s="545"/>
      <c r="F5713" s="546"/>
      <c r="G5713" s="234"/>
      <c r="H5713" s="238"/>
      <c r="I5713" s="237"/>
    </row>
    <row r="5714" spans="1:9" s="232" customFormat="1" ht="17" customHeight="1">
      <c r="A5714" s="234"/>
      <c r="B5714" s="233"/>
      <c r="C5714" s="238"/>
      <c r="E5714" s="545"/>
      <c r="F5714" s="546"/>
      <c r="G5714" s="234"/>
      <c r="H5714" s="238"/>
      <c r="I5714" s="237"/>
    </row>
    <row r="5715" spans="1:9" s="232" customFormat="1" ht="17" customHeight="1">
      <c r="A5715" s="234"/>
      <c r="B5715" s="233"/>
      <c r="C5715" s="238"/>
      <c r="E5715" s="545"/>
      <c r="F5715" s="546"/>
      <c r="G5715" s="234"/>
      <c r="H5715" s="238"/>
      <c r="I5715" s="237"/>
    </row>
    <row r="5716" spans="1:9" s="232" customFormat="1" ht="17" customHeight="1">
      <c r="A5716" s="234"/>
      <c r="B5716" s="233"/>
      <c r="C5716" s="238"/>
      <c r="E5716" s="545"/>
      <c r="F5716" s="546"/>
      <c r="G5716" s="234"/>
      <c r="H5716" s="238"/>
      <c r="I5716" s="237"/>
    </row>
    <row r="5717" spans="1:9" s="232" customFormat="1" ht="17" customHeight="1">
      <c r="A5717" s="234"/>
      <c r="B5717" s="233"/>
      <c r="C5717" s="238"/>
      <c r="E5717" s="545"/>
      <c r="F5717" s="546"/>
      <c r="G5717" s="234"/>
      <c r="H5717" s="238"/>
      <c r="I5717" s="237"/>
    </row>
    <row r="5718" spans="1:9" s="232" customFormat="1" ht="17" customHeight="1">
      <c r="A5718" s="234"/>
      <c r="B5718" s="233"/>
      <c r="C5718" s="238"/>
      <c r="E5718" s="545"/>
      <c r="F5718" s="546"/>
      <c r="G5718" s="234"/>
      <c r="H5718" s="238"/>
      <c r="I5718" s="237"/>
    </row>
    <row r="5719" spans="1:9" s="232" customFormat="1" ht="17" customHeight="1">
      <c r="A5719" s="234"/>
      <c r="B5719" s="233"/>
      <c r="C5719" s="238"/>
      <c r="E5719" s="545"/>
      <c r="F5719" s="546"/>
      <c r="G5719" s="234"/>
      <c r="H5719" s="238"/>
      <c r="I5719" s="237"/>
    </row>
    <row r="5720" spans="1:9" s="232" customFormat="1" ht="17" customHeight="1">
      <c r="A5720" s="234"/>
      <c r="B5720" s="233"/>
      <c r="C5720" s="238"/>
      <c r="E5720" s="545"/>
      <c r="F5720" s="546"/>
      <c r="G5720" s="234"/>
      <c r="H5720" s="238"/>
      <c r="I5720" s="237"/>
    </row>
    <row r="5721" spans="1:9" s="232" customFormat="1" ht="17" customHeight="1">
      <c r="A5721" s="234"/>
      <c r="B5721" s="233"/>
      <c r="C5721" s="238"/>
      <c r="E5721" s="545"/>
      <c r="F5721" s="546"/>
      <c r="G5721" s="234"/>
      <c r="H5721" s="238"/>
      <c r="I5721" s="237"/>
    </row>
    <row r="5722" spans="1:9" s="232" customFormat="1" ht="17" customHeight="1">
      <c r="A5722" s="234"/>
      <c r="B5722" s="233"/>
      <c r="C5722" s="238"/>
      <c r="E5722" s="545"/>
      <c r="F5722" s="546"/>
      <c r="G5722" s="234"/>
      <c r="H5722" s="238"/>
      <c r="I5722" s="237"/>
    </row>
    <row r="5723" spans="1:9" s="232" customFormat="1" ht="17" customHeight="1">
      <c r="A5723" s="234"/>
      <c r="B5723" s="233"/>
      <c r="C5723" s="238"/>
      <c r="E5723" s="545"/>
      <c r="F5723" s="546"/>
      <c r="G5723" s="234"/>
      <c r="H5723" s="238"/>
      <c r="I5723" s="237"/>
    </row>
    <row r="5724" spans="1:9" s="232" customFormat="1" ht="17" customHeight="1">
      <c r="A5724" s="234"/>
      <c r="B5724" s="233"/>
      <c r="C5724" s="238"/>
      <c r="E5724" s="545"/>
      <c r="F5724" s="546"/>
      <c r="G5724" s="234"/>
      <c r="H5724" s="238"/>
      <c r="I5724" s="237"/>
    </row>
    <row r="5725" spans="1:9" s="232" customFormat="1" ht="17" customHeight="1">
      <c r="A5725" s="234"/>
      <c r="B5725" s="233"/>
      <c r="C5725" s="238"/>
      <c r="E5725" s="545"/>
      <c r="F5725" s="546"/>
      <c r="G5725" s="234"/>
      <c r="H5725" s="238"/>
      <c r="I5725" s="237"/>
    </row>
    <row r="5726" spans="1:9" s="232" customFormat="1" ht="17" customHeight="1">
      <c r="A5726" s="234"/>
      <c r="B5726" s="233"/>
      <c r="C5726" s="238"/>
      <c r="E5726" s="545"/>
      <c r="F5726" s="546"/>
      <c r="G5726" s="234"/>
      <c r="H5726" s="238"/>
      <c r="I5726" s="237"/>
    </row>
    <row r="5727" spans="1:9" s="232" customFormat="1" ht="17" customHeight="1">
      <c r="A5727" s="234"/>
      <c r="B5727" s="233"/>
      <c r="C5727" s="238"/>
      <c r="E5727" s="545"/>
      <c r="F5727" s="546"/>
      <c r="G5727" s="234"/>
      <c r="H5727" s="238"/>
      <c r="I5727" s="237"/>
    </row>
    <row r="5728" spans="1:9" s="232" customFormat="1" ht="17" customHeight="1">
      <c r="A5728" s="234"/>
      <c r="B5728" s="233"/>
      <c r="C5728" s="238"/>
      <c r="E5728" s="545"/>
      <c r="F5728" s="546"/>
      <c r="G5728" s="234"/>
      <c r="H5728" s="238"/>
      <c r="I5728" s="237"/>
    </row>
    <row r="5729" spans="1:9" s="232" customFormat="1" ht="17" customHeight="1">
      <c r="A5729" s="234"/>
      <c r="B5729" s="233"/>
      <c r="C5729" s="238"/>
      <c r="E5729" s="545"/>
      <c r="F5729" s="546"/>
      <c r="G5729" s="234"/>
      <c r="H5729" s="238"/>
      <c r="I5729" s="237"/>
    </row>
    <row r="5730" spans="1:9" s="232" customFormat="1" ht="17" customHeight="1">
      <c r="A5730" s="234"/>
      <c r="B5730" s="233"/>
      <c r="C5730" s="238"/>
      <c r="E5730" s="545"/>
      <c r="F5730" s="546"/>
      <c r="G5730" s="234"/>
      <c r="H5730" s="238"/>
      <c r="I5730" s="237"/>
    </row>
    <row r="5731" spans="1:9" s="232" customFormat="1" ht="17" customHeight="1">
      <c r="A5731" s="234"/>
      <c r="B5731" s="233"/>
      <c r="C5731" s="238"/>
      <c r="E5731" s="545"/>
      <c r="F5731" s="546"/>
      <c r="G5731" s="234"/>
      <c r="H5731" s="238"/>
      <c r="I5731" s="237"/>
    </row>
    <row r="5732" spans="1:9" s="232" customFormat="1" ht="17" customHeight="1">
      <c r="A5732" s="234"/>
      <c r="B5732" s="233"/>
      <c r="C5732" s="238"/>
      <c r="E5732" s="545"/>
      <c r="F5732" s="546"/>
      <c r="G5732" s="234"/>
      <c r="H5732" s="238"/>
      <c r="I5732" s="237"/>
    </row>
    <row r="5733" spans="1:9" s="232" customFormat="1" ht="17" customHeight="1">
      <c r="A5733" s="234"/>
      <c r="B5733" s="233"/>
      <c r="C5733" s="238"/>
      <c r="E5733" s="545"/>
      <c r="F5733" s="546"/>
      <c r="G5733" s="234"/>
      <c r="H5733" s="238"/>
      <c r="I5733" s="237"/>
    </row>
    <row r="5734" spans="1:9" s="232" customFormat="1" ht="17" customHeight="1">
      <c r="A5734" s="234"/>
      <c r="B5734" s="233"/>
      <c r="C5734" s="238"/>
      <c r="E5734" s="545"/>
      <c r="F5734" s="546"/>
      <c r="G5734" s="234"/>
      <c r="H5734" s="238"/>
      <c r="I5734" s="237"/>
    </row>
    <row r="5735" spans="1:9" s="232" customFormat="1" ht="17" customHeight="1">
      <c r="A5735" s="234"/>
      <c r="B5735" s="233"/>
      <c r="C5735" s="238"/>
      <c r="E5735" s="545"/>
      <c r="F5735" s="546"/>
      <c r="G5735" s="234"/>
      <c r="H5735" s="238"/>
      <c r="I5735" s="237"/>
    </row>
    <row r="5736" spans="1:9" s="232" customFormat="1" ht="17" customHeight="1">
      <c r="A5736" s="234"/>
      <c r="B5736" s="233"/>
      <c r="C5736" s="238"/>
      <c r="E5736" s="545"/>
      <c r="F5736" s="546"/>
      <c r="G5736" s="234"/>
      <c r="H5736" s="238"/>
      <c r="I5736" s="237"/>
    </row>
    <row r="5737" spans="1:9" s="232" customFormat="1" ht="17" customHeight="1">
      <c r="A5737" s="234"/>
      <c r="B5737" s="233"/>
      <c r="C5737" s="238"/>
      <c r="E5737" s="545"/>
      <c r="F5737" s="546"/>
      <c r="G5737" s="234"/>
      <c r="H5737" s="238"/>
      <c r="I5737" s="237"/>
    </row>
    <row r="5738" spans="1:9" s="232" customFormat="1" ht="17" customHeight="1">
      <c r="A5738" s="234"/>
      <c r="B5738" s="233"/>
      <c r="C5738" s="238"/>
      <c r="E5738" s="545"/>
      <c r="F5738" s="546"/>
      <c r="G5738" s="234"/>
      <c r="H5738" s="238"/>
      <c r="I5738" s="237"/>
    </row>
    <row r="5739" spans="1:9" s="232" customFormat="1" ht="17" customHeight="1">
      <c r="A5739" s="234"/>
      <c r="B5739" s="233"/>
      <c r="C5739" s="238"/>
      <c r="E5739" s="545"/>
      <c r="F5739" s="546"/>
      <c r="G5739" s="234"/>
      <c r="H5739" s="238"/>
      <c r="I5739" s="237"/>
    </row>
    <row r="5740" spans="1:9" s="232" customFormat="1" ht="17" customHeight="1">
      <c r="A5740" s="234"/>
      <c r="B5740" s="233"/>
      <c r="C5740" s="238"/>
      <c r="E5740" s="545"/>
      <c r="F5740" s="546"/>
      <c r="G5740" s="234"/>
      <c r="H5740" s="238"/>
      <c r="I5740" s="237"/>
    </row>
    <row r="5741" spans="1:9" s="232" customFormat="1" ht="17" customHeight="1">
      <c r="A5741" s="234"/>
      <c r="B5741" s="233"/>
      <c r="C5741" s="238"/>
      <c r="E5741" s="545"/>
      <c r="F5741" s="546"/>
      <c r="G5741" s="234"/>
      <c r="H5741" s="238"/>
      <c r="I5741" s="237"/>
    </row>
    <row r="5742" spans="1:9" s="232" customFormat="1" ht="17" customHeight="1">
      <c r="A5742" s="234"/>
      <c r="B5742" s="233"/>
      <c r="C5742" s="238"/>
      <c r="E5742" s="545"/>
      <c r="F5742" s="546"/>
      <c r="G5742" s="234"/>
      <c r="H5742" s="238"/>
      <c r="I5742" s="237"/>
    </row>
    <row r="5743" spans="1:9" s="232" customFormat="1" ht="17" customHeight="1">
      <c r="A5743" s="234"/>
      <c r="B5743" s="233"/>
      <c r="C5743" s="238"/>
      <c r="E5743" s="545"/>
      <c r="F5743" s="546"/>
      <c r="G5743" s="234"/>
      <c r="H5743" s="238"/>
      <c r="I5743" s="237"/>
    </row>
    <row r="5744" spans="1:9" s="232" customFormat="1" ht="17" customHeight="1">
      <c r="A5744" s="234"/>
      <c r="B5744" s="233"/>
      <c r="C5744" s="238"/>
      <c r="E5744" s="545"/>
      <c r="F5744" s="546"/>
      <c r="G5744" s="234"/>
      <c r="H5744" s="238"/>
      <c r="I5744" s="237"/>
    </row>
    <row r="5745" spans="1:9" s="232" customFormat="1" ht="17" customHeight="1">
      <c r="A5745" s="234"/>
      <c r="B5745" s="233"/>
      <c r="C5745" s="238"/>
      <c r="E5745" s="545"/>
      <c r="F5745" s="546"/>
      <c r="G5745" s="234"/>
      <c r="H5745" s="238"/>
      <c r="I5745" s="237"/>
    </row>
    <row r="5746" spans="1:9" s="232" customFormat="1" ht="17" customHeight="1">
      <c r="A5746" s="234"/>
      <c r="B5746" s="233"/>
      <c r="C5746" s="238"/>
      <c r="E5746" s="545"/>
      <c r="F5746" s="546"/>
      <c r="G5746" s="234"/>
      <c r="H5746" s="238"/>
      <c r="I5746" s="237"/>
    </row>
    <row r="5747" spans="1:9" s="232" customFormat="1" ht="17" customHeight="1">
      <c r="A5747" s="234"/>
      <c r="B5747" s="233"/>
      <c r="C5747" s="238"/>
      <c r="E5747" s="545"/>
      <c r="F5747" s="546"/>
      <c r="G5747" s="234"/>
      <c r="H5747" s="238"/>
      <c r="I5747" s="237"/>
    </row>
    <row r="5748" spans="1:9" s="232" customFormat="1" ht="17" customHeight="1">
      <c r="A5748" s="234"/>
      <c r="B5748" s="233"/>
      <c r="C5748" s="238"/>
      <c r="E5748" s="545"/>
      <c r="F5748" s="546"/>
      <c r="G5748" s="234"/>
      <c r="H5748" s="238"/>
      <c r="I5748" s="237"/>
    </row>
    <row r="5749" spans="1:9" s="232" customFormat="1" ht="17" customHeight="1">
      <c r="A5749" s="234"/>
      <c r="B5749" s="233"/>
      <c r="C5749" s="238"/>
      <c r="E5749" s="545"/>
      <c r="F5749" s="546"/>
      <c r="G5749" s="234"/>
      <c r="H5749" s="238"/>
      <c r="I5749" s="237"/>
    </row>
    <row r="5750" spans="1:9" s="232" customFormat="1" ht="17" customHeight="1">
      <c r="A5750" s="234"/>
      <c r="B5750" s="233"/>
      <c r="C5750" s="238"/>
      <c r="E5750" s="545"/>
      <c r="F5750" s="546"/>
      <c r="G5750" s="234"/>
      <c r="H5750" s="238"/>
      <c r="I5750" s="237"/>
    </row>
    <row r="5751" spans="1:9" s="232" customFormat="1" ht="17" customHeight="1">
      <c r="A5751" s="234"/>
      <c r="B5751" s="233"/>
      <c r="C5751" s="238"/>
      <c r="E5751" s="545"/>
      <c r="F5751" s="546"/>
      <c r="G5751" s="234"/>
      <c r="H5751" s="238"/>
      <c r="I5751" s="237"/>
    </row>
    <row r="5752" spans="1:9" s="232" customFormat="1" ht="17" customHeight="1">
      <c r="A5752" s="234"/>
      <c r="B5752" s="233"/>
      <c r="C5752" s="238"/>
      <c r="E5752" s="545"/>
      <c r="F5752" s="546"/>
      <c r="G5752" s="234"/>
      <c r="H5752" s="238"/>
      <c r="I5752" s="237"/>
    </row>
    <row r="5753" spans="1:9" s="232" customFormat="1" ht="17" customHeight="1">
      <c r="A5753" s="234"/>
      <c r="B5753" s="233"/>
      <c r="C5753" s="238"/>
      <c r="E5753" s="545"/>
      <c r="F5753" s="546"/>
      <c r="G5753" s="234"/>
      <c r="H5753" s="238"/>
      <c r="I5753" s="237"/>
    </row>
    <row r="5754" spans="1:9" s="232" customFormat="1" ht="17" customHeight="1">
      <c r="A5754" s="234"/>
      <c r="B5754" s="233"/>
      <c r="C5754" s="238"/>
      <c r="E5754" s="545"/>
      <c r="F5754" s="546"/>
      <c r="G5754" s="234"/>
      <c r="H5754" s="238"/>
      <c r="I5754" s="237"/>
    </row>
    <row r="5755" spans="1:9" s="232" customFormat="1" ht="17" customHeight="1">
      <c r="A5755" s="234"/>
      <c r="B5755" s="233"/>
      <c r="C5755" s="238"/>
      <c r="E5755" s="545"/>
      <c r="F5755" s="546"/>
      <c r="G5755" s="234"/>
      <c r="H5755" s="238"/>
      <c r="I5755" s="237"/>
    </row>
    <row r="5756" spans="1:9" s="232" customFormat="1" ht="17" customHeight="1">
      <c r="A5756" s="234"/>
      <c r="B5756" s="233"/>
      <c r="C5756" s="238"/>
      <c r="E5756" s="545"/>
      <c r="F5756" s="546"/>
      <c r="G5756" s="234"/>
      <c r="H5756" s="238"/>
      <c r="I5756" s="237"/>
    </row>
    <row r="5757" spans="1:9" s="232" customFormat="1" ht="17" customHeight="1">
      <c r="A5757" s="234"/>
      <c r="B5757" s="233"/>
      <c r="C5757" s="238"/>
      <c r="E5757" s="545"/>
      <c r="F5757" s="546"/>
      <c r="G5757" s="234"/>
      <c r="H5757" s="238"/>
      <c r="I5757" s="237"/>
    </row>
    <row r="5758" spans="1:9" s="232" customFormat="1" ht="17" customHeight="1">
      <c r="A5758" s="234"/>
      <c r="B5758" s="233"/>
      <c r="C5758" s="238"/>
      <c r="E5758" s="545"/>
      <c r="F5758" s="546"/>
      <c r="G5758" s="234"/>
      <c r="H5758" s="238"/>
      <c r="I5758" s="237"/>
    </row>
    <row r="5759" spans="1:9" s="232" customFormat="1" ht="17" customHeight="1">
      <c r="A5759" s="234"/>
      <c r="B5759" s="233"/>
      <c r="C5759" s="238"/>
      <c r="E5759" s="545"/>
      <c r="F5759" s="546"/>
      <c r="G5759" s="234"/>
      <c r="H5759" s="238"/>
      <c r="I5759" s="237"/>
    </row>
    <row r="5760" spans="1:9" s="232" customFormat="1" ht="17" customHeight="1">
      <c r="A5760" s="234"/>
      <c r="B5760" s="233"/>
      <c r="C5760" s="238"/>
      <c r="E5760" s="545"/>
      <c r="F5760" s="546"/>
      <c r="G5760" s="234"/>
      <c r="H5760" s="238"/>
      <c r="I5760" s="237"/>
    </row>
    <row r="5761" spans="1:9" s="232" customFormat="1" ht="17" customHeight="1">
      <c r="A5761" s="234"/>
      <c r="B5761" s="233"/>
      <c r="C5761" s="238"/>
      <c r="E5761" s="545"/>
      <c r="F5761" s="546"/>
      <c r="G5761" s="234"/>
      <c r="H5761" s="238"/>
      <c r="I5761" s="237"/>
    </row>
    <row r="5762" spans="1:9" s="232" customFormat="1" ht="17" customHeight="1">
      <c r="A5762" s="234"/>
      <c r="B5762" s="233"/>
      <c r="C5762" s="238"/>
      <c r="E5762" s="545"/>
      <c r="F5762" s="546"/>
      <c r="G5762" s="234"/>
      <c r="H5762" s="238"/>
      <c r="I5762" s="237"/>
    </row>
    <row r="5763" spans="1:9" s="232" customFormat="1" ht="17" customHeight="1">
      <c r="A5763" s="234"/>
      <c r="B5763" s="233"/>
      <c r="C5763" s="238"/>
      <c r="E5763" s="545"/>
      <c r="F5763" s="546"/>
      <c r="G5763" s="234"/>
      <c r="H5763" s="238"/>
      <c r="I5763" s="237"/>
    </row>
    <row r="5764" spans="1:9" s="232" customFormat="1" ht="17" customHeight="1">
      <c r="A5764" s="234"/>
      <c r="B5764" s="233"/>
      <c r="C5764" s="238"/>
      <c r="E5764" s="545"/>
      <c r="F5764" s="546"/>
      <c r="G5764" s="234"/>
      <c r="H5764" s="238"/>
      <c r="I5764" s="237"/>
    </row>
    <row r="5765" spans="1:9" s="232" customFormat="1" ht="17" customHeight="1">
      <c r="A5765" s="234"/>
      <c r="B5765" s="233"/>
      <c r="C5765" s="238"/>
      <c r="E5765" s="545"/>
      <c r="F5765" s="546"/>
      <c r="G5765" s="234"/>
      <c r="H5765" s="238"/>
      <c r="I5765" s="237"/>
    </row>
    <row r="5766" spans="1:9" s="232" customFormat="1" ht="17" customHeight="1">
      <c r="A5766" s="234"/>
      <c r="B5766" s="233"/>
      <c r="C5766" s="238"/>
      <c r="E5766" s="545"/>
      <c r="F5766" s="546"/>
      <c r="G5766" s="234"/>
      <c r="H5766" s="238"/>
      <c r="I5766" s="237"/>
    </row>
    <row r="5767" spans="1:9" s="232" customFormat="1" ht="17" customHeight="1">
      <c r="A5767" s="234"/>
      <c r="B5767" s="233"/>
      <c r="C5767" s="238"/>
      <c r="E5767" s="545"/>
      <c r="F5767" s="546"/>
      <c r="G5767" s="234"/>
      <c r="H5767" s="238"/>
      <c r="I5767" s="237"/>
    </row>
    <row r="5768" spans="1:9" s="232" customFormat="1" ht="17" customHeight="1">
      <c r="A5768" s="234"/>
      <c r="B5768" s="233"/>
      <c r="C5768" s="238"/>
      <c r="E5768" s="545"/>
      <c r="F5768" s="546"/>
      <c r="G5768" s="234"/>
      <c r="H5768" s="238"/>
      <c r="I5768" s="237"/>
    </row>
    <row r="5769" spans="1:9" s="232" customFormat="1" ht="17" customHeight="1">
      <c r="A5769" s="234"/>
      <c r="B5769" s="233"/>
      <c r="C5769" s="238"/>
      <c r="E5769" s="545"/>
      <c r="F5769" s="546"/>
      <c r="G5769" s="234"/>
      <c r="H5769" s="238"/>
      <c r="I5769" s="237"/>
    </row>
    <row r="5770" spans="1:9" s="232" customFormat="1" ht="17" customHeight="1">
      <c r="A5770" s="234"/>
      <c r="B5770" s="233"/>
      <c r="C5770" s="238"/>
      <c r="E5770" s="545"/>
      <c r="F5770" s="546"/>
      <c r="G5770" s="234"/>
      <c r="H5770" s="238"/>
      <c r="I5770" s="237"/>
    </row>
    <row r="5771" spans="1:9" s="232" customFormat="1" ht="17" customHeight="1">
      <c r="A5771" s="234"/>
      <c r="B5771" s="233"/>
      <c r="C5771" s="238"/>
      <c r="E5771" s="545"/>
      <c r="F5771" s="546"/>
      <c r="G5771" s="234"/>
      <c r="H5771" s="238"/>
      <c r="I5771" s="237"/>
    </row>
    <row r="5772" spans="1:9" s="232" customFormat="1" ht="17" customHeight="1">
      <c r="A5772" s="234"/>
      <c r="B5772" s="233"/>
      <c r="C5772" s="238"/>
      <c r="E5772" s="545"/>
      <c r="F5772" s="546"/>
      <c r="G5772" s="234"/>
      <c r="H5772" s="238"/>
      <c r="I5772" s="237"/>
    </row>
    <row r="5773" spans="1:9" s="232" customFormat="1" ht="17" customHeight="1">
      <c r="A5773" s="234"/>
      <c r="B5773" s="233"/>
      <c r="C5773" s="238"/>
      <c r="E5773" s="545"/>
      <c r="F5773" s="546"/>
      <c r="G5773" s="234"/>
      <c r="H5773" s="238"/>
      <c r="I5773" s="237"/>
    </row>
    <row r="5774" spans="1:9" s="232" customFormat="1" ht="17" customHeight="1">
      <c r="A5774" s="234"/>
      <c r="B5774" s="233"/>
      <c r="C5774" s="238"/>
      <c r="E5774" s="545"/>
      <c r="F5774" s="546"/>
      <c r="G5774" s="234"/>
      <c r="H5774" s="238"/>
      <c r="I5774" s="237"/>
    </row>
    <row r="5775" spans="1:9" s="232" customFormat="1" ht="17" customHeight="1">
      <c r="A5775" s="234"/>
      <c r="B5775" s="233"/>
      <c r="C5775" s="238"/>
      <c r="E5775" s="545"/>
      <c r="F5775" s="546"/>
      <c r="G5775" s="234"/>
      <c r="H5775" s="238"/>
      <c r="I5775" s="237"/>
    </row>
    <row r="5776" spans="1:9" s="232" customFormat="1" ht="17" customHeight="1">
      <c r="A5776" s="234"/>
      <c r="B5776" s="233"/>
      <c r="C5776" s="238"/>
      <c r="E5776" s="545"/>
      <c r="F5776" s="546"/>
      <c r="G5776" s="234"/>
      <c r="H5776" s="238"/>
      <c r="I5776" s="237"/>
    </row>
    <row r="5777" spans="1:9" s="232" customFormat="1" ht="17" customHeight="1">
      <c r="A5777" s="234"/>
      <c r="B5777" s="233"/>
      <c r="C5777" s="238"/>
      <c r="E5777" s="545"/>
      <c r="F5777" s="546"/>
      <c r="G5777" s="234"/>
      <c r="H5777" s="238"/>
      <c r="I5777" s="237"/>
    </row>
    <row r="5778" spans="1:9" s="232" customFormat="1" ht="17" customHeight="1">
      <c r="A5778" s="234"/>
      <c r="B5778" s="233"/>
      <c r="C5778" s="238"/>
      <c r="E5778" s="545"/>
      <c r="F5778" s="546"/>
      <c r="G5778" s="234"/>
      <c r="H5778" s="238"/>
      <c r="I5778" s="237"/>
    </row>
    <row r="5779" spans="1:9" s="232" customFormat="1" ht="17" customHeight="1">
      <c r="A5779" s="234"/>
      <c r="B5779" s="233"/>
      <c r="C5779" s="238"/>
      <c r="E5779" s="545"/>
      <c r="F5779" s="546"/>
      <c r="G5779" s="234"/>
      <c r="H5779" s="238"/>
      <c r="I5779" s="237"/>
    </row>
    <row r="5780" spans="1:9" s="232" customFormat="1" ht="17" customHeight="1">
      <c r="A5780" s="234"/>
      <c r="B5780" s="233"/>
      <c r="C5780" s="238"/>
      <c r="E5780" s="545"/>
      <c r="F5780" s="546"/>
      <c r="G5780" s="234"/>
      <c r="H5780" s="238"/>
      <c r="I5780" s="237"/>
    </row>
    <row r="5781" spans="1:9" s="232" customFormat="1" ht="17" customHeight="1">
      <c r="A5781" s="234"/>
      <c r="B5781" s="233"/>
      <c r="C5781" s="238"/>
      <c r="E5781" s="545"/>
      <c r="F5781" s="546"/>
      <c r="G5781" s="234"/>
      <c r="H5781" s="238"/>
      <c r="I5781" s="237"/>
    </row>
    <row r="5782" spans="1:9" s="232" customFormat="1" ht="17" customHeight="1">
      <c r="A5782" s="234"/>
      <c r="B5782" s="233"/>
      <c r="C5782" s="238"/>
      <c r="E5782" s="545"/>
      <c r="F5782" s="546"/>
      <c r="G5782" s="234"/>
      <c r="H5782" s="238"/>
      <c r="I5782" s="237"/>
    </row>
    <row r="5783" spans="1:9" s="232" customFormat="1" ht="17" customHeight="1">
      <c r="A5783" s="234"/>
      <c r="B5783" s="233"/>
      <c r="C5783" s="238"/>
      <c r="E5783" s="545"/>
      <c r="F5783" s="546"/>
      <c r="G5783" s="234"/>
      <c r="H5783" s="238"/>
      <c r="I5783" s="237"/>
    </row>
    <row r="5784" spans="1:9" s="232" customFormat="1" ht="17" customHeight="1">
      <c r="A5784" s="234"/>
      <c r="B5784" s="233"/>
      <c r="C5784" s="238"/>
      <c r="E5784" s="545"/>
      <c r="F5784" s="546"/>
      <c r="G5784" s="234"/>
      <c r="H5784" s="238"/>
      <c r="I5784" s="237"/>
    </row>
    <row r="5785" spans="1:9" s="232" customFormat="1" ht="17" customHeight="1">
      <c r="A5785" s="234"/>
      <c r="B5785" s="233"/>
      <c r="C5785" s="238"/>
      <c r="E5785" s="545"/>
      <c r="F5785" s="546"/>
      <c r="G5785" s="234"/>
      <c r="H5785" s="238"/>
      <c r="I5785" s="237"/>
    </row>
    <row r="5786" spans="1:9" s="232" customFormat="1" ht="17" customHeight="1">
      <c r="A5786" s="234"/>
      <c r="B5786" s="233"/>
      <c r="C5786" s="238"/>
      <c r="E5786" s="545"/>
      <c r="F5786" s="546"/>
      <c r="G5786" s="234"/>
      <c r="H5786" s="238"/>
      <c r="I5786" s="237"/>
    </row>
    <row r="5787" spans="1:9" s="232" customFormat="1" ht="17" customHeight="1">
      <c r="A5787" s="234"/>
      <c r="B5787" s="233"/>
      <c r="C5787" s="238"/>
      <c r="E5787" s="545"/>
      <c r="F5787" s="546"/>
      <c r="G5787" s="234"/>
      <c r="H5787" s="238"/>
      <c r="I5787" s="237"/>
    </row>
    <row r="5788" spans="1:9" s="232" customFormat="1" ht="17" customHeight="1">
      <c r="A5788" s="234"/>
      <c r="B5788" s="233"/>
      <c r="C5788" s="238"/>
      <c r="E5788" s="545"/>
      <c r="F5788" s="546"/>
      <c r="G5788" s="234"/>
      <c r="H5788" s="238"/>
      <c r="I5788" s="237"/>
    </row>
    <row r="5789" spans="1:9" s="232" customFormat="1" ht="17" customHeight="1">
      <c r="A5789" s="234"/>
      <c r="B5789" s="233"/>
      <c r="C5789" s="238"/>
      <c r="E5789" s="545"/>
      <c r="F5789" s="546"/>
      <c r="G5789" s="234"/>
      <c r="H5789" s="238"/>
      <c r="I5789" s="237"/>
    </row>
    <row r="5790" spans="1:9" s="232" customFormat="1" ht="17" customHeight="1">
      <c r="A5790" s="234"/>
      <c r="B5790" s="233"/>
      <c r="C5790" s="238"/>
      <c r="E5790" s="545"/>
      <c r="F5790" s="546"/>
      <c r="G5790" s="234"/>
      <c r="H5790" s="238"/>
      <c r="I5790" s="237"/>
    </row>
    <row r="5791" spans="1:9" s="232" customFormat="1" ht="17" customHeight="1">
      <c r="A5791" s="234"/>
      <c r="B5791" s="233"/>
      <c r="C5791" s="238"/>
      <c r="E5791" s="545"/>
      <c r="F5791" s="546"/>
      <c r="G5791" s="234"/>
      <c r="H5791" s="238"/>
      <c r="I5791" s="237"/>
    </row>
    <row r="5792" spans="1:9" s="232" customFormat="1" ht="17" customHeight="1">
      <c r="A5792" s="234"/>
      <c r="B5792" s="233"/>
      <c r="C5792" s="238"/>
      <c r="E5792" s="545"/>
      <c r="F5792" s="546"/>
      <c r="G5792" s="234"/>
      <c r="H5792" s="238"/>
      <c r="I5792" s="237"/>
    </row>
    <row r="5793" spans="1:9" s="232" customFormat="1" ht="17" customHeight="1">
      <c r="A5793" s="234"/>
      <c r="B5793" s="233"/>
      <c r="C5793" s="238"/>
      <c r="E5793" s="545"/>
      <c r="F5793" s="546"/>
      <c r="G5793" s="234"/>
      <c r="H5793" s="238"/>
      <c r="I5793" s="237"/>
    </row>
    <row r="5794" spans="1:9" s="232" customFormat="1" ht="17" customHeight="1">
      <c r="A5794" s="234"/>
      <c r="B5794" s="233"/>
      <c r="C5794" s="238"/>
      <c r="E5794" s="545"/>
      <c r="F5794" s="546"/>
      <c r="G5794" s="234"/>
      <c r="H5794" s="238"/>
      <c r="I5794" s="237"/>
    </row>
    <row r="5795" spans="1:9" s="232" customFormat="1" ht="17" customHeight="1">
      <c r="A5795" s="234"/>
      <c r="B5795" s="233"/>
      <c r="C5795" s="238"/>
      <c r="E5795" s="545"/>
      <c r="F5795" s="546"/>
      <c r="G5795" s="234"/>
      <c r="H5795" s="238"/>
      <c r="I5795" s="237"/>
    </row>
    <row r="5796" spans="1:9" s="232" customFormat="1" ht="17" customHeight="1">
      <c r="A5796" s="234"/>
      <c r="B5796" s="233"/>
      <c r="C5796" s="238"/>
      <c r="E5796" s="545"/>
      <c r="F5796" s="546"/>
      <c r="G5796" s="234"/>
      <c r="H5796" s="238"/>
      <c r="I5796" s="237"/>
    </row>
    <row r="5797" spans="1:9" s="232" customFormat="1" ht="17" customHeight="1">
      <c r="A5797" s="234"/>
      <c r="B5797" s="233"/>
      <c r="C5797" s="238"/>
      <c r="E5797" s="545"/>
      <c r="F5797" s="546"/>
      <c r="G5797" s="234"/>
      <c r="H5797" s="238"/>
      <c r="I5797" s="237"/>
    </row>
    <row r="5798" spans="1:9" s="232" customFormat="1" ht="17" customHeight="1">
      <c r="A5798" s="234"/>
      <c r="B5798" s="233"/>
      <c r="C5798" s="238"/>
      <c r="E5798" s="545"/>
      <c r="F5798" s="546"/>
      <c r="G5798" s="234"/>
      <c r="H5798" s="238"/>
      <c r="I5798" s="237"/>
    </row>
    <row r="5799" spans="1:9" s="232" customFormat="1" ht="17" customHeight="1">
      <c r="A5799" s="234"/>
      <c r="B5799" s="233"/>
      <c r="C5799" s="238"/>
      <c r="E5799" s="545"/>
      <c r="F5799" s="546"/>
      <c r="G5799" s="234"/>
      <c r="H5799" s="238"/>
      <c r="I5799" s="237"/>
    </row>
    <row r="5800" spans="1:9" s="232" customFormat="1" ht="17" customHeight="1">
      <c r="A5800" s="234"/>
      <c r="B5800" s="233"/>
      <c r="C5800" s="238"/>
      <c r="E5800" s="545"/>
      <c r="F5800" s="546"/>
      <c r="G5800" s="234"/>
      <c r="H5800" s="238"/>
      <c r="I5800" s="237"/>
    </row>
    <row r="5801" spans="1:9" s="232" customFormat="1" ht="17" customHeight="1">
      <c r="A5801" s="234"/>
      <c r="B5801" s="233"/>
      <c r="C5801" s="238"/>
      <c r="E5801" s="545"/>
      <c r="F5801" s="546"/>
      <c r="G5801" s="234"/>
      <c r="H5801" s="238"/>
      <c r="I5801" s="237"/>
    </row>
    <row r="5802" spans="1:9" s="232" customFormat="1" ht="17" customHeight="1">
      <c r="A5802" s="234"/>
      <c r="B5802" s="233"/>
      <c r="C5802" s="238"/>
      <c r="E5802" s="545"/>
      <c r="F5802" s="546"/>
      <c r="G5802" s="234"/>
      <c r="H5802" s="238"/>
      <c r="I5802" s="237"/>
    </row>
    <row r="5803" spans="1:9" s="232" customFormat="1" ht="17" customHeight="1">
      <c r="A5803" s="234"/>
      <c r="B5803" s="233"/>
      <c r="C5803" s="238"/>
      <c r="E5803" s="545"/>
      <c r="F5803" s="546"/>
      <c r="G5803" s="234"/>
      <c r="H5803" s="238"/>
      <c r="I5803" s="237"/>
    </row>
    <row r="5804" spans="1:9" s="232" customFormat="1" ht="17" customHeight="1">
      <c r="A5804" s="234"/>
      <c r="B5804" s="233"/>
      <c r="C5804" s="238"/>
      <c r="E5804" s="545"/>
      <c r="F5804" s="546"/>
      <c r="G5804" s="234"/>
      <c r="H5804" s="238"/>
      <c r="I5804" s="237"/>
    </row>
    <row r="5805" spans="1:9" s="232" customFormat="1" ht="17" customHeight="1">
      <c r="A5805" s="234"/>
      <c r="B5805" s="233"/>
      <c r="C5805" s="238"/>
      <c r="E5805" s="545"/>
      <c r="F5805" s="546"/>
      <c r="G5805" s="234"/>
      <c r="H5805" s="238"/>
      <c r="I5805" s="237"/>
    </row>
    <row r="5806" spans="1:9" s="232" customFormat="1" ht="17" customHeight="1">
      <c r="A5806" s="234"/>
      <c r="B5806" s="233"/>
      <c r="C5806" s="238"/>
      <c r="E5806" s="545"/>
      <c r="F5806" s="546"/>
      <c r="G5806" s="234"/>
      <c r="H5806" s="238"/>
      <c r="I5806" s="237"/>
    </row>
    <row r="5807" spans="1:9" s="232" customFormat="1" ht="17" customHeight="1">
      <c r="A5807" s="234"/>
      <c r="B5807" s="233"/>
      <c r="C5807" s="238"/>
      <c r="E5807" s="545"/>
      <c r="F5807" s="546"/>
      <c r="G5807" s="234"/>
      <c r="H5807" s="238"/>
      <c r="I5807" s="237"/>
    </row>
    <row r="5808" spans="1:9" s="232" customFormat="1" ht="17" customHeight="1">
      <c r="A5808" s="234"/>
      <c r="B5808" s="233"/>
      <c r="C5808" s="238"/>
      <c r="E5808" s="545"/>
      <c r="F5808" s="546"/>
      <c r="G5808" s="234"/>
      <c r="H5808" s="238"/>
      <c r="I5808" s="237"/>
    </row>
    <row r="5809" spans="1:9" s="232" customFormat="1" ht="17" customHeight="1">
      <c r="A5809" s="234"/>
      <c r="B5809" s="233"/>
      <c r="C5809" s="238"/>
      <c r="E5809" s="545"/>
      <c r="F5809" s="546"/>
      <c r="G5809" s="234"/>
      <c r="H5809" s="238"/>
      <c r="I5809" s="237"/>
    </row>
    <row r="5810" spans="1:9" s="232" customFormat="1" ht="17" customHeight="1">
      <c r="A5810" s="234"/>
      <c r="B5810" s="233"/>
      <c r="C5810" s="238"/>
      <c r="E5810" s="545"/>
      <c r="F5810" s="546"/>
      <c r="G5810" s="234"/>
      <c r="H5810" s="238"/>
      <c r="I5810" s="237"/>
    </row>
    <row r="5811" spans="1:9" s="232" customFormat="1" ht="17" customHeight="1">
      <c r="A5811" s="234"/>
      <c r="B5811" s="233"/>
      <c r="C5811" s="238"/>
      <c r="E5811" s="545"/>
      <c r="F5811" s="546"/>
      <c r="G5811" s="234"/>
      <c r="H5811" s="238"/>
      <c r="I5811" s="237"/>
    </row>
    <row r="5812" spans="1:9" s="232" customFormat="1" ht="17" customHeight="1">
      <c r="A5812" s="234"/>
      <c r="B5812" s="233"/>
      <c r="C5812" s="238"/>
      <c r="E5812" s="545"/>
      <c r="F5812" s="546"/>
      <c r="G5812" s="234"/>
      <c r="H5812" s="238"/>
      <c r="I5812" s="237"/>
    </row>
    <row r="5813" spans="1:9" s="232" customFormat="1" ht="17" customHeight="1">
      <c r="A5813" s="234"/>
      <c r="B5813" s="233"/>
      <c r="C5813" s="238"/>
      <c r="E5813" s="545"/>
      <c r="F5813" s="546"/>
      <c r="G5813" s="234"/>
      <c r="H5813" s="238"/>
      <c r="I5813" s="237"/>
    </row>
    <row r="5814" spans="1:9" s="232" customFormat="1" ht="17" customHeight="1">
      <c r="A5814" s="234"/>
      <c r="B5814" s="233"/>
      <c r="C5814" s="238"/>
      <c r="E5814" s="545"/>
      <c r="F5814" s="546"/>
      <c r="G5814" s="234"/>
      <c r="H5814" s="238"/>
      <c r="I5814" s="237"/>
    </row>
    <row r="5815" spans="1:9" s="232" customFormat="1" ht="17" customHeight="1">
      <c r="A5815" s="234"/>
      <c r="B5815" s="233"/>
      <c r="C5815" s="238"/>
      <c r="E5815" s="545"/>
      <c r="F5815" s="546"/>
      <c r="G5815" s="234"/>
      <c r="H5815" s="238"/>
      <c r="I5815" s="237"/>
    </row>
    <row r="5816" spans="1:9" s="232" customFormat="1" ht="17" customHeight="1">
      <c r="A5816" s="234"/>
      <c r="B5816" s="233"/>
      <c r="C5816" s="238"/>
      <c r="E5816" s="545"/>
      <c r="F5816" s="546"/>
      <c r="G5816" s="234"/>
      <c r="H5816" s="238"/>
      <c r="I5816" s="237"/>
    </row>
    <row r="5817" spans="1:9" s="232" customFormat="1" ht="17" customHeight="1">
      <c r="A5817" s="234"/>
      <c r="B5817" s="233"/>
      <c r="C5817" s="238"/>
      <c r="E5817" s="545"/>
      <c r="F5817" s="546"/>
      <c r="G5817" s="234"/>
      <c r="H5817" s="238"/>
      <c r="I5817" s="237"/>
    </row>
    <row r="5818" spans="1:9" s="232" customFormat="1" ht="17" customHeight="1">
      <c r="A5818" s="234"/>
      <c r="B5818" s="233"/>
      <c r="C5818" s="238"/>
      <c r="E5818" s="545"/>
      <c r="F5818" s="546"/>
      <c r="G5818" s="234"/>
      <c r="H5818" s="238"/>
      <c r="I5818" s="237"/>
    </row>
    <row r="5819" spans="1:9" s="232" customFormat="1" ht="17" customHeight="1">
      <c r="A5819" s="234"/>
      <c r="B5819" s="233"/>
      <c r="C5819" s="238"/>
      <c r="E5819" s="545"/>
      <c r="F5819" s="546"/>
      <c r="G5819" s="234"/>
      <c r="H5819" s="238"/>
      <c r="I5819" s="237"/>
    </row>
    <row r="5820" spans="1:9" s="232" customFormat="1" ht="17" customHeight="1">
      <c r="A5820" s="234"/>
      <c r="B5820" s="233"/>
      <c r="C5820" s="238"/>
      <c r="E5820" s="545"/>
      <c r="F5820" s="546"/>
      <c r="G5820" s="234"/>
      <c r="H5820" s="238"/>
      <c r="I5820" s="237"/>
    </row>
    <row r="5821" spans="1:9" s="232" customFormat="1" ht="17" customHeight="1">
      <c r="A5821" s="234"/>
      <c r="B5821" s="233"/>
      <c r="C5821" s="238"/>
      <c r="E5821" s="545"/>
      <c r="F5821" s="546"/>
      <c r="G5821" s="234"/>
      <c r="H5821" s="238"/>
      <c r="I5821" s="237"/>
    </row>
    <row r="5822" spans="1:9" s="232" customFormat="1" ht="17" customHeight="1">
      <c r="A5822" s="234"/>
      <c r="B5822" s="233"/>
      <c r="C5822" s="238"/>
      <c r="E5822" s="545"/>
      <c r="F5822" s="546"/>
      <c r="G5822" s="234"/>
      <c r="H5822" s="238"/>
      <c r="I5822" s="237"/>
    </row>
    <row r="5823" spans="1:9" s="232" customFormat="1" ht="17" customHeight="1">
      <c r="A5823" s="234"/>
      <c r="B5823" s="233"/>
      <c r="C5823" s="238"/>
      <c r="E5823" s="545"/>
      <c r="F5823" s="546"/>
      <c r="G5823" s="234"/>
      <c r="H5823" s="238"/>
      <c r="I5823" s="237"/>
    </row>
    <row r="5824" spans="1:9" s="232" customFormat="1" ht="17" customHeight="1">
      <c r="A5824" s="234"/>
      <c r="B5824" s="233"/>
      <c r="C5824" s="238"/>
      <c r="E5824" s="545"/>
      <c r="F5824" s="546"/>
      <c r="G5824" s="234"/>
      <c r="H5824" s="238"/>
      <c r="I5824" s="237"/>
    </row>
    <row r="5825" spans="1:9" s="232" customFormat="1" ht="17" customHeight="1">
      <c r="A5825" s="234"/>
      <c r="B5825" s="233"/>
      <c r="C5825" s="238"/>
      <c r="E5825" s="545"/>
      <c r="F5825" s="546"/>
      <c r="G5825" s="234"/>
      <c r="H5825" s="238"/>
      <c r="I5825" s="237"/>
    </row>
    <row r="5826" spans="1:9" s="232" customFormat="1" ht="17" customHeight="1">
      <c r="A5826" s="234"/>
      <c r="B5826" s="233"/>
      <c r="C5826" s="238"/>
      <c r="E5826" s="545"/>
      <c r="F5826" s="546"/>
      <c r="G5826" s="234"/>
      <c r="H5826" s="238"/>
      <c r="I5826" s="237"/>
    </row>
    <row r="5827" spans="1:9" s="232" customFormat="1" ht="17" customHeight="1">
      <c r="A5827" s="234"/>
      <c r="B5827" s="233"/>
      <c r="C5827" s="238"/>
      <c r="E5827" s="545"/>
      <c r="F5827" s="546"/>
      <c r="G5827" s="234"/>
      <c r="H5827" s="238"/>
      <c r="I5827" s="237"/>
    </row>
    <row r="5828" spans="1:9" s="232" customFormat="1" ht="17" customHeight="1">
      <c r="A5828" s="234"/>
      <c r="B5828" s="233"/>
      <c r="C5828" s="238"/>
      <c r="E5828" s="545"/>
      <c r="F5828" s="546"/>
      <c r="G5828" s="234"/>
      <c r="H5828" s="238"/>
      <c r="I5828" s="237"/>
    </row>
    <row r="5829" spans="1:9" s="232" customFormat="1" ht="17" customHeight="1">
      <c r="A5829" s="234"/>
      <c r="B5829" s="233"/>
      <c r="C5829" s="238"/>
      <c r="E5829" s="545"/>
      <c r="F5829" s="546"/>
      <c r="G5829" s="234"/>
      <c r="H5829" s="238"/>
      <c r="I5829" s="237"/>
    </row>
    <row r="5830" spans="1:9" s="232" customFormat="1" ht="17" customHeight="1">
      <c r="A5830" s="234"/>
      <c r="B5830" s="233"/>
      <c r="C5830" s="238"/>
      <c r="E5830" s="545"/>
      <c r="F5830" s="546"/>
      <c r="G5830" s="234"/>
      <c r="H5830" s="238"/>
      <c r="I5830" s="237"/>
    </row>
    <row r="5831" spans="1:9" s="232" customFormat="1" ht="17" customHeight="1">
      <c r="A5831" s="234"/>
      <c r="B5831" s="233"/>
      <c r="C5831" s="238"/>
      <c r="E5831" s="545"/>
      <c r="F5831" s="546"/>
      <c r="G5831" s="234"/>
      <c r="H5831" s="238"/>
      <c r="I5831" s="237"/>
    </row>
    <row r="5832" spans="1:9" s="232" customFormat="1" ht="17" customHeight="1">
      <c r="A5832" s="234"/>
      <c r="B5832" s="233"/>
      <c r="C5832" s="238"/>
      <c r="E5832" s="545"/>
      <c r="F5832" s="546"/>
      <c r="G5832" s="234"/>
      <c r="H5832" s="238"/>
      <c r="I5832" s="237"/>
    </row>
    <row r="5833" spans="1:9" s="232" customFormat="1" ht="17" customHeight="1">
      <c r="A5833" s="234"/>
      <c r="B5833" s="233"/>
      <c r="C5833" s="238"/>
      <c r="E5833" s="545"/>
      <c r="F5833" s="546"/>
      <c r="G5833" s="234"/>
      <c r="H5833" s="238"/>
      <c r="I5833" s="237"/>
    </row>
    <row r="5834" spans="1:9" s="232" customFormat="1" ht="17" customHeight="1">
      <c r="A5834" s="234"/>
      <c r="B5834" s="233"/>
      <c r="C5834" s="238"/>
      <c r="E5834" s="545"/>
      <c r="F5834" s="546"/>
      <c r="G5834" s="234"/>
      <c r="H5834" s="238"/>
      <c r="I5834" s="237"/>
    </row>
    <row r="5835" spans="1:9" s="232" customFormat="1" ht="17" customHeight="1">
      <c r="A5835" s="234"/>
      <c r="B5835" s="233"/>
      <c r="C5835" s="238"/>
      <c r="E5835" s="545"/>
      <c r="F5835" s="546"/>
      <c r="G5835" s="234"/>
      <c r="H5835" s="238"/>
      <c r="I5835" s="237"/>
    </row>
    <row r="5836" spans="1:9" s="232" customFormat="1" ht="17" customHeight="1">
      <c r="A5836" s="234"/>
      <c r="B5836" s="233"/>
      <c r="C5836" s="238"/>
      <c r="E5836" s="545"/>
      <c r="F5836" s="546"/>
      <c r="G5836" s="234"/>
      <c r="H5836" s="238"/>
      <c r="I5836" s="237"/>
    </row>
    <row r="5837" spans="1:9" s="232" customFormat="1" ht="17" customHeight="1">
      <c r="A5837" s="234"/>
      <c r="B5837" s="233"/>
      <c r="C5837" s="238"/>
      <c r="E5837" s="545"/>
      <c r="F5837" s="546"/>
      <c r="G5837" s="234"/>
      <c r="H5837" s="238"/>
      <c r="I5837" s="237"/>
    </row>
    <row r="5838" spans="1:9" s="232" customFormat="1" ht="17" customHeight="1">
      <c r="A5838" s="234"/>
      <c r="B5838" s="233"/>
      <c r="C5838" s="238"/>
      <c r="E5838" s="545"/>
      <c r="F5838" s="546"/>
      <c r="G5838" s="234"/>
      <c r="H5838" s="238"/>
      <c r="I5838" s="237"/>
    </row>
    <row r="5839" spans="1:9" s="232" customFormat="1" ht="17" customHeight="1">
      <c r="A5839" s="234"/>
      <c r="B5839" s="233"/>
      <c r="C5839" s="238"/>
      <c r="E5839" s="545"/>
      <c r="F5839" s="546"/>
      <c r="G5839" s="234"/>
      <c r="H5839" s="238"/>
      <c r="I5839" s="237"/>
    </row>
    <row r="5840" spans="1:9" s="232" customFormat="1" ht="17" customHeight="1">
      <c r="A5840" s="234"/>
      <c r="B5840" s="233"/>
      <c r="C5840" s="238"/>
      <c r="E5840" s="545"/>
      <c r="F5840" s="546"/>
      <c r="G5840" s="234"/>
      <c r="H5840" s="238"/>
      <c r="I5840" s="237"/>
    </row>
    <row r="5841" spans="1:9" s="232" customFormat="1" ht="17" customHeight="1">
      <c r="A5841" s="234"/>
      <c r="B5841" s="233"/>
      <c r="C5841" s="238"/>
      <c r="E5841" s="545"/>
      <c r="F5841" s="546"/>
      <c r="G5841" s="234"/>
      <c r="H5841" s="238"/>
      <c r="I5841" s="237"/>
    </row>
    <row r="5842" spans="1:9" s="232" customFormat="1" ht="17" customHeight="1">
      <c r="A5842" s="234"/>
      <c r="B5842" s="233"/>
      <c r="C5842" s="238"/>
      <c r="E5842" s="545"/>
      <c r="F5842" s="546"/>
      <c r="G5842" s="234"/>
      <c r="H5842" s="238"/>
      <c r="I5842" s="237"/>
    </row>
    <row r="5843" spans="1:9" s="232" customFormat="1" ht="17" customHeight="1">
      <c r="A5843" s="234"/>
      <c r="B5843" s="233"/>
      <c r="C5843" s="238"/>
      <c r="E5843" s="545"/>
      <c r="F5843" s="546"/>
      <c r="G5843" s="234"/>
      <c r="H5843" s="238"/>
      <c r="I5843" s="237"/>
    </row>
    <row r="5844" spans="1:9" s="232" customFormat="1" ht="17" customHeight="1">
      <c r="A5844" s="234"/>
      <c r="B5844" s="233"/>
      <c r="C5844" s="238"/>
      <c r="E5844" s="545"/>
      <c r="F5844" s="546"/>
      <c r="G5844" s="234"/>
      <c r="H5844" s="238"/>
      <c r="I5844" s="237"/>
    </row>
    <row r="5845" spans="1:9" s="232" customFormat="1" ht="17" customHeight="1">
      <c r="A5845" s="234"/>
      <c r="B5845" s="233"/>
      <c r="C5845" s="238"/>
      <c r="E5845" s="545"/>
      <c r="F5845" s="546"/>
      <c r="G5845" s="234"/>
      <c r="H5845" s="238"/>
      <c r="I5845" s="237"/>
    </row>
    <row r="5846" spans="1:9" s="232" customFormat="1" ht="17" customHeight="1">
      <c r="A5846" s="234"/>
      <c r="B5846" s="233"/>
      <c r="C5846" s="238"/>
      <c r="E5846" s="545"/>
      <c r="F5846" s="546"/>
      <c r="G5846" s="234"/>
      <c r="H5846" s="238"/>
      <c r="I5846" s="237"/>
    </row>
    <row r="5847" spans="1:9" s="232" customFormat="1" ht="17" customHeight="1">
      <c r="A5847" s="234"/>
      <c r="B5847" s="233"/>
      <c r="C5847" s="238"/>
      <c r="E5847" s="545"/>
      <c r="F5847" s="546"/>
      <c r="G5847" s="234"/>
      <c r="H5847" s="238"/>
      <c r="I5847" s="237"/>
    </row>
    <row r="5848" spans="1:9" s="232" customFormat="1" ht="17" customHeight="1">
      <c r="A5848" s="234"/>
      <c r="B5848" s="233"/>
      <c r="C5848" s="238"/>
      <c r="E5848" s="545"/>
      <c r="F5848" s="546"/>
      <c r="G5848" s="234"/>
      <c r="H5848" s="238"/>
      <c r="I5848" s="237"/>
    </row>
    <row r="5849" spans="1:9" s="232" customFormat="1" ht="17" customHeight="1">
      <c r="A5849" s="234"/>
      <c r="B5849" s="233"/>
      <c r="C5849" s="238"/>
      <c r="E5849" s="545"/>
      <c r="F5849" s="546"/>
      <c r="G5849" s="234"/>
      <c r="H5849" s="238"/>
      <c r="I5849" s="237"/>
    </row>
    <row r="5850" spans="1:9" s="232" customFormat="1" ht="17" customHeight="1">
      <c r="A5850" s="234"/>
      <c r="B5850" s="233"/>
      <c r="C5850" s="238"/>
      <c r="E5850" s="545"/>
      <c r="F5850" s="546"/>
      <c r="G5850" s="234"/>
      <c r="H5850" s="238"/>
      <c r="I5850" s="237"/>
    </row>
    <row r="5851" spans="1:9" s="232" customFormat="1" ht="17" customHeight="1">
      <c r="A5851" s="234"/>
      <c r="B5851" s="233"/>
      <c r="C5851" s="238"/>
      <c r="E5851" s="545"/>
      <c r="F5851" s="546"/>
      <c r="G5851" s="234"/>
      <c r="H5851" s="238"/>
      <c r="I5851" s="237"/>
    </row>
    <row r="5852" spans="1:9" s="232" customFormat="1" ht="17" customHeight="1">
      <c r="A5852" s="234"/>
      <c r="B5852" s="233"/>
      <c r="C5852" s="238"/>
      <c r="E5852" s="545"/>
      <c r="F5852" s="546"/>
      <c r="G5852" s="234"/>
      <c r="H5852" s="238"/>
      <c r="I5852" s="237"/>
    </row>
    <row r="5853" spans="1:9" s="232" customFormat="1" ht="17" customHeight="1">
      <c r="A5853" s="234"/>
      <c r="B5853" s="233"/>
      <c r="C5853" s="238"/>
      <c r="E5853" s="545"/>
      <c r="F5853" s="546"/>
      <c r="G5853" s="234"/>
      <c r="H5853" s="238"/>
      <c r="I5853" s="237"/>
    </row>
    <row r="5854" spans="1:9" s="232" customFormat="1" ht="17" customHeight="1">
      <c r="A5854" s="234"/>
      <c r="B5854" s="233"/>
      <c r="C5854" s="238"/>
      <c r="E5854" s="545"/>
      <c r="F5854" s="546"/>
      <c r="G5854" s="234"/>
      <c r="H5854" s="238"/>
      <c r="I5854" s="237"/>
    </row>
    <row r="5855" spans="1:9" s="232" customFormat="1" ht="17" customHeight="1">
      <c r="A5855" s="234"/>
      <c r="B5855" s="233"/>
      <c r="C5855" s="238"/>
      <c r="E5855" s="545"/>
      <c r="F5855" s="546"/>
      <c r="G5855" s="234"/>
      <c r="H5855" s="238"/>
      <c r="I5855" s="237"/>
    </row>
    <row r="5856" spans="1:9" s="232" customFormat="1" ht="17" customHeight="1">
      <c r="A5856" s="234"/>
      <c r="B5856" s="233"/>
      <c r="C5856" s="238"/>
      <c r="E5856" s="545"/>
      <c r="F5856" s="546"/>
      <c r="G5856" s="234"/>
      <c r="H5856" s="238"/>
      <c r="I5856" s="237"/>
    </row>
    <row r="5857" spans="1:9" s="232" customFormat="1" ht="17" customHeight="1">
      <c r="A5857" s="234"/>
      <c r="B5857" s="233"/>
      <c r="C5857" s="238"/>
      <c r="E5857" s="545"/>
      <c r="F5857" s="546"/>
      <c r="G5857" s="234"/>
      <c r="H5857" s="238"/>
      <c r="I5857" s="237"/>
    </row>
    <row r="5858" spans="1:9" s="232" customFormat="1" ht="17" customHeight="1">
      <c r="A5858" s="234"/>
      <c r="B5858" s="233"/>
      <c r="C5858" s="238"/>
      <c r="E5858" s="545"/>
      <c r="F5858" s="546"/>
      <c r="G5858" s="234"/>
      <c r="H5858" s="238"/>
      <c r="I5858" s="237"/>
    </row>
    <row r="5859" spans="1:9" s="232" customFormat="1" ht="17" customHeight="1">
      <c r="A5859" s="234"/>
      <c r="B5859" s="233"/>
      <c r="C5859" s="238"/>
      <c r="E5859" s="545"/>
      <c r="F5859" s="546"/>
      <c r="G5859" s="234"/>
      <c r="H5859" s="238"/>
      <c r="I5859" s="237"/>
    </row>
    <row r="5860" spans="1:9" s="232" customFormat="1" ht="17" customHeight="1">
      <c r="A5860" s="234"/>
      <c r="B5860" s="233"/>
      <c r="C5860" s="238"/>
      <c r="E5860" s="545"/>
      <c r="F5860" s="546"/>
      <c r="G5860" s="234"/>
      <c r="H5860" s="238"/>
      <c r="I5860" s="237"/>
    </row>
    <row r="5861" spans="1:9" s="232" customFormat="1" ht="17" customHeight="1">
      <c r="A5861" s="234"/>
      <c r="B5861" s="233"/>
      <c r="C5861" s="238"/>
      <c r="E5861" s="545"/>
      <c r="F5861" s="546"/>
      <c r="G5861" s="234"/>
      <c r="H5861" s="238"/>
      <c r="I5861" s="237"/>
    </row>
    <row r="5862" spans="1:9" s="232" customFormat="1" ht="17" customHeight="1">
      <c r="A5862" s="234"/>
      <c r="B5862" s="233"/>
      <c r="C5862" s="238"/>
      <c r="E5862" s="545"/>
      <c r="F5862" s="546"/>
      <c r="G5862" s="234"/>
      <c r="H5862" s="238"/>
      <c r="I5862" s="237"/>
    </row>
    <row r="5863" spans="1:9" s="232" customFormat="1" ht="17" customHeight="1">
      <c r="A5863" s="234"/>
      <c r="B5863" s="233"/>
      <c r="C5863" s="238"/>
      <c r="E5863" s="545"/>
      <c r="F5863" s="546"/>
      <c r="G5863" s="234"/>
      <c r="H5863" s="238"/>
      <c r="I5863" s="237"/>
    </row>
    <row r="5864" spans="1:9" s="232" customFormat="1" ht="17" customHeight="1">
      <c r="A5864" s="234"/>
      <c r="B5864" s="233"/>
      <c r="C5864" s="238"/>
      <c r="E5864" s="545"/>
      <c r="F5864" s="546"/>
      <c r="G5864" s="234"/>
      <c r="H5864" s="238"/>
      <c r="I5864" s="237"/>
    </row>
    <row r="5865" spans="1:9" s="232" customFormat="1" ht="17" customHeight="1">
      <c r="A5865" s="234"/>
      <c r="B5865" s="233"/>
      <c r="C5865" s="238"/>
      <c r="E5865" s="545"/>
      <c r="F5865" s="546"/>
      <c r="G5865" s="234"/>
      <c r="H5865" s="238"/>
      <c r="I5865" s="237"/>
    </row>
    <row r="5866" spans="1:9" s="232" customFormat="1" ht="17" customHeight="1">
      <c r="A5866" s="234"/>
      <c r="B5866" s="233"/>
      <c r="C5866" s="238"/>
      <c r="E5866" s="545"/>
      <c r="F5866" s="546"/>
      <c r="G5866" s="234"/>
      <c r="H5866" s="238"/>
      <c r="I5866" s="237"/>
    </row>
    <row r="5867" spans="1:9" s="232" customFormat="1" ht="17" customHeight="1">
      <c r="A5867" s="234"/>
      <c r="B5867" s="233"/>
      <c r="C5867" s="238"/>
      <c r="E5867" s="545"/>
      <c r="F5867" s="546"/>
      <c r="G5867" s="234"/>
      <c r="H5867" s="238"/>
      <c r="I5867" s="237"/>
    </row>
    <row r="5868" spans="1:9" s="232" customFormat="1" ht="17" customHeight="1">
      <c r="A5868" s="234"/>
      <c r="B5868" s="233"/>
      <c r="C5868" s="238"/>
      <c r="E5868" s="545"/>
      <c r="F5868" s="546"/>
      <c r="G5868" s="234"/>
      <c r="H5868" s="238"/>
      <c r="I5868" s="237"/>
    </row>
    <row r="5869" spans="1:9" s="232" customFormat="1" ht="17" customHeight="1">
      <c r="A5869" s="234"/>
      <c r="B5869" s="233"/>
      <c r="C5869" s="238"/>
      <c r="E5869" s="545"/>
      <c r="F5869" s="546"/>
      <c r="G5869" s="234"/>
      <c r="H5869" s="238"/>
      <c r="I5869" s="237"/>
    </row>
    <row r="5870" spans="1:9" s="232" customFormat="1" ht="17" customHeight="1">
      <c r="A5870" s="234"/>
      <c r="B5870" s="233"/>
      <c r="C5870" s="238"/>
      <c r="E5870" s="545"/>
      <c r="F5870" s="546"/>
      <c r="G5870" s="234"/>
      <c r="H5870" s="238"/>
      <c r="I5870" s="237"/>
    </row>
    <row r="5871" spans="1:9" s="232" customFormat="1" ht="17" customHeight="1">
      <c r="A5871" s="234"/>
      <c r="B5871" s="233"/>
      <c r="C5871" s="238"/>
      <c r="E5871" s="545"/>
      <c r="F5871" s="546"/>
      <c r="G5871" s="234"/>
      <c r="H5871" s="238"/>
      <c r="I5871" s="237"/>
    </row>
    <row r="5872" spans="1:9" s="232" customFormat="1" ht="17" customHeight="1">
      <c r="A5872" s="234"/>
      <c r="B5872" s="233"/>
      <c r="C5872" s="238"/>
      <c r="E5872" s="545"/>
      <c r="F5872" s="546"/>
      <c r="G5872" s="234"/>
      <c r="H5872" s="238"/>
      <c r="I5872" s="237"/>
    </row>
    <row r="5873" spans="1:9" s="232" customFormat="1" ht="17" customHeight="1">
      <c r="A5873" s="234"/>
      <c r="B5873" s="233"/>
      <c r="C5873" s="238"/>
      <c r="E5873" s="545"/>
      <c r="F5873" s="546"/>
      <c r="G5873" s="234"/>
      <c r="H5873" s="238"/>
      <c r="I5873" s="237"/>
    </row>
    <row r="5874" spans="1:9" s="232" customFormat="1" ht="17" customHeight="1">
      <c r="A5874" s="234"/>
      <c r="B5874" s="233"/>
      <c r="C5874" s="238"/>
      <c r="E5874" s="545"/>
      <c r="F5874" s="546"/>
      <c r="G5874" s="234"/>
      <c r="H5874" s="238"/>
      <c r="I5874" s="237"/>
    </row>
    <row r="5875" spans="1:9" s="232" customFormat="1" ht="17" customHeight="1">
      <c r="A5875" s="234"/>
      <c r="B5875" s="233"/>
      <c r="C5875" s="238"/>
      <c r="E5875" s="545"/>
      <c r="F5875" s="546"/>
      <c r="G5875" s="234"/>
      <c r="H5875" s="238"/>
      <c r="I5875" s="237"/>
    </row>
    <row r="5876" spans="1:9" s="232" customFormat="1" ht="17" customHeight="1">
      <c r="A5876" s="234"/>
      <c r="B5876" s="233"/>
      <c r="C5876" s="238"/>
      <c r="E5876" s="545"/>
      <c r="F5876" s="546"/>
      <c r="G5876" s="234"/>
      <c r="H5876" s="238"/>
      <c r="I5876" s="237"/>
    </row>
    <row r="5877" spans="1:9" s="232" customFormat="1" ht="17" customHeight="1">
      <c r="A5877" s="234"/>
      <c r="B5877" s="233"/>
      <c r="C5877" s="238"/>
      <c r="E5877" s="545"/>
      <c r="F5877" s="546"/>
      <c r="G5877" s="234"/>
      <c r="H5877" s="238"/>
      <c r="I5877" s="237"/>
    </row>
    <row r="5878" spans="1:9" s="232" customFormat="1" ht="17" customHeight="1">
      <c r="A5878" s="234"/>
      <c r="B5878" s="233"/>
      <c r="C5878" s="238"/>
      <c r="E5878" s="545"/>
      <c r="F5878" s="546"/>
      <c r="G5878" s="234"/>
      <c r="H5878" s="238"/>
      <c r="I5878" s="237"/>
    </row>
    <row r="5879" spans="1:9" s="232" customFormat="1" ht="17" customHeight="1">
      <c r="A5879" s="234"/>
      <c r="B5879" s="233"/>
      <c r="C5879" s="238"/>
      <c r="E5879" s="545"/>
      <c r="F5879" s="546"/>
      <c r="G5879" s="234"/>
      <c r="H5879" s="238"/>
      <c r="I5879" s="237"/>
    </row>
    <row r="5880" spans="1:9" s="232" customFormat="1" ht="17" customHeight="1">
      <c r="A5880" s="234"/>
      <c r="B5880" s="233"/>
      <c r="C5880" s="238"/>
      <c r="E5880" s="545"/>
      <c r="F5880" s="546"/>
      <c r="G5880" s="234"/>
      <c r="H5880" s="238"/>
      <c r="I5880" s="237"/>
    </row>
    <row r="5881" spans="1:9" s="232" customFormat="1" ht="17" customHeight="1">
      <c r="A5881" s="234"/>
      <c r="B5881" s="233"/>
      <c r="C5881" s="238"/>
      <c r="E5881" s="545"/>
      <c r="F5881" s="546"/>
      <c r="G5881" s="234"/>
      <c r="H5881" s="238"/>
      <c r="I5881" s="237"/>
    </row>
    <row r="5882" spans="1:9" s="232" customFormat="1" ht="17" customHeight="1">
      <c r="A5882" s="234"/>
      <c r="B5882" s="233"/>
      <c r="C5882" s="238"/>
      <c r="E5882" s="545"/>
      <c r="F5882" s="546"/>
      <c r="G5882" s="234"/>
      <c r="H5882" s="238"/>
      <c r="I5882" s="237"/>
    </row>
    <row r="5883" spans="1:9" s="232" customFormat="1" ht="17" customHeight="1">
      <c r="A5883" s="234"/>
      <c r="B5883" s="233"/>
      <c r="C5883" s="238"/>
      <c r="E5883" s="545"/>
      <c r="F5883" s="546"/>
      <c r="G5883" s="234"/>
      <c r="H5883" s="238"/>
      <c r="I5883" s="237"/>
    </row>
    <row r="5884" spans="1:9" s="232" customFormat="1" ht="17" customHeight="1">
      <c r="A5884" s="234"/>
      <c r="B5884" s="233"/>
      <c r="C5884" s="238"/>
      <c r="E5884" s="545"/>
      <c r="F5884" s="546"/>
      <c r="G5884" s="234"/>
      <c r="H5884" s="238"/>
      <c r="I5884" s="237"/>
    </row>
    <row r="5885" spans="1:9" s="232" customFormat="1" ht="17" customHeight="1">
      <c r="A5885" s="234"/>
      <c r="B5885" s="233"/>
      <c r="C5885" s="238"/>
      <c r="E5885" s="545"/>
      <c r="F5885" s="546"/>
      <c r="G5885" s="234"/>
      <c r="H5885" s="238"/>
      <c r="I5885" s="237"/>
    </row>
    <row r="5886" spans="1:9" s="232" customFormat="1" ht="17" customHeight="1">
      <c r="A5886" s="234"/>
      <c r="B5886" s="233"/>
      <c r="C5886" s="238"/>
      <c r="E5886" s="545"/>
      <c r="F5886" s="546"/>
      <c r="G5886" s="234"/>
      <c r="H5886" s="238"/>
      <c r="I5886" s="237"/>
    </row>
    <row r="5887" spans="1:9" s="232" customFormat="1" ht="17" customHeight="1">
      <c r="A5887" s="234"/>
      <c r="B5887" s="233"/>
      <c r="C5887" s="238"/>
      <c r="E5887" s="545"/>
      <c r="F5887" s="546"/>
      <c r="G5887" s="234"/>
      <c r="H5887" s="238"/>
      <c r="I5887" s="237"/>
    </row>
    <row r="5888" spans="1:9" s="232" customFormat="1" ht="17" customHeight="1">
      <c r="A5888" s="234"/>
      <c r="B5888" s="233"/>
      <c r="C5888" s="238"/>
      <c r="E5888" s="545"/>
      <c r="F5888" s="546"/>
      <c r="G5888" s="234"/>
      <c r="H5888" s="238"/>
      <c r="I5888" s="237"/>
    </row>
    <row r="5889" spans="1:9" s="232" customFormat="1" ht="17" customHeight="1">
      <c r="A5889" s="234"/>
      <c r="B5889" s="233"/>
      <c r="C5889" s="238"/>
      <c r="E5889" s="545"/>
      <c r="F5889" s="546"/>
      <c r="G5889" s="234"/>
      <c r="H5889" s="238"/>
      <c r="I5889" s="237"/>
    </row>
    <row r="5890" spans="1:9" s="232" customFormat="1" ht="17" customHeight="1">
      <c r="A5890" s="234"/>
      <c r="B5890" s="233"/>
      <c r="C5890" s="238"/>
      <c r="E5890" s="545"/>
      <c r="F5890" s="546"/>
      <c r="G5890" s="234"/>
      <c r="H5890" s="238"/>
      <c r="I5890" s="237"/>
    </row>
    <row r="5891" spans="1:9" s="232" customFormat="1" ht="17" customHeight="1">
      <c r="A5891" s="234"/>
      <c r="B5891" s="233"/>
      <c r="C5891" s="238"/>
      <c r="E5891" s="545"/>
      <c r="F5891" s="546"/>
      <c r="G5891" s="234"/>
      <c r="H5891" s="238"/>
      <c r="I5891" s="237"/>
    </row>
    <row r="5892" spans="1:9" s="232" customFormat="1" ht="17" customHeight="1">
      <c r="A5892" s="234"/>
      <c r="B5892" s="233"/>
      <c r="C5892" s="238"/>
      <c r="E5892" s="545"/>
      <c r="F5892" s="546"/>
      <c r="G5892" s="234"/>
      <c r="H5892" s="238"/>
      <c r="I5892" s="237"/>
    </row>
    <row r="5893" spans="1:9" s="232" customFormat="1" ht="17" customHeight="1">
      <c r="A5893" s="234"/>
      <c r="B5893" s="233"/>
      <c r="C5893" s="238"/>
      <c r="E5893" s="545"/>
      <c r="F5893" s="546"/>
      <c r="G5893" s="234"/>
      <c r="H5893" s="238"/>
      <c r="I5893" s="237"/>
    </row>
    <row r="5894" spans="1:9" s="232" customFormat="1" ht="17" customHeight="1">
      <c r="A5894" s="234"/>
      <c r="B5894" s="233"/>
      <c r="C5894" s="238"/>
      <c r="E5894" s="545"/>
      <c r="F5894" s="546"/>
      <c r="G5894" s="234"/>
      <c r="H5894" s="238"/>
      <c r="I5894" s="237"/>
    </row>
    <row r="5895" spans="1:9" s="232" customFormat="1" ht="17" customHeight="1">
      <c r="A5895" s="234"/>
      <c r="B5895" s="233"/>
      <c r="C5895" s="238"/>
      <c r="E5895" s="545"/>
      <c r="F5895" s="546"/>
      <c r="G5895" s="234"/>
      <c r="H5895" s="238"/>
      <c r="I5895" s="237"/>
    </row>
    <row r="5896" spans="1:9" s="232" customFormat="1" ht="17" customHeight="1">
      <c r="A5896" s="234"/>
      <c r="B5896" s="233"/>
      <c r="C5896" s="238"/>
      <c r="E5896" s="545"/>
      <c r="F5896" s="546"/>
      <c r="G5896" s="234"/>
      <c r="H5896" s="238"/>
      <c r="I5896" s="237"/>
    </row>
    <row r="5897" spans="1:9" s="232" customFormat="1" ht="17" customHeight="1">
      <c r="A5897" s="234"/>
      <c r="B5897" s="233"/>
      <c r="C5897" s="238"/>
      <c r="E5897" s="545"/>
      <c r="F5897" s="546"/>
      <c r="G5897" s="234"/>
      <c r="H5897" s="238"/>
      <c r="I5897" s="237"/>
    </row>
    <row r="5898" spans="1:9" s="232" customFormat="1" ht="17" customHeight="1">
      <c r="A5898" s="234"/>
      <c r="B5898" s="233"/>
      <c r="C5898" s="238"/>
      <c r="E5898" s="545"/>
      <c r="F5898" s="546"/>
      <c r="G5898" s="234"/>
      <c r="H5898" s="238"/>
      <c r="I5898" s="237"/>
    </row>
    <row r="5899" spans="1:9" s="232" customFormat="1" ht="17" customHeight="1">
      <c r="A5899" s="234"/>
      <c r="B5899" s="233"/>
      <c r="C5899" s="238"/>
      <c r="E5899" s="545"/>
      <c r="F5899" s="546"/>
      <c r="G5899" s="234"/>
      <c r="H5899" s="238"/>
      <c r="I5899" s="237"/>
    </row>
    <row r="5900" spans="1:9" s="232" customFormat="1" ht="17" customHeight="1">
      <c r="A5900" s="234"/>
      <c r="B5900" s="233"/>
      <c r="C5900" s="238"/>
      <c r="E5900" s="545"/>
      <c r="F5900" s="546"/>
      <c r="G5900" s="234"/>
      <c r="H5900" s="238"/>
      <c r="I5900" s="237"/>
    </row>
    <row r="5901" spans="1:9" s="232" customFormat="1" ht="17" customHeight="1">
      <c r="A5901" s="234"/>
      <c r="B5901" s="233"/>
      <c r="C5901" s="238"/>
      <c r="E5901" s="545"/>
      <c r="F5901" s="546"/>
      <c r="G5901" s="234"/>
      <c r="H5901" s="238"/>
      <c r="I5901" s="237"/>
    </row>
    <row r="5902" spans="1:9" s="232" customFormat="1" ht="17" customHeight="1">
      <c r="A5902" s="234"/>
      <c r="B5902" s="233"/>
      <c r="C5902" s="238"/>
      <c r="E5902" s="545"/>
      <c r="F5902" s="546"/>
      <c r="G5902" s="234"/>
      <c r="H5902" s="238"/>
      <c r="I5902" s="237"/>
    </row>
    <row r="5903" spans="1:9" s="232" customFormat="1" ht="17" customHeight="1">
      <c r="A5903" s="234"/>
      <c r="B5903" s="233"/>
      <c r="C5903" s="238"/>
      <c r="E5903" s="545"/>
      <c r="F5903" s="546"/>
      <c r="G5903" s="234"/>
      <c r="H5903" s="238"/>
      <c r="I5903" s="237"/>
    </row>
    <row r="5904" spans="1:9" s="232" customFormat="1" ht="17" customHeight="1">
      <c r="A5904" s="234"/>
      <c r="B5904" s="233"/>
      <c r="C5904" s="238"/>
      <c r="E5904" s="545"/>
      <c r="F5904" s="546"/>
      <c r="G5904" s="234"/>
      <c r="H5904" s="238"/>
      <c r="I5904" s="237"/>
    </row>
    <row r="5905" spans="1:9" s="232" customFormat="1" ht="17" customHeight="1">
      <c r="A5905" s="234"/>
      <c r="B5905" s="233"/>
      <c r="C5905" s="238"/>
      <c r="E5905" s="545"/>
      <c r="F5905" s="546"/>
      <c r="G5905" s="234"/>
      <c r="H5905" s="238"/>
      <c r="I5905" s="237"/>
    </row>
    <row r="5906" spans="1:9" s="232" customFormat="1" ht="17" customHeight="1">
      <c r="A5906" s="234"/>
      <c r="B5906" s="233"/>
      <c r="C5906" s="238"/>
      <c r="E5906" s="545"/>
      <c r="F5906" s="546"/>
      <c r="G5906" s="234"/>
      <c r="H5906" s="238"/>
      <c r="I5906" s="237"/>
    </row>
    <row r="5907" spans="1:9" s="232" customFormat="1" ht="17" customHeight="1">
      <c r="A5907" s="234"/>
      <c r="B5907" s="233"/>
      <c r="C5907" s="238"/>
      <c r="E5907" s="545"/>
      <c r="F5907" s="546"/>
      <c r="G5907" s="234"/>
      <c r="H5907" s="238"/>
      <c r="I5907" s="237"/>
    </row>
    <row r="5908" spans="1:9" s="232" customFormat="1" ht="17" customHeight="1">
      <c r="A5908" s="234"/>
      <c r="B5908" s="233"/>
      <c r="C5908" s="238"/>
      <c r="E5908" s="545"/>
      <c r="F5908" s="546"/>
      <c r="G5908" s="234"/>
      <c r="H5908" s="238"/>
      <c r="I5908" s="237"/>
    </row>
    <row r="5909" spans="1:9" s="232" customFormat="1" ht="17" customHeight="1">
      <c r="A5909" s="234"/>
      <c r="B5909" s="233"/>
      <c r="C5909" s="238"/>
      <c r="E5909" s="545"/>
      <c r="F5909" s="546"/>
      <c r="G5909" s="234"/>
      <c r="H5909" s="238"/>
      <c r="I5909" s="237"/>
    </row>
    <row r="5910" spans="1:9" s="232" customFormat="1" ht="17" customHeight="1">
      <c r="A5910" s="234"/>
      <c r="B5910" s="233"/>
      <c r="C5910" s="238"/>
      <c r="E5910" s="545"/>
      <c r="F5910" s="546"/>
      <c r="G5910" s="234"/>
      <c r="H5910" s="238"/>
      <c r="I5910" s="237"/>
    </row>
    <row r="5911" spans="1:9" s="232" customFormat="1" ht="17" customHeight="1">
      <c r="A5911" s="234"/>
      <c r="B5911" s="233"/>
      <c r="C5911" s="238"/>
      <c r="E5911" s="545"/>
      <c r="F5911" s="546"/>
      <c r="G5911" s="234"/>
      <c r="H5911" s="238"/>
      <c r="I5911" s="237"/>
    </row>
    <row r="5912" spans="1:9" s="232" customFormat="1" ht="17" customHeight="1">
      <c r="A5912" s="234"/>
      <c r="B5912" s="233"/>
      <c r="C5912" s="238"/>
      <c r="E5912" s="545"/>
      <c r="F5912" s="546"/>
      <c r="G5912" s="234"/>
      <c r="H5912" s="238"/>
      <c r="I5912" s="237"/>
    </row>
    <row r="5913" spans="1:9" s="232" customFormat="1" ht="17" customHeight="1">
      <c r="A5913" s="234"/>
      <c r="B5913" s="233"/>
      <c r="C5913" s="238"/>
      <c r="E5913" s="545"/>
      <c r="F5913" s="546"/>
      <c r="G5913" s="234"/>
      <c r="H5913" s="238"/>
      <c r="I5913" s="237"/>
    </row>
    <row r="5914" spans="1:9" s="232" customFormat="1" ht="17" customHeight="1">
      <c r="A5914" s="234"/>
      <c r="B5914" s="233"/>
      <c r="C5914" s="238"/>
      <c r="E5914" s="545"/>
      <c r="F5914" s="546"/>
      <c r="G5914" s="234"/>
      <c r="H5914" s="238"/>
      <c r="I5914" s="237"/>
    </row>
    <row r="5915" spans="1:9" s="232" customFormat="1" ht="17" customHeight="1">
      <c r="A5915" s="234"/>
      <c r="B5915" s="233"/>
      <c r="C5915" s="238"/>
      <c r="E5915" s="545"/>
      <c r="F5915" s="546"/>
      <c r="G5915" s="234"/>
      <c r="H5915" s="238"/>
      <c r="I5915" s="237"/>
    </row>
    <row r="5916" spans="1:9" s="232" customFormat="1" ht="17" customHeight="1">
      <c r="A5916" s="234"/>
      <c r="B5916" s="233"/>
      <c r="C5916" s="238"/>
      <c r="E5916" s="545"/>
      <c r="F5916" s="546"/>
      <c r="G5916" s="234"/>
      <c r="H5916" s="238"/>
      <c r="I5916" s="237"/>
    </row>
    <row r="5917" spans="1:9" s="232" customFormat="1" ht="17" customHeight="1">
      <c r="A5917" s="234"/>
      <c r="B5917" s="233"/>
      <c r="C5917" s="238"/>
      <c r="E5917" s="545"/>
      <c r="F5917" s="546"/>
      <c r="G5917" s="234"/>
      <c r="H5917" s="238"/>
      <c r="I5917" s="237"/>
    </row>
    <row r="5918" spans="1:9" s="232" customFormat="1" ht="17" customHeight="1">
      <c r="A5918" s="234"/>
      <c r="B5918" s="233"/>
      <c r="C5918" s="238"/>
      <c r="E5918" s="545"/>
      <c r="F5918" s="546"/>
      <c r="G5918" s="234"/>
      <c r="H5918" s="238"/>
      <c r="I5918" s="237"/>
    </row>
    <row r="5919" spans="1:9" s="232" customFormat="1" ht="17" customHeight="1">
      <c r="A5919" s="234"/>
      <c r="B5919" s="233"/>
      <c r="C5919" s="238"/>
      <c r="E5919" s="545"/>
      <c r="F5919" s="546"/>
      <c r="G5919" s="234"/>
      <c r="H5919" s="238"/>
      <c r="I5919" s="237"/>
    </row>
    <row r="5920" spans="1:9" s="232" customFormat="1" ht="17" customHeight="1">
      <c r="A5920" s="234"/>
      <c r="B5920" s="233"/>
      <c r="C5920" s="238"/>
      <c r="E5920" s="545"/>
      <c r="F5920" s="546"/>
      <c r="G5920" s="234"/>
      <c r="H5920" s="238"/>
      <c r="I5920" s="237"/>
    </row>
    <row r="5921" spans="1:9" s="232" customFormat="1" ht="17" customHeight="1">
      <c r="A5921" s="234"/>
      <c r="B5921" s="233"/>
      <c r="C5921" s="238"/>
      <c r="E5921" s="545"/>
      <c r="F5921" s="546"/>
      <c r="G5921" s="234"/>
      <c r="H5921" s="238"/>
      <c r="I5921" s="237"/>
    </row>
    <row r="5922" spans="1:9" s="232" customFormat="1" ht="17" customHeight="1">
      <c r="A5922" s="234"/>
      <c r="B5922" s="233"/>
      <c r="C5922" s="238"/>
      <c r="E5922" s="545"/>
      <c r="F5922" s="546"/>
      <c r="G5922" s="234"/>
      <c r="H5922" s="238"/>
      <c r="I5922" s="237"/>
    </row>
    <row r="5923" spans="1:9" s="232" customFormat="1" ht="17" customHeight="1">
      <c r="A5923" s="234"/>
      <c r="B5923" s="233"/>
      <c r="C5923" s="238"/>
      <c r="E5923" s="545"/>
      <c r="F5923" s="546"/>
      <c r="G5923" s="234"/>
      <c r="H5923" s="238"/>
      <c r="I5923" s="237"/>
    </row>
    <row r="5924" spans="1:9" s="232" customFormat="1" ht="17" customHeight="1">
      <c r="A5924" s="234"/>
      <c r="B5924" s="233"/>
      <c r="C5924" s="238"/>
      <c r="E5924" s="545"/>
      <c r="F5924" s="546"/>
      <c r="G5924" s="234"/>
      <c r="H5924" s="238"/>
      <c r="I5924" s="237"/>
    </row>
    <row r="5925" spans="1:9" s="232" customFormat="1" ht="17" customHeight="1">
      <c r="A5925" s="234"/>
      <c r="B5925" s="233"/>
      <c r="C5925" s="238"/>
      <c r="E5925" s="545"/>
      <c r="F5925" s="546"/>
      <c r="G5925" s="234"/>
      <c r="H5925" s="238"/>
      <c r="I5925" s="237"/>
    </row>
    <row r="5926" spans="1:9" s="232" customFormat="1" ht="17" customHeight="1">
      <c r="A5926" s="234"/>
      <c r="B5926" s="233"/>
      <c r="C5926" s="238"/>
      <c r="E5926" s="545"/>
      <c r="F5926" s="546"/>
      <c r="G5926" s="234"/>
      <c r="H5926" s="238"/>
      <c r="I5926" s="237"/>
    </row>
    <row r="5927" spans="1:9" s="232" customFormat="1" ht="17" customHeight="1">
      <c r="A5927" s="234"/>
      <c r="B5927" s="233"/>
      <c r="C5927" s="238"/>
      <c r="E5927" s="545"/>
      <c r="F5927" s="546"/>
      <c r="G5927" s="234"/>
      <c r="H5927" s="238"/>
      <c r="I5927" s="237"/>
    </row>
    <row r="5928" spans="1:9" s="232" customFormat="1" ht="17" customHeight="1">
      <c r="A5928" s="234"/>
      <c r="B5928" s="233"/>
      <c r="C5928" s="238"/>
      <c r="E5928" s="545"/>
      <c r="F5928" s="546"/>
      <c r="G5928" s="234"/>
      <c r="H5928" s="238"/>
      <c r="I5928" s="237"/>
    </row>
    <row r="5929" spans="1:9" s="232" customFormat="1" ht="17" customHeight="1">
      <c r="A5929" s="234"/>
      <c r="B5929" s="233"/>
      <c r="C5929" s="238"/>
      <c r="E5929" s="545"/>
      <c r="F5929" s="546"/>
      <c r="G5929" s="234"/>
      <c r="H5929" s="238"/>
      <c r="I5929" s="237"/>
    </row>
    <row r="5930" spans="1:9" s="232" customFormat="1" ht="17" customHeight="1">
      <c r="A5930" s="234"/>
      <c r="B5930" s="233"/>
      <c r="C5930" s="238"/>
      <c r="E5930" s="545"/>
      <c r="F5930" s="546"/>
      <c r="G5930" s="234"/>
      <c r="H5930" s="238"/>
      <c r="I5930" s="237"/>
    </row>
    <row r="5931" spans="1:9" s="232" customFormat="1" ht="17" customHeight="1">
      <c r="A5931" s="234"/>
      <c r="B5931" s="233"/>
      <c r="C5931" s="238"/>
      <c r="E5931" s="545"/>
      <c r="F5931" s="546"/>
      <c r="G5931" s="234"/>
      <c r="H5931" s="238"/>
      <c r="I5931" s="237"/>
    </row>
    <row r="5932" spans="1:9" s="232" customFormat="1" ht="17" customHeight="1">
      <c r="A5932" s="234"/>
      <c r="B5932" s="233"/>
      <c r="C5932" s="238"/>
      <c r="E5932" s="545"/>
      <c r="F5932" s="546"/>
      <c r="G5932" s="234"/>
      <c r="H5932" s="238"/>
      <c r="I5932" s="237"/>
    </row>
    <row r="5933" spans="1:9" s="232" customFormat="1" ht="17" customHeight="1">
      <c r="A5933" s="234"/>
      <c r="B5933" s="233"/>
      <c r="C5933" s="238"/>
      <c r="E5933" s="545"/>
      <c r="F5933" s="546"/>
      <c r="G5933" s="234"/>
      <c r="H5933" s="238"/>
      <c r="I5933" s="237"/>
    </row>
    <row r="5934" spans="1:9" s="232" customFormat="1" ht="17" customHeight="1">
      <c r="A5934" s="234"/>
      <c r="B5934" s="233"/>
      <c r="C5934" s="238"/>
      <c r="E5934" s="545"/>
      <c r="F5934" s="546"/>
      <c r="G5934" s="234"/>
      <c r="H5934" s="238"/>
      <c r="I5934" s="237"/>
    </row>
    <row r="5935" spans="1:9" s="232" customFormat="1" ht="17" customHeight="1">
      <c r="A5935" s="234"/>
      <c r="B5935" s="233"/>
      <c r="C5935" s="238"/>
      <c r="E5935" s="545"/>
      <c r="F5935" s="546"/>
      <c r="G5935" s="234"/>
      <c r="H5935" s="238"/>
      <c r="I5935" s="237"/>
    </row>
    <row r="5936" spans="1:9" s="232" customFormat="1" ht="17" customHeight="1">
      <c r="A5936" s="234"/>
      <c r="B5936" s="233"/>
      <c r="C5936" s="238"/>
      <c r="E5936" s="545"/>
      <c r="F5936" s="546"/>
      <c r="G5936" s="234"/>
      <c r="H5936" s="238"/>
      <c r="I5936" s="237"/>
    </row>
    <row r="5937" spans="1:9" s="232" customFormat="1" ht="17" customHeight="1">
      <c r="A5937" s="234"/>
      <c r="B5937" s="233"/>
      <c r="C5937" s="238"/>
      <c r="E5937" s="545"/>
      <c r="F5937" s="546"/>
      <c r="G5937" s="234"/>
      <c r="H5937" s="238"/>
      <c r="I5937" s="237"/>
    </row>
    <row r="5938" spans="1:9" s="232" customFormat="1" ht="17" customHeight="1">
      <c r="A5938" s="234"/>
      <c r="B5938" s="233"/>
      <c r="C5938" s="238"/>
      <c r="E5938" s="545"/>
      <c r="F5938" s="546"/>
      <c r="G5938" s="234"/>
      <c r="H5938" s="238"/>
      <c r="I5938" s="237"/>
    </row>
    <row r="5939" spans="1:9" s="232" customFormat="1" ht="17" customHeight="1">
      <c r="A5939" s="234"/>
      <c r="B5939" s="233"/>
      <c r="C5939" s="238"/>
      <c r="E5939" s="545"/>
      <c r="F5939" s="546"/>
      <c r="G5939" s="234"/>
      <c r="H5939" s="238"/>
      <c r="I5939" s="237"/>
    </row>
    <row r="5940" spans="1:9" s="232" customFormat="1" ht="17" customHeight="1">
      <c r="A5940" s="234"/>
      <c r="B5940" s="233"/>
      <c r="C5940" s="238"/>
      <c r="E5940" s="545"/>
      <c r="F5940" s="546"/>
      <c r="G5940" s="234"/>
      <c r="H5940" s="238"/>
      <c r="I5940" s="237"/>
    </row>
    <row r="5941" spans="1:9" s="232" customFormat="1" ht="17" customHeight="1">
      <c r="A5941" s="234"/>
      <c r="B5941" s="233"/>
      <c r="C5941" s="238"/>
      <c r="E5941" s="545"/>
      <c r="F5941" s="546"/>
      <c r="G5941" s="234"/>
      <c r="H5941" s="238"/>
      <c r="I5941" s="237"/>
    </row>
    <row r="5942" spans="1:9" s="232" customFormat="1" ht="17" customHeight="1">
      <c r="A5942" s="234"/>
      <c r="B5942" s="233"/>
      <c r="C5942" s="238"/>
      <c r="E5942" s="545"/>
      <c r="F5942" s="546"/>
      <c r="G5942" s="234"/>
      <c r="H5942" s="238"/>
      <c r="I5942" s="237"/>
    </row>
    <row r="5943" spans="1:9" s="232" customFormat="1" ht="17" customHeight="1">
      <c r="A5943" s="234"/>
      <c r="B5943" s="233"/>
      <c r="C5943" s="238"/>
      <c r="E5943" s="545"/>
      <c r="F5943" s="546"/>
      <c r="G5943" s="234"/>
      <c r="H5943" s="238"/>
      <c r="I5943" s="237"/>
    </row>
    <row r="5944" spans="1:9" s="232" customFormat="1" ht="17" customHeight="1">
      <c r="A5944" s="234"/>
      <c r="B5944" s="233"/>
      <c r="C5944" s="238"/>
      <c r="E5944" s="545"/>
      <c r="F5944" s="546"/>
      <c r="G5944" s="234"/>
      <c r="H5944" s="238"/>
      <c r="I5944" s="237"/>
    </row>
    <row r="5945" spans="1:9" s="232" customFormat="1" ht="17" customHeight="1">
      <c r="A5945" s="234"/>
      <c r="B5945" s="233"/>
      <c r="C5945" s="238"/>
      <c r="E5945" s="545"/>
      <c r="F5945" s="546"/>
      <c r="G5945" s="234"/>
      <c r="H5945" s="238"/>
      <c r="I5945" s="237"/>
    </row>
    <row r="5946" spans="1:9" s="232" customFormat="1" ht="17" customHeight="1">
      <c r="A5946" s="234"/>
      <c r="B5946" s="233"/>
      <c r="C5946" s="238"/>
      <c r="E5946" s="545"/>
      <c r="F5946" s="546"/>
      <c r="G5946" s="234"/>
      <c r="H5946" s="238"/>
      <c r="I5946" s="237"/>
    </row>
    <row r="5947" spans="1:9" s="232" customFormat="1" ht="17" customHeight="1">
      <c r="A5947" s="234"/>
      <c r="B5947" s="233"/>
      <c r="C5947" s="238"/>
      <c r="E5947" s="545"/>
      <c r="F5947" s="546"/>
      <c r="G5947" s="234"/>
      <c r="H5947" s="238"/>
      <c r="I5947" s="237"/>
    </row>
    <row r="5948" spans="1:9" s="232" customFormat="1" ht="17" customHeight="1">
      <c r="A5948" s="234"/>
      <c r="B5948" s="233"/>
      <c r="C5948" s="238"/>
      <c r="E5948" s="545"/>
      <c r="F5948" s="546"/>
      <c r="G5948" s="234"/>
      <c r="H5948" s="238"/>
      <c r="I5948" s="237"/>
    </row>
    <row r="5949" spans="1:9" s="232" customFormat="1" ht="17" customHeight="1">
      <c r="A5949" s="234"/>
      <c r="B5949" s="233"/>
      <c r="C5949" s="238"/>
      <c r="E5949" s="545"/>
      <c r="F5949" s="546"/>
      <c r="G5949" s="234"/>
      <c r="H5949" s="238"/>
      <c r="I5949" s="237"/>
    </row>
    <row r="5950" spans="1:9" s="232" customFormat="1" ht="17" customHeight="1">
      <c r="A5950" s="234"/>
      <c r="B5950" s="233"/>
      <c r="C5950" s="238"/>
      <c r="E5950" s="545"/>
      <c r="F5950" s="546"/>
      <c r="G5950" s="234"/>
      <c r="H5950" s="238"/>
      <c r="I5950" s="237"/>
    </row>
    <row r="5951" spans="1:9" s="232" customFormat="1" ht="17" customHeight="1">
      <c r="A5951" s="234"/>
      <c r="B5951" s="233"/>
      <c r="C5951" s="238"/>
      <c r="E5951" s="545"/>
      <c r="F5951" s="546"/>
      <c r="G5951" s="234"/>
      <c r="H5951" s="238"/>
      <c r="I5951" s="237"/>
    </row>
    <row r="5952" spans="1:9" s="232" customFormat="1" ht="17" customHeight="1">
      <c r="A5952" s="234"/>
      <c r="B5952" s="233"/>
      <c r="C5952" s="238"/>
      <c r="E5952" s="545"/>
      <c r="F5952" s="546"/>
      <c r="G5952" s="234"/>
      <c r="H5952" s="238"/>
      <c r="I5952" s="237"/>
    </row>
    <row r="5953" spans="1:9" s="232" customFormat="1" ht="17" customHeight="1">
      <c r="A5953" s="234"/>
      <c r="B5953" s="233"/>
      <c r="C5953" s="238"/>
      <c r="E5953" s="545"/>
      <c r="F5953" s="546"/>
      <c r="G5953" s="234"/>
      <c r="H5953" s="238"/>
      <c r="I5953" s="237"/>
    </row>
    <row r="5954" spans="1:9" s="232" customFormat="1" ht="17" customHeight="1">
      <c r="A5954" s="234"/>
      <c r="B5954" s="233"/>
      <c r="C5954" s="238"/>
      <c r="E5954" s="545"/>
      <c r="F5954" s="546"/>
      <c r="G5954" s="234"/>
      <c r="H5954" s="238"/>
      <c r="I5954" s="237"/>
    </row>
    <row r="5955" spans="1:9" s="232" customFormat="1" ht="17" customHeight="1">
      <c r="A5955" s="234"/>
      <c r="B5955" s="233"/>
      <c r="C5955" s="238"/>
      <c r="E5955" s="545"/>
      <c r="F5955" s="546"/>
      <c r="G5955" s="234"/>
      <c r="H5955" s="238"/>
      <c r="I5955" s="237"/>
    </row>
    <row r="5956" spans="1:9" s="232" customFormat="1" ht="17" customHeight="1">
      <c r="A5956" s="234"/>
      <c r="B5956" s="233"/>
      <c r="C5956" s="238"/>
      <c r="E5956" s="545"/>
      <c r="F5956" s="546"/>
      <c r="G5956" s="234"/>
      <c r="H5956" s="238"/>
      <c r="I5956" s="237"/>
    </row>
    <row r="5957" spans="1:9" s="232" customFormat="1" ht="17" customHeight="1">
      <c r="A5957" s="234"/>
      <c r="B5957" s="233"/>
      <c r="C5957" s="238"/>
      <c r="E5957" s="545"/>
      <c r="F5957" s="546"/>
      <c r="G5957" s="234"/>
      <c r="H5957" s="238"/>
      <c r="I5957" s="237"/>
    </row>
    <row r="5958" spans="1:9" s="232" customFormat="1" ht="17" customHeight="1">
      <c r="A5958" s="234"/>
      <c r="B5958" s="233"/>
      <c r="C5958" s="238"/>
      <c r="E5958" s="545"/>
      <c r="F5958" s="546"/>
      <c r="G5958" s="234"/>
      <c r="H5958" s="238"/>
      <c r="I5958" s="237"/>
    </row>
    <row r="5959" spans="1:9" s="232" customFormat="1" ht="17" customHeight="1">
      <c r="A5959" s="234"/>
      <c r="B5959" s="233"/>
      <c r="C5959" s="238"/>
      <c r="E5959" s="545"/>
      <c r="F5959" s="546"/>
      <c r="G5959" s="234"/>
      <c r="H5959" s="238"/>
      <c r="I5959" s="237"/>
    </row>
    <row r="5960" spans="1:9" s="232" customFormat="1" ht="17" customHeight="1">
      <c r="A5960" s="234"/>
      <c r="B5960" s="233"/>
      <c r="C5960" s="238"/>
      <c r="E5960" s="545"/>
      <c r="F5960" s="546"/>
      <c r="G5960" s="234"/>
      <c r="H5960" s="238"/>
      <c r="I5960" s="237"/>
    </row>
    <row r="5961" spans="1:9" s="232" customFormat="1" ht="17" customHeight="1">
      <c r="A5961" s="234"/>
      <c r="B5961" s="233"/>
      <c r="C5961" s="238"/>
      <c r="E5961" s="545"/>
      <c r="F5961" s="546"/>
      <c r="G5961" s="234"/>
      <c r="H5961" s="238"/>
      <c r="I5961" s="237"/>
    </row>
    <row r="5962" spans="1:9" s="232" customFormat="1" ht="17" customHeight="1">
      <c r="A5962" s="234"/>
      <c r="B5962" s="233"/>
      <c r="C5962" s="238"/>
      <c r="E5962" s="545"/>
      <c r="F5962" s="546"/>
      <c r="G5962" s="234"/>
      <c r="H5962" s="238"/>
      <c r="I5962" s="237"/>
    </row>
    <row r="5963" spans="1:9" s="232" customFormat="1" ht="17" customHeight="1">
      <c r="A5963" s="234"/>
      <c r="B5963" s="233"/>
      <c r="C5963" s="238"/>
      <c r="E5963" s="545"/>
      <c r="F5963" s="546"/>
      <c r="G5963" s="234"/>
      <c r="H5963" s="238"/>
      <c r="I5963" s="237"/>
    </row>
    <row r="5964" spans="1:9" s="232" customFormat="1" ht="17" customHeight="1">
      <c r="A5964" s="234"/>
      <c r="B5964" s="233"/>
      <c r="C5964" s="238"/>
      <c r="E5964" s="545"/>
      <c r="F5964" s="546"/>
      <c r="G5964" s="234"/>
      <c r="H5964" s="238"/>
      <c r="I5964" s="237"/>
    </row>
    <row r="5965" spans="1:9" s="232" customFormat="1" ht="17" customHeight="1">
      <c r="A5965" s="234"/>
      <c r="B5965" s="233"/>
      <c r="C5965" s="238"/>
      <c r="E5965" s="545"/>
      <c r="F5965" s="546"/>
      <c r="G5965" s="234"/>
      <c r="H5965" s="238"/>
      <c r="I5965" s="237"/>
    </row>
    <row r="5966" spans="1:9" s="232" customFormat="1" ht="17" customHeight="1">
      <c r="A5966" s="234"/>
      <c r="B5966" s="233"/>
      <c r="C5966" s="238"/>
      <c r="E5966" s="545"/>
      <c r="F5966" s="546"/>
      <c r="G5966" s="234"/>
      <c r="H5966" s="238"/>
      <c r="I5966" s="237"/>
    </row>
    <row r="5967" spans="1:9" s="232" customFormat="1" ht="17" customHeight="1">
      <c r="A5967" s="234"/>
      <c r="B5967" s="233"/>
      <c r="C5967" s="238"/>
      <c r="E5967" s="545"/>
      <c r="F5967" s="546"/>
      <c r="G5967" s="234"/>
      <c r="H5967" s="238"/>
      <c r="I5967" s="237"/>
    </row>
    <row r="5968" spans="1:9" s="232" customFormat="1" ht="17" customHeight="1">
      <c r="A5968" s="234"/>
      <c r="B5968" s="233"/>
      <c r="C5968" s="238"/>
      <c r="E5968" s="545"/>
      <c r="F5968" s="546"/>
      <c r="G5968" s="234"/>
      <c r="H5968" s="238"/>
      <c r="I5968" s="237"/>
    </row>
    <row r="5969" spans="1:9" s="232" customFormat="1" ht="17" customHeight="1">
      <c r="A5969" s="234"/>
      <c r="B5969" s="233"/>
      <c r="C5969" s="238"/>
      <c r="E5969" s="545"/>
      <c r="F5969" s="546"/>
      <c r="G5969" s="234"/>
      <c r="H5969" s="238"/>
      <c r="I5969" s="237"/>
    </row>
    <row r="5970" spans="1:9" s="232" customFormat="1" ht="17" customHeight="1">
      <c r="A5970" s="234"/>
      <c r="B5970" s="233"/>
      <c r="C5970" s="238"/>
      <c r="E5970" s="545"/>
      <c r="F5970" s="546"/>
      <c r="G5970" s="234"/>
      <c r="H5970" s="238"/>
      <c r="I5970" s="237"/>
    </row>
    <row r="5971" spans="1:9" s="232" customFormat="1" ht="17" customHeight="1">
      <c r="A5971" s="234"/>
      <c r="B5971" s="233"/>
      <c r="C5971" s="238"/>
      <c r="E5971" s="545"/>
      <c r="F5971" s="546"/>
      <c r="G5971" s="234"/>
      <c r="H5971" s="238"/>
      <c r="I5971" s="237"/>
    </row>
    <row r="5972" spans="1:9" s="232" customFormat="1" ht="17" customHeight="1">
      <c r="A5972" s="234"/>
      <c r="B5972" s="233"/>
      <c r="C5972" s="238"/>
      <c r="E5972" s="545"/>
      <c r="F5972" s="546"/>
      <c r="G5972" s="234"/>
      <c r="H5972" s="238"/>
      <c r="I5972" s="237"/>
    </row>
    <row r="5973" spans="1:9" s="232" customFormat="1" ht="17" customHeight="1">
      <c r="A5973" s="234"/>
      <c r="B5973" s="233"/>
      <c r="C5973" s="238"/>
      <c r="E5973" s="545"/>
      <c r="F5973" s="546"/>
      <c r="G5973" s="234"/>
      <c r="H5973" s="238"/>
      <c r="I5973" s="237"/>
    </row>
    <row r="5974" spans="1:9" s="232" customFormat="1" ht="17" customHeight="1">
      <c r="A5974" s="234"/>
      <c r="B5974" s="233"/>
      <c r="C5974" s="238"/>
      <c r="E5974" s="545"/>
      <c r="F5974" s="546"/>
      <c r="G5974" s="234"/>
      <c r="H5974" s="238"/>
      <c r="I5974" s="237"/>
    </row>
    <row r="5975" spans="1:9" s="232" customFormat="1" ht="17" customHeight="1">
      <c r="A5975" s="234"/>
      <c r="B5975" s="233"/>
      <c r="C5975" s="238"/>
      <c r="E5975" s="545"/>
      <c r="F5975" s="546"/>
      <c r="G5975" s="234"/>
      <c r="H5975" s="238"/>
      <c r="I5975" s="237"/>
    </row>
    <row r="5976" spans="1:9" s="232" customFormat="1" ht="17" customHeight="1">
      <c r="A5976" s="234"/>
      <c r="B5976" s="233"/>
      <c r="C5976" s="238"/>
      <c r="E5976" s="545"/>
      <c r="F5976" s="546"/>
      <c r="G5976" s="234"/>
      <c r="H5976" s="238"/>
      <c r="I5976" s="237"/>
    </row>
    <row r="5977" spans="1:9" s="232" customFormat="1" ht="17" customHeight="1">
      <c r="A5977" s="234"/>
      <c r="B5977" s="233"/>
      <c r="C5977" s="238"/>
      <c r="E5977" s="545"/>
      <c r="F5977" s="546"/>
      <c r="G5977" s="234"/>
      <c r="H5977" s="238"/>
      <c r="I5977" s="237"/>
    </row>
    <row r="5978" spans="1:9" s="232" customFormat="1" ht="17" customHeight="1">
      <c r="A5978" s="234"/>
      <c r="B5978" s="233"/>
      <c r="C5978" s="238"/>
      <c r="E5978" s="545"/>
      <c r="F5978" s="546"/>
      <c r="G5978" s="234"/>
      <c r="H5978" s="238"/>
      <c r="I5978" s="237"/>
    </row>
    <row r="5979" spans="1:9" s="232" customFormat="1" ht="17" customHeight="1">
      <c r="A5979" s="234"/>
      <c r="B5979" s="233"/>
      <c r="C5979" s="238"/>
      <c r="E5979" s="545"/>
      <c r="F5979" s="546"/>
      <c r="G5979" s="234"/>
      <c r="H5979" s="238"/>
      <c r="I5979" s="237"/>
    </row>
    <row r="5980" spans="1:9" s="232" customFormat="1" ht="17" customHeight="1">
      <c r="A5980" s="234"/>
      <c r="B5980" s="233"/>
      <c r="C5980" s="238"/>
      <c r="E5980" s="545"/>
      <c r="F5980" s="546"/>
      <c r="G5980" s="234"/>
      <c r="H5980" s="238"/>
      <c r="I5980" s="237"/>
    </row>
    <row r="5981" spans="1:9" s="232" customFormat="1" ht="17" customHeight="1">
      <c r="A5981" s="234"/>
      <c r="B5981" s="233"/>
      <c r="C5981" s="238"/>
      <c r="E5981" s="545"/>
      <c r="F5981" s="546"/>
      <c r="G5981" s="234"/>
      <c r="H5981" s="238"/>
      <c r="I5981" s="237"/>
    </row>
    <row r="5982" spans="1:9" s="232" customFormat="1" ht="17" customHeight="1">
      <c r="A5982" s="234"/>
      <c r="B5982" s="233"/>
      <c r="C5982" s="238"/>
      <c r="E5982" s="545"/>
      <c r="F5982" s="546"/>
      <c r="G5982" s="234"/>
      <c r="H5982" s="238"/>
      <c r="I5982" s="237"/>
    </row>
    <row r="5983" spans="1:9" s="232" customFormat="1" ht="17" customHeight="1">
      <c r="A5983" s="234"/>
      <c r="B5983" s="233"/>
      <c r="C5983" s="238"/>
      <c r="E5983" s="545"/>
      <c r="F5983" s="546"/>
      <c r="G5983" s="234"/>
      <c r="H5983" s="238"/>
      <c r="I5983" s="237"/>
    </row>
    <row r="5984" spans="1:9" s="232" customFormat="1" ht="17" customHeight="1">
      <c r="A5984" s="234"/>
      <c r="B5984" s="233"/>
      <c r="C5984" s="238"/>
      <c r="E5984" s="545"/>
      <c r="F5984" s="546"/>
      <c r="G5984" s="234"/>
      <c r="H5984" s="238"/>
      <c r="I5984" s="237"/>
    </row>
    <row r="5985" spans="1:9" s="232" customFormat="1" ht="17" customHeight="1">
      <c r="A5985" s="234"/>
      <c r="B5985" s="233"/>
      <c r="C5985" s="238"/>
      <c r="E5985" s="545"/>
      <c r="F5985" s="546"/>
      <c r="G5985" s="234"/>
      <c r="H5985" s="238"/>
      <c r="I5985" s="237"/>
    </row>
    <row r="5986" spans="1:9" s="232" customFormat="1" ht="17" customHeight="1">
      <c r="A5986" s="234"/>
      <c r="B5986" s="233"/>
      <c r="C5986" s="238"/>
      <c r="E5986" s="545"/>
      <c r="F5986" s="546"/>
      <c r="G5986" s="234"/>
      <c r="H5986" s="238"/>
      <c r="I5986" s="237"/>
    </row>
    <row r="5987" spans="1:9" s="232" customFormat="1" ht="17" customHeight="1">
      <c r="A5987" s="234"/>
      <c r="B5987" s="233"/>
      <c r="C5987" s="238"/>
      <c r="E5987" s="545"/>
      <c r="F5987" s="546"/>
      <c r="G5987" s="234"/>
      <c r="H5987" s="238"/>
      <c r="I5987" s="237"/>
    </row>
    <row r="5988" spans="1:9" s="232" customFormat="1" ht="17" customHeight="1">
      <c r="A5988" s="234"/>
      <c r="B5988" s="233"/>
      <c r="C5988" s="238"/>
      <c r="E5988" s="545"/>
      <c r="F5988" s="546"/>
      <c r="G5988" s="234"/>
      <c r="H5988" s="238"/>
      <c r="I5988" s="237"/>
    </row>
    <row r="5989" spans="1:9" s="232" customFormat="1" ht="17" customHeight="1">
      <c r="A5989" s="234"/>
      <c r="B5989" s="233"/>
      <c r="C5989" s="238"/>
      <c r="E5989" s="545"/>
      <c r="F5989" s="546"/>
      <c r="G5989" s="234"/>
      <c r="H5989" s="238"/>
      <c r="I5989" s="237"/>
    </row>
    <row r="5990" spans="1:9" s="232" customFormat="1" ht="17" customHeight="1">
      <c r="A5990" s="234"/>
      <c r="B5990" s="233"/>
      <c r="C5990" s="238"/>
      <c r="E5990" s="545"/>
      <c r="F5990" s="546"/>
      <c r="G5990" s="234"/>
      <c r="H5990" s="238"/>
      <c r="I5990" s="237"/>
    </row>
    <row r="5991" spans="1:9" s="232" customFormat="1" ht="17" customHeight="1">
      <c r="A5991" s="234"/>
      <c r="B5991" s="233"/>
      <c r="C5991" s="238"/>
      <c r="E5991" s="545"/>
      <c r="F5991" s="546"/>
      <c r="G5991" s="234"/>
      <c r="H5991" s="238"/>
      <c r="I5991" s="237"/>
    </row>
    <row r="5992" spans="1:9" s="232" customFormat="1" ht="17" customHeight="1">
      <c r="A5992" s="234"/>
      <c r="B5992" s="233"/>
      <c r="C5992" s="238"/>
      <c r="E5992" s="545"/>
      <c r="F5992" s="546"/>
      <c r="G5992" s="234"/>
      <c r="H5992" s="238"/>
      <c r="I5992" s="237"/>
    </row>
    <row r="5993" spans="1:9" s="232" customFormat="1" ht="17" customHeight="1">
      <c r="A5993" s="234"/>
      <c r="B5993" s="233"/>
      <c r="C5993" s="238"/>
      <c r="E5993" s="545"/>
      <c r="F5993" s="546"/>
      <c r="G5993" s="234"/>
      <c r="H5993" s="238"/>
      <c r="I5993" s="237"/>
    </row>
    <row r="5994" spans="1:9" s="232" customFormat="1" ht="17" customHeight="1">
      <c r="A5994" s="234"/>
      <c r="B5994" s="233"/>
      <c r="C5994" s="238"/>
      <c r="E5994" s="545"/>
      <c r="F5994" s="546"/>
      <c r="G5994" s="234"/>
      <c r="H5994" s="238"/>
      <c r="I5994" s="237"/>
    </row>
    <row r="5995" spans="1:9" s="232" customFormat="1" ht="17" customHeight="1">
      <c r="A5995" s="234"/>
      <c r="B5995" s="233"/>
      <c r="C5995" s="238"/>
      <c r="E5995" s="545"/>
      <c r="F5995" s="546"/>
      <c r="G5995" s="234"/>
      <c r="H5995" s="238"/>
      <c r="I5995" s="237"/>
    </row>
    <row r="5996" spans="1:9" s="232" customFormat="1" ht="17" customHeight="1">
      <c r="A5996" s="234"/>
      <c r="B5996" s="233"/>
      <c r="C5996" s="238"/>
      <c r="E5996" s="545"/>
      <c r="F5996" s="546"/>
      <c r="G5996" s="234"/>
      <c r="H5996" s="238"/>
      <c r="I5996" s="237"/>
    </row>
    <row r="5997" spans="1:9" s="232" customFormat="1" ht="17" customHeight="1">
      <c r="A5997" s="234"/>
      <c r="B5997" s="233"/>
      <c r="C5997" s="238"/>
      <c r="E5997" s="545"/>
      <c r="F5997" s="546"/>
      <c r="G5997" s="234"/>
      <c r="H5997" s="238"/>
      <c r="I5997" s="237"/>
    </row>
    <row r="5998" spans="1:9" s="232" customFormat="1" ht="17" customHeight="1">
      <c r="A5998" s="234"/>
      <c r="B5998" s="233"/>
      <c r="C5998" s="238"/>
      <c r="E5998" s="545"/>
      <c r="F5998" s="546"/>
      <c r="G5998" s="234"/>
      <c r="H5998" s="238"/>
      <c r="I5998" s="237"/>
    </row>
    <row r="5999" spans="1:9" s="232" customFormat="1" ht="17" customHeight="1">
      <c r="A5999" s="234"/>
      <c r="B5999" s="233"/>
      <c r="C5999" s="238"/>
      <c r="E5999" s="545"/>
      <c r="F5999" s="546"/>
      <c r="G5999" s="234"/>
      <c r="H5999" s="238"/>
      <c r="I5999" s="237"/>
    </row>
    <row r="6000" spans="1:9" s="232" customFormat="1" ht="17" customHeight="1">
      <c r="A6000" s="234"/>
      <c r="B6000" s="233"/>
      <c r="C6000" s="238"/>
      <c r="E6000" s="545"/>
      <c r="F6000" s="546"/>
      <c r="G6000" s="234"/>
      <c r="H6000" s="238"/>
      <c r="I6000" s="237"/>
    </row>
    <row r="6001" spans="1:9" s="232" customFormat="1" ht="17" customHeight="1">
      <c r="A6001" s="234"/>
      <c r="B6001" s="233"/>
      <c r="C6001" s="238"/>
      <c r="E6001" s="545"/>
      <c r="F6001" s="546"/>
      <c r="G6001" s="234"/>
      <c r="H6001" s="238"/>
      <c r="I6001" s="237"/>
    </row>
    <row r="6002" spans="1:9" s="232" customFormat="1" ht="17" customHeight="1">
      <c r="A6002" s="234"/>
      <c r="B6002" s="233"/>
      <c r="C6002" s="238"/>
      <c r="E6002" s="545"/>
      <c r="F6002" s="546"/>
      <c r="G6002" s="234"/>
      <c r="H6002" s="238"/>
      <c r="I6002" s="237"/>
    </row>
    <row r="6003" spans="1:9" s="232" customFormat="1" ht="17" customHeight="1">
      <c r="A6003" s="234"/>
      <c r="B6003" s="233"/>
      <c r="C6003" s="238"/>
      <c r="E6003" s="545"/>
      <c r="F6003" s="546"/>
      <c r="G6003" s="234"/>
      <c r="H6003" s="238"/>
      <c r="I6003" s="237"/>
    </row>
    <row r="6004" spans="1:9" s="232" customFormat="1" ht="17" customHeight="1">
      <c r="A6004" s="234"/>
      <c r="B6004" s="233"/>
      <c r="C6004" s="238"/>
      <c r="E6004" s="545"/>
      <c r="F6004" s="546"/>
      <c r="G6004" s="234"/>
      <c r="H6004" s="238"/>
      <c r="I6004" s="237"/>
    </row>
    <row r="6005" spans="1:9" s="232" customFormat="1" ht="17" customHeight="1">
      <c r="A6005" s="234"/>
      <c r="B6005" s="233"/>
      <c r="C6005" s="238"/>
      <c r="E6005" s="545"/>
      <c r="F6005" s="546"/>
      <c r="G6005" s="234"/>
      <c r="H6005" s="238"/>
      <c r="I6005" s="237"/>
    </row>
    <row r="6006" spans="1:9" s="232" customFormat="1" ht="17" customHeight="1">
      <c r="A6006" s="234"/>
      <c r="B6006" s="233"/>
      <c r="C6006" s="238"/>
      <c r="E6006" s="545"/>
      <c r="F6006" s="546"/>
      <c r="G6006" s="234"/>
      <c r="H6006" s="238"/>
      <c r="I6006" s="237"/>
    </row>
    <row r="6007" spans="1:9" s="232" customFormat="1" ht="17" customHeight="1">
      <c r="A6007" s="234"/>
      <c r="B6007" s="233"/>
      <c r="C6007" s="238"/>
      <c r="E6007" s="545"/>
      <c r="F6007" s="546"/>
      <c r="G6007" s="234"/>
      <c r="H6007" s="238"/>
      <c r="I6007" s="237"/>
    </row>
    <row r="6008" spans="1:9" s="232" customFormat="1" ht="17" customHeight="1">
      <c r="A6008" s="234"/>
      <c r="B6008" s="233"/>
      <c r="C6008" s="238"/>
      <c r="E6008" s="545"/>
      <c r="F6008" s="546"/>
      <c r="G6008" s="234"/>
      <c r="H6008" s="238"/>
      <c r="I6008" s="237"/>
    </row>
    <row r="6009" spans="1:9" s="232" customFormat="1" ht="17" customHeight="1">
      <c r="A6009" s="234"/>
      <c r="B6009" s="233"/>
      <c r="C6009" s="238"/>
      <c r="E6009" s="545"/>
      <c r="F6009" s="546"/>
      <c r="G6009" s="234"/>
      <c r="H6009" s="238"/>
      <c r="I6009" s="237"/>
    </row>
    <row r="6010" spans="1:9" s="232" customFormat="1" ht="17" customHeight="1">
      <c r="A6010" s="234"/>
      <c r="B6010" s="233"/>
      <c r="C6010" s="238"/>
      <c r="E6010" s="545"/>
      <c r="F6010" s="546"/>
      <c r="G6010" s="234"/>
      <c r="H6010" s="238"/>
      <c r="I6010" s="237"/>
    </row>
    <row r="6011" spans="1:9" s="232" customFormat="1" ht="17" customHeight="1">
      <c r="A6011" s="234"/>
      <c r="B6011" s="233"/>
      <c r="C6011" s="238"/>
      <c r="E6011" s="545"/>
      <c r="F6011" s="546"/>
      <c r="G6011" s="234"/>
      <c r="H6011" s="238"/>
      <c r="I6011" s="237"/>
    </row>
    <row r="6012" spans="1:9" s="232" customFormat="1" ht="17" customHeight="1">
      <c r="A6012" s="234"/>
      <c r="B6012" s="233"/>
      <c r="C6012" s="238"/>
      <c r="E6012" s="545"/>
      <c r="F6012" s="546"/>
      <c r="G6012" s="234"/>
      <c r="H6012" s="238"/>
      <c r="I6012" s="237"/>
    </row>
    <row r="6013" spans="1:9" s="232" customFormat="1" ht="17" customHeight="1">
      <c r="A6013" s="234"/>
      <c r="B6013" s="233"/>
      <c r="C6013" s="238"/>
      <c r="E6013" s="545"/>
      <c r="F6013" s="546"/>
      <c r="G6013" s="234"/>
      <c r="H6013" s="238"/>
      <c r="I6013" s="237"/>
    </row>
    <row r="6014" spans="1:9" s="232" customFormat="1" ht="17" customHeight="1">
      <c r="A6014" s="234"/>
      <c r="B6014" s="233"/>
      <c r="C6014" s="238"/>
      <c r="E6014" s="545"/>
      <c r="F6014" s="546"/>
      <c r="G6014" s="234"/>
      <c r="H6014" s="238"/>
      <c r="I6014" s="237"/>
    </row>
    <row r="6015" spans="1:9" s="232" customFormat="1" ht="17" customHeight="1">
      <c r="A6015" s="234"/>
      <c r="B6015" s="233"/>
      <c r="C6015" s="238"/>
      <c r="E6015" s="545"/>
      <c r="F6015" s="546"/>
      <c r="G6015" s="234"/>
      <c r="H6015" s="238"/>
      <c r="I6015" s="237"/>
    </row>
    <row r="6016" spans="1:9" s="232" customFormat="1" ht="17" customHeight="1">
      <c r="A6016" s="234"/>
      <c r="B6016" s="233"/>
      <c r="C6016" s="238"/>
      <c r="E6016" s="545"/>
      <c r="F6016" s="546"/>
      <c r="G6016" s="234"/>
      <c r="H6016" s="238"/>
      <c r="I6016" s="237"/>
    </row>
    <row r="6017" spans="1:9" s="232" customFormat="1" ht="17" customHeight="1">
      <c r="A6017" s="234"/>
      <c r="B6017" s="233"/>
      <c r="C6017" s="238"/>
      <c r="E6017" s="545"/>
      <c r="F6017" s="546"/>
      <c r="G6017" s="234"/>
      <c r="H6017" s="238"/>
      <c r="I6017" s="237"/>
    </row>
    <row r="6018" spans="1:9" s="232" customFormat="1" ht="17" customHeight="1">
      <c r="A6018" s="234"/>
      <c r="B6018" s="233"/>
      <c r="C6018" s="238"/>
      <c r="E6018" s="545"/>
      <c r="F6018" s="546"/>
      <c r="G6018" s="234"/>
      <c r="H6018" s="238"/>
      <c r="I6018" s="237"/>
    </row>
    <row r="6019" spans="1:9" s="232" customFormat="1" ht="17" customHeight="1">
      <c r="A6019" s="234"/>
      <c r="B6019" s="233"/>
      <c r="C6019" s="238"/>
      <c r="E6019" s="545"/>
      <c r="F6019" s="546"/>
      <c r="G6019" s="234"/>
      <c r="H6019" s="238"/>
      <c r="I6019" s="237"/>
    </row>
    <row r="6020" spans="1:9" s="232" customFormat="1" ht="17" customHeight="1">
      <c r="A6020" s="234"/>
      <c r="B6020" s="233"/>
      <c r="C6020" s="238"/>
      <c r="E6020" s="545"/>
      <c r="F6020" s="546"/>
      <c r="G6020" s="234"/>
      <c r="H6020" s="238"/>
      <c r="I6020" s="237"/>
    </row>
    <row r="6021" spans="1:9" s="232" customFormat="1" ht="17" customHeight="1">
      <c r="A6021" s="234"/>
      <c r="B6021" s="233"/>
      <c r="C6021" s="238"/>
      <c r="E6021" s="545"/>
      <c r="F6021" s="546"/>
      <c r="G6021" s="234"/>
      <c r="H6021" s="238"/>
      <c r="I6021" s="237"/>
    </row>
    <row r="6022" spans="1:9" s="232" customFormat="1" ht="17" customHeight="1">
      <c r="A6022" s="234"/>
      <c r="B6022" s="233"/>
      <c r="C6022" s="238"/>
      <c r="E6022" s="545"/>
      <c r="F6022" s="546"/>
      <c r="G6022" s="234"/>
      <c r="H6022" s="238"/>
      <c r="I6022" s="237"/>
    </row>
    <row r="6023" spans="1:9" s="232" customFormat="1" ht="17" customHeight="1">
      <c r="A6023" s="234"/>
      <c r="B6023" s="233"/>
      <c r="C6023" s="238"/>
      <c r="E6023" s="545"/>
      <c r="F6023" s="546"/>
      <c r="G6023" s="234"/>
      <c r="H6023" s="238"/>
      <c r="I6023" s="237"/>
    </row>
    <row r="6024" spans="1:9" s="232" customFormat="1" ht="17" customHeight="1">
      <c r="A6024" s="234"/>
      <c r="B6024" s="233"/>
      <c r="C6024" s="238"/>
      <c r="E6024" s="545"/>
      <c r="F6024" s="546"/>
      <c r="G6024" s="234"/>
      <c r="H6024" s="238"/>
      <c r="I6024" s="237"/>
    </row>
    <row r="6025" spans="1:9" s="232" customFormat="1" ht="17" customHeight="1">
      <c r="A6025" s="234"/>
      <c r="B6025" s="233"/>
      <c r="C6025" s="238"/>
      <c r="E6025" s="545"/>
      <c r="F6025" s="546"/>
      <c r="G6025" s="234"/>
      <c r="H6025" s="238"/>
      <c r="I6025" s="237"/>
    </row>
    <row r="6026" spans="1:9" s="232" customFormat="1" ht="17" customHeight="1">
      <c r="A6026" s="234"/>
      <c r="B6026" s="233"/>
      <c r="C6026" s="238"/>
      <c r="E6026" s="545"/>
      <c r="F6026" s="546"/>
      <c r="G6026" s="234"/>
      <c r="H6026" s="238"/>
      <c r="I6026" s="237"/>
    </row>
    <row r="6027" spans="1:9" s="232" customFormat="1" ht="17" customHeight="1">
      <c r="A6027" s="234"/>
      <c r="B6027" s="233"/>
      <c r="C6027" s="238"/>
      <c r="E6027" s="545"/>
      <c r="F6027" s="546"/>
      <c r="G6027" s="234"/>
      <c r="H6027" s="238"/>
      <c r="I6027" s="237"/>
    </row>
    <row r="6028" spans="1:9" s="232" customFormat="1" ht="17" customHeight="1">
      <c r="A6028" s="234"/>
      <c r="B6028" s="233"/>
      <c r="C6028" s="238"/>
      <c r="E6028" s="545"/>
      <c r="F6028" s="546"/>
      <c r="G6028" s="234"/>
      <c r="H6028" s="238"/>
      <c r="I6028" s="237"/>
    </row>
    <row r="6029" spans="1:9" s="232" customFormat="1" ht="17" customHeight="1">
      <c r="A6029" s="234"/>
      <c r="B6029" s="233"/>
      <c r="C6029" s="238"/>
      <c r="E6029" s="545"/>
      <c r="F6029" s="546"/>
      <c r="G6029" s="234"/>
      <c r="H6029" s="238"/>
      <c r="I6029" s="237"/>
    </row>
    <row r="6030" spans="1:9" s="232" customFormat="1" ht="17" customHeight="1">
      <c r="A6030" s="234"/>
      <c r="B6030" s="233"/>
      <c r="C6030" s="238"/>
      <c r="E6030" s="545"/>
      <c r="F6030" s="546"/>
      <c r="G6030" s="234"/>
      <c r="H6030" s="238"/>
      <c r="I6030" s="237"/>
    </row>
    <row r="6031" spans="1:9" s="232" customFormat="1" ht="17" customHeight="1">
      <c r="A6031" s="234"/>
      <c r="B6031" s="233"/>
      <c r="C6031" s="238"/>
      <c r="E6031" s="545"/>
      <c r="F6031" s="546"/>
      <c r="G6031" s="234"/>
      <c r="H6031" s="238"/>
      <c r="I6031" s="237"/>
    </row>
    <row r="6032" spans="1:9" s="232" customFormat="1" ht="17" customHeight="1">
      <c r="A6032" s="234"/>
      <c r="B6032" s="233"/>
      <c r="C6032" s="238"/>
      <c r="E6032" s="545"/>
      <c r="F6032" s="546"/>
      <c r="G6032" s="234"/>
      <c r="H6032" s="238"/>
      <c r="I6032" s="237"/>
    </row>
    <row r="6033" spans="1:9" s="232" customFormat="1" ht="17" customHeight="1">
      <c r="A6033" s="234"/>
      <c r="B6033" s="233"/>
      <c r="C6033" s="238"/>
      <c r="E6033" s="545"/>
      <c r="F6033" s="546"/>
      <c r="G6033" s="234"/>
      <c r="H6033" s="238"/>
      <c r="I6033" s="237"/>
    </row>
    <row r="6034" spans="1:9" s="232" customFormat="1" ht="17" customHeight="1">
      <c r="A6034" s="234"/>
      <c r="B6034" s="233"/>
      <c r="C6034" s="238"/>
      <c r="E6034" s="545"/>
      <c r="F6034" s="546"/>
      <c r="G6034" s="234"/>
      <c r="H6034" s="238"/>
      <c r="I6034" s="237"/>
    </row>
    <row r="6035" spans="1:9" s="232" customFormat="1" ht="17" customHeight="1">
      <c r="A6035" s="234"/>
      <c r="B6035" s="233"/>
      <c r="C6035" s="238"/>
      <c r="E6035" s="545"/>
      <c r="F6035" s="546"/>
      <c r="G6035" s="234"/>
      <c r="H6035" s="238"/>
      <c r="I6035" s="237"/>
    </row>
    <row r="6036" spans="1:9" s="232" customFormat="1" ht="17" customHeight="1">
      <c r="A6036" s="234"/>
      <c r="B6036" s="233"/>
      <c r="C6036" s="238"/>
      <c r="E6036" s="545"/>
      <c r="F6036" s="546"/>
      <c r="G6036" s="234"/>
      <c r="H6036" s="238"/>
      <c r="I6036" s="237"/>
    </row>
    <row r="6037" spans="1:9" s="232" customFormat="1" ht="17" customHeight="1">
      <c r="A6037" s="234"/>
      <c r="B6037" s="233"/>
      <c r="C6037" s="238"/>
      <c r="E6037" s="545"/>
      <c r="F6037" s="546"/>
      <c r="G6037" s="234"/>
      <c r="H6037" s="238"/>
      <c r="I6037" s="237"/>
    </row>
    <row r="6038" spans="1:9" s="232" customFormat="1" ht="17" customHeight="1">
      <c r="A6038" s="234"/>
      <c r="B6038" s="233"/>
      <c r="C6038" s="238"/>
      <c r="E6038" s="545"/>
      <c r="F6038" s="546"/>
      <c r="G6038" s="234"/>
      <c r="H6038" s="238"/>
      <c r="I6038" s="237"/>
    </row>
    <row r="6039" spans="1:9" s="232" customFormat="1" ht="17" customHeight="1">
      <c r="A6039" s="234"/>
      <c r="B6039" s="233"/>
      <c r="C6039" s="238"/>
      <c r="E6039" s="545"/>
      <c r="F6039" s="546"/>
      <c r="G6039" s="234"/>
      <c r="H6039" s="238"/>
      <c r="I6039" s="237"/>
    </row>
    <row r="6040" spans="1:9" s="232" customFormat="1" ht="17" customHeight="1">
      <c r="A6040" s="234"/>
      <c r="B6040" s="233"/>
      <c r="C6040" s="238"/>
      <c r="E6040" s="545"/>
      <c r="F6040" s="546"/>
      <c r="G6040" s="234"/>
      <c r="H6040" s="238"/>
      <c r="I6040" s="237"/>
    </row>
    <row r="6041" spans="1:9" s="232" customFormat="1" ht="17" customHeight="1">
      <c r="A6041" s="234"/>
      <c r="B6041" s="233"/>
      <c r="C6041" s="238"/>
      <c r="E6041" s="545"/>
      <c r="F6041" s="546"/>
      <c r="G6041" s="234"/>
      <c r="H6041" s="238"/>
      <c r="I6041" s="237"/>
    </row>
    <row r="6042" spans="1:9" s="232" customFormat="1" ht="17" customHeight="1">
      <c r="A6042" s="234"/>
      <c r="B6042" s="233"/>
      <c r="C6042" s="238"/>
      <c r="E6042" s="545"/>
      <c r="F6042" s="546"/>
      <c r="G6042" s="234"/>
      <c r="H6042" s="238"/>
      <c r="I6042" s="237"/>
    </row>
    <row r="6043" spans="1:9" s="232" customFormat="1" ht="17" customHeight="1">
      <c r="A6043" s="234"/>
      <c r="B6043" s="233"/>
      <c r="C6043" s="238"/>
      <c r="E6043" s="545"/>
      <c r="F6043" s="546"/>
      <c r="G6043" s="234"/>
      <c r="H6043" s="238"/>
      <c r="I6043" s="237"/>
    </row>
    <row r="6044" spans="1:9" s="232" customFormat="1" ht="17" customHeight="1">
      <c r="A6044" s="234"/>
      <c r="B6044" s="233"/>
      <c r="C6044" s="238"/>
      <c r="E6044" s="545"/>
      <c r="F6044" s="546"/>
      <c r="G6044" s="234"/>
      <c r="H6044" s="238"/>
      <c r="I6044" s="237"/>
    </row>
    <row r="6045" spans="1:9" s="232" customFormat="1" ht="17" customHeight="1">
      <c r="A6045" s="234"/>
      <c r="B6045" s="233"/>
      <c r="C6045" s="238"/>
      <c r="E6045" s="545"/>
      <c r="F6045" s="546"/>
      <c r="G6045" s="234"/>
      <c r="H6045" s="238"/>
      <c r="I6045" s="237"/>
    </row>
    <row r="6046" spans="1:9" s="232" customFormat="1" ht="17" customHeight="1">
      <c r="A6046" s="234"/>
      <c r="B6046" s="233"/>
      <c r="C6046" s="238"/>
      <c r="E6046" s="545"/>
      <c r="F6046" s="546"/>
      <c r="G6046" s="234"/>
      <c r="H6046" s="238"/>
      <c r="I6046" s="237"/>
    </row>
    <row r="6047" spans="1:9" s="232" customFormat="1" ht="17" customHeight="1">
      <c r="A6047" s="234"/>
      <c r="B6047" s="233"/>
      <c r="C6047" s="238"/>
      <c r="E6047" s="545"/>
      <c r="F6047" s="546"/>
      <c r="G6047" s="234"/>
      <c r="H6047" s="238"/>
      <c r="I6047" s="237"/>
    </row>
    <row r="6048" spans="1:9" s="232" customFormat="1" ht="17" customHeight="1">
      <c r="A6048" s="234"/>
      <c r="B6048" s="233"/>
      <c r="C6048" s="238"/>
      <c r="E6048" s="545"/>
      <c r="F6048" s="546"/>
      <c r="G6048" s="234"/>
      <c r="H6048" s="238"/>
      <c r="I6048" s="237"/>
    </row>
    <row r="6049" spans="1:9" s="232" customFormat="1" ht="17" customHeight="1">
      <c r="A6049" s="234"/>
      <c r="B6049" s="233"/>
      <c r="C6049" s="238"/>
      <c r="E6049" s="545"/>
      <c r="F6049" s="546"/>
      <c r="G6049" s="234"/>
      <c r="H6049" s="238"/>
      <c r="I6049" s="237"/>
    </row>
    <row r="6050" spans="1:9" s="232" customFormat="1" ht="17" customHeight="1">
      <c r="A6050" s="234"/>
      <c r="B6050" s="233"/>
      <c r="C6050" s="238"/>
      <c r="E6050" s="545"/>
      <c r="F6050" s="546"/>
      <c r="G6050" s="234"/>
      <c r="H6050" s="238"/>
      <c r="I6050" s="237"/>
    </row>
    <row r="6051" spans="1:9" s="232" customFormat="1" ht="17" customHeight="1">
      <c r="A6051" s="234"/>
      <c r="B6051" s="233"/>
      <c r="C6051" s="238"/>
      <c r="E6051" s="545"/>
      <c r="F6051" s="546"/>
      <c r="G6051" s="234"/>
      <c r="H6051" s="238"/>
      <c r="I6051" s="237"/>
    </row>
    <row r="6052" spans="1:9" s="232" customFormat="1" ht="17" customHeight="1">
      <c r="A6052" s="234"/>
      <c r="B6052" s="233"/>
      <c r="C6052" s="238"/>
      <c r="E6052" s="545"/>
      <c r="F6052" s="546"/>
      <c r="G6052" s="234"/>
      <c r="H6052" s="238"/>
      <c r="I6052" s="237"/>
    </row>
    <row r="6053" spans="1:9" s="232" customFormat="1" ht="17" customHeight="1">
      <c r="A6053" s="234"/>
      <c r="B6053" s="233"/>
      <c r="C6053" s="238"/>
      <c r="E6053" s="545"/>
      <c r="F6053" s="546"/>
      <c r="G6053" s="234"/>
      <c r="H6053" s="238"/>
      <c r="I6053" s="237"/>
    </row>
    <row r="6054" spans="1:9" s="232" customFormat="1" ht="17" customHeight="1">
      <c r="A6054" s="234"/>
      <c r="B6054" s="233"/>
      <c r="C6054" s="238"/>
      <c r="E6054" s="545"/>
      <c r="F6054" s="546"/>
      <c r="G6054" s="234"/>
      <c r="H6054" s="238"/>
      <c r="I6054" s="237"/>
    </row>
    <row r="6055" spans="1:9" s="232" customFormat="1" ht="17" customHeight="1">
      <c r="A6055" s="234"/>
      <c r="B6055" s="233"/>
      <c r="C6055" s="238"/>
      <c r="E6055" s="545"/>
      <c r="F6055" s="546"/>
      <c r="G6055" s="234"/>
      <c r="H6055" s="238"/>
      <c r="I6055" s="237"/>
    </row>
    <row r="6056" spans="1:9" s="232" customFormat="1" ht="17" customHeight="1">
      <c r="A6056" s="234"/>
      <c r="B6056" s="233"/>
      <c r="C6056" s="238"/>
      <c r="E6056" s="545"/>
      <c r="F6056" s="546"/>
      <c r="G6056" s="234"/>
      <c r="H6056" s="238"/>
      <c r="I6056" s="237"/>
    </row>
    <row r="6057" spans="1:9" s="232" customFormat="1" ht="17" customHeight="1">
      <c r="A6057" s="234"/>
      <c r="B6057" s="233"/>
      <c r="C6057" s="238"/>
      <c r="E6057" s="545"/>
      <c r="F6057" s="546"/>
      <c r="G6057" s="234"/>
      <c r="H6057" s="238"/>
      <c r="I6057" s="237"/>
    </row>
    <row r="6058" spans="1:9" s="232" customFormat="1" ht="17" customHeight="1">
      <c r="A6058" s="234"/>
      <c r="B6058" s="233"/>
      <c r="C6058" s="238"/>
      <c r="E6058" s="545"/>
      <c r="F6058" s="546"/>
      <c r="G6058" s="234"/>
      <c r="H6058" s="238"/>
      <c r="I6058" s="237"/>
    </row>
    <row r="6059" spans="1:9" s="232" customFormat="1" ht="17" customHeight="1">
      <c r="A6059" s="234"/>
      <c r="B6059" s="233"/>
      <c r="C6059" s="238"/>
      <c r="E6059" s="545"/>
      <c r="F6059" s="546"/>
      <c r="G6059" s="234"/>
      <c r="H6059" s="238"/>
      <c r="I6059" s="237"/>
    </row>
    <row r="6060" spans="1:9" s="232" customFormat="1" ht="17" customHeight="1">
      <c r="A6060" s="234"/>
      <c r="B6060" s="233"/>
      <c r="C6060" s="238"/>
      <c r="E6060" s="545"/>
      <c r="F6060" s="546"/>
      <c r="G6060" s="234"/>
      <c r="H6060" s="238"/>
      <c r="I6060" s="237"/>
    </row>
    <row r="6061" spans="1:9" s="232" customFormat="1" ht="17" customHeight="1">
      <c r="A6061" s="234"/>
      <c r="B6061" s="233"/>
      <c r="C6061" s="238"/>
      <c r="E6061" s="545"/>
      <c r="F6061" s="546"/>
      <c r="G6061" s="234"/>
      <c r="H6061" s="238"/>
      <c r="I6061" s="237"/>
    </row>
    <row r="6062" spans="1:9" s="232" customFormat="1" ht="17" customHeight="1">
      <c r="A6062" s="234"/>
      <c r="B6062" s="233"/>
      <c r="C6062" s="238"/>
      <c r="E6062" s="545"/>
      <c r="F6062" s="546"/>
      <c r="G6062" s="234"/>
      <c r="H6062" s="238"/>
      <c r="I6062" s="237"/>
    </row>
    <row r="6063" spans="1:9" s="232" customFormat="1" ht="17" customHeight="1">
      <c r="A6063" s="234"/>
      <c r="B6063" s="233"/>
      <c r="C6063" s="238"/>
      <c r="E6063" s="545"/>
      <c r="F6063" s="546"/>
      <c r="G6063" s="234"/>
      <c r="H6063" s="238"/>
      <c r="I6063" s="237"/>
    </row>
    <row r="6064" spans="1:9" s="232" customFormat="1" ht="17" customHeight="1">
      <c r="A6064" s="234"/>
      <c r="B6064" s="233"/>
      <c r="C6064" s="238"/>
      <c r="E6064" s="545"/>
      <c r="F6064" s="546"/>
      <c r="G6064" s="234"/>
      <c r="H6064" s="238"/>
      <c r="I6064" s="237"/>
    </row>
    <row r="6065" spans="1:9" s="232" customFormat="1" ht="17" customHeight="1">
      <c r="A6065" s="234"/>
      <c r="B6065" s="233"/>
      <c r="C6065" s="238"/>
      <c r="E6065" s="545"/>
      <c r="F6065" s="546"/>
      <c r="G6065" s="234"/>
      <c r="H6065" s="238"/>
      <c r="I6065" s="237"/>
    </row>
    <row r="6066" spans="1:9" s="232" customFormat="1" ht="17" customHeight="1">
      <c r="A6066" s="234"/>
      <c r="B6066" s="233"/>
      <c r="C6066" s="238"/>
      <c r="E6066" s="545"/>
      <c r="F6066" s="546"/>
      <c r="G6066" s="234"/>
      <c r="H6066" s="238"/>
      <c r="I6066" s="237"/>
    </row>
    <row r="6067" spans="1:9" s="232" customFormat="1" ht="17" customHeight="1">
      <c r="A6067" s="234"/>
      <c r="B6067" s="233"/>
      <c r="C6067" s="238"/>
      <c r="E6067" s="545"/>
      <c r="F6067" s="546"/>
      <c r="G6067" s="234"/>
      <c r="H6067" s="238"/>
      <c r="I6067" s="237"/>
    </row>
    <row r="6068" spans="1:9" s="232" customFormat="1" ht="17" customHeight="1">
      <c r="A6068" s="234"/>
      <c r="B6068" s="233"/>
      <c r="C6068" s="238"/>
      <c r="E6068" s="545"/>
      <c r="F6068" s="546"/>
      <c r="G6068" s="234"/>
      <c r="H6068" s="238"/>
      <c r="I6068" s="237"/>
    </row>
    <row r="6069" spans="1:9" s="232" customFormat="1" ht="17" customHeight="1">
      <c r="A6069" s="234"/>
      <c r="B6069" s="233"/>
      <c r="C6069" s="238"/>
      <c r="E6069" s="545"/>
      <c r="F6069" s="546"/>
      <c r="G6069" s="234"/>
      <c r="H6069" s="238"/>
      <c r="I6069" s="237"/>
    </row>
    <row r="6070" spans="1:9" s="232" customFormat="1" ht="17" customHeight="1">
      <c r="A6070" s="234"/>
      <c r="B6070" s="233"/>
      <c r="C6070" s="238"/>
      <c r="E6070" s="545"/>
      <c r="F6070" s="546"/>
      <c r="G6070" s="234"/>
      <c r="H6070" s="238"/>
      <c r="I6070" s="237"/>
    </row>
    <row r="6071" spans="1:9" s="232" customFormat="1" ht="17" customHeight="1">
      <c r="A6071" s="234"/>
      <c r="B6071" s="233"/>
      <c r="C6071" s="238"/>
      <c r="E6071" s="545"/>
      <c r="F6071" s="546"/>
      <c r="G6071" s="234"/>
      <c r="H6071" s="238"/>
      <c r="I6071" s="237"/>
    </row>
    <row r="6072" spans="1:9" s="232" customFormat="1" ht="17" customHeight="1">
      <c r="A6072" s="234"/>
      <c r="B6072" s="233"/>
      <c r="C6072" s="238"/>
      <c r="E6072" s="545"/>
      <c r="F6072" s="546"/>
      <c r="G6072" s="234"/>
      <c r="H6072" s="238"/>
      <c r="I6072" s="237"/>
    </row>
    <row r="6073" spans="1:9" s="232" customFormat="1" ht="17" customHeight="1">
      <c r="A6073" s="234"/>
      <c r="B6073" s="233"/>
      <c r="C6073" s="238"/>
      <c r="E6073" s="545"/>
      <c r="F6073" s="546"/>
      <c r="G6073" s="234"/>
      <c r="H6073" s="238"/>
      <c r="I6073" s="237"/>
    </row>
    <row r="6074" spans="1:9" s="232" customFormat="1" ht="17" customHeight="1">
      <c r="A6074" s="234"/>
      <c r="B6074" s="233"/>
      <c r="C6074" s="238"/>
      <c r="E6074" s="545"/>
      <c r="F6074" s="546"/>
      <c r="G6074" s="234"/>
      <c r="H6074" s="238"/>
      <c r="I6074" s="237"/>
    </row>
    <row r="6075" spans="1:9" s="232" customFormat="1" ht="17" customHeight="1">
      <c r="A6075" s="234"/>
      <c r="B6075" s="233"/>
      <c r="C6075" s="238"/>
      <c r="E6075" s="545"/>
      <c r="F6075" s="546"/>
      <c r="G6075" s="234"/>
      <c r="H6075" s="238"/>
      <c r="I6075" s="237"/>
    </row>
    <row r="6076" spans="1:9" s="232" customFormat="1" ht="17" customHeight="1">
      <c r="A6076" s="234"/>
      <c r="B6076" s="233"/>
      <c r="C6076" s="238"/>
      <c r="E6076" s="545"/>
      <c r="F6076" s="546"/>
      <c r="G6076" s="234"/>
      <c r="H6076" s="238"/>
      <c r="I6076" s="237"/>
    </row>
    <row r="6077" spans="1:9" s="232" customFormat="1" ht="17" customHeight="1">
      <c r="A6077" s="234"/>
      <c r="B6077" s="233"/>
      <c r="C6077" s="238"/>
      <c r="E6077" s="545"/>
      <c r="F6077" s="546"/>
      <c r="G6077" s="234"/>
      <c r="H6077" s="238"/>
      <c r="I6077" s="237"/>
    </row>
    <row r="6078" spans="1:9" s="232" customFormat="1" ht="17" customHeight="1">
      <c r="A6078" s="234"/>
      <c r="B6078" s="233"/>
      <c r="C6078" s="238"/>
      <c r="E6078" s="545"/>
      <c r="F6078" s="546"/>
      <c r="G6078" s="234"/>
      <c r="H6078" s="238"/>
      <c r="I6078" s="237"/>
    </row>
    <row r="6079" spans="1:9" s="232" customFormat="1" ht="17" customHeight="1">
      <c r="A6079" s="234"/>
      <c r="B6079" s="233"/>
      <c r="C6079" s="238"/>
      <c r="E6079" s="545"/>
      <c r="F6079" s="546"/>
      <c r="G6079" s="234"/>
      <c r="H6079" s="238"/>
      <c r="I6079" s="237"/>
    </row>
    <row r="6080" spans="1:9" s="232" customFormat="1" ht="17" customHeight="1">
      <c r="A6080" s="234"/>
      <c r="B6080" s="233"/>
      <c r="C6080" s="238"/>
      <c r="E6080" s="545"/>
      <c r="F6080" s="546"/>
      <c r="G6080" s="234"/>
      <c r="H6080" s="238"/>
      <c r="I6080" s="237"/>
    </row>
    <row r="6081" spans="1:9" s="232" customFormat="1" ht="17" customHeight="1">
      <c r="A6081" s="234"/>
      <c r="B6081" s="233"/>
      <c r="C6081" s="238"/>
      <c r="E6081" s="545"/>
      <c r="F6081" s="546"/>
      <c r="G6081" s="234"/>
      <c r="H6081" s="238"/>
      <c r="I6081" s="237"/>
    </row>
    <row r="6082" spans="1:9" s="232" customFormat="1" ht="17" customHeight="1">
      <c r="A6082" s="234"/>
      <c r="B6082" s="233"/>
      <c r="C6082" s="238"/>
      <c r="E6082" s="545"/>
      <c r="F6082" s="546"/>
      <c r="G6082" s="234"/>
      <c r="H6082" s="238"/>
      <c r="I6082" s="237"/>
    </row>
    <row r="6083" spans="1:9" s="232" customFormat="1" ht="17" customHeight="1">
      <c r="A6083" s="234"/>
      <c r="B6083" s="233"/>
      <c r="C6083" s="238"/>
      <c r="E6083" s="545"/>
      <c r="F6083" s="546"/>
      <c r="G6083" s="234"/>
      <c r="H6083" s="238"/>
      <c r="I6083" s="237"/>
    </row>
    <row r="6084" spans="1:9" s="232" customFormat="1" ht="17" customHeight="1">
      <c r="A6084" s="234"/>
      <c r="B6084" s="233"/>
      <c r="C6084" s="238"/>
      <c r="E6084" s="545"/>
      <c r="F6084" s="546"/>
      <c r="G6084" s="234"/>
      <c r="H6084" s="238"/>
      <c r="I6084" s="237"/>
    </row>
    <row r="6085" spans="1:9" s="232" customFormat="1" ht="17" customHeight="1">
      <c r="A6085" s="234"/>
      <c r="B6085" s="233"/>
      <c r="C6085" s="238"/>
      <c r="E6085" s="545"/>
      <c r="F6085" s="546"/>
      <c r="G6085" s="234"/>
      <c r="H6085" s="238"/>
      <c r="I6085" s="237"/>
    </row>
    <row r="6086" spans="1:9" s="232" customFormat="1" ht="17" customHeight="1">
      <c r="A6086" s="234"/>
      <c r="B6086" s="233"/>
      <c r="C6086" s="238"/>
      <c r="E6086" s="545"/>
      <c r="F6086" s="546"/>
      <c r="G6086" s="234"/>
      <c r="H6086" s="238"/>
      <c r="I6086" s="237"/>
    </row>
    <row r="6087" spans="1:9" s="232" customFormat="1" ht="17" customHeight="1">
      <c r="A6087" s="234"/>
      <c r="B6087" s="233"/>
      <c r="C6087" s="238"/>
      <c r="E6087" s="545"/>
      <c r="F6087" s="546"/>
      <c r="G6087" s="234"/>
      <c r="H6087" s="238"/>
      <c r="I6087" s="237"/>
    </row>
    <row r="6088" spans="1:9" s="232" customFormat="1" ht="17" customHeight="1">
      <c r="A6088" s="234"/>
      <c r="B6088" s="233"/>
      <c r="C6088" s="238"/>
      <c r="E6088" s="545"/>
      <c r="F6088" s="546"/>
      <c r="G6088" s="234"/>
      <c r="H6088" s="238"/>
      <c r="I6088" s="237"/>
    </row>
    <row r="6089" spans="1:9" s="232" customFormat="1" ht="17" customHeight="1">
      <c r="A6089" s="234"/>
      <c r="B6089" s="233"/>
      <c r="C6089" s="238"/>
      <c r="E6089" s="545"/>
      <c r="F6089" s="546"/>
      <c r="G6089" s="234"/>
      <c r="H6089" s="238"/>
      <c r="I6089" s="237"/>
    </row>
    <row r="6090" spans="1:9" s="232" customFormat="1" ht="17" customHeight="1">
      <c r="A6090" s="234"/>
      <c r="B6090" s="233"/>
      <c r="C6090" s="238"/>
      <c r="E6090" s="545"/>
      <c r="F6090" s="546"/>
      <c r="G6090" s="234"/>
      <c r="H6090" s="238"/>
      <c r="I6090" s="237"/>
    </row>
    <row r="6091" spans="1:9" s="232" customFormat="1" ht="17" customHeight="1">
      <c r="A6091" s="234"/>
      <c r="B6091" s="233"/>
      <c r="C6091" s="238"/>
      <c r="E6091" s="545"/>
      <c r="F6091" s="546"/>
      <c r="G6091" s="234"/>
      <c r="H6091" s="238"/>
      <c r="I6091" s="237"/>
    </row>
    <row r="6092" spans="1:9" s="232" customFormat="1" ht="17" customHeight="1">
      <c r="A6092" s="234"/>
      <c r="B6092" s="233"/>
      <c r="C6092" s="238"/>
      <c r="E6092" s="545"/>
      <c r="F6092" s="546"/>
      <c r="G6092" s="234"/>
      <c r="H6092" s="238"/>
      <c r="I6092" s="237"/>
    </row>
    <row r="6093" spans="1:9" s="232" customFormat="1" ht="17" customHeight="1">
      <c r="A6093" s="234"/>
      <c r="B6093" s="233"/>
      <c r="C6093" s="238"/>
      <c r="E6093" s="545"/>
      <c r="F6093" s="546"/>
      <c r="G6093" s="234"/>
      <c r="H6093" s="238"/>
      <c r="I6093" s="237"/>
    </row>
    <row r="6094" spans="1:9" s="232" customFormat="1" ht="17" customHeight="1">
      <c r="A6094" s="234"/>
      <c r="B6094" s="233"/>
      <c r="C6094" s="238"/>
      <c r="E6094" s="545"/>
      <c r="F6094" s="546"/>
      <c r="G6094" s="234"/>
      <c r="H6094" s="238"/>
      <c r="I6094" s="237"/>
    </row>
    <row r="6095" spans="1:9" s="232" customFormat="1" ht="17" customHeight="1">
      <c r="A6095" s="234"/>
      <c r="B6095" s="233"/>
      <c r="C6095" s="238"/>
      <c r="E6095" s="545"/>
      <c r="F6095" s="546"/>
      <c r="G6095" s="234"/>
      <c r="H6095" s="238"/>
      <c r="I6095" s="237"/>
    </row>
    <row r="6096" spans="1:9" s="232" customFormat="1" ht="17" customHeight="1">
      <c r="A6096" s="234"/>
      <c r="B6096" s="233"/>
      <c r="C6096" s="238"/>
      <c r="E6096" s="545"/>
      <c r="F6096" s="546"/>
      <c r="G6096" s="234"/>
      <c r="H6096" s="238"/>
      <c r="I6096" s="237"/>
    </row>
    <row r="6097" spans="1:9" s="232" customFormat="1" ht="17" customHeight="1">
      <c r="A6097" s="234"/>
      <c r="B6097" s="233"/>
      <c r="C6097" s="238"/>
      <c r="E6097" s="545"/>
      <c r="F6097" s="546"/>
      <c r="G6097" s="234"/>
      <c r="H6097" s="238"/>
      <c r="I6097" s="237"/>
    </row>
    <row r="6098" spans="1:9" s="232" customFormat="1" ht="17" customHeight="1">
      <c r="A6098" s="234"/>
      <c r="B6098" s="233"/>
      <c r="C6098" s="238"/>
      <c r="E6098" s="545"/>
      <c r="F6098" s="546"/>
      <c r="G6098" s="234"/>
      <c r="H6098" s="238"/>
      <c r="I6098" s="237"/>
    </row>
    <row r="6099" spans="1:9" s="232" customFormat="1" ht="17" customHeight="1">
      <c r="A6099" s="234"/>
      <c r="B6099" s="233"/>
      <c r="C6099" s="238"/>
      <c r="E6099" s="545"/>
      <c r="F6099" s="546"/>
      <c r="G6099" s="234"/>
      <c r="H6099" s="238"/>
      <c r="I6099" s="237"/>
    </row>
    <row r="6100" spans="1:9" s="232" customFormat="1" ht="17" customHeight="1">
      <c r="A6100" s="234"/>
      <c r="B6100" s="233"/>
      <c r="C6100" s="238"/>
      <c r="E6100" s="545"/>
      <c r="F6100" s="546"/>
      <c r="G6100" s="234"/>
      <c r="H6100" s="238"/>
      <c r="I6100" s="237"/>
    </row>
    <row r="6101" spans="1:9" s="232" customFormat="1" ht="17" customHeight="1">
      <c r="A6101" s="234"/>
      <c r="B6101" s="233"/>
      <c r="C6101" s="238"/>
      <c r="E6101" s="545"/>
      <c r="F6101" s="546"/>
      <c r="G6101" s="234"/>
      <c r="H6101" s="238"/>
      <c r="I6101" s="237"/>
    </row>
    <row r="6102" spans="1:9" s="232" customFormat="1" ht="17" customHeight="1">
      <c r="A6102" s="234"/>
      <c r="B6102" s="233"/>
      <c r="C6102" s="238"/>
      <c r="E6102" s="545"/>
      <c r="F6102" s="546"/>
      <c r="G6102" s="234"/>
      <c r="H6102" s="238"/>
      <c r="I6102" s="237"/>
    </row>
    <row r="6103" spans="1:9" s="232" customFormat="1" ht="17" customHeight="1">
      <c r="A6103" s="234"/>
      <c r="B6103" s="233"/>
      <c r="C6103" s="238"/>
      <c r="E6103" s="545"/>
      <c r="F6103" s="546"/>
      <c r="G6103" s="234"/>
      <c r="H6103" s="238"/>
      <c r="I6103" s="237"/>
    </row>
    <row r="6104" spans="1:9" s="232" customFormat="1" ht="17" customHeight="1">
      <c r="A6104" s="234"/>
      <c r="B6104" s="233"/>
      <c r="C6104" s="238"/>
      <c r="E6104" s="545"/>
      <c r="F6104" s="546"/>
      <c r="G6104" s="234"/>
      <c r="H6104" s="238"/>
      <c r="I6104" s="237"/>
    </row>
    <row r="6105" spans="1:9" s="232" customFormat="1" ht="17" customHeight="1">
      <c r="A6105" s="234"/>
      <c r="B6105" s="233"/>
      <c r="C6105" s="238"/>
      <c r="E6105" s="545"/>
      <c r="F6105" s="546"/>
      <c r="G6105" s="234"/>
      <c r="H6105" s="238"/>
      <c r="I6105" s="237"/>
    </row>
    <row r="6106" spans="1:9" s="232" customFormat="1" ht="17" customHeight="1">
      <c r="A6106" s="234"/>
      <c r="B6106" s="233"/>
      <c r="C6106" s="238"/>
      <c r="E6106" s="545"/>
      <c r="F6106" s="546"/>
      <c r="G6106" s="234"/>
      <c r="H6106" s="238"/>
      <c r="I6106" s="237"/>
    </row>
    <row r="6107" spans="1:9" s="232" customFormat="1" ht="17" customHeight="1">
      <c r="A6107" s="234"/>
      <c r="B6107" s="233"/>
      <c r="C6107" s="238"/>
      <c r="E6107" s="545"/>
      <c r="F6107" s="546"/>
      <c r="G6107" s="234"/>
      <c r="H6107" s="238"/>
      <c r="I6107" s="237"/>
    </row>
    <row r="6108" spans="1:9" s="232" customFormat="1" ht="17" customHeight="1">
      <c r="A6108" s="234"/>
      <c r="B6108" s="233"/>
      <c r="C6108" s="238"/>
      <c r="E6108" s="545"/>
      <c r="F6108" s="546"/>
      <c r="G6108" s="234"/>
      <c r="H6108" s="238"/>
      <c r="I6108" s="237"/>
    </row>
    <row r="6109" spans="1:9" s="232" customFormat="1" ht="17" customHeight="1">
      <c r="A6109" s="234"/>
      <c r="B6109" s="233"/>
      <c r="C6109" s="238"/>
      <c r="E6109" s="545"/>
      <c r="F6109" s="546"/>
      <c r="G6109" s="234"/>
      <c r="H6109" s="238"/>
      <c r="I6109" s="237"/>
    </row>
    <row r="6110" spans="1:9" s="232" customFormat="1" ht="17" customHeight="1">
      <c r="A6110" s="234"/>
      <c r="B6110" s="233"/>
      <c r="C6110" s="238"/>
      <c r="E6110" s="545"/>
      <c r="F6110" s="546"/>
      <c r="G6110" s="234"/>
      <c r="H6110" s="238"/>
      <c r="I6110" s="237"/>
    </row>
    <row r="6111" spans="1:9" s="232" customFormat="1" ht="17" customHeight="1">
      <c r="A6111" s="234"/>
      <c r="B6111" s="233"/>
      <c r="C6111" s="238"/>
      <c r="E6111" s="545"/>
      <c r="F6111" s="546"/>
      <c r="G6111" s="234"/>
      <c r="H6111" s="238"/>
      <c r="I6111" s="237"/>
    </row>
    <row r="6112" spans="1:9" s="232" customFormat="1" ht="17" customHeight="1">
      <c r="A6112" s="234"/>
      <c r="B6112" s="233"/>
      <c r="C6112" s="238"/>
      <c r="E6112" s="545"/>
      <c r="F6112" s="546"/>
      <c r="G6112" s="234"/>
      <c r="H6112" s="238"/>
      <c r="I6112" s="237"/>
    </row>
    <row r="6113" spans="1:9" s="232" customFormat="1" ht="17" customHeight="1">
      <c r="A6113" s="234"/>
      <c r="B6113" s="233"/>
      <c r="C6113" s="238"/>
      <c r="E6113" s="545"/>
      <c r="F6113" s="546"/>
      <c r="G6113" s="234"/>
      <c r="H6113" s="238"/>
      <c r="I6113" s="237"/>
    </row>
    <row r="6114" spans="1:9" s="232" customFormat="1" ht="17" customHeight="1">
      <c r="A6114" s="234"/>
      <c r="B6114" s="233"/>
      <c r="C6114" s="238"/>
      <c r="E6114" s="545"/>
      <c r="F6114" s="546"/>
      <c r="G6114" s="234"/>
      <c r="H6114" s="238"/>
      <c r="I6114" s="237"/>
    </row>
    <row r="6115" spans="1:9" s="232" customFormat="1" ht="17" customHeight="1">
      <c r="A6115" s="234"/>
      <c r="B6115" s="233"/>
      <c r="C6115" s="238"/>
      <c r="E6115" s="545"/>
      <c r="F6115" s="546"/>
      <c r="G6115" s="234"/>
      <c r="H6115" s="238"/>
      <c r="I6115" s="237"/>
    </row>
    <row r="6116" spans="1:9" s="232" customFormat="1" ht="17" customHeight="1">
      <c r="A6116" s="234"/>
      <c r="B6116" s="233"/>
      <c r="C6116" s="238"/>
      <c r="E6116" s="545"/>
      <c r="F6116" s="546"/>
      <c r="G6116" s="234"/>
      <c r="H6116" s="238"/>
      <c r="I6116" s="237"/>
    </row>
    <row r="6117" spans="1:9" s="232" customFormat="1" ht="17" customHeight="1">
      <c r="A6117" s="234"/>
      <c r="B6117" s="233"/>
      <c r="C6117" s="238"/>
      <c r="E6117" s="545"/>
      <c r="F6117" s="546"/>
      <c r="G6117" s="234"/>
      <c r="H6117" s="238"/>
      <c r="I6117" s="237"/>
    </row>
    <row r="6118" spans="1:9" s="232" customFormat="1" ht="17" customHeight="1">
      <c r="A6118" s="234"/>
      <c r="B6118" s="233"/>
      <c r="C6118" s="238"/>
      <c r="E6118" s="545"/>
      <c r="F6118" s="546"/>
      <c r="G6118" s="234"/>
      <c r="H6118" s="238"/>
      <c r="I6118" s="237"/>
    </row>
    <row r="6119" spans="1:9" s="232" customFormat="1" ht="17" customHeight="1">
      <c r="A6119" s="234"/>
      <c r="B6119" s="233"/>
      <c r="C6119" s="238"/>
      <c r="E6119" s="545"/>
      <c r="F6119" s="546"/>
      <c r="G6119" s="234"/>
      <c r="H6119" s="238"/>
      <c r="I6119" s="237"/>
    </row>
    <row r="6120" spans="1:9" s="232" customFormat="1" ht="17" customHeight="1">
      <c r="A6120" s="234"/>
      <c r="B6120" s="233"/>
      <c r="C6120" s="238"/>
      <c r="E6120" s="545"/>
      <c r="F6120" s="546"/>
      <c r="G6120" s="234"/>
      <c r="H6120" s="238"/>
      <c r="I6120" s="237"/>
    </row>
    <row r="6121" spans="1:9" s="232" customFormat="1" ht="17" customHeight="1">
      <c r="A6121" s="234"/>
      <c r="B6121" s="233"/>
      <c r="C6121" s="238"/>
      <c r="E6121" s="545"/>
      <c r="F6121" s="546"/>
      <c r="G6121" s="234"/>
      <c r="H6121" s="238"/>
      <c r="I6121" s="237"/>
    </row>
    <row r="6122" spans="1:9" s="232" customFormat="1" ht="17" customHeight="1">
      <c r="A6122" s="234"/>
      <c r="B6122" s="233"/>
      <c r="C6122" s="238"/>
      <c r="E6122" s="545"/>
      <c r="F6122" s="546"/>
      <c r="G6122" s="234"/>
      <c r="H6122" s="238"/>
      <c r="I6122" s="237"/>
    </row>
    <row r="6123" spans="1:9" s="232" customFormat="1" ht="17" customHeight="1">
      <c r="A6123" s="234"/>
      <c r="B6123" s="233"/>
      <c r="C6123" s="238"/>
      <c r="E6123" s="545"/>
      <c r="F6123" s="546"/>
      <c r="G6123" s="234"/>
      <c r="H6123" s="238"/>
      <c r="I6123" s="237"/>
    </row>
    <row r="6124" spans="1:9" s="232" customFormat="1" ht="17" customHeight="1">
      <c r="A6124" s="234"/>
      <c r="B6124" s="233"/>
      <c r="C6124" s="238"/>
      <c r="E6124" s="545"/>
      <c r="F6124" s="546"/>
      <c r="G6124" s="234"/>
      <c r="H6124" s="238"/>
      <c r="I6124" s="237"/>
    </row>
    <row r="6125" spans="1:9" s="232" customFormat="1" ht="17" customHeight="1">
      <c r="A6125" s="234"/>
      <c r="B6125" s="233"/>
      <c r="C6125" s="238"/>
      <c r="E6125" s="545"/>
      <c r="F6125" s="546"/>
      <c r="G6125" s="234"/>
      <c r="H6125" s="238"/>
      <c r="I6125" s="237"/>
    </row>
    <row r="6126" spans="1:9" s="232" customFormat="1" ht="17" customHeight="1">
      <c r="A6126" s="234"/>
      <c r="B6126" s="233"/>
      <c r="C6126" s="238"/>
      <c r="E6126" s="545"/>
      <c r="F6126" s="546"/>
      <c r="G6126" s="234"/>
      <c r="H6126" s="238"/>
      <c r="I6126" s="237"/>
    </row>
    <row r="6127" spans="1:9" s="232" customFormat="1" ht="17" customHeight="1">
      <c r="A6127" s="234"/>
      <c r="B6127" s="233"/>
      <c r="C6127" s="238"/>
      <c r="E6127" s="545"/>
      <c r="F6127" s="546"/>
      <c r="G6127" s="234"/>
      <c r="H6127" s="238"/>
      <c r="I6127" s="237"/>
    </row>
    <row r="6128" spans="1:9" s="232" customFormat="1" ht="17" customHeight="1">
      <c r="A6128" s="234"/>
      <c r="B6128" s="233"/>
      <c r="C6128" s="238"/>
      <c r="E6128" s="545"/>
      <c r="F6128" s="546"/>
      <c r="G6128" s="234"/>
      <c r="H6128" s="238"/>
      <c r="I6128" s="237"/>
    </row>
    <row r="6129" spans="1:9" s="232" customFormat="1" ht="17" customHeight="1">
      <c r="A6129" s="234"/>
      <c r="B6129" s="233"/>
      <c r="C6129" s="238"/>
      <c r="E6129" s="545"/>
      <c r="F6129" s="546"/>
      <c r="G6129" s="234"/>
      <c r="H6129" s="238"/>
      <c r="I6129" s="237"/>
    </row>
    <row r="6130" spans="1:9" s="232" customFormat="1" ht="17" customHeight="1">
      <c r="A6130" s="234"/>
      <c r="B6130" s="233"/>
      <c r="C6130" s="238"/>
      <c r="E6130" s="545"/>
      <c r="F6130" s="546"/>
      <c r="G6130" s="234"/>
      <c r="H6130" s="238"/>
      <c r="I6130" s="237"/>
    </row>
    <row r="6131" spans="1:9" s="232" customFormat="1" ht="17" customHeight="1">
      <c r="A6131" s="234"/>
      <c r="B6131" s="233"/>
      <c r="C6131" s="238"/>
      <c r="E6131" s="545"/>
      <c r="F6131" s="546"/>
      <c r="G6131" s="234"/>
      <c r="H6131" s="238"/>
      <c r="I6131" s="237"/>
    </row>
    <row r="6132" spans="1:9" s="232" customFormat="1" ht="17" customHeight="1">
      <c r="A6132" s="234"/>
      <c r="B6132" s="233"/>
      <c r="C6132" s="238"/>
      <c r="E6132" s="545"/>
      <c r="F6132" s="546"/>
      <c r="G6132" s="234"/>
      <c r="H6132" s="238"/>
      <c r="I6132" s="237"/>
    </row>
    <row r="6133" spans="1:9" s="232" customFormat="1" ht="17" customHeight="1">
      <c r="A6133" s="234"/>
      <c r="B6133" s="233"/>
      <c r="C6133" s="238"/>
      <c r="E6133" s="545"/>
      <c r="F6133" s="546"/>
      <c r="G6133" s="234"/>
      <c r="H6133" s="238"/>
      <c r="I6133" s="237"/>
    </row>
    <row r="6134" spans="1:9" s="232" customFormat="1" ht="17" customHeight="1">
      <c r="A6134" s="234"/>
      <c r="B6134" s="233"/>
      <c r="C6134" s="238"/>
      <c r="E6134" s="545"/>
      <c r="F6134" s="546"/>
      <c r="G6134" s="234"/>
      <c r="H6134" s="238"/>
      <c r="I6134" s="237"/>
    </row>
    <row r="6135" spans="1:9" s="232" customFormat="1" ht="17" customHeight="1">
      <c r="A6135" s="234"/>
      <c r="B6135" s="233"/>
      <c r="C6135" s="238"/>
      <c r="E6135" s="545"/>
      <c r="F6135" s="546"/>
      <c r="G6135" s="234"/>
      <c r="H6135" s="238"/>
      <c r="I6135" s="237"/>
    </row>
    <row r="6136" spans="1:9" s="232" customFormat="1" ht="17" customHeight="1">
      <c r="A6136" s="234"/>
      <c r="B6136" s="233"/>
      <c r="C6136" s="238"/>
      <c r="E6136" s="545"/>
      <c r="F6136" s="546"/>
      <c r="G6136" s="234"/>
      <c r="H6136" s="238"/>
      <c r="I6136" s="237"/>
    </row>
    <row r="6137" spans="1:9" s="232" customFormat="1" ht="17" customHeight="1">
      <c r="A6137" s="234"/>
      <c r="B6137" s="233"/>
      <c r="C6137" s="238"/>
      <c r="E6137" s="545"/>
      <c r="F6137" s="546"/>
      <c r="G6137" s="234"/>
      <c r="H6137" s="238"/>
      <c r="I6137" s="237"/>
    </row>
    <row r="6138" spans="1:9" s="232" customFormat="1" ht="17" customHeight="1">
      <c r="A6138" s="234"/>
      <c r="B6138" s="233"/>
      <c r="C6138" s="238"/>
      <c r="E6138" s="545"/>
      <c r="F6138" s="546"/>
      <c r="G6138" s="234"/>
      <c r="H6138" s="238"/>
      <c r="I6138" s="237"/>
    </row>
    <row r="6139" spans="1:9" s="232" customFormat="1" ht="17" customHeight="1">
      <c r="A6139" s="234"/>
      <c r="B6139" s="233"/>
      <c r="C6139" s="238"/>
      <c r="E6139" s="545"/>
      <c r="F6139" s="546"/>
      <c r="G6139" s="234"/>
      <c r="H6139" s="238"/>
      <c r="I6139" s="237"/>
    </row>
    <row r="6140" spans="1:9" s="232" customFormat="1" ht="17" customHeight="1">
      <c r="A6140" s="234"/>
      <c r="B6140" s="233"/>
      <c r="C6140" s="238"/>
      <c r="E6140" s="545"/>
      <c r="F6140" s="546"/>
      <c r="G6140" s="234"/>
      <c r="H6140" s="238"/>
      <c r="I6140" s="237"/>
    </row>
    <row r="6141" spans="1:9" s="232" customFormat="1" ht="17" customHeight="1">
      <c r="A6141" s="234"/>
      <c r="B6141" s="233"/>
      <c r="C6141" s="238"/>
      <c r="E6141" s="545"/>
      <c r="F6141" s="546"/>
      <c r="G6141" s="234"/>
      <c r="H6141" s="238"/>
      <c r="I6141" s="237"/>
    </row>
    <row r="6142" spans="1:9" s="232" customFormat="1" ht="17" customHeight="1">
      <c r="A6142" s="234"/>
      <c r="B6142" s="233"/>
      <c r="C6142" s="238"/>
      <c r="E6142" s="545"/>
      <c r="F6142" s="546"/>
      <c r="G6142" s="234"/>
      <c r="H6142" s="238"/>
      <c r="I6142" s="237"/>
    </row>
    <row r="6143" spans="1:9" s="232" customFormat="1" ht="17" customHeight="1">
      <c r="A6143" s="234"/>
      <c r="B6143" s="233"/>
      <c r="C6143" s="238"/>
      <c r="E6143" s="545"/>
      <c r="F6143" s="546"/>
      <c r="G6143" s="234"/>
      <c r="H6143" s="238"/>
      <c r="I6143" s="237"/>
    </row>
    <row r="6144" spans="1:9" s="232" customFormat="1" ht="17" customHeight="1">
      <c r="A6144" s="234"/>
      <c r="B6144" s="233"/>
      <c r="C6144" s="238"/>
      <c r="E6144" s="545"/>
      <c r="F6144" s="546"/>
      <c r="G6144" s="234"/>
      <c r="H6144" s="238"/>
      <c r="I6144" s="237"/>
    </row>
    <row r="6145" spans="1:9" s="232" customFormat="1" ht="17" customHeight="1">
      <c r="A6145" s="234"/>
      <c r="B6145" s="233"/>
      <c r="C6145" s="238"/>
      <c r="E6145" s="545"/>
      <c r="F6145" s="546"/>
      <c r="G6145" s="234"/>
      <c r="H6145" s="238"/>
      <c r="I6145" s="237"/>
    </row>
    <row r="6146" spans="1:9" s="232" customFormat="1" ht="17" customHeight="1">
      <c r="A6146" s="234"/>
      <c r="B6146" s="233"/>
      <c r="C6146" s="238"/>
      <c r="E6146" s="545"/>
      <c r="F6146" s="546"/>
      <c r="G6146" s="234"/>
      <c r="H6146" s="238"/>
      <c r="I6146" s="237"/>
    </row>
    <row r="6147" spans="1:9" s="232" customFormat="1" ht="17" customHeight="1">
      <c r="A6147" s="234"/>
      <c r="B6147" s="233"/>
      <c r="C6147" s="238"/>
      <c r="E6147" s="545"/>
      <c r="F6147" s="546"/>
      <c r="G6147" s="234"/>
      <c r="H6147" s="238"/>
      <c r="I6147" s="237"/>
    </row>
    <row r="6148" spans="1:9" s="232" customFormat="1" ht="17" customHeight="1">
      <c r="A6148" s="234"/>
      <c r="B6148" s="233"/>
      <c r="C6148" s="238"/>
      <c r="E6148" s="545"/>
      <c r="F6148" s="546"/>
      <c r="G6148" s="234"/>
      <c r="H6148" s="238"/>
      <c r="I6148" s="237"/>
    </row>
    <row r="6149" spans="1:9" s="232" customFormat="1" ht="17" customHeight="1">
      <c r="A6149" s="234"/>
      <c r="B6149" s="233"/>
      <c r="C6149" s="238"/>
      <c r="E6149" s="545"/>
      <c r="F6149" s="546"/>
      <c r="G6149" s="234"/>
      <c r="H6149" s="238"/>
      <c r="I6149" s="237"/>
    </row>
    <row r="6150" spans="1:9" s="232" customFormat="1" ht="17" customHeight="1">
      <c r="A6150" s="234"/>
      <c r="B6150" s="233"/>
      <c r="C6150" s="238"/>
      <c r="E6150" s="545"/>
      <c r="F6150" s="546"/>
      <c r="G6150" s="234"/>
      <c r="H6150" s="238"/>
      <c r="I6150" s="237"/>
    </row>
    <row r="6151" spans="1:9" s="232" customFormat="1" ht="17" customHeight="1">
      <c r="A6151" s="234"/>
      <c r="B6151" s="233"/>
      <c r="C6151" s="238"/>
      <c r="E6151" s="545"/>
      <c r="F6151" s="546"/>
      <c r="G6151" s="234"/>
      <c r="H6151" s="238"/>
      <c r="I6151" s="237"/>
    </row>
    <row r="6152" spans="1:9" s="232" customFormat="1" ht="17" customHeight="1">
      <c r="A6152" s="234"/>
      <c r="B6152" s="233"/>
      <c r="C6152" s="238"/>
      <c r="E6152" s="545"/>
      <c r="F6152" s="546"/>
      <c r="G6152" s="234"/>
      <c r="H6152" s="238"/>
      <c r="I6152" s="237"/>
    </row>
    <row r="6153" spans="1:9" s="232" customFormat="1" ht="17" customHeight="1">
      <c r="A6153" s="234"/>
      <c r="B6153" s="233"/>
      <c r="C6153" s="238"/>
      <c r="E6153" s="545"/>
      <c r="F6153" s="546"/>
      <c r="G6153" s="234"/>
      <c r="H6153" s="238"/>
      <c r="I6153" s="237"/>
    </row>
    <row r="6154" spans="1:9" s="232" customFormat="1" ht="17" customHeight="1">
      <c r="A6154" s="234"/>
      <c r="B6154" s="233"/>
      <c r="C6154" s="238"/>
      <c r="E6154" s="545"/>
      <c r="F6154" s="546"/>
      <c r="G6154" s="234"/>
      <c r="H6154" s="238"/>
      <c r="I6154" s="237"/>
    </row>
    <row r="6155" spans="1:9" s="232" customFormat="1" ht="17" customHeight="1">
      <c r="A6155" s="234"/>
      <c r="B6155" s="233"/>
      <c r="C6155" s="238"/>
      <c r="E6155" s="545"/>
      <c r="F6155" s="546"/>
      <c r="G6155" s="234"/>
      <c r="H6155" s="238"/>
      <c r="I6155" s="237"/>
    </row>
    <row r="6156" spans="1:9" s="232" customFormat="1" ht="17" customHeight="1">
      <c r="A6156" s="234"/>
      <c r="B6156" s="233"/>
      <c r="C6156" s="238"/>
      <c r="E6156" s="545"/>
      <c r="F6156" s="546"/>
      <c r="G6156" s="234"/>
      <c r="H6156" s="238"/>
      <c r="I6156" s="237"/>
    </row>
    <row r="6157" spans="1:9" s="232" customFormat="1" ht="17" customHeight="1">
      <c r="A6157" s="234"/>
      <c r="B6157" s="233"/>
      <c r="C6157" s="238"/>
      <c r="E6157" s="545"/>
      <c r="F6157" s="546"/>
      <c r="G6157" s="234"/>
      <c r="H6157" s="238"/>
      <c r="I6157" s="237"/>
    </row>
    <row r="6158" spans="1:9" s="232" customFormat="1" ht="17" customHeight="1">
      <c r="A6158" s="234"/>
      <c r="B6158" s="233"/>
      <c r="C6158" s="238"/>
      <c r="E6158" s="545"/>
      <c r="F6158" s="546"/>
      <c r="G6158" s="234"/>
      <c r="H6158" s="238"/>
      <c r="I6158" s="237"/>
    </row>
    <row r="6159" spans="1:9" s="232" customFormat="1" ht="17" customHeight="1">
      <c r="A6159" s="234"/>
      <c r="B6159" s="233"/>
      <c r="C6159" s="238"/>
      <c r="E6159" s="545"/>
      <c r="F6159" s="546"/>
      <c r="G6159" s="234"/>
      <c r="H6159" s="238"/>
      <c r="I6159" s="237"/>
    </row>
    <row r="6160" spans="1:9" s="232" customFormat="1" ht="17" customHeight="1">
      <c r="A6160" s="234"/>
      <c r="B6160" s="233"/>
      <c r="C6160" s="238"/>
      <c r="E6160" s="545"/>
      <c r="F6160" s="546"/>
      <c r="G6160" s="234"/>
      <c r="H6160" s="238"/>
      <c r="I6160" s="237"/>
    </row>
    <row r="6161" spans="1:9" s="232" customFormat="1" ht="17" customHeight="1">
      <c r="A6161" s="234"/>
      <c r="B6161" s="233"/>
      <c r="C6161" s="238"/>
      <c r="E6161" s="545"/>
      <c r="F6161" s="546"/>
      <c r="G6161" s="234"/>
      <c r="H6161" s="238"/>
      <c r="I6161" s="237"/>
    </row>
    <row r="6162" spans="1:9" s="232" customFormat="1" ht="17" customHeight="1">
      <c r="A6162" s="234"/>
      <c r="B6162" s="233"/>
      <c r="C6162" s="238"/>
      <c r="E6162" s="545"/>
      <c r="F6162" s="546"/>
      <c r="G6162" s="234"/>
      <c r="H6162" s="238"/>
      <c r="I6162" s="237"/>
    </row>
    <row r="6163" spans="1:9" s="232" customFormat="1" ht="17" customHeight="1">
      <c r="A6163" s="234"/>
      <c r="B6163" s="233"/>
      <c r="C6163" s="238"/>
      <c r="E6163" s="545"/>
      <c r="F6163" s="546"/>
      <c r="G6163" s="234"/>
      <c r="H6163" s="238"/>
      <c r="I6163" s="237"/>
    </row>
    <row r="6164" spans="1:9" s="232" customFormat="1" ht="17" customHeight="1">
      <c r="A6164" s="234"/>
      <c r="B6164" s="233"/>
      <c r="C6164" s="238"/>
      <c r="E6164" s="545"/>
      <c r="F6164" s="546"/>
      <c r="G6164" s="234"/>
      <c r="H6164" s="238"/>
      <c r="I6164" s="237"/>
    </row>
    <row r="6165" spans="1:9" s="232" customFormat="1" ht="17" customHeight="1">
      <c r="A6165" s="234"/>
      <c r="B6165" s="233"/>
      <c r="C6165" s="238"/>
      <c r="E6165" s="545"/>
      <c r="F6165" s="546"/>
      <c r="G6165" s="234"/>
      <c r="H6165" s="238"/>
      <c r="I6165" s="237"/>
    </row>
    <row r="6166" spans="1:9" s="232" customFormat="1" ht="17" customHeight="1">
      <c r="A6166" s="234"/>
      <c r="B6166" s="233"/>
      <c r="C6166" s="238"/>
      <c r="E6166" s="545"/>
      <c r="F6166" s="546"/>
      <c r="G6166" s="234"/>
      <c r="H6166" s="238"/>
      <c r="I6166" s="237"/>
    </row>
    <row r="6167" spans="1:9" s="232" customFormat="1" ht="17" customHeight="1">
      <c r="A6167" s="234"/>
      <c r="B6167" s="233"/>
      <c r="C6167" s="238"/>
      <c r="E6167" s="545"/>
      <c r="F6167" s="546"/>
      <c r="G6167" s="234"/>
      <c r="H6167" s="238"/>
      <c r="I6167" s="237"/>
    </row>
    <row r="6168" spans="1:9" s="232" customFormat="1" ht="17" customHeight="1">
      <c r="A6168" s="234"/>
      <c r="B6168" s="233"/>
      <c r="C6168" s="238"/>
      <c r="E6168" s="545"/>
      <c r="F6168" s="546"/>
      <c r="G6168" s="234"/>
      <c r="H6168" s="238"/>
      <c r="I6168" s="237"/>
    </row>
    <row r="6169" spans="1:9" s="232" customFormat="1" ht="17" customHeight="1">
      <c r="A6169" s="234"/>
      <c r="B6169" s="233"/>
      <c r="C6169" s="238"/>
      <c r="E6169" s="545"/>
      <c r="F6169" s="546"/>
      <c r="G6169" s="234"/>
      <c r="H6169" s="238"/>
      <c r="I6169" s="237"/>
    </row>
    <row r="6170" spans="1:9" s="232" customFormat="1" ht="17" customHeight="1">
      <c r="A6170" s="234"/>
      <c r="B6170" s="233"/>
      <c r="C6170" s="238"/>
      <c r="E6170" s="545"/>
      <c r="F6170" s="546"/>
      <c r="G6170" s="234"/>
      <c r="H6170" s="238"/>
      <c r="I6170" s="237"/>
    </row>
    <row r="6171" spans="1:9" s="232" customFormat="1" ht="17" customHeight="1">
      <c r="A6171" s="234"/>
      <c r="B6171" s="233"/>
      <c r="C6171" s="238"/>
      <c r="E6171" s="545"/>
      <c r="F6171" s="546"/>
      <c r="G6171" s="234"/>
      <c r="H6171" s="238"/>
      <c r="I6171" s="237"/>
    </row>
    <row r="6172" spans="1:9" s="232" customFormat="1" ht="17" customHeight="1">
      <c r="A6172" s="234"/>
      <c r="B6172" s="233"/>
      <c r="C6172" s="238"/>
      <c r="E6172" s="545"/>
      <c r="F6172" s="546"/>
      <c r="G6172" s="234"/>
      <c r="H6172" s="238"/>
      <c r="I6172" s="237"/>
    </row>
    <row r="6173" spans="1:9" s="232" customFormat="1" ht="17" customHeight="1">
      <c r="A6173" s="234"/>
      <c r="B6173" s="233"/>
      <c r="C6173" s="238"/>
      <c r="E6173" s="545"/>
      <c r="F6173" s="546"/>
      <c r="G6173" s="234"/>
      <c r="H6173" s="238"/>
      <c r="I6173" s="237"/>
    </row>
    <row r="6174" spans="1:9" s="232" customFormat="1" ht="17" customHeight="1">
      <c r="A6174" s="234"/>
      <c r="B6174" s="233"/>
      <c r="C6174" s="238"/>
      <c r="E6174" s="545"/>
      <c r="F6174" s="546"/>
      <c r="G6174" s="234"/>
      <c r="H6174" s="238"/>
      <c r="I6174" s="237"/>
    </row>
    <row r="6175" spans="1:9" s="232" customFormat="1" ht="17" customHeight="1">
      <c r="A6175" s="234"/>
      <c r="B6175" s="233"/>
      <c r="C6175" s="238"/>
      <c r="E6175" s="545"/>
      <c r="F6175" s="546"/>
      <c r="G6175" s="234"/>
      <c r="H6175" s="238"/>
      <c r="I6175" s="237"/>
    </row>
    <row r="6176" spans="1:9" s="232" customFormat="1" ht="17" customHeight="1">
      <c r="A6176" s="234"/>
      <c r="B6176" s="233"/>
      <c r="C6176" s="238"/>
      <c r="E6176" s="545"/>
      <c r="F6176" s="546"/>
      <c r="G6176" s="234"/>
      <c r="H6176" s="238"/>
      <c r="I6176" s="237"/>
    </row>
    <row r="6177" spans="1:9" s="232" customFormat="1" ht="17" customHeight="1">
      <c r="A6177" s="234"/>
      <c r="B6177" s="233"/>
      <c r="C6177" s="238"/>
      <c r="E6177" s="545"/>
      <c r="F6177" s="546"/>
      <c r="G6177" s="234"/>
      <c r="H6177" s="238"/>
      <c r="I6177" s="237"/>
    </row>
    <row r="6178" spans="1:9" s="232" customFormat="1" ht="17" customHeight="1">
      <c r="A6178" s="234"/>
      <c r="B6178" s="233"/>
      <c r="C6178" s="238"/>
      <c r="E6178" s="545"/>
      <c r="F6178" s="546"/>
      <c r="G6178" s="234"/>
      <c r="H6178" s="238"/>
      <c r="I6178" s="237"/>
    </row>
    <row r="6179" spans="1:9" s="232" customFormat="1" ht="17" customHeight="1">
      <c r="A6179" s="234"/>
      <c r="B6179" s="233"/>
      <c r="C6179" s="238"/>
      <c r="E6179" s="545"/>
      <c r="F6179" s="546"/>
      <c r="G6179" s="234"/>
      <c r="H6179" s="238"/>
      <c r="I6179" s="237"/>
    </row>
    <row r="6180" spans="1:9" s="232" customFormat="1" ht="17" customHeight="1">
      <c r="A6180" s="234"/>
      <c r="B6180" s="233"/>
      <c r="C6180" s="238"/>
      <c r="E6180" s="545"/>
      <c r="F6180" s="546"/>
      <c r="G6180" s="234"/>
      <c r="H6180" s="238"/>
      <c r="I6180" s="237"/>
    </row>
    <row r="6181" spans="1:9" s="232" customFormat="1" ht="17" customHeight="1">
      <c r="A6181" s="234"/>
      <c r="B6181" s="233"/>
      <c r="C6181" s="238"/>
      <c r="E6181" s="545"/>
      <c r="F6181" s="546"/>
      <c r="G6181" s="234"/>
      <c r="H6181" s="238"/>
      <c r="I6181" s="237"/>
    </row>
    <row r="6182" spans="1:9" s="232" customFormat="1" ht="17" customHeight="1">
      <c r="A6182" s="234"/>
      <c r="B6182" s="233"/>
      <c r="C6182" s="238"/>
      <c r="E6182" s="545"/>
      <c r="F6182" s="546"/>
      <c r="G6182" s="234"/>
      <c r="H6182" s="238"/>
      <c r="I6182" s="237"/>
    </row>
    <row r="6183" spans="1:9" s="232" customFormat="1" ht="17" customHeight="1">
      <c r="A6183" s="234"/>
      <c r="B6183" s="233"/>
      <c r="C6183" s="238"/>
      <c r="E6183" s="545"/>
      <c r="F6183" s="546"/>
      <c r="G6183" s="234"/>
      <c r="H6183" s="238"/>
      <c r="I6183" s="237"/>
    </row>
    <row r="6184" spans="1:9" s="232" customFormat="1" ht="17" customHeight="1">
      <c r="A6184" s="234"/>
      <c r="B6184" s="233"/>
      <c r="C6184" s="238"/>
      <c r="E6184" s="545"/>
      <c r="F6184" s="546"/>
      <c r="G6184" s="234"/>
      <c r="H6184" s="238"/>
      <c r="I6184" s="237"/>
    </row>
    <row r="6185" spans="1:9" s="232" customFormat="1" ht="17" customHeight="1">
      <c r="A6185" s="234"/>
      <c r="B6185" s="233"/>
      <c r="C6185" s="238"/>
      <c r="E6185" s="545"/>
      <c r="F6185" s="546"/>
      <c r="G6185" s="234"/>
      <c r="H6185" s="238"/>
      <c r="I6185" s="237"/>
    </row>
    <row r="6186" spans="1:9" s="232" customFormat="1" ht="17" customHeight="1">
      <c r="A6186" s="234"/>
      <c r="B6186" s="233"/>
      <c r="C6186" s="238"/>
      <c r="E6186" s="545"/>
      <c r="F6186" s="546"/>
      <c r="G6186" s="234"/>
      <c r="H6186" s="238"/>
      <c r="I6186" s="237"/>
    </row>
    <row r="6187" spans="1:9" s="232" customFormat="1" ht="17" customHeight="1">
      <c r="A6187" s="234"/>
      <c r="B6187" s="233"/>
      <c r="C6187" s="238"/>
      <c r="E6187" s="545"/>
      <c r="F6187" s="546"/>
      <c r="G6187" s="234"/>
      <c r="H6187" s="238"/>
      <c r="I6187" s="237"/>
    </row>
    <row r="6188" spans="1:9" s="232" customFormat="1" ht="17" customHeight="1">
      <c r="A6188" s="234"/>
      <c r="B6188" s="233"/>
      <c r="C6188" s="238"/>
      <c r="E6188" s="545"/>
      <c r="F6188" s="546"/>
      <c r="G6188" s="234"/>
      <c r="H6188" s="238"/>
      <c r="I6188" s="237"/>
    </row>
    <row r="6189" spans="1:9" s="232" customFormat="1" ht="17" customHeight="1">
      <c r="A6189" s="234"/>
      <c r="B6189" s="233"/>
      <c r="C6189" s="238"/>
      <c r="E6189" s="545"/>
      <c r="F6189" s="546"/>
      <c r="G6189" s="234"/>
      <c r="H6189" s="238"/>
      <c r="I6189" s="237"/>
    </row>
    <row r="6190" spans="1:9" s="232" customFormat="1" ht="17" customHeight="1">
      <c r="A6190" s="234"/>
      <c r="B6190" s="233"/>
      <c r="C6190" s="238"/>
      <c r="E6190" s="545"/>
      <c r="F6190" s="546"/>
      <c r="G6190" s="234"/>
      <c r="H6190" s="238"/>
      <c r="I6190" s="237"/>
    </row>
    <row r="6191" spans="1:9" s="232" customFormat="1" ht="17" customHeight="1">
      <c r="A6191" s="234"/>
      <c r="B6191" s="233"/>
      <c r="C6191" s="238"/>
      <c r="E6191" s="545"/>
      <c r="F6191" s="546"/>
      <c r="G6191" s="234"/>
      <c r="H6191" s="238"/>
      <c r="I6191" s="237"/>
    </row>
    <row r="6192" spans="1:9" s="232" customFormat="1" ht="17" customHeight="1">
      <c r="A6192" s="234"/>
      <c r="B6192" s="233"/>
      <c r="C6192" s="238"/>
      <c r="E6192" s="545"/>
      <c r="F6192" s="546"/>
      <c r="G6192" s="234"/>
      <c r="H6192" s="238"/>
      <c r="I6192" s="237"/>
    </row>
    <row r="6193" spans="1:9" s="232" customFormat="1" ht="17" customHeight="1">
      <c r="A6193" s="234"/>
      <c r="B6193" s="233"/>
      <c r="C6193" s="238"/>
      <c r="E6193" s="545"/>
      <c r="F6193" s="546"/>
      <c r="G6193" s="234"/>
      <c r="H6193" s="238"/>
      <c r="I6193" s="237"/>
    </row>
    <row r="6194" spans="1:9" s="232" customFormat="1" ht="17" customHeight="1">
      <c r="A6194" s="234"/>
      <c r="B6194" s="233"/>
      <c r="C6194" s="238"/>
      <c r="E6194" s="545"/>
      <c r="F6194" s="546"/>
      <c r="G6194" s="234"/>
      <c r="H6194" s="238"/>
      <c r="I6194" s="237"/>
    </row>
    <row r="6195" spans="1:9" s="232" customFormat="1" ht="17" customHeight="1">
      <c r="A6195" s="234"/>
      <c r="B6195" s="233"/>
      <c r="C6195" s="238"/>
      <c r="E6195" s="545"/>
      <c r="F6195" s="546"/>
      <c r="G6195" s="234"/>
      <c r="H6195" s="238"/>
      <c r="I6195" s="237"/>
    </row>
    <row r="6196" spans="1:9" s="232" customFormat="1" ht="17" customHeight="1">
      <c r="A6196" s="234"/>
      <c r="B6196" s="233"/>
      <c r="C6196" s="238"/>
      <c r="E6196" s="545"/>
      <c r="F6196" s="546"/>
      <c r="G6196" s="234"/>
      <c r="H6196" s="238"/>
      <c r="I6196" s="237"/>
    </row>
    <row r="6197" spans="1:9" s="232" customFormat="1" ht="17" customHeight="1">
      <c r="A6197" s="234"/>
      <c r="B6197" s="233"/>
      <c r="C6197" s="238"/>
      <c r="E6197" s="545"/>
      <c r="F6197" s="546"/>
      <c r="G6197" s="234"/>
      <c r="H6197" s="238"/>
      <c r="I6197" s="237"/>
    </row>
    <row r="6198" spans="1:9" s="232" customFormat="1" ht="17" customHeight="1">
      <c r="A6198" s="234"/>
      <c r="B6198" s="233"/>
      <c r="C6198" s="238"/>
      <c r="E6198" s="545"/>
      <c r="F6198" s="546"/>
      <c r="G6198" s="234"/>
      <c r="H6198" s="238"/>
      <c r="I6198" s="237"/>
    </row>
    <row r="6199" spans="1:9" s="232" customFormat="1" ht="17" customHeight="1">
      <c r="A6199" s="234"/>
      <c r="B6199" s="233"/>
      <c r="C6199" s="238"/>
      <c r="E6199" s="545"/>
      <c r="F6199" s="546"/>
      <c r="G6199" s="234"/>
      <c r="H6199" s="238"/>
      <c r="I6199" s="237"/>
    </row>
    <row r="6200" spans="1:9" s="232" customFormat="1" ht="17" customHeight="1">
      <c r="A6200" s="234"/>
      <c r="B6200" s="233"/>
      <c r="C6200" s="238"/>
      <c r="E6200" s="545"/>
      <c r="F6200" s="546"/>
      <c r="G6200" s="234"/>
      <c r="H6200" s="238"/>
      <c r="I6200" s="237"/>
    </row>
    <row r="6201" spans="1:9" s="232" customFormat="1" ht="17" customHeight="1">
      <c r="A6201" s="234"/>
      <c r="B6201" s="233"/>
      <c r="C6201" s="238"/>
      <c r="E6201" s="545"/>
      <c r="F6201" s="546"/>
      <c r="G6201" s="234"/>
      <c r="H6201" s="238"/>
      <c r="I6201" s="237"/>
    </row>
    <row r="6202" spans="1:9" s="232" customFormat="1" ht="17" customHeight="1">
      <c r="A6202" s="234"/>
      <c r="B6202" s="233"/>
      <c r="C6202" s="238"/>
      <c r="E6202" s="545"/>
      <c r="F6202" s="546"/>
      <c r="G6202" s="234"/>
      <c r="H6202" s="238"/>
      <c r="I6202" s="237"/>
    </row>
    <row r="6203" spans="1:9" s="232" customFormat="1" ht="17" customHeight="1">
      <c r="A6203" s="234"/>
      <c r="B6203" s="233"/>
      <c r="C6203" s="238"/>
      <c r="E6203" s="545"/>
      <c r="F6203" s="546"/>
      <c r="G6203" s="234"/>
      <c r="H6203" s="238"/>
      <c r="I6203" s="237"/>
    </row>
    <row r="6204" spans="1:9" s="232" customFormat="1" ht="17" customHeight="1">
      <c r="A6204" s="234"/>
      <c r="B6204" s="233"/>
      <c r="C6204" s="238"/>
      <c r="E6204" s="545"/>
      <c r="F6204" s="546"/>
      <c r="G6204" s="234"/>
      <c r="H6204" s="238"/>
      <c r="I6204" s="237"/>
    </row>
    <row r="6205" spans="1:9" s="232" customFormat="1" ht="17" customHeight="1">
      <c r="A6205" s="234"/>
      <c r="B6205" s="233"/>
      <c r="C6205" s="238"/>
      <c r="E6205" s="545"/>
      <c r="F6205" s="546"/>
      <c r="G6205" s="234"/>
      <c r="H6205" s="238"/>
      <c r="I6205" s="237"/>
    </row>
    <row r="6206" spans="1:9" s="232" customFormat="1" ht="17" customHeight="1">
      <c r="A6206" s="234"/>
      <c r="B6206" s="233"/>
      <c r="C6206" s="238"/>
      <c r="E6206" s="545"/>
      <c r="F6206" s="546"/>
      <c r="G6206" s="234"/>
      <c r="H6206" s="238"/>
      <c r="I6206" s="237"/>
    </row>
    <row r="6207" spans="1:9" s="232" customFormat="1" ht="17" customHeight="1">
      <c r="A6207" s="234"/>
      <c r="B6207" s="233"/>
      <c r="C6207" s="238"/>
      <c r="E6207" s="545"/>
      <c r="F6207" s="546"/>
      <c r="G6207" s="234"/>
      <c r="H6207" s="238"/>
      <c r="I6207" s="237"/>
    </row>
    <row r="6208" spans="1:9" s="232" customFormat="1" ht="17" customHeight="1">
      <c r="A6208" s="234"/>
      <c r="B6208" s="233"/>
      <c r="C6208" s="238"/>
      <c r="E6208" s="545"/>
      <c r="F6208" s="546"/>
      <c r="G6208" s="234"/>
      <c r="H6208" s="238"/>
      <c r="I6208" s="237"/>
    </row>
    <row r="6209" spans="1:9" s="232" customFormat="1" ht="17" customHeight="1">
      <c r="A6209" s="234"/>
      <c r="B6209" s="233"/>
      <c r="C6209" s="238"/>
      <c r="E6209" s="545"/>
      <c r="F6209" s="546"/>
      <c r="G6209" s="234"/>
      <c r="H6209" s="238"/>
      <c r="I6209" s="237"/>
    </row>
    <row r="6210" spans="1:9" s="232" customFormat="1" ht="17" customHeight="1">
      <c r="A6210" s="234"/>
      <c r="B6210" s="233"/>
      <c r="C6210" s="238"/>
      <c r="E6210" s="545"/>
      <c r="F6210" s="546"/>
      <c r="G6210" s="234"/>
      <c r="H6210" s="238"/>
      <c r="I6210" s="237"/>
    </row>
    <row r="6211" spans="1:9" s="232" customFormat="1" ht="17" customHeight="1">
      <c r="A6211" s="234"/>
      <c r="B6211" s="233"/>
      <c r="C6211" s="238"/>
      <c r="E6211" s="545"/>
      <c r="F6211" s="546"/>
      <c r="G6211" s="234"/>
      <c r="H6211" s="238"/>
      <c r="I6211" s="237"/>
    </row>
    <row r="6212" spans="1:9" s="232" customFormat="1" ht="17" customHeight="1">
      <c r="A6212" s="234"/>
      <c r="B6212" s="233"/>
      <c r="C6212" s="238"/>
      <c r="E6212" s="545"/>
      <c r="F6212" s="546"/>
      <c r="G6212" s="234"/>
      <c r="H6212" s="238"/>
      <c r="I6212" s="237"/>
    </row>
    <row r="6213" spans="1:9" s="232" customFormat="1" ht="17" customHeight="1">
      <c r="A6213" s="234"/>
      <c r="B6213" s="233"/>
      <c r="C6213" s="238"/>
      <c r="E6213" s="545"/>
      <c r="F6213" s="546"/>
      <c r="G6213" s="234"/>
      <c r="H6213" s="238"/>
      <c r="I6213" s="237"/>
    </row>
    <row r="6214" spans="1:9" s="232" customFormat="1" ht="17" customHeight="1">
      <c r="A6214" s="234"/>
      <c r="B6214" s="233"/>
      <c r="C6214" s="238"/>
      <c r="E6214" s="545"/>
      <c r="F6214" s="546"/>
      <c r="G6214" s="234"/>
      <c r="H6214" s="238"/>
      <c r="I6214" s="237"/>
    </row>
    <row r="6215" spans="1:9" s="232" customFormat="1" ht="17" customHeight="1">
      <c r="A6215" s="234"/>
      <c r="B6215" s="233"/>
      <c r="C6215" s="238"/>
      <c r="E6215" s="545"/>
      <c r="F6215" s="546"/>
      <c r="G6215" s="234"/>
      <c r="H6215" s="238"/>
      <c r="I6215" s="237"/>
    </row>
    <row r="6216" spans="1:9" s="232" customFormat="1" ht="17" customHeight="1">
      <c r="A6216" s="234"/>
      <c r="B6216" s="233"/>
      <c r="C6216" s="238"/>
      <c r="E6216" s="545"/>
      <c r="F6216" s="546"/>
      <c r="G6216" s="234"/>
      <c r="H6216" s="238"/>
      <c r="I6216" s="237"/>
    </row>
    <row r="6217" spans="1:9" s="232" customFormat="1" ht="17" customHeight="1">
      <c r="A6217" s="234"/>
      <c r="B6217" s="233"/>
      <c r="C6217" s="238"/>
      <c r="E6217" s="545"/>
      <c r="F6217" s="546"/>
      <c r="G6217" s="234"/>
      <c r="H6217" s="238"/>
      <c r="I6217" s="237"/>
    </row>
    <row r="6218" spans="1:9" s="232" customFormat="1" ht="17" customHeight="1">
      <c r="A6218" s="234"/>
      <c r="B6218" s="233"/>
      <c r="C6218" s="238"/>
      <c r="E6218" s="545"/>
      <c r="F6218" s="546"/>
      <c r="G6218" s="234"/>
      <c r="H6218" s="238"/>
      <c r="I6218" s="237"/>
    </row>
    <row r="6219" spans="1:9" s="232" customFormat="1" ht="17" customHeight="1">
      <c r="A6219" s="234"/>
      <c r="B6219" s="233"/>
      <c r="C6219" s="238"/>
      <c r="E6219" s="545"/>
      <c r="F6219" s="546"/>
      <c r="G6219" s="234"/>
      <c r="H6219" s="238"/>
      <c r="I6219" s="237"/>
    </row>
    <row r="6220" spans="1:9" s="232" customFormat="1" ht="17" customHeight="1">
      <c r="A6220" s="234"/>
      <c r="B6220" s="233"/>
      <c r="C6220" s="238"/>
      <c r="E6220" s="545"/>
      <c r="F6220" s="546"/>
      <c r="G6220" s="234"/>
      <c r="H6220" s="238"/>
      <c r="I6220" s="237"/>
    </row>
    <row r="6221" spans="1:9" s="232" customFormat="1" ht="17" customHeight="1">
      <c r="A6221" s="234"/>
      <c r="B6221" s="233"/>
      <c r="C6221" s="238"/>
      <c r="E6221" s="545"/>
      <c r="F6221" s="546"/>
      <c r="G6221" s="234"/>
      <c r="H6221" s="238"/>
      <c r="I6221" s="237"/>
    </row>
    <row r="6222" spans="1:9" s="232" customFormat="1" ht="17" customHeight="1">
      <c r="A6222" s="234"/>
      <c r="B6222" s="233"/>
      <c r="C6222" s="238"/>
      <c r="E6222" s="545"/>
      <c r="F6222" s="546"/>
      <c r="G6222" s="234"/>
      <c r="H6222" s="238"/>
      <c r="I6222" s="237"/>
    </row>
    <row r="6223" spans="1:9" s="232" customFormat="1" ht="17" customHeight="1">
      <c r="A6223" s="234"/>
      <c r="B6223" s="233"/>
      <c r="C6223" s="238"/>
      <c r="E6223" s="545"/>
      <c r="F6223" s="546"/>
      <c r="G6223" s="234"/>
      <c r="H6223" s="238"/>
      <c r="I6223" s="237"/>
    </row>
    <row r="6224" spans="1:9" s="232" customFormat="1" ht="17" customHeight="1">
      <c r="A6224" s="234"/>
      <c r="B6224" s="233"/>
      <c r="C6224" s="238"/>
      <c r="E6224" s="545"/>
      <c r="F6224" s="546"/>
      <c r="G6224" s="234"/>
      <c r="H6224" s="238"/>
      <c r="I6224" s="237"/>
    </row>
    <row r="6225" spans="1:9" s="232" customFormat="1" ht="17" customHeight="1">
      <c r="A6225" s="234"/>
      <c r="B6225" s="233"/>
      <c r="C6225" s="238"/>
      <c r="E6225" s="545"/>
      <c r="F6225" s="546"/>
      <c r="G6225" s="234"/>
      <c r="H6225" s="238"/>
      <c r="I6225" s="237"/>
    </row>
    <row r="6226" spans="1:9" s="232" customFormat="1" ht="17" customHeight="1">
      <c r="A6226" s="234"/>
      <c r="B6226" s="233"/>
      <c r="C6226" s="238"/>
      <c r="E6226" s="545"/>
      <c r="F6226" s="546"/>
      <c r="G6226" s="234"/>
      <c r="H6226" s="238"/>
      <c r="I6226" s="237"/>
    </row>
    <row r="6227" spans="1:9" s="232" customFormat="1" ht="17" customHeight="1">
      <c r="A6227" s="234"/>
      <c r="B6227" s="233"/>
      <c r="C6227" s="238"/>
      <c r="E6227" s="545"/>
      <c r="F6227" s="546"/>
      <c r="G6227" s="234"/>
      <c r="H6227" s="238"/>
      <c r="I6227" s="237"/>
    </row>
    <row r="6228" spans="1:9" s="232" customFormat="1" ht="17" customHeight="1">
      <c r="A6228" s="234"/>
      <c r="B6228" s="233"/>
      <c r="C6228" s="238"/>
      <c r="E6228" s="545"/>
      <c r="F6228" s="546"/>
      <c r="G6228" s="234"/>
      <c r="H6228" s="238"/>
      <c r="I6228" s="237"/>
    </row>
    <row r="6229" spans="1:9" s="232" customFormat="1" ht="17" customHeight="1">
      <c r="A6229" s="234"/>
      <c r="B6229" s="233"/>
      <c r="C6229" s="238"/>
      <c r="E6229" s="545"/>
      <c r="F6229" s="546"/>
      <c r="G6229" s="234"/>
      <c r="H6229" s="238"/>
      <c r="I6229" s="237"/>
    </row>
    <row r="6230" spans="1:9" s="232" customFormat="1" ht="17" customHeight="1">
      <c r="A6230" s="234"/>
      <c r="B6230" s="233"/>
      <c r="C6230" s="238"/>
      <c r="E6230" s="545"/>
      <c r="F6230" s="546"/>
      <c r="G6230" s="234"/>
      <c r="H6230" s="238"/>
      <c r="I6230" s="237"/>
    </row>
    <row r="6231" spans="1:9" s="232" customFormat="1" ht="17" customHeight="1">
      <c r="A6231" s="234"/>
      <c r="B6231" s="233"/>
      <c r="C6231" s="238"/>
      <c r="E6231" s="545"/>
      <c r="F6231" s="546"/>
      <c r="G6231" s="234"/>
      <c r="H6231" s="238"/>
      <c r="I6231" s="237"/>
    </row>
    <row r="6232" spans="1:9" s="232" customFormat="1" ht="17" customHeight="1">
      <c r="A6232" s="234"/>
      <c r="B6232" s="233"/>
      <c r="C6232" s="238"/>
      <c r="E6232" s="545"/>
      <c r="F6232" s="546"/>
      <c r="G6232" s="234"/>
      <c r="H6232" s="238"/>
      <c r="I6232" s="237"/>
    </row>
    <row r="6233" spans="1:9" s="232" customFormat="1" ht="17" customHeight="1">
      <c r="A6233" s="234"/>
      <c r="B6233" s="233"/>
      <c r="C6233" s="238"/>
      <c r="E6233" s="545"/>
      <c r="F6233" s="546"/>
      <c r="G6233" s="234"/>
      <c r="H6233" s="238"/>
      <c r="I6233" s="237"/>
    </row>
    <row r="6234" spans="1:9" s="232" customFormat="1" ht="17" customHeight="1">
      <c r="A6234" s="234"/>
      <c r="B6234" s="233"/>
      <c r="C6234" s="238"/>
      <c r="E6234" s="545"/>
      <c r="F6234" s="546"/>
      <c r="G6234" s="234"/>
      <c r="H6234" s="238"/>
      <c r="I6234" s="237"/>
    </row>
    <row r="6235" spans="1:9" s="232" customFormat="1" ht="17" customHeight="1">
      <c r="A6235" s="234"/>
      <c r="B6235" s="233"/>
      <c r="C6235" s="238"/>
      <c r="E6235" s="545"/>
      <c r="F6235" s="546"/>
      <c r="G6235" s="234"/>
      <c r="H6235" s="238"/>
      <c r="I6235" s="237"/>
    </row>
    <row r="6236" spans="1:9" s="232" customFormat="1" ht="17" customHeight="1">
      <c r="A6236" s="234"/>
      <c r="B6236" s="233"/>
      <c r="C6236" s="238"/>
      <c r="E6236" s="545"/>
      <c r="F6236" s="546"/>
      <c r="G6236" s="234"/>
      <c r="H6236" s="238"/>
      <c r="I6236" s="237"/>
    </row>
    <row r="6237" spans="1:9" s="232" customFormat="1" ht="17" customHeight="1">
      <c r="A6237" s="234"/>
      <c r="B6237" s="233"/>
      <c r="C6237" s="238"/>
      <c r="E6237" s="545"/>
      <c r="F6237" s="546"/>
      <c r="G6237" s="234"/>
      <c r="H6237" s="238"/>
      <c r="I6237" s="237"/>
    </row>
    <row r="6238" spans="1:9" s="232" customFormat="1" ht="17" customHeight="1">
      <c r="A6238" s="234"/>
      <c r="B6238" s="233"/>
      <c r="C6238" s="238"/>
      <c r="E6238" s="545"/>
      <c r="F6238" s="546"/>
      <c r="G6238" s="234"/>
      <c r="H6238" s="238"/>
      <c r="I6238" s="237"/>
    </row>
    <row r="6239" spans="1:9" s="232" customFormat="1" ht="17" customHeight="1">
      <c r="A6239" s="234"/>
      <c r="B6239" s="233"/>
      <c r="C6239" s="238"/>
      <c r="E6239" s="545"/>
      <c r="F6239" s="546"/>
      <c r="G6239" s="234"/>
      <c r="H6239" s="238"/>
      <c r="I6239" s="237"/>
    </row>
    <row r="6240" spans="1:9" s="232" customFormat="1" ht="17" customHeight="1">
      <c r="A6240" s="234"/>
      <c r="B6240" s="233"/>
      <c r="C6240" s="238"/>
      <c r="E6240" s="545"/>
      <c r="F6240" s="546"/>
      <c r="G6240" s="234"/>
      <c r="H6240" s="238"/>
      <c r="I6240" s="237"/>
    </row>
    <row r="6241" spans="1:9" s="232" customFormat="1" ht="17" customHeight="1">
      <c r="A6241" s="234"/>
      <c r="B6241" s="233"/>
      <c r="C6241" s="238"/>
      <c r="E6241" s="545"/>
      <c r="F6241" s="546"/>
      <c r="G6241" s="234"/>
      <c r="H6241" s="238"/>
      <c r="I6241" s="237"/>
    </row>
    <row r="6242" spans="1:9" s="232" customFormat="1" ht="17" customHeight="1">
      <c r="A6242" s="234"/>
      <c r="B6242" s="233"/>
      <c r="C6242" s="238"/>
      <c r="E6242" s="545"/>
      <c r="F6242" s="546"/>
      <c r="G6242" s="234"/>
      <c r="H6242" s="238"/>
      <c r="I6242" s="237"/>
    </row>
    <row r="6243" spans="1:9" s="232" customFormat="1" ht="17" customHeight="1">
      <c r="A6243" s="234"/>
      <c r="B6243" s="233"/>
      <c r="C6243" s="238"/>
      <c r="E6243" s="545"/>
      <c r="F6243" s="546"/>
      <c r="G6243" s="234"/>
      <c r="H6243" s="238"/>
      <c r="I6243" s="237"/>
    </row>
    <row r="6244" spans="1:9" s="232" customFormat="1" ht="17" customHeight="1">
      <c r="A6244" s="234"/>
      <c r="B6244" s="233"/>
      <c r="C6244" s="238"/>
      <c r="E6244" s="545"/>
      <c r="F6244" s="546"/>
      <c r="G6244" s="234"/>
      <c r="H6244" s="238"/>
      <c r="I6244" s="237"/>
    </row>
    <row r="6245" spans="1:9" s="232" customFormat="1" ht="17" customHeight="1">
      <c r="A6245" s="234"/>
      <c r="B6245" s="233"/>
      <c r="C6245" s="238"/>
      <c r="E6245" s="545"/>
      <c r="F6245" s="546"/>
      <c r="G6245" s="234"/>
      <c r="H6245" s="238"/>
      <c r="I6245" s="237"/>
    </row>
    <row r="6246" spans="1:9" s="232" customFormat="1" ht="17" customHeight="1">
      <c r="A6246" s="234"/>
      <c r="B6246" s="233"/>
      <c r="C6246" s="238"/>
      <c r="E6246" s="545"/>
      <c r="F6246" s="546"/>
      <c r="G6246" s="234"/>
      <c r="H6246" s="238"/>
      <c r="I6246" s="237"/>
    </row>
    <row r="6247" spans="1:9" s="232" customFormat="1" ht="17" customHeight="1">
      <c r="A6247" s="234"/>
      <c r="B6247" s="233"/>
      <c r="C6247" s="238"/>
      <c r="E6247" s="545"/>
      <c r="F6247" s="546"/>
      <c r="G6247" s="234"/>
      <c r="H6247" s="238"/>
      <c r="I6247" s="237"/>
    </row>
    <row r="6248" spans="1:9" s="232" customFormat="1" ht="17" customHeight="1">
      <c r="A6248" s="234"/>
      <c r="B6248" s="233"/>
      <c r="C6248" s="238"/>
      <c r="E6248" s="545"/>
      <c r="F6248" s="546"/>
      <c r="G6248" s="234"/>
      <c r="H6248" s="238"/>
      <c r="I6248" s="237"/>
    </row>
    <row r="6249" spans="1:9" s="232" customFormat="1" ht="17" customHeight="1">
      <c r="A6249" s="234"/>
      <c r="B6249" s="233"/>
      <c r="C6249" s="238"/>
      <c r="E6249" s="545"/>
      <c r="F6249" s="546"/>
      <c r="G6249" s="234"/>
      <c r="H6249" s="238"/>
      <c r="I6249" s="237"/>
    </row>
    <row r="6250" spans="1:9" s="232" customFormat="1" ht="17" customHeight="1">
      <c r="A6250" s="234"/>
      <c r="B6250" s="233"/>
      <c r="C6250" s="238"/>
      <c r="E6250" s="545"/>
      <c r="F6250" s="546"/>
      <c r="G6250" s="234"/>
      <c r="H6250" s="238"/>
      <c r="I6250" s="237"/>
    </row>
    <row r="6251" spans="1:9" s="232" customFormat="1" ht="17" customHeight="1">
      <c r="A6251" s="234"/>
      <c r="B6251" s="233"/>
      <c r="C6251" s="238"/>
      <c r="E6251" s="545"/>
      <c r="F6251" s="546"/>
      <c r="G6251" s="234"/>
      <c r="H6251" s="238"/>
      <c r="I6251" s="237"/>
    </row>
    <row r="6252" spans="1:9" s="232" customFormat="1" ht="17" customHeight="1">
      <c r="A6252" s="234"/>
      <c r="B6252" s="233"/>
      <c r="C6252" s="238"/>
      <c r="E6252" s="545"/>
      <c r="F6252" s="546"/>
      <c r="G6252" s="234"/>
      <c r="H6252" s="238"/>
      <c r="I6252" s="237"/>
    </row>
    <row r="6253" spans="1:9" s="232" customFormat="1" ht="17" customHeight="1">
      <c r="A6253" s="234"/>
      <c r="B6253" s="233"/>
      <c r="C6253" s="238"/>
      <c r="E6253" s="545"/>
      <c r="F6253" s="546"/>
      <c r="G6253" s="234"/>
      <c r="H6253" s="238"/>
      <c r="I6253" s="237"/>
    </row>
    <row r="6254" spans="1:9" s="232" customFormat="1" ht="17" customHeight="1">
      <c r="A6254" s="234"/>
      <c r="B6254" s="233"/>
      <c r="C6254" s="238"/>
      <c r="E6254" s="545"/>
      <c r="F6254" s="546"/>
      <c r="G6254" s="234"/>
      <c r="H6254" s="238"/>
      <c r="I6254" s="237"/>
    </row>
    <row r="6255" spans="1:9" s="232" customFormat="1" ht="17" customHeight="1">
      <c r="A6255" s="234"/>
      <c r="B6255" s="233"/>
      <c r="C6255" s="238"/>
      <c r="E6255" s="545"/>
      <c r="F6255" s="546"/>
      <c r="G6255" s="234"/>
      <c r="H6255" s="238"/>
      <c r="I6255" s="237"/>
    </row>
    <row r="6256" spans="1:9" s="232" customFormat="1" ht="17" customHeight="1">
      <c r="A6256" s="234"/>
      <c r="B6256" s="233"/>
      <c r="C6256" s="238"/>
      <c r="E6256" s="545"/>
      <c r="F6256" s="546"/>
      <c r="G6256" s="234"/>
      <c r="H6256" s="238"/>
      <c r="I6256" s="237"/>
    </row>
    <row r="6257" spans="1:9" s="232" customFormat="1" ht="17" customHeight="1">
      <c r="A6257" s="234"/>
      <c r="B6257" s="233"/>
      <c r="C6257" s="238"/>
      <c r="E6257" s="545"/>
      <c r="F6257" s="546"/>
      <c r="G6257" s="234"/>
      <c r="H6257" s="238"/>
      <c r="I6257" s="237"/>
    </row>
    <row r="6258" spans="1:9" s="232" customFormat="1" ht="17" customHeight="1">
      <c r="A6258" s="234"/>
      <c r="B6258" s="233"/>
      <c r="C6258" s="238"/>
      <c r="E6258" s="545"/>
      <c r="F6258" s="546"/>
      <c r="G6258" s="234"/>
      <c r="H6258" s="238"/>
      <c r="I6258" s="237"/>
    </row>
    <row r="6259" spans="1:9" s="232" customFormat="1" ht="17" customHeight="1">
      <c r="A6259" s="234"/>
      <c r="B6259" s="233"/>
      <c r="C6259" s="238"/>
      <c r="E6259" s="545"/>
      <c r="F6259" s="546"/>
      <c r="G6259" s="234"/>
      <c r="H6259" s="238"/>
      <c r="I6259" s="237"/>
    </row>
    <row r="6260" spans="1:9" s="232" customFormat="1" ht="17" customHeight="1">
      <c r="A6260" s="234"/>
      <c r="B6260" s="233"/>
      <c r="C6260" s="238"/>
      <c r="E6260" s="545"/>
      <c r="F6260" s="546"/>
      <c r="G6260" s="234"/>
      <c r="H6260" s="238"/>
      <c r="I6260" s="237"/>
    </row>
    <row r="6261" spans="1:9" s="232" customFormat="1" ht="17" customHeight="1">
      <c r="A6261" s="234"/>
      <c r="B6261" s="233"/>
      <c r="C6261" s="238"/>
      <c r="E6261" s="545"/>
      <c r="F6261" s="546"/>
      <c r="G6261" s="234"/>
      <c r="H6261" s="238"/>
      <c r="I6261" s="237"/>
    </row>
    <row r="6262" spans="1:9" s="232" customFormat="1" ht="17" customHeight="1">
      <c r="A6262" s="234"/>
      <c r="B6262" s="233"/>
      <c r="C6262" s="238"/>
      <c r="E6262" s="545"/>
      <c r="F6262" s="546"/>
      <c r="G6262" s="234"/>
      <c r="H6262" s="238"/>
      <c r="I6262" s="237"/>
    </row>
    <row r="6263" spans="1:9" s="232" customFormat="1" ht="17" customHeight="1">
      <c r="A6263" s="234"/>
      <c r="B6263" s="233"/>
      <c r="C6263" s="238"/>
      <c r="E6263" s="545"/>
      <c r="F6263" s="546"/>
      <c r="G6263" s="234"/>
      <c r="H6263" s="238"/>
      <c r="I6263" s="237"/>
    </row>
    <row r="6264" spans="1:9" s="232" customFormat="1" ht="17" customHeight="1">
      <c r="A6264" s="234"/>
      <c r="B6264" s="233"/>
      <c r="C6264" s="238"/>
      <c r="E6264" s="545"/>
      <c r="F6264" s="546"/>
      <c r="G6264" s="234"/>
      <c r="H6264" s="238"/>
      <c r="I6264" s="237"/>
    </row>
    <row r="6265" spans="1:9" s="232" customFormat="1" ht="17" customHeight="1">
      <c r="A6265" s="234"/>
      <c r="B6265" s="233"/>
      <c r="C6265" s="238"/>
      <c r="E6265" s="545"/>
      <c r="F6265" s="546"/>
      <c r="G6265" s="234"/>
      <c r="H6265" s="238"/>
      <c r="I6265" s="237"/>
    </row>
    <row r="6266" spans="1:9" s="232" customFormat="1" ht="17" customHeight="1">
      <c r="A6266" s="234"/>
      <c r="B6266" s="233"/>
      <c r="C6266" s="238"/>
      <c r="E6266" s="545"/>
      <c r="F6266" s="546"/>
      <c r="G6266" s="234"/>
      <c r="H6266" s="238"/>
      <c r="I6266" s="237"/>
    </row>
    <row r="6267" spans="1:9" s="232" customFormat="1" ht="17" customHeight="1">
      <c r="A6267" s="234"/>
      <c r="B6267" s="233"/>
      <c r="C6267" s="238"/>
      <c r="E6267" s="545"/>
      <c r="F6267" s="546"/>
      <c r="G6267" s="234"/>
      <c r="H6267" s="238"/>
      <c r="I6267" s="237"/>
    </row>
    <row r="6268" spans="1:9" s="232" customFormat="1" ht="17" customHeight="1">
      <c r="A6268" s="234"/>
      <c r="B6268" s="233"/>
      <c r="C6268" s="238"/>
      <c r="E6268" s="545"/>
      <c r="F6268" s="546"/>
      <c r="G6268" s="234"/>
      <c r="H6268" s="238"/>
      <c r="I6268" s="237"/>
    </row>
    <row r="6269" spans="1:9" s="232" customFormat="1" ht="17" customHeight="1">
      <c r="A6269" s="234"/>
      <c r="B6269" s="233"/>
      <c r="C6269" s="238"/>
      <c r="E6269" s="545"/>
      <c r="F6269" s="546"/>
      <c r="G6269" s="234"/>
      <c r="H6269" s="238"/>
      <c r="I6269" s="237"/>
    </row>
    <row r="6270" spans="1:9" s="232" customFormat="1" ht="17" customHeight="1">
      <c r="A6270" s="234"/>
      <c r="B6270" s="233"/>
      <c r="C6270" s="238"/>
      <c r="E6270" s="545"/>
      <c r="F6270" s="546"/>
      <c r="G6270" s="234"/>
      <c r="H6270" s="238"/>
      <c r="I6270" s="237"/>
    </row>
    <row r="6271" spans="1:9" s="232" customFormat="1" ht="17" customHeight="1">
      <c r="A6271" s="234"/>
      <c r="B6271" s="233"/>
      <c r="C6271" s="238"/>
      <c r="E6271" s="545"/>
      <c r="F6271" s="546"/>
      <c r="G6271" s="234"/>
      <c r="H6271" s="238"/>
      <c r="I6271" s="237"/>
    </row>
    <row r="6272" spans="1:9" s="232" customFormat="1" ht="17" customHeight="1">
      <c r="A6272" s="234"/>
      <c r="B6272" s="233"/>
      <c r="C6272" s="238"/>
      <c r="E6272" s="545"/>
      <c r="F6272" s="546"/>
      <c r="G6272" s="234"/>
      <c r="H6272" s="238"/>
      <c r="I6272" s="237"/>
    </row>
    <row r="6273" spans="1:9" s="232" customFormat="1" ht="17" customHeight="1">
      <c r="A6273" s="234"/>
      <c r="B6273" s="233"/>
      <c r="C6273" s="238"/>
      <c r="E6273" s="545"/>
      <c r="F6273" s="546"/>
      <c r="G6273" s="234"/>
      <c r="H6273" s="238"/>
      <c r="I6273" s="237"/>
    </row>
    <row r="6274" spans="1:9" s="232" customFormat="1" ht="17" customHeight="1">
      <c r="A6274" s="234"/>
      <c r="B6274" s="233"/>
      <c r="C6274" s="238"/>
      <c r="E6274" s="545"/>
      <c r="F6274" s="546"/>
      <c r="G6274" s="234"/>
      <c r="H6274" s="238"/>
      <c r="I6274" s="237"/>
    </row>
    <row r="6275" spans="1:9" s="232" customFormat="1" ht="17" customHeight="1">
      <c r="A6275" s="234"/>
      <c r="B6275" s="233"/>
      <c r="C6275" s="238"/>
      <c r="E6275" s="545"/>
      <c r="F6275" s="546"/>
      <c r="G6275" s="234"/>
      <c r="H6275" s="238"/>
      <c r="I6275" s="237"/>
    </row>
    <row r="6276" spans="1:9" s="232" customFormat="1" ht="17" customHeight="1">
      <c r="A6276" s="234"/>
      <c r="B6276" s="233"/>
      <c r="C6276" s="238"/>
      <c r="E6276" s="545"/>
      <c r="F6276" s="546"/>
      <c r="G6276" s="234"/>
      <c r="H6276" s="238"/>
      <c r="I6276" s="237"/>
    </row>
    <row r="6277" spans="1:9" s="232" customFormat="1" ht="17" customHeight="1">
      <c r="A6277" s="234"/>
      <c r="B6277" s="233"/>
      <c r="C6277" s="238"/>
      <c r="E6277" s="545"/>
      <c r="F6277" s="546"/>
      <c r="G6277" s="234"/>
      <c r="H6277" s="238"/>
      <c r="I6277" s="237"/>
    </row>
    <row r="6278" spans="1:9" s="232" customFormat="1" ht="17" customHeight="1">
      <c r="A6278" s="234"/>
      <c r="B6278" s="233"/>
      <c r="C6278" s="238"/>
      <c r="E6278" s="545"/>
      <c r="F6278" s="546"/>
      <c r="G6278" s="234"/>
      <c r="H6278" s="238"/>
      <c r="I6278" s="237"/>
    </row>
    <row r="6279" spans="1:9" s="232" customFormat="1" ht="17" customHeight="1">
      <c r="A6279" s="234"/>
      <c r="B6279" s="233"/>
      <c r="C6279" s="238"/>
      <c r="E6279" s="545"/>
      <c r="F6279" s="546"/>
      <c r="G6279" s="234"/>
      <c r="H6279" s="238"/>
      <c r="I6279" s="237"/>
    </row>
    <row r="6280" spans="1:9" s="232" customFormat="1" ht="17" customHeight="1">
      <c r="A6280" s="234"/>
      <c r="B6280" s="233"/>
      <c r="C6280" s="238"/>
      <c r="E6280" s="545"/>
      <c r="F6280" s="546"/>
      <c r="G6280" s="234"/>
      <c r="H6280" s="238"/>
      <c r="I6280" s="237"/>
    </row>
    <row r="6281" spans="1:9" s="232" customFormat="1" ht="17" customHeight="1">
      <c r="A6281" s="234"/>
      <c r="B6281" s="233"/>
      <c r="C6281" s="238"/>
      <c r="E6281" s="545"/>
      <c r="F6281" s="546"/>
      <c r="G6281" s="234"/>
      <c r="H6281" s="238"/>
      <c r="I6281" s="237"/>
    </row>
    <row r="6282" spans="1:9" s="232" customFormat="1" ht="17" customHeight="1">
      <c r="A6282" s="234"/>
      <c r="B6282" s="233"/>
      <c r="C6282" s="238"/>
      <c r="E6282" s="545"/>
      <c r="F6282" s="546"/>
      <c r="G6282" s="234"/>
      <c r="H6282" s="238"/>
      <c r="I6282" s="237"/>
    </row>
    <row r="6283" spans="1:9" s="232" customFormat="1" ht="17" customHeight="1">
      <c r="A6283" s="234"/>
      <c r="B6283" s="233"/>
      <c r="C6283" s="238"/>
      <c r="E6283" s="545"/>
      <c r="F6283" s="546"/>
      <c r="G6283" s="234"/>
      <c r="H6283" s="238"/>
      <c r="I6283" s="237"/>
    </row>
    <row r="6284" spans="1:9" s="232" customFormat="1" ht="17" customHeight="1">
      <c r="A6284" s="234"/>
      <c r="B6284" s="233"/>
      <c r="C6284" s="238"/>
      <c r="E6284" s="545"/>
      <c r="F6284" s="546"/>
      <c r="G6284" s="234"/>
      <c r="H6284" s="238"/>
      <c r="I6284" s="237"/>
    </row>
    <row r="6285" spans="1:9" s="232" customFormat="1" ht="17" customHeight="1">
      <c r="A6285" s="234"/>
      <c r="B6285" s="233"/>
      <c r="C6285" s="238"/>
      <c r="E6285" s="545"/>
      <c r="F6285" s="546"/>
      <c r="G6285" s="234"/>
      <c r="H6285" s="238"/>
      <c r="I6285" s="237"/>
    </row>
    <row r="6286" spans="1:9" s="232" customFormat="1" ht="17" customHeight="1">
      <c r="A6286" s="234"/>
      <c r="B6286" s="233"/>
      <c r="C6286" s="238"/>
      <c r="E6286" s="545"/>
      <c r="F6286" s="546"/>
      <c r="G6286" s="234"/>
      <c r="H6286" s="238"/>
      <c r="I6286" s="237"/>
    </row>
    <row r="6287" spans="1:9" s="232" customFormat="1" ht="17" customHeight="1">
      <c r="A6287" s="234"/>
      <c r="B6287" s="233"/>
      <c r="C6287" s="238"/>
      <c r="E6287" s="545"/>
      <c r="F6287" s="546"/>
      <c r="G6287" s="234"/>
      <c r="H6287" s="238"/>
      <c r="I6287" s="237"/>
    </row>
    <row r="6288" spans="1:9" s="232" customFormat="1" ht="17" customHeight="1">
      <c r="A6288" s="234"/>
      <c r="B6288" s="233"/>
      <c r="C6288" s="238"/>
      <c r="E6288" s="545"/>
      <c r="F6288" s="546"/>
      <c r="G6288" s="234"/>
      <c r="H6288" s="238"/>
      <c r="I6288" s="237"/>
    </row>
    <row r="6289" spans="1:9" s="232" customFormat="1" ht="17" customHeight="1">
      <c r="A6289" s="234"/>
      <c r="B6289" s="233"/>
      <c r="C6289" s="238"/>
      <c r="E6289" s="545"/>
      <c r="F6289" s="546"/>
      <c r="G6289" s="234"/>
      <c r="H6289" s="238"/>
      <c r="I6289" s="237"/>
    </row>
    <row r="6290" spans="1:9" s="232" customFormat="1" ht="17" customHeight="1">
      <c r="A6290" s="234"/>
      <c r="B6290" s="233"/>
      <c r="C6290" s="238"/>
      <c r="E6290" s="545"/>
      <c r="F6290" s="546"/>
      <c r="G6290" s="234"/>
      <c r="H6290" s="238"/>
      <c r="I6290" s="237"/>
    </row>
    <row r="6291" spans="1:9" s="232" customFormat="1" ht="17" customHeight="1">
      <c r="A6291" s="234"/>
      <c r="B6291" s="233"/>
      <c r="C6291" s="238"/>
      <c r="E6291" s="545"/>
      <c r="F6291" s="546"/>
      <c r="G6291" s="234"/>
      <c r="H6291" s="238"/>
      <c r="I6291" s="237"/>
    </row>
    <row r="6292" spans="1:9" s="232" customFormat="1" ht="17" customHeight="1">
      <c r="A6292" s="234"/>
      <c r="B6292" s="233"/>
      <c r="C6292" s="238"/>
      <c r="E6292" s="545"/>
      <c r="F6292" s="546"/>
      <c r="G6292" s="234"/>
      <c r="H6292" s="238"/>
      <c r="I6292" s="237"/>
    </row>
    <row r="6293" spans="1:9" s="232" customFormat="1" ht="17" customHeight="1">
      <c r="A6293" s="234"/>
      <c r="B6293" s="233"/>
      <c r="C6293" s="238"/>
      <c r="E6293" s="545"/>
      <c r="F6293" s="546"/>
      <c r="G6293" s="234"/>
      <c r="H6293" s="238"/>
      <c r="I6293" s="237"/>
    </row>
    <row r="6294" spans="1:9" s="232" customFormat="1" ht="17" customHeight="1">
      <c r="A6294" s="234"/>
      <c r="B6294" s="233"/>
      <c r="C6294" s="238"/>
      <c r="E6294" s="545"/>
      <c r="F6294" s="546"/>
      <c r="G6294" s="234"/>
      <c r="H6294" s="238"/>
      <c r="I6294" s="237"/>
    </row>
    <row r="6295" spans="1:9" s="232" customFormat="1" ht="17" customHeight="1">
      <c r="A6295" s="234"/>
      <c r="B6295" s="233"/>
      <c r="C6295" s="238"/>
      <c r="E6295" s="545"/>
      <c r="F6295" s="546"/>
      <c r="G6295" s="234"/>
      <c r="H6295" s="238"/>
      <c r="I6295" s="237"/>
    </row>
    <row r="6296" spans="1:9" s="232" customFormat="1" ht="17" customHeight="1">
      <c r="A6296" s="234"/>
      <c r="B6296" s="233"/>
      <c r="C6296" s="238"/>
      <c r="E6296" s="545"/>
      <c r="F6296" s="546"/>
      <c r="G6296" s="234"/>
      <c r="H6296" s="238"/>
      <c r="I6296" s="237"/>
    </row>
    <row r="6297" spans="1:9" s="232" customFormat="1" ht="17" customHeight="1">
      <c r="A6297" s="234"/>
      <c r="B6297" s="233"/>
      <c r="C6297" s="238"/>
      <c r="E6297" s="545"/>
      <c r="F6297" s="546"/>
      <c r="G6297" s="234"/>
      <c r="H6297" s="238"/>
      <c r="I6297" s="237"/>
    </row>
    <row r="6298" spans="1:9" s="232" customFormat="1" ht="17" customHeight="1">
      <c r="A6298" s="234"/>
      <c r="B6298" s="233"/>
      <c r="C6298" s="238"/>
      <c r="E6298" s="545"/>
      <c r="F6298" s="546"/>
      <c r="G6298" s="234"/>
      <c r="H6298" s="238"/>
      <c r="I6298" s="237"/>
    </row>
    <row r="6299" spans="1:9" s="232" customFormat="1" ht="17" customHeight="1">
      <c r="A6299" s="234"/>
      <c r="B6299" s="233"/>
      <c r="C6299" s="238"/>
      <c r="E6299" s="545"/>
      <c r="F6299" s="546"/>
      <c r="G6299" s="234"/>
      <c r="H6299" s="238"/>
      <c r="I6299" s="237"/>
    </row>
    <row r="6300" spans="1:9" s="232" customFormat="1" ht="17" customHeight="1">
      <c r="A6300" s="234"/>
      <c r="B6300" s="233"/>
      <c r="C6300" s="238"/>
      <c r="E6300" s="545"/>
      <c r="F6300" s="546"/>
      <c r="G6300" s="234"/>
      <c r="H6300" s="238"/>
      <c r="I6300" s="237"/>
    </row>
    <row r="6301" spans="1:9" s="232" customFormat="1" ht="17" customHeight="1">
      <c r="A6301" s="234"/>
      <c r="B6301" s="233"/>
      <c r="C6301" s="238"/>
      <c r="E6301" s="545"/>
      <c r="F6301" s="546"/>
      <c r="G6301" s="234"/>
      <c r="H6301" s="238"/>
      <c r="I6301" s="237"/>
    </row>
    <row r="6302" spans="1:9" s="232" customFormat="1" ht="17" customHeight="1">
      <c r="A6302" s="234"/>
      <c r="B6302" s="233"/>
      <c r="C6302" s="238"/>
      <c r="E6302" s="545"/>
      <c r="F6302" s="546"/>
      <c r="G6302" s="234"/>
      <c r="H6302" s="238"/>
      <c r="I6302" s="237"/>
    </row>
    <row r="6303" spans="1:9" s="232" customFormat="1" ht="17" customHeight="1">
      <c r="A6303" s="234"/>
      <c r="B6303" s="233"/>
      <c r="C6303" s="238"/>
      <c r="E6303" s="545"/>
      <c r="F6303" s="546"/>
      <c r="G6303" s="234"/>
      <c r="H6303" s="238"/>
      <c r="I6303" s="237"/>
    </row>
    <row r="6304" spans="1:9" s="232" customFormat="1" ht="17" customHeight="1">
      <c r="A6304" s="234"/>
      <c r="B6304" s="233"/>
      <c r="C6304" s="238"/>
      <c r="E6304" s="545"/>
      <c r="F6304" s="546"/>
      <c r="G6304" s="234"/>
      <c r="H6304" s="238"/>
      <c r="I6304" s="237"/>
    </row>
    <row r="6305" spans="1:9" s="232" customFormat="1" ht="17" customHeight="1">
      <c r="A6305" s="234"/>
      <c r="B6305" s="233"/>
      <c r="C6305" s="238"/>
      <c r="E6305" s="545"/>
      <c r="F6305" s="546"/>
      <c r="G6305" s="234"/>
      <c r="H6305" s="238"/>
      <c r="I6305" s="237"/>
    </row>
    <row r="6306" spans="1:9" s="232" customFormat="1" ht="17" customHeight="1">
      <c r="A6306" s="234"/>
      <c r="B6306" s="233"/>
      <c r="C6306" s="238"/>
      <c r="E6306" s="545"/>
      <c r="F6306" s="546"/>
      <c r="G6306" s="234"/>
      <c r="H6306" s="238"/>
      <c r="I6306" s="237"/>
    </row>
    <row r="6307" spans="1:9" s="232" customFormat="1" ht="17" customHeight="1">
      <c r="A6307" s="234"/>
      <c r="B6307" s="233"/>
      <c r="C6307" s="238"/>
      <c r="E6307" s="545"/>
      <c r="F6307" s="546"/>
      <c r="G6307" s="234"/>
      <c r="H6307" s="238"/>
      <c r="I6307" s="237"/>
    </row>
    <row r="6308" spans="1:9" s="232" customFormat="1" ht="17" customHeight="1">
      <c r="A6308" s="234"/>
      <c r="B6308" s="233"/>
      <c r="C6308" s="238"/>
      <c r="E6308" s="545"/>
      <c r="F6308" s="546"/>
      <c r="G6308" s="234"/>
      <c r="H6308" s="238"/>
      <c r="I6308" s="237"/>
    </row>
    <row r="6309" spans="1:9" s="232" customFormat="1" ht="17" customHeight="1">
      <c r="A6309" s="234"/>
      <c r="B6309" s="233"/>
      <c r="C6309" s="238"/>
      <c r="E6309" s="545"/>
      <c r="F6309" s="546"/>
      <c r="G6309" s="234"/>
      <c r="H6309" s="238"/>
      <c r="I6309" s="237"/>
    </row>
    <row r="6310" spans="1:9" s="232" customFormat="1" ht="17" customHeight="1">
      <c r="A6310" s="234"/>
      <c r="B6310" s="233"/>
      <c r="C6310" s="238"/>
      <c r="E6310" s="545"/>
      <c r="F6310" s="546"/>
      <c r="G6310" s="234"/>
      <c r="H6310" s="238"/>
      <c r="I6310" s="237"/>
    </row>
    <row r="6311" spans="1:9" s="232" customFormat="1" ht="17" customHeight="1">
      <c r="A6311" s="234"/>
      <c r="B6311" s="233"/>
      <c r="C6311" s="238"/>
      <c r="E6311" s="545"/>
      <c r="F6311" s="546"/>
      <c r="G6311" s="234"/>
      <c r="H6311" s="238"/>
      <c r="I6311" s="237"/>
    </row>
    <row r="6312" spans="1:9" s="232" customFormat="1" ht="17" customHeight="1">
      <c r="A6312" s="234"/>
      <c r="B6312" s="233"/>
      <c r="C6312" s="238"/>
      <c r="E6312" s="545"/>
      <c r="F6312" s="546"/>
      <c r="G6312" s="234"/>
      <c r="H6312" s="238"/>
      <c r="I6312" s="237"/>
    </row>
    <row r="6313" spans="1:9" s="232" customFormat="1" ht="17" customHeight="1">
      <c r="A6313" s="234"/>
      <c r="B6313" s="233"/>
      <c r="C6313" s="238"/>
      <c r="E6313" s="545"/>
      <c r="F6313" s="546"/>
      <c r="G6313" s="234"/>
      <c r="H6313" s="238"/>
      <c r="I6313" s="237"/>
    </row>
    <row r="6314" spans="1:9" s="232" customFormat="1" ht="17" customHeight="1">
      <c r="A6314" s="234"/>
      <c r="B6314" s="233"/>
      <c r="C6314" s="238"/>
      <c r="E6314" s="545"/>
      <c r="F6314" s="546"/>
      <c r="G6314" s="234"/>
      <c r="H6314" s="238"/>
      <c r="I6314" s="237"/>
    </row>
    <row r="6315" spans="1:9" s="232" customFormat="1" ht="17" customHeight="1">
      <c r="A6315" s="234"/>
      <c r="B6315" s="233"/>
      <c r="C6315" s="238"/>
      <c r="E6315" s="545"/>
      <c r="F6315" s="546"/>
      <c r="G6315" s="234"/>
      <c r="H6315" s="238"/>
      <c r="I6315" s="237"/>
    </row>
    <row r="6316" spans="1:9" s="232" customFormat="1" ht="17" customHeight="1">
      <c r="A6316" s="234"/>
      <c r="B6316" s="233"/>
      <c r="C6316" s="238"/>
      <c r="E6316" s="545"/>
      <c r="F6316" s="546"/>
      <c r="G6316" s="234"/>
      <c r="H6316" s="238"/>
      <c r="I6316" s="237"/>
    </row>
    <row r="6317" spans="1:9" s="232" customFormat="1" ht="17" customHeight="1">
      <c r="A6317" s="234"/>
      <c r="B6317" s="233"/>
      <c r="C6317" s="238"/>
      <c r="E6317" s="545"/>
      <c r="F6317" s="546"/>
      <c r="G6317" s="234"/>
      <c r="H6317" s="238"/>
      <c r="I6317" s="237"/>
    </row>
    <row r="6318" spans="1:9" s="232" customFormat="1" ht="17" customHeight="1">
      <c r="A6318" s="234"/>
      <c r="B6318" s="233"/>
      <c r="C6318" s="238"/>
      <c r="E6318" s="545"/>
      <c r="F6318" s="546"/>
      <c r="G6318" s="234"/>
      <c r="H6318" s="238"/>
      <c r="I6318" s="237"/>
    </row>
    <row r="6319" spans="1:9" s="232" customFormat="1" ht="17" customHeight="1">
      <c r="A6319" s="234"/>
      <c r="B6319" s="233"/>
      <c r="C6319" s="238"/>
      <c r="E6319" s="545"/>
      <c r="F6319" s="546"/>
      <c r="G6319" s="234"/>
      <c r="H6319" s="238"/>
      <c r="I6319" s="237"/>
    </row>
    <row r="6320" spans="1:9" s="232" customFormat="1" ht="17" customHeight="1">
      <c r="A6320" s="234"/>
      <c r="B6320" s="233"/>
      <c r="C6320" s="238"/>
      <c r="E6320" s="545"/>
      <c r="F6320" s="546"/>
      <c r="G6320" s="234"/>
      <c r="H6320" s="238"/>
      <c r="I6320" s="237"/>
    </row>
    <row r="6321" spans="1:9" s="232" customFormat="1" ht="17" customHeight="1">
      <c r="A6321" s="234"/>
      <c r="B6321" s="233"/>
      <c r="C6321" s="238"/>
      <c r="E6321" s="545"/>
      <c r="F6321" s="546"/>
      <c r="G6321" s="234"/>
      <c r="H6321" s="238"/>
      <c r="I6321" s="237"/>
    </row>
    <row r="6322" spans="1:9" s="232" customFormat="1" ht="17" customHeight="1">
      <c r="A6322" s="234"/>
      <c r="B6322" s="233"/>
      <c r="C6322" s="238"/>
      <c r="E6322" s="545"/>
      <c r="F6322" s="546"/>
      <c r="G6322" s="234"/>
      <c r="H6322" s="238"/>
      <c r="I6322" s="237"/>
    </row>
    <row r="6323" spans="1:9" s="232" customFormat="1" ht="17" customHeight="1">
      <c r="A6323" s="234"/>
      <c r="B6323" s="233"/>
      <c r="C6323" s="238"/>
      <c r="E6323" s="545"/>
      <c r="F6323" s="546"/>
      <c r="G6323" s="234"/>
      <c r="H6323" s="238"/>
      <c r="I6323" s="237"/>
    </row>
    <row r="6324" spans="1:9" s="232" customFormat="1" ht="17" customHeight="1">
      <c r="A6324" s="234"/>
      <c r="B6324" s="233"/>
      <c r="C6324" s="238"/>
      <c r="E6324" s="545"/>
      <c r="F6324" s="546"/>
      <c r="G6324" s="234"/>
      <c r="H6324" s="238"/>
      <c r="I6324" s="237"/>
    </row>
    <row r="6325" spans="1:9" s="232" customFormat="1" ht="17" customHeight="1">
      <c r="A6325" s="234"/>
      <c r="B6325" s="233"/>
      <c r="C6325" s="238"/>
      <c r="E6325" s="545"/>
      <c r="F6325" s="546"/>
      <c r="G6325" s="234"/>
      <c r="H6325" s="238"/>
      <c r="I6325" s="237"/>
    </row>
    <row r="6326" spans="1:9" s="232" customFormat="1" ht="17" customHeight="1">
      <c r="A6326" s="234"/>
      <c r="B6326" s="233"/>
      <c r="C6326" s="238"/>
      <c r="E6326" s="545"/>
      <c r="F6326" s="546"/>
      <c r="G6326" s="234"/>
      <c r="H6326" s="238"/>
      <c r="I6326" s="237"/>
    </row>
    <row r="6327" spans="1:9" s="232" customFormat="1" ht="17" customHeight="1">
      <c r="A6327" s="234"/>
      <c r="B6327" s="233"/>
      <c r="C6327" s="238"/>
      <c r="E6327" s="545"/>
      <c r="F6327" s="546"/>
      <c r="G6327" s="234"/>
      <c r="H6327" s="238"/>
      <c r="I6327" s="237"/>
    </row>
    <row r="6328" spans="1:9" s="232" customFormat="1" ht="17" customHeight="1">
      <c r="A6328" s="234"/>
      <c r="B6328" s="233"/>
      <c r="C6328" s="238"/>
      <c r="E6328" s="545"/>
      <c r="F6328" s="546"/>
      <c r="G6328" s="234"/>
      <c r="H6328" s="238"/>
      <c r="I6328" s="237"/>
    </row>
    <row r="6329" spans="1:9" s="232" customFormat="1" ht="17" customHeight="1">
      <c r="A6329" s="234"/>
      <c r="B6329" s="233"/>
      <c r="C6329" s="238"/>
      <c r="E6329" s="545"/>
      <c r="F6329" s="546"/>
      <c r="G6329" s="234"/>
      <c r="H6329" s="238"/>
      <c r="I6329" s="237"/>
    </row>
    <row r="6330" spans="1:9" s="232" customFormat="1" ht="17" customHeight="1">
      <c r="A6330" s="234"/>
      <c r="B6330" s="233"/>
      <c r="C6330" s="238"/>
      <c r="E6330" s="545"/>
      <c r="F6330" s="546"/>
      <c r="G6330" s="234"/>
      <c r="H6330" s="238"/>
      <c r="I6330" s="237"/>
    </row>
    <row r="6331" spans="1:9" s="232" customFormat="1" ht="17" customHeight="1">
      <c r="A6331" s="234"/>
      <c r="B6331" s="233"/>
      <c r="C6331" s="238"/>
      <c r="E6331" s="545"/>
      <c r="F6331" s="546"/>
      <c r="G6331" s="234"/>
      <c r="H6331" s="238"/>
      <c r="I6331" s="237"/>
    </row>
    <row r="6332" spans="1:9" s="232" customFormat="1" ht="17" customHeight="1">
      <c r="A6332" s="234"/>
      <c r="B6332" s="233"/>
      <c r="C6332" s="238"/>
      <c r="E6332" s="545"/>
      <c r="F6332" s="546"/>
      <c r="G6332" s="234"/>
      <c r="H6332" s="238"/>
      <c r="I6332" s="237"/>
    </row>
    <row r="6333" spans="1:9" s="232" customFormat="1" ht="17" customHeight="1">
      <c r="A6333" s="234"/>
      <c r="B6333" s="233"/>
      <c r="C6333" s="238"/>
      <c r="E6333" s="545"/>
      <c r="F6333" s="546"/>
      <c r="G6333" s="234"/>
      <c r="H6333" s="238"/>
      <c r="I6333" s="237"/>
    </row>
    <row r="6334" spans="1:9" s="232" customFormat="1" ht="17" customHeight="1">
      <c r="A6334" s="234"/>
      <c r="B6334" s="233"/>
      <c r="C6334" s="238"/>
      <c r="E6334" s="545"/>
      <c r="F6334" s="546"/>
      <c r="G6334" s="234"/>
      <c r="H6334" s="238"/>
      <c r="I6334" s="237"/>
    </row>
    <row r="6335" spans="1:9" s="232" customFormat="1" ht="17" customHeight="1">
      <c r="A6335" s="234"/>
      <c r="B6335" s="233"/>
      <c r="C6335" s="238"/>
      <c r="E6335" s="545"/>
      <c r="F6335" s="546"/>
      <c r="G6335" s="234"/>
      <c r="H6335" s="238"/>
      <c r="I6335" s="237"/>
    </row>
    <row r="6336" spans="1:9" s="232" customFormat="1" ht="17" customHeight="1">
      <c r="A6336" s="234"/>
      <c r="B6336" s="233"/>
      <c r="C6336" s="238"/>
      <c r="E6336" s="545"/>
      <c r="F6336" s="546"/>
      <c r="G6336" s="234"/>
      <c r="H6336" s="238"/>
      <c r="I6336" s="237"/>
    </row>
    <row r="6337" spans="1:9" s="232" customFormat="1" ht="17" customHeight="1">
      <c r="A6337" s="234"/>
      <c r="B6337" s="233"/>
      <c r="C6337" s="238"/>
      <c r="E6337" s="545"/>
      <c r="F6337" s="546"/>
      <c r="G6337" s="234"/>
      <c r="H6337" s="238"/>
      <c r="I6337" s="237"/>
    </row>
    <row r="6338" spans="1:9" s="232" customFormat="1" ht="17" customHeight="1">
      <c r="A6338" s="234"/>
      <c r="B6338" s="233"/>
      <c r="C6338" s="238"/>
      <c r="E6338" s="545"/>
      <c r="F6338" s="546"/>
      <c r="G6338" s="234"/>
      <c r="H6338" s="238"/>
      <c r="I6338" s="237"/>
    </row>
    <row r="6339" spans="1:9" s="232" customFormat="1" ht="17" customHeight="1">
      <c r="A6339" s="234"/>
      <c r="B6339" s="233"/>
      <c r="C6339" s="238"/>
      <c r="E6339" s="545"/>
      <c r="F6339" s="546"/>
      <c r="G6339" s="234"/>
      <c r="H6339" s="238"/>
      <c r="I6339" s="237"/>
    </row>
    <row r="6340" spans="1:9" s="232" customFormat="1" ht="17" customHeight="1">
      <c r="A6340" s="234"/>
      <c r="B6340" s="233"/>
      <c r="C6340" s="238"/>
      <c r="E6340" s="545"/>
      <c r="F6340" s="546"/>
      <c r="G6340" s="234"/>
      <c r="H6340" s="238"/>
      <c r="I6340" s="237"/>
    </row>
    <row r="6341" spans="1:9" s="232" customFormat="1" ht="17" customHeight="1">
      <c r="A6341" s="234"/>
      <c r="B6341" s="233"/>
      <c r="C6341" s="238"/>
      <c r="E6341" s="545"/>
      <c r="F6341" s="546"/>
      <c r="G6341" s="234"/>
      <c r="H6341" s="238"/>
      <c r="I6341" s="237"/>
    </row>
    <row r="6342" spans="1:9" s="232" customFormat="1" ht="17" customHeight="1">
      <c r="A6342" s="234"/>
      <c r="B6342" s="233"/>
      <c r="C6342" s="238"/>
      <c r="E6342" s="545"/>
      <c r="F6342" s="546"/>
      <c r="G6342" s="234"/>
      <c r="H6342" s="238"/>
      <c r="I6342" s="237"/>
    </row>
    <row r="6343" spans="1:9" s="232" customFormat="1" ht="17" customHeight="1">
      <c r="A6343" s="234"/>
      <c r="B6343" s="233"/>
      <c r="C6343" s="238"/>
      <c r="E6343" s="545"/>
      <c r="F6343" s="546"/>
      <c r="G6343" s="234"/>
      <c r="H6343" s="238"/>
      <c r="I6343" s="237"/>
    </row>
    <row r="6344" spans="1:9" s="232" customFormat="1" ht="17" customHeight="1">
      <c r="A6344" s="234"/>
      <c r="B6344" s="233"/>
      <c r="C6344" s="238"/>
      <c r="E6344" s="545"/>
      <c r="F6344" s="546"/>
      <c r="G6344" s="234"/>
      <c r="H6344" s="238"/>
      <c r="I6344" s="237"/>
    </row>
    <row r="6345" spans="1:9" s="232" customFormat="1" ht="17" customHeight="1">
      <c r="A6345" s="234"/>
      <c r="B6345" s="233"/>
      <c r="C6345" s="238"/>
      <c r="E6345" s="545"/>
      <c r="F6345" s="546"/>
      <c r="G6345" s="234"/>
      <c r="H6345" s="238"/>
      <c r="I6345" s="237"/>
    </row>
    <row r="6346" spans="1:9" s="232" customFormat="1" ht="17" customHeight="1">
      <c r="A6346" s="234"/>
      <c r="B6346" s="233"/>
      <c r="C6346" s="238"/>
      <c r="E6346" s="545"/>
      <c r="F6346" s="546"/>
      <c r="G6346" s="234"/>
      <c r="H6346" s="238"/>
      <c r="I6346" s="237"/>
    </row>
    <row r="6347" spans="1:9" s="232" customFormat="1" ht="17" customHeight="1">
      <c r="A6347" s="234"/>
      <c r="B6347" s="233"/>
      <c r="C6347" s="238"/>
      <c r="E6347" s="545"/>
      <c r="F6347" s="546"/>
      <c r="G6347" s="234"/>
      <c r="H6347" s="238"/>
      <c r="I6347" s="237"/>
    </row>
    <row r="6348" spans="1:9" s="232" customFormat="1" ht="17" customHeight="1">
      <c r="A6348" s="234"/>
      <c r="B6348" s="233"/>
      <c r="C6348" s="238"/>
      <c r="E6348" s="545"/>
      <c r="F6348" s="546"/>
      <c r="G6348" s="234"/>
      <c r="H6348" s="238"/>
      <c r="I6348" s="237"/>
    </row>
    <row r="6349" spans="1:9" s="232" customFormat="1" ht="17" customHeight="1">
      <c r="A6349" s="234"/>
      <c r="B6349" s="233"/>
      <c r="C6349" s="238"/>
      <c r="E6349" s="545"/>
      <c r="F6349" s="546"/>
      <c r="G6349" s="234"/>
      <c r="H6349" s="238"/>
      <c r="I6349" s="237"/>
    </row>
    <row r="6350" spans="1:9" s="232" customFormat="1" ht="17" customHeight="1">
      <c r="A6350" s="234"/>
      <c r="B6350" s="233"/>
      <c r="C6350" s="238"/>
      <c r="E6350" s="545"/>
      <c r="F6350" s="546"/>
      <c r="G6350" s="234"/>
      <c r="H6350" s="238"/>
      <c r="I6350" s="237"/>
    </row>
    <row r="6351" spans="1:9" s="232" customFormat="1" ht="17" customHeight="1">
      <c r="A6351" s="234"/>
      <c r="B6351" s="233"/>
      <c r="C6351" s="238"/>
      <c r="E6351" s="545"/>
      <c r="F6351" s="546"/>
      <c r="G6351" s="234"/>
      <c r="H6351" s="238"/>
      <c r="I6351" s="237"/>
    </row>
    <row r="6352" spans="1:9" s="232" customFormat="1" ht="17" customHeight="1">
      <c r="A6352" s="234"/>
      <c r="B6352" s="233"/>
      <c r="C6352" s="238"/>
      <c r="E6352" s="545"/>
      <c r="F6352" s="546"/>
      <c r="G6352" s="234"/>
      <c r="H6352" s="238"/>
      <c r="I6352" s="237"/>
    </row>
    <row r="6353" spans="1:9" s="232" customFormat="1" ht="17" customHeight="1">
      <c r="A6353" s="234"/>
      <c r="B6353" s="233"/>
      <c r="C6353" s="238"/>
      <c r="E6353" s="545"/>
      <c r="F6353" s="546"/>
      <c r="G6353" s="234"/>
      <c r="H6353" s="238"/>
      <c r="I6353" s="237"/>
    </row>
    <row r="6354" spans="1:9" s="232" customFormat="1" ht="17" customHeight="1">
      <c r="A6354" s="234"/>
      <c r="B6354" s="233"/>
      <c r="C6354" s="238"/>
      <c r="E6354" s="545"/>
      <c r="F6354" s="546"/>
      <c r="G6354" s="234"/>
      <c r="H6354" s="238"/>
      <c r="I6354" s="237"/>
    </row>
    <row r="6355" spans="1:9" s="232" customFormat="1" ht="17" customHeight="1">
      <c r="A6355" s="234"/>
      <c r="B6355" s="233"/>
      <c r="C6355" s="238"/>
      <c r="E6355" s="545"/>
      <c r="F6355" s="546"/>
      <c r="G6355" s="234"/>
      <c r="H6355" s="238"/>
      <c r="I6355" s="237"/>
    </row>
    <row r="6356" spans="1:9" s="232" customFormat="1" ht="17" customHeight="1">
      <c r="A6356" s="234"/>
      <c r="B6356" s="233"/>
      <c r="C6356" s="238"/>
      <c r="E6356" s="545"/>
      <c r="F6356" s="546"/>
      <c r="G6356" s="234"/>
      <c r="H6356" s="238"/>
      <c r="I6356" s="237"/>
    </row>
    <row r="6357" spans="1:9" s="232" customFormat="1" ht="17" customHeight="1">
      <c r="A6357" s="234"/>
      <c r="B6357" s="233"/>
      <c r="C6357" s="238"/>
      <c r="E6357" s="545"/>
      <c r="F6357" s="546"/>
      <c r="G6357" s="234"/>
      <c r="H6357" s="238"/>
      <c r="I6357" s="237"/>
    </row>
    <row r="6358" spans="1:9" s="232" customFormat="1" ht="17" customHeight="1">
      <c r="A6358" s="234"/>
      <c r="B6358" s="233"/>
      <c r="C6358" s="238"/>
      <c r="E6358" s="545"/>
      <c r="F6358" s="546"/>
      <c r="G6358" s="234"/>
      <c r="H6358" s="238"/>
      <c r="I6358" s="237"/>
    </row>
    <row r="6359" spans="1:9" s="232" customFormat="1" ht="17" customHeight="1">
      <c r="A6359" s="234"/>
      <c r="B6359" s="233"/>
      <c r="C6359" s="238"/>
      <c r="E6359" s="545"/>
      <c r="F6359" s="546"/>
      <c r="G6359" s="234"/>
      <c r="H6359" s="238"/>
      <c r="I6359" s="237"/>
    </row>
    <row r="6360" spans="1:9" s="232" customFormat="1" ht="17" customHeight="1">
      <c r="A6360" s="234"/>
      <c r="B6360" s="233"/>
      <c r="C6360" s="238"/>
      <c r="E6360" s="545"/>
      <c r="F6360" s="546"/>
      <c r="G6360" s="234"/>
      <c r="H6360" s="238"/>
      <c r="I6360" s="237"/>
    </row>
    <row r="6361" spans="1:9" s="232" customFormat="1" ht="17" customHeight="1">
      <c r="A6361" s="234"/>
      <c r="B6361" s="233"/>
      <c r="C6361" s="238"/>
      <c r="E6361" s="545"/>
      <c r="F6361" s="546"/>
      <c r="G6361" s="234"/>
      <c r="H6361" s="238"/>
      <c r="I6361" s="237"/>
    </row>
    <row r="6362" spans="1:9" s="232" customFormat="1" ht="17" customHeight="1">
      <c r="A6362" s="234"/>
      <c r="B6362" s="233"/>
      <c r="C6362" s="238"/>
      <c r="E6362" s="545"/>
      <c r="F6362" s="546"/>
      <c r="G6362" s="234"/>
      <c r="H6362" s="238"/>
      <c r="I6362" s="237"/>
    </row>
    <row r="6363" spans="1:9" s="232" customFormat="1" ht="17" customHeight="1">
      <c r="A6363" s="234"/>
      <c r="B6363" s="233"/>
      <c r="C6363" s="238"/>
      <c r="E6363" s="545"/>
      <c r="F6363" s="546"/>
      <c r="G6363" s="234"/>
      <c r="H6363" s="238"/>
      <c r="I6363" s="237"/>
    </row>
    <row r="6364" spans="1:9" s="232" customFormat="1" ht="17" customHeight="1">
      <c r="A6364" s="234"/>
      <c r="B6364" s="233"/>
      <c r="C6364" s="238"/>
      <c r="E6364" s="545"/>
      <c r="F6364" s="546"/>
      <c r="G6364" s="234"/>
      <c r="H6364" s="238"/>
      <c r="I6364" s="237"/>
    </row>
    <row r="6365" spans="1:9" s="232" customFormat="1" ht="17" customHeight="1">
      <c r="A6365" s="234"/>
      <c r="B6365" s="233"/>
      <c r="C6365" s="238"/>
      <c r="E6365" s="545"/>
      <c r="F6365" s="546"/>
      <c r="G6365" s="234"/>
      <c r="H6365" s="238"/>
      <c r="I6365" s="237"/>
    </row>
    <row r="6366" spans="1:9" s="232" customFormat="1" ht="17" customHeight="1">
      <c r="A6366" s="234"/>
      <c r="B6366" s="233"/>
      <c r="C6366" s="238"/>
      <c r="E6366" s="545"/>
      <c r="F6366" s="546"/>
      <c r="G6366" s="234"/>
      <c r="H6366" s="238"/>
      <c r="I6366" s="237"/>
    </row>
    <row r="6367" spans="1:9" s="232" customFormat="1" ht="17" customHeight="1">
      <c r="A6367" s="234"/>
      <c r="B6367" s="233"/>
      <c r="C6367" s="238"/>
      <c r="E6367" s="545"/>
      <c r="F6367" s="546"/>
      <c r="G6367" s="234"/>
      <c r="H6367" s="238"/>
      <c r="I6367" s="237"/>
    </row>
    <row r="6368" spans="1:9" s="232" customFormat="1" ht="17" customHeight="1">
      <c r="A6368" s="234"/>
      <c r="B6368" s="233"/>
      <c r="C6368" s="238"/>
      <c r="E6368" s="545"/>
      <c r="F6368" s="546"/>
      <c r="G6368" s="234"/>
      <c r="H6368" s="238"/>
      <c r="I6368" s="237"/>
    </row>
    <row r="6369" spans="1:9" s="232" customFormat="1" ht="17" customHeight="1">
      <c r="A6369" s="234"/>
      <c r="B6369" s="233"/>
      <c r="C6369" s="238"/>
      <c r="E6369" s="545"/>
      <c r="F6369" s="546"/>
      <c r="G6369" s="234"/>
      <c r="H6369" s="238"/>
      <c r="I6369" s="237"/>
    </row>
    <row r="6370" spans="1:9" s="232" customFormat="1" ht="17" customHeight="1">
      <c r="A6370" s="234"/>
      <c r="B6370" s="233"/>
      <c r="C6370" s="238"/>
      <c r="E6370" s="545"/>
      <c r="F6370" s="546"/>
      <c r="G6370" s="234"/>
      <c r="H6370" s="238"/>
      <c r="I6370" s="237"/>
    </row>
    <row r="6371" spans="1:9" s="232" customFormat="1" ht="17" customHeight="1">
      <c r="A6371" s="234"/>
      <c r="B6371" s="233"/>
      <c r="C6371" s="238"/>
      <c r="E6371" s="545"/>
      <c r="F6371" s="546"/>
      <c r="G6371" s="234"/>
      <c r="H6371" s="238"/>
      <c r="I6371" s="237"/>
    </row>
    <row r="6372" spans="1:9" s="232" customFormat="1" ht="17" customHeight="1">
      <c r="A6372" s="234"/>
      <c r="B6372" s="233"/>
      <c r="C6372" s="238"/>
      <c r="E6372" s="545"/>
      <c r="F6372" s="546"/>
      <c r="G6372" s="234"/>
      <c r="H6372" s="238"/>
      <c r="I6372" s="237"/>
    </row>
    <row r="6373" spans="1:9" s="232" customFormat="1" ht="17" customHeight="1">
      <c r="A6373" s="234"/>
      <c r="B6373" s="233"/>
      <c r="C6373" s="238"/>
      <c r="E6373" s="545"/>
      <c r="F6373" s="546"/>
      <c r="G6373" s="234"/>
      <c r="H6373" s="238"/>
      <c r="I6373" s="237"/>
    </row>
    <row r="6374" spans="1:9" s="232" customFormat="1" ht="17" customHeight="1">
      <c r="A6374" s="234"/>
      <c r="B6374" s="233"/>
      <c r="C6374" s="238"/>
      <c r="E6374" s="545"/>
      <c r="F6374" s="546"/>
      <c r="G6374" s="234"/>
      <c r="H6374" s="238"/>
      <c r="I6374" s="237"/>
    </row>
    <row r="6375" spans="1:9" s="232" customFormat="1" ht="17" customHeight="1">
      <c r="A6375" s="234"/>
      <c r="B6375" s="233"/>
      <c r="C6375" s="238"/>
      <c r="E6375" s="545"/>
      <c r="F6375" s="546"/>
      <c r="G6375" s="234"/>
      <c r="H6375" s="238"/>
      <c r="I6375" s="237"/>
    </row>
    <row r="6376" spans="1:9" s="232" customFormat="1" ht="17" customHeight="1">
      <c r="A6376" s="234"/>
      <c r="B6376" s="233"/>
      <c r="C6376" s="238"/>
      <c r="E6376" s="545"/>
      <c r="F6376" s="546"/>
      <c r="G6376" s="234"/>
      <c r="H6376" s="238"/>
      <c r="I6376" s="237"/>
    </row>
    <row r="6377" spans="1:9" s="232" customFormat="1" ht="17" customHeight="1">
      <c r="A6377" s="234"/>
      <c r="B6377" s="233"/>
      <c r="C6377" s="238"/>
      <c r="E6377" s="545"/>
      <c r="F6377" s="546"/>
      <c r="G6377" s="234"/>
      <c r="H6377" s="238"/>
      <c r="I6377" s="237"/>
    </row>
    <row r="6378" spans="1:9" s="232" customFormat="1" ht="17" customHeight="1">
      <c r="A6378" s="234"/>
      <c r="B6378" s="233"/>
      <c r="C6378" s="238"/>
      <c r="E6378" s="545"/>
      <c r="F6378" s="546"/>
      <c r="G6378" s="234"/>
      <c r="H6378" s="238"/>
      <c r="I6378" s="237"/>
    </row>
    <row r="6379" spans="1:9" s="232" customFormat="1" ht="17" customHeight="1">
      <c r="A6379" s="234"/>
      <c r="B6379" s="233"/>
      <c r="C6379" s="238"/>
      <c r="E6379" s="545"/>
      <c r="F6379" s="546"/>
      <c r="G6379" s="234"/>
      <c r="H6379" s="238"/>
      <c r="I6379" s="237"/>
    </row>
    <row r="6380" spans="1:9" s="232" customFormat="1" ht="17" customHeight="1">
      <c r="A6380" s="234"/>
      <c r="B6380" s="233"/>
      <c r="C6380" s="238"/>
      <c r="E6380" s="545"/>
      <c r="F6380" s="546"/>
      <c r="G6380" s="234"/>
      <c r="H6380" s="238"/>
      <c r="I6380" s="237"/>
    </row>
    <row r="6381" spans="1:9" s="232" customFormat="1" ht="17" customHeight="1">
      <c r="A6381" s="234"/>
      <c r="B6381" s="233"/>
      <c r="C6381" s="238"/>
      <c r="E6381" s="545"/>
      <c r="F6381" s="546"/>
      <c r="G6381" s="234"/>
      <c r="H6381" s="238"/>
      <c r="I6381" s="237"/>
    </row>
    <row r="6382" spans="1:9" s="232" customFormat="1" ht="17" customHeight="1">
      <c r="A6382" s="234"/>
      <c r="B6382" s="233"/>
      <c r="C6382" s="238"/>
      <c r="E6382" s="545"/>
      <c r="F6382" s="546"/>
      <c r="G6382" s="234"/>
      <c r="H6382" s="238"/>
      <c r="I6382" s="237"/>
    </row>
    <row r="6383" spans="1:9" s="232" customFormat="1" ht="17" customHeight="1">
      <c r="A6383" s="234"/>
      <c r="B6383" s="233"/>
      <c r="C6383" s="238"/>
      <c r="E6383" s="545"/>
      <c r="F6383" s="546"/>
      <c r="G6383" s="234"/>
      <c r="H6383" s="238"/>
      <c r="I6383" s="237"/>
    </row>
    <row r="6384" spans="1:9" s="232" customFormat="1" ht="17" customHeight="1">
      <c r="A6384" s="234"/>
      <c r="B6384" s="233"/>
      <c r="C6384" s="238"/>
      <c r="E6384" s="545"/>
      <c r="F6384" s="546"/>
      <c r="G6384" s="234"/>
      <c r="H6384" s="238"/>
      <c r="I6384" s="237"/>
    </row>
    <row r="6385" spans="1:9" s="232" customFormat="1" ht="17" customHeight="1">
      <c r="A6385" s="234"/>
      <c r="B6385" s="233"/>
      <c r="C6385" s="238"/>
      <c r="E6385" s="545"/>
      <c r="F6385" s="546"/>
      <c r="G6385" s="234"/>
      <c r="H6385" s="238"/>
      <c r="I6385" s="237"/>
    </row>
    <row r="6386" spans="1:9" s="232" customFormat="1" ht="17" customHeight="1">
      <c r="A6386" s="234"/>
      <c r="B6386" s="233"/>
      <c r="C6386" s="238"/>
      <c r="E6386" s="545"/>
      <c r="F6386" s="546"/>
      <c r="G6386" s="234"/>
      <c r="H6386" s="238"/>
      <c r="I6386" s="237"/>
    </row>
    <row r="6387" spans="1:9" s="232" customFormat="1" ht="17" customHeight="1">
      <c r="A6387" s="234"/>
      <c r="B6387" s="233"/>
      <c r="C6387" s="238"/>
      <c r="E6387" s="545"/>
      <c r="F6387" s="546"/>
      <c r="G6387" s="234"/>
      <c r="H6387" s="238"/>
      <c r="I6387" s="237"/>
    </row>
    <row r="6388" spans="1:9" s="232" customFormat="1" ht="17" customHeight="1">
      <c r="A6388" s="234"/>
      <c r="B6388" s="233"/>
      <c r="C6388" s="238"/>
      <c r="E6388" s="545"/>
      <c r="F6388" s="546"/>
      <c r="G6388" s="234"/>
      <c r="H6388" s="238"/>
      <c r="I6388" s="237"/>
    </row>
    <row r="6389" spans="1:9" s="232" customFormat="1" ht="17" customHeight="1">
      <c r="A6389" s="234"/>
      <c r="B6389" s="233"/>
      <c r="C6389" s="238"/>
      <c r="E6389" s="545"/>
      <c r="F6389" s="546"/>
      <c r="G6389" s="234"/>
      <c r="H6389" s="238"/>
      <c r="I6389" s="237"/>
    </row>
    <row r="6390" spans="1:9" s="232" customFormat="1" ht="17" customHeight="1">
      <c r="A6390" s="234"/>
      <c r="B6390" s="233"/>
      <c r="C6390" s="238"/>
      <c r="E6390" s="545"/>
      <c r="F6390" s="546"/>
      <c r="G6390" s="234"/>
      <c r="H6390" s="238"/>
      <c r="I6390" s="237"/>
    </row>
    <row r="6391" spans="1:9" s="232" customFormat="1" ht="17" customHeight="1">
      <c r="A6391" s="234"/>
      <c r="B6391" s="233"/>
      <c r="C6391" s="238"/>
      <c r="E6391" s="545"/>
      <c r="F6391" s="546"/>
      <c r="G6391" s="234"/>
      <c r="H6391" s="238"/>
      <c r="I6391" s="237"/>
    </row>
    <row r="6392" spans="1:9" s="232" customFormat="1" ht="17" customHeight="1">
      <c r="A6392" s="234"/>
      <c r="B6392" s="233"/>
      <c r="C6392" s="238"/>
      <c r="E6392" s="545"/>
      <c r="F6392" s="546"/>
      <c r="G6392" s="234"/>
      <c r="H6392" s="238"/>
      <c r="I6392" s="237"/>
    </row>
    <row r="6393" spans="1:9" s="232" customFormat="1" ht="17" customHeight="1">
      <c r="A6393" s="234"/>
      <c r="B6393" s="233"/>
      <c r="C6393" s="238"/>
      <c r="E6393" s="545"/>
      <c r="F6393" s="546"/>
      <c r="G6393" s="234"/>
      <c r="H6393" s="238"/>
      <c r="I6393" s="237"/>
    </row>
    <row r="6394" spans="1:9" s="232" customFormat="1" ht="17" customHeight="1">
      <c r="A6394" s="234"/>
      <c r="B6394" s="233"/>
      <c r="C6394" s="238"/>
      <c r="E6394" s="545"/>
      <c r="F6394" s="546"/>
      <c r="G6394" s="234"/>
      <c r="H6394" s="238"/>
      <c r="I6394" s="237"/>
    </row>
    <row r="6395" spans="1:9" s="232" customFormat="1" ht="17" customHeight="1">
      <c r="A6395" s="234"/>
      <c r="B6395" s="233"/>
      <c r="C6395" s="238"/>
      <c r="E6395" s="545"/>
      <c r="F6395" s="546"/>
      <c r="G6395" s="234"/>
      <c r="H6395" s="238"/>
      <c r="I6395" s="237"/>
    </row>
    <row r="6396" spans="1:9" s="232" customFormat="1" ht="17" customHeight="1">
      <c r="A6396" s="234"/>
      <c r="B6396" s="233"/>
      <c r="C6396" s="238"/>
      <c r="E6396" s="545"/>
      <c r="F6396" s="546"/>
      <c r="G6396" s="234"/>
      <c r="H6396" s="238"/>
      <c r="I6396" s="237"/>
    </row>
    <row r="6397" spans="1:9" s="232" customFormat="1" ht="17" customHeight="1">
      <c r="A6397" s="234"/>
      <c r="B6397" s="233"/>
      <c r="C6397" s="238"/>
      <c r="E6397" s="545"/>
      <c r="F6397" s="546"/>
      <c r="G6397" s="234"/>
      <c r="H6397" s="238"/>
      <c r="I6397" s="237"/>
    </row>
    <row r="6398" spans="1:9" s="232" customFormat="1" ht="17" customHeight="1">
      <c r="A6398" s="234"/>
      <c r="B6398" s="233"/>
      <c r="C6398" s="238"/>
      <c r="E6398" s="545"/>
      <c r="F6398" s="546"/>
      <c r="G6398" s="234"/>
      <c r="H6398" s="238"/>
      <c r="I6398" s="237"/>
    </row>
    <row r="6399" spans="1:9" s="232" customFormat="1" ht="17" customHeight="1">
      <c r="A6399" s="234"/>
      <c r="B6399" s="233"/>
      <c r="C6399" s="238"/>
      <c r="E6399" s="545"/>
      <c r="F6399" s="546"/>
      <c r="G6399" s="234"/>
      <c r="H6399" s="238"/>
      <c r="I6399" s="237"/>
    </row>
    <row r="6400" spans="1:9" s="232" customFormat="1" ht="17" customHeight="1">
      <c r="A6400" s="234"/>
      <c r="B6400" s="233"/>
      <c r="C6400" s="238"/>
      <c r="E6400" s="545"/>
      <c r="F6400" s="546"/>
      <c r="G6400" s="234"/>
      <c r="H6400" s="238"/>
      <c r="I6400" s="237"/>
    </row>
    <row r="6401" spans="1:9" s="232" customFormat="1" ht="17" customHeight="1">
      <c r="A6401" s="234"/>
      <c r="B6401" s="233"/>
      <c r="C6401" s="238"/>
      <c r="E6401" s="545"/>
      <c r="F6401" s="546"/>
      <c r="G6401" s="234"/>
      <c r="H6401" s="238"/>
      <c r="I6401" s="237"/>
    </row>
    <row r="6402" spans="1:9" s="232" customFormat="1" ht="17" customHeight="1">
      <c r="A6402" s="234"/>
      <c r="B6402" s="233"/>
      <c r="C6402" s="238"/>
      <c r="E6402" s="545"/>
      <c r="F6402" s="546"/>
      <c r="G6402" s="234"/>
      <c r="H6402" s="238"/>
      <c r="I6402" s="237"/>
    </row>
    <row r="6403" spans="1:9" s="232" customFormat="1" ht="17" customHeight="1">
      <c r="A6403" s="234"/>
      <c r="B6403" s="233"/>
      <c r="C6403" s="238"/>
      <c r="E6403" s="545"/>
      <c r="F6403" s="546"/>
      <c r="G6403" s="234"/>
      <c r="H6403" s="238"/>
      <c r="I6403" s="237"/>
    </row>
    <row r="6404" spans="1:9" s="232" customFormat="1" ht="17" customHeight="1">
      <c r="A6404" s="234"/>
      <c r="B6404" s="233"/>
      <c r="C6404" s="238"/>
      <c r="E6404" s="545"/>
      <c r="F6404" s="546"/>
      <c r="G6404" s="234"/>
      <c r="H6404" s="238"/>
      <c r="I6404" s="237"/>
    </row>
    <row r="6405" spans="1:9" s="232" customFormat="1" ht="17" customHeight="1">
      <c r="A6405" s="234"/>
      <c r="B6405" s="233"/>
      <c r="C6405" s="238"/>
      <c r="E6405" s="545"/>
      <c r="F6405" s="546"/>
      <c r="G6405" s="234"/>
      <c r="H6405" s="238"/>
      <c r="I6405" s="237"/>
    </row>
    <row r="6406" spans="1:9" s="232" customFormat="1" ht="17" customHeight="1">
      <c r="A6406" s="234"/>
      <c r="B6406" s="233"/>
      <c r="C6406" s="238"/>
      <c r="E6406" s="545"/>
      <c r="F6406" s="546"/>
      <c r="G6406" s="234"/>
      <c r="H6406" s="238"/>
      <c r="I6406" s="237"/>
    </row>
    <row r="6407" spans="1:9" s="232" customFormat="1" ht="17" customHeight="1">
      <c r="A6407" s="234"/>
      <c r="B6407" s="233"/>
      <c r="C6407" s="238"/>
      <c r="E6407" s="545"/>
      <c r="F6407" s="546"/>
      <c r="G6407" s="234"/>
      <c r="H6407" s="238"/>
      <c r="I6407" s="237"/>
    </row>
    <row r="6408" spans="1:9" s="232" customFormat="1" ht="17" customHeight="1">
      <c r="A6408" s="234"/>
      <c r="B6408" s="233"/>
      <c r="C6408" s="238"/>
      <c r="E6408" s="545"/>
      <c r="F6408" s="546"/>
      <c r="G6408" s="234"/>
      <c r="H6408" s="238"/>
      <c r="I6408" s="237"/>
    </row>
    <row r="6409" spans="1:9" s="232" customFormat="1" ht="17" customHeight="1">
      <c r="A6409" s="234"/>
      <c r="B6409" s="233"/>
      <c r="C6409" s="238"/>
      <c r="E6409" s="545"/>
      <c r="F6409" s="546"/>
      <c r="G6409" s="234"/>
      <c r="H6409" s="238"/>
      <c r="I6409" s="237"/>
    </row>
    <row r="6410" spans="1:9" s="232" customFormat="1" ht="17" customHeight="1">
      <c r="A6410" s="234"/>
      <c r="B6410" s="233"/>
      <c r="C6410" s="238"/>
      <c r="E6410" s="545"/>
      <c r="F6410" s="546"/>
      <c r="G6410" s="234"/>
      <c r="H6410" s="238"/>
      <c r="I6410" s="237"/>
    </row>
    <row r="6411" spans="1:9" s="232" customFormat="1" ht="17" customHeight="1">
      <c r="A6411" s="234"/>
      <c r="B6411" s="233"/>
      <c r="C6411" s="238"/>
      <c r="E6411" s="545"/>
      <c r="F6411" s="546"/>
      <c r="G6411" s="234"/>
      <c r="H6411" s="238"/>
      <c r="I6411" s="237"/>
    </row>
    <row r="6412" spans="1:9" s="232" customFormat="1" ht="17" customHeight="1">
      <c r="A6412" s="234"/>
      <c r="B6412" s="233"/>
      <c r="C6412" s="238"/>
      <c r="E6412" s="545"/>
      <c r="F6412" s="546"/>
      <c r="G6412" s="234"/>
      <c r="H6412" s="238"/>
      <c r="I6412" s="237"/>
    </row>
    <row r="6413" spans="1:9" s="232" customFormat="1" ht="17" customHeight="1">
      <c r="A6413" s="234"/>
      <c r="B6413" s="233"/>
      <c r="C6413" s="238"/>
      <c r="E6413" s="545"/>
      <c r="F6413" s="546"/>
      <c r="G6413" s="234"/>
      <c r="H6413" s="238"/>
      <c r="I6413" s="237"/>
    </row>
    <row r="6414" spans="1:9" s="232" customFormat="1" ht="17" customHeight="1">
      <c r="A6414" s="234"/>
      <c r="B6414" s="233"/>
      <c r="C6414" s="238"/>
      <c r="E6414" s="545"/>
      <c r="F6414" s="546"/>
      <c r="G6414" s="234"/>
      <c r="H6414" s="238"/>
      <c r="I6414" s="237"/>
    </row>
    <row r="6415" spans="1:9" s="232" customFormat="1" ht="17" customHeight="1">
      <c r="A6415" s="234"/>
      <c r="B6415" s="233"/>
      <c r="C6415" s="238"/>
      <c r="E6415" s="545"/>
      <c r="F6415" s="546"/>
      <c r="G6415" s="234"/>
      <c r="H6415" s="238"/>
      <c r="I6415" s="237"/>
    </row>
    <row r="6416" spans="1:9" s="232" customFormat="1" ht="17" customHeight="1">
      <c r="A6416" s="234"/>
      <c r="B6416" s="233"/>
      <c r="C6416" s="238"/>
      <c r="E6416" s="545"/>
      <c r="F6416" s="546"/>
      <c r="G6416" s="234"/>
      <c r="H6416" s="238"/>
      <c r="I6416" s="237"/>
    </row>
    <row r="6417" spans="1:9" s="232" customFormat="1" ht="17" customHeight="1">
      <c r="A6417" s="234"/>
      <c r="B6417" s="233"/>
      <c r="C6417" s="238"/>
      <c r="E6417" s="545"/>
      <c r="F6417" s="546"/>
      <c r="G6417" s="234"/>
      <c r="H6417" s="238"/>
      <c r="I6417" s="237"/>
    </row>
    <row r="6418" spans="1:9" s="232" customFormat="1" ht="17" customHeight="1">
      <c r="A6418" s="234"/>
      <c r="B6418" s="233"/>
      <c r="C6418" s="238"/>
      <c r="E6418" s="545"/>
      <c r="F6418" s="546"/>
      <c r="G6418" s="234"/>
      <c r="H6418" s="238"/>
      <c r="I6418" s="237"/>
    </row>
    <row r="6419" spans="1:9" s="232" customFormat="1" ht="17" customHeight="1">
      <c r="A6419" s="234"/>
      <c r="B6419" s="233"/>
      <c r="C6419" s="238"/>
      <c r="E6419" s="545"/>
      <c r="F6419" s="546"/>
      <c r="G6419" s="234"/>
      <c r="H6419" s="238"/>
      <c r="I6419" s="237"/>
    </row>
    <row r="6420" spans="1:9" s="232" customFormat="1" ht="17" customHeight="1">
      <c r="A6420" s="234"/>
      <c r="B6420" s="233"/>
      <c r="C6420" s="238"/>
      <c r="E6420" s="545"/>
      <c r="F6420" s="546"/>
      <c r="G6420" s="234"/>
      <c r="H6420" s="238"/>
      <c r="I6420" s="237"/>
    </row>
    <row r="6421" spans="1:9" s="232" customFormat="1" ht="17" customHeight="1">
      <c r="A6421" s="234"/>
      <c r="B6421" s="233"/>
      <c r="C6421" s="238"/>
      <c r="E6421" s="545"/>
      <c r="F6421" s="546"/>
      <c r="G6421" s="234"/>
      <c r="H6421" s="238"/>
      <c r="I6421" s="237"/>
    </row>
    <row r="6422" spans="1:9" s="232" customFormat="1" ht="17" customHeight="1">
      <c r="A6422" s="234"/>
      <c r="B6422" s="233"/>
      <c r="C6422" s="238"/>
      <c r="E6422" s="545"/>
      <c r="F6422" s="546"/>
      <c r="G6422" s="234"/>
      <c r="H6422" s="238"/>
      <c r="I6422" s="237"/>
    </row>
    <row r="6423" spans="1:9" s="232" customFormat="1" ht="17" customHeight="1">
      <c r="A6423" s="234"/>
      <c r="B6423" s="233"/>
      <c r="C6423" s="238"/>
      <c r="E6423" s="545"/>
      <c r="F6423" s="546"/>
      <c r="G6423" s="234"/>
      <c r="H6423" s="238"/>
      <c r="I6423" s="237"/>
    </row>
    <row r="6424" spans="1:9" s="232" customFormat="1" ht="17" customHeight="1">
      <c r="A6424" s="234"/>
      <c r="B6424" s="233"/>
      <c r="C6424" s="238"/>
      <c r="E6424" s="545"/>
      <c r="F6424" s="546"/>
      <c r="G6424" s="234"/>
      <c r="H6424" s="238"/>
      <c r="I6424" s="237"/>
    </row>
    <row r="6425" spans="1:9" s="232" customFormat="1" ht="17" customHeight="1">
      <c r="A6425" s="234"/>
      <c r="B6425" s="233"/>
      <c r="C6425" s="238"/>
      <c r="E6425" s="545"/>
      <c r="F6425" s="546"/>
      <c r="G6425" s="234"/>
      <c r="H6425" s="238"/>
      <c r="I6425" s="237"/>
    </row>
    <row r="6426" spans="1:9" s="232" customFormat="1" ht="17" customHeight="1">
      <c r="A6426" s="234"/>
      <c r="B6426" s="233"/>
      <c r="C6426" s="238"/>
      <c r="E6426" s="545"/>
      <c r="F6426" s="546"/>
      <c r="G6426" s="234"/>
      <c r="H6426" s="238"/>
      <c r="I6426" s="237"/>
    </row>
    <row r="6427" spans="1:9" s="232" customFormat="1" ht="17" customHeight="1">
      <c r="A6427" s="234"/>
      <c r="B6427" s="233"/>
      <c r="C6427" s="238"/>
      <c r="E6427" s="545"/>
      <c r="F6427" s="546"/>
      <c r="G6427" s="234"/>
      <c r="H6427" s="238"/>
      <c r="I6427" s="237"/>
    </row>
    <row r="6428" spans="1:9" s="232" customFormat="1" ht="17" customHeight="1">
      <c r="A6428" s="234"/>
      <c r="B6428" s="233"/>
      <c r="C6428" s="238"/>
      <c r="E6428" s="545"/>
      <c r="F6428" s="546"/>
      <c r="G6428" s="234"/>
      <c r="H6428" s="238"/>
      <c r="I6428" s="237"/>
    </row>
    <row r="6429" spans="1:9" s="232" customFormat="1" ht="17" customHeight="1">
      <c r="A6429" s="234"/>
      <c r="B6429" s="233"/>
      <c r="C6429" s="238"/>
      <c r="E6429" s="545"/>
      <c r="F6429" s="546"/>
      <c r="G6429" s="234"/>
      <c r="H6429" s="238"/>
      <c r="I6429" s="237"/>
    </row>
    <row r="6430" spans="1:9" s="232" customFormat="1" ht="17" customHeight="1">
      <c r="A6430" s="234"/>
      <c r="B6430" s="233"/>
      <c r="C6430" s="238"/>
      <c r="E6430" s="545"/>
      <c r="F6430" s="546"/>
      <c r="G6430" s="234"/>
      <c r="H6430" s="238"/>
      <c r="I6430" s="237"/>
    </row>
    <row r="6431" spans="1:9" s="232" customFormat="1" ht="17" customHeight="1">
      <c r="A6431" s="234"/>
      <c r="B6431" s="233"/>
      <c r="C6431" s="238"/>
      <c r="E6431" s="545"/>
      <c r="F6431" s="546"/>
      <c r="G6431" s="234"/>
      <c r="H6431" s="238"/>
      <c r="I6431" s="237"/>
    </row>
    <row r="6432" spans="1:9" s="232" customFormat="1" ht="17" customHeight="1">
      <c r="A6432" s="234"/>
      <c r="B6432" s="233"/>
      <c r="C6432" s="238"/>
      <c r="E6432" s="545"/>
      <c r="F6432" s="546"/>
      <c r="G6432" s="234"/>
      <c r="H6432" s="238"/>
      <c r="I6432" s="237"/>
    </row>
    <row r="6433" spans="1:9" s="232" customFormat="1" ht="17" customHeight="1">
      <c r="A6433" s="234"/>
      <c r="B6433" s="233"/>
      <c r="C6433" s="238"/>
      <c r="E6433" s="545"/>
      <c r="F6433" s="546"/>
      <c r="G6433" s="234"/>
      <c r="H6433" s="238"/>
      <c r="I6433" s="237"/>
    </row>
    <row r="6434" spans="1:9" s="232" customFormat="1" ht="17" customHeight="1">
      <c r="A6434" s="234"/>
      <c r="B6434" s="233"/>
      <c r="C6434" s="238"/>
      <c r="E6434" s="545"/>
      <c r="F6434" s="546"/>
      <c r="G6434" s="234"/>
      <c r="H6434" s="238"/>
      <c r="I6434" s="237"/>
    </row>
    <row r="6435" spans="1:9" s="232" customFormat="1" ht="17" customHeight="1">
      <c r="A6435" s="234"/>
      <c r="B6435" s="233"/>
      <c r="C6435" s="238"/>
      <c r="E6435" s="545"/>
      <c r="F6435" s="546"/>
      <c r="G6435" s="234"/>
      <c r="H6435" s="238"/>
      <c r="I6435" s="237"/>
    </row>
    <row r="6436" spans="1:9" s="232" customFormat="1" ht="17" customHeight="1">
      <c r="A6436" s="234"/>
      <c r="B6436" s="233"/>
      <c r="C6436" s="238"/>
      <c r="E6436" s="545"/>
      <c r="F6436" s="546"/>
      <c r="G6436" s="234"/>
      <c r="H6436" s="238"/>
      <c r="I6436" s="237"/>
    </row>
    <row r="6437" spans="1:9" s="232" customFormat="1" ht="17" customHeight="1">
      <c r="A6437" s="234"/>
      <c r="B6437" s="233"/>
      <c r="C6437" s="238"/>
      <c r="E6437" s="545"/>
      <c r="F6437" s="546"/>
      <c r="G6437" s="234"/>
      <c r="H6437" s="238"/>
      <c r="I6437" s="237"/>
    </row>
    <row r="6438" spans="1:9" s="232" customFormat="1" ht="17" customHeight="1">
      <c r="A6438" s="234"/>
      <c r="B6438" s="233"/>
      <c r="C6438" s="238"/>
      <c r="E6438" s="545"/>
      <c r="F6438" s="546"/>
      <c r="G6438" s="234"/>
      <c r="H6438" s="238"/>
      <c r="I6438" s="237"/>
    </row>
    <row r="6439" spans="1:9" s="232" customFormat="1" ht="17" customHeight="1">
      <c r="A6439" s="234"/>
      <c r="B6439" s="233"/>
      <c r="C6439" s="238"/>
      <c r="E6439" s="545"/>
      <c r="F6439" s="546"/>
      <c r="G6439" s="234"/>
      <c r="H6439" s="238"/>
      <c r="I6439" s="237"/>
    </row>
    <row r="6440" spans="1:9" s="232" customFormat="1" ht="17" customHeight="1">
      <c r="A6440" s="234"/>
      <c r="B6440" s="233"/>
      <c r="C6440" s="238"/>
      <c r="E6440" s="545"/>
      <c r="F6440" s="546"/>
      <c r="G6440" s="234"/>
      <c r="H6440" s="238"/>
      <c r="I6440" s="237"/>
    </row>
    <row r="6441" spans="1:9" s="232" customFormat="1" ht="17" customHeight="1">
      <c r="A6441" s="234"/>
      <c r="B6441" s="233"/>
      <c r="C6441" s="238"/>
      <c r="E6441" s="545"/>
      <c r="F6441" s="546"/>
      <c r="G6441" s="234"/>
      <c r="H6441" s="238"/>
      <c r="I6441" s="237"/>
    </row>
    <row r="6442" spans="1:9" s="232" customFormat="1" ht="17" customHeight="1">
      <c r="A6442" s="234"/>
      <c r="B6442" s="233"/>
      <c r="C6442" s="238"/>
      <c r="E6442" s="545"/>
      <c r="F6442" s="546"/>
      <c r="G6442" s="234"/>
      <c r="H6442" s="238"/>
      <c r="I6442" s="237"/>
    </row>
    <row r="6443" spans="1:9" s="232" customFormat="1" ht="17" customHeight="1">
      <c r="A6443" s="234"/>
      <c r="B6443" s="233"/>
      <c r="C6443" s="238"/>
      <c r="E6443" s="545"/>
      <c r="F6443" s="546"/>
      <c r="G6443" s="234"/>
      <c r="H6443" s="238"/>
      <c r="I6443" s="237"/>
    </row>
    <row r="6444" spans="1:9" s="232" customFormat="1" ht="17" customHeight="1">
      <c r="A6444" s="234"/>
      <c r="B6444" s="233"/>
      <c r="C6444" s="238"/>
      <c r="E6444" s="545"/>
      <c r="F6444" s="546"/>
      <c r="G6444" s="234"/>
      <c r="H6444" s="238"/>
      <c r="I6444" s="237"/>
    </row>
    <row r="6445" spans="1:9" s="232" customFormat="1" ht="17" customHeight="1">
      <c r="A6445" s="234"/>
      <c r="B6445" s="233"/>
      <c r="C6445" s="238"/>
      <c r="E6445" s="545"/>
      <c r="F6445" s="546"/>
      <c r="G6445" s="234"/>
      <c r="H6445" s="238"/>
      <c r="I6445" s="237"/>
    </row>
    <row r="6446" spans="1:9" s="232" customFormat="1" ht="17" customHeight="1">
      <c r="A6446" s="234"/>
      <c r="B6446" s="233"/>
      <c r="C6446" s="238"/>
      <c r="E6446" s="545"/>
      <c r="F6446" s="546"/>
      <c r="G6446" s="234"/>
      <c r="H6446" s="238"/>
      <c r="I6446" s="237"/>
    </row>
    <row r="6447" spans="1:9" s="232" customFormat="1" ht="17" customHeight="1">
      <c r="A6447" s="234"/>
      <c r="B6447" s="233"/>
      <c r="C6447" s="238"/>
      <c r="E6447" s="545"/>
      <c r="F6447" s="546"/>
      <c r="G6447" s="234"/>
      <c r="H6447" s="238"/>
      <c r="I6447" s="237"/>
    </row>
    <row r="6448" spans="1:9" s="232" customFormat="1" ht="17" customHeight="1">
      <c r="A6448" s="234"/>
      <c r="B6448" s="233"/>
      <c r="C6448" s="238"/>
      <c r="E6448" s="545"/>
      <c r="F6448" s="546"/>
      <c r="G6448" s="234"/>
      <c r="H6448" s="238"/>
      <c r="I6448" s="237"/>
    </row>
    <row r="6449" spans="1:9" s="232" customFormat="1" ht="17" customHeight="1">
      <c r="A6449" s="234"/>
      <c r="B6449" s="233"/>
      <c r="C6449" s="238"/>
      <c r="E6449" s="545"/>
      <c r="F6449" s="546"/>
      <c r="G6449" s="234"/>
      <c r="H6449" s="238"/>
      <c r="I6449" s="237"/>
    </row>
    <row r="6450" spans="1:9" s="232" customFormat="1" ht="17" customHeight="1">
      <c r="A6450" s="234"/>
      <c r="B6450" s="233"/>
      <c r="C6450" s="238"/>
      <c r="E6450" s="545"/>
      <c r="F6450" s="546"/>
      <c r="G6450" s="234"/>
      <c r="H6450" s="238"/>
      <c r="I6450" s="237"/>
    </row>
    <row r="6451" spans="1:9" s="232" customFormat="1" ht="17" customHeight="1">
      <c r="A6451" s="234"/>
      <c r="B6451" s="233"/>
      <c r="C6451" s="238"/>
      <c r="E6451" s="545"/>
      <c r="F6451" s="546"/>
      <c r="G6451" s="234"/>
      <c r="H6451" s="238"/>
      <c r="I6451" s="237"/>
    </row>
    <row r="6452" spans="1:9" s="232" customFormat="1" ht="17" customHeight="1">
      <c r="A6452" s="234"/>
      <c r="B6452" s="233"/>
      <c r="C6452" s="238"/>
      <c r="E6452" s="545"/>
      <c r="F6452" s="546"/>
      <c r="G6452" s="234"/>
      <c r="H6452" s="238"/>
      <c r="I6452" s="237"/>
    </row>
    <row r="6453" spans="1:9" s="232" customFormat="1" ht="17" customHeight="1">
      <c r="A6453" s="234"/>
      <c r="B6453" s="233"/>
      <c r="C6453" s="238"/>
      <c r="E6453" s="545"/>
      <c r="F6453" s="546"/>
      <c r="G6453" s="234"/>
      <c r="H6453" s="238"/>
      <c r="I6453" s="237"/>
    </row>
    <row r="6454" spans="1:9" s="232" customFormat="1" ht="17" customHeight="1">
      <c r="A6454" s="234"/>
      <c r="B6454" s="233"/>
      <c r="C6454" s="238"/>
      <c r="E6454" s="545"/>
      <c r="F6454" s="546"/>
      <c r="G6454" s="234"/>
      <c r="H6454" s="238"/>
      <c r="I6454" s="237"/>
    </row>
    <row r="6455" spans="1:9" s="232" customFormat="1" ht="17" customHeight="1">
      <c r="A6455" s="234"/>
      <c r="B6455" s="233"/>
      <c r="C6455" s="238"/>
      <c r="E6455" s="545"/>
      <c r="F6455" s="546"/>
      <c r="G6455" s="234"/>
      <c r="H6455" s="238"/>
      <c r="I6455" s="237"/>
    </row>
    <row r="6456" spans="1:9" s="232" customFormat="1" ht="17" customHeight="1">
      <c r="A6456" s="234"/>
      <c r="B6456" s="233"/>
      <c r="C6456" s="238"/>
      <c r="E6456" s="545"/>
      <c r="F6456" s="546"/>
      <c r="G6456" s="234"/>
      <c r="H6456" s="238"/>
      <c r="I6456" s="237"/>
    </row>
    <row r="6457" spans="1:9" s="232" customFormat="1" ht="17" customHeight="1">
      <c r="A6457" s="234"/>
      <c r="B6457" s="233"/>
      <c r="C6457" s="238"/>
      <c r="E6457" s="545"/>
      <c r="F6457" s="546"/>
      <c r="G6457" s="234"/>
      <c r="H6457" s="238"/>
      <c r="I6457" s="237"/>
    </row>
    <row r="6458" spans="1:9" s="232" customFormat="1" ht="17" customHeight="1">
      <c r="A6458" s="234"/>
      <c r="B6458" s="233"/>
      <c r="C6458" s="238"/>
      <c r="E6458" s="545"/>
      <c r="F6458" s="546"/>
      <c r="G6458" s="234"/>
      <c r="H6458" s="238"/>
      <c r="I6458" s="237"/>
    </row>
    <row r="6459" spans="1:9" s="232" customFormat="1" ht="17" customHeight="1">
      <c r="A6459" s="234"/>
      <c r="B6459" s="233"/>
      <c r="C6459" s="238"/>
      <c r="E6459" s="545"/>
      <c r="F6459" s="546"/>
      <c r="G6459" s="234"/>
      <c r="H6459" s="238"/>
      <c r="I6459" s="237"/>
    </row>
    <row r="6460" spans="1:9" s="232" customFormat="1" ht="17" customHeight="1">
      <c r="A6460" s="234"/>
      <c r="B6460" s="233"/>
      <c r="C6460" s="238"/>
      <c r="E6460" s="545"/>
      <c r="F6460" s="546"/>
      <c r="G6460" s="234"/>
      <c r="H6460" s="238"/>
      <c r="I6460" s="237"/>
    </row>
    <row r="6461" spans="1:9" s="232" customFormat="1" ht="17" customHeight="1">
      <c r="A6461" s="234"/>
      <c r="B6461" s="233"/>
      <c r="C6461" s="238"/>
      <c r="E6461" s="545"/>
      <c r="F6461" s="546"/>
      <c r="G6461" s="234"/>
      <c r="H6461" s="238"/>
      <c r="I6461" s="237"/>
    </row>
    <row r="6462" spans="1:9" s="232" customFormat="1" ht="17" customHeight="1">
      <c r="A6462" s="234"/>
      <c r="B6462" s="233"/>
      <c r="C6462" s="238"/>
      <c r="E6462" s="545"/>
      <c r="F6462" s="546"/>
      <c r="G6462" s="234"/>
      <c r="H6462" s="238"/>
      <c r="I6462" s="237"/>
    </row>
    <row r="6463" spans="1:9" s="232" customFormat="1" ht="17" customHeight="1">
      <c r="A6463" s="234"/>
      <c r="B6463" s="233"/>
      <c r="C6463" s="238"/>
      <c r="E6463" s="545"/>
      <c r="F6463" s="546"/>
      <c r="G6463" s="234"/>
      <c r="H6463" s="238"/>
      <c r="I6463" s="237"/>
    </row>
    <row r="6464" spans="1:9" s="232" customFormat="1" ht="17" customHeight="1">
      <c r="A6464" s="234"/>
      <c r="B6464" s="233"/>
      <c r="C6464" s="238"/>
      <c r="E6464" s="545"/>
      <c r="F6464" s="546"/>
      <c r="G6464" s="234"/>
      <c r="H6464" s="238"/>
      <c r="I6464" s="237"/>
    </row>
    <row r="6465" spans="1:9" s="232" customFormat="1" ht="17" customHeight="1">
      <c r="A6465" s="234"/>
      <c r="B6465" s="233"/>
      <c r="C6465" s="238"/>
      <c r="E6465" s="545"/>
      <c r="F6465" s="546"/>
      <c r="G6465" s="234"/>
      <c r="H6465" s="238"/>
      <c r="I6465" s="237"/>
    </row>
    <row r="6466" spans="1:9" s="232" customFormat="1" ht="17" customHeight="1">
      <c r="A6466" s="234"/>
      <c r="B6466" s="233"/>
      <c r="C6466" s="238"/>
      <c r="E6466" s="545"/>
      <c r="F6466" s="546"/>
      <c r="G6466" s="234"/>
      <c r="H6466" s="238"/>
      <c r="I6466" s="237"/>
    </row>
    <row r="6467" spans="1:9" s="232" customFormat="1" ht="17" customHeight="1">
      <c r="A6467" s="234"/>
      <c r="B6467" s="233"/>
      <c r="C6467" s="238"/>
      <c r="E6467" s="545"/>
      <c r="F6467" s="546"/>
      <c r="G6467" s="234"/>
      <c r="H6467" s="238"/>
      <c r="I6467" s="237"/>
    </row>
    <row r="6468" spans="1:9" s="232" customFormat="1" ht="17" customHeight="1">
      <c r="A6468" s="234"/>
      <c r="B6468" s="233"/>
      <c r="C6468" s="238"/>
      <c r="E6468" s="545"/>
      <c r="F6468" s="546"/>
      <c r="G6468" s="234"/>
      <c r="H6468" s="238"/>
      <c r="I6468" s="237"/>
    </row>
    <row r="6469" spans="1:9" s="232" customFormat="1" ht="17" customHeight="1">
      <c r="A6469" s="234"/>
      <c r="B6469" s="233"/>
      <c r="C6469" s="238"/>
      <c r="E6469" s="545"/>
      <c r="F6469" s="546"/>
      <c r="G6469" s="234"/>
      <c r="H6469" s="238"/>
      <c r="I6469" s="237"/>
    </row>
    <row r="6470" spans="1:9" s="232" customFormat="1" ht="17" customHeight="1">
      <c r="A6470" s="234"/>
      <c r="B6470" s="233"/>
      <c r="C6470" s="238"/>
      <c r="E6470" s="545"/>
      <c r="F6470" s="546"/>
      <c r="G6470" s="234"/>
      <c r="H6470" s="238"/>
      <c r="I6470" s="237"/>
    </row>
    <row r="6471" spans="1:9" s="232" customFormat="1" ht="17" customHeight="1">
      <c r="A6471" s="234"/>
      <c r="B6471" s="233"/>
      <c r="C6471" s="238"/>
      <c r="E6471" s="545"/>
      <c r="F6471" s="546"/>
      <c r="G6471" s="234"/>
      <c r="H6471" s="238"/>
      <c r="I6471" s="237"/>
    </row>
    <row r="6472" spans="1:9" s="232" customFormat="1" ht="17" customHeight="1">
      <c r="A6472" s="234"/>
      <c r="B6472" s="233"/>
      <c r="C6472" s="238"/>
      <c r="E6472" s="545"/>
      <c r="F6472" s="546"/>
      <c r="G6472" s="234"/>
      <c r="H6472" s="238"/>
      <c r="I6472" s="237"/>
    </row>
    <row r="6473" spans="1:9" s="232" customFormat="1" ht="17" customHeight="1">
      <c r="A6473" s="234"/>
      <c r="B6473" s="233"/>
      <c r="C6473" s="238"/>
      <c r="E6473" s="545"/>
      <c r="F6473" s="546"/>
      <c r="G6473" s="234"/>
      <c r="H6473" s="238"/>
      <c r="I6473" s="237"/>
    </row>
    <row r="6474" spans="1:9" s="232" customFormat="1" ht="17" customHeight="1">
      <c r="A6474" s="234"/>
      <c r="B6474" s="233"/>
      <c r="C6474" s="238"/>
      <c r="E6474" s="545"/>
      <c r="F6474" s="546"/>
      <c r="G6474" s="234"/>
      <c r="H6474" s="238"/>
      <c r="I6474" s="237"/>
    </row>
    <row r="6475" spans="1:9" s="232" customFormat="1" ht="17" customHeight="1">
      <c r="A6475" s="234"/>
      <c r="B6475" s="233"/>
      <c r="C6475" s="238"/>
      <c r="E6475" s="545"/>
      <c r="F6475" s="546"/>
      <c r="G6475" s="234"/>
      <c r="H6475" s="238"/>
      <c r="I6475" s="237"/>
    </row>
    <row r="6476" spans="1:9" s="232" customFormat="1" ht="17" customHeight="1">
      <c r="A6476" s="234"/>
      <c r="B6476" s="233"/>
      <c r="C6476" s="238"/>
      <c r="E6476" s="545"/>
      <c r="F6476" s="546"/>
      <c r="G6476" s="234"/>
      <c r="H6476" s="238"/>
      <c r="I6476" s="237"/>
    </row>
    <row r="6477" spans="1:9" s="232" customFormat="1" ht="17" customHeight="1">
      <c r="A6477" s="234"/>
      <c r="B6477" s="233"/>
      <c r="C6477" s="238"/>
      <c r="E6477" s="545"/>
      <c r="F6477" s="546"/>
      <c r="G6477" s="234"/>
      <c r="H6477" s="238"/>
      <c r="I6477" s="237"/>
    </row>
    <row r="6478" spans="1:9" s="232" customFormat="1" ht="17" customHeight="1">
      <c r="A6478" s="234"/>
      <c r="B6478" s="233"/>
      <c r="C6478" s="238"/>
      <c r="E6478" s="545"/>
      <c r="F6478" s="546"/>
      <c r="G6478" s="234"/>
      <c r="H6478" s="238"/>
      <c r="I6478" s="237"/>
    </row>
    <row r="6479" spans="1:9" s="232" customFormat="1" ht="17" customHeight="1">
      <c r="A6479" s="234"/>
      <c r="B6479" s="233"/>
      <c r="C6479" s="238"/>
      <c r="E6479" s="545"/>
      <c r="F6479" s="546"/>
      <c r="G6479" s="234"/>
      <c r="H6479" s="238"/>
      <c r="I6479" s="237"/>
    </row>
    <row r="6480" spans="1:9" s="232" customFormat="1" ht="17" customHeight="1">
      <c r="A6480" s="234"/>
      <c r="B6480" s="233"/>
      <c r="C6480" s="238"/>
      <c r="E6480" s="545"/>
      <c r="F6480" s="546"/>
      <c r="G6480" s="234"/>
      <c r="H6480" s="238"/>
      <c r="I6480" s="237"/>
    </row>
    <row r="6481" spans="1:9" s="232" customFormat="1" ht="17" customHeight="1">
      <c r="A6481" s="234"/>
      <c r="B6481" s="233"/>
      <c r="C6481" s="238"/>
      <c r="E6481" s="545"/>
      <c r="F6481" s="546"/>
      <c r="G6481" s="234"/>
      <c r="H6481" s="238"/>
      <c r="I6481" s="237"/>
    </row>
    <row r="6482" spans="1:9" s="232" customFormat="1" ht="17" customHeight="1">
      <c r="A6482" s="234"/>
      <c r="B6482" s="233"/>
      <c r="C6482" s="238"/>
      <c r="E6482" s="545"/>
      <c r="F6482" s="546"/>
      <c r="G6482" s="234"/>
      <c r="H6482" s="238"/>
      <c r="I6482" s="237"/>
    </row>
    <row r="6483" spans="1:9" s="232" customFormat="1" ht="17" customHeight="1">
      <c r="A6483" s="234"/>
      <c r="B6483" s="233"/>
      <c r="C6483" s="238"/>
      <c r="E6483" s="545"/>
      <c r="F6483" s="546"/>
      <c r="G6483" s="234"/>
      <c r="H6483" s="238"/>
      <c r="I6483" s="237"/>
    </row>
    <row r="6484" spans="1:9" s="232" customFormat="1" ht="17" customHeight="1">
      <c r="A6484" s="234"/>
      <c r="B6484" s="233"/>
      <c r="C6484" s="238"/>
      <c r="E6484" s="545"/>
      <c r="F6484" s="546"/>
      <c r="G6484" s="234"/>
      <c r="H6484" s="238"/>
      <c r="I6484" s="237"/>
    </row>
    <row r="6485" spans="1:9" s="232" customFormat="1" ht="17" customHeight="1">
      <c r="A6485" s="234"/>
      <c r="B6485" s="233"/>
      <c r="C6485" s="238"/>
      <c r="E6485" s="545"/>
      <c r="F6485" s="546"/>
      <c r="G6485" s="234"/>
      <c r="H6485" s="238"/>
      <c r="I6485" s="237"/>
    </row>
    <row r="6486" spans="1:9" s="232" customFormat="1" ht="17" customHeight="1">
      <c r="A6486" s="234"/>
      <c r="B6486" s="233"/>
      <c r="C6486" s="238"/>
      <c r="E6486" s="545"/>
      <c r="F6486" s="546"/>
      <c r="G6486" s="234"/>
      <c r="H6486" s="238"/>
      <c r="I6486" s="237"/>
    </row>
    <row r="6487" spans="1:9" s="232" customFormat="1" ht="17" customHeight="1">
      <c r="A6487" s="234"/>
      <c r="B6487" s="233"/>
      <c r="C6487" s="238"/>
      <c r="E6487" s="545"/>
      <c r="F6487" s="546"/>
      <c r="G6487" s="234"/>
      <c r="H6487" s="238"/>
      <c r="I6487" s="237"/>
    </row>
    <row r="6488" spans="1:9" s="232" customFormat="1" ht="17" customHeight="1">
      <c r="A6488" s="234"/>
      <c r="B6488" s="233"/>
      <c r="C6488" s="238"/>
      <c r="E6488" s="545"/>
      <c r="F6488" s="546"/>
      <c r="G6488" s="234"/>
      <c r="H6488" s="238"/>
      <c r="I6488" s="237"/>
    </row>
    <row r="6489" spans="1:9" s="232" customFormat="1" ht="17" customHeight="1">
      <c r="A6489" s="234"/>
      <c r="B6489" s="233"/>
      <c r="C6489" s="238"/>
      <c r="E6489" s="545"/>
      <c r="F6489" s="546"/>
      <c r="G6489" s="234"/>
      <c r="H6489" s="238"/>
      <c r="I6489" s="237"/>
    </row>
    <row r="6490" spans="1:9" s="232" customFormat="1" ht="17" customHeight="1">
      <c r="A6490" s="234"/>
      <c r="B6490" s="233"/>
      <c r="C6490" s="238"/>
      <c r="E6490" s="545"/>
      <c r="F6490" s="546"/>
      <c r="G6490" s="234"/>
      <c r="H6490" s="238"/>
      <c r="I6490" s="237"/>
    </row>
    <row r="6491" spans="1:9" s="232" customFormat="1" ht="17" customHeight="1">
      <c r="A6491" s="234"/>
      <c r="B6491" s="233"/>
      <c r="C6491" s="238"/>
      <c r="E6491" s="545"/>
      <c r="F6491" s="546"/>
      <c r="G6491" s="234"/>
      <c r="H6491" s="238"/>
      <c r="I6491" s="237"/>
    </row>
    <row r="6492" spans="1:9" s="232" customFormat="1" ht="17" customHeight="1">
      <c r="A6492" s="234"/>
      <c r="B6492" s="233"/>
      <c r="C6492" s="238"/>
      <c r="E6492" s="545"/>
      <c r="F6492" s="546"/>
      <c r="G6492" s="234"/>
      <c r="H6492" s="238"/>
      <c r="I6492" s="237"/>
    </row>
    <row r="6493" spans="1:9" s="232" customFormat="1" ht="17" customHeight="1">
      <c r="A6493" s="234"/>
      <c r="B6493" s="233"/>
      <c r="C6493" s="238"/>
      <c r="E6493" s="545"/>
      <c r="F6493" s="546"/>
      <c r="G6493" s="234"/>
      <c r="H6493" s="238"/>
      <c r="I6493" s="237"/>
    </row>
    <row r="6494" spans="1:9" s="232" customFormat="1" ht="17" customHeight="1">
      <c r="A6494" s="234"/>
      <c r="B6494" s="233"/>
      <c r="C6494" s="238"/>
      <c r="E6494" s="545"/>
      <c r="F6494" s="546"/>
      <c r="G6494" s="234"/>
      <c r="H6494" s="238"/>
      <c r="I6494" s="237"/>
    </row>
    <row r="6495" spans="1:9" s="232" customFormat="1" ht="17" customHeight="1">
      <c r="A6495" s="234"/>
      <c r="B6495" s="233"/>
      <c r="C6495" s="238"/>
      <c r="E6495" s="545"/>
      <c r="F6495" s="546"/>
      <c r="G6495" s="234"/>
      <c r="H6495" s="238"/>
      <c r="I6495" s="237"/>
    </row>
    <row r="6496" spans="1:9" s="232" customFormat="1" ht="17" customHeight="1">
      <c r="A6496" s="234"/>
      <c r="B6496" s="233"/>
      <c r="C6496" s="238"/>
      <c r="E6496" s="545"/>
      <c r="F6496" s="546"/>
      <c r="G6496" s="234"/>
      <c r="H6496" s="238"/>
      <c r="I6496" s="237"/>
    </row>
    <row r="6497" spans="1:9" s="232" customFormat="1" ht="17" customHeight="1">
      <c r="A6497" s="234"/>
      <c r="B6497" s="233"/>
      <c r="C6497" s="238"/>
      <c r="E6497" s="545"/>
      <c r="F6497" s="546"/>
      <c r="G6497" s="234"/>
      <c r="H6497" s="238"/>
      <c r="I6497" s="237"/>
    </row>
    <row r="6498" spans="1:9" s="232" customFormat="1" ht="17" customHeight="1">
      <c r="A6498" s="234"/>
      <c r="B6498" s="233"/>
      <c r="C6498" s="238"/>
      <c r="E6498" s="545"/>
      <c r="F6498" s="546"/>
      <c r="G6498" s="234"/>
      <c r="H6498" s="238"/>
      <c r="I6498" s="237"/>
    </row>
    <row r="6499" spans="1:9" s="232" customFormat="1" ht="17" customHeight="1">
      <c r="A6499" s="234"/>
      <c r="B6499" s="233"/>
      <c r="C6499" s="238"/>
      <c r="E6499" s="545"/>
      <c r="F6499" s="546"/>
      <c r="G6499" s="234"/>
      <c r="H6499" s="238"/>
      <c r="I6499" s="237"/>
    </row>
    <row r="6500" spans="1:9" s="232" customFormat="1" ht="17" customHeight="1">
      <c r="A6500" s="234"/>
      <c r="B6500" s="233"/>
      <c r="C6500" s="238"/>
      <c r="E6500" s="545"/>
      <c r="F6500" s="546"/>
      <c r="G6500" s="234"/>
      <c r="H6500" s="238"/>
      <c r="I6500" s="237"/>
    </row>
    <row r="6501" spans="1:9" s="232" customFormat="1" ht="17" customHeight="1">
      <c r="A6501" s="234"/>
      <c r="B6501" s="233"/>
      <c r="C6501" s="238"/>
      <c r="E6501" s="545"/>
      <c r="F6501" s="546"/>
      <c r="G6501" s="234"/>
      <c r="H6501" s="238"/>
      <c r="I6501" s="237"/>
    </row>
    <row r="6502" spans="1:9" s="232" customFormat="1" ht="17" customHeight="1">
      <c r="A6502" s="234"/>
      <c r="B6502" s="233"/>
      <c r="C6502" s="238"/>
      <c r="E6502" s="545"/>
      <c r="F6502" s="546"/>
      <c r="G6502" s="234"/>
      <c r="H6502" s="238"/>
      <c r="I6502" s="237"/>
    </row>
    <row r="6503" spans="1:9" s="232" customFormat="1" ht="17" customHeight="1">
      <c r="A6503" s="234"/>
      <c r="B6503" s="233"/>
      <c r="C6503" s="238"/>
      <c r="E6503" s="545"/>
      <c r="F6503" s="546"/>
      <c r="G6503" s="234"/>
      <c r="H6503" s="238"/>
      <c r="I6503" s="237"/>
    </row>
    <row r="6504" spans="1:9" s="232" customFormat="1" ht="17" customHeight="1">
      <c r="A6504" s="234"/>
      <c r="B6504" s="233"/>
      <c r="C6504" s="238"/>
      <c r="E6504" s="545"/>
      <c r="F6504" s="546"/>
      <c r="G6504" s="234"/>
      <c r="H6504" s="238"/>
      <c r="I6504" s="237"/>
    </row>
    <row r="6505" spans="1:9" s="232" customFormat="1" ht="17" customHeight="1">
      <c r="A6505" s="234"/>
      <c r="B6505" s="233"/>
      <c r="C6505" s="238"/>
      <c r="E6505" s="545"/>
      <c r="F6505" s="546"/>
      <c r="G6505" s="234"/>
      <c r="H6505" s="238"/>
      <c r="I6505" s="237"/>
    </row>
    <row r="6506" spans="1:9" s="232" customFormat="1" ht="17" customHeight="1">
      <c r="A6506" s="234"/>
      <c r="B6506" s="233"/>
      <c r="C6506" s="238"/>
      <c r="E6506" s="545"/>
      <c r="F6506" s="546"/>
      <c r="G6506" s="234"/>
      <c r="H6506" s="238"/>
      <c r="I6506" s="237"/>
    </row>
    <row r="6507" spans="1:9" s="232" customFormat="1" ht="17" customHeight="1">
      <c r="A6507" s="234"/>
      <c r="B6507" s="233"/>
      <c r="C6507" s="238"/>
      <c r="E6507" s="545"/>
      <c r="F6507" s="546"/>
      <c r="G6507" s="234"/>
      <c r="H6507" s="238"/>
      <c r="I6507" s="237"/>
    </row>
    <row r="6508" spans="1:9" s="232" customFormat="1" ht="17" customHeight="1">
      <c r="A6508" s="234"/>
      <c r="B6508" s="233"/>
      <c r="C6508" s="238"/>
      <c r="E6508" s="545"/>
      <c r="F6508" s="546"/>
      <c r="G6508" s="234"/>
      <c r="H6508" s="238"/>
      <c r="I6508" s="237"/>
    </row>
    <row r="6509" spans="1:9" s="232" customFormat="1" ht="17" customHeight="1">
      <c r="A6509" s="234"/>
      <c r="B6509" s="233"/>
      <c r="C6509" s="238"/>
      <c r="E6509" s="545"/>
      <c r="F6509" s="546"/>
      <c r="G6509" s="234"/>
      <c r="H6509" s="238"/>
      <c r="I6509" s="237"/>
    </row>
    <row r="6510" spans="1:9" s="232" customFormat="1" ht="17" customHeight="1">
      <c r="A6510" s="234"/>
      <c r="B6510" s="233"/>
      <c r="C6510" s="238"/>
      <c r="E6510" s="545"/>
      <c r="F6510" s="546"/>
      <c r="G6510" s="234"/>
      <c r="H6510" s="238"/>
      <c r="I6510" s="237"/>
    </row>
    <row r="6511" spans="1:9" s="232" customFormat="1" ht="17" customHeight="1">
      <c r="A6511" s="234"/>
      <c r="B6511" s="233"/>
      <c r="C6511" s="238"/>
      <c r="E6511" s="545"/>
      <c r="F6511" s="546"/>
      <c r="G6511" s="234"/>
      <c r="H6511" s="238"/>
      <c r="I6511" s="237"/>
    </row>
    <row r="6512" spans="1:9" s="232" customFormat="1" ht="17" customHeight="1">
      <c r="A6512" s="234"/>
      <c r="B6512" s="233"/>
      <c r="C6512" s="238"/>
      <c r="E6512" s="545"/>
      <c r="F6512" s="546"/>
      <c r="G6512" s="234"/>
      <c r="H6512" s="238"/>
      <c r="I6512" s="237"/>
    </row>
    <row r="6513" spans="1:9" s="232" customFormat="1" ht="17" customHeight="1">
      <c r="A6513" s="234"/>
      <c r="B6513" s="233"/>
      <c r="C6513" s="238"/>
      <c r="E6513" s="545"/>
      <c r="F6513" s="546"/>
      <c r="G6513" s="234"/>
      <c r="H6513" s="238"/>
      <c r="I6513" s="237"/>
    </row>
    <row r="6514" spans="1:9" s="232" customFormat="1" ht="17" customHeight="1">
      <c r="A6514" s="234"/>
      <c r="B6514" s="233"/>
      <c r="C6514" s="238"/>
      <c r="E6514" s="545"/>
      <c r="F6514" s="546"/>
      <c r="G6514" s="234"/>
      <c r="H6514" s="238"/>
      <c r="I6514" s="237"/>
    </row>
    <row r="6515" spans="1:9" s="232" customFormat="1" ht="17" customHeight="1">
      <c r="A6515" s="234"/>
      <c r="B6515" s="233"/>
      <c r="C6515" s="238"/>
      <c r="E6515" s="545"/>
      <c r="F6515" s="546"/>
      <c r="G6515" s="234"/>
      <c r="H6515" s="238"/>
      <c r="I6515" s="237"/>
    </row>
    <row r="6516" spans="1:9" s="232" customFormat="1" ht="17" customHeight="1">
      <c r="A6516" s="234"/>
      <c r="B6516" s="233"/>
      <c r="C6516" s="238"/>
      <c r="E6516" s="545"/>
      <c r="F6516" s="546"/>
      <c r="G6516" s="234"/>
      <c r="H6516" s="238"/>
      <c r="I6516" s="237"/>
    </row>
    <row r="6517" spans="1:9" s="232" customFormat="1" ht="17" customHeight="1">
      <c r="A6517" s="234"/>
      <c r="B6517" s="233"/>
      <c r="C6517" s="238"/>
      <c r="E6517" s="545"/>
      <c r="F6517" s="546"/>
      <c r="G6517" s="234"/>
      <c r="H6517" s="238"/>
      <c r="I6517" s="237"/>
    </row>
    <row r="6518" spans="1:9" s="232" customFormat="1" ht="17" customHeight="1">
      <c r="A6518" s="234"/>
      <c r="B6518" s="233"/>
      <c r="C6518" s="238"/>
      <c r="E6518" s="545"/>
      <c r="F6518" s="546"/>
      <c r="G6518" s="234"/>
      <c r="H6518" s="238"/>
      <c r="I6518" s="237"/>
    </row>
    <row r="6519" spans="1:9" s="232" customFormat="1" ht="17" customHeight="1">
      <c r="A6519" s="234"/>
      <c r="B6519" s="233"/>
      <c r="C6519" s="238"/>
      <c r="E6519" s="545"/>
      <c r="F6519" s="546"/>
      <c r="G6519" s="234"/>
      <c r="H6519" s="238"/>
      <c r="I6519" s="237"/>
    </row>
    <row r="6520" spans="1:9" s="232" customFormat="1" ht="17" customHeight="1">
      <c r="A6520" s="234"/>
      <c r="B6520" s="233"/>
      <c r="C6520" s="238"/>
      <c r="E6520" s="545"/>
      <c r="F6520" s="546"/>
      <c r="G6520" s="234"/>
      <c r="H6520" s="238"/>
      <c r="I6520" s="237"/>
    </row>
    <row r="6521" spans="1:9" s="232" customFormat="1" ht="17" customHeight="1">
      <c r="A6521" s="234"/>
      <c r="B6521" s="233"/>
      <c r="C6521" s="238"/>
      <c r="E6521" s="545"/>
      <c r="F6521" s="546"/>
      <c r="G6521" s="234"/>
      <c r="H6521" s="238"/>
      <c r="I6521" s="237"/>
    </row>
    <row r="6522" spans="1:9" s="232" customFormat="1" ht="17" customHeight="1">
      <c r="A6522" s="234"/>
      <c r="B6522" s="233"/>
      <c r="C6522" s="238"/>
      <c r="E6522" s="545"/>
      <c r="F6522" s="546"/>
      <c r="G6522" s="234"/>
      <c r="H6522" s="238"/>
      <c r="I6522" s="237"/>
    </row>
    <row r="6523" spans="1:9" s="232" customFormat="1" ht="17" customHeight="1">
      <c r="A6523" s="234"/>
      <c r="B6523" s="233"/>
      <c r="C6523" s="238"/>
      <c r="E6523" s="545"/>
      <c r="F6523" s="546"/>
      <c r="G6523" s="234"/>
      <c r="H6523" s="238"/>
      <c r="I6523" s="237"/>
    </row>
    <row r="6524" spans="1:9" s="232" customFormat="1" ht="17" customHeight="1">
      <c r="A6524" s="234"/>
      <c r="B6524" s="233"/>
      <c r="C6524" s="238"/>
      <c r="E6524" s="545"/>
      <c r="F6524" s="546"/>
      <c r="G6524" s="234"/>
      <c r="H6524" s="238"/>
      <c r="I6524" s="237"/>
    </row>
    <row r="6525" spans="1:9" s="232" customFormat="1" ht="17" customHeight="1">
      <c r="A6525" s="234"/>
      <c r="B6525" s="233"/>
      <c r="C6525" s="238"/>
      <c r="E6525" s="545"/>
      <c r="F6525" s="546"/>
      <c r="G6525" s="234"/>
      <c r="H6525" s="238"/>
      <c r="I6525" s="237"/>
    </row>
    <row r="6526" spans="1:9" s="232" customFormat="1" ht="17" customHeight="1">
      <c r="A6526" s="234"/>
      <c r="B6526" s="233"/>
      <c r="C6526" s="238"/>
      <c r="E6526" s="545"/>
      <c r="F6526" s="546"/>
      <c r="G6526" s="234"/>
      <c r="H6526" s="238"/>
      <c r="I6526" s="237"/>
    </row>
    <row r="6527" spans="1:9" s="232" customFormat="1" ht="17" customHeight="1">
      <c r="A6527" s="234"/>
      <c r="B6527" s="233"/>
      <c r="C6527" s="238"/>
      <c r="E6527" s="545"/>
      <c r="F6527" s="546"/>
      <c r="G6527" s="234"/>
      <c r="H6527" s="238"/>
      <c r="I6527" s="237"/>
    </row>
    <row r="6528" spans="1:9" s="232" customFormat="1" ht="17" customHeight="1">
      <c r="A6528" s="234"/>
      <c r="B6528" s="233"/>
      <c r="C6528" s="238"/>
      <c r="E6528" s="545"/>
      <c r="F6528" s="546"/>
      <c r="G6528" s="234"/>
      <c r="H6528" s="238"/>
      <c r="I6528" s="237"/>
    </row>
    <row r="6529" spans="1:9" s="232" customFormat="1" ht="17" customHeight="1">
      <c r="A6529" s="234"/>
      <c r="B6529" s="233"/>
      <c r="C6529" s="238"/>
      <c r="E6529" s="545"/>
      <c r="F6529" s="546"/>
      <c r="G6529" s="234"/>
      <c r="H6529" s="238"/>
      <c r="I6529" s="237"/>
    </row>
    <row r="6530" spans="1:9" s="232" customFormat="1" ht="17" customHeight="1">
      <c r="A6530" s="234"/>
      <c r="B6530" s="233"/>
      <c r="C6530" s="238"/>
      <c r="E6530" s="545"/>
      <c r="F6530" s="546"/>
      <c r="G6530" s="234"/>
      <c r="H6530" s="238"/>
      <c r="I6530" s="237"/>
    </row>
    <row r="6531" spans="1:9" s="232" customFormat="1" ht="17" customHeight="1">
      <c r="A6531" s="234"/>
      <c r="B6531" s="233"/>
      <c r="C6531" s="238"/>
      <c r="E6531" s="545"/>
      <c r="F6531" s="546"/>
      <c r="G6531" s="234"/>
      <c r="H6531" s="238"/>
      <c r="I6531" s="237"/>
    </row>
    <row r="6532" spans="1:9" s="232" customFormat="1" ht="17" customHeight="1">
      <c r="A6532" s="234"/>
      <c r="B6532" s="233"/>
      <c r="C6532" s="238"/>
      <c r="E6532" s="545"/>
      <c r="F6532" s="546"/>
      <c r="G6532" s="234"/>
      <c r="H6532" s="238"/>
      <c r="I6532" s="237"/>
    </row>
    <row r="6533" spans="1:9" s="232" customFormat="1" ht="17" customHeight="1">
      <c r="A6533" s="234"/>
      <c r="B6533" s="233"/>
      <c r="C6533" s="238"/>
      <c r="E6533" s="545"/>
      <c r="F6533" s="546"/>
      <c r="G6533" s="234"/>
      <c r="H6533" s="238"/>
      <c r="I6533" s="237"/>
    </row>
    <row r="6534" spans="1:9" s="232" customFormat="1" ht="17" customHeight="1">
      <c r="A6534" s="234"/>
      <c r="B6534" s="233"/>
      <c r="C6534" s="238"/>
      <c r="E6534" s="545"/>
      <c r="F6534" s="546"/>
      <c r="G6534" s="234"/>
      <c r="H6534" s="238"/>
      <c r="I6534" s="237"/>
    </row>
    <row r="6535" spans="1:9" s="232" customFormat="1" ht="17" customHeight="1">
      <c r="A6535" s="234"/>
      <c r="B6535" s="233"/>
      <c r="C6535" s="238"/>
      <c r="E6535" s="545"/>
      <c r="F6535" s="546"/>
      <c r="G6535" s="234"/>
      <c r="H6535" s="238"/>
      <c r="I6535" s="237"/>
    </row>
    <row r="6536" spans="1:9" s="232" customFormat="1" ht="17" customHeight="1">
      <c r="A6536" s="234"/>
      <c r="B6536" s="233"/>
      <c r="C6536" s="238"/>
      <c r="E6536" s="545"/>
      <c r="F6536" s="546"/>
      <c r="G6536" s="234"/>
      <c r="H6536" s="238"/>
      <c r="I6536" s="237"/>
    </row>
    <row r="6537" spans="1:9" s="232" customFormat="1" ht="17" customHeight="1">
      <c r="A6537" s="234"/>
      <c r="B6537" s="233"/>
      <c r="C6537" s="238"/>
      <c r="E6537" s="545"/>
      <c r="F6537" s="546"/>
      <c r="G6537" s="234"/>
      <c r="H6537" s="238"/>
      <c r="I6537" s="237"/>
    </row>
    <row r="6538" spans="1:9" s="232" customFormat="1" ht="17" customHeight="1">
      <c r="A6538" s="234"/>
      <c r="B6538" s="233"/>
      <c r="C6538" s="238"/>
      <c r="E6538" s="545"/>
      <c r="F6538" s="546"/>
      <c r="G6538" s="234"/>
      <c r="H6538" s="238"/>
      <c r="I6538" s="237"/>
    </row>
    <row r="6539" spans="1:9" s="232" customFormat="1" ht="17" customHeight="1">
      <c r="A6539" s="234"/>
      <c r="B6539" s="233"/>
      <c r="C6539" s="238"/>
      <c r="E6539" s="545"/>
      <c r="F6539" s="546"/>
      <c r="G6539" s="234"/>
      <c r="H6539" s="238"/>
      <c r="I6539" s="237"/>
    </row>
    <row r="6540" spans="1:9" s="232" customFormat="1" ht="17" customHeight="1">
      <c r="A6540" s="234"/>
      <c r="B6540" s="233"/>
      <c r="C6540" s="238"/>
      <c r="E6540" s="545"/>
      <c r="F6540" s="546"/>
      <c r="G6540" s="234"/>
      <c r="H6540" s="238"/>
      <c r="I6540" s="237"/>
    </row>
    <row r="6541" spans="1:9" s="232" customFormat="1" ht="17" customHeight="1">
      <c r="A6541" s="234"/>
      <c r="B6541" s="233"/>
      <c r="C6541" s="238"/>
      <c r="E6541" s="545"/>
      <c r="F6541" s="546"/>
      <c r="G6541" s="234"/>
      <c r="H6541" s="238"/>
      <c r="I6541" s="237"/>
    </row>
    <row r="6542" spans="1:9" s="232" customFormat="1" ht="17" customHeight="1">
      <c r="A6542" s="234"/>
      <c r="B6542" s="233"/>
      <c r="C6542" s="238"/>
      <c r="E6542" s="545"/>
      <c r="F6542" s="546"/>
      <c r="G6542" s="234"/>
      <c r="H6542" s="238"/>
      <c r="I6542" s="237"/>
    </row>
    <row r="6543" spans="1:9" s="232" customFormat="1" ht="17" customHeight="1">
      <c r="A6543" s="234"/>
      <c r="B6543" s="233"/>
      <c r="C6543" s="238"/>
      <c r="E6543" s="545"/>
      <c r="F6543" s="546"/>
      <c r="G6543" s="234"/>
      <c r="H6543" s="238"/>
      <c r="I6543" s="237"/>
    </row>
    <row r="6544" spans="1:9" s="232" customFormat="1" ht="17" customHeight="1">
      <c r="A6544" s="234"/>
      <c r="B6544" s="233"/>
      <c r="C6544" s="238"/>
      <c r="E6544" s="545"/>
      <c r="F6544" s="546"/>
      <c r="G6544" s="234"/>
      <c r="H6544" s="238"/>
      <c r="I6544" s="237"/>
    </row>
    <row r="6545" spans="1:9" s="232" customFormat="1" ht="17" customHeight="1">
      <c r="A6545" s="234"/>
      <c r="B6545" s="233"/>
      <c r="C6545" s="238"/>
      <c r="E6545" s="545"/>
      <c r="F6545" s="546"/>
      <c r="G6545" s="234"/>
      <c r="H6545" s="238"/>
      <c r="I6545" s="237"/>
    </row>
    <row r="6546" spans="1:9" s="232" customFormat="1" ht="17" customHeight="1">
      <c r="A6546" s="234"/>
      <c r="B6546" s="233"/>
      <c r="C6546" s="238"/>
      <c r="E6546" s="545"/>
      <c r="F6546" s="546"/>
      <c r="G6546" s="234"/>
      <c r="H6546" s="238"/>
      <c r="I6546" s="237"/>
    </row>
    <row r="6547" spans="1:9" s="232" customFormat="1" ht="17" customHeight="1">
      <c r="A6547" s="234"/>
      <c r="B6547" s="233"/>
      <c r="C6547" s="238"/>
      <c r="E6547" s="545"/>
      <c r="F6547" s="546"/>
      <c r="G6547" s="234"/>
      <c r="H6547" s="238"/>
      <c r="I6547" s="237"/>
    </row>
    <row r="6548" spans="1:9" s="232" customFormat="1" ht="17" customHeight="1">
      <c r="A6548" s="234"/>
      <c r="B6548" s="233"/>
      <c r="C6548" s="238"/>
      <c r="E6548" s="545"/>
      <c r="F6548" s="546"/>
      <c r="G6548" s="234"/>
      <c r="H6548" s="238"/>
      <c r="I6548" s="237"/>
    </row>
    <row r="6549" spans="1:9" s="232" customFormat="1" ht="17" customHeight="1">
      <c r="A6549" s="234"/>
      <c r="B6549" s="233"/>
      <c r="C6549" s="238"/>
      <c r="E6549" s="545"/>
      <c r="F6549" s="546"/>
      <c r="G6549" s="234"/>
      <c r="H6549" s="238"/>
      <c r="I6549" s="237"/>
    </row>
    <row r="6550" spans="1:9" s="232" customFormat="1" ht="17" customHeight="1">
      <c r="A6550" s="234"/>
      <c r="B6550" s="233"/>
      <c r="C6550" s="238"/>
      <c r="E6550" s="545"/>
      <c r="F6550" s="546"/>
      <c r="G6550" s="234"/>
      <c r="H6550" s="238"/>
      <c r="I6550" s="237"/>
    </row>
    <row r="6551" spans="1:9" s="232" customFormat="1" ht="17" customHeight="1">
      <c r="A6551" s="234"/>
      <c r="B6551" s="233"/>
      <c r="C6551" s="238"/>
      <c r="E6551" s="545"/>
      <c r="F6551" s="546"/>
      <c r="G6551" s="234"/>
      <c r="H6551" s="238"/>
      <c r="I6551" s="237"/>
    </row>
    <row r="6552" spans="1:9" s="232" customFormat="1" ht="17" customHeight="1">
      <c r="A6552" s="234"/>
      <c r="B6552" s="233"/>
      <c r="C6552" s="238"/>
      <c r="E6552" s="545"/>
      <c r="F6552" s="546"/>
      <c r="G6552" s="234"/>
      <c r="H6552" s="238"/>
      <c r="I6552" s="237"/>
    </row>
    <row r="6553" spans="1:9" s="232" customFormat="1" ht="17" customHeight="1">
      <c r="A6553" s="234"/>
      <c r="B6553" s="233"/>
      <c r="C6553" s="238"/>
      <c r="E6553" s="545"/>
      <c r="F6553" s="546"/>
      <c r="G6553" s="234"/>
      <c r="H6553" s="238"/>
      <c r="I6553" s="237"/>
    </row>
    <row r="6554" spans="1:9" s="232" customFormat="1" ht="17" customHeight="1">
      <c r="A6554" s="234"/>
      <c r="B6554" s="233"/>
      <c r="C6554" s="238"/>
      <c r="E6554" s="545"/>
      <c r="F6554" s="546"/>
      <c r="G6554" s="234"/>
      <c r="H6554" s="238"/>
      <c r="I6554" s="237"/>
    </row>
    <row r="6555" spans="1:9" s="232" customFormat="1" ht="17" customHeight="1">
      <c r="A6555" s="234"/>
      <c r="B6555" s="233"/>
      <c r="C6555" s="238"/>
      <c r="E6555" s="545"/>
      <c r="F6555" s="546"/>
      <c r="G6555" s="234"/>
      <c r="H6555" s="238"/>
      <c r="I6555" s="237"/>
    </row>
    <row r="6556" spans="1:9" s="232" customFormat="1" ht="17" customHeight="1">
      <c r="A6556" s="234"/>
      <c r="B6556" s="233"/>
      <c r="C6556" s="238"/>
      <c r="E6556" s="545"/>
      <c r="F6556" s="546"/>
      <c r="G6556" s="234"/>
      <c r="H6556" s="238"/>
      <c r="I6556" s="237"/>
    </row>
    <row r="6557" spans="1:9" s="232" customFormat="1" ht="17" customHeight="1">
      <c r="A6557" s="234"/>
      <c r="B6557" s="233"/>
      <c r="C6557" s="238"/>
      <c r="E6557" s="545"/>
      <c r="F6557" s="546"/>
      <c r="G6557" s="234"/>
      <c r="H6557" s="238"/>
      <c r="I6557" s="237"/>
    </row>
    <row r="6558" spans="1:9" s="232" customFormat="1" ht="17" customHeight="1">
      <c r="A6558" s="234"/>
      <c r="B6558" s="233"/>
      <c r="C6558" s="238"/>
      <c r="E6558" s="545"/>
      <c r="F6558" s="546"/>
      <c r="G6558" s="234"/>
      <c r="H6558" s="238"/>
      <c r="I6558" s="237"/>
    </row>
    <row r="6559" spans="1:9" s="232" customFormat="1" ht="17" customHeight="1">
      <c r="A6559" s="234"/>
      <c r="B6559" s="233"/>
      <c r="C6559" s="238"/>
      <c r="E6559" s="545"/>
      <c r="F6559" s="546"/>
      <c r="G6559" s="234"/>
      <c r="H6559" s="238"/>
      <c r="I6559" s="237"/>
    </row>
    <row r="6560" spans="1:9" s="232" customFormat="1" ht="17" customHeight="1">
      <c r="A6560" s="234"/>
      <c r="B6560" s="233"/>
      <c r="C6560" s="238"/>
      <c r="E6560" s="545"/>
      <c r="F6560" s="546"/>
      <c r="G6560" s="234"/>
      <c r="H6560" s="238"/>
      <c r="I6560" s="237"/>
    </row>
    <row r="6561" spans="1:9" s="232" customFormat="1" ht="17" customHeight="1">
      <c r="A6561" s="234"/>
      <c r="B6561" s="233"/>
      <c r="C6561" s="238"/>
      <c r="E6561" s="545"/>
      <c r="F6561" s="546"/>
      <c r="G6561" s="234"/>
      <c r="H6561" s="238"/>
      <c r="I6561" s="237"/>
    </row>
    <row r="6562" spans="1:9" s="232" customFormat="1" ht="17" customHeight="1">
      <c r="A6562" s="234"/>
      <c r="B6562" s="233"/>
      <c r="C6562" s="238"/>
      <c r="E6562" s="545"/>
      <c r="F6562" s="546"/>
      <c r="G6562" s="234"/>
      <c r="H6562" s="238"/>
      <c r="I6562" s="237"/>
    </row>
    <row r="6563" spans="1:9" s="232" customFormat="1" ht="17" customHeight="1">
      <c r="A6563" s="234"/>
      <c r="B6563" s="233"/>
      <c r="C6563" s="238"/>
      <c r="E6563" s="545"/>
      <c r="F6563" s="546"/>
      <c r="G6563" s="234"/>
      <c r="H6563" s="238"/>
      <c r="I6563" s="237"/>
    </row>
    <row r="6564" spans="1:9" s="232" customFormat="1" ht="17" customHeight="1">
      <c r="A6564" s="234"/>
      <c r="B6564" s="233"/>
      <c r="C6564" s="238"/>
      <c r="E6564" s="545"/>
      <c r="F6564" s="546"/>
      <c r="G6564" s="234"/>
      <c r="H6564" s="238"/>
      <c r="I6564" s="237"/>
    </row>
    <row r="6565" spans="1:9" s="232" customFormat="1" ht="17" customHeight="1">
      <c r="A6565" s="234"/>
      <c r="B6565" s="233"/>
      <c r="C6565" s="238"/>
      <c r="E6565" s="545"/>
      <c r="F6565" s="546"/>
      <c r="G6565" s="234"/>
      <c r="H6565" s="238"/>
      <c r="I6565" s="237"/>
    </row>
    <row r="6566" spans="1:9" s="232" customFormat="1" ht="17" customHeight="1">
      <c r="A6566" s="234"/>
      <c r="B6566" s="233"/>
      <c r="C6566" s="238"/>
      <c r="E6566" s="545"/>
      <c r="F6566" s="546"/>
      <c r="G6566" s="234"/>
      <c r="H6566" s="238"/>
      <c r="I6566" s="237"/>
    </row>
    <row r="6567" spans="1:9" s="232" customFormat="1" ht="17" customHeight="1">
      <c r="A6567" s="234"/>
      <c r="B6567" s="233"/>
      <c r="C6567" s="238"/>
      <c r="E6567" s="545"/>
      <c r="F6567" s="546"/>
      <c r="G6567" s="234"/>
      <c r="H6567" s="238"/>
      <c r="I6567" s="237"/>
    </row>
    <row r="6568" spans="1:9" s="232" customFormat="1" ht="17" customHeight="1">
      <c r="A6568" s="234"/>
      <c r="B6568" s="233"/>
      <c r="C6568" s="238"/>
      <c r="E6568" s="545"/>
      <c r="F6568" s="546"/>
      <c r="G6568" s="234"/>
      <c r="H6568" s="238"/>
      <c r="I6568" s="237"/>
    </row>
    <row r="6569" spans="1:9" s="232" customFormat="1" ht="17" customHeight="1">
      <c r="A6569" s="234"/>
      <c r="B6569" s="233"/>
      <c r="C6569" s="238"/>
      <c r="E6569" s="545"/>
      <c r="F6569" s="546"/>
      <c r="G6569" s="234"/>
      <c r="H6569" s="238"/>
      <c r="I6569" s="237"/>
    </row>
    <row r="6570" spans="1:9" s="232" customFormat="1" ht="17" customHeight="1">
      <c r="A6570" s="234"/>
      <c r="B6570" s="233"/>
      <c r="C6570" s="238"/>
      <c r="E6570" s="545"/>
      <c r="F6570" s="546"/>
      <c r="G6570" s="234"/>
      <c r="H6570" s="238"/>
      <c r="I6570" s="237"/>
    </row>
    <row r="6571" spans="1:9" s="232" customFormat="1" ht="17" customHeight="1">
      <c r="A6571" s="234"/>
      <c r="B6571" s="233"/>
      <c r="C6571" s="238"/>
      <c r="E6571" s="545"/>
      <c r="F6571" s="546"/>
      <c r="G6571" s="234"/>
      <c r="H6571" s="238"/>
      <c r="I6571" s="237"/>
    </row>
    <row r="6572" spans="1:9" s="232" customFormat="1" ht="17" customHeight="1">
      <c r="A6572" s="234"/>
      <c r="B6572" s="233"/>
      <c r="C6572" s="238"/>
      <c r="E6572" s="545"/>
      <c r="F6572" s="546"/>
      <c r="G6572" s="234"/>
      <c r="H6572" s="238"/>
      <c r="I6572" s="237"/>
    </row>
    <row r="6573" spans="1:9" s="232" customFormat="1" ht="17" customHeight="1">
      <c r="A6573" s="234"/>
      <c r="B6573" s="233"/>
      <c r="C6573" s="238"/>
      <c r="E6573" s="545"/>
      <c r="F6573" s="546"/>
      <c r="G6573" s="234"/>
      <c r="H6573" s="238"/>
      <c r="I6573" s="237"/>
    </row>
    <row r="6574" spans="1:9" s="232" customFormat="1" ht="17" customHeight="1">
      <c r="A6574" s="234"/>
      <c r="B6574" s="233"/>
      <c r="C6574" s="238"/>
      <c r="E6574" s="545"/>
      <c r="F6574" s="546"/>
      <c r="G6574" s="234"/>
      <c r="H6574" s="238"/>
      <c r="I6574" s="237"/>
    </row>
    <row r="6575" spans="1:9" s="232" customFormat="1" ht="17" customHeight="1">
      <c r="A6575" s="234"/>
      <c r="B6575" s="233"/>
      <c r="C6575" s="238"/>
      <c r="E6575" s="545"/>
      <c r="F6575" s="546"/>
      <c r="G6575" s="234"/>
      <c r="H6575" s="238"/>
      <c r="I6575" s="237"/>
    </row>
    <row r="6576" spans="1:9" s="232" customFormat="1" ht="17" customHeight="1">
      <c r="A6576" s="234"/>
      <c r="B6576" s="233"/>
      <c r="C6576" s="238"/>
      <c r="E6576" s="545"/>
      <c r="F6576" s="546"/>
      <c r="G6576" s="234"/>
      <c r="H6576" s="238"/>
      <c r="I6576" s="237"/>
    </row>
    <row r="6577" spans="1:9" s="232" customFormat="1" ht="17" customHeight="1">
      <c r="A6577" s="234"/>
      <c r="B6577" s="233"/>
      <c r="C6577" s="238"/>
      <c r="E6577" s="545"/>
      <c r="F6577" s="546"/>
      <c r="G6577" s="234"/>
      <c r="H6577" s="238"/>
      <c r="I6577" s="237"/>
    </row>
    <row r="6578" spans="1:9" s="232" customFormat="1" ht="17" customHeight="1">
      <c r="A6578" s="234"/>
      <c r="B6578" s="233"/>
      <c r="C6578" s="238"/>
      <c r="E6578" s="545"/>
      <c r="F6578" s="546"/>
      <c r="G6578" s="234"/>
      <c r="H6578" s="238"/>
      <c r="I6578" s="237"/>
    </row>
    <row r="6579" spans="1:9" s="232" customFormat="1" ht="17" customHeight="1">
      <c r="A6579" s="234"/>
      <c r="B6579" s="233"/>
      <c r="C6579" s="238"/>
      <c r="E6579" s="545"/>
      <c r="F6579" s="546"/>
      <c r="G6579" s="234"/>
      <c r="H6579" s="238"/>
      <c r="I6579" s="237"/>
    </row>
    <row r="6580" spans="1:9" s="232" customFormat="1" ht="17" customHeight="1">
      <c r="A6580" s="234"/>
      <c r="B6580" s="233"/>
      <c r="C6580" s="238"/>
      <c r="E6580" s="545"/>
      <c r="F6580" s="546"/>
      <c r="G6580" s="234"/>
      <c r="H6580" s="238"/>
      <c r="I6580" s="237"/>
    </row>
    <row r="6581" spans="1:9" s="232" customFormat="1" ht="17" customHeight="1">
      <c r="A6581" s="234"/>
      <c r="B6581" s="233"/>
      <c r="C6581" s="238"/>
      <c r="E6581" s="545"/>
      <c r="F6581" s="546"/>
      <c r="G6581" s="234"/>
      <c r="H6581" s="238"/>
      <c r="I6581" s="237"/>
    </row>
    <row r="6582" spans="1:9" s="232" customFormat="1" ht="17" customHeight="1">
      <c r="A6582" s="234"/>
      <c r="B6582" s="233"/>
      <c r="C6582" s="238"/>
      <c r="E6582" s="545"/>
      <c r="F6582" s="546"/>
      <c r="G6582" s="234"/>
      <c r="H6582" s="238"/>
      <c r="I6582" s="237"/>
    </row>
    <row r="6583" spans="1:9" s="232" customFormat="1" ht="17" customHeight="1">
      <c r="A6583" s="234"/>
      <c r="B6583" s="233"/>
      <c r="C6583" s="238"/>
      <c r="E6583" s="545"/>
      <c r="F6583" s="546"/>
      <c r="G6583" s="234"/>
      <c r="H6583" s="238"/>
      <c r="I6583" s="237"/>
    </row>
    <row r="6584" spans="1:9" s="232" customFormat="1" ht="17" customHeight="1">
      <c r="A6584" s="234"/>
      <c r="B6584" s="233"/>
      <c r="C6584" s="238"/>
      <c r="E6584" s="545"/>
      <c r="F6584" s="546"/>
      <c r="G6584" s="234"/>
      <c r="H6584" s="238"/>
      <c r="I6584" s="237"/>
    </row>
    <row r="6585" spans="1:9" s="232" customFormat="1" ht="17" customHeight="1">
      <c r="A6585" s="234"/>
      <c r="B6585" s="233"/>
      <c r="C6585" s="238"/>
      <c r="E6585" s="545"/>
      <c r="F6585" s="546"/>
      <c r="G6585" s="234"/>
      <c r="H6585" s="238"/>
      <c r="I6585" s="237"/>
    </row>
    <row r="6586" spans="1:9" s="232" customFormat="1" ht="17" customHeight="1">
      <c r="A6586" s="234"/>
      <c r="B6586" s="233"/>
      <c r="C6586" s="238"/>
      <c r="E6586" s="545"/>
      <c r="F6586" s="546"/>
      <c r="G6586" s="234"/>
      <c r="H6586" s="238"/>
      <c r="I6586" s="237"/>
    </row>
    <row r="6587" spans="1:9" s="232" customFormat="1" ht="17" customHeight="1">
      <c r="A6587" s="234"/>
      <c r="B6587" s="233"/>
      <c r="C6587" s="238"/>
      <c r="E6587" s="545"/>
      <c r="F6587" s="546"/>
      <c r="G6587" s="234"/>
      <c r="H6587" s="238"/>
      <c r="I6587" s="237"/>
    </row>
    <row r="6588" spans="1:9" s="232" customFormat="1" ht="17" customHeight="1">
      <c r="A6588" s="234"/>
      <c r="B6588" s="233"/>
      <c r="C6588" s="238"/>
      <c r="E6588" s="545"/>
      <c r="F6588" s="546"/>
      <c r="G6588" s="234"/>
      <c r="H6588" s="238"/>
      <c r="I6588" s="237"/>
    </row>
    <row r="6589" spans="1:9" s="232" customFormat="1" ht="17" customHeight="1">
      <c r="A6589" s="234"/>
      <c r="B6589" s="233"/>
      <c r="C6589" s="238"/>
      <c r="E6589" s="545"/>
      <c r="F6589" s="546"/>
      <c r="G6589" s="234"/>
      <c r="H6589" s="238"/>
      <c r="I6589" s="237"/>
    </row>
    <row r="6590" spans="1:9" s="232" customFormat="1" ht="17" customHeight="1">
      <c r="A6590" s="234"/>
      <c r="B6590" s="233"/>
      <c r="C6590" s="238"/>
      <c r="E6590" s="545"/>
      <c r="F6590" s="546"/>
      <c r="G6590" s="234"/>
      <c r="H6590" s="238"/>
      <c r="I6590" s="237"/>
    </row>
    <row r="6591" spans="1:9" s="232" customFormat="1" ht="17" customHeight="1">
      <c r="A6591" s="234"/>
      <c r="B6591" s="233"/>
      <c r="C6591" s="238"/>
      <c r="E6591" s="545"/>
      <c r="F6591" s="546"/>
      <c r="G6591" s="234"/>
      <c r="H6591" s="238"/>
      <c r="I6591" s="237"/>
    </row>
    <row r="6592" spans="1:9" s="232" customFormat="1" ht="17" customHeight="1">
      <c r="A6592" s="234"/>
      <c r="B6592" s="233"/>
      <c r="C6592" s="238"/>
      <c r="E6592" s="545"/>
      <c r="F6592" s="546"/>
      <c r="G6592" s="234"/>
      <c r="H6592" s="238"/>
      <c r="I6592" s="237"/>
    </row>
    <row r="6593" spans="1:9" s="232" customFormat="1" ht="17" customHeight="1">
      <c r="A6593" s="234"/>
      <c r="B6593" s="233"/>
      <c r="C6593" s="238"/>
      <c r="E6593" s="545"/>
      <c r="F6593" s="546"/>
      <c r="G6593" s="234"/>
      <c r="H6593" s="238"/>
      <c r="I6593" s="237"/>
    </row>
    <row r="6594" spans="1:9" s="232" customFormat="1" ht="17" customHeight="1">
      <c r="A6594" s="234"/>
      <c r="B6594" s="233"/>
      <c r="C6594" s="238"/>
      <c r="E6594" s="545"/>
      <c r="F6594" s="546"/>
      <c r="G6594" s="234"/>
      <c r="H6594" s="238"/>
      <c r="I6594" s="237"/>
    </row>
    <row r="6595" spans="1:9" s="232" customFormat="1" ht="17" customHeight="1">
      <c r="A6595" s="234"/>
      <c r="B6595" s="233"/>
      <c r="C6595" s="238"/>
      <c r="E6595" s="545"/>
      <c r="F6595" s="546"/>
      <c r="G6595" s="234"/>
      <c r="H6595" s="238"/>
      <c r="I6595" s="237"/>
    </row>
    <row r="6596" spans="1:9" s="232" customFormat="1" ht="17" customHeight="1">
      <c r="A6596" s="234"/>
      <c r="B6596" s="233"/>
      <c r="C6596" s="238"/>
      <c r="E6596" s="545"/>
      <c r="F6596" s="546"/>
      <c r="G6596" s="234"/>
      <c r="H6596" s="238"/>
      <c r="I6596" s="237"/>
    </row>
    <row r="6597" spans="1:9" s="232" customFormat="1" ht="17" customHeight="1">
      <c r="A6597" s="234"/>
      <c r="B6597" s="233"/>
      <c r="C6597" s="238"/>
      <c r="E6597" s="545"/>
      <c r="F6597" s="546"/>
      <c r="G6597" s="234"/>
      <c r="H6597" s="238"/>
      <c r="I6597" s="237"/>
    </row>
    <row r="6598" spans="1:9" s="232" customFormat="1" ht="17" customHeight="1">
      <c r="A6598" s="234"/>
      <c r="B6598" s="233"/>
      <c r="C6598" s="238"/>
      <c r="E6598" s="545"/>
      <c r="F6598" s="546"/>
      <c r="G6598" s="234"/>
      <c r="H6598" s="238"/>
      <c r="I6598" s="237"/>
    </row>
    <row r="6599" spans="1:9" s="232" customFormat="1" ht="17" customHeight="1">
      <c r="A6599" s="234"/>
      <c r="B6599" s="233"/>
      <c r="C6599" s="238"/>
      <c r="E6599" s="545"/>
      <c r="F6599" s="546"/>
      <c r="G6599" s="234"/>
      <c r="H6599" s="238"/>
      <c r="I6599" s="237"/>
    </row>
    <row r="6600" spans="1:9" s="232" customFormat="1" ht="17" customHeight="1">
      <c r="A6600" s="234"/>
      <c r="B6600" s="233"/>
      <c r="C6600" s="238"/>
      <c r="E6600" s="545"/>
      <c r="F6600" s="546"/>
      <c r="G6600" s="234"/>
      <c r="H6600" s="238"/>
      <c r="I6600" s="237"/>
    </row>
    <row r="6601" spans="1:9" s="232" customFormat="1" ht="17" customHeight="1">
      <c r="A6601" s="234"/>
      <c r="B6601" s="233"/>
      <c r="C6601" s="238"/>
      <c r="E6601" s="545"/>
      <c r="F6601" s="546"/>
      <c r="G6601" s="234"/>
      <c r="H6601" s="238"/>
      <c r="I6601" s="237"/>
    </row>
    <row r="6602" spans="1:9" s="232" customFormat="1" ht="17" customHeight="1">
      <c r="A6602" s="234"/>
      <c r="B6602" s="233"/>
      <c r="C6602" s="238"/>
      <c r="E6602" s="545"/>
      <c r="F6602" s="546"/>
      <c r="G6602" s="234"/>
      <c r="H6602" s="238"/>
      <c r="I6602" s="237"/>
    </row>
    <row r="6603" spans="1:9" s="232" customFormat="1" ht="17" customHeight="1">
      <c r="A6603" s="234"/>
      <c r="B6603" s="233"/>
      <c r="C6603" s="238"/>
      <c r="E6603" s="545"/>
      <c r="F6603" s="546"/>
      <c r="G6603" s="234"/>
      <c r="H6603" s="238"/>
      <c r="I6603" s="237"/>
    </row>
    <row r="6604" spans="1:9" s="232" customFormat="1" ht="17" customHeight="1">
      <c r="A6604" s="234"/>
      <c r="B6604" s="233"/>
      <c r="C6604" s="238"/>
      <c r="E6604" s="545"/>
      <c r="F6604" s="546"/>
      <c r="G6604" s="234"/>
      <c r="H6604" s="238"/>
      <c r="I6604" s="237"/>
    </row>
    <row r="6605" spans="1:9" s="232" customFormat="1" ht="17" customHeight="1">
      <c r="A6605" s="234"/>
      <c r="B6605" s="233"/>
      <c r="C6605" s="238"/>
      <c r="E6605" s="545"/>
      <c r="F6605" s="546"/>
      <c r="G6605" s="234"/>
      <c r="H6605" s="238"/>
      <c r="I6605" s="237"/>
    </row>
    <row r="6606" spans="1:9" s="232" customFormat="1" ht="17" customHeight="1">
      <c r="A6606" s="234"/>
      <c r="B6606" s="233"/>
      <c r="C6606" s="238"/>
      <c r="E6606" s="545"/>
      <c r="F6606" s="546"/>
      <c r="G6606" s="234"/>
      <c r="H6606" s="238"/>
      <c r="I6606" s="237"/>
    </row>
    <row r="6607" spans="1:9" s="232" customFormat="1" ht="17" customHeight="1">
      <c r="A6607" s="234"/>
      <c r="B6607" s="233"/>
      <c r="C6607" s="238"/>
      <c r="E6607" s="545"/>
      <c r="F6607" s="546"/>
      <c r="G6607" s="234"/>
      <c r="H6607" s="238"/>
      <c r="I6607" s="237"/>
    </row>
    <row r="6608" spans="1:9" s="232" customFormat="1" ht="17" customHeight="1">
      <c r="A6608" s="234"/>
      <c r="B6608" s="233"/>
      <c r="C6608" s="238"/>
      <c r="E6608" s="545"/>
      <c r="F6608" s="546"/>
      <c r="G6608" s="234"/>
      <c r="H6608" s="238"/>
      <c r="I6608" s="237"/>
    </row>
    <row r="6609" spans="1:9" s="232" customFormat="1" ht="17" customHeight="1">
      <c r="A6609" s="234"/>
      <c r="B6609" s="233"/>
      <c r="C6609" s="238"/>
      <c r="E6609" s="545"/>
      <c r="F6609" s="546"/>
      <c r="G6609" s="234"/>
      <c r="H6609" s="238"/>
      <c r="I6609" s="237"/>
    </row>
    <row r="6610" spans="1:9" s="232" customFormat="1" ht="17" customHeight="1">
      <c r="A6610" s="234"/>
      <c r="B6610" s="233"/>
      <c r="C6610" s="238"/>
      <c r="E6610" s="545"/>
      <c r="F6610" s="546"/>
      <c r="G6610" s="234"/>
      <c r="H6610" s="238"/>
      <c r="I6610" s="237"/>
    </row>
    <row r="6611" spans="1:9" s="232" customFormat="1" ht="17" customHeight="1">
      <c r="A6611" s="234"/>
      <c r="B6611" s="233"/>
      <c r="C6611" s="238"/>
      <c r="E6611" s="545"/>
      <c r="F6611" s="546"/>
      <c r="G6611" s="234"/>
      <c r="H6611" s="238"/>
      <c r="I6611" s="237"/>
    </row>
    <row r="6612" spans="1:9" s="232" customFormat="1" ht="17" customHeight="1">
      <c r="A6612" s="234"/>
      <c r="B6612" s="233"/>
      <c r="C6612" s="238"/>
      <c r="E6612" s="545"/>
      <c r="F6612" s="546"/>
      <c r="G6612" s="234"/>
      <c r="H6612" s="238"/>
      <c r="I6612" s="237"/>
    </row>
    <row r="6613" spans="1:9" s="232" customFormat="1" ht="17" customHeight="1">
      <c r="A6613" s="234"/>
      <c r="B6613" s="233"/>
      <c r="C6613" s="238"/>
      <c r="E6613" s="545"/>
      <c r="F6613" s="546"/>
      <c r="G6613" s="234"/>
      <c r="H6613" s="238"/>
      <c r="I6613" s="237"/>
    </row>
    <row r="6614" spans="1:9" s="232" customFormat="1" ht="17" customHeight="1">
      <c r="A6614" s="234"/>
      <c r="B6614" s="233"/>
      <c r="C6614" s="238"/>
      <c r="E6614" s="545"/>
      <c r="F6614" s="546"/>
      <c r="G6614" s="234"/>
      <c r="H6614" s="238"/>
      <c r="I6614" s="237"/>
    </row>
    <row r="6615" spans="1:9" s="232" customFormat="1" ht="17" customHeight="1">
      <c r="A6615" s="234"/>
      <c r="B6615" s="233"/>
      <c r="C6615" s="238"/>
      <c r="E6615" s="545"/>
      <c r="F6615" s="546"/>
      <c r="G6615" s="234"/>
      <c r="H6615" s="238"/>
      <c r="I6615" s="237"/>
    </row>
    <row r="6616" spans="1:9" s="232" customFormat="1" ht="17" customHeight="1">
      <c r="A6616" s="234"/>
      <c r="B6616" s="233"/>
      <c r="C6616" s="238"/>
      <c r="E6616" s="545"/>
      <c r="F6616" s="546"/>
      <c r="G6616" s="234"/>
      <c r="H6616" s="238"/>
      <c r="I6616" s="237"/>
    </row>
    <row r="6617" spans="1:9" s="232" customFormat="1" ht="17" customHeight="1">
      <c r="A6617" s="234"/>
      <c r="B6617" s="233"/>
      <c r="C6617" s="238"/>
      <c r="E6617" s="545"/>
      <c r="F6617" s="546"/>
      <c r="G6617" s="234"/>
      <c r="H6617" s="238"/>
      <c r="I6617" s="237"/>
    </row>
    <row r="6618" spans="1:9" s="232" customFormat="1" ht="17" customHeight="1">
      <c r="A6618" s="234"/>
      <c r="B6618" s="233"/>
      <c r="C6618" s="238"/>
      <c r="E6618" s="545"/>
      <c r="F6618" s="546"/>
      <c r="G6618" s="234"/>
      <c r="H6618" s="238"/>
      <c r="I6618" s="237"/>
    </row>
    <row r="6619" spans="1:9" s="232" customFormat="1" ht="17" customHeight="1">
      <c r="A6619" s="234"/>
      <c r="B6619" s="233"/>
      <c r="C6619" s="238"/>
      <c r="E6619" s="545"/>
      <c r="F6619" s="546"/>
      <c r="G6619" s="234"/>
      <c r="H6619" s="238"/>
      <c r="I6619" s="237"/>
    </row>
    <row r="6620" spans="1:9" s="232" customFormat="1" ht="17" customHeight="1">
      <c r="A6620" s="234"/>
      <c r="B6620" s="233"/>
      <c r="C6620" s="238"/>
      <c r="E6620" s="545"/>
      <c r="F6620" s="546"/>
      <c r="G6620" s="234"/>
      <c r="H6620" s="238"/>
      <c r="I6620" s="237"/>
    </row>
    <row r="6621" spans="1:9" s="232" customFormat="1" ht="17" customHeight="1">
      <c r="A6621" s="234"/>
      <c r="B6621" s="233"/>
      <c r="C6621" s="238"/>
      <c r="E6621" s="545"/>
      <c r="F6621" s="546"/>
      <c r="G6621" s="234"/>
      <c r="H6621" s="238"/>
      <c r="I6621" s="237"/>
    </row>
    <row r="6622" spans="1:9" s="232" customFormat="1" ht="17" customHeight="1">
      <c r="A6622" s="234"/>
      <c r="B6622" s="233"/>
      <c r="C6622" s="238"/>
      <c r="E6622" s="545"/>
      <c r="F6622" s="546"/>
      <c r="G6622" s="234"/>
      <c r="H6622" s="238"/>
      <c r="I6622" s="237"/>
    </row>
    <row r="6623" spans="1:9" s="232" customFormat="1" ht="17" customHeight="1">
      <c r="A6623" s="234"/>
      <c r="B6623" s="233"/>
      <c r="C6623" s="238"/>
      <c r="E6623" s="545"/>
      <c r="F6623" s="546"/>
      <c r="G6623" s="234"/>
      <c r="H6623" s="238"/>
      <c r="I6623" s="237"/>
    </row>
    <row r="6624" spans="1:9" s="232" customFormat="1" ht="17" customHeight="1">
      <c r="A6624" s="234"/>
      <c r="B6624" s="233"/>
      <c r="C6624" s="238"/>
      <c r="E6624" s="545"/>
      <c r="F6624" s="546"/>
      <c r="G6624" s="234"/>
      <c r="H6624" s="238"/>
      <c r="I6624" s="237"/>
    </row>
    <row r="6625" spans="1:9" s="232" customFormat="1" ht="17" customHeight="1">
      <c r="A6625" s="234"/>
      <c r="B6625" s="233"/>
      <c r="C6625" s="238"/>
      <c r="E6625" s="545"/>
      <c r="F6625" s="546"/>
      <c r="G6625" s="234"/>
      <c r="H6625" s="238"/>
      <c r="I6625" s="237"/>
    </row>
    <row r="6626" spans="1:9" s="232" customFormat="1" ht="17" customHeight="1">
      <c r="A6626" s="234"/>
      <c r="B6626" s="233"/>
      <c r="C6626" s="238"/>
      <c r="E6626" s="545"/>
      <c r="F6626" s="546"/>
      <c r="G6626" s="234"/>
      <c r="H6626" s="238"/>
      <c r="I6626" s="237"/>
    </row>
    <row r="6627" spans="1:9" s="232" customFormat="1" ht="17" customHeight="1">
      <c r="A6627" s="234"/>
      <c r="B6627" s="233"/>
      <c r="C6627" s="238"/>
      <c r="E6627" s="545"/>
      <c r="F6627" s="546"/>
      <c r="G6627" s="234"/>
      <c r="H6627" s="238"/>
      <c r="I6627" s="237"/>
    </row>
    <row r="6628" spans="1:9" s="232" customFormat="1" ht="17" customHeight="1">
      <c r="A6628" s="234"/>
      <c r="B6628" s="233"/>
      <c r="C6628" s="238"/>
      <c r="E6628" s="545"/>
      <c r="F6628" s="546"/>
      <c r="G6628" s="234"/>
      <c r="H6628" s="238"/>
      <c r="I6628" s="237"/>
    </row>
    <row r="6629" spans="1:9" s="232" customFormat="1" ht="17" customHeight="1">
      <c r="A6629" s="234"/>
      <c r="B6629" s="233"/>
      <c r="C6629" s="238"/>
      <c r="E6629" s="545"/>
      <c r="F6629" s="546"/>
      <c r="G6629" s="234"/>
      <c r="H6629" s="238"/>
      <c r="I6629" s="237"/>
    </row>
    <row r="6630" spans="1:9" s="232" customFormat="1" ht="17" customHeight="1">
      <c r="A6630" s="234"/>
      <c r="B6630" s="233"/>
      <c r="C6630" s="238"/>
      <c r="E6630" s="545"/>
      <c r="F6630" s="546"/>
      <c r="G6630" s="234"/>
      <c r="H6630" s="238"/>
      <c r="I6630" s="237"/>
    </row>
    <row r="6631" spans="1:9" s="232" customFormat="1" ht="17" customHeight="1">
      <c r="A6631" s="234"/>
      <c r="B6631" s="233"/>
      <c r="C6631" s="238"/>
      <c r="E6631" s="545"/>
      <c r="F6631" s="546"/>
      <c r="G6631" s="234"/>
      <c r="H6631" s="238"/>
      <c r="I6631" s="237"/>
    </row>
    <row r="6632" spans="1:9" s="232" customFormat="1" ht="17" customHeight="1">
      <c r="A6632" s="234"/>
      <c r="B6632" s="233"/>
      <c r="C6632" s="238"/>
      <c r="E6632" s="545"/>
      <c r="F6632" s="546"/>
      <c r="G6632" s="234"/>
      <c r="H6632" s="238"/>
      <c r="I6632" s="237"/>
    </row>
    <row r="6633" spans="1:9" s="232" customFormat="1" ht="17" customHeight="1">
      <c r="A6633" s="234"/>
      <c r="B6633" s="233"/>
      <c r="C6633" s="238"/>
      <c r="E6633" s="545"/>
      <c r="F6633" s="546"/>
      <c r="G6633" s="234"/>
      <c r="H6633" s="238"/>
      <c r="I6633" s="237"/>
    </row>
    <row r="6634" spans="1:9" s="232" customFormat="1" ht="17" customHeight="1">
      <c r="A6634" s="234"/>
      <c r="B6634" s="233"/>
      <c r="C6634" s="238"/>
      <c r="E6634" s="545"/>
      <c r="F6634" s="546"/>
      <c r="G6634" s="234"/>
      <c r="H6634" s="238"/>
      <c r="I6634" s="237"/>
    </row>
    <row r="6635" spans="1:9" s="232" customFormat="1" ht="17" customHeight="1">
      <c r="A6635" s="234"/>
      <c r="B6635" s="233"/>
      <c r="C6635" s="238"/>
      <c r="E6635" s="545"/>
      <c r="F6635" s="546"/>
      <c r="G6635" s="234"/>
      <c r="H6635" s="238"/>
      <c r="I6635" s="237"/>
    </row>
    <row r="6636" spans="1:9" s="232" customFormat="1" ht="17" customHeight="1">
      <c r="A6636" s="234"/>
      <c r="B6636" s="233"/>
      <c r="C6636" s="238"/>
      <c r="E6636" s="545"/>
      <c r="F6636" s="546"/>
      <c r="G6636" s="234"/>
      <c r="H6636" s="238"/>
      <c r="I6636" s="237"/>
    </row>
    <row r="6637" spans="1:9" s="232" customFormat="1" ht="17" customHeight="1">
      <c r="A6637" s="234"/>
      <c r="B6637" s="233"/>
      <c r="C6637" s="238"/>
      <c r="E6637" s="545"/>
      <c r="F6637" s="546"/>
      <c r="G6637" s="234"/>
      <c r="H6637" s="238"/>
      <c r="I6637" s="237"/>
    </row>
    <row r="6638" spans="1:9" s="232" customFormat="1" ht="17" customHeight="1">
      <c r="A6638" s="234"/>
      <c r="B6638" s="233"/>
      <c r="C6638" s="238"/>
      <c r="E6638" s="545"/>
      <c r="F6638" s="546"/>
      <c r="G6638" s="234"/>
      <c r="H6638" s="238"/>
      <c r="I6638" s="237"/>
    </row>
    <row r="6639" spans="1:9" s="232" customFormat="1" ht="17" customHeight="1">
      <c r="A6639" s="234"/>
      <c r="B6639" s="233"/>
      <c r="C6639" s="238"/>
      <c r="E6639" s="545"/>
      <c r="F6639" s="546"/>
      <c r="G6639" s="234"/>
      <c r="H6639" s="238"/>
      <c r="I6639" s="237"/>
    </row>
    <row r="6640" spans="1:9" s="232" customFormat="1" ht="17" customHeight="1">
      <c r="A6640" s="234"/>
      <c r="B6640" s="233"/>
      <c r="C6640" s="238"/>
      <c r="E6640" s="545"/>
      <c r="F6640" s="546"/>
      <c r="G6640" s="234"/>
      <c r="H6640" s="238"/>
      <c r="I6640" s="237"/>
    </row>
    <row r="6641" spans="1:9" s="232" customFormat="1" ht="17" customHeight="1">
      <c r="A6641" s="234"/>
      <c r="B6641" s="233"/>
      <c r="C6641" s="238"/>
      <c r="E6641" s="545"/>
      <c r="F6641" s="546"/>
      <c r="G6641" s="234"/>
      <c r="H6641" s="238"/>
      <c r="I6641" s="237"/>
    </row>
    <row r="6642" spans="1:9" s="232" customFormat="1" ht="17" customHeight="1">
      <c r="A6642" s="234"/>
      <c r="B6642" s="233"/>
      <c r="C6642" s="238"/>
      <c r="E6642" s="545"/>
      <c r="F6642" s="546"/>
      <c r="G6642" s="234"/>
      <c r="H6642" s="238"/>
      <c r="I6642" s="237"/>
    </row>
    <row r="6643" spans="1:9" s="232" customFormat="1" ht="17" customHeight="1">
      <c r="A6643" s="234"/>
      <c r="B6643" s="233"/>
      <c r="C6643" s="238"/>
      <c r="E6643" s="545"/>
      <c r="F6643" s="546"/>
      <c r="G6643" s="234"/>
      <c r="H6643" s="238"/>
      <c r="I6643" s="237"/>
    </row>
    <row r="6644" spans="1:9" s="232" customFormat="1" ht="17" customHeight="1">
      <c r="A6644" s="234"/>
      <c r="B6644" s="233"/>
      <c r="C6644" s="238"/>
      <c r="E6644" s="545"/>
      <c r="F6644" s="546"/>
      <c r="G6644" s="234"/>
      <c r="H6644" s="238"/>
      <c r="I6644" s="237"/>
    </row>
    <row r="6645" spans="1:9" s="232" customFormat="1" ht="17" customHeight="1">
      <c r="A6645" s="234"/>
      <c r="B6645" s="233"/>
      <c r="C6645" s="238"/>
      <c r="E6645" s="545"/>
      <c r="F6645" s="546"/>
      <c r="G6645" s="234"/>
      <c r="H6645" s="238"/>
      <c r="I6645" s="237"/>
    </row>
    <row r="6646" spans="1:9" s="232" customFormat="1" ht="17" customHeight="1">
      <c r="A6646" s="234"/>
      <c r="B6646" s="233"/>
      <c r="C6646" s="238"/>
      <c r="E6646" s="545"/>
      <c r="F6646" s="546"/>
      <c r="G6646" s="234"/>
      <c r="H6646" s="238"/>
      <c r="I6646" s="237"/>
    </row>
    <row r="6647" spans="1:9" s="232" customFormat="1" ht="17" customHeight="1">
      <c r="A6647" s="234"/>
      <c r="B6647" s="233"/>
      <c r="C6647" s="238"/>
      <c r="E6647" s="545"/>
      <c r="F6647" s="546"/>
      <c r="G6647" s="234"/>
      <c r="H6647" s="238"/>
      <c r="I6647" s="237"/>
    </row>
    <row r="6648" spans="1:9" s="232" customFormat="1" ht="17" customHeight="1">
      <c r="A6648" s="234"/>
      <c r="B6648" s="233"/>
      <c r="C6648" s="238"/>
      <c r="E6648" s="545"/>
      <c r="F6648" s="546"/>
      <c r="G6648" s="234"/>
      <c r="H6648" s="238"/>
      <c r="I6648" s="237"/>
    </row>
    <row r="6649" spans="1:9" s="232" customFormat="1" ht="17" customHeight="1">
      <c r="A6649" s="234"/>
      <c r="B6649" s="233"/>
      <c r="C6649" s="238"/>
      <c r="E6649" s="545"/>
      <c r="F6649" s="546"/>
      <c r="G6649" s="234"/>
      <c r="H6649" s="238"/>
      <c r="I6649" s="237"/>
    </row>
    <row r="6650" spans="1:9" s="232" customFormat="1" ht="17" customHeight="1">
      <c r="A6650" s="234"/>
      <c r="B6650" s="233"/>
      <c r="C6650" s="238"/>
      <c r="E6650" s="545"/>
      <c r="F6650" s="546"/>
      <c r="G6650" s="234"/>
      <c r="H6650" s="238"/>
      <c r="I6650" s="237"/>
    </row>
    <row r="6651" spans="1:9" s="232" customFormat="1" ht="17" customHeight="1">
      <c r="A6651" s="234"/>
      <c r="B6651" s="233"/>
      <c r="C6651" s="238"/>
      <c r="E6651" s="545"/>
      <c r="F6651" s="546"/>
      <c r="G6651" s="234"/>
      <c r="H6651" s="238"/>
      <c r="I6651" s="237"/>
    </row>
    <row r="6652" spans="1:9" s="232" customFormat="1" ht="17" customHeight="1">
      <c r="A6652" s="234"/>
      <c r="B6652" s="233"/>
      <c r="C6652" s="238"/>
      <c r="E6652" s="545"/>
      <c r="F6652" s="546"/>
      <c r="G6652" s="234"/>
      <c r="H6652" s="238"/>
      <c r="I6652" s="237"/>
    </row>
    <row r="6653" spans="1:9" s="232" customFormat="1" ht="17" customHeight="1">
      <c r="A6653" s="234"/>
      <c r="B6653" s="233"/>
      <c r="C6653" s="238"/>
      <c r="E6653" s="545"/>
      <c r="F6653" s="546"/>
      <c r="G6653" s="234"/>
      <c r="H6653" s="238"/>
      <c r="I6653" s="237"/>
    </row>
    <row r="6654" spans="1:9" s="232" customFormat="1" ht="17" customHeight="1">
      <c r="A6654" s="234"/>
      <c r="B6654" s="233"/>
      <c r="C6654" s="238"/>
      <c r="E6654" s="545"/>
      <c r="F6654" s="546"/>
      <c r="G6654" s="234"/>
      <c r="H6654" s="238"/>
      <c r="I6654" s="237"/>
    </row>
    <row r="6655" spans="1:9" s="232" customFormat="1" ht="17" customHeight="1">
      <c r="A6655" s="234"/>
      <c r="B6655" s="233"/>
      <c r="C6655" s="238"/>
      <c r="E6655" s="545"/>
      <c r="F6655" s="546"/>
      <c r="G6655" s="234"/>
      <c r="H6655" s="238"/>
      <c r="I6655" s="237"/>
    </row>
    <row r="6656" spans="1:9" s="232" customFormat="1" ht="17" customHeight="1">
      <c r="A6656" s="234"/>
      <c r="B6656" s="233"/>
      <c r="C6656" s="238"/>
      <c r="E6656" s="545"/>
      <c r="F6656" s="546"/>
      <c r="G6656" s="234"/>
      <c r="H6656" s="238"/>
      <c r="I6656" s="237"/>
    </row>
    <row r="6657" spans="1:9" s="232" customFormat="1" ht="17" customHeight="1">
      <c r="A6657" s="234"/>
      <c r="B6657" s="233"/>
      <c r="C6657" s="238"/>
      <c r="E6657" s="545"/>
      <c r="F6657" s="546"/>
      <c r="G6657" s="234"/>
      <c r="H6657" s="238"/>
      <c r="I6657" s="237"/>
    </row>
    <row r="6658" spans="1:9" s="232" customFormat="1" ht="17" customHeight="1">
      <c r="A6658" s="234"/>
      <c r="B6658" s="233"/>
      <c r="C6658" s="238"/>
      <c r="E6658" s="545"/>
      <c r="F6658" s="546"/>
      <c r="G6658" s="234"/>
      <c r="H6658" s="238"/>
      <c r="I6658" s="237"/>
    </row>
    <row r="6659" spans="1:9" s="232" customFormat="1" ht="17" customHeight="1">
      <c r="A6659" s="234"/>
      <c r="B6659" s="233"/>
      <c r="C6659" s="238"/>
      <c r="E6659" s="545"/>
      <c r="F6659" s="546"/>
      <c r="G6659" s="234"/>
      <c r="H6659" s="238"/>
      <c r="I6659" s="237"/>
    </row>
    <row r="6660" spans="1:9" s="232" customFormat="1" ht="17" customHeight="1">
      <c r="A6660" s="234"/>
      <c r="B6660" s="233"/>
      <c r="C6660" s="238"/>
      <c r="E6660" s="545"/>
      <c r="F6660" s="546"/>
      <c r="G6660" s="234"/>
      <c r="H6660" s="238"/>
      <c r="I6660" s="237"/>
    </row>
    <row r="6661" spans="1:9" s="232" customFormat="1" ht="17" customHeight="1">
      <c r="A6661" s="234"/>
      <c r="B6661" s="233"/>
      <c r="C6661" s="238"/>
      <c r="E6661" s="545"/>
      <c r="F6661" s="546"/>
      <c r="G6661" s="234"/>
      <c r="H6661" s="238"/>
      <c r="I6661" s="237"/>
    </row>
    <row r="6662" spans="1:9" s="232" customFormat="1" ht="17" customHeight="1">
      <c r="A6662" s="234"/>
      <c r="B6662" s="233"/>
      <c r="C6662" s="238"/>
      <c r="E6662" s="545"/>
      <c r="F6662" s="546"/>
      <c r="G6662" s="234"/>
      <c r="H6662" s="238"/>
      <c r="I6662" s="237"/>
    </row>
    <row r="6663" spans="1:9" s="232" customFormat="1" ht="17" customHeight="1">
      <c r="A6663" s="234"/>
      <c r="B6663" s="233"/>
      <c r="C6663" s="238"/>
      <c r="E6663" s="545"/>
      <c r="F6663" s="546"/>
      <c r="G6663" s="234"/>
      <c r="H6663" s="238"/>
      <c r="I6663" s="237"/>
    </row>
    <row r="6664" spans="1:9" s="232" customFormat="1" ht="17" customHeight="1">
      <c r="A6664" s="234"/>
      <c r="B6664" s="233"/>
      <c r="C6664" s="238"/>
      <c r="E6664" s="545"/>
      <c r="F6664" s="546"/>
      <c r="G6664" s="234"/>
      <c r="H6664" s="238"/>
      <c r="I6664" s="237"/>
    </row>
    <row r="6665" spans="1:9" s="232" customFormat="1" ht="17" customHeight="1">
      <c r="A6665" s="234"/>
      <c r="B6665" s="233"/>
      <c r="C6665" s="238"/>
      <c r="E6665" s="545"/>
      <c r="F6665" s="546"/>
      <c r="G6665" s="234"/>
      <c r="H6665" s="238"/>
      <c r="I6665" s="237"/>
    </row>
    <row r="6666" spans="1:9" s="232" customFormat="1" ht="17" customHeight="1">
      <c r="A6666" s="234"/>
      <c r="B6666" s="233"/>
      <c r="C6666" s="238"/>
      <c r="E6666" s="545"/>
      <c r="F6666" s="546"/>
      <c r="G6666" s="234"/>
      <c r="H6666" s="238"/>
      <c r="I6666" s="237"/>
    </row>
    <row r="6667" spans="1:9" s="232" customFormat="1" ht="17" customHeight="1">
      <c r="A6667" s="234"/>
      <c r="B6667" s="233"/>
      <c r="C6667" s="238"/>
      <c r="E6667" s="545"/>
      <c r="F6667" s="546"/>
      <c r="G6667" s="234"/>
      <c r="H6667" s="238"/>
      <c r="I6667" s="237"/>
    </row>
    <row r="6668" spans="1:9" s="232" customFormat="1" ht="17" customHeight="1">
      <c r="A6668" s="234"/>
      <c r="B6668" s="233"/>
      <c r="C6668" s="238"/>
      <c r="E6668" s="545"/>
      <c r="F6668" s="546"/>
      <c r="G6668" s="234"/>
      <c r="H6668" s="238"/>
      <c r="I6668" s="237"/>
    </row>
    <row r="6669" spans="1:9" s="232" customFormat="1" ht="17" customHeight="1">
      <c r="A6669" s="234"/>
      <c r="B6669" s="233"/>
      <c r="C6669" s="238"/>
      <c r="E6669" s="545"/>
      <c r="F6669" s="546"/>
      <c r="G6669" s="234"/>
      <c r="H6669" s="238"/>
      <c r="I6669" s="237"/>
    </row>
    <row r="6670" spans="1:9" s="232" customFormat="1" ht="17" customHeight="1">
      <c r="A6670" s="234"/>
      <c r="B6670" s="233"/>
      <c r="C6670" s="238"/>
      <c r="E6670" s="545"/>
      <c r="F6670" s="546"/>
      <c r="G6670" s="234"/>
      <c r="H6670" s="238"/>
      <c r="I6670" s="237"/>
    </row>
    <row r="6671" spans="1:9" s="232" customFormat="1" ht="17" customHeight="1">
      <c r="A6671" s="234"/>
      <c r="B6671" s="233"/>
      <c r="C6671" s="238"/>
      <c r="E6671" s="545"/>
      <c r="F6671" s="546"/>
      <c r="G6671" s="234"/>
      <c r="H6671" s="238"/>
      <c r="I6671" s="237"/>
    </row>
    <row r="6672" spans="1:9" s="232" customFormat="1" ht="17" customHeight="1">
      <c r="A6672" s="234"/>
      <c r="B6672" s="233"/>
      <c r="C6672" s="238"/>
      <c r="E6672" s="545"/>
      <c r="F6672" s="546"/>
      <c r="G6672" s="234"/>
      <c r="H6672" s="238"/>
      <c r="I6672" s="237"/>
    </row>
    <row r="6673" spans="1:9" s="232" customFormat="1" ht="17" customHeight="1">
      <c r="A6673" s="234"/>
      <c r="B6673" s="233"/>
      <c r="C6673" s="238"/>
      <c r="E6673" s="545"/>
      <c r="F6673" s="546"/>
      <c r="G6673" s="234"/>
      <c r="H6673" s="238"/>
      <c r="I6673" s="237"/>
    </row>
    <row r="6674" spans="1:9" s="232" customFormat="1" ht="17" customHeight="1">
      <c r="A6674" s="234"/>
      <c r="B6674" s="233"/>
      <c r="C6674" s="238"/>
      <c r="E6674" s="545"/>
      <c r="F6674" s="546"/>
      <c r="G6674" s="234"/>
      <c r="H6674" s="238"/>
      <c r="I6674" s="237"/>
    </row>
    <row r="6675" spans="1:9" s="232" customFormat="1" ht="17" customHeight="1">
      <c r="A6675" s="234"/>
      <c r="B6675" s="233"/>
      <c r="C6675" s="238"/>
      <c r="E6675" s="545"/>
      <c r="F6675" s="546"/>
      <c r="G6675" s="234"/>
      <c r="H6675" s="238"/>
      <c r="I6675" s="237"/>
    </row>
    <row r="6676" spans="1:9" s="232" customFormat="1" ht="17" customHeight="1">
      <c r="A6676" s="234"/>
      <c r="B6676" s="233"/>
      <c r="C6676" s="238"/>
      <c r="E6676" s="545"/>
      <c r="F6676" s="546"/>
      <c r="G6676" s="234"/>
      <c r="H6676" s="238"/>
      <c r="I6676" s="237"/>
    </row>
    <row r="6677" spans="1:9" s="232" customFormat="1" ht="17" customHeight="1">
      <c r="A6677" s="234"/>
      <c r="B6677" s="233"/>
      <c r="C6677" s="238"/>
      <c r="E6677" s="545"/>
      <c r="F6677" s="546"/>
      <c r="G6677" s="234"/>
      <c r="H6677" s="238"/>
      <c r="I6677" s="237"/>
    </row>
    <row r="6678" spans="1:9" s="232" customFormat="1" ht="17" customHeight="1">
      <c r="A6678" s="234"/>
      <c r="B6678" s="233"/>
      <c r="C6678" s="238"/>
      <c r="E6678" s="545"/>
      <c r="F6678" s="546"/>
      <c r="G6678" s="234"/>
      <c r="H6678" s="238"/>
      <c r="I6678" s="237"/>
    </row>
    <row r="6679" spans="1:9" s="232" customFormat="1" ht="17" customHeight="1">
      <c r="A6679" s="234"/>
      <c r="B6679" s="233"/>
      <c r="C6679" s="238"/>
      <c r="E6679" s="545"/>
      <c r="F6679" s="546"/>
      <c r="G6679" s="234"/>
      <c r="H6679" s="238"/>
      <c r="I6679" s="237"/>
    </row>
    <row r="6680" spans="1:9" s="232" customFormat="1" ht="17" customHeight="1">
      <c r="A6680" s="234"/>
      <c r="B6680" s="233"/>
      <c r="C6680" s="238"/>
      <c r="E6680" s="545"/>
      <c r="F6680" s="546"/>
      <c r="G6680" s="234"/>
      <c r="H6680" s="238"/>
      <c r="I6680" s="237"/>
    </row>
    <row r="6681" spans="1:9" s="232" customFormat="1" ht="17" customHeight="1">
      <c r="A6681" s="234"/>
      <c r="B6681" s="233"/>
      <c r="C6681" s="238"/>
      <c r="E6681" s="545"/>
      <c r="F6681" s="546"/>
      <c r="G6681" s="234"/>
      <c r="H6681" s="238"/>
      <c r="I6681" s="237"/>
    </row>
    <row r="6682" spans="1:9" s="232" customFormat="1" ht="17" customHeight="1">
      <c r="A6682" s="234"/>
      <c r="B6682" s="233"/>
      <c r="C6682" s="238"/>
      <c r="E6682" s="545"/>
      <c r="F6682" s="546"/>
      <c r="G6682" s="234"/>
      <c r="H6682" s="238"/>
      <c r="I6682" s="237"/>
    </row>
    <row r="6683" spans="1:9" s="232" customFormat="1" ht="17" customHeight="1">
      <c r="A6683" s="234"/>
      <c r="B6683" s="233"/>
      <c r="C6683" s="238"/>
      <c r="E6683" s="545"/>
      <c r="F6683" s="546"/>
      <c r="G6683" s="234"/>
      <c r="H6683" s="238"/>
      <c r="I6683" s="237"/>
    </row>
    <row r="6684" spans="1:9" s="232" customFormat="1" ht="17" customHeight="1">
      <c r="A6684" s="234"/>
      <c r="B6684" s="233"/>
      <c r="C6684" s="238"/>
      <c r="E6684" s="545"/>
      <c r="F6684" s="546"/>
      <c r="G6684" s="234"/>
      <c r="H6684" s="238"/>
      <c r="I6684" s="237"/>
    </row>
    <row r="6685" spans="1:9" s="232" customFormat="1" ht="17" customHeight="1">
      <c r="A6685" s="234"/>
      <c r="B6685" s="233"/>
      <c r="C6685" s="238"/>
      <c r="E6685" s="545"/>
      <c r="F6685" s="546"/>
      <c r="G6685" s="234"/>
      <c r="H6685" s="238"/>
      <c r="I6685" s="237"/>
    </row>
    <row r="6686" spans="1:9" s="232" customFormat="1" ht="17" customHeight="1">
      <c r="A6686" s="234"/>
      <c r="B6686" s="233"/>
      <c r="C6686" s="238"/>
      <c r="E6686" s="545"/>
      <c r="F6686" s="546"/>
      <c r="G6686" s="234"/>
      <c r="H6686" s="238"/>
      <c r="I6686" s="237"/>
    </row>
    <row r="6687" spans="1:9" s="232" customFormat="1" ht="17" customHeight="1">
      <c r="A6687" s="234"/>
      <c r="B6687" s="233"/>
      <c r="C6687" s="238"/>
      <c r="E6687" s="545"/>
      <c r="F6687" s="546"/>
      <c r="G6687" s="234"/>
      <c r="H6687" s="238"/>
      <c r="I6687" s="237"/>
    </row>
    <row r="6688" spans="1:9" s="232" customFormat="1" ht="17" customHeight="1">
      <c r="A6688" s="234"/>
      <c r="B6688" s="233"/>
      <c r="C6688" s="238"/>
      <c r="E6688" s="545"/>
      <c r="F6688" s="546"/>
      <c r="G6688" s="234"/>
      <c r="H6688" s="238"/>
      <c r="I6688" s="237"/>
    </row>
    <row r="6689" spans="1:9" s="232" customFormat="1" ht="17" customHeight="1">
      <c r="A6689" s="234"/>
      <c r="B6689" s="233"/>
      <c r="C6689" s="238"/>
      <c r="E6689" s="545"/>
      <c r="F6689" s="546"/>
      <c r="G6689" s="234"/>
      <c r="H6689" s="238"/>
      <c r="I6689" s="237"/>
    </row>
    <row r="6690" spans="1:9" s="232" customFormat="1" ht="17" customHeight="1">
      <c r="A6690" s="234"/>
      <c r="B6690" s="233"/>
      <c r="C6690" s="238"/>
      <c r="E6690" s="545"/>
      <c r="F6690" s="546"/>
      <c r="G6690" s="234"/>
      <c r="H6690" s="238"/>
      <c r="I6690" s="237"/>
    </row>
    <row r="6691" spans="1:9" s="232" customFormat="1" ht="17" customHeight="1">
      <c r="A6691" s="234"/>
      <c r="B6691" s="233"/>
      <c r="C6691" s="238"/>
      <c r="E6691" s="545"/>
      <c r="F6691" s="546"/>
      <c r="G6691" s="234"/>
      <c r="H6691" s="238"/>
      <c r="I6691" s="237"/>
    </row>
    <row r="6692" spans="1:9" s="232" customFormat="1" ht="17" customHeight="1">
      <c r="A6692" s="234"/>
      <c r="B6692" s="233"/>
      <c r="C6692" s="238"/>
      <c r="E6692" s="545"/>
      <c r="F6692" s="546"/>
      <c r="G6692" s="234"/>
      <c r="H6692" s="238"/>
      <c r="I6692" s="237"/>
    </row>
    <row r="6693" spans="1:9" s="232" customFormat="1" ht="17" customHeight="1">
      <c r="A6693" s="234"/>
      <c r="B6693" s="233"/>
      <c r="C6693" s="238"/>
      <c r="E6693" s="545"/>
      <c r="F6693" s="546"/>
      <c r="G6693" s="234"/>
      <c r="H6693" s="238"/>
      <c r="I6693" s="237"/>
    </row>
    <row r="6694" spans="1:9" s="232" customFormat="1" ht="17" customHeight="1">
      <c r="A6694" s="234"/>
      <c r="B6694" s="233"/>
      <c r="C6694" s="238"/>
      <c r="E6694" s="545"/>
      <c r="F6694" s="546"/>
      <c r="G6694" s="234"/>
      <c r="H6694" s="238"/>
      <c r="I6694" s="237"/>
    </row>
    <row r="6695" spans="1:9" s="232" customFormat="1" ht="17" customHeight="1">
      <c r="A6695" s="234"/>
      <c r="B6695" s="233"/>
      <c r="C6695" s="238"/>
      <c r="E6695" s="545"/>
      <c r="F6695" s="546"/>
      <c r="G6695" s="234"/>
      <c r="H6695" s="238"/>
      <c r="I6695" s="237"/>
    </row>
    <row r="6696" spans="1:9" s="232" customFormat="1" ht="17" customHeight="1">
      <c r="A6696" s="234"/>
      <c r="B6696" s="233"/>
      <c r="C6696" s="238"/>
      <c r="E6696" s="545"/>
      <c r="F6696" s="546"/>
      <c r="G6696" s="234"/>
      <c r="H6696" s="238"/>
      <c r="I6696" s="237"/>
    </row>
    <row r="6697" spans="1:9" s="232" customFormat="1" ht="17" customHeight="1">
      <c r="A6697" s="234"/>
      <c r="B6697" s="233"/>
      <c r="C6697" s="238"/>
      <c r="E6697" s="545"/>
      <c r="F6697" s="546"/>
      <c r="G6697" s="234"/>
      <c r="H6697" s="238"/>
      <c r="I6697" s="237"/>
    </row>
    <row r="6698" spans="1:9" s="232" customFormat="1" ht="17" customHeight="1">
      <c r="A6698" s="234"/>
      <c r="B6698" s="233"/>
      <c r="C6698" s="238"/>
      <c r="E6698" s="545"/>
      <c r="F6698" s="546"/>
      <c r="G6698" s="234"/>
      <c r="H6698" s="238"/>
      <c r="I6698" s="237"/>
    </row>
    <row r="6699" spans="1:9" s="232" customFormat="1" ht="17" customHeight="1">
      <c r="A6699" s="234"/>
      <c r="B6699" s="233"/>
      <c r="C6699" s="238"/>
      <c r="E6699" s="545"/>
      <c r="F6699" s="546"/>
      <c r="G6699" s="234"/>
      <c r="H6699" s="238"/>
      <c r="I6699" s="237"/>
    </row>
    <row r="6700" spans="1:9" s="232" customFormat="1" ht="17" customHeight="1">
      <c r="A6700" s="234"/>
      <c r="B6700" s="233"/>
      <c r="C6700" s="238"/>
      <c r="E6700" s="545"/>
      <c r="F6700" s="546"/>
      <c r="G6700" s="234"/>
      <c r="H6700" s="238"/>
      <c r="I6700" s="237"/>
    </row>
    <row r="6701" spans="1:9" s="232" customFormat="1" ht="17" customHeight="1">
      <c r="A6701" s="234"/>
      <c r="B6701" s="233"/>
      <c r="C6701" s="238"/>
      <c r="E6701" s="545"/>
      <c r="F6701" s="546"/>
      <c r="G6701" s="234"/>
      <c r="H6701" s="238"/>
      <c r="I6701" s="237"/>
    </row>
    <row r="6702" spans="1:9" s="232" customFormat="1" ht="17" customHeight="1">
      <c r="A6702" s="234"/>
      <c r="B6702" s="233"/>
      <c r="C6702" s="238"/>
      <c r="E6702" s="545"/>
      <c r="F6702" s="546"/>
      <c r="G6702" s="234"/>
      <c r="H6702" s="238"/>
      <c r="I6702" s="237"/>
    </row>
    <row r="6703" spans="1:9" s="232" customFormat="1" ht="17" customHeight="1">
      <c r="A6703" s="234"/>
      <c r="B6703" s="233"/>
      <c r="C6703" s="238"/>
      <c r="E6703" s="545"/>
      <c r="F6703" s="546"/>
      <c r="G6703" s="234"/>
      <c r="H6703" s="238"/>
      <c r="I6703" s="237"/>
    </row>
    <row r="6704" spans="1:9" s="232" customFormat="1" ht="17" customHeight="1">
      <c r="A6704" s="234"/>
      <c r="B6704" s="233"/>
      <c r="C6704" s="238"/>
      <c r="E6704" s="545"/>
      <c r="F6704" s="546"/>
      <c r="G6704" s="234"/>
      <c r="H6704" s="238"/>
      <c r="I6704" s="237"/>
    </row>
    <row r="6705" spans="1:9" s="232" customFormat="1" ht="17" customHeight="1">
      <c r="A6705" s="234"/>
      <c r="B6705" s="233"/>
      <c r="C6705" s="238"/>
      <c r="E6705" s="545"/>
      <c r="F6705" s="546"/>
      <c r="G6705" s="234"/>
      <c r="H6705" s="238"/>
      <c r="I6705" s="237"/>
    </row>
    <row r="6706" spans="1:9" s="232" customFormat="1" ht="17" customHeight="1">
      <c r="A6706" s="234"/>
      <c r="B6706" s="233"/>
      <c r="C6706" s="238"/>
      <c r="E6706" s="545"/>
      <c r="F6706" s="546"/>
      <c r="G6706" s="234"/>
      <c r="H6706" s="238"/>
      <c r="I6706" s="237"/>
    </row>
    <row r="6707" spans="1:9" s="232" customFormat="1" ht="17" customHeight="1">
      <c r="A6707" s="234"/>
      <c r="B6707" s="233"/>
      <c r="C6707" s="238"/>
      <c r="E6707" s="545"/>
      <c r="F6707" s="546"/>
      <c r="G6707" s="234"/>
      <c r="H6707" s="238"/>
      <c r="I6707" s="237"/>
    </row>
    <row r="6708" spans="1:9" s="232" customFormat="1" ht="17" customHeight="1">
      <c r="A6708" s="234"/>
      <c r="B6708" s="233"/>
      <c r="C6708" s="238"/>
      <c r="E6708" s="545"/>
      <c r="F6708" s="546"/>
      <c r="G6708" s="234"/>
      <c r="H6708" s="238"/>
      <c r="I6708" s="237"/>
    </row>
    <row r="6709" spans="1:9" s="232" customFormat="1" ht="17" customHeight="1">
      <c r="A6709" s="234"/>
      <c r="B6709" s="233"/>
      <c r="C6709" s="238"/>
      <c r="E6709" s="545"/>
      <c r="F6709" s="546"/>
      <c r="G6709" s="234"/>
      <c r="H6709" s="238"/>
      <c r="I6709" s="237"/>
    </row>
    <row r="6710" spans="1:9" s="232" customFormat="1" ht="17" customHeight="1">
      <c r="A6710" s="234"/>
      <c r="B6710" s="233"/>
      <c r="C6710" s="238"/>
      <c r="E6710" s="545"/>
      <c r="F6710" s="546"/>
      <c r="G6710" s="234"/>
      <c r="H6710" s="238"/>
      <c r="I6710" s="237"/>
    </row>
    <row r="6711" spans="1:9" s="232" customFormat="1" ht="17" customHeight="1">
      <c r="A6711" s="234"/>
      <c r="B6711" s="233"/>
      <c r="C6711" s="238"/>
      <c r="E6711" s="545"/>
      <c r="F6711" s="546"/>
      <c r="G6711" s="234"/>
      <c r="H6711" s="238"/>
      <c r="I6711" s="237"/>
    </row>
    <row r="6712" spans="1:9" s="232" customFormat="1" ht="17" customHeight="1">
      <c r="A6712" s="234"/>
      <c r="B6712" s="233"/>
      <c r="C6712" s="238"/>
      <c r="E6712" s="545"/>
      <c r="F6712" s="546"/>
      <c r="G6712" s="234"/>
      <c r="H6712" s="238"/>
      <c r="I6712" s="237"/>
    </row>
    <row r="6713" spans="1:9" s="232" customFormat="1" ht="17" customHeight="1">
      <c r="A6713" s="234"/>
      <c r="B6713" s="233"/>
      <c r="C6713" s="238"/>
      <c r="E6713" s="545"/>
      <c r="F6713" s="546"/>
      <c r="G6713" s="234"/>
      <c r="H6713" s="238"/>
      <c r="I6713" s="237"/>
    </row>
    <row r="6714" spans="1:9" s="232" customFormat="1" ht="17" customHeight="1">
      <c r="A6714" s="234"/>
      <c r="B6714" s="233"/>
      <c r="C6714" s="238"/>
      <c r="E6714" s="545"/>
      <c r="F6714" s="546"/>
      <c r="G6714" s="234"/>
      <c r="H6714" s="238"/>
      <c r="I6714" s="237"/>
    </row>
    <row r="6715" spans="1:9" s="232" customFormat="1" ht="17" customHeight="1">
      <c r="A6715" s="234"/>
      <c r="B6715" s="233"/>
      <c r="C6715" s="238"/>
      <c r="E6715" s="545"/>
      <c r="F6715" s="546"/>
      <c r="G6715" s="234"/>
      <c r="H6715" s="238"/>
      <c r="I6715" s="237"/>
    </row>
    <row r="6716" spans="1:9" s="232" customFormat="1" ht="17" customHeight="1">
      <c r="A6716" s="234"/>
      <c r="B6716" s="233"/>
      <c r="C6716" s="238"/>
      <c r="E6716" s="545"/>
      <c r="F6716" s="546"/>
      <c r="G6716" s="234"/>
      <c r="H6716" s="238"/>
      <c r="I6716" s="237"/>
    </row>
    <row r="6717" spans="1:9" s="232" customFormat="1" ht="17" customHeight="1">
      <c r="A6717" s="234"/>
      <c r="B6717" s="233"/>
      <c r="C6717" s="238"/>
      <c r="E6717" s="545"/>
      <c r="F6717" s="546"/>
      <c r="G6717" s="234"/>
      <c r="H6717" s="238"/>
      <c r="I6717" s="237"/>
    </row>
    <row r="6718" spans="1:9" s="232" customFormat="1" ht="17" customHeight="1">
      <c r="A6718" s="234"/>
      <c r="B6718" s="233"/>
      <c r="C6718" s="238"/>
      <c r="E6718" s="545"/>
      <c r="F6718" s="546"/>
      <c r="G6718" s="234"/>
      <c r="H6718" s="238"/>
      <c r="I6718" s="237"/>
    </row>
    <row r="6719" spans="1:9" s="232" customFormat="1" ht="17" customHeight="1">
      <c r="A6719" s="234"/>
      <c r="B6719" s="233"/>
      <c r="C6719" s="238"/>
      <c r="E6719" s="545"/>
      <c r="F6719" s="546"/>
      <c r="G6719" s="234"/>
      <c r="H6719" s="238"/>
      <c r="I6719" s="237"/>
    </row>
    <row r="6720" spans="1:9" s="232" customFormat="1" ht="17" customHeight="1">
      <c r="A6720" s="234"/>
      <c r="B6720" s="233"/>
      <c r="C6720" s="238"/>
      <c r="E6720" s="545"/>
      <c r="F6720" s="546"/>
      <c r="G6720" s="234"/>
      <c r="H6720" s="238"/>
      <c r="I6720" s="237"/>
    </row>
    <row r="6721" spans="1:9" s="232" customFormat="1" ht="17" customHeight="1">
      <c r="A6721" s="234"/>
      <c r="B6721" s="233"/>
      <c r="C6721" s="238"/>
      <c r="E6721" s="545"/>
      <c r="F6721" s="546"/>
      <c r="G6721" s="234"/>
      <c r="H6721" s="238"/>
      <c r="I6721" s="237"/>
    </row>
    <row r="6722" spans="1:9" s="232" customFormat="1" ht="17" customHeight="1">
      <c r="A6722" s="234"/>
      <c r="B6722" s="233"/>
      <c r="C6722" s="238"/>
      <c r="E6722" s="545"/>
      <c r="F6722" s="546"/>
      <c r="G6722" s="234"/>
      <c r="H6722" s="238"/>
      <c r="I6722" s="237"/>
    </row>
    <row r="6723" spans="1:9" s="232" customFormat="1" ht="17" customHeight="1">
      <c r="A6723" s="234"/>
      <c r="B6723" s="233"/>
      <c r="C6723" s="238"/>
      <c r="E6723" s="545"/>
      <c r="F6723" s="546"/>
      <c r="G6723" s="234"/>
      <c r="H6723" s="238"/>
      <c r="I6723" s="237"/>
    </row>
    <row r="6724" spans="1:9" s="232" customFormat="1" ht="17" customHeight="1">
      <c r="A6724" s="234"/>
      <c r="B6724" s="233"/>
      <c r="C6724" s="238"/>
      <c r="E6724" s="545"/>
      <c r="F6724" s="546"/>
      <c r="G6724" s="234"/>
      <c r="H6724" s="238"/>
      <c r="I6724" s="237"/>
    </row>
    <row r="6725" spans="1:9" s="232" customFormat="1" ht="17" customHeight="1">
      <c r="A6725" s="234"/>
      <c r="B6725" s="233"/>
      <c r="C6725" s="238"/>
      <c r="E6725" s="545"/>
      <c r="F6725" s="546"/>
      <c r="G6725" s="234"/>
      <c r="H6725" s="238"/>
      <c r="I6725" s="237"/>
    </row>
    <row r="6726" spans="1:9" s="232" customFormat="1" ht="17" customHeight="1">
      <c r="A6726" s="234"/>
      <c r="B6726" s="233"/>
      <c r="C6726" s="238"/>
      <c r="E6726" s="545"/>
      <c r="F6726" s="546"/>
      <c r="G6726" s="234"/>
      <c r="H6726" s="238"/>
      <c r="I6726" s="237"/>
    </row>
    <row r="6727" spans="1:9" s="232" customFormat="1" ht="17" customHeight="1">
      <c r="A6727" s="234"/>
      <c r="B6727" s="233"/>
      <c r="C6727" s="238"/>
      <c r="E6727" s="545"/>
      <c r="F6727" s="546"/>
      <c r="G6727" s="234"/>
      <c r="H6727" s="238"/>
      <c r="I6727" s="237"/>
    </row>
    <row r="6728" spans="1:9" s="232" customFormat="1" ht="17" customHeight="1">
      <c r="A6728" s="234"/>
      <c r="B6728" s="233"/>
      <c r="C6728" s="238"/>
      <c r="E6728" s="545"/>
      <c r="F6728" s="546"/>
      <c r="G6728" s="234"/>
      <c r="H6728" s="238"/>
      <c r="I6728" s="237"/>
    </row>
    <row r="6729" spans="1:9" s="232" customFormat="1" ht="17" customHeight="1">
      <c r="A6729" s="234"/>
      <c r="B6729" s="233"/>
      <c r="C6729" s="238"/>
      <c r="E6729" s="545"/>
      <c r="F6729" s="546"/>
      <c r="G6729" s="234"/>
      <c r="H6729" s="238"/>
      <c r="I6729" s="237"/>
    </row>
    <row r="6730" spans="1:9" s="232" customFormat="1" ht="17" customHeight="1">
      <c r="A6730" s="234"/>
      <c r="B6730" s="233"/>
      <c r="C6730" s="238"/>
      <c r="E6730" s="545"/>
      <c r="F6730" s="546"/>
      <c r="G6730" s="234"/>
      <c r="H6730" s="238"/>
      <c r="I6730" s="237"/>
    </row>
    <row r="6731" spans="1:9" s="232" customFormat="1" ht="17" customHeight="1">
      <c r="A6731" s="234"/>
      <c r="B6731" s="233"/>
      <c r="C6731" s="238"/>
      <c r="E6731" s="545"/>
      <c r="F6731" s="546"/>
      <c r="G6731" s="234"/>
      <c r="H6731" s="238"/>
      <c r="I6731" s="237"/>
    </row>
    <row r="6732" spans="1:9" s="232" customFormat="1" ht="17" customHeight="1">
      <c r="A6732" s="234"/>
      <c r="B6732" s="233"/>
      <c r="C6732" s="238"/>
      <c r="E6732" s="545"/>
      <c r="F6732" s="546"/>
      <c r="G6732" s="234"/>
      <c r="H6732" s="238"/>
      <c r="I6732" s="237"/>
    </row>
    <row r="6733" spans="1:9" s="232" customFormat="1" ht="17" customHeight="1">
      <c r="A6733" s="234"/>
      <c r="B6733" s="233"/>
      <c r="C6733" s="238"/>
      <c r="E6733" s="545"/>
      <c r="F6733" s="546"/>
      <c r="G6733" s="234"/>
      <c r="H6733" s="238"/>
      <c r="I6733" s="237"/>
    </row>
    <row r="6734" spans="1:9" s="232" customFormat="1" ht="17" customHeight="1">
      <c r="A6734" s="234"/>
      <c r="B6734" s="233"/>
      <c r="C6734" s="238"/>
      <c r="E6734" s="545"/>
      <c r="F6734" s="546"/>
      <c r="G6734" s="234"/>
      <c r="H6734" s="238"/>
      <c r="I6734" s="237"/>
    </row>
    <row r="6735" spans="1:9" s="232" customFormat="1" ht="17" customHeight="1">
      <c r="A6735" s="234"/>
      <c r="B6735" s="233"/>
      <c r="C6735" s="238"/>
      <c r="E6735" s="545"/>
      <c r="F6735" s="546"/>
      <c r="G6735" s="234"/>
      <c r="H6735" s="238"/>
      <c r="I6735" s="237"/>
    </row>
    <row r="6736" spans="1:9" s="232" customFormat="1" ht="17" customHeight="1">
      <c r="A6736" s="234"/>
      <c r="B6736" s="233"/>
      <c r="C6736" s="238"/>
      <c r="E6736" s="545"/>
      <c r="F6736" s="546"/>
      <c r="G6736" s="234"/>
      <c r="H6736" s="238"/>
      <c r="I6736" s="237"/>
    </row>
    <row r="6737" spans="1:9" s="232" customFormat="1" ht="17" customHeight="1">
      <c r="A6737" s="234"/>
      <c r="B6737" s="233"/>
      <c r="C6737" s="238"/>
      <c r="E6737" s="545"/>
      <c r="F6737" s="546"/>
      <c r="G6737" s="234"/>
      <c r="H6737" s="238"/>
      <c r="I6737" s="237"/>
    </row>
    <row r="6738" spans="1:9" s="232" customFormat="1" ht="17" customHeight="1">
      <c r="A6738" s="234"/>
      <c r="B6738" s="233"/>
      <c r="C6738" s="238"/>
      <c r="E6738" s="545"/>
      <c r="F6738" s="546"/>
      <c r="G6738" s="234"/>
      <c r="H6738" s="238"/>
      <c r="I6738" s="237"/>
    </row>
    <row r="6739" spans="1:9" s="232" customFormat="1" ht="17" customHeight="1">
      <c r="A6739" s="234"/>
      <c r="B6739" s="233"/>
      <c r="C6739" s="238"/>
      <c r="E6739" s="545"/>
      <c r="F6739" s="546"/>
      <c r="G6739" s="234"/>
      <c r="H6739" s="238"/>
      <c r="I6739" s="237"/>
    </row>
    <row r="6740" spans="1:9" s="232" customFormat="1" ht="17" customHeight="1">
      <c r="A6740" s="234"/>
      <c r="B6740" s="233"/>
      <c r="C6740" s="238"/>
      <c r="E6740" s="545"/>
      <c r="F6740" s="546"/>
      <c r="G6740" s="234"/>
      <c r="H6740" s="238"/>
      <c r="I6740" s="237"/>
    </row>
    <row r="6741" spans="1:9" s="232" customFormat="1" ht="17" customHeight="1">
      <c r="A6741" s="234"/>
      <c r="B6741" s="233"/>
      <c r="C6741" s="238"/>
      <c r="E6741" s="545"/>
      <c r="F6741" s="546"/>
      <c r="G6741" s="234"/>
      <c r="H6741" s="238"/>
      <c r="I6741" s="237"/>
    </row>
    <row r="6742" spans="1:9" s="232" customFormat="1" ht="17" customHeight="1">
      <c r="A6742" s="234"/>
      <c r="B6742" s="233"/>
      <c r="C6742" s="238"/>
      <c r="E6742" s="545"/>
      <c r="F6742" s="546"/>
      <c r="G6742" s="234"/>
      <c r="H6742" s="238"/>
      <c r="I6742" s="237"/>
    </row>
    <row r="6743" spans="1:9" s="232" customFormat="1" ht="17" customHeight="1">
      <c r="A6743" s="234"/>
      <c r="B6743" s="233"/>
      <c r="C6743" s="238"/>
      <c r="E6743" s="545"/>
      <c r="F6743" s="546"/>
      <c r="G6743" s="234"/>
      <c r="H6743" s="238"/>
      <c r="I6743" s="237"/>
    </row>
    <row r="6744" spans="1:9" s="232" customFormat="1" ht="17" customHeight="1">
      <c r="A6744" s="234"/>
      <c r="B6744" s="233"/>
      <c r="C6744" s="238"/>
      <c r="E6744" s="545"/>
      <c r="F6744" s="546"/>
      <c r="G6744" s="234"/>
      <c r="H6744" s="238"/>
      <c r="I6744" s="237"/>
    </row>
    <row r="6745" spans="1:9" s="232" customFormat="1" ht="17" customHeight="1">
      <c r="A6745" s="234"/>
      <c r="B6745" s="233"/>
      <c r="C6745" s="238"/>
      <c r="E6745" s="545"/>
      <c r="F6745" s="546"/>
      <c r="G6745" s="234"/>
      <c r="H6745" s="238"/>
      <c r="I6745" s="237"/>
    </row>
    <row r="6746" spans="1:9" s="232" customFormat="1" ht="17" customHeight="1">
      <c r="A6746" s="234"/>
      <c r="B6746" s="233"/>
      <c r="C6746" s="238"/>
      <c r="E6746" s="545"/>
      <c r="F6746" s="546"/>
      <c r="G6746" s="234"/>
      <c r="H6746" s="238"/>
      <c r="I6746" s="237"/>
    </row>
    <row r="6747" spans="1:9" s="232" customFormat="1" ht="17" customHeight="1">
      <c r="A6747" s="234"/>
      <c r="B6747" s="233"/>
      <c r="C6747" s="238"/>
      <c r="E6747" s="545"/>
      <c r="F6747" s="546"/>
      <c r="G6747" s="234"/>
      <c r="H6747" s="238"/>
      <c r="I6747" s="237"/>
    </row>
    <row r="6748" spans="1:9" s="232" customFormat="1" ht="17" customHeight="1">
      <c r="A6748" s="234"/>
      <c r="B6748" s="233"/>
      <c r="C6748" s="238"/>
      <c r="E6748" s="545"/>
      <c r="F6748" s="546"/>
      <c r="G6748" s="234"/>
      <c r="H6748" s="238"/>
      <c r="I6748" s="237"/>
    </row>
    <row r="6749" spans="1:9" s="232" customFormat="1" ht="17" customHeight="1">
      <c r="A6749" s="234"/>
      <c r="B6749" s="233"/>
      <c r="C6749" s="238"/>
      <c r="E6749" s="545"/>
      <c r="F6749" s="546"/>
      <c r="G6749" s="234"/>
      <c r="H6749" s="238"/>
      <c r="I6749" s="237"/>
    </row>
    <row r="6750" spans="1:9" s="232" customFormat="1" ht="17" customHeight="1">
      <c r="A6750" s="234"/>
      <c r="B6750" s="233"/>
      <c r="C6750" s="238"/>
      <c r="E6750" s="545"/>
      <c r="F6750" s="546"/>
      <c r="G6750" s="234"/>
      <c r="H6750" s="238"/>
      <c r="I6750" s="237"/>
    </row>
    <row r="6751" spans="1:9" s="232" customFormat="1" ht="17" customHeight="1">
      <c r="A6751" s="234"/>
      <c r="B6751" s="233"/>
      <c r="C6751" s="238"/>
      <c r="E6751" s="545"/>
      <c r="F6751" s="546"/>
      <c r="G6751" s="234"/>
      <c r="H6751" s="238"/>
      <c r="I6751" s="237"/>
    </row>
    <row r="6752" spans="1:9" s="232" customFormat="1" ht="17" customHeight="1">
      <c r="A6752" s="234"/>
      <c r="B6752" s="233"/>
      <c r="C6752" s="238"/>
      <c r="E6752" s="545"/>
      <c r="F6752" s="546"/>
      <c r="G6752" s="234"/>
      <c r="H6752" s="238"/>
      <c r="I6752" s="237"/>
    </row>
    <row r="6753" spans="1:9" s="232" customFormat="1" ht="17" customHeight="1">
      <c r="A6753" s="234"/>
      <c r="B6753" s="233"/>
      <c r="C6753" s="238"/>
      <c r="E6753" s="545"/>
      <c r="F6753" s="546"/>
      <c r="G6753" s="234"/>
      <c r="H6753" s="238"/>
      <c r="I6753" s="237"/>
    </row>
    <row r="6754" spans="1:9" s="232" customFormat="1" ht="17" customHeight="1">
      <c r="A6754" s="234"/>
      <c r="B6754" s="233"/>
      <c r="C6754" s="238"/>
      <c r="E6754" s="545"/>
      <c r="F6754" s="546"/>
      <c r="G6754" s="234"/>
      <c r="H6754" s="238"/>
      <c r="I6754" s="237"/>
    </row>
    <row r="6755" spans="1:9" s="232" customFormat="1" ht="17" customHeight="1">
      <c r="A6755" s="234"/>
      <c r="B6755" s="233"/>
      <c r="C6755" s="238"/>
      <c r="E6755" s="545"/>
      <c r="F6755" s="546"/>
      <c r="G6755" s="234"/>
      <c r="H6755" s="238"/>
      <c r="I6755" s="237"/>
    </row>
    <row r="6756" spans="1:9" s="232" customFormat="1" ht="17" customHeight="1">
      <c r="A6756" s="234"/>
      <c r="B6756" s="233"/>
      <c r="C6756" s="238"/>
      <c r="E6756" s="545"/>
      <c r="F6756" s="546"/>
      <c r="G6756" s="234"/>
      <c r="H6756" s="238"/>
      <c r="I6756" s="237"/>
    </row>
    <row r="6757" spans="1:9" s="232" customFormat="1" ht="17" customHeight="1">
      <c r="A6757" s="234"/>
      <c r="B6757" s="233"/>
      <c r="C6757" s="238"/>
      <c r="E6757" s="545"/>
      <c r="F6757" s="546"/>
      <c r="G6757" s="234"/>
      <c r="H6757" s="238"/>
      <c r="I6757" s="237"/>
    </row>
    <row r="6758" spans="1:9" s="232" customFormat="1" ht="17" customHeight="1">
      <c r="A6758" s="234"/>
      <c r="B6758" s="233"/>
      <c r="C6758" s="238"/>
      <c r="E6758" s="545"/>
      <c r="F6758" s="546"/>
      <c r="G6758" s="234"/>
      <c r="H6758" s="238"/>
      <c r="I6758" s="237"/>
    </row>
    <row r="6759" spans="1:9" s="232" customFormat="1" ht="17" customHeight="1">
      <c r="A6759" s="234"/>
      <c r="B6759" s="233"/>
      <c r="C6759" s="238"/>
      <c r="E6759" s="545"/>
      <c r="F6759" s="546"/>
      <c r="G6759" s="234"/>
      <c r="H6759" s="238"/>
      <c r="I6759" s="237"/>
    </row>
    <row r="6760" spans="1:9" s="232" customFormat="1" ht="17" customHeight="1">
      <c r="A6760" s="234"/>
      <c r="B6760" s="233"/>
      <c r="C6760" s="238"/>
      <c r="E6760" s="545"/>
      <c r="F6760" s="546"/>
      <c r="G6760" s="234"/>
      <c r="H6760" s="238"/>
      <c r="I6760" s="237"/>
    </row>
    <row r="6761" spans="1:9" s="232" customFormat="1" ht="17" customHeight="1">
      <c r="A6761" s="234"/>
      <c r="B6761" s="233"/>
      <c r="C6761" s="238"/>
      <c r="E6761" s="545"/>
      <c r="F6761" s="546"/>
      <c r="G6761" s="234"/>
      <c r="H6761" s="238"/>
      <c r="I6761" s="237"/>
    </row>
    <row r="6762" spans="1:9" s="232" customFormat="1" ht="17" customHeight="1">
      <c r="A6762" s="234"/>
      <c r="B6762" s="233"/>
      <c r="C6762" s="238"/>
      <c r="E6762" s="545"/>
      <c r="F6762" s="546"/>
      <c r="G6762" s="234"/>
      <c r="H6762" s="238"/>
      <c r="I6762" s="237"/>
    </row>
    <row r="6763" spans="1:9" s="232" customFormat="1" ht="17" customHeight="1">
      <c r="A6763" s="234"/>
      <c r="B6763" s="233"/>
      <c r="C6763" s="238"/>
      <c r="E6763" s="545"/>
      <c r="F6763" s="546"/>
      <c r="G6763" s="234"/>
      <c r="H6763" s="238"/>
      <c r="I6763" s="237"/>
    </row>
    <row r="6764" spans="1:9" s="232" customFormat="1" ht="17" customHeight="1">
      <c r="A6764" s="234"/>
      <c r="B6764" s="233"/>
      <c r="C6764" s="238"/>
      <c r="E6764" s="545"/>
      <c r="F6764" s="546"/>
      <c r="G6764" s="234"/>
      <c r="H6764" s="238"/>
      <c r="I6764" s="237"/>
    </row>
    <row r="6765" spans="1:9" s="232" customFormat="1" ht="17" customHeight="1">
      <c r="A6765" s="234"/>
      <c r="B6765" s="233"/>
      <c r="C6765" s="238"/>
      <c r="E6765" s="545"/>
      <c r="F6765" s="546"/>
      <c r="G6765" s="234"/>
      <c r="H6765" s="238"/>
      <c r="I6765" s="237"/>
    </row>
    <row r="6766" spans="1:9" s="232" customFormat="1" ht="17" customHeight="1">
      <c r="A6766" s="234"/>
      <c r="B6766" s="233"/>
      <c r="C6766" s="238"/>
      <c r="E6766" s="545"/>
      <c r="F6766" s="546"/>
      <c r="G6766" s="234"/>
      <c r="H6766" s="238"/>
      <c r="I6766" s="237"/>
    </row>
    <row r="6767" spans="1:9" s="232" customFormat="1" ht="17" customHeight="1">
      <c r="A6767" s="234"/>
      <c r="B6767" s="233"/>
      <c r="C6767" s="238"/>
      <c r="E6767" s="545"/>
      <c r="F6767" s="546"/>
      <c r="G6767" s="234"/>
      <c r="H6767" s="238"/>
      <c r="I6767" s="237"/>
    </row>
    <row r="6768" spans="1:9" s="232" customFormat="1" ht="17" customHeight="1">
      <c r="A6768" s="234"/>
      <c r="B6768" s="233"/>
      <c r="C6768" s="238"/>
      <c r="E6768" s="545"/>
      <c r="F6768" s="546"/>
      <c r="G6768" s="234"/>
      <c r="H6768" s="238"/>
      <c r="I6768" s="237"/>
    </row>
    <row r="6769" spans="1:9" s="232" customFormat="1" ht="17" customHeight="1">
      <c r="A6769" s="234"/>
      <c r="B6769" s="233"/>
      <c r="C6769" s="238"/>
      <c r="E6769" s="545"/>
      <c r="F6769" s="546"/>
      <c r="G6769" s="234"/>
      <c r="H6769" s="238"/>
      <c r="I6769" s="237"/>
    </row>
    <row r="6770" spans="1:9" s="232" customFormat="1" ht="17" customHeight="1">
      <c r="A6770" s="234"/>
      <c r="B6770" s="233"/>
      <c r="C6770" s="238"/>
      <c r="E6770" s="545"/>
      <c r="F6770" s="546"/>
      <c r="G6770" s="234"/>
      <c r="H6770" s="238"/>
      <c r="I6770" s="237"/>
    </row>
    <row r="6771" spans="1:9" s="232" customFormat="1" ht="17" customHeight="1">
      <c r="A6771" s="234"/>
      <c r="B6771" s="233"/>
      <c r="C6771" s="238"/>
      <c r="E6771" s="545"/>
      <c r="F6771" s="546"/>
      <c r="G6771" s="234"/>
      <c r="H6771" s="238"/>
      <c r="I6771" s="237"/>
    </row>
    <row r="6772" spans="1:9" s="232" customFormat="1" ht="17" customHeight="1">
      <c r="A6772" s="234"/>
      <c r="B6772" s="233"/>
      <c r="C6772" s="238"/>
      <c r="E6772" s="545"/>
      <c r="F6772" s="546"/>
      <c r="G6772" s="234"/>
      <c r="H6772" s="238"/>
      <c r="I6772" s="237"/>
    </row>
    <row r="6773" spans="1:9" s="232" customFormat="1" ht="17" customHeight="1">
      <c r="A6773" s="234"/>
      <c r="B6773" s="233"/>
      <c r="C6773" s="238"/>
      <c r="E6773" s="545"/>
      <c r="F6773" s="546"/>
      <c r="G6773" s="234"/>
      <c r="H6773" s="238"/>
      <c r="I6773" s="237"/>
    </row>
    <row r="6774" spans="1:9" s="232" customFormat="1" ht="17" customHeight="1">
      <c r="A6774" s="234"/>
      <c r="B6774" s="233"/>
      <c r="C6774" s="238"/>
      <c r="E6774" s="545"/>
      <c r="F6774" s="546"/>
      <c r="G6774" s="234"/>
      <c r="H6774" s="238"/>
      <c r="I6774" s="237"/>
    </row>
    <row r="6775" spans="1:9" s="232" customFormat="1" ht="17" customHeight="1">
      <c r="A6775" s="234"/>
      <c r="B6775" s="233"/>
      <c r="C6775" s="238"/>
      <c r="E6775" s="545"/>
      <c r="F6775" s="546"/>
      <c r="G6775" s="234"/>
      <c r="H6775" s="238"/>
      <c r="I6775" s="237"/>
    </row>
    <row r="6776" spans="1:9" s="232" customFormat="1" ht="17" customHeight="1">
      <c r="A6776" s="234"/>
      <c r="B6776" s="233"/>
      <c r="C6776" s="238"/>
      <c r="E6776" s="545"/>
      <c r="F6776" s="546"/>
      <c r="G6776" s="234"/>
      <c r="H6776" s="238"/>
      <c r="I6776" s="237"/>
    </row>
    <row r="6777" spans="1:9" s="232" customFormat="1" ht="17" customHeight="1">
      <c r="A6777" s="234"/>
      <c r="B6777" s="233"/>
      <c r="C6777" s="238"/>
      <c r="E6777" s="545"/>
      <c r="F6777" s="546"/>
      <c r="G6777" s="234"/>
      <c r="H6777" s="238"/>
      <c r="I6777" s="237"/>
    </row>
    <row r="6778" spans="1:9" s="232" customFormat="1" ht="17" customHeight="1">
      <c r="A6778" s="234"/>
      <c r="B6778" s="233"/>
      <c r="C6778" s="238"/>
      <c r="E6778" s="545"/>
      <c r="F6778" s="546"/>
      <c r="G6778" s="234"/>
      <c r="H6778" s="238"/>
      <c r="I6778" s="237"/>
    </row>
    <row r="6779" spans="1:9" s="232" customFormat="1" ht="17" customHeight="1">
      <c r="A6779" s="234"/>
      <c r="B6779" s="233"/>
      <c r="C6779" s="238"/>
      <c r="E6779" s="545"/>
      <c r="F6779" s="546"/>
      <c r="G6779" s="234"/>
      <c r="H6779" s="238"/>
      <c r="I6779" s="237"/>
    </row>
    <row r="6780" spans="1:9" s="232" customFormat="1" ht="17" customHeight="1">
      <c r="A6780" s="234"/>
      <c r="B6780" s="233"/>
      <c r="C6780" s="238"/>
      <c r="E6780" s="545"/>
      <c r="F6780" s="546"/>
      <c r="G6780" s="234"/>
      <c r="H6780" s="238"/>
      <c r="I6780" s="237"/>
    </row>
    <row r="6781" spans="1:9" s="232" customFormat="1" ht="17" customHeight="1">
      <c r="A6781" s="234"/>
      <c r="B6781" s="233"/>
      <c r="C6781" s="238"/>
      <c r="E6781" s="545"/>
      <c r="F6781" s="546"/>
      <c r="G6781" s="234"/>
      <c r="H6781" s="238"/>
      <c r="I6781" s="237"/>
    </row>
    <row r="6782" spans="1:9" s="232" customFormat="1" ht="17" customHeight="1">
      <c r="A6782" s="234"/>
      <c r="B6782" s="233"/>
      <c r="C6782" s="238"/>
      <c r="E6782" s="545"/>
      <c r="F6782" s="546"/>
      <c r="G6782" s="234"/>
      <c r="H6782" s="238"/>
      <c r="I6782" s="237"/>
    </row>
    <row r="6783" spans="1:9" s="232" customFormat="1" ht="17" customHeight="1">
      <c r="A6783" s="234"/>
      <c r="B6783" s="233"/>
      <c r="C6783" s="238"/>
      <c r="E6783" s="545"/>
      <c r="F6783" s="546"/>
      <c r="G6783" s="234"/>
      <c r="H6783" s="238"/>
      <c r="I6783" s="237"/>
    </row>
    <row r="6784" spans="1:9" s="232" customFormat="1" ht="17" customHeight="1">
      <c r="A6784" s="234"/>
      <c r="B6784" s="233"/>
      <c r="C6784" s="238"/>
      <c r="E6784" s="545"/>
      <c r="F6784" s="546"/>
      <c r="G6784" s="234"/>
      <c r="H6784" s="238"/>
      <c r="I6784" s="237"/>
    </row>
    <row r="6785" spans="1:9" s="232" customFormat="1" ht="17" customHeight="1">
      <c r="A6785" s="234"/>
      <c r="B6785" s="233"/>
      <c r="C6785" s="238"/>
      <c r="E6785" s="545"/>
      <c r="F6785" s="546"/>
      <c r="G6785" s="234"/>
      <c r="H6785" s="238"/>
      <c r="I6785" s="237"/>
    </row>
    <row r="6786" spans="1:9" s="232" customFormat="1" ht="17" customHeight="1">
      <c r="A6786" s="234"/>
      <c r="B6786" s="233"/>
      <c r="C6786" s="238"/>
      <c r="E6786" s="545"/>
      <c r="F6786" s="546"/>
      <c r="G6786" s="234"/>
      <c r="H6786" s="238"/>
      <c r="I6786" s="237"/>
    </row>
    <row r="6787" spans="1:9" s="232" customFormat="1" ht="17" customHeight="1">
      <c r="A6787" s="234"/>
      <c r="B6787" s="233"/>
      <c r="C6787" s="238"/>
      <c r="E6787" s="545"/>
      <c r="F6787" s="546"/>
      <c r="G6787" s="234"/>
      <c r="H6787" s="238"/>
      <c r="I6787" s="237"/>
    </row>
    <row r="6788" spans="1:9" s="232" customFormat="1" ht="17" customHeight="1">
      <c r="A6788" s="234"/>
      <c r="B6788" s="233"/>
      <c r="C6788" s="238"/>
      <c r="E6788" s="545"/>
      <c r="F6788" s="546"/>
      <c r="G6788" s="234"/>
      <c r="H6788" s="238"/>
      <c r="I6788" s="237"/>
    </row>
    <row r="6789" spans="1:9" s="232" customFormat="1" ht="17" customHeight="1">
      <c r="A6789" s="234"/>
      <c r="B6789" s="233"/>
      <c r="C6789" s="238"/>
      <c r="E6789" s="545"/>
      <c r="F6789" s="546"/>
      <c r="G6789" s="234"/>
      <c r="H6789" s="238"/>
      <c r="I6789" s="237"/>
    </row>
    <row r="6790" spans="1:9" s="232" customFormat="1" ht="17" customHeight="1">
      <c r="A6790" s="234"/>
      <c r="B6790" s="233"/>
      <c r="C6790" s="238"/>
      <c r="E6790" s="545"/>
      <c r="F6790" s="546"/>
      <c r="G6790" s="234"/>
      <c r="H6790" s="238"/>
      <c r="I6790" s="237"/>
    </row>
    <row r="6791" spans="1:9" s="232" customFormat="1" ht="17" customHeight="1">
      <c r="A6791" s="234"/>
      <c r="B6791" s="233"/>
      <c r="C6791" s="238"/>
      <c r="E6791" s="545"/>
      <c r="F6791" s="546"/>
      <c r="G6791" s="234"/>
      <c r="H6791" s="238"/>
      <c r="I6791" s="237"/>
    </row>
    <row r="6792" spans="1:9" s="232" customFormat="1" ht="17" customHeight="1">
      <c r="A6792" s="234"/>
      <c r="B6792" s="233"/>
      <c r="C6792" s="238"/>
      <c r="E6792" s="545"/>
      <c r="F6792" s="546"/>
      <c r="G6792" s="234"/>
      <c r="H6792" s="238"/>
      <c r="I6792" s="237"/>
    </row>
    <row r="6793" spans="1:9" s="232" customFormat="1" ht="17" customHeight="1">
      <c r="A6793" s="234"/>
      <c r="B6793" s="233"/>
      <c r="C6793" s="238"/>
      <c r="E6793" s="545"/>
      <c r="F6793" s="546"/>
      <c r="G6793" s="234"/>
      <c r="H6793" s="238"/>
      <c r="I6793" s="237"/>
    </row>
    <row r="6794" spans="1:9" s="232" customFormat="1" ht="17" customHeight="1">
      <c r="A6794" s="234"/>
      <c r="B6794" s="233"/>
      <c r="C6794" s="238"/>
      <c r="E6794" s="545"/>
      <c r="F6794" s="546"/>
      <c r="G6794" s="234"/>
      <c r="H6794" s="238"/>
      <c r="I6794" s="237"/>
    </row>
    <row r="6795" spans="1:9" s="232" customFormat="1" ht="17" customHeight="1">
      <c r="A6795" s="234"/>
      <c r="B6795" s="233"/>
      <c r="C6795" s="238"/>
      <c r="E6795" s="545"/>
      <c r="F6795" s="546"/>
      <c r="G6795" s="234"/>
      <c r="H6795" s="238"/>
      <c r="I6795" s="237"/>
    </row>
    <row r="6796" spans="1:9" s="232" customFormat="1" ht="17" customHeight="1">
      <c r="A6796" s="234"/>
      <c r="B6796" s="233"/>
      <c r="C6796" s="238"/>
      <c r="E6796" s="545"/>
      <c r="F6796" s="546"/>
      <c r="G6796" s="234"/>
      <c r="H6796" s="238"/>
      <c r="I6796" s="237"/>
    </row>
    <row r="6797" spans="1:9" s="232" customFormat="1" ht="17" customHeight="1">
      <c r="A6797" s="234"/>
      <c r="B6797" s="233"/>
      <c r="C6797" s="238"/>
      <c r="E6797" s="545"/>
      <c r="F6797" s="546"/>
      <c r="G6797" s="234"/>
      <c r="H6797" s="238"/>
      <c r="I6797" s="237"/>
    </row>
    <row r="6798" spans="1:9" s="232" customFormat="1" ht="17" customHeight="1">
      <c r="A6798" s="234"/>
      <c r="B6798" s="233"/>
      <c r="C6798" s="238"/>
      <c r="E6798" s="545"/>
      <c r="F6798" s="546"/>
      <c r="G6798" s="234"/>
      <c r="H6798" s="238"/>
      <c r="I6798" s="237"/>
    </row>
    <row r="6799" spans="1:9" s="232" customFormat="1" ht="17" customHeight="1">
      <c r="A6799" s="234"/>
      <c r="B6799" s="233"/>
      <c r="C6799" s="238"/>
      <c r="E6799" s="545"/>
      <c r="F6799" s="546"/>
      <c r="G6799" s="234"/>
      <c r="H6799" s="238"/>
      <c r="I6799" s="237"/>
    </row>
    <row r="6800" spans="1:9" s="232" customFormat="1" ht="17" customHeight="1">
      <c r="A6800" s="234"/>
      <c r="B6800" s="233"/>
      <c r="C6800" s="238"/>
      <c r="E6800" s="545"/>
      <c r="F6800" s="546"/>
      <c r="G6800" s="234"/>
      <c r="H6800" s="238"/>
      <c r="I6800" s="237"/>
    </row>
    <row r="6801" spans="1:9" s="232" customFormat="1" ht="17" customHeight="1">
      <c r="A6801" s="234"/>
      <c r="B6801" s="233"/>
      <c r="C6801" s="238"/>
      <c r="E6801" s="545"/>
      <c r="F6801" s="546"/>
      <c r="G6801" s="234"/>
      <c r="H6801" s="238"/>
      <c r="I6801" s="237"/>
    </row>
    <row r="6802" spans="1:9" s="232" customFormat="1" ht="17" customHeight="1">
      <c r="A6802" s="234"/>
      <c r="B6802" s="233"/>
      <c r="C6802" s="238"/>
      <c r="E6802" s="545"/>
      <c r="F6802" s="546"/>
      <c r="G6802" s="234"/>
      <c r="H6802" s="238"/>
      <c r="I6802" s="237"/>
    </row>
    <row r="6803" spans="1:9" s="232" customFormat="1" ht="17" customHeight="1">
      <c r="A6803" s="234"/>
      <c r="B6803" s="233"/>
      <c r="C6803" s="238"/>
      <c r="E6803" s="545"/>
      <c r="F6803" s="546"/>
      <c r="G6803" s="234"/>
      <c r="H6803" s="238"/>
      <c r="I6803" s="237"/>
    </row>
    <row r="6804" spans="1:9" s="232" customFormat="1" ht="17" customHeight="1">
      <c r="A6804" s="234"/>
      <c r="B6804" s="233"/>
      <c r="C6804" s="238"/>
      <c r="E6804" s="545"/>
      <c r="F6804" s="546"/>
      <c r="G6804" s="234"/>
      <c r="H6804" s="238"/>
      <c r="I6804" s="237"/>
    </row>
    <row r="6805" spans="1:9" s="232" customFormat="1" ht="17" customHeight="1">
      <c r="A6805" s="234"/>
      <c r="B6805" s="233"/>
      <c r="C6805" s="238"/>
      <c r="E6805" s="545"/>
      <c r="F6805" s="546"/>
      <c r="G6805" s="234"/>
      <c r="H6805" s="238"/>
      <c r="I6805" s="237"/>
    </row>
    <row r="6806" spans="1:9" s="232" customFormat="1" ht="17" customHeight="1">
      <c r="A6806" s="234"/>
      <c r="B6806" s="233"/>
      <c r="C6806" s="238"/>
      <c r="E6806" s="545"/>
      <c r="F6806" s="546"/>
      <c r="G6806" s="234"/>
      <c r="H6806" s="238"/>
      <c r="I6806" s="237"/>
    </row>
    <row r="6807" spans="1:9" s="232" customFormat="1" ht="17" customHeight="1">
      <c r="A6807" s="234"/>
      <c r="B6807" s="233"/>
      <c r="C6807" s="238"/>
      <c r="E6807" s="545"/>
      <c r="F6807" s="546"/>
      <c r="G6807" s="234"/>
      <c r="H6807" s="238"/>
      <c r="I6807" s="237"/>
    </row>
    <row r="6808" spans="1:9" s="232" customFormat="1" ht="17" customHeight="1">
      <c r="A6808" s="234"/>
      <c r="B6808" s="233"/>
      <c r="C6808" s="238"/>
      <c r="E6808" s="545"/>
      <c r="F6808" s="546"/>
      <c r="G6808" s="234"/>
      <c r="H6808" s="238"/>
      <c r="I6808" s="237"/>
    </row>
    <row r="6809" spans="1:9" s="232" customFormat="1" ht="17" customHeight="1">
      <c r="A6809" s="234"/>
      <c r="B6809" s="233"/>
      <c r="C6809" s="238"/>
      <c r="E6809" s="545"/>
      <c r="F6809" s="546"/>
      <c r="G6809" s="234"/>
      <c r="H6809" s="238"/>
      <c r="I6809" s="237"/>
    </row>
    <row r="6810" spans="1:9" s="232" customFormat="1" ht="17" customHeight="1">
      <c r="A6810" s="234"/>
      <c r="B6810" s="233"/>
      <c r="C6810" s="238"/>
      <c r="E6810" s="545"/>
      <c r="F6810" s="546"/>
      <c r="G6810" s="234"/>
      <c r="H6810" s="238"/>
      <c r="I6810" s="237"/>
    </row>
    <row r="6811" spans="1:9" s="232" customFormat="1" ht="17" customHeight="1">
      <c r="A6811" s="234"/>
      <c r="B6811" s="233"/>
      <c r="C6811" s="238"/>
      <c r="E6811" s="545"/>
      <c r="F6811" s="546"/>
      <c r="G6811" s="234"/>
      <c r="H6811" s="238"/>
      <c r="I6811" s="237"/>
    </row>
    <row r="6812" spans="1:9" s="232" customFormat="1" ht="17" customHeight="1">
      <c r="A6812" s="234"/>
      <c r="B6812" s="233"/>
      <c r="C6812" s="238"/>
      <c r="E6812" s="545"/>
      <c r="F6812" s="546"/>
      <c r="G6812" s="234"/>
      <c r="H6812" s="238"/>
      <c r="I6812" s="237"/>
    </row>
    <row r="6813" spans="1:9" s="232" customFormat="1" ht="17" customHeight="1">
      <c r="A6813" s="234"/>
      <c r="B6813" s="233"/>
      <c r="C6813" s="238"/>
      <c r="E6813" s="545"/>
      <c r="F6813" s="546"/>
      <c r="G6813" s="234"/>
      <c r="H6813" s="238"/>
      <c r="I6813" s="237"/>
    </row>
    <row r="6814" spans="1:9" s="232" customFormat="1" ht="17" customHeight="1">
      <c r="A6814" s="234"/>
      <c r="B6814" s="233"/>
      <c r="C6814" s="238"/>
      <c r="E6814" s="545"/>
      <c r="F6814" s="546"/>
      <c r="G6814" s="234"/>
      <c r="H6814" s="238"/>
      <c r="I6814" s="237"/>
    </row>
    <row r="6815" spans="1:9" s="232" customFormat="1" ht="17" customHeight="1">
      <c r="A6815" s="234"/>
      <c r="B6815" s="233"/>
      <c r="C6815" s="238"/>
      <c r="E6815" s="545"/>
      <c r="F6815" s="546"/>
      <c r="G6815" s="234"/>
      <c r="H6815" s="238"/>
      <c r="I6815" s="237"/>
    </row>
    <row r="6816" spans="1:9" s="232" customFormat="1" ht="17" customHeight="1">
      <c r="A6816" s="234"/>
      <c r="B6816" s="233"/>
      <c r="C6816" s="238"/>
      <c r="E6816" s="545"/>
      <c r="F6816" s="546"/>
      <c r="G6816" s="234"/>
      <c r="H6816" s="238"/>
      <c r="I6816" s="237"/>
    </row>
    <row r="6817" spans="1:9" s="232" customFormat="1" ht="17" customHeight="1">
      <c r="A6817" s="234"/>
      <c r="B6817" s="233"/>
      <c r="C6817" s="238"/>
      <c r="E6817" s="545"/>
      <c r="F6817" s="546"/>
      <c r="G6817" s="234"/>
      <c r="H6817" s="238"/>
      <c r="I6817" s="237"/>
    </row>
    <row r="6818" spans="1:9" s="232" customFormat="1" ht="17" customHeight="1">
      <c r="A6818" s="234"/>
      <c r="B6818" s="233"/>
      <c r="C6818" s="238"/>
      <c r="E6818" s="545"/>
      <c r="F6818" s="546"/>
      <c r="G6818" s="234"/>
      <c r="H6818" s="238"/>
      <c r="I6818" s="237"/>
    </row>
    <row r="6819" spans="1:9" s="232" customFormat="1" ht="17" customHeight="1">
      <c r="A6819" s="234"/>
      <c r="B6819" s="233"/>
      <c r="C6819" s="238"/>
      <c r="E6819" s="545"/>
      <c r="F6819" s="546"/>
      <c r="G6819" s="234"/>
      <c r="H6819" s="238"/>
      <c r="I6819" s="237"/>
    </row>
    <row r="6820" spans="1:9" s="232" customFormat="1" ht="17" customHeight="1">
      <c r="A6820" s="234"/>
      <c r="B6820" s="233"/>
      <c r="C6820" s="238"/>
      <c r="E6820" s="545"/>
      <c r="F6820" s="546"/>
      <c r="G6820" s="234"/>
      <c r="H6820" s="238"/>
      <c r="I6820" s="237"/>
    </row>
    <row r="6821" spans="1:9" s="232" customFormat="1" ht="17" customHeight="1">
      <c r="A6821" s="234"/>
      <c r="B6821" s="233"/>
      <c r="C6821" s="238"/>
      <c r="E6821" s="545"/>
      <c r="F6821" s="546"/>
      <c r="G6821" s="234"/>
      <c r="H6821" s="238"/>
      <c r="I6821" s="237"/>
    </row>
    <row r="6822" spans="1:9" s="232" customFormat="1" ht="17" customHeight="1">
      <c r="A6822" s="234"/>
      <c r="B6822" s="233"/>
      <c r="C6822" s="238"/>
      <c r="E6822" s="545"/>
      <c r="F6822" s="546"/>
      <c r="G6822" s="234"/>
      <c r="H6822" s="238"/>
      <c r="I6822" s="237"/>
    </row>
    <row r="6823" spans="1:9" s="232" customFormat="1" ht="17" customHeight="1">
      <c r="A6823" s="234"/>
      <c r="B6823" s="233"/>
      <c r="C6823" s="238"/>
      <c r="E6823" s="545"/>
      <c r="F6823" s="546"/>
      <c r="G6823" s="234"/>
      <c r="H6823" s="238"/>
      <c r="I6823" s="237"/>
    </row>
    <row r="6824" spans="1:9" s="232" customFormat="1" ht="17" customHeight="1">
      <c r="A6824" s="234"/>
      <c r="B6824" s="233"/>
      <c r="C6824" s="238"/>
      <c r="E6824" s="545"/>
      <c r="F6824" s="546"/>
      <c r="G6824" s="234"/>
      <c r="H6824" s="238"/>
      <c r="I6824" s="237"/>
    </row>
    <row r="6825" spans="1:9" s="232" customFormat="1" ht="17" customHeight="1">
      <c r="A6825" s="234"/>
      <c r="B6825" s="233"/>
      <c r="C6825" s="238"/>
      <c r="E6825" s="545"/>
      <c r="F6825" s="546"/>
      <c r="G6825" s="234"/>
      <c r="H6825" s="238"/>
      <c r="I6825" s="237"/>
    </row>
    <row r="6826" spans="1:9" s="232" customFormat="1" ht="17" customHeight="1">
      <c r="A6826" s="234"/>
      <c r="B6826" s="233"/>
      <c r="C6826" s="238"/>
      <c r="E6826" s="545"/>
      <c r="F6826" s="546"/>
      <c r="G6826" s="234"/>
      <c r="H6826" s="238"/>
      <c r="I6826" s="237"/>
    </row>
    <row r="6827" spans="1:9" s="232" customFormat="1" ht="17" customHeight="1">
      <c r="A6827" s="234"/>
      <c r="B6827" s="233"/>
      <c r="C6827" s="238"/>
      <c r="E6827" s="545"/>
      <c r="F6827" s="546"/>
      <c r="G6827" s="234"/>
      <c r="H6827" s="238"/>
      <c r="I6827" s="237"/>
    </row>
    <row r="6828" spans="1:9" s="232" customFormat="1" ht="17" customHeight="1">
      <c r="A6828" s="234"/>
      <c r="B6828" s="233"/>
      <c r="C6828" s="238"/>
      <c r="E6828" s="545"/>
      <c r="F6828" s="546"/>
      <c r="G6828" s="234"/>
      <c r="H6828" s="238"/>
      <c r="I6828" s="237"/>
    </row>
    <row r="6829" spans="1:9" s="232" customFormat="1" ht="17" customHeight="1">
      <c r="A6829" s="234"/>
      <c r="B6829" s="233"/>
      <c r="C6829" s="238"/>
      <c r="E6829" s="545"/>
      <c r="F6829" s="546"/>
      <c r="G6829" s="234"/>
      <c r="H6829" s="238"/>
      <c r="I6829" s="237"/>
    </row>
    <row r="6830" spans="1:9" s="232" customFormat="1" ht="17" customHeight="1">
      <c r="A6830" s="234"/>
      <c r="B6830" s="233"/>
      <c r="C6830" s="238"/>
      <c r="E6830" s="545"/>
      <c r="F6830" s="546"/>
      <c r="G6830" s="234"/>
      <c r="H6830" s="238"/>
      <c r="I6830" s="237"/>
    </row>
    <row r="6831" spans="1:9" s="232" customFormat="1" ht="17" customHeight="1">
      <c r="A6831" s="234"/>
      <c r="B6831" s="233"/>
      <c r="C6831" s="238"/>
      <c r="E6831" s="545"/>
      <c r="F6831" s="546"/>
      <c r="G6831" s="234"/>
      <c r="H6831" s="238"/>
      <c r="I6831" s="237"/>
    </row>
    <row r="6832" spans="1:9" s="232" customFormat="1" ht="17" customHeight="1">
      <c r="A6832" s="234"/>
      <c r="B6832" s="233"/>
      <c r="C6832" s="238"/>
      <c r="E6832" s="545"/>
      <c r="F6832" s="546"/>
      <c r="G6832" s="234"/>
      <c r="H6832" s="238"/>
      <c r="I6832" s="237"/>
    </row>
    <row r="6833" spans="1:9" s="232" customFormat="1" ht="17" customHeight="1">
      <c r="A6833" s="234"/>
      <c r="B6833" s="233"/>
      <c r="C6833" s="238"/>
      <c r="E6833" s="545"/>
      <c r="F6833" s="546"/>
      <c r="G6833" s="234"/>
      <c r="H6833" s="238"/>
      <c r="I6833" s="237"/>
    </row>
    <row r="6834" spans="1:9" s="232" customFormat="1" ht="17" customHeight="1">
      <c r="A6834" s="234"/>
      <c r="B6834" s="233"/>
      <c r="C6834" s="238"/>
      <c r="E6834" s="545"/>
      <c r="F6834" s="546"/>
      <c r="G6834" s="234"/>
      <c r="H6834" s="238"/>
      <c r="I6834" s="237"/>
    </row>
    <row r="6835" spans="1:9" s="232" customFormat="1" ht="17" customHeight="1">
      <c r="A6835" s="234"/>
      <c r="B6835" s="233"/>
      <c r="C6835" s="238"/>
      <c r="E6835" s="545"/>
      <c r="F6835" s="546"/>
      <c r="G6835" s="234"/>
      <c r="H6835" s="238"/>
      <c r="I6835" s="237"/>
    </row>
    <row r="6836" spans="1:9" s="232" customFormat="1" ht="17" customHeight="1">
      <c r="A6836" s="234"/>
      <c r="B6836" s="233"/>
      <c r="C6836" s="238"/>
      <c r="E6836" s="545"/>
      <c r="F6836" s="546"/>
      <c r="G6836" s="234"/>
      <c r="H6836" s="238"/>
      <c r="I6836" s="237"/>
    </row>
    <row r="6837" spans="1:9" s="232" customFormat="1" ht="17" customHeight="1">
      <c r="A6837" s="234"/>
      <c r="B6837" s="233"/>
      <c r="C6837" s="238"/>
      <c r="E6837" s="545"/>
      <c r="F6837" s="546"/>
      <c r="G6837" s="234"/>
      <c r="H6837" s="238"/>
      <c r="I6837" s="237"/>
    </row>
    <row r="6838" spans="1:9" s="232" customFormat="1" ht="17" customHeight="1">
      <c r="A6838" s="234"/>
      <c r="B6838" s="233"/>
      <c r="C6838" s="238"/>
      <c r="E6838" s="545"/>
      <c r="F6838" s="546"/>
      <c r="G6838" s="234"/>
      <c r="H6838" s="238"/>
      <c r="I6838" s="237"/>
    </row>
    <row r="6839" spans="1:9" s="232" customFormat="1" ht="17" customHeight="1">
      <c r="A6839" s="234"/>
      <c r="B6839" s="233"/>
      <c r="C6839" s="238"/>
      <c r="E6839" s="545"/>
      <c r="F6839" s="546"/>
      <c r="G6839" s="234"/>
      <c r="H6839" s="238"/>
      <c r="I6839" s="237"/>
    </row>
    <row r="6840" spans="1:9" s="232" customFormat="1" ht="17" customHeight="1">
      <c r="A6840" s="234"/>
      <c r="B6840" s="233"/>
      <c r="C6840" s="238"/>
      <c r="E6840" s="545"/>
      <c r="F6840" s="546"/>
      <c r="G6840" s="234"/>
      <c r="H6840" s="238"/>
      <c r="I6840" s="237"/>
    </row>
    <row r="6841" spans="1:9" s="232" customFormat="1" ht="17" customHeight="1">
      <c r="A6841" s="234"/>
      <c r="B6841" s="233"/>
      <c r="C6841" s="238"/>
      <c r="E6841" s="545"/>
      <c r="F6841" s="546"/>
      <c r="G6841" s="234"/>
      <c r="H6841" s="238"/>
      <c r="I6841" s="237"/>
    </row>
    <row r="6842" spans="1:9" s="232" customFormat="1" ht="17" customHeight="1">
      <c r="A6842" s="234"/>
      <c r="B6842" s="233"/>
      <c r="C6842" s="238"/>
      <c r="E6842" s="545"/>
      <c r="F6842" s="546"/>
      <c r="G6842" s="234"/>
      <c r="H6842" s="238"/>
      <c r="I6842" s="237"/>
    </row>
    <row r="6843" spans="1:9" s="232" customFormat="1" ht="17" customHeight="1">
      <c r="A6843" s="234"/>
      <c r="B6843" s="233"/>
      <c r="C6843" s="238"/>
      <c r="E6843" s="545"/>
      <c r="F6843" s="546"/>
      <c r="G6843" s="234"/>
      <c r="H6843" s="238"/>
      <c r="I6843" s="237"/>
    </row>
    <row r="6844" spans="1:9" s="232" customFormat="1" ht="17" customHeight="1">
      <c r="A6844" s="234"/>
      <c r="B6844" s="233"/>
      <c r="C6844" s="238"/>
      <c r="E6844" s="545"/>
      <c r="F6844" s="546"/>
      <c r="G6844" s="234"/>
      <c r="H6844" s="238"/>
      <c r="I6844" s="237"/>
    </row>
    <row r="6845" spans="1:9" s="232" customFormat="1" ht="17" customHeight="1">
      <c r="A6845" s="234"/>
      <c r="B6845" s="233"/>
      <c r="C6845" s="238"/>
      <c r="E6845" s="545"/>
      <c r="F6845" s="546"/>
      <c r="G6845" s="234"/>
      <c r="H6845" s="238"/>
      <c r="I6845" s="237"/>
    </row>
    <row r="6846" spans="1:9" s="232" customFormat="1" ht="17" customHeight="1">
      <c r="A6846" s="234"/>
      <c r="B6846" s="233"/>
      <c r="C6846" s="238"/>
      <c r="E6846" s="545"/>
      <c r="F6846" s="546"/>
      <c r="G6846" s="234"/>
      <c r="H6846" s="238"/>
      <c r="I6846" s="237"/>
    </row>
    <row r="6847" spans="1:9" s="232" customFormat="1" ht="17" customHeight="1">
      <c r="A6847" s="234"/>
      <c r="B6847" s="233"/>
      <c r="C6847" s="238"/>
      <c r="E6847" s="545"/>
      <c r="F6847" s="546"/>
      <c r="G6847" s="234"/>
      <c r="H6847" s="238"/>
      <c r="I6847" s="237"/>
    </row>
    <row r="6848" spans="1:9" s="232" customFormat="1" ht="17" customHeight="1">
      <c r="A6848" s="234"/>
      <c r="B6848" s="233"/>
      <c r="C6848" s="238"/>
      <c r="E6848" s="545"/>
      <c r="F6848" s="546"/>
      <c r="G6848" s="234"/>
      <c r="H6848" s="238"/>
      <c r="I6848" s="237"/>
    </row>
    <row r="6849" spans="1:9" s="232" customFormat="1" ht="17" customHeight="1">
      <c r="A6849" s="234"/>
      <c r="B6849" s="233"/>
      <c r="C6849" s="238"/>
      <c r="E6849" s="545"/>
      <c r="F6849" s="546"/>
      <c r="G6849" s="234"/>
      <c r="H6849" s="238"/>
      <c r="I6849" s="237"/>
    </row>
    <row r="6850" spans="1:9" s="232" customFormat="1" ht="17" customHeight="1">
      <c r="A6850" s="234"/>
      <c r="B6850" s="233"/>
      <c r="C6850" s="238"/>
      <c r="E6850" s="545"/>
      <c r="F6850" s="546"/>
      <c r="G6850" s="234"/>
      <c r="H6850" s="238"/>
      <c r="I6850" s="237"/>
    </row>
    <row r="6851" spans="1:9" s="232" customFormat="1" ht="17" customHeight="1">
      <c r="A6851" s="234"/>
      <c r="B6851" s="233"/>
      <c r="C6851" s="238"/>
      <c r="E6851" s="545"/>
      <c r="F6851" s="546"/>
      <c r="G6851" s="234"/>
      <c r="H6851" s="238"/>
      <c r="I6851" s="237"/>
    </row>
    <row r="6852" spans="1:9" s="232" customFormat="1" ht="17" customHeight="1">
      <c r="A6852" s="234"/>
      <c r="B6852" s="233"/>
      <c r="C6852" s="238"/>
      <c r="E6852" s="545"/>
      <c r="F6852" s="546"/>
      <c r="G6852" s="234"/>
      <c r="H6852" s="238"/>
      <c r="I6852" s="237"/>
    </row>
    <row r="6853" spans="1:9" s="232" customFormat="1" ht="17" customHeight="1">
      <c r="A6853" s="234"/>
      <c r="B6853" s="233"/>
      <c r="C6853" s="238"/>
      <c r="E6853" s="545"/>
      <c r="F6853" s="546"/>
      <c r="G6853" s="234"/>
      <c r="H6853" s="238"/>
      <c r="I6853" s="237"/>
    </row>
    <row r="6854" spans="1:9" s="232" customFormat="1" ht="17" customHeight="1">
      <c r="A6854" s="234"/>
      <c r="B6854" s="233"/>
      <c r="C6854" s="238"/>
      <c r="E6854" s="545"/>
      <c r="F6854" s="546"/>
      <c r="G6854" s="234"/>
      <c r="H6854" s="238"/>
      <c r="I6854" s="237"/>
    </row>
    <row r="6855" spans="1:9" s="232" customFormat="1" ht="17" customHeight="1">
      <c r="A6855" s="234"/>
      <c r="B6855" s="233"/>
      <c r="C6855" s="238"/>
      <c r="E6855" s="545"/>
      <c r="F6855" s="546"/>
      <c r="G6855" s="234"/>
      <c r="H6855" s="238"/>
      <c r="I6855" s="237"/>
    </row>
    <row r="6856" spans="1:9" s="232" customFormat="1" ht="17" customHeight="1">
      <c r="A6856" s="234"/>
      <c r="B6856" s="233"/>
      <c r="C6856" s="238"/>
      <c r="E6856" s="545"/>
      <c r="F6856" s="546"/>
      <c r="G6856" s="234"/>
      <c r="H6856" s="238"/>
      <c r="I6856" s="237"/>
    </row>
    <row r="6857" spans="1:9" s="232" customFormat="1" ht="17" customHeight="1">
      <c r="A6857" s="234"/>
      <c r="B6857" s="233"/>
      <c r="C6857" s="238"/>
      <c r="E6857" s="545"/>
      <c r="F6857" s="546"/>
      <c r="G6857" s="234"/>
      <c r="H6857" s="238"/>
      <c r="I6857" s="237"/>
    </row>
    <row r="6858" spans="1:9" s="232" customFormat="1" ht="17" customHeight="1">
      <c r="A6858" s="234"/>
      <c r="B6858" s="233"/>
      <c r="C6858" s="238"/>
      <c r="E6858" s="545"/>
      <c r="F6858" s="546"/>
      <c r="G6858" s="234"/>
      <c r="H6858" s="238"/>
      <c r="I6858" s="237"/>
    </row>
    <row r="6859" spans="1:9" s="232" customFormat="1" ht="17" customHeight="1">
      <c r="A6859" s="234"/>
      <c r="B6859" s="233"/>
      <c r="C6859" s="238"/>
      <c r="E6859" s="545"/>
      <c r="F6859" s="546"/>
      <c r="G6859" s="234"/>
      <c r="H6859" s="238"/>
      <c r="I6859" s="237"/>
    </row>
    <row r="6860" spans="1:9" s="232" customFormat="1" ht="17" customHeight="1">
      <c r="A6860" s="234"/>
      <c r="B6860" s="233"/>
      <c r="C6860" s="238"/>
      <c r="E6860" s="545"/>
      <c r="F6860" s="546"/>
      <c r="G6860" s="234"/>
      <c r="H6860" s="238"/>
      <c r="I6860" s="237"/>
    </row>
    <row r="6861" spans="1:9" s="232" customFormat="1" ht="17" customHeight="1">
      <c r="A6861" s="234"/>
      <c r="B6861" s="233"/>
      <c r="C6861" s="238"/>
      <c r="E6861" s="545"/>
      <c r="F6861" s="546"/>
      <c r="G6861" s="234"/>
      <c r="H6861" s="238"/>
      <c r="I6861" s="237"/>
    </row>
    <row r="6862" spans="1:9" s="232" customFormat="1" ht="17" customHeight="1">
      <c r="A6862" s="234"/>
      <c r="B6862" s="233"/>
      <c r="C6862" s="238"/>
      <c r="E6862" s="545"/>
      <c r="F6862" s="546"/>
      <c r="G6862" s="234"/>
      <c r="H6862" s="238"/>
      <c r="I6862" s="237"/>
    </row>
    <row r="6863" spans="1:9" s="232" customFormat="1" ht="17" customHeight="1">
      <c r="A6863" s="234"/>
      <c r="B6863" s="233"/>
      <c r="C6863" s="238"/>
      <c r="E6863" s="545"/>
      <c r="F6863" s="546"/>
      <c r="G6863" s="234"/>
      <c r="H6863" s="238"/>
      <c r="I6863" s="237"/>
    </row>
    <row r="6864" spans="1:9" s="232" customFormat="1" ht="17" customHeight="1">
      <c r="A6864" s="234"/>
      <c r="B6864" s="233"/>
      <c r="C6864" s="238"/>
      <c r="E6864" s="545"/>
      <c r="F6864" s="546"/>
      <c r="G6864" s="234"/>
      <c r="H6864" s="238"/>
      <c r="I6864" s="237"/>
    </row>
    <row r="6865" spans="1:9" s="232" customFormat="1" ht="17" customHeight="1">
      <c r="A6865" s="234"/>
      <c r="B6865" s="233"/>
      <c r="C6865" s="238"/>
      <c r="E6865" s="545"/>
      <c r="F6865" s="546"/>
      <c r="G6865" s="234"/>
      <c r="H6865" s="238"/>
      <c r="I6865" s="237"/>
    </row>
    <row r="6866" spans="1:9" s="232" customFormat="1" ht="17" customHeight="1">
      <c r="A6866" s="234"/>
      <c r="B6866" s="233"/>
      <c r="C6866" s="238"/>
      <c r="E6866" s="545"/>
      <c r="F6866" s="546"/>
      <c r="G6866" s="234"/>
      <c r="H6866" s="238"/>
      <c r="I6866" s="237"/>
    </row>
    <row r="6867" spans="1:9" s="232" customFormat="1" ht="17" customHeight="1">
      <c r="A6867" s="234"/>
      <c r="B6867" s="233"/>
      <c r="C6867" s="238"/>
      <c r="E6867" s="545"/>
      <c r="F6867" s="546"/>
      <c r="G6867" s="234"/>
      <c r="H6867" s="238"/>
      <c r="I6867" s="237"/>
    </row>
    <row r="6868" spans="1:9" s="232" customFormat="1" ht="17" customHeight="1">
      <c r="A6868" s="234"/>
      <c r="B6868" s="233"/>
      <c r="C6868" s="238"/>
      <c r="E6868" s="545"/>
      <c r="F6868" s="546"/>
      <c r="G6868" s="234"/>
      <c r="H6868" s="238"/>
      <c r="I6868" s="237"/>
    </row>
    <row r="6869" spans="1:9" s="232" customFormat="1" ht="17" customHeight="1">
      <c r="A6869" s="234"/>
      <c r="B6869" s="233"/>
      <c r="C6869" s="238"/>
      <c r="E6869" s="545"/>
      <c r="F6869" s="546"/>
      <c r="G6869" s="234"/>
      <c r="H6869" s="238"/>
      <c r="I6869" s="237"/>
    </row>
    <row r="6870" spans="1:9" s="232" customFormat="1" ht="17" customHeight="1">
      <c r="A6870" s="234"/>
      <c r="B6870" s="233"/>
      <c r="C6870" s="238"/>
      <c r="E6870" s="545"/>
      <c r="F6870" s="546"/>
      <c r="G6870" s="234"/>
      <c r="H6870" s="238"/>
      <c r="I6870" s="237"/>
    </row>
    <row r="6871" spans="1:9" s="232" customFormat="1" ht="17" customHeight="1">
      <c r="A6871" s="234"/>
      <c r="B6871" s="233"/>
      <c r="C6871" s="238"/>
      <c r="E6871" s="545"/>
      <c r="F6871" s="546"/>
      <c r="G6871" s="234"/>
      <c r="H6871" s="238"/>
      <c r="I6871" s="237"/>
    </row>
    <row r="6872" spans="1:9" s="232" customFormat="1" ht="17" customHeight="1">
      <c r="A6872" s="234"/>
      <c r="B6872" s="233"/>
      <c r="C6872" s="238"/>
      <c r="E6872" s="545"/>
      <c r="F6872" s="546"/>
      <c r="G6872" s="234"/>
      <c r="H6872" s="238"/>
      <c r="I6872" s="237"/>
    </row>
    <row r="6873" spans="1:9" s="232" customFormat="1" ht="17" customHeight="1">
      <c r="A6873" s="234"/>
      <c r="B6873" s="233"/>
      <c r="C6873" s="238"/>
      <c r="E6873" s="545"/>
      <c r="F6873" s="546"/>
      <c r="G6873" s="234"/>
      <c r="H6873" s="238"/>
      <c r="I6873" s="237"/>
    </row>
    <row r="6874" spans="1:9" s="232" customFormat="1" ht="17" customHeight="1">
      <c r="A6874" s="234"/>
      <c r="B6874" s="233"/>
      <c r="C6874" s="238"/>
      <c r="E6874" s="545"/>
      <c r="F6874" s="546"/>
      <c r="G6874" s="234"/>
      <c r="H6874" s="238"/>
      <c r="I6874" s="237"/>
    </row>
    <row r="6875" spans="1:9" s="232" customFormat="1" ht="17" customHeight="1">
      <c r="A6875" s="234"/>
      <c r="B6875" s="233"/>
      <c r="C6875" s="238"/>
      <c r="E6875" s="545"/>
      <c r="F6875" s="546"/>
      <c r="G6875" s="234"/>
      <c r="H6875" s="238"/>
      <c r="I6875" s="237"/>
    </row>
    <row r="6876" spans="1:9" s="232" customFormat="1" ht="17" customHeight="1">
      <c r="A6876" s="234"/>
      <c r="B6876" s="233"/>
      <c r="C6876" s="238"/>
      <c r="E6876" s="545"/>
      <c r="F6876" s="546"/>
      <c r="G6876" s="234"/>
      <c r="H6876" s="238"/>
      <c r="I6876" s="237"/>
    </row>
    <row r="6877" spans="1:9" s="232" customFormat="1" ht="17" customHeight="1">
      <c r="A6877" s="234"/>
      <c r="B6877" s="233"/>
      <c r="C6877" s="238"/>
      <c r="E6877" s="545"/>
      <c r="F6877" s="546"/>
      <c r="G6877" s="234"/>
      <c r="H6877" s="238"/>
      <c r="I6877" s="237"/>
    </row>
    <row r="6878" spans="1:9" s="232" customFormat="1" ht="17" customHeight="1">
      <c r="A6878" s="234"/>
      <c r="B6878" s="233"/>
      <c r="C6878" s="238"/>
      <c r="E6878" s="545"/>
      <c r="F6878" s="546"/>
      <c r="G6878" s="234"/>
      <c r="H6878" s="238"/>
      <c r="I6878" s="237"/>
    </row>
    <row r="6879" spans="1:9" s="232" customFormat="1" ht="17" customHeight="1">
      <c r="A6879" s="234"/>
      <c r="B6879" s="233"/>
      <c r="C6879" s="238"/>
      <c r="E6879" s="545"/>
      <c r="F6879" s="546"/>
      <c r="G6879" s="234"/>
      <c r="H6879" s="238"/>
      <c r="I6879" s="237"/>
    </row>
    <row r="6880" spans="1:9" s="232" customFormat="1" ht="17" customHeight="1">
      <c r="A6880" s="234"/>
      <c r="B6880" s="233"/>
      <c r="C6880" s="238"/>
      <c r="E6880" s="545"/>
      <c r="F6880" s="546"/>
      <c r="G6880" s="234"/>
      <c r="H6880" s="238"/>
      <c r="I6880" s="237"/>
    </row>
    <row r="6881" spans="1:9" s="232" customFormat="1" ht="17" customHeight="1">
      <c r="A6881" s="234"/>
      <c r="B6881" s="233"/>
      <c r="C6881" s="238"/>
      <c r="E6881" s="545"/>
      <c r="F6881" s="546"/>
      <c r="G6881" s="234"/>
      <c r="H6881" s="238"/>
      <c r="I6881" s="237"/>
    </row>
    <row r="6882" spans="1:9" s="232" customFormat="1" ht="17" customHeight="1">
      <c r="A6882" s="234"/>
      <c r="B6882" s="233"/>
      <c r="C6882" s="238"/>
      <c r="E6882" s="545"/>
      <c r="F6882" s="546"/>
      <c r="G6882" s="234"/>
      <c r="H6882" s="238"/>
      <c r="I6882" s="237"/>
    </row>
    <row r="6883" spans="1:9" s="232" customFormat="1" ht="17" customHeight="1">
      <c r="A6883" s="234"/>
      <c r="B6883" s="233"/>
      <c r="C6883" s="238"/>
      <c r="E6883" s="545"/>
      <c r="F6883" s="546"/>
      <c r="G6883" s="234"/>
      <c r="H6883" s="238"/>
      <c r="I6883" s="237"/>
    </row>
    <row r="6884" spans="1:9" s="232" customFormat="1" ht="17" customHeight="1">
      <c r="A6884" s="234"/>
      <c r="B6884" s="233"/>
      <c r="C6884" s="238"/>
      <c r="E6884" s="545"/>
      <c r="F6884" s="546"/>
      <c r="G6884" s="234"/>
      <c r="H6884" s="238"/>
      <c r="I6884" s="237"/>
    </row>
    <row r="6885" spans="1:9" s="232" customFormat="1" ht="17" customHeight="1">
      <c r="A6885" s="234"/>
      <c r="B6885" s="233"/>
      <c r="C6885" s="238"/>
      <c r="E6885" s="545"/>
      <c r="F6885" s="546"/>
      <c r="G6885" s="234"/>
      <c r="H6885" s="238"/>
      <c r="I6885" s="237"/>
    </row>
    <row r="6886" spans="1:9" s="232" customFormat="1" ht="17" customHeight="1">
      <c r="A6886" s="234"/>
      <c r="B6886" s="233"/>
      <c r="C6886" s="238"/>
      <c r="E6886" s="545"/>
      <c r="F6886" s="546"/>
      <c r="G6886" s="234"/>
      <c r="H6886" s="238"/>
      <c r="I6886" s="237"/>
    </row>
    <row r="6887" spans="1:9" s="232" customFormat="1" ht="17" customHeight="1">
      <c r="A6887" s="234"/>
      <c r="B6887" s="233"/>
      <c r="C6887" s="238"/>
      <c r="E6887" s="545"/>
      <c r="F6887" s="546"/>
      <c r="G6887" s="234"/>
      <c r="H6887" s="238"/>
      <c r="I6887" s="237"/>
    </row>
    <row r="6888" spans="1:9" s="232" customFormat="1" ht="17" customHeight="1">
      <c r="A6888" s="234"/>
      <c r="B6888" s="233"/>
      <c r="C6888" s="238"/>
      <c r="E6888" s="545"/>
      <c r="F6888" s="546"/>
      <c r="G6888" s="234"/>
      <c r="H6888" s="238"/>
      <c r="I6888" s="237"/>
    </row>
    <row r="6889" spans="1:9" s="232" customFormat="1" ht="17" customHeight="1">
      <c r="A6889" s="234"/>
      <c r="B6889" s="233"/>
      <c r="C6889" s="238"/>
      <c r="E6889" s="545"/>
      <c r="F6889" s="546"/>
      <c r="G6889" s="234"/>
      <c r="H6889" s="238"/>
      <c r="I6889" s="237"/>
    </row>
    <row r="6890" spans="1:9" s="232" customFormat="1" ht="17" customHeight="1">
      <c r="A6890" s="234"/>
      <c r="B6890" s="233"/>
      <c r="C6890" s="238"/>
      <c r="E6890" s="545"/>
      <c r="F6890" s="546"/>
      <c r="G6890" s="234"/>
      <c r="H6890" s="238"/>
      <c r="I6890" s="237"/>
    </row>
    <row r="6891" spans="1:9" s="232" customFormat="1" ht="17" customHeight="1">
      <c r="A6891" s="234"/>
      <c r="B6891" s="233"/>
      <c r="C6891" s="238"/>
      <c r="E6891" s="545"/>
      <c r="F6891" s="546"/>
      <c r="G6891" s="234"/>
      <c r="H6891" s="238"/>
      <c r="I6891" s="237"/>
    </row>
    <row r="6892" spans="1:9" s="232" customFormat="1" ht="17" customHeight="1">
      <c r="A6892" s="234"/>
      <c r="B6892" s="233"/>
      <c r="C6892" s="238"/>
      <c r="E6892" s="545"/>
      <c r="F6892" s="546"/>
      <c r="G6892" s="234"/>
      <c r="H6892" s="238"/>
      <c r="I6892" s="237"/>
    </row>
    <row r="6893" spans="1:9" s="232" customFormat="1" ht="17" customHeight="1">
      <c r="A6893" s="234"/>
      <c r="B6893" s="233"/>
      <c r="C6893" s="238"/>
      <c r="E6893" s="545"/>
      <c r="F6893" s="546"/>
      <c r="G6893" s="234"/>
      <c r="H6893" s="238"/>
      <c r="I6893" s="237"/>
    </row>
    <row r="6894" spans="1:9" s="232" customFormat="1" ht="17" customHeight="1">
      <c r="A6894" s="234"/>
      <c r="B6894" s="233"/>
      <c r="C6894" s="238"/>
      <c r="E6894" s="545"/>
      <c r="F6894" s="546"/>
      <c r="G6894" s="234"/>
      <c r="H6894" s="238"/>
      <c r="I6894" s="237"/>
    </row>
    <row r="6895" spans="1:9" s="232" customFormat="1" ht="17" customHeight="1">
      <c r="A6895" s="234"/>
      <c r="B6895" s="233"/>
      <c r="C6895" s="238"/>
      <c r="E6895" s="545"/>
      <c r="F6895" s="546"/>
      <c r="G6895" s="234"/>
      <c r="H6895" s="238"/>
      <c r="I6895" s="237"/>
    </row>
    <row r="6896" spans="1:9" s="232" customFormat="1" ht="17" customHeight="1">
      <c r="A6896" s="234"/>
      <c r="B6896" s="233"/>
      <c r="C6896" s="238"/>
      <c r="E6896" s="545"/>
      <c r="F6896" s="546"/>
      <c r="G6896" s="234"/>
      <c r="H6896" s="238"/>
      <c r="I6896" s="237"/>
    </row>
    <row r="6897" spans="1:9" s="232" customFormat="1" ht="17" customHeight="1">
      <c r="A6897" s="234"/>
      <c r="B6897" s="233"/>
      <c r="C6897" s="238"/>
      <c r="E6897" s="545"/>
      <c r="F6897" s="546"/>
      <c r="G6897" s="234"/>
      <c r="H6897" s="238"/>
      <c r="I6897" s="237"/>
    </row>
    <row r="6898" spans="1:9" s="232" customFormat="1" ht="17" customHeight="1">
      <c r="A6898" s="234"/>
      <c r="B6898" s="233"/>
      <c r="C6898" s="238"/>
      <c r="E6898" s="545"/>
      <c r="F6898" s="546"/>
      <c r="G6898" s="234"/>
      <c r="H6898" s="238"/>
      <c r="I6898" s="237"/>
    </row>
    <row r="6899" spans="1:9" s="232" customFormat="1" ht="17" customHeight="1">
      <c r="A6899" s="234"/>
      <c r="B6899" s="233"/>
      <c r="C6899" s="238"/>
      <c r="E6899" s="545"/>
      <c r="F6899" s="546"/>
      <c r="G6899" s="234"/>
      <c r="H6899" s="238"/>
      <c r="I6899" s="237"/>
    </row>
    <row r="6900" spans="1:9" s="232" customFormat="1" ht="17" customHeight="1">
      <c r="A6900" s="234"/>
      <c r="B6900" s="233"/>
      <c r="C6900" s="238"/>
      <c r="E6900" s="545"/>
      <c r="F6900" s="546"/>
      <c r="G6900" s="234"/>
      <c r="H6900" s="238"/>
      <c r="I6900" s="237"/>
    </row>
    <row r="6901" spans="1:9" s="232" customFormat="1" ht="17" customHeight="1">
      <c r="A6901" s="234"/>
      <c r="B6901" s="233"/>
      <c r="C6901" s="238"/>
      <c r="E6901" s="545"/>
      <c r="F6901" s="546"/>
      <c r="G6901" s="234"/>
      <c r="H6901" s="238"/>
      <c r="I6901" s="237"/>
    </row>
    <row r="6902" spans="1:9" s="232" customFormat="1" ht="17" customHeight="1">
      <c r="A6902" s="234"/>
      <c r="B6902" s="233"/>
      <c r="C6902" s="238"/>
      <c r="E6902" s="545"/>
      <c r="F6902" s="546"/>
      <c r="G6902" s="234"/>
      <c r="H6902" s="238"/>
      <c r="I6902" s="237"/>
    </row>
    <row r="6903" spans="1:9" s="232" customFormat="1" ht="17" customHeight="1">
      <c r="A6903" s="234"/>
      <c r="B6903" s="233"/>
      <c r="C6903" s="238"/>
      <c r="E6903" s="545"/>
      <c r="F6903" s="546"/>
      <c r="G6903" s="234"/>
      <c r="H6903" s="238"/>
      <c r="I6903" s="237"/>
    </row>
    <row r="6904" spans="1:9" s="232" customFormat="1" ht="17" customHeight="1">
      <c r="A6904" s="234"/>
      <c r="B6904" s="233"/>
      <c r="C6904" s="238"/>
      <c r="E6904" s="545"/>
      <c r="F6904" s="546"/>
      <c r="G6904" s="234"/>
      <c r="H6904" s="238"/>
      <c r="I6904" s="237"/>
    </row>
    <row r="6905" spans="1:9" s="232" customFormat="1" ht="17" customHeight="1">
      <c r="A6905" s="234"/>
      <c r="B6905" s="233"/>
      <c r="C6905" s="238"/>
      <c r="E6905" s="545"/>
      <c r="F6905" s="546"/>
      <c r="G6905" s="234"/>
      <c r="H6905" s="238"/>
      <c r="I6905" s="237"/>
    </row>
    <row r="6906" spans="1:9" s="232" customFormat="1" ht="17" customHeight="1">
      <c r="A6906" s="234"/>
      <c r="B6906" s="233"/>
      <c r="C6906" s="238"/>
      <c r="E6906" s="545"/>
      <c r="F6906" s="546"/>
      <c r="G6906" s="234"/>
      <c r="H6906" s="238"/>
      <c r="I6906" s="237"/>
    </row>
    <row r="6907" spans="1:9" s="232" customFormat="1" ht="17" customHeight="1">
      <c r="A6907" s="234"/>
      <c r="B6907" s="233"/>
      <c r="C6907" s="238"/>
      <c r="E6907" s="545"/>
      <c r="F6907" s="546"/>
      <c r="G6907" s="234"/>
      <c r="H6907" s="238"/>
      <c r="I6907" s="237"/>
    </row>
    <row r="6908" spans="1:9" s="232" customFormat="1" ht="17" customHeight="1">
      <c r="A6908" s="234"/>
      <c r="B6908" s="233"/>
      <c r="C6908" s="238"/>
      <c r="E6908" s="545"/>
      <c r="F6908" s="546"/>
      <c r="G6908" s="234"/>
      <c r="H6908" s="238"/>
      <c r="I6908" s="237"/>
    </row>
    <row r="6909" spans="1:9" s="232" customFormat="1" ht="17" customHeight="1">
      <c r="A6909" s="234"/>
      <c r="B6909" s="233"/>
      <c r="C6909" s="238"/>
      <c r="E6909" s="545"/>
      <c r="F6909" s="546"/>
      <c r="G6909" s="234"/>
      <c r="H6909" s="238"/>
      <c r="I6909" s="237"/>
    </row>
    <row r="6910" spans="1:9" s="232" customFormat="1" ht="17" customHeight="1">
      <c r="A6910" s="234"/>
      <c r="B6910" s="233"/>
      <c r="C6910" s="238"/>
      <c r="E6910" s="545"/>
      <c r="F6910" s="546"/>
      <c r="G6910" s="234"/>
      <c r="H6910" s="238"/>
      <c r="I6910" s="237"/>
    </row>
    <row r="6911" spans="1:9" s="232" customFormat="1" ht="17" customHeight="1">
      <c r="A6911" s="234"/>
      <c r="B6911" s="233"/>
      <c r="C6911" s="238"/>
      <c r="E6911" s="545"/>
      <c r="F6911" s="546"/>
      <c r="G6911" s="234"/>
      <c r="H6911" s="238"/>
      <c r="I6911" s="237"/>
    </row>
    <row r="6912" spans="1:9" s="232" customFormat="1" ht="17" customHeight="1">
      <c r="A6912" s="234"/>
      <c r="B6912" s="233"/>
      <c r="C6912" s="238"/>
      <c r="E6912" s="545"/>
      <c r="F6912" s="546"/>
      <c r="G6912" s="234"/>
      <c r="H6912" s="238"/>
      <c r="I6912" s="237"/>
    </row>
    <row r="6913" spans="1:9" s="232" customFormat="1" ht="17" customHeight="1">
      <c r="A6913" s="234"/>
      <c r="B6913" s="233"/>
      <c r="C6913" s="238"/>
      <c r="E6913" s="545"/>
      <c r="F6913" s="546"/>
      <c r="G6913" s="234"/>
      <c r="H6913" s="238"/>
      <c r="I6913" s="237"/>
    </row>
    <row r="6914" spans="1:9" s="232" customFormat="1" ht="17" customHeight="1">
      <c r="A6914" s="234"/>
      <c r="B6914" s="233"/>
      <c r="C6914" s="238"/>
      <c r="E6914" s="545"/>
      <c r="F6914" s="546"/>
      <c r="G6914" s="234"/>
      <c r="H6914" s="238"/>
      <c r="I6914" s="237"/>
    </row>
    <row r="6915" spans="1:9" s="232" customFormat="1" ht="17" customHeight="1">
      <c r="A6915" s="234"/>
      <c r="B6915" s="233"/>
      <c r="C6915" s="238"/>
      <c r="E6915" s="545"/>
      <c r="F6915" s="546"/>
      <c r="G6915" s="234"/>
      <c r="H6915" s="238"/>
      <c r="I6915" s="237"/>
    </row>
    <row r="6916" spans="1:9" s="232" customFormat="1" ht="17" customHeight="1">
      <c r="A6916" s="234"/>
      <c r="B6916" s="233"/>
      <c r="C6916" s="238"/>
      <c r="E6916" s="545"/>
      <c r="F6916" s="546"/>
      <c r="G6916" s="234"/>
      <c r="H6916" s="238"/>
      <c r="I6916" s="237"/>
    </row>
    <row r="6917" spans="1:9" s="232" customFormat="1" ht="17" customHeight="1">
      <c r="A6917" s="234"/>
      <c r="B6917" s="233"/>
      <c r="C6917" s="238"/>
      <c r="E6917" s="545"/>
      <c r="F6917" s="546"/>
      <c r="G6917" s="234"/>
      <c r="H6917" s="238"/>
      <c r="I6917" s="237"/>
    </row>
    <row r="6918" spans="1:9" s="232" customFormat="1" ht="17" customHeight="1">
      <c r="A6918" s="234"/>
      <c r="B6918" s="233"/>
      <c r="C6918" s="238"/>
      <c r="E6918" s="545"/>
      <c r="F6918" s="546"/>
      <c r="G6918" s="234"/>
      <c r="H6918" s="238"/>
      <c r="I6918" s="237"/>
    </row>
    <row r="6919" spans="1:9" s="232" customFormat="1" ht="17" customHeight="1">
      <c r="A6919" s="234"/>
      <c r="B6919" s="233"/>
      <c r="C6919" s="238"/>
      <c r="E6919" s="545"/>
      <c r="F6919" s="546"/>
      <c r="G6919" s="234"/>
      <c r="H6919" s="238"/>
      <c r="I6919" s="237"/>
    </row>
    <row r="6920" spans="1:9" s="232" customFormat="1" ht="17" customHeight="1">
      <c r="A6920" s="234"/>
      <c r="B6920" s="233"/>
      <c r="C6920" s="238"/>
      <c r="E6920" s="545"/>
      <c r="F6920" s="546"/>
      <c r="G6920" s="234"/>
      <c r="H6920" s="238"/>
      <c r="I6920" s="237"/>
    </row>
    <row r="6921" spans="1:9" s="232" customFormat="1" ht="17" customHeight="1">
      <c r="A6921" s="234"/>
      <c r="B6921" s="233"/>
      <c r="C6921" s="238"/>
      <c r="E6921" s="545"/>
      <c r="F6921" s="546"/>
      <c r="G6921" s="234"/>
      <c r="H6921" s="238"/>
      <c r="I6921" s="237"/>
    </row>
    <row r="6922" spans="1:9" s="232" customFormat="1" ht="17" customHeight="1">
      <c r="A6922" s="234"/>
      <c r="B6922" s="233"/>
      <c r="C6922" s="238"/>
      <c r="E6922" s="545"/>
      <c r="F6922" s="546"/>
      <c r="G6922" s="234"/>
      <c r="H6922" s="238"/>
      <c r="I6922" s="237"/>
    </row>
    <row r="6923" spans="1:9" s="232" customFormat="1" ht="17" customHeight="1">
      <c r="A6923" s="234"/>
      <c r="B6923" s="233"/>
      <c r="C6923" s="238"/>
      <c r="E6923" s="545"/>
      <c r="F6923" s="546"/>
      <c r="G6923" s="234"/>
      <c r="H6923" s="238"/>
      <c r="I6923" s="237"/>
    </row>
    <row r="6924" spans="1:9" s="232" customFormat="1" ht="17" customHeight="1">
      <c r="A6924" s="234"/>
      <c r="B6924" s="233"/>
      <c r="C6924" s="238"/>
      <c r="E6924" s="545"/>
      <c r="F6924" s="546"/>
      <c r="G6924" s="234"/>
      <c r="H6924" s="238"/>
      <c r="I6924" s="237"/>
    </row>
    <row r="6925" spans="1:9" s="232" customFormat="1" ht="17" customHeight="1">
      <c r="A6925" s="234"/>
      <c r="B6925" s="233"/>
      <c r="C6925" s="238"/>
      <c r="E6925" s="545"/>
      <c r="F6925" s="546"/>
      <c r="G6925" s="234"/>
      <c r="H6925" s="238"/>
      <c r="I6925" s="237"/>
    </row>
    <row r="6926" spans="1:9" s="232" customFormat="1" ht="17" customHeight="1">
      <c r="A6926" s="234"/>
      <c r="B6926" s="233"/>
      <c r="C6926" s="238"/>
      <c r="E6926" s="545"/>
      <c r="F6926" s="546"/>
      <c r="G6926" s="234"/>
      <c r="H6926" s="238"/>
      <c r="I6926" s="237"/>
    </row>
    <row r="6927" spans="1:9" s="232" customFormat="1" ht="17" customHeight="1">
      <c r="A6927" s="234"/>
      <c r="B6927" s="233"/>
      <c r="C6927" s="238"/>
      <c r="E6927" s="545"/>
      <c r="F6927" s="546"/>
      <c r="G6927" s="234"/>
      <c r="H6927" s="238"/>
      <c r="I6927" s="237"/>
    </row>
    <row r="6928" spans="1:9" s="232" customFormat="1" ht="17" customHeight="1">
      <c r="A6928" s="234"/>
      <c r="B6928" s="233"/>
      <c r="C6928" s="238"/>
      <c r="E6928" s="545"/>
      <c r="F6928" s="546"/>
      <c r="G6928" s="234"/>
      <c r="H6928" s="238"/>
      <c r="I6928" s="237"/>
    </row>
    <row r="6929" spans="1:9" s="232" customFormat="1" ht="17" customHeight="1">
      <c r="A6929" s="234"/>
      <c r="B6929" s="233"/>
      <c r="C6929" s="238"/>
      <c r="E6929" s="545"/>
      <c r="F6929" s="546"/>
      <c r="G6929" s="234"/>
      <c r="H6929" s="238"/>
      <c r="I6929" s="237"/>
    </row>
    <row r="6930" spans="1:9" s="232" customFormat="1" ht="17" customHeight="1">
      <c r="A6930" s="234"/>
      <c r="B6930" s="233"/>
      <c r="C6930" s="238"/>
      <c r="E6930" s="545"/>
      <c r="F6930" s="546"/>
      <c r="G6930" s="234"/>
      <c r="H6930" s="238"/>
      <c r="I6930" s="237"/>
    </row>
    <row r="6931" spans="1:9" s="232" customFormat="1" ht="17" customHeight="1">
      <c r="A6931" s="234"/>
      <c r="B6931" s="233"/>
      <c r="C6931" s="238"/>
      <c r="E6931" s="545"/>
      <c r="F6931" s="546"/>
      <c r="G6931" s="234"/>
      <c r="H6931" s="238"/>
      <c r="I6931" s="237"/>
    </row>
    <row r="6932" spans="1:9" s="232" customFormat="1" ht="17" customHeight="1">
      <c r="A6932" s="234"/>
      <c r="B6932" s="233"/>
      <c r="C6932" s="238"/>
      <c r="E6932" s="545"/>
      <c r="F6932" s="546"/>
      <c r="G6932" s="234"/>
      <c r="H6932" s="238"/>
      <c r="I6932" s="237"/>
    </row>
    <row r="6933" spans="1:9" s="232" customFormat="1" ht="17" customHeight="1">
      <c r="A6933" s="234"/>
      <c r="B6933" s="233"/>
      <c r="C6933" s="238"/>
      <c r="E6933" s="545"/>
      <c r="F6933" s="546"/>
      <c r="G6933" s="234"/>
      <c r="H6933" s="238"/>
      <c r="I6933" s="237"/>
    </row>
    <row r="6934" spans="1:9" s="232" customFormat="1" ht="17" customHeight="1">
      <c r="A6934" s="234"/>
      <c r="B6934" s="233"/>
      <c r="C6934" s="238"/>
      <c r="E6934" s="545"/>
      <c r="F6934" s="546"/>
      <c r="G6934" s="234"/>
      <c r="H6934" s="238"/>
      <c r="I6934" s="237"/>
    </row>
    <row r="6935" spans="1:9" s="232" customFormat="1" ht="17" customHeight="1">
      <c r="A6935" s="234"/>
      <c r="B6935" s="233"/>
      <c r="C6935" s="238"/>
      <c r="E6935" s="545"/>
      <c r="F6935" s="546"/>
      <c r="G6935" s="234"/>
      <c r="H6935" s="238"/>
      <c r="I6935" s="237"/>
    </row>
    <row r="6936" spans="1:9" s="232" customFormat="1" ht="17" customHeight="1">
      <c r="A6936" s="234"/>
      <c r="B6936" s="233"/>
      <c r="C6936" s="238"/>
      <c r="E6936" s="545"/>
      <c r="F6936" s="546"/>
      <c r="G6936" s="234"/>
      <c r="H6936" s="238"/>
      <c r="I6936" s="237"/>
    </row>
    <row r="6937" spans="1:9" s="232" customFormat="1" ht="17" customHeight="1">
      <c r="A6937" s="234"/>
      <c r="B6937" s="233"/>
      <c r="C6937" s="238"/>
      <c r="E6937" s="545"/>
      <c r="F6937" s="546"/>
      <c r="G6937" s="234"/>
      <c r="H6937" s="238"/>
      <c r="I6937" s="237"/>
    </row>
    <row r="6938" spans="1:9" s="232" customFormat="1" ht="17" customHeight="1">
      <c r="A6938" s="234"/>
      <c r="B6938" s="233"/>
      <c r="C6938" s="238"/>
      <c r="E6938" s="545"/>
      <c r="F6938" s="546"/>
      <c r="G6938" s="234"/>
      <c r="H6938" s="238"/>
      <c r="I6938" s="237"/>
    </row>
    <row r="6939" spans="1:9" s="232" customFormat="1" ht="17" customHeight="1">
      <c r="A6939" s="234"/>
      <c r="B6939" s="233"/>
      <c r="C6939" s="238"/>
      <c r="E6939" s="545"/>
      <c r="F6939" s="546"/>
      <c r="G6939" s="234"/>
      <c r="H6939" s="238"/>
      <c r="I6939" s="237"/>
    </row>
    <row r="6940" spans="1:9" s="232" customFormat="1" ht="17" customHeight="1">
      <c r="A6940" s="234"/>
      <c r="B6940" s="233"/>
      <c r="C6940" s="238"/>
      <c r="E6940" s="545"/>
      <c r="F6940" s="546"/>
      <c r="G6940" s="234"/>
      <c r="H6940" s="238"/>
      <c r="I6940" s="237"/>
    </row>
    <row r="6941" spans="1:9" s="232" customFormat="1" ht="17" customHeight="1">
      <c r="A6941" s="234"/>
      <c r="B6941" s="233"/>
      <c r="C6941" s="238"/>
      <c r="E6941" s="545"/>
      <c r="F6941" s="546"/>
      <c r="G6941" s="234"/>
      <c r="H6941" s="238"/>
      <c r="I6941" s="237"/>
    </row>
    <row r="6942" spans="1:9" s="232" customFormat="1" ht="17" customHeight="1">
      <c r="A6942" s="234"/>
      <c r="B6942" s="233"/>
      <c r="C6942" s="238"/>
      <c r="E6942" s="545"/>
      <c r="F6942" s="546"/>
      <c r="G6942" s="234"/>
      <c r="H6942" s="238"/>
      <c r="I6942" s="237"/>
    </row>
    <row r="6943" spans="1:9" s="232" customFormat="1" ht="17" customHeight="1">
      <c r="A6943" s="234"/>
      <c r="B6943" s="233"/>
      <c r="C6943" s="238"/>
      <c r="E6943" s="545"/>
      <c r="F6943" s="546"/>
      <c r="G6943" s="234"/>
      <c r="H6943" s="238"/>
      <c r="I6943" s="237"/>
    </row>
    <row r="6944" spans="1:9" s="232" customFormat="1" ht="17" customHeight="1">
      <c r="A6944" s="234"/>
      <c r="B6944" s="233"/>
      <c r="C6944" s="238"/>
      <c r="E6944" s="545"/>
      <c r="F6944" s="546"/>
      <c r="G6944" s="234"/>
      <c r="H6944" s="238"/>
      <c r="I6944" s="237"/>
    </row>
    <row r="6945" spans="1:9" s="232" customFormat="1" ht="17" customHeight="1">
      <c r="A6945" s="234"/>
      <c r="B6945" s="233"/>
      <c r="C6945" s="238"/>
      <c r="E6945" s="545"/>
      <c r="F6945" s="546"/>
      <c r="G6945" s="234"/>
      <c r="H6945" s="238"/>
      <c r="I6945" s="237"/>
    </row>
    <row r="6946" spans="1:9" s="232" customFormat="1" ht="17" customHeight="1">
      <c r="A6946" s="234"/>
      <c r="B6946" s="233"/>
      <c r="C6946" s="238"/>
      <c r="E6946" s="545"/>
      <c r="F6946" s="546"/>
      <c r="G6946" s="234"/>
      <c r="H6946" s="238"/>
      <c r="I6946" s="237"/>
    </row>
    <row r="6947" spans="1:9" s="232" customFormat="1" ht="17" customHeight="1">
      <c r="A6947" s="234"/>
      <c r="B6947" s="233"/>
      <c r="C6947" s="238"/>
      <c r="E6947" s="545"/>
      <c r="F6947" s="546"/>
      <c r="G6947" s="234"/>
      <c r="H6947" s="238"/>
      <c r="I6947" s="237"/>
    </row>
    <row r="6948" spans="1:9" s="232" customFormat="1" ht="17" customHeight="1">
      <c r="A6948" s="234"/>
      <c r="B6948" s="233"/>
      <c r="C6948" s="238"/>
      <c r="E6948" s="545"/>
      <c r="F6948" s="546"/>
      <c r="G6948" s="234"/>
      <c r="H6948" s="238"/>
      <c r="I6948" s="237"/>
    </row>
    <row r="6949" spans="1:9" s="232" customFormat="1" ht="17" customHeight="1">
      <c r="A6949" s="234"/>
      <c r="B6949" s="233"/>
      <c r="C6949" s="238"/>
      <c r="E6949" s="545"/>
      <c r="F6949" s="546"/>
      <c r="G6949" s="234"/>
      <c r="H6949" s="238"/>
      <c r="I6949" s="237"/>
    </row>
    <row r="6950" spans="1:9" s="232" customFormat="1" ht="17" customHeight="1">
      <c r="A6950" s="234"/>
      <c r="B6950" s="233"/>
      <c r="C6950" s="238"/>
      <c r="E6950" s="545"/>
      <c r="F6950" s="546"/>
      <c r="G6950" s="234"/>
      <c r="H6950" s="238"/>
      <c r="I6950" s="237"/>
    </row>
    <row r="6951" spans="1:9" s="232" customFormat="1" ht="17" customHeight="1">
      <c r="A6951" s="234"/>
      <c r="B6951" s="233"/>
      <c r="C6951" s="238"/>
      <c r="E6951" s="545"/>
      <c r="F6951" s="546"/>
      <c r="G6951" s="234"/>
      <c r="H6951" s="238"/>
      <c r="I6951" s="237"/>
    </row>
    <row r="6952" spans="1:9" s="232" customFormat="1" ht="17" customHeight="1">
      <c r="A6952" s="234"/>
      <c r="B6952" s="233"/>
      <c r="C6952" s="238"/>
      <c r="E6952" s="545"/>
      <c r="F6952" s="546"/>
      <c r="G6952" s="234"/>
      <c r="H6952" s="238"/>
      <c r="I6952" s="237"/>
    </row>
    <row r="6953" spans="1:9" s="232" customFormat="1" ht="17" customHeight="1">
      <c r="A6953" s="234"/>
      <c r="B6953" s="233"/>
      <c r="C6953" s="238"/>
      <c r="E6953" s="545"/>
      <c r="F6953" s="546"/>
      <c r="G6953" s="234"/>
      <c r="H6953" s="238"/>
      <c r="I6953" s="237"/>
    </row>
    <row r="6954" spans="1:9" s="232" customFormat="1" ht="17" customHeight="1">
      <c r="A6954" s="234"/>
      <c r="B6954" s="233"/>
      <c r="C6954" s="238"/>
      <c r="E6954" s="545"/>
      <c r="F6954" s="546"/>
      <c r="G6954" s="234"/>
      <c r="H6954" s="238"/>
      <c r="I6954" s="237"/>
    </row>
    <row r="6955" spans="1:9" s="232" customFormat="1" ht="17" customHeight="1">
      <c r="A6955" s="234"/>
      <c r="B6955" s="233"/>
      <c r="C6955" s="238"/>
      <c r="E6955" s="545"/>
      <c r="F6955" s="546"/>
      <c r="G6955" s="234"/>
      <c r="H6955" s="238"/>
      <c r="I6955" s="237"/>
    </row>
    <row r="6956" spans="1:9" s="232" customFormat="1" ht="17" customHeight="1">
      <c r="A6956" s="234"/>
      <c r="B6956" s="233"/>
      <c r="C6956" s="238"/>
      <c r="E6956" s="545"/>
      <c r="F6956" s="546"/>
      <c r="G6956" s="234"/>
      <c r="H6956" s="238"/>
      <c r="I6956" s="237"/>
    </row>
    <row r="6957" spans="1:9" s="232" customFormat="1" ht="17" customHeight="1">
      <c r="A6957" s="234"/>
      <c r="B6957" s="233"/>
      <c r="C6957" s="238"/>
      <c r="E6957" s="545"/>
      <c r="F6957" s="546"/>
      <c r="G6957" s="234"/>
      <c r="H6957" s="238"/>
      <c r="I6957" s="237"/>
    </row>
    <row r="6958" spans="1:9" s="232" customFormat="1" ht="17" customHeight="1">
      <c r="A6958" s="234"/>
      <c r="B6958" s="233"/>
      <c r="C6958" s="238"/>
      <c r="E6958" s="545"/>
      <c r="F6958" s="546"/>
      <c r="G6958" s="234"/>
      <c r="H6958" s="238"/>
      <c r="I6958" s="237"/>
    </row>
    <row r="6959" spans="1:9" s="232" customFormat="1" ht="17" customHeight="1">
      <c r="A6959" s="234"/>
      <c r="B6959" s="233"/>
      <c r="C6959" s="238"/>
      <c r="E6959" s="545"/>
      <c r="F6959" s="546"/>
      <c r="G6959" s="234"/>
      <c r="H6959" s="238"/>
      <c r="I6959" s="237"/>
    </row>
    <row r="6960" spans="1:9" s="232" customFormat="1" ht="17" customHeight="1">
      <c r="A6960" s="234"/>
      <c r="B6960" s="233"/>
      <c r="C6960" s="238"/>
      <c r="E6960" s="545"/>
      <c r="F6960" s="546"/>
      <c r="G6960" s="234"/>
      <c r="H6960" s="238"/>
      <c r="I6960" s="237"/>
    </row>
    <row r="6961" spans="1:9" s="232" customFormat="1" ht="17" customHeight="1">
      <c r="A6961" s="234"/>
      <c r="B6961" s="233"/>
      <c r="C6961" s="238"/>
      <c r="E6961" s="545"/>
      <c r="F6961" s="546"/>
      <c r="G6961" s="234"/>
      <c r="H6961" s="238"/>
      <c r="I6961" s="237"/>
    </row>
    <row r="6962" spans="1:9" s="232" customFormat="1" ht="17" customHeight="1">
      <c r="A6962" s="234"/>
      <c r="B6962" s="233"/>
      <c r="C6962" s="238"/>
      <c r="E6962" s="545"/>
      <c r="F6962" s="546"/>
      <c r="G6962" s="234"/>
      <c r="H6962" s="238"/>
      <c r="I6962" s="237"/>
    </row>
    <row r="6963" spans="1:9" s="232" customFormat="1" ht="17" customHeight="1">
      <c r="A6963" s="234"/>
      <c r="B6963" s="233"/>
      <c r="C6963" s="238"/>
      <c r="E6963" s="545"/>
      <c r="F6963" s="546"/>
      <c r="G6963" s="234"/>
      <c r="H6963" s="238"/>
      <c r="I6963" s="237"/>
    </row>
    <row r="6964" spans="1:9" s="232" customFormat="1" ht="17" customHeight="1">
      <c r="A6964" s="234"/>
      <c r="B6964" s="233"/>
      <c r="C6964" s="238"/>
      <c r="E6964" s="545"/>
      <c r="F6964" s="546"/>
      <c r="G6964" s="234"/>
      <c r="H6964" s="238"/>
      <c r="I6964" s="237"/>
    </row>
    <row r="6965" spans="1:9" s="232" customFormat="1" ht="17" customHeight="1">
      <c r="A6965" s="234"/>
      <c r="B6965" s="233"/>
      <c r="C6965" s="238"/>
      <c r="E6965" s="545"/>
      <c r="F6965" s="546"/>
      <c r="G6965" s="234"/>
      <c r="H6965" s="238"/>
      <c r="I6965" s="237"/>
    </row>
    <row r="6966" spans="1:9" s="232" customFormat="1" ht="17" customHeight="1">
      <c r="A6966" s="234"/>
      <c r="B6966" s="233"/>
      <c r="C6966" s="238"/>
      <c r="E6966" s="545"/>
      <c r="F6966" s="546"/>
      <c r="G6966" s="234"/>
      <c r="H6966" s="238"/>
      <c r="I6966" s="237"/>
    </row>
    <row r="6967" spans="1:9" s="232" customFormat="1" ht="17" customHeight="1">
      <c r="A6967" s="234"/>
      <c r="B6967" s="233"/>
      <c r="C6967" s="238"/>
      <c r="E6967" s="545"/>
      <c r="F6967" s="546"/>
      <c r="G6967" s="234"/>
      <c r="H6967" s="238"/>
      <c r="I6967" s="237"/>
    </row>
    <row r="6968" spans="1:9" s="232" customFormat="1" ht="17" customHeight="1">
      <c r="A6968" s="234"/>
      <c r="B6968" s="233"/>
      <c r="C6968" s="238"/>
      <c r="E6968" s="545"/>
      <c r="F6968" s="546"/>
      <c r="G6968" s="234"/>
      <c r="H6968" s="238"/>
      <c r="I6968" s="237"/>
    </row>
    <row r="6969" spans="1:9" s="232" customFormat="1" ht="17" customHeight="1">
      <c r="A6969" s="234"/>
      <c r="B6969" s="233"/>
      <c r="C6969" s="238"/>
      <c r="E6969" s="545"/>
      <c r="F6969" s="546"/>
      <c r="G6969" s="234"/>
      <c r="H6969" s="238"/>
      <c r="I6969" s="237"/>
    </row>
    <row r="6970" spans="1:9" s="232" customFormat="1" ht="17" customHeight="1">
      <c r="A6970" s="234"/>
      <c r="B6970" s="233"/>
      <c r="C6970" s="238"/>
      <c r="E6970" s="545"/>
      <c r="F6970" s="546"/>
      <c r="G6970" s="234"/>
      <c r="H6970" s="238"/>
      <c r="I6970" s="237"/>
    </row>
    <row r="6971" spans="1:9" s="232" customFormat="1" ht="17" customHeight="1">
      <c r="A6971" s="234"/>
      <c r="B6971" s="233"/>
      <c r="C6971" s="238"/>
      <c r="E6971" s="545"/>
      <c r="F6971" s="546"/>
      <c r="G6971" s="234"/>
      <c r="H6971" s="238"/>
      <c r="I6971" s="237"/>
    </row>
    <row r="6972" spans="1:9" s="232" customFormat="1" ht="17" customHeight="1">
      <c r="A6972" s="234"/>
      <c r="B6972" s="233"/>
      <c r="C6972" s="238"/>
      <c r="E6972" s="545"/>
      <c r="F6972" s="546"/>
      <c r="G6972" s="234"/>
      <c r="H6972" s="238"/>
      <c r="I6972" s="237"/>
    </row>
    <row r="6973" spans="1:9" s="232" customFormat="1" ht="17" customHeight="1">
      <c r="A6973" s="234"/>
      <c r="B6973" s="233"/>
      <c r="C6973" s="238"/>
      <c r="E6973" s="545"/>
      <c r="F6973" s="546"/>
      <c r="G6973" s="234"/>
      <c r="H6973" s="238"/>
      <c r="I6973" s="237"/>
    </row>
    <row r="6974" spans="1:9" s="232" customFormat="1" ht="17" customHeight="1">
      <c r="A6974" s="234"/>
      <c r="B6974" s="233"/>
      <c r="C6974" s="238"/>
      <c r="E6974" s="545"/>
      <c r="F6974" s="546"/>
      <c r="G6974" s="234"/>
      <c r="H6974" s="238"/>
      <c r="I6974" s="237"/>
    </row>
    <row r="6975" spans="1:9" s="232" customFormat="1" ht="17" customHeight="1">
      <c r="A6975" s="234"/>
      <c r="B6975" s="233"/>
      <c r="C6975" s="238"/>
      <c r="E6975" s="545"/>
      <c r="F6975" s="546"/>
      <c r="G6975" s="234"/>
      <c r="H6975" s="238"/>
      <c r="I6975" s="237"/>
    </row>
    <row r="6976" spans="1:9" s="232" customFormat="1" ht="17" customHeight="1">
      <c r="A6976" s="234"/>
      <c r="B6976" s="233"/>
      <c r="C6976" s="238"/>
      <c r="E6976" s="545"/>
      <c r="F6976" s="546"/>
      <c r="G6976" s="234"/>
      <c r="H6976" s="238"/>
      <c r="I6976" s="237"/>
    </row>
    <row r="6977" spans="1:9" s="232" customFormat="1" ht="17" customHeight="1">
      <c r="A6977" s="234"/>
      <c r="B6977" s="233"/>
      <c r="C6977" s="238"/>
      <c r="E6977" s="545"/>
      <c r="F6977" s="546"/>
      <c r="G6977" s="234"/>
      <c r="H6977" s="238"/>
      <c r="I6977" s="237"/>
    </row>
    <row r="6978" spans="1:9" s="232" customFormat="1" ht="17" customHeight="1">
      <c r="A6978" s="234"/>
      <c r="B6978" s="233"/>
      <c r="C6978" s="238"/>
      <c r="E6978" s="545"/>
      <c r="F6978" s="546"/>
      <c r="G6978" s="234"/>
      <c r="H6978" s="238"/>
      <c r="I6978" s="237"/>
    </row>
    <row r="6979" spans="1:9" s="232" customFormat="1" ht="17" customHeight="1">
      <c r="A6979" s="234"/>
      <c r="B6979" s="233"/>
      <c r="C6979" s="238"/>
      <c r="E6979" s="545"/>
      <c r="F6979" s="546"/>
      <c r="G6979" s="234"/>
      <c r="H6979" s="238"/>
      <c r="I6979" s="237"/>
    </row>
    <row r="6980" spans="1:9" s="232" customFormat="1" ht="17" customHeight="1">
      <c r="A6980" s="234"/>
      <c r="B6980" s="233"/>
      <c r="C6980" s="238"/>
      <c r="E6980" s="545"/>
      <c r="F6980" s="546"/>
      <c r="G6980" s="234"/>
      <c r="H6980" s="238"/>
      <c r="I6980" s="237"/>
    </row>
    <row r="6981" spans="1:9" s="232" customFormat="1" ht="17" customHeight="1">
      <c r="A6981" s="234"/>
      <c r="B6981" s="233"/>
      <c r="C6981" s="238"/>
      <c r="E6981" s="545"/>
      <c r="F6981" s="546"/>
      <c r="G6981" s="234"/>
      <c r="H6981" s="238"/>
      <c r="I6981" s="237"/>
    </row>
    <row r="6982" spans="1:9" s="232" customFormat="1" ht="17" customHeight="1">
      <c r="A6982" s="234"/>
      <c r="B6982" s="233"/>
      <c r="C6982" s="238"/>
      <c r="E6982" s="545"/>
      <c r="F6982" s="546"/>
      <c r="G6982" s="234"/>
      <c r="H6982" s="238"/>
      <c r="I6982" s="237"/>
    </row>
    <row r="6983" spans="1:9" s="232" customFormat="1" ht="17" customHeight="1">
      <c r="A6983" s="234"/>
      <c r="B6983" s="233"/>
      <c r="C6983" s="238"/>
      <c r="E6983" s="545"/>
      <c r="F6983" s="546"/>
      <c r="G6983" s="234"/>
      <c r="H6983" s="238"/>
      <c r="I6983" s="237"/>
    </row>
    <row r="6984" spans="1:9" s="232" customFormat="1" ht="17" customHeight="1">
      <c r="A6984" s="234"/>
      <c r="B6984" s="233"/>
      <c r="C6984" s="238"/>
      <c r="E6984" s="545"/>
      <c r="F6984" s="546"/>
      <c r="G6984" s="234"/>
      <c r="H6984" s="238"/>
      <c r="I6984" s="237"/>
    </row>
    <row r="6985" spans="1:9" s="232" customFormat="1" ht="17" customHeight="1">
      <c r="A6985" s="234"/>
      <c r="B6985" s="233"/>
      <c r="C6985" s="238"/>
      <c r="E6985" s="545"/>
      <c r="F6985" s="546"/>
      <c r="G6985" s="234"/>
      <c r="H6985" s="238"/>
      <c r="I6985" s="237"/>
    </row>
    <row r="6986" spans="1:9" s="232" customFormat="1" ht="17" customHeight="1">
      <c r="A6986" s="234"/>
      <c r="B6986" s="233"/>
      <c r="C6986" s="238"/>
      <c r="E6986" s="545"/>
      <c r="F6986" s="546"/>
      <c r="G6986" s="234"/>
      <c r="H6986" s="238"/>
      <c r="I6986" s="237"/>
    </row>
    <row r="6987" spans="1:9" s="232" customFormat="1" ht="17" customHeight="1">
      <c r="A6987" s="234"/>
      <c r="B6987" s="233"/>
      <c r="C6987" s="238"/>
      <c r="E6987" s="545"/>
      <c r="F6987" s="546"/>
      <c r="G6987" s="234"/>
      <c r="H6987" s="238"/>
      <c r="I6987" s="237"/>
    </row>
    <row r="6988" spans="1:9" s="232" customFormat="1" ht="17" customHeight="1">
      <c r="A6988" s="234"/>
      <c r="B6988" s="233"/>
      <c r="C6988" s="238"/>
      <c r="E6988" s="545"/>
      <c r="F6988" s="546"/>
      <c r="G6988" s="234"/>
      <c r="H6988" s="238"/>
      <c r="I6988" s="237"/>
    </row>
    <row r="6989" spans="1:9" s="232" customFormat="1" ht="17" customHeight="1">
      <c r="A6989" s="234"/>
      <c r="B6989" s="233"/>
      <c r="C6989" s="238"/>
      <c r="E6989" s="545"/>
      <c r="F6989" s="546"/>
      <c r="G6989" s="234"/>
      <c r="H6989" s="238"/>
      <c r="I6989" s="237"/>
    </row>
    <row r="6990" spans="1:9" s="232" customFormat="1" ht="17" customHeight="1">
      <c r="A6990" s="234"/>
      <c r="B6990" s="233"/>
      <c r="C6990" s="238"/>
      <c r="E6990" s="545"/>
      <c r="F6990" s="546"/>
      <c r="G6990" s="234"/>
      <c r="H6990" s="238"/>
      <c r="I6990" s="237"/>
    </row>
    <row r="6991" spans="1:9" s="232" customFormat="1" ht="17" customHeight="1">
      <c r="A6991" s="234"/>
      <c r="B6991" s="233"/>
      <c r="C6991" s="238"/>
      <c r="E6991" s="545"/>
      <c r="F6991" s="546"/>
      <c r="G6991" s="234"/>
      <c r="H6991" s="238"/>
      <c r="I6991" s="237"/>
    </row>
    <row r="6992" spans="1:9" s="232" customFormat="1" ht="17" customHeight="1">
      <c r="A6992" s="234"/>
      <c r="B6992" s="233"/>
      <c r="C6992" s="238"/>
      <c r="E6992" s="545"/>
      <c r="F6992" s="546"/>
      <c r="G6992" s="234"/>
      <c r="H6992" s="238"/>
      <c r="I6992" s="237"/>
    </row>
    <row r="6993" spans="1:9" s="232" customFormat="1" ht="17" customHeight="1">
      <c r="A6993" s="234"/>
      <c r="B6993" s="233"/>
      <c r="C6993" s="238"/>
      <c r="E6993" s="545"/>
      <c r="F6993" s="546"/>
      <c r="G6993" s="234"/>
      <c r="H6993" s="238"/>
      <c r="I6993" s="237"/>
    </row>
    <row r="6994" spans="1:9" s="232" customFormat="1" ht="17" customHeight="1">
      <c r="A6994" s="234"/>
      <c r="B6994" s="233"/>
      <c r="C6994" s="238"/>
      <c r="E6994" s="545"/>
      <c r="F6994" s="546"/>
      <c r="G6994" s="234"/>
      <c r="H6994" s="238"/>
      <c r="I6994" s="237"/>
    </row>
    <row r="6995" spans="1:9" s="232" customFormat="1" ht="17" customHeight="1">
      <c r="A6995" s="234"/>
      <c r="B6995" s="233"/>
      <c r="C6995" s="238"/>
      <c r="E6995" s="545"/>
      <c r="F6995" s="546"/>
      <c r="G6995" s="234"/>
      <c r="H6995" s="238"/>
      <c r="I6995" s="237"/>
    </row>
    <row r="6996" spans="1:9" s="232" customFormat="1" ht="17" customHeight="1">
      <c r="A6996" s="234"/>
      <c r="B6996" s="233"/>
      <c r="C6996" s="238"/>
      <c r="E6996" s="545"/>
      <c r="F6996" s="546"/>
      <c r="G6996" s="234"/>
      <c r="H6996" s="238"/>
      <c r="I6996" s="237"/>
    </row>
    <row r="6997" spans="1:9" s="232" customFormat="1" ht="17" customHeight="1">
      <c r="A6997" s="234"/>
      <c r="B6997" s="233"/>
      <c r="C6997" s="238"/>
      <c r="E6997" s="545"/>
      <c r="F6997" s="546"/>
      <c r="G6997" s="234"/>
      <c r="H6997" s="238"/>
      <c r="I6997" s="237"/>
    </row>
    <row r="6998" spans="1:9" s="232" customFormat="1" ht="17" customHeight="1">
      <c r="A6998" s="234"/>
      <c r="B6998" s="233"/>
      <c r="C6998" s="238"/>
      <c r="E6998" s="545"/>
      <c r="F6998" s="546"/>
      <c r="G6998" s="234"/>
      <c r="H6998" s="238"/>
      <c r="I6998" s="237"/>
    </row>
    <row r="6999" spans="1:9" s="232" customFormat="1" ht="17" customHeight="1">
      <c r="A6999" s="234"/>
      <c r="B6999" s="233"/>
      <c r="C6999" s="238"/>
      <c r="E6999" s="545"/>
      <c r="F6999" s="546"/>
      <c r="G6999" s="234"/>
      <c r="H6999" s="238"/>
      <c r="I6999" s="237"/>
    </row>
    <row r="7000" spans="1:9" s="232" customFormat="1" ht="17" customHeight="1">
      <c r="A7000" s="234"/>
      <c r="B7000" s="233"/>
      <c r="C7000" s="238"/>
      <c r="E7000" s="545"/>
      <c r="F7000" s="546"/>
      <c r="G7000" s="234"/>
      <c r="H7000" s="238"/>
      <c r="I7000" s="237"/>
    </row>
    <row r="7001" spans="1:9" s="232" customFormat="1" ht="17" customHeight="1">
      <c r="A7001" s="234"/>
      <c r="B7001" s="233"/>
      <c r="C7001" s="238"/>
      <c r="E7001" s="545"/>
      <c r="F7001" s="546"/>
      <c r="G7001" s="234"/>
      <c r="H7001" s="238"/>
      <c r="I7001" s="237"/>
    </row>
    <row r="7002" spans="1:9" s="232" customFormat="1" ht="17" customHeight="1">
      <c r="A7002" s="234"/>
      <c r="B7002" s="233"/>
      <c r="C7002" s="238"/>
      <c r="E7002" s="545"/>
      <c r="F7002" s="546"/>
      <c r="G7002" s="234"/>
      <c r="H7002" s="238"/>
      <c r="I7002" s="237"/>
    </row>
    <row r="7003" spans="1:9" s="232" customFormat="1" ht="17" customHeight="1">
      <c r="A7003" s="234"/>
      <c r="B7003" s="233"/>
      <c r="C7003" s="238"/>
      <c r="E7003" s="545"/>
      <c r="F7003" s="546"/>
      <c r="G7003" s="234"/>
      <c r="H7003" s="238"/>
      <c r="I7003" s="237"/>
    </row>
    <row r="7004" spans="1:9" s="232" customFormat="1" ht="17" customHeight="1">
      <c r="A7004" s="234"/>
      <c r="B7004" s="233"/>
      <c r="C7004" s="238"/>
      <c r="E7004" s="545"/>
      <c r="F7004" s="546"/>
      <c r="G7004" s="234"/>
      <c r="H7004" s="238"/>
      <c r="I7004" s="237"/>
    </row>
    <row r="7005" spans="1:9" s="232" customFormat="1" ht="17" customHeight="1">
      <c r="A7005" s="234"/>
      <c r="B7005" s="233"/>
      <c r="C7005" s="238"/>
      <c r="E7005" s="545"/>
      <c r="F7005" s="546"/>
      <c r="G7005" s="234"/>
      <c r="H7005" s="238"/>
      <c r="I7005" s="237"/>
    </row>
    <row r="7006" spans="1:9" s="232" customFormat="1" ht="17" customHeight="1">
      <c r="A7006" s="234"/>
      <c r="B7006" s="233"/>
      <c r="C7006" s="238"/>
      <c r="E7006" s="545"/>
      <c r="F7006" s="546"/>
      <c r="G7006" s="234"/>
      <c r="H7006" s="238"/>
      <c r="I7006" s="237"/>
    </row>
    <row r="7007" spans="1:9" s="232" customFormat="1" ht="17" customHeight="1">
      <c r="A7007" s="234"/>
      <c r="B7007" s="233"/>
      <c r="C7007" s="238"/>
      <c r="E7007" s="545"/>
      <c r="F7007" s="546"/>
      <c r="G7007" s="234"/>
      <c r="H7007" s="238"/>
      <c r="I7007" s="237"/>
    </row>
    <row r="7008" spans="1:9" s="232" customFormat="1" ht="17" customHeight="1">
      <c r="A7008" s="234"/>
      <c r="B7008" s="233"/>
      <c r="C7008" s="238"/>
      <c r="E7008" s="545"/>
      <c r="F7008" s="546"/>
      <c r="G7008" s="234"/>
      <c r="H7008" s="238"/>
      <c r="I7008" s="237"/>
    </row>
    <row r="7009" spans="1:9" s="232" customFormat="1" ht="17" customHeight="1">
      <c r="A7009" s="234"/>
      <c r="B7009" s="233"/>
      <c r="C7009" s="238"/>
      <c r="E7009" s="545"/>
      <c r="F7009" s="546"/>
      <c r="G7009" s="234"/>
      <c r="H7009" s="238"/>
      <c r="I7009" s="237"/>
    </row>
    <row r="7010" spans="1:9" s="232" customFormat="1" ht="17" customHeight="1">
      <c r="A7010" s="234"/>
      <c r="B7010" s="233"/>
      <c r="C7010" s="238"/>
      <c r="E7010" s="545"/>
      <c r="F7010" s="546"/>
      <c r="G7010" s="234"/>
      <c r="H7010" s="238"/>
      <c r="I7010" s="237"/>
    </row>
    <row r="7011" spans="1:9" s="232" customFormat="1" ht="17" customHeight="1">
      <c r="A7011" s="234"/>
      <c r="B7011" s="233"/>
      <c r="C7011" s="238"/>
      <c r="E7011" s="545"/>
      <c r="F7011" s="546"/>
      <c r="G7011" s="234"/>
      <c r="H7011" s="238"/>
      <c r="I7011" s="237"/>
    </row>
    <row r="7012" spans="1:9" s="232" customFormat="1" ht="17" customHeight="1">
      <c r="A7012" s="234"/>
      <c r="B7012" s="233"/>
      <c r="C7012" s="238"/>
      <c r="E7012" s="545"/>
      <c r="F7012" s="546"/>
      <c r="G7012" s="234"/>
      <c r="H7012" s="238"/>
      <c r="I7012" s="237"/>
    </row>
    <row r="7013" spans="1:9" s="232" customFormat="1" ht="17" customHeight="1">
      <c r="A7013" s="234"/>
      <c r="B7013" s="233"/>
      <c r="C7013" s="238"/>
      <c r="E7013" s="545"/>
      <c r="F7013" s="546"/>
      <c r="G7013" s="234"/>
      <c r="H7013" s="238"/>
      <c r="I7013" s="237"/>
    </row>
    <row r="7014" spans="1:9" s="232" customFormat="1" ht="17" customHeight="1">
      <c r="A7014" s="234"/>
      <c r="B7014" s="233"/>
      <c r="C7014" s="238"/>
      <c r="E7014" s="545"/>
      <c r="F7014" s="546"/>
      <c r="G7014" s="234"/>
      <c r="H7014" s="238"/>
      <c r="I7014" s="237"/>
    </row>
    <row r="7015" spans="1:9" s="232" customFormat="1" ht="17" customHeight="1">
      <c r="A7015" s="234"/>
      <c r="B7015" s="233"/>
      <c r="C7015" s="238"/>
      <c r="E7015" s="545"/>
      <c r="F7015" s="546"/>
      <c r="G7015" s="234"/>
      <c r="H7015" s="238"/>
      <c r="I7015" s="237"/>
    </row>
    <row r="7016" spans="1:9" s="232" customFormat="1" ht="17" customHeight="1">
      <c r="A7016" s="234"/>
      <c r="B7016" s="233"/>
      <c r="C7016" s="238"/>
      <c r="E7016" s="545"/>
      <c r="F7016" s="546"/>
      <c r="G7016" s="234"/>
      <c r="H7016" s="238"/>
      <c r="I7016" s="237"/>
    </row>
    <row r="7017" spans="1:9" s="232" customFormat="1" ht="17" customHeight="1">
      <c r="A7017" s="234"/>
      <c r="B7017" s="233"/>
      <c r="C7017" s="238"/>
      <c r="E7017" s="545"/>
      <c r="F7017" s="546"/>
      <c r="G7017" s="234"/>
      <c r="H7017" s="238"/>
      <c r="I7017" s="237"/>
    </row>
    <row r="7018" spans="1:9" s="232" customFormat="1" ht="17" customHeight="1">
      <c r="A7018" s="234"/>
      <c r="B7018" s="233"/>
      <c r="C7018" s="238"/>
      <c r="E7018" s="545"/>
      <c r="F7018" s="546"/>
      <c r="G7018" s="234"/>
      <c r="H7018" s="238"/>
      <c r="I7018" s="237"/>
    </row>
    <row r="7019" spans="1:9" s="232" customFormat="1" ht="17" customHeight="1">
      <c r="A7019" s="234"/>
      <c r="B7019" s="233"/>
      <c r="C7019" s="238"/>
      <c r="E7019" s="545"/>
      <c r="F7019" s="546"/>
      <c r="G7019" s="234"/>
      <c r="H7019" s="238"/>
      <c r="I7019" s="237"/>
    </row>
    <row r="7020" spans="1:9" s="232" customFormat="1" ht="17" customHeight="1">
      <c r="A7020" s="234"/>
      <c r="B7020" s="233"/>
      <c r="C7020" s="238"/>
      <c r="E7020" s="545"/>
      <c r="F7020" s="546"/>
      <c r="G7020" s="234"/>
      <c r="H7020" s="238"/>
      <c r="I7020" s="237"/>
    </row>
    <row r="7021" spans="1:9" s="232" customFormat="1" ht="17" customHeight="1">
      <c r="A7021" s="234"/>
      <c r="B7021" s="233"/>
      <c r="C7021" s="238"/>
      <c r="E7021" s="545"/>
      <c r="F7021" s="546"/>
      <c r="G7021" s="234"/>
      <c r="H7021" s="238"/>
      <c r="I7021" s="237"/>
    </row>
    <row r="7022" spans="1:9" s="232" customFormat="1" ht="17" customHeight="1">
      <c r="A7022" s="234"/>
      <c r="B7022" s="233"/>
      <c r="C7022" s="238"/>
      <c r="E7022" s="545"/>
      <c r="F7022" s="546"/>
      <c r="G7022" s="234"/>
      <c r="H7022" s="238"/>
      <c r="I7022" s="237"/>
    </row>
    <row r="7023" spans="1:9" s="232" customFormat="1" ht="17" customHeight="1">
      <c r="A7023" s="234"/>
      <c r="B7023" s="233"/>
      <c r="C7023" s="238"/>
      <c r="E7023" s="545"/>
      <c r="F7023" s="546"/>
      <c r="G7023" s="234"/>
      <c r="H7023" s="238"/>
      <c r="I7023" s="237"/>
    </row>
    <row r="7024" spans="1:9" s="232" customFormat="1" ht="17" customHeight="1">
      <c r="A7024" s="234"/>
      <c r="B7024" s="233"/>
      <c r="C7024" s="238"/>
      <c r="E7024" s="545"/>
      <c r="F7024" s="546"/>
      <c r="G7024" s="234"/>
      <c r="H7024" s="238"/>
      <c r="I7024" s="237"/>
    </row>
    <row r="7025" spans="1:9" s="232" customFormat="1" ht="17" customHeight="1">
      <c r="A7025" s="234"/>
      <c r="B7025" s="233"/>
      <c r="C7025" s="238"/>
      <c r="E7025" s="545"/>
      <c r="F7025" s="546"/>
      <c r="G7025" s="234"/>
      <c r="H7025" s="238"/>
      <c r="I7025" s="237"/>
    </row>
    <row r="7026" spans="1:9" s="232" customFormat="1" ht="17" customHeight="1">
      <c r="A7026" s="234"/>
      <c r="B7026" s="233"/>
      <c r="C7026" s="238"/>
      <c r="E7026" s="545"/>
      <c r="F7026" s="546"/>
      <c r="G7026" s="234"/>
      <c r="H7026" s="238"/>
      <c r="I7026" s="237"/>
    </row>
    <row r="7027" spans="1:9" s="232" customFormat="1" ht="17" customHeight="1">
      <c r="A7027" s="234"/>
      <c r="B7027" s="233"/>
      <c r="C7027" s="238"/>
      <c r="E7027" s="545"/>
      <c r="F7027" s="546"/>
      <c r="G7027" s="234"/>
      <c r="H7027" s="238"/>
      <c r="I7027" s="237"/>
    </row>
    <row r="7028" spans="1:9" s="232" customFormat="1" ht="17" customHeight="1">
      <c r="A7028" s="234"/>
      <c r="B7028" s="233"/>
      <c r="C7028" s="238"/>
      <c r="E7028" s="545"/>
      <c r="F7028" s="546"/>
      <c r="G7028" s="234"/>
      <c r="H7028" s="238"/>
      <c r="I7028" s="237"/>
    </row>
    <row r="7029" spans="1:9" s="232" customFormat="1" ht="17" customHeight="1">
      <c r="A7029" s="234"/>
      <c r="B7029" s="233"/>
      <c r="C7029" s="238"/>
      <c r="E7029" s="545"/>
      <c r="F7029" s="546"/>
      <c r="G7029" s="234"/>
      <c r="H7029" s="238"/>
      <c r="I7029" s="237"/>
    </row>
    <row r="7030" spans="1:9" s="232" customFormat="1" ht="17" customHeight="1">
      <c r="A7030" s="234"/>
      <c r="B7030" s="233"/>
      <c r="C7030" s="238"/>
      <c r="E7030" s="545"/>
      <c r="F7030" s="546"/>
      <c r="G7030" s="234"/>
      <c r="H7030" s="238"/>
      <c r="I7030" s="237"/>
    </row>
    <row r="7031" spans="1:9" s="232" customFormat="1" ht="17" customHeight="1">
      <c r="A7031" s="234"/>
      <c r="B7031" s="233"/>
      <c r="C7031" s="238"/>
      <c r="E7031" s="545"/>
      <c r="F7031" s="546"/>
      <c r="G7031" s="234"/>
      <c r="H7031" s="238"/>
      <c r="I7031" s="237"/>
    </row>
    <row r="7032" spans="1:9" s="232" customFormat="1" ht="17" customHeight="1">
      <c r="A7032" s="234"/>
      <c r="B7032" s="233"/>
      <c r="C7032" s="238"/>
      <c r="E7032" s="545"/>
      <c r="F7032" s="546"/>
      <c r="G7032" s="234"/>
      <c r="H7032" s="238"/>
      <c r="I7032" s="237"/>
    </row>
    <row r="7033" spans="1:9" s="232" customFormat="1" ht="17" customHeight="1">
      <c r="A7033" s="234"/>
      <c r="B7033" s="233"/>
      <c r="C7033" s="238"/>
      <c r="E7033" s="545"/>
      <c r="F7033" s="546"/>
      <c r="G7033" s="234"/>
      <c r="H7033" s="238"/>
      <c r="I7033" s="237"/>
    </row>
    <row r="7034" spans="1:9" s="232" customFormat="1" ht="17" customHeight="1">
      <c r="A7034" s="234"/>
      <c r="B7034" s="233"/>
      <c r="C7034" s="238"/>
      <c r="E7034" s="545"/>
      <c r="F7034" s="546"/>
      <c r="G7034" s="234"/>
      <c r="H7034" s="238"/>
      <c r="I7034" s="237"/>
    </row>
    <row r="7035" spans="1:9" s="232" customFormat="1" ht="17" customHeight="1">
      <c r="A7035" s="234"/>
      <c r="B7035" s="233"/>
      <c r="C7035" s="238"/>
      <c r="E7035" s="545"/>
      <c r="F7035" s="546"/>
      <c r="G7035" s="234"/>
      <c r="H7035" s="238"/>
      <c r="I7035" s="237"/>
    </row>
    <row r="7036" spans="1:9" s="232" customFormat="1" ht="17" customHeight="1">
      <c r="A7036" s="234"/>
      <c r="B7036" s="233"/>
      <c r="C7036" s="238"/>
      <c r="E7036" s="545"/>
      <c r="F7036" s="546"/>
      <c r="G7036" s="234"/>
      <c r="H7036" s="238"/>
      <c r="I7036" s="237"/>
    </row>
    <row r="7037" spans="1:9" s="232" customFormat="1" ht="17" customHeight="1">
      <c r="A7037" s="234"/>
      <c r="B7037" s="233"/>
      <c r="C7037" s="238"/>
      <c r="E7037" s="545"/>
      <c r="F7037" s="546"/>
      <c r="G7037" s="234"/>
      <c r="H7037" s="238"/>
      <c r="I7037" s="237"/>
    </row>
    <row r="7038" spans="1:9" s="232" customFormat="1" ht="17" customHeight="1">
      <c r="A7038" s="234"/>
      <c r="B7038" s="233"/>
      <c r="C7038" s="238"/>
      <c r="E7038" s="545"/>
      <c r="F7038" s="546"/>
      <c r="G7038" s="234"/>
      <c r="H7038" s="238"/>
      <c r="I7038" s="237"/>
    </row>
    <row r="7039" spans="1:9" s="232" customFormat="1" ht="17" customHeight="1">
      <c r="A7039" s="234"/>
      <c r="B7039" s="233"/>
      <c r="C7039" s="238"/>
      <c r="E7039" s="545"/>
      <c r="F7039" s="546"/>
      <c r="G7039" s="234"/>
      <c r="H7039" s="238"/>
      <c r="I7039" s="237"/>
    </row>
    <row r="7040" spans="1:9" s="232" customFormat="1" ht="17" customHeight="1">
      <c r="A7040" s="234"/>
      <c r="B7040" s="233"/>
      <c r="C7040" s="238"/>
      <c r="E7040" s="545"/>
      <c r="F7040" s="546"/>
      <c r="G7040" s="234"/>
      <c r="H7040" s="238"/>
      <c r="I7040" s="237"/>
    </row>
    <row r="7041" spans="1:9" s="232" customFormat="1" ht="17" customHeight="1">
      <c r="A7041" s="234"/>
      <c r="B7041" s="233"/>
      <c r="C7041" s="238"/>
      <c r="E7041" s="545"/>
      <c r="F7041" s="546"/>
      <c r="G7041" s="234"/>
      <c r="H7041" s="238"/>
      <c r="I7041" s="237"/>
    </row>
    <row r="7042" spans="1:9" s="232" customFormat="1" ht="17" customHeight="1">
      <c r="A7042" s="234"/>
      <c r="B7042" s="233"/>
      <c r="C7042" s="238"/>
      <c r="E7042" s="545"/>
      <c r="F7042" s="546"/>
      <c r="G7042" s="234"/>
      <c r="H7042" s="238"/>
      <c r="I7042" s="237"/>
    </row>
    <row r="7043" spans="1:9" s="232" customFormat="1" ht="17" customHeight="1">
      <c r="A7043" s="234"/>
      <c r="B7043" s="233"/>
      <c r="C7043" s="238"/>
      <c r="E7043" s="545"/>
      <c r="F7043" s="546"/>
      <c r="G7043" s="234"/>
      <c r="H7043" s="238"/>
      <c r="I7043" s="237"/>
    </row>
    <row r="7044" spans="1:9" s="232" customFormat="1" ht="17" customHeight="1">
      <c r="A7044" s="234"/>
      <c r="B7044" s="233"/>
      <c r="C7044" s="238"/>
      <c r="E7044" s="545"/>
      <c r="F7044" s="546"/>
      <c r="G7044" s="234"/>
      <c r="H7044" s="238"/>
      <c r="I7044" s="237"/>
    </row>
    <row r="7045" spans="1:9" s="232" customFormat="1" ht="17" customHeight="1">
      <c r="A7045" s="234"/>
      <c r="B7045" s="233"/>
      <c r="C7045" s="238"/>
      <c r="E7045" s="545"/>
      <c r="F7045" s="546"/>
      <c r="G7045" s="234"/>
      <c r="H7045" s="238"/>
      <c r="I7045" s="237"/>
    </row>
    <row r="7046" spans="1:9" s="232" customFormat="1" ht="17" customHeight="1">
      <c r="A7046" s="234"/>
      <c r="B7046" s="233"/>
      <c r="C7046" s="238"/>
      <c r="E7046" s="545"/>
      <c r="F7046" s="546"/>
      <c r="G7046" s="234"/>
      <c r="H7046" s="238"/>
      <c r="I7046" s="237"/>
    </row>
    <row r="7047" spans="1:9" s="232" customFormat="1" ht="17" customHeight="1">
      <c r="A7047" s="234"/>
      <c r="B7047" s="233"/>
      <c r="C7047" s="238"/>
      <c r="E7047" s="545"/>
      <c r="F7047" s="546"/>
      <c r="G7047" s="234"/>
      <c r="H7047" s="238"/>
      <c r="I7047" s="237"/>
    </row>
    <row r="7048" spans="1:9" s="232" customFormat="1" ht="17" customHeight="1">
      <c r="A7048" s="234"/>
      <c r="B7048" s="233"/>
      <c r="C7048" s="238"/>
      <c r="E7048" s="545"/>
      <c r="F7048" s="546"/>
      <c r="G7048" s="234"/>
      <c r="H7048" s="238"/>
      <c r="I7048" s="237"/>
    </row>
    <row r="7049" spans="1:9" s="232" customFormat="1" ht="17" customHeight="1">
      <c r="A7049" s="234"/>
      <c r="B7049" s="233"/>
      <c r="C7049" s="238"/>
      <c r="E7049" s="545"/>
      <c r="F7049" s="546"/>
      <c r="G7049" s="234"/>
      <c r="H7049" s="238"/>
      <c r="I7049" s="237"/>
    </row>
    <row r="7050" spans="1:9" s="232" customFormat="1" ht="17" customHeight="1">
      <c r="A7050" s="234"/>
      <c r="B7050" s="233"/>
      <c r="C7050" s="238"/>
      <c r="E7050" s="545"/>
      <c r="F7050" s="546"/>
      <c r="G7050" s="234"/>
      <c r="H7050" s="238"/>
      <c r="I7050" s="237"/>
    </row>
    <row r="7051" spans="1:9" s="232" customFormat="1" ht="17" customHeight="1">
      <c r="A7051" s="234"/>
      <c r="B7051" s="233"/>
      <c r="C7051" s="238"/>
      <c r="E7051" s="545"/>
      <c r="F7051" s="546"/>
      <c r="G7051" s="234"/>
      <c r="H7051" s="238"/>
      <c r="I7051" s="237"/>
    </row>
    <row r="7052" spans="1:9" s="232" customFormat="1" ht="17" customHeight="1">
      <c r="A7052" s="234"/>
      <c r="B7052" s="233"/>
      <c r="C7052" s="238"/>
      <c r="E7052" s="545"/>
      <c r="F7052" s="546"/>
      <c r="G7052" s="234"/>
      <c r="H7052" s="238"/>
      <c r="I7052" s="237"/>
    </row>
    <row r="7053" spans="1:9" s="232" customFormat="1" ht="17" customHeight="1">
      <c r="A7053" s="234"/>
      <c r="B7053" s="233"/>
      <c r="C7053" s="238"/>
      <c r="E7053" s="545"/>
      <c r="F7053" s="546"/>
      <c r="G7053" s="234"/>
      <c r="H7053" s="238"/>
      <c r="I7053" s="237"/>
    </row>
    <row r="7054" spans="1:9" s="232" customFormat="1" ht="17" customHeight="1">
      <c r="A7054" s="234"/>
      <c r="B7054" s="233"/>
      <c r="C7054" s="238"/>
      <c r="E7054" s="545"/>
      <c r="F7054" s="546"/>
      <c r="G7054" s="234"/>
      <c r="H7054" s="238"/>
      <c r="I7054" s="237"/>
    </row>
    <row r="7055" spans="1:9" s="232" customFormat="1" ht="17" customHeight="1">
      <c r="A7055" s="234"/>
      <c r="B7055" s="233"/>
      <c r="C7055" s="238"/>
      <c r="E7055" s="545"/>
      <c r="F7055" s="546"/>
      <c r="G7055" s="234"/>
      <c r="H7055" s="238"/>
      <c r="I7055" s="237"/>
    </row>
    <row r="7056" spans="1:9" s="232" customFormat="1" ht="17" customHeight="1">
      <c r="A7056" s="234"/>
      <c r="B7056" s="233"/>
      <c r="C7056" s="238"/>
      <c r="E7056" s="545"/>
      <c r="F7056" s="546"/>
      <c r="G7056" s="234"/>
      <c r="H7056" s="238"/>
      <c r="I7056" s="237"/>
    </row>
    <row r="7057" spans="1:9" s="232" customFormat="1" ht="17" customHeight="1">
      <c r="A7057" s="234"/>
      <c r="B7057" s="233"/>
      <c r="C7057" s="238"/>
      <c r="E7057" s="545"/>
      <c r="F7057" s="546"/>
      <c r="G7057" s="234"/>
      <c r="H7057" s="238"/>
      <c r="I7057" s="237"/>
    </row>
    <row r="7058" spans="1:9" s="232" customFormat="1" ht="17" customHeight="1">
      <c r="A7058" s="234"/>
      <c r="B7058" s="233"/>
      <c r="C7058" s="238"/>
      <c r="E7058" s="545"/>
      <c r="F7058" s="546"/>
      <c r="G7058" s="234"/>
      <c r="H7058" s="238"/>
      <c r="I7058" s="237"/>
    </row>
    <row r="7059" spans="1:9" s="232" customFormat="1" ht="17" customHeight="1">
      <c r="A7059" s="234"/>
      <c r="B7059" s="233"/>
      <c r="C7059" s="238"/>
      <c r="E7059" s="545"/>
      <c r="F7059" s="546"/>
      <c r="G7059" s="234"/>
      <c r="H7059" s="238"/>
      <c r="I7059" s="237"/>
    </row>
    <row r="7060" spans="1:9" s="232" customFormat="1" ht="17" customHeight="1">
      <c r="A7060" s="234"/>
      <c r="B7060" s="233"/>
      <c r="C7060" s="238"/>
      <c r="E7060" s="545"/>
      <c r="F7060" s="546"/>
      <c r="G7060" s="234"/>
      <c r="H7060" s="238"/>
      <c r="I7060" s="237"/>
    </row>
    <row r="7061" spans="1:9" s="232" customFormat="1" ht="17" customHeight="1">
      <c r="A7061" s="234"/>
      <c r="B7061" s="233"/>
      <c r="C7061" s="238"/>
      <c r="E7061" s="545"/>
      <c r="F7061" s="546"/>
      <c r="G7061" s="234"/>
      <c r="H7061" s="238"/>
      <c r="I7061" s="237"/>
    </row>
    <row r="7062" spans="1:9" s="232" customFormat="1" ht="17" customHeight="1">
      <c r="A7062" s="234"/>
      <c r="B7062" s="233"/>
      <c r="C7062" s="238"/>
      <c r="E7062" s="545"/>
      <c r="F7062" s="546"/>
      <c r="G7062" s="234"/>
      <c r="H7062" s="238"/>
      <c r="I7062" s="237"/>
    </row>
    <row r="7063" spans="1:9" s="232" customFormat="1" ht="17" customHeight="1">
      <c r="A7063" s="234"/>
      <c r="B7063" s="233"/>
      <c r="C7063" s="238"/>
      <c r="E7063" s="545"/>
      <c r="F7063" s="546"/>
      <c r="G7063" s="234"/>
      <c r="H7063" s="238"/>
      <c r="I7063" s="237"/>
    </row>
    <row r="7064" spans="1:9" s="232" customFormat="1" ht="17" customHeight="1">
      <c r="A7064" s="234"/>
      <c r="B7064" s="233"/>
      <c r="C7064" s="238"/>
      <c r="E7064" s="545"/>
      <c r="F7064" s="546"/>
      <c r="G7064" s="234"/>
      <c r="H7064" s="238"/>
      <c r="I7064" s="237"/>
    </row>
    <row r="7065" spans="1:9" s="232" customFormat="1" ht="17" customHeight="1">
      <c r="A7065" s="234"/>
      <c r="B7065" s="233"/>
      <c r="C7065" s="238"/>
      <c r="E7065" s="545"/>
      <c r="F7065" s="546"/>
      <c r="G7065" s="234"/>
      <c r="H7065" s="238"/>
      <c r="I7065" s="237"/>
    </row>
    <row r="7066" spans="1:9" s="232" customFormat="1" ht="17" customHeight="1">
      <c r="A7066" s="234"/>
      <c r="B7066" s="233"/>
      <c r="C7066" s="238"/>
      <c r="E7066" s="545"/>
      <c r="F7066" s="546"/>
      <c r="G7066" s="234"/>
      <c r="H7066" s="238"/>
      <c r="I7066" s="237"/>
    </row>
    <row r="7067" spans="1:9" s="232" customFormat="1" ht="17" customHeight="1">
      <c r="A7067" s="234"/>
      <c r="B7067" s="233"/>
      <c r="C7067" s="238"/>
      <c r="E7067" s="545"/>
      <c r="F7067" s="546"/>
      <c r="G7067" s="234"/>
      <c r="H7067" s="238"/>
      <c r="I7067" s="237"/>
    </row>
    <row r="7068" spans="1:9" s="232" customFormat="1" ht="17" customHeight="1">
      <c r="A7068" s="234"/>
      <c r="B7068" s="233"/>
      <c r="C7068" s="238"/>
      <c r="E7068" s="545"/>
      <c r="F7068" s="546"/>
      <c r="G7068" s="234"/>
      <c r="H7068" s="238"/>
      <c r="I7068" s="237"/>
    </row>
    <row r="7069" spans="1:9" s="232" customFormat="1" ht="17" customHeight="1">
      <c r="A7069" s="234"/>
      <c r="B7069" s="233"/>
      <c r="C7069" s="238"/>
      <c r="E7069" s="545"/>
      <c r="F7069" s="546"/>
      <c r="G7069" s="234"/>
      <c r="H7069" s="238"/>
      <c r="I7069" s="237"/>
    </row>
    <row r="7070" spans="1:9" s="232" customFormat="1" ht="17" customHeight="1">
      <c r="A7070" s="234"/>
      <c r="B7070" s="233"/>
      <c r="C7070" s="238"/>
      <c r="E7070" s="545"/>
      <c r="F7070" s="546"/>
      <c r="G7070" s="234"/>
      <c r="H7070" s="238"/>
      <c r="I7070" s="237"/>
    </row>
    <row r="7071" spans="1:9" s="232" customFormat="1" ht="17" customHeight="1">
      <c r="A7071" s="234"/>
      <c r="B7071" s="233"/>
      <c r="C7071" s="238"/>
      <c r="E7071" s="545"/>
      <c r="F7071" s="546"/>
      <c r="G7071" s="234"/>
      <c r="H7071" s="238"/>
      <c r="I7071" s="237"/>
    </row>
    <row r="7072" spans="1:9" s="232" customFormat="1" ht="17" customHeight="1">
      <c r="A7072" s="234"/>
      <c r="B7072" s="233"/>
      <c r="C7072" s="238"/>
      <c r="E7072" s="545"/>
      <c r="F7072" s="546"/>
      <c r="G7072" s="234"/>
      <c r="H7072" s="238"/>
      <c r="I7072" s="237"/>
    </row>
    <row r="7073" spans="1:9" s="232" customFormat="1" ht="17" customHeight="1">
      <c r="A7073" s="234"/>
      <c r="B7073" s="233"/>
      <c r="C7073" s="238"/>
      <c r="E7073" s="545"/>
      <c r="F7073" s="546"/>
      <c r="G7073" s="234"/>
      <c r="H7073" s="238"/>
      <c r="I7073" s="237"/>
    </row>
    <row r="7074" spans="1:9" s="232" customFormat="1" ht="17" customHeight="1">
      <c r="A7074" s="234"/>
      <c r="B7074" s="233"/>
      <c r="C7074" s="238"/>
      <c r="E7074" s="545"/>
      <c r="F7074" s="546"/>
      <c r="G7074" s="234"/>
      <c r="H7074" s="238"/>
      <c r="I7074" s="237"/>
    </row>
    <row r="7075" spans="1:9" s="232" customFormat="1" ht="17" customHeight="1">
      <c r="A7075" s="234"/>
      <c r="B7075" s="233"/>
      <c r="C7075" s="238"/>
      <c r="E7075" s="545"/>
      <c r="F7075" s="546"/>
      <c r="G7075" s="234"/>
      <c r="H7075" s="238"/>
      <c r="I7075" s="237"/>
    </row>
    <row r="7076" spans="1:9" s="232" customFormat="1" ht="17" customHeight="1">
      <c r="A7076" s="234"/>
      <c r="B7076" s="233"/>
      <c r="C7076" s="238"/>
      <c r="E7076" s="545"/>
      <c r="F7076" s="546"/>
      <c r="G7076" s="234"/>
      <c r="H7076" s="238"/>
      <c r="I7076" s="237"/>
    </row>
    <row r="7077" spans="1:9" s="232" customFormat="1" ht="17" customHeight="1">
      <c r="A7077" s="234"/>
      <c r="B7077" s="233"/>
      <c r="C7077" s="238"/>
      <c r="E7077" s="545"/>
      <c r="F7077" s="546"/>
      <c r="G7077" s="234"/>
      <c r="H7077" s="238"/>
      <c r="I7077" s="237"/>
    </row>
    <row r="7078" spans="1:9" s="232" customFormat="1" ht="17" customHeight="1">
      <c r="A7078" s="234"/>
      <c r="B7078" s="233"/>
      <c r="C7078" s="238"/>
      <c r="E7078" s="545"/>
      <c r="F7078" s="546"/>
      <c r="G7078" s="234"/>
      <c r="H7078" s="238"/>
      <c r="I7078" s="237"/>
    </row>
    <row r="7079" spans="1:9" s="232" customFormat="1" ht="17" customHeight="1">
      <c r="A7079" s="234"/>
      <c r="B7079" s="233"/>
      <c r="C7079" s="238"/>
      <c r="E7079" s="545"/>
      <c r="F7079" s="546"/>
      <c r="G7079" s="234"/>
      <c r="H7079" s="238"/>
      <c r="I7079" s="237"/>
    </row>
    <row r="7080" spans="1:9" s="232" customFormat="1" ht="17" customHeight="1">
      <c r="A7080" s="234"/>
      <c r="B7080" s="233"/>
      <c r="C7080" s="238"/>
      <c r="E7080" s="545"/>
      <c r="F7080" s="546"/>
      <c r="G7080" s="234"/>
      <c r="H7080" s="238"/>
      <c r="I7080" s="237"/>
    </row>
    <row r="7081" spans="1:9" s="232" customFormat="1" ht="17" customHeight="1">
      <c r="A7081" s="234"/>
      <c r="B7081" s="233"/>
      <c r="C7081" s="238"/>
      <c r="E7081" s="545"/>
      <c r="F7081" s="546"/>
      <c r="G7081" s="234"/>
      <c r="H7081" s="238"/>
      <c r="I7081" s="237"/>
    </row>
    <row r="7082" spans="1:9" s="232" customFormat="1" ht="17" customHeight="1">
      <c r="A7082" s="234"/>
      <c r="B7082" s="233"/>
      <c r="C7082" s="238"/>
      <c r="E7082" s="545"/>
      <c r="F7082" s="546"/>
      <c r="G7082" s="234"/>
      <c r="H7082" s="238"/>
      <c r="I7082" s="237"/>
    </row>
    <row r="7083" spans="1:9" s="232" customFormat="1" ht="17" customHeight="1">
      <c r="A7083" s="234"/>
      <c r="B7083" s="233"/>
      <c r="C7083" s="238"/>
      <c r="E7083" s="545"/>
      <c r="F7083" s="546"/>
      <c r="G7083" s="234"/>
      <c r="H7083" s="238"/>
      <c r="I7083" s="237"/>
    </row>
    <row r="7084" spans="1:9" s="232" customFormat="1" ht="17" customHeight="1">
      <c r="A7084" s="234"/>
      <c r="B7084" s="233"/>
      <c r="C7084" s="238"/>
      <c r="E7084" s="545"/>
      <c r="F7084" s="546"/>
      <c r="G7084" s="234"/>
      <c r="H7084" s="238"/>
      <c r="I7084" s="237"/>
    </row>
    <row r="7085" spans="1:9" s="232" customFormat="1" ht="17" customHeight="1">
      <c r="A7085" s="234"/>
      <c r="B7085" s="233"/>
      <c r="C7085" s="238"/>
      <c r="E7085" s="545"/>
      <c r="F7085" s="546"/>
      <c r="G7085" s="234"/>
      <c r="H7085" s="238"/>
      <c r="I7085" s="237"/>
    </row>
    <row r="7086" spans="1:9" s="232" customFormat="1" ht="17" customHeight="1">
      <c r="A7086" s="234"/>
      <c r="B7086" s="233"/>
      <c r="C7086" s="238"/>
      <c r="E7086" s="545"/>
      <c r="F7086" s="546"/>
      <c r="G7086" s="234"/>
      <c r="H7086" s="238"/>
      <c r="I7086" s="237"/>
    </row>
    <row r="7087" spans="1:9" s="232" customFormat="1" ht="17" customHeight="1">
      <c r="A7087" s="234"/>
      <c r="B7087" s="233"/>
      <c r="C7087" s="238"/>
      <c r="E7087" s="545"/>
      <c r="F7087" s="546"/>
      <c r="G7087" s="234"/>
      <c r="H7087" s="238"/>
      <c r="I7087" s="237"/>
    </row>
    <row r="7088" spans="1:9" s="232" customFormat="1" ht="17" customHeight="1">
      <c r="A7088" s="234"/>
      <c r="B7088" s="233"/>
      <c r="C7088" s="238"/>
      <c r="E7088" s="545"/>
      <c r="F7088" s="546"/>
      <c r="G7088" s="234"/>
      <c r="H7088" s="238"/>
      <c r="I7088" s="237"/>
    </row>
    <row r="7089" spans="1:9" s="232" customFormat="1" ht="17" customHeight="1">
      <c r="A7089" s="234"/>
      <c r="B7089" s="233"/>
      <c r="C7089" s="238"/>
      <c r="E7089" s="545"/>
      <c r="F7089" s="546"/>
      <c r="G7089" s="234"/>
      <c r="H7089" s="238"/>
      <c r="I7089" s="237"/>
    </row>
    <row r="7090" spans="1:9" s="232" customFormat="1" ht="17" customHeight="1">
      <c r="A7090" s="234"/>
      <c r="B7090" s="233"/>
      <c r="C7090" s="238"/>
      <c r="E7090" s="545"/>
      <c r="F7090" s="546"/>
      <c r="G7090" s="234"/>
      <c r="H7090" s="238"/>
      <c r="I7090" s="237"/>
    </row>
    <row r="7091" spans="1:9" s="232" customFormat="1" ht="17" customHeight="1">
      <c r="A7091" s="234"/>
      <c r="B7091" s="233"/>
      <c r="C7091" s="238"/>
      <c r="E7091" s="545"/>
      <c r="F7091" s="546"/>
      <c r="G7091" s="234"/>
      <c r="H7091" s="238"/>
      <c r="I7091" s="237"/>
    </row>
    <row r="7092" spans="1:9" s="232" customFormat="1" ht="17" customHeight="1">
      <c r="A7092" s="234"/>
      <c r="B7092" s="233"/>
      <c r="C7092" s="238"/>
      <c r="E7092" s="545"/>
      <c r="F7092" s="546"/>
      <c r="G7092" s="234"/>
      <c r="H7092" s="238"/>
      <c r="I7092" s="237"/>
    </row>
    <row r="7093" spans="1:9" s="232" customFormat="1" ht="17" customHeight="1">
      <c r="A7093" s="234"/>
      <c r="B7093" s="233"/>
      <c r="C7093" s="238"/>
      <c r="E7093" s="545"/>
      <c r="F7093" s="546"/>
      <c r="G7093" s="234"/>
      <c r="H7093" s="238"/>
      <c r="I7093" s="237"/>
    </row>
    <row r="7094" spans="1:9" s="232" customFormat="1" ht="17" customHeight="1">
      <c r="A7094" s="234"/>
      <c r="B7094" s="233"/>
      <c r="C7094" s="238"/>
      <c r="E7094" s="545"/>
      <c r="F7094" s="546"/>
      <c r="G7094" s="234"/>
      <c r="H7094" s="238"/>
      <c r="I7094" s="237"/>
    </row>
    <row r="7095" spans="1:9" s="232" customFormat="1" ht="17" customHeight="1">
      <c r="A7095" s="234"/>
      <c r="B7095" s="233"/>
      <c r="C7095" s="238"/>
      <c r="E7095" s="545"/>
      <c r="F7095" s="546"/>
      <c r="G7095" s="234"/>
      <c r="H7095" s="238"/>
      <c r="I7095" s="237"/>
    </row>
    <row r="7096" spans="1:9" s="232" customFormat="1" ht="17" customHeight="1">
      <c r="A7096" s="234"/>
      <c r="B7096" s="233"/>
      <c r="C7096" s="238"/>
      <c r="E7096" s="545"/>
      <c r="F7096" s="546"/>
      <c r="G7096" s="234"/>
      <c r="H7096" s="238"/>
      <c r="I7096" s="237"/>
    </row>
    <row r="7097" spans="1:9" s="232" customFormat="1" ht="17" customHeight="1">
      <c r="A7097" s="234"/>
      <c r="B7097" s="233"/>
      <c r="C7097" s="238"/>
      <c r="E7097" s="545"/>
      <c r="F7097" s="546"/>
      <c r="G7097" s="234"/>
      <c r="H7097" s="238"/>
      <c r="I7097" s="237"/>
    </row>
    <row r="7098" spans="1:9" s="232" customFormat="1" ht="17" customHeight="1">
      <c r="A7098" s="234"/>
      <c r="B7098" s="233"/>
      <c r="C7098" s="238"/>
      <c r="E7098" s="545"/>
      <c r="F7098" s="546"/>
      <c r="G7098" s="234"/>
      <c r="H7098" s="238"/>
      <c r="I7098" s="237"/>
    </row>
    <row r="7099" spans="1:9" s="232" customFormat="1" ht="17" customHeight="1">
      <c r="A7099" s="234"/>
      <c r="B7099" s="233"/>
      <c r="C7099" s="238"/>
      <c r="E7099" s="545"/>
      <c r="F7099" s="546"/>
      <c r="G7099" s="234"/>
      <c r="H7099" s="238"/>
      <c r="I7099" s="237"/>
    </row>
    <row r="7100" spans="1:9" s="232" customFormat="1" ht="17" customHeight="1">
      <c r="A7100" s="234"/>
      <c r="B7100" s="233"/>
      <c r="C7100" s="238"/>
      <c r="E7100" s="545"/>
      <c r="F7100" s="546"/>
      <c r="G7100" s="234"/>
      <c r="H7100" s="238"/>
      <c r="I7100" s="237"/>
    </row>
    <row r="7101" spans="1:9" s="232" customFormat="1" ht="17" customHeight="1">
      <c r="A7101" s="234"/>
      <c r="B7101" s="233"/>
      <c r="C7101" s="238"/>
      <c r="E7101" s="545"/>
      <c r="F7101" s="546"/>
      <c r="G7101" s="234"/>
      <c r="H7101" s="238"/>
      <c r="I7101" s="237"/>
    </row>
    <row r="7102" spans="1:9" s="232" customFormat="1" ht="17" customHeight="1">
      <c r="A7102" s="234"/>
      <c r="B7102" s="233"/>
      <c r="C7102" s="238"/>
      <c r="E7102" s="545"/>
      <c r="F7102" s="546"/>
      <c r="G7102" s="234"/>
      <c r="H7102" s="238"/>
      <c r="I7102" s="237"/>
    </row>
    <row r="7103" spans="1:9" s="232" customFormat="1" ht="17" customHeight="1">
      <c r="A7103" s="234"/>
      <c r="B7103" s="233"/>
      <c r="C7103" s="238"/>
      <c r="E7103" s="545"/>
      <c r="F7103" s="546"/>
      <c r="G7103" s="234"/>
      <c r="H7103" s="238"/>
      <c r="I7103" s="237"/>
    </row>
    <row r="7104" spans="1:9" s="232" customFormat="1" ht="17" customHeight="1">
      <c r="A7104" s="234"/>
      <c r="B7104" s="233"/>
      <c r="C7104" s="238"/>
      <c r="E7104" s="545"/>
      <c r="F7104" s="546"/>
      <c r="G7104" s="234"/>
      <c r="H7104" s="238"/>
      <c r="I7104" s="237"/>
    </row>
    <row r="7105" spans="1:9" s="232" customFormat="1" ht="17" customHeight="1">
      <c r="A7105" s="234"/>
      <c r="B7105" s="233"/>
      <c r="C7105" s="238"/>
      <c r="E7105" s="545"/>
      <c r="F7105" s="546"/>
      <c r="G7105" s="234"/>
      <c r="H7105" s="238"/>
      <c r="I7105" s="237"/>
    </row>
    <row r="7106" spans="1:9" s="232" customFormat="1" ht="17" customHeight="1">
      <c r="A7106" s="234"/>
      <c r="B7106" s="233"/>
      <c r="C7106" s="238"/>
      <c r="E7106" s="545"/>
      <c r="F7106" s="546"/>
      <c r="G7106" s="234"/>
      <c r="H7106" s="238"/>
      <c r="I7106" s="237"/>
    </row>
    <row r="7107" spans="1:9" s="232" customFormat="1" ht="17" customHeight="1">
      <c r="A7107" s="234"/>
      <c r="B7107" s="233"/>
      <c r="C7107" s="238"/>
      <c r="E7107" s="545"/>
      <c r="F7107" s="546"/>
      <c r="G7107" s="234"/>
      <c r="H7107" s="238"/>
      <c r="I7107" s="237"/>
    </row>
    <row r="7108" spans="1:9" s="232" customFormat="1" ht="17" customHeight="1">
      <c r="A7108" s="234"/>
      <c r="B7108" s="233"/>
      <c r="C7108" s="238"/>
      <c r="E7108" s="545"/>
      <c r="F7108" s="546"/>
      <c r="G7108" s="234"/>
      <c r="H7108" s="238"/>
      <c r="I7108" s="237"/>
    </row>
    <row r="7109" spans="1:9" s="232" customFormat="1" ht="17" customHeight="1">
      <c r="A7109" s="234"/>
      <c r="B7109" s="233"/>
      <c r="C7109" s="238"/>
      <c r="E7109" s="545"/>
      <c r="F7109" s="546"/>
      <c r="G7109" s="234"/>
      <c r="H7109" s="238"/>
      <c r="I7109" s="237"/>
    </row>
    <row r="7110" spans="1:9" s="232" customFormat="1" ht="17" customHeight="1">
      <c r="A7110" s="234"/>
      <c r="B7110" s="233"/>
      <c r="C7110" s="238"/>
      <c r="E7110" s="545"/>
      <c r="F7110" s="546"/>
      <c r="G7110" s="234"/>
      <c r="H7110" s="238"/>
      <c r="I7110" s="237"/>
    </row>
    <row r="7111" spans="1:9" s="232" customFormat="1" ht="17" customHeight="1">
      <c r="A7111" s="234"/>
      <c r="B7111" s="233"/>
      <c r="C7111" s="238"/>
      <c r="E7111" s="545"/>
      <c r="F7111" s="546"/>
      <c r="G7111" s="234"/>
      <c r="H7111" s="238"/>
      <c r="I7111" s="237"/>
    </row>
    <row r="7112" spans="1:9" s="232" customFormat="1" ht="17" customHeight="1">
      <c r="A7112" s="234"/>
      <c r="B7112" s="233"/>
      <c r="C7112" s="238"/>
      <c r="E7112" s="545"/>
      <c r="F7112" s="546"/>
      <c r="G7112" s="234"/>
      <c r="H7112" s="238"/>
      <c r="I7112" s="237"/>
    </row>
    <row r="7113" spans="1:9" s="232" customFormat="1" ht="17" customHeight="1">
      <c r="A7113" s="234"/>
      <c r="B7113" s="233"/>
      <c r="C7113" s="238"/>
      <c r="E7113" s="545"/>
      <c r="F7113" s="546"/>
      <c r="G7113" s="234"/>
      <c r="H7113" s="238"/>
      <c r="I7113" s="237"/>
    </row>
    <row r="7114" spans="1:9" s="232" customFormat="1" ht="17" customHeight="1">
      <c r="A7114" s="234"/>
      <c r="B7114" s="233"/>
      <c r="C7114" s="238"/>
      <c r="E7114" s="545"/>
      <c r="F7114" s="546"/>
      <c r="G7114" s="234"/>
      <c r="H7114" s="238"/>
      <c r="I7114" s="237"/>
    </row>
    <row r="7115" spans="1:9" s="232" customFormat="1" ht="17" customHeight="1">
      <c r="A7115" s="234"/>
      <c r="B7115" s="233"/>
      <c r="C7115" s="238"/>
      <c r="E7115" s="545"/>
      <c r="F7115" s="546"/>
      <c r="G7115" s="234"/>
      <c r="H7115" s="238"/>
      <c r="I7115" s="237"/>
    </row>
    <row r="7116" spans="1:9" s="232" customFormat="1" ht="17" customHeight="1">
      <c r="A7116" s="234"/>
      <c r="B7116" s="233"/>
      <c r="C7116" s="238"/>
      <c r="E7116" s="545"/>
      <c r="F7116" s="546"/>
      <c r="G7116" s="234"/>
      <c r="H7116" s="238"/>
      <c r="I7116" s="237"/>
    </row>
    <row r="7117" spans="1:9" s="232" customFormat="1" ht="17" customHeight="1">
      <c r="A7117" s="234"/>
      <c r="B7117" s="233"/>
      <c r="C7117" s="238"/>
      <c r="E7117" s="545"/>
      <c r="F7117" s="546"/>
      <c r="G7117" s="234"/>
      <c r="H7117" s="238"/>
      <c r="I7117" s="237"/>
    </row>
    <row r="7118" spans="1:9" s="232" customFormat="1" ht="17" customHeight="1">
      <c r="A7118" s="234"/>
      <c r="B7118" s="233"/>
      <c r="C7118" s="238"/>
      <c r="E7118" s="545"/>
      <c r="F7118" s="546"/>
      <c r="G7118" s="234"/>
      <c r="H7118" s="238"/>
      <c r="I7118" s="237"/>
    </row>
    <row r="7119" spans="1:9" s="232" customFormat="1" ht="17" customHeight="1">
      <c r="A7119" s="234"/>
      <c r="B7119" s="233"/>
      <c r="C7119" s="238"/>
      <c r="E7119" s="545"/>
      <c r="F7119" s="546"/>
      <c r="G7119" s="234"/>
      <c r="H7119" s="238"/>
      <c r="I7119" s="237"/>
    </row>
    <row r="7120" spans="1:9" s="232" customFormat="1" ht="17" customHeight="1">
      <c r="A7120" s="234"/>
      <c r="B7120" s="233"/>
      <c r="C7120" s="238"/>
      <c r="E7120" s="545"/>
      <c r="F7120" s="546"/>
      <c r="G7120" s="234"/>
      <c r="H7120" s="238"/>
      <c r="I7120" s="237"/>
    </row>
    <row r="7121" spans="1:9" s="232" customFormat="1" ht="17" customHeight="1">
      <c r="A7121" s="234"/>
      <c r="B7121" s="233"/>
      <c r="C7121" s="238"/>
      <c r="E7121" s="545"/>
      <c r="F7121" s="546"/>
      <c r="G7121" s="234"/>
      <c r="H7121" s="238"/>
      <c r="I7121" s="237"/>
    </row>
    <row r="7122" spans="1:9" s="232" customFormat="1" ht="17" customHeight="1">
      <c r="A7122" s="234"/>
      <c r="B7122" s="233"/>
      <c r="C7122" s="238"/>
      <c r="E7122" s="545"/>
      <c r="F7122" s="546"/>
      <c r="G7122" s="234"/>
      <c r="H7122" s="238"/>
      <c r="I7122" s="237"/>
    </row>
    <row r="7123" spans="1:9" s="232" customFormat="1" ht="17" customHeight="1">
      <c r="A7123" s="234"/>
      <c r="B7123" s="233"/>
      <c r="C7123" s="238"/>
      <c r="E7123" s="545"/>
      <c r="F7123" s="546"/>
      <c r="G7123" s="234"/>
      <c r="H7123" s="238"/>
      <c r="I7123" s="237"/>
    </row>
    <row r="7124" spans="1:9" s="232" customFormat="1" ht="17" customHeight="1">
      <c r="A7124" s="234"/>
      <c r="B7124" s="233"/>
      <c r="C7124" s="238"/>
      <c r="E7124" s="545"/>
      <c r="F7124" s="546"/>
      <c r="G7124" s="234"/>
      <c r="H7124" s="238"/>
      <c r="I7124" s="237"/>
    </row>
    <row r="7125" spans="1:9" s="232" customFormat="1" ht="17" customHeight="1">
      <c r="A7125" s="234"/>
      <c r="B7125" s="233"/>
      <c r="C7125" s="238"/>
      <c r="E7125" s="545"/>
      <c r="F7125" s="546"/>
      <c r="G7125" s="234"/>
      <c r="H7125" s="238"/>
      <c r="I7125" s="237"/>
    </row>
    <row r="7126" spans="1:9" s="232" customFormat="1" ht="17" customHeight="1">
      <c r="A7126" s="234"/>
      <c r="B7126" s="233"/>
      <c r="C7126" s="238"/>
      <c r="E7126" s="545"/>
      <c r="F7126" s="546"/>
      <c r="G7126" s="234"/>
      <c r="H7126" s="238"/>
      <c r="I7126" s="237"/>
    </row>
    <row r="7127" spans="1:9" s="232" customFormat="1" ht="17" customHeight="1">
      <c r="A7127" s="234"/>
      <c r="B7127" s="233"/>
      <c r="C7127" s="238"/>
      <c r="E7127" s="545"/>
      <c r="F7127" s="546"/>
      <c r="G7127" s="234"/>
      <c r="H7127" s="238"/>
      <c r="I7127" s="237"/>
    </row>
    <row r="7128" spans="1:9" s="232" customFormat="1" ht="17" customHeight="1">
      <c r="A7128" s="234"/>
      <c r="B7128" s="233"/>
      <c r="C7128" s="238"/>
      <c r="E7128" s="545"/>
      <c r="F7128" s="546"/>
      <c r="G7128" s="234"/>
      <c r="H7128" s="238"/>
      <c r="I7128" s="237"/>
    </row>
    <row r="7129" spans="1:9" s="232" customFormat="1" ht="17" customHeight="1">
      <c r="A7129" s="234"/>
      <c r="B7129" s="233"/>
      <c r="C7129" s="238"/>
      <c r="E7129" s="545"/>
      <c r="F7129" s="546"/>
      <c r="G7129" s="234"/>
      <c r="H7129" s="238"/>
      <c r="I7129" s="237"/>
    </row>
    <row r="7130" spans="1:9" s="232" customFormat="1" ht="17" customHeight="1">
      <c r="A7130" s="234"/>
      <c r="B7130" s="233"/>
      <c r="C7130" s="238"/>
      <c r="E7130" s="545"/>
      <c r="F7130" s="546"/>
      <c r="G7130" s="234"/>
      <c r="H7130" s="238"/>
      <c r="I7130" s="237"/>
    </row>
    <row r="7131" spans="1:9" s="232" customFormat="1" ht="17" customHeight="1">
      <c r="A7131" s="234"/>
      <c r="B7131" s="233"/>
      <c r="C7131" s="238"/>
      <c r="E7131" s="545"/>
      <c r="F7131" s="546"/>
      <c r="G7131" s="234"/>
      <c r="H7131" s="238"/>
      <c r="I7131" s="237"/>
    </row>
    <row r="7132" spans="1:9" s="232" customFormat="1" ht="17" customHeight="1">
      <c r="A7132" s="234"/>
      <c r="B7132" s="233"/>
      <c r="C7132" s="238"/>
      <c r="E7132" s="545"/>
      <c r="F7132" s="546"/>
      <c r="G7132" s="234"/>
      <c r="H7132" s="238"/>
      <c r="I7132" s="237"/>
    </row>
    <row r="7133" spans="1:9" s="232" customFormat="1" ht="17" customHeight="1">
      <c r="A7133" s="234"/>
      <c r="B7133" s="233"/>
      <c r="C7133" s="238"/>
      <c r="E7133" s="545"/>
      <c r="F7133" s="546"/>
      <c r="G7133" s="234"/>
      <c r="H7133" s="238"/>
      <c r="I7133" s="237"/>
    </row>
    <row r="7134" spans="1:9" s="232" customFormat="1" ht="17" customHeight="1">
      <c r="A7134" s="234"/>
      <c r="B7134" s="233"/>
      <c r="C7134" s="238"/>
      <c r="E7134" s="545"/>
      <c r="F7134" s="546"/>
      <c r="G7134" s="234"/>
      <c r="H7134" s="238"/>
      <c r="I7134" s="237"/>
    </row>
    <row r="7135" spans="1:9" s="232" customFormat="1" ht="17" customHeight="1">
      <c r="A7135" s="234"/>
      <c r="B7135" s="233"/>
      <c r="C7135" s="238"/>
      <c r="E7135" s="545"/>
      <c r="F7135" s="546"/>
      <c r="G7135" s="234"/>
      <c r="H7135" s="238"/>
      <c r="I7135" s="237"/>
    </row>
    <row r="7136" spans="1:9" s="232" customFormat="1" ht="17" customHeight="1">
      <c r="A7136" s="234"/>
      <c r="B7136" s="233"/>
      <c r="C7136" s="238"/>
      <c r="E7136" s="545"/>
      <c r="F7136" s="546"/>
      <c r="G7136" s="234"/>
      <c r="H7136" s="238"/>
      <c r="I7136" s="237"/>
    </row>
    <row r="7137" spans="1:9" s="232" customFormat="1" ht="17" customHeight="1">
      <c r="A7137" s="234"/>
      <c r="B7137" s="233"/>
      <c r="C7137" s="238"/>
      <c r="E7137" s="545"/>
      <c r="F7137" s="546"/>
      <c r="G7137" s="234"/>
      <c r="H7137" s="238"/>
      <c r="I7137" s="237"/>
    </row>
    <row r="7138" spans="1:9" s="232" customFormat="1" ht="17" customHeight="1">
      <c r="A7138" s="234"/>
      <c r="B7138" s="233"/>
      <c r="C7138" s="238"/>
      <c r="E7138" s="545"/>
      <c r="F7138" s="546"/>
      <c r="G7138" s="234"/>
      <c r="H7138" s="238"/>
      <c r="I7138" s="237"/>
    </row>
    <row r="7139" spans="1:9" s="232" customFormat="1" ht="17" customHeight="1">
      <c r="A7139" s="234"/>
      <c r="B7139" s="233"/>
      <c r="C7139" s="238"/>
      <c r="E7139" s="545"/>
      <c r="F7139" s="546"/>
      <c r="G7139" s="234"/>
      <c r="H7139" s="238"/>
      <c r="I7139" s="237"/>
    </row>
    <row r="7140" spans="1:9" s="232" customFormat="1" ht="17" customHeight="1">
      <c r="A7140" s="234"/>
      <c r="B7140" s="233"/>
      <c r="C7140" s="238"/>
      <c r="E7140" s="545"/>
      <c r="F7140" s="546"/>
      <c r="G7140" s="234"/>
      <c r="H7140" s="238"/>
      <c r="I7140" s="237"/>
    </row>
    <row r="7141" spans="1:9" s="232" customFormat="1" ht="17" customHeight="1">
      <c r="A7141" s="234"/>
      <c r="B7141" s="233"/>
      <c r="C7141" s="238"/>
      <c r="E7141" s="545"/>
      <c r="F7141" s="546"/>
      <c r="G7141" s="234"/>
      <c r="H7141" s="238"/>
      <c r="I7141" s="237"/>
    </row>
    <row r="7142" spans="1:9" s="232" customFormat="1" ht="17" customHeight="1">
      <c r="A7142" s="234"/>
      <c r="B7142" s="233"/>
      <c r="C7142" s="238"/>
      <c r="E7142" s="545"/>
      <c r="F7142" s="546"/>
      <c r="G7142" s="234"/>
      <c r="H7142" s="238"/>
      <c r="I7142" s="237"/>
    </row>
    <row r="7143" spans="1:9" s="232" customFormat="1" ht="17" customHeight="1">
      <c r="A7143" s="234"/>
      <c r="B7143" s="233"/>
      <c r="C7143" s="238"/>
      <c r="E7143" s="545"/>
      <c r="F7143" s="546"/>
      <c r="G7143" s="234"/>
      <c r="H7143" s="238"/>
      <c r="I7143" s="237"/>
    </row>
    <row r="7144" spans="1:9" s="232" customFormat="1" ht="17" customHeight="1">
      <c r="A7144" s="234"/>
      <c r="B7144" s="233"/>
      <c r="C7144" s="238"/>
      <c r="E7144" s="545"/>
      <c r="F7144" s="546"/>
      <c r="G7144" s="234"/>
      <c r="H7144" s="238"/>
      <c r="I7144" s="237"/>
    </row>
    <row r="7145" spans="1:9" s="232" customFormat="1" ht="17" customHeight="1">
      <c r="A7145" s="234"/>
      <c r="B7145" s="233"/>
      <c r="C7145" s="238"/>
      <c r="E7145" s="545"/>
      <c r="F7145" s="546"/>
      <c r="G7145" s="234"/>
      <c r="H7145" s="238"/>
      <c r="I7145" s="237"/>
    </row>
    <row r="7146" spans="1:9" s="232" customFormat="1" ht="17" customHeight="1">
      <c r="A7146" s="234"/>
      <c r="B7146" s="233"/>
      <c r="C7146" s="238"/>
      <c r="E7146" s="545"/>
      <c r="F7146" s="546"/>
      <c r="G7146" s="234"/>
      <c r="H7146" s="238"/>
      <c r="I7146" s="237"/>
    </row>
    <row r="7147" spans="1:9" s="232" customFormat="1" ht="17" customHeight="1">
      <c r="A7147" s="234"/>
      <c r="B7147" s="233"/>
      <c r="C7147" s="238"/>
      <c r="E7147" s="545"/>
      <c r="F7147" s="546"/>
      <c r="G7147" s="234"/>
      <c r="H7147" s="238"/>
      <c r="I7147" s="237"/>
    </row>
    <row r="7148" spans="1:9" s="232" customFormat="1" ht="17" customHeight="1">
      <c r="A7148" s="234"/>
      <c r="B7148" s="233"/>
      <c r="C7148" s="238"/>
      <c r="E7148" s="545"/>
      <c r="F7148" s="546"/>
      <c r="G7148" s="234"/>
      <c r="H7148" s="238"/>
      <c r="I7148" s="237"/>
    </row>
    <row r="7149" spans="1:9" s="232" customFormat="1" ht="17" customHeight="1">
      <c r="A7149" s="234"/>
      <c r="B7149" s="233"/>
      <c r="C7149" s="238"/>
      <c r="E7149" s="545"/>
      <c r="F7149" s="546"/>
      <c r="G7149" s="234"/>
      <c r="H7149" s="238"/>
      <c r="I7149" s="237"/>
    </row>
    <row r="7150" spans="1:9" s="232" customFormat="1" ht="17" customHeight="1">
      <c r="A7150" s="234"/>
      <c r="B7150" s="233"/>
      <c r="C7150" s="238"/>
      <c r="E7150" s="545"/>
      <c r="F7150" s="546"/>
      <c r="G7150" s="234"/>
      <c r="H7150" s="238"/>
      <c r="I7150" s="237"/>
    </row>
    <row r="7151" spans="1:9" s="232" customFormat="1" ht="17" customHeight="1">
      <c r="A7151" s="234"/>
      <c r="B7151" s="233"/>
      <c r="C7151" s="238"/>
      <c r="E7151" s="545"/>
      <c r="F7151" s="546"/>
      <c r="G7151" s="234"/>
      <c r="H7151" s="238"/>
      <c r="I7151" s="237"/>
    </row>
    <row r="7152" spans="1:9" s="232" customFormat="1" ht="17" customHeight="1">
      <c r="A7152" s="234"/>
      <c r="B7152" s="233"/>
      <c r="C7152" s="238"/>
      <c r="E7152" s="545"/>
      <c r="F7152" s="546"/>
      <c r="G7152" s="234"/>
      <c r="H7152" s="238"/>
      <c r="I7152" s="237"/>
    </row>
    <row r="7153" spans="1:9" s="232" customFormat="1" ht="17" customHeight="1">
      <c r="A7153" s="234"/>
      <c r="B7153" s="233"/>
      <c r="C7153" s="238"/>
      <c r="E7153" s="545"/>
      <c r="F7153" s="546"/>
      <c r="G7153" s="234"/>
      <c r="H7153" s="238"/>
      <c r="I7153" s="237"/>
    </row>
    <row r="7154" spans="1:9" s="232" customFormat="1" ht="17" customHeight="1">
      <c r="A7154" s="234"/>
      <c r="B7154" s="233"/>
      <c r="C7154" s="238"/>
      <c r="E7154" s="545"/>
      <c r="F7154" s="546"/>
      <c r="G7154" s="234"/>
      <c r="H7154" s="238"/>
      <c r="I7154" s="237"/>
    </row>
    <row r="7155" spans="1:9" s="232" customFormat="1" ht="17" customHeight="1">
      <c r="A7155" s="234"/>
      <c r="B7155" s="233"/>
      <c r="C7155" s="238"/>
      <c r="E7155" s="545"/>
      <c r="F7155" s="546"/>
      <c r="G7155" s="234"/>
      <c r="H7155" s="238"/>
      <c r="I7155" s="237"/>
    </row>
    <row r="7156" spans="1:9" s="232" customFormat="1" ht="17" customHeight="1">
      <c r="A7156" s="234"/>
      <c r="B7156" s="233"/>
      <c r="C7156" s="238"/>
      <c r="E7156" s="545"/>
      <c r="F7156" s="546"/>
      <c r="G7156" s="234"/>
      <c r="H7156" s="238"/>
      <c r="I7156" s="237"/>
    </row>
    <row r="7157" spans="1:9" s="232" customFormat="1" ht="17" customHeight="1">
      <c r="A7157" s="234"/>
      <c r="B7157" s="233"/>
      <c r="C7157" s="238"/>
      <c r="E7157" s="545"/>
      <c r="F7157" s="546"/>
      <c r="G7157" s="234"/>
      <c r="H7157" s="238"/>
      <c r="I7157" s="237"/>
    </row>
    <row r="7158" spans="1:9" s="232" customFormat="1" ht="17" customHeight="1">
      <c r="A7158" s="234"/>
      <c r="B7158" s="233"/>
      <c r="C7158" s="238"/>
      <c r="E7158" s="545"/>
      <c r="F7158" s="546"/>
      <c r="G7158" s="234"/>
      <c r="H7158" s="238"/>
      <c r="I7158" s="237"/>
    </row>
    <row r="7159" spans="1:9" s="232" customFormat="1" ht="17" customHeight="1">
      <c r="A7159" s="234"/>
      <c r="B7159" s="233"/>
      <c r="C7159" s="238"/>
      <c r="E7159" s="545"/>
      <c r="F7159" s="546"/>
      <c r="G7159" s="234"/>
      <c r="H7159" s="238"/>
      <c r="I7159" s="237"/>
    </row>
    <row r="7160" spans="1:9" s="232" customFormat="1" ht="17" customHeight="1">
      <c r="A7160" s="234"/>
      <c r="B7160" s="233"/>
      <c r="C7160" s="238"/>
      <c r="E7160" s="545"/>
      <c r="F7160" s="546"/>
      <c r="G7160" s="234"/>
      <c r="H7160" s="238"/>
      <c r="I7160" s="237"/>
    </row>
    <row r="7161" spans="1:9" s="232" customFormat="1" ht="17" customHeight="1">
      <c r="A7161" s="234"/>
      <c r="B7161" s="233"/>
      <c r="C7161" s="238"/>
      <c r="E7161" s="545"/>
      <c r="F7161" s="546"/>
      <c r="G7161" s="234"/>
      <c r="H7161" s="238"/>
      <c r="I7161" s="237"/>
    </row>
    <row r="7162" spans="1:9" s="232" customFormat="1" ht="17" customHeight="1">
      <c r="A7162" s="234"/>
      <c r="B7162" s="233"/>
      <c r="C7162" s="238"/>
      <c r="E7162" s="545"/>
      <c r="F7162" s="546"/>
      <c r="G7162" s="234"/>
      <c r="H7162" s="238"/>
      <c r="I7162" s="237"/>
    </row>
    <row r="7163" spans="1:9" s="232" customFormat="1" ht="17" customHeight="1">
      <c r="A7163" s="234"/>
      <c r="B7163" s="233"/>
      <c r="C7163" s="238"/>
      <c r="E7163" s="545"/>
      <c r="F7163" s="546"/>
      <c r="G7163" s="234"/>
      <c r="H7163" s="238"/>
      <c r="I7163" s="237"/>
    </row>
    <row r="7164" spans="1:9" s="232" customFormat="1" ht="17" customHeight="1">
      <c r="A7164" s="234"/>
      <c r="B7164" s="233"/>
      <c r="C7164" s="238"/>
      <c r="E7164" s="545"/>
      <c r="F7164" s="546"/>
      <c r="G7164" s="234"/>
      <c r="H7164" s="238"/>
      <c r="I7164" s="237"/>
    </row>
    <row r="7165" spans="1:9" s="232" customFormat="1" ht="17" customHeight="1">
      <c r="A7165" s="234"/>
      <c r="B7165" s="233"/>
      <c r="C7165" s="238"/>
      <c r="E7165" s="545"/>
      <c r="F7165" s="546"/>
      <c r="G7165" s="234"/>
      <c r="H7165" s="238"/>
      <c r="I7165" s="237"/>
    </row>
    <row r="7166" spans="1:9" s="232" customFormat="1" ht="17" customHeight="1">
      <c r="A7166" s="234"/>
      <c r="B7166" s="233"/>
      <c r="C7166" s="238"/>
      <c r="E7166" s="545"/>
      <c r="F7166" s="546"/>
      <c r="G7166" s="234"/>
      <c r="H7166" s="238"/>
      <c r="I7166" s="237"/>
    </row>
    <row r="7167" spans="1:9" s="232" customFormat="1" ht="17" customHeight="1">
      <c r="A7167" s="234"/>
      <c r="B7167" s="233"/>
      <c r="C7167" s="238"/>
      <c r="E7167" s="545"/>
      <c r="F7167" s="546"/>
      <c r="G7167" s="234"/>
      <c r="H7167" s="238"/>
      <c r="I7167" s="237"/>
    </row>
    <row r="7168" spans="1:9" s="232" customFormat="1" ht="17" customHeight="1">
      <c r="A7168" s="234"/>
      <c r="B7168" s="233"/>
      <c r="C7168" s="238"/>
      <c r="E7168" s="545"/>
      <c r="F7168" s="546"/>
      <c r="G7168" s="234"/>
      <c r="H7168" s="238"/>
      <c r="I7168" s="237"/>
    </row>
    <row r="7169" spans="1:9" s="232" customFormat="1" ht="17" customHeight="1">
      <c r="A7169" s="234"/>
      <c r="B7169" s="233"/>
      <c r="C7169" s="238"/>
      <c r="E7169" s="545"/>
      <c r="F7169" s="546"/>
      <c r="G7169" s="234"/>
      <c r="H7169" s="238"/>
      <c r="I7169" s="237"/>
    </row>
    <row r="7170" spans="1:9" s="232" customFormat="1" ht="17" customHeight="1">
      <c r="A7170" s="234"/>
      <c r="B7170" s="233"/>
      <c r="C7170" s="238"/>
      <c r="E7170" s="545"/>
      <c r="F7170" s="546"/>
      <c r="G7170" s="234"/>
      <c r="H7170" s="238"/>
      <c r="I7170" s="237"/>
    </row>
    <row r="7171" spans="1:9" s="232" customFormat="1" ht="17" customHeight="1">
      <c r="A7171" s="234"/>
      <c r="B7171" s="233"/>
      <c r="C7171" s="238"/>
      <c r="E7171" s="545"/>
      <c r="F7171" s="546"/>
      <c r="G7171" s="234"/>
      <c r="H7171" s="238"/>
      <c r="I7171" s="237"/>
    </row>
    <row r="7172" spans="1:9" s="232" customFormat="1" ht="17" customHeight="1">
      <c r="A7172" s="234"/>
      <c r="B7172" s="233"/>
      <c r="C7172" s="238"/>
      <c r="E7172" s="545"/>
      <c r="F7172" s="546"/>
      <c r="G7172" s="234"/>
      <c r="H7172" s="238"/>
      <c r="I7172" s="237"/>
    </row>
    <row r="7173" spans="1:9" s="232" customFormat="1" ht="17" customHeight="1">
      <c r="A7173" s="234"/>
      <c r="B7173" s="233"/>
      <c r="C7173" s="238"/>
      <c r="E7173" s="545"/>
      <c r="F7173" s="546"/>
      <c r="G7173" s="234"/>
      <c r="H7173" s="238"/>
      <c r="I7173" s="237"/>
    </row>
    <row r="7174" spans="1:9" s="232" customFormat="1" ht="17" customHeight="1">
      <c r="A7174" s="234"/>
      <c r="B7174" s="233"/>
      <c r="C7174" s="238"/>
      <c r="E7174" s="545"/>
      <c r="F7174" s="546"/>
      <c r="G7174" s="234"/>
      <c r="H7174" s="238"/>
      <c r="I7174" s="237"/>
    </row>
    <row r="7175" spans="1:9" s="232" customFormat="1" ht="17" customHeight="1">
      <c r="A7175" s="234"/>
      <c r="B7175" s="233"/>
      <c r="C7175" s="238"/>
      <c r="E7175" s="545"/>
      <c r="F7175" s="546"/>
      <c r="G7175" s="234"/>
      <c r="H7175" s="238"/>
      <c r="I7175" s="237"/>
    </row>
    <row r="7176" spans="1:9" s="232" customFormat="1" ht="17" customHeight="1">
      <c r="A7176" s="234"/>
      <c r="B7176" s="233"/>
      <c r="C7176" s="238"/>
      <c r="E7176" s="545"/>
      <c r="F7176" s="546"/>
      <c r="G7176" s="234"/>
      <c r="H7176" s="238"/>
      <c r="I7176" s="237"/>
    </row>
    <row r="7177" spans="1:9" s="232" customFormat="1" ht="17" customHeight="1">
      <c r="A7177" s="234"/>
      <c r="B7177" s="233"/>
      <c r="C7177" s="238"/>
      <c r="E7177" s="545"/>
      <c r="F7177" s="546"/>
      <c r="G7177" s="234"/>
      <c r="H7177" s="238"/>
      <c r="I7177" s="237"/>
    </row>
    <row r="7178" spans="1:9" s="232" customFormat="1" ht="17" customHeight="1">
      <c r="A7178" s="234"/>
      <c r="B7178" s="233"/>
      <c r="C7178" s="238"/>
      <c r="E7178" s="545"/>
      <c r="F7178" s="546"/>
      <c r="G7178" s="234"/>
      <c r="H7178" s="238"/>
      <c r="I7178" s="237"/>
    </row>
    <row r="7179" spans="1:9" s="232" customFormat="1" ht="17" customHeight="1">
      <c r="A7179" s="234"/>
      <c r="B7179" s="233"/>
      <c r="C7179" s="238"/>
      <c r="E7179" s="545"/>
      <c r="F7179" s="546"/>
      <c r="G7179" s="234"/>
      <c r="H7179" s="238"/>
      <c r="I7179" s="237"/>
    </row>
    <row r="7180" spans="1:9" s="232" customFormat="1" ht="17" customHeight="1">
      <c r="A7180" s="234"/>
      <c r="B7180" s="233"/>
      <c r="C7180" s="238"/>
      <c r="E7180" s="545"/>
      <c r="F7180" s="546"/>
      <c r="G7180" s="234"/>
      <c r="H7180" s="238"/>
      <c r="I7180" s="237"/>
    </row>
    <row r="7181" spans="1:9" s="232" customFormat="1" ht="17" customHeight="1">
      <c r="A7181" s="234"/>
      <c r="B7181" s="233"/>
      <c r="C7181" s="238"/>
      <c r="E7181" s="545"/>
      <c r="F7181" s="546"/>
      <c r="G7181" s="234"/>
      <c r="H7181" s="238"/>
      <c r="I7181" s="237"/>
    </row>
    <row r="7182" spans="1:9" s="232" customFormat="1" ht="17" customHeight="1">
      <c r="A7182" s="234"/>
      <c r="B7182" s="233"/>
      <c r="C7182" s="238"/>
      <c r="E7182" s="545"/>
      <c r="F7182" s="546"/>
      <c r="G7182" s="234"/>
      <c r="H7182" s="238"/>
      <c r="I7182" s="237"/>
    </row>
    <row r="7183" spans="1:9" s="232" customFormat="1" ht="17" customHeight="1">
      <c r="A7183" s="234"/>
      <c r="B7183" s="233"/>
      <c r="C7183" s="238"/>
      <c r="E7183" s="545"/>
      <c r="F7183" s="546"/>
      <c r="G7183" s="234"/>
      <c r="H7183" s="238"/>
      <c r="I7183" s="237"/>
    </row>
    <row r="7184" spans="1:9" s="232" customFormat="1" ht="17" customHeight="1">
      <c r="A7184" s="234"/>
      <c r="B7184" s="233"/>
      <c r="C7184" s="238"/>
      <c r="E7184" s="545"/>
      <c r="F7184" s="546"/>
      <c r="G7184" s="234"/>
      <c r="H7184" s="238"/>
      <c r="I7184" s="237"/>
    </row>
    <row r="7185" spans="1:9" s="232" customFormat="1" ht="17" customHeight="1">
      <c r="A7185" s="234"/>
      <c r="B7185" s="233"/>
      <c r="C7185" s="238"/>
      <c r="E7185" s="545"/>
      <c r="F7185" s="546"/>
      <c r="G7185" s="234"/>
      <c r="H7185" s="238"/>
      <c r="I7185" s="237"/>
    </row>
    <row r="7186" spans="1:9" s="232" customFormat="1" ht="17" customHeight="1">
      <c r="A7186" s="234"/>
      <c r="B7186" s="233"/>
      <c r="C7186" s="238"/>
      <c r="E7186" s="545"/>
      <c r="F7186" s="546"/>
      <c r="G7186" s="234"/>
      <c r="H7186" s="238"/>
      <c r="I7186" s="237"/>
    </row>
    <row r="7187" spans="1:9" s="232" customFormat="1" ht="17" customHeight="1">
      <c r="A7187" s="234"/>
      <c r="B7187" s="233"/>
      <c r="C7187" s="238"/>
      <c r="E7187" s="545"/>
      <c r="F7187" s="546"/>
      <c r="G7187" s="234"/>
      <c r="H7187" s="238"/>
      <c r="I7187" s="237"/>
    </row>
    <row r="7188" spans="1:9" s="232" customFormat="1" ht="17" customHeight="1">
      <c r="A7188" s="234"/>
      <c r="B7188" s="233"/>
      <c r="C7188" s="238"/>
      <c r="E7188" s="545"/>
      <c r="F7188" s="546"/>
      <c r="G7188" s="234"/>
      <c r="H7188" s="238"/>
      <c r="I7188" s="237"/>
    </row>
    <row r="7189" spans="1:9" s="232" customFormat="1" ht="17" customHeight="1">
      <c r="A7189" s="234"/>
      <c r="B7189" s="233"/>
      <c r="C7189" s="238"/>
      <c r="E7189" s="545"/>
      <c r="F7189" s="546"/>
      <c r="G7189" s="234"/>
      <c r="H7189" s="238"/>
      <c r="I7189" s="237"/>
    </row>
    <row r="7190" spans="1:9" s="232" customFormat="1" ht="17" customHeight="1">
      <c r="A7190" s="234"/>
      <c r="B7190" s="233"/>
      <c r="C7190" s="238"/>
      <c r="E7190" s="545"/>
      <c r="F7190" s="546"/>
      <c r="G7190" s="234"/>
      <c r="H7190" s="238"/>
      <c r="I7190" s="237"/>
    </row>
    <row r="7191" spans="1:9" s="232" customFormat="1" ht="17" customHeight="1">
      <c r="A7191" s="234"/>
      <c r="B7191" s="233"/>
      <c r="C7191" s="238"/>
      <c r="E7191" s="545"/>
      <c r="F7191" s="546"/>
      <c r="G7191" s="234"/>
      <c r="H7191" s="238"/>
      <c r="I7191" s="237"/>
    </row>
    <row r="7192" spans="1:9" s="232" customFormat="1" ht="17" customHeight="1">
      <c r="A7192" s="234"/>
      <c r="B7192" s="233"/>
      <c r="C7192" s="238"/>
      <c r="E7192" s="545"/>
      <c r="F7192" s="546"/>
      <c r="G7192" s="234"/>
      <c r="H7192" s="238"/>
      <c r="I7192" s="237"/>
    </row>
    <row r="7193" spans="1:9" s="232" customFormat="1" ht="17" customHeight="1">
      <c r="A7193" s="234"/>
      <c r="B7193" s="233"/>
      <c r="C7193" s="238"/>
      <c r="E7193" s="545"/>
      <c r="F7193" s="546"/>
      <c r="G7193" s="234"/>
      <c r="H7193" s="238"/>
      <c r="I7193" s="237"/>
    </row>
    <row r="7194" spans="1:9" s="232" customFormat="1" ht="17" customHeight="1">
      <c r="A7194" s="234"/>
      <c r="B7194" s="233"/>
      <c r="C7194" s="238"/>
      <c r="E7194" s="545"/>
      <c r="F7194" s="546"/>
      <c r="G7194" s="234"/>
      <c r="H7194" s="238"/>
      <c r="I7194" s="237"/>
    </row>
    <row r="7195" spans="1:9" s="232" customFormat="1" ht="17" customHeight="1">
      <c r="A7195" s="234"/>
      <c r="B7195" s="233"/>
      <c r="C7195" s="238"/>
      <c r="E7195" s="545"/>
      <c r="F7195" s="546"/>
      <c r="G7195" s="234"/>
      <c r="H7195" s="238"/>
      <c r="I7195" s="237"/>
    </row>
    <row r="7196" spans="1:9" s="232" customFormat="1" ht="17" customHeight="1">
      <c r="A7196" s="234"/>
      <c r="B7196" s="233"/>
      <c r="C7196" s="238"/>
      <c r="E7196" s="545"/>
      <c r="F7196" s="546"/>
      <c r="G7196" s="234"/>
      <c r="H7196" s="238"/>
      <c r="I7196" s="237"/>
    </row>
    <row r="7197" spans="1:9" s="232" customFormat="1" ht="17" customHeight="1">
      <c r="A7197" s="234"/>
      <c r="B7197" s="233"/>
      <c r="C7197" s="238"/>
      <c r="E7197" s="545"/>
      <c r="F7197" s="546"/>
      <c r="G7197" s="234"/>
      <c r="H7197" s="238"/>
      <c r="I7197" s="237"/>
    </row>
    <row r="7198" spans="1:9" s="232" customFormat="1" ht="17" customHeight="1">
      <c r="A7198" s="234"/>
      <c r="B7198" s="233"/>
      <c r="C7198" s="238"/>
      <c r="E7198" s="545"/>
      <c r="F7198" s="546"/>
      <c r="G7198" s="234"/>
      <c r="H7198" s="238"/>
      <c r="I7198" s="237"/>
    </row>
    <row r="7199" spans="1:9" s="232" customFormat="1" ht="17" customHeight="1">
      <c r="A7199" s="234"/>
      <c r="B7199" s="233"/>
      <c r="C7199" s="238"/>
      <c r="E7199" s="545"/>
      <c r="F7199" s="546"/>
      <c r="G7199" s="234"/>
      <c r="H7199" s="238"/>
      <c r="I7199" s="237"/>
    </row>
    <row r="7200" spans="1:9" s="232" customFormat="1" ht="17" customHeight="1">
      <c r="A7200" s="234"/>
      <c r="B7200" s="233"/>
      <c r="C7200" s="238"/>
      <c r="E7200" s="545"/>
      <c r="F7200" s="546"/>
      <c r="G7200" s="234"/>
      <c r="H7200" s="238"/>
      <c r="I7200" s="237"/>
    </row>
    <row r="7201" spans="1:9" s="232" customFormat="1" ht="17" customHeight="1">
      <c r="A7201" s="234"/>
      <c r="B7201" s="233"/>
      <c r="C7201" s="238"/>
      <c r="E7201" s="545"/>
      <c r="F7201" s="546"/>
      <c r="G7201" s="234"/>
      <c r="H7201" s="238"/>
      <c r="I7201" s="237"/>
    </row>
    <row r="7202" spans="1:9" s="232" customFormat="1" ht="17" customHeight="1">
      <c r="A7202" s="234"/>
      <c r="B7202" s="233"/>
      <c r="C7202" s="238"/>
      <c r="E7202" s="545"/>
      <c r="F7202" s="546"/>
      <c r="G7202" s="234"/>
      <c r="H7202" s="238"/>
      <c r="I7202" s="237"/>
    </row>
    <row r="7203" spans="1:9" s="232" customFormat="1" ht="17" customHeight="1">
      <c r="A7203" s="234"/>
      <c r="B7203" s="233"/>
      <c r="C7203" s="238"/>
      <c r="E7203" s="545"/>
      <c r="F7203" s="546"/>
      <c r="G7203" s="234"/>
      <c r="H7203" s="238"/>
      <c r="I7203" s="237"/>
    </row>
    <row r="7204" spans="1:9" s="232" customFormat="1" ht="17" customHeight="1">
      <c r="A7204" s="234"/>
      <c r="B7204" s="233"/>
      <c r="C7204" s="238"/>
      <c r="E7204" s="545"/>
      <c r="F7204" s="546"/>
      <c r="G7204" s="234"/>
      <c r="H7204" s="238"/>
      <c r="I7204" s="237"/>
    </row>
    <row r="7205" spans="1:9" s="232" customFormat="1" ht="17" customHeight="1">
      <c r="A7205" s="234"/>
      <c r="B7205" s="233"/>
      <c r="C7205" s="238"/>
      <c r="E7205" s="545"/>
      <c r="F7205" s="546"/>
      <c r="G7205" s="234"/>
      <c r="H7205" s="238"/>
      <c r="I7205" s="237"/>
    </row>
    <row r="7206" spans="1:9" s="232" customFormat="1" ht="17" customHeight="1">
      <c r="A7206" s="234"/>
      <c r="B7206" s="233"/>
      <c r="C7206" s="238"/>
      <c r="E7206" s="545"/>
      <c r="F7206" s="546"/>
      <c r="G7206" s="234"/>
      <c r="H7206" s="238"/>
      <c r="I7206" s="237"/>
    </row>
    <row r="7207" spans="1:9" s="232" customFormat="1" ht="17" customHeight="1">
      <c r="A7207" s="234"/>
      <c r="B7207" s="233"/>
      <c r="C7207" s="238"/>
      <c r="E7207" s="545"/>
      <c r="F7207" s="546"/>
      <c r="G7207" s="234"/>
      <c r="H7207" s="238"/>
      <c r="I7207" s="237"/>
    </row>
    <row r="7208" spans="1:9" s="232" customFormat="1" ht="17" customHeight="1">
      <c r="A7208" s="234"/>
      <c r="B7208" s="233"/>
      <c r="C7208" s="238"/>
      <c r="E7208" s="545"/>
      <c r="F7208" s="546"/>
      <c r="G7208" s="234"/>
      <c r="H7208" s="238"/>
      <c r="I7208" s="237"/>
    </row>
    <row r="7209" spans="1:9" s="232" customFormat="1" ht="17" customHeight="1">
      <c r="A7209" s="234"/>
      <c r="B7209" s="233"/>
      <c r="C7209" s="238"/>
      <c r="E7209" s="545"/>
      <c r="F7209" s="546"/>
      <c r="G7209" s="234"/>
      <c r="H7209" s="238"/>
      <c r="I7209" s="237"/>
    </row>
    <row r="7210" spans="1:9" s="232" customFormat="1" ht="17" customHeight="1">
      <c r="A7210" s="234"/>
      <c r="B7210" s="233"/>
      <c r="C7210" s="238"/>
      <c r="E7210" s="545"/>
      <c r="F7210" s="546"/>
      <c r="G7210" s="234"/>
      <c r="H7210" s="238"/>
      <c r="I7210" s="237"/>
    </row>
    <row r="7211" spans="1:9" s="232" customFormat="1" ht="17" customHeight="1">
      <c r="A7211" s="234"/>
      <c r="B7211" s="233"/>
      <c r="C7211" s="238"/>
      <c r="E7211" s="545"/>
      <c r="F7211" s="546"/>
      <c r="G7211" s="234"/>
      <c r="H7211" s="238"/>
      <c r="I7211" s="237"/>
    </row>
    <row r="7212" spans="1:9" s="232" customFormat="1" ht="17" customHeight="1">
      <c r="A7212" s="234"/>
      <c r="B7212" s="233"/>
      <c r="C7212" s="238"/>
      <c r="E7212" s="545"/>
      <c r="F7212" s="546"/>
      <c r="G7212" s="234"/>
      <c r="H7212" s="238"/>
      <c r="I7212" s="237"/>
    </row>
    <row r="7213" spans="1:9" s="232" customFormat="1" ht="17" customHeight="1">
      <c r="A7213" s="234"/>
      <c r="B7213" s="233"/>
      <c r="C7213" s="238"/>
      <c r="E7213" s="545"/>
      <c r="F7213" s="546"/>
      <c r="G7213" s="234"/>
      <c r="H7213" s="238"/>
      <c r="I7213" s="237"/>
    </row>
    <row r="7214" spans="1:9" s="232" customFormat="1" ht="17" customHeight="1">
      <c r="A7214" s="234"/>
      <c r="B7214" s="233"/>
      <c r="C7214" s="238"/>
      <c r="E7214" s="545"/>
      <c r="F7214" s="546"/>
      <c r="G7214" s="234"/>
      <c r="H7214" s="238"/>
      <c r="I7214" s="237"/>
    </row>
    <row r="7215" spans="1:9" s="232" customFormat="1" ht="17" customHeight="1">
      <c r="A7215" s="234"/>
      <c r="B7215" s="233"/>
      <c r="C7215" s="238"/>
      <c r="E7215" s="545"/>
      <c r="F7215" s="546"/>
      <c r="G7215" s="234"/>
      <c r="H7215" s="238"/>
      <c r="I7215" s="237"/>
    </row>
    <row r="7216" spans="1:9" s="232" customFormat="1" ht="17" customHeight="1">
      <c r="A7216" s="234"/>
      <c r="B7216" s="233"/>
      <c r="C7216" s="238"/>
      <c r="E7216" s="545"/>
      <c r="F7216" s="546"/>
      <c r="G7216" s="234"/>
      <c r="H7216" s="238"/>
      <c r="I7216" s="237"/>
    </row>
    <row r="7217" spans="1:9" s="232" customFormat="1" ht="17" customHeight="1">
      <c r="A7217" s="234"/>
      <c r="B7217" s="233"/>
      <c r="C7217" s="238"/>
      <c r="E7217" s="545"/>
      <c r="F7217" s="546"/>
      <c r="G7217" s="234"/>
      <c r="H7217" s="238"/>
      <c r="I7217" s="237"/>
    </row>
    <row r="7218" spans="1:9" s="232" customFormat="1" ht="17" customHeight="1">
      <c r="A7218" s="234"/>
      <c r="B7218" s="233"/>
      <c r="C7218" s="238"/>
      <c r="E7218" s="545"/>
      <c r="F7218" s="546"/>
      <c r="G7218" s="234"/>
      <c r="H7218" s="238"/>
      <c r="I7218" s="237"/>
    </row>
    <row r="7219" spans="1:9" s="232" customFormat="1" ht="17" customHeight="1">
      <c r="A7219" s="234"/>
      <c r="B7219" s="233"/>
      <c r="C7219" s="238"/>
      <c r="E7219" s="545"/>
      <c r="F7219" s="546"/>
      <c r="G7219" s="234"/>
      <c r="H7219" s="238"/>
      <c r="I7219" s="237"/>
    </row>
    <row r="7220" spans="1:9" s="232" customFormat="1" ht="17" customHeight="1">
      <c r="A7220" s="234"/>
      <c r="B7220" s="233"/>
      <c r="C7220" s="238"/>
      <c r="E7220" s="545"/>
      <c r="F7220" s="546"/>
      <c r="G7220" s="234"/>
      <c r="H7220" s="238"/>
      <c r="I7220" s="237"/>
    </row>
    <row r="7221" spans="1:9" s="232" customFormat="1" ht="17" customHeight="1">
      <c r="A7221" s="234"/>
      <c r="B7221" s="233"/>
      <c r="C7221" s="238"/>
      <c r="E7221" s="545"/>
      <c r="F7221" s="546"/>
      <c r="G7221" s="234"/>
      <c r="H7221" s="238"/>
      <c r="I7221" s="237"/>
    </row>
    <row r="7222" spans="1:9" s="232" customFormat="1" ht="17" customHeight="1">
      <c r="A7222" s="234"/>
      <c r="B7222" s="233"/>
      <c r="C7222" s="238"/>
      <c r="E7222" s="545"/>
      <c r="F7222" s="546"/>
      <c r="G7222" s="234"/>
      <c r="H7222" s="238"/>
      <c r="I7222" s="237"/>
    </row>
    <row r="7223" spans="1:9" s="232" customFormat="1" ht="17" customHeight="1">
      <c r="A7223" s="234"/>
      <c r="B7223" s="233"/>
      <c r="C7223" s="238"/>
      <c r="E7223" s="545"/>
      <c r="F7223" s="546"/>
      <c r="G7223" s="234"/>
      <c r="H7223" s="238"/>
      <c r="I7223" s="237"/>
    </row>
    <row r="7224" spans="1:9" s="232" customFormat="1" ht="17" customHeight="1">
      <c r="A7224" s="234"/>
      <c r="B7224" s="233"/>
      <c r="C7224" s="238"/>
      <c r="E7224" s="545"/>
      <c r="F7224" s="546"/>
      <c r="G7224" s="234"/>
      <c r="H7224" s="238"/>
      <c r="I7224" s="237"/>
    </row>
    <row r="7225" spans="1:9" s="232" customFormat="1" ht="17" customHeight="1">
      <c r="A7225" s="234"/>
      <c r="B7225" s="233"/>
      <c r="C7225" s="238"/>
      <c r="E7225" s="545"/>
      <c r="F7225" s="546"/>
      <c r="G7225" s="234"/>
      <c r="H7225" s="238"/>
      <c r="I7225" s="237"/>
    </row>
    <row r="7226" spans="1:9" s="232" customFormat="1" ht="17" customHeight="1">
      <c r="A7226" s="234"/>
      <c r="B7226" s="233"/>
      <c r="C7226" s="238"/>
      <c r="E7226" s="545"/>
      <c r="F7226" s="546"/>
      <c r="G7226" s="234"/>
      <c r="H7226" s="238"/>
      <c r="I7226" s="237"/>
    </row>
    <row r="7227" spans="1:9" s="232" customFormat="1" ht="17" customHeight="1">
      <c r="A7227" s="234"/>
      <c r="B7227" s="233"/>
      <c r="C7227" s="238"/>
      <c r="E7227" s="545"/>
      <c r="F7227" s="546"/>
      <c r="G7227" s="234"/>
      <c r="H7227" s="238"/>
      <c r="I7227" s="237"/>
    </row>
    <row r="7228" spans="1:9" s="232" customFormat="1" ht="17" customHeight="1">
      <c r="A7228" s="234"/>
      <c r="B7228" s="233"/>
      <c r="C7228" s="238"/>
      <c r="E7228" s="545"/>
      <c r="F7228" s="546"/>
      <c r="G7228" s="234"/>
      <c r="H7228" s="238"/>
      <c r="I7228" s="237"/>
    </row>
    <row r="7229" spans="1:9" s="232" customFormat="1" ht="17" customHeight="1">
      <c r="A7229" s="234"/>
      <c r="B7229" s="233"/>
      <c r="C7229" s="238"/>
      <c r="E7229" s="545"/>
      <c r="F7229" s="546"/>
      <c r="G7229" s="234"/>
      <c r="H7229" s="238"/>
      <c r="I7229" s="237"/>
    </row>
    <row r="7230" spans="1:9" s="232" customFormat="1" ht="17" customHeight="1">
      <c r="A7230" s="234"/>
      <c r="B7230" s="233"/>
      <c r="C7230" s="238"/>
      <c r="E7230" s="545"/>
      <c r="F7230" s="546"/>
      <c r="G7230" s="234"/>
      <c r="H7230" s="238"/>
      <c r="I7230" s="237"/>
    </row>
    <row r="7231" spans="1:9" s="232" customFormat="1" ht="17" customHeight="1">
      <c r="A7231" s="234"/>
      <c r="B7231" s="233"/>
      <c r="C7231" s="238"/>
      <c r="E7231" s="545"/>
      <c r="F7231" s="546"/>
      <c r="G7231" s="234"/>
      <c r="H7231" s="238"/>
      <c r="I7231" s="237"/>
    </row>
    <row r="7232" spans="1:9" s="232" customFormat="1" ht="17" customHeight="1">
      <c r="A7232" s="234"/>
      <c r="B7232" s="233"/>
      <c r="C7232" s="238"/>
      <c r="E7232" s="545"/>
      <c r="F7232" s="546"/>
      <c r="G7232" s="234"/>
      <c r="H7232" s="238"/>
      <c r="I7232" s="237"/>
    </row>
    <row r="7233" spans="1:9" s="232" customFormat="1" ht="17" customHeight="1">
      <c r="A7233" s="234"/>
      <c r="B7233" s="233"/>
      <c r="C7233" s="238"/>
      <c r="E7233" s="545"/>
      <c r="F7233" s="546"/>
      <c r="G7233" s="234"/>
      <c r="H7233" s="238"/>
      <c r="I7233" s="237"/>
    </row>
    <row r="7234" spans="1:9" s="232" customFormat="1" ht="17" customHeight="1">
      <c r="A7234" s="234"/>
      <c r="B7234" s="233"/>
      <c r="C7234" s="238"/>
      <c r="E7234" s="545"/>
      <c r="F7234" s="546"/>
      <c r="G7234" s="234"/>
      <c r="H7234" s="238"/>
      <c r="I7234" s="237"/>
    </row>
    <row r="7235" spans="1:9" s="232" customFormat="1" ht="17" customHeight="1">
      <c r="A7235" s="234"/>
      <c r="B7235" s="233"/>
      <c r="C7235" s="238"/>
      <c r="E7235" s="545"/>
      <c r="F7235" s="546"/>
      <c r="G7235" s="234"/>
      <c r="H7235" s="238"/>
      <c r="I7235" s="237"/>
    </row>
    <row r="7236" spans="1:9" s="232" customFormat="1" ht="17" customHeight="1">
      <c r="A7236" s="234"/>
      <c r="B7236" s="233"/>
      <c r="C7236" s="238"/>
      <c r="E7236" s="545"/>
      <c r="F7236" s="546"/>
      <c r="G7236" s="234"/>
      <c r="H7236" s="238"/>
      <c r="I7236" s="237"/>
    </row>
    <row r="7237" spans="1:9" s="232" customFormat="1" ht="17" customHeight="1">
      <c r="A7237" s="234"/>
      <c r="B7237" s="233"/>
      <c r="C7237" s="238"/>
      <c r="E7237" s="545"/>
      <c r="F7237" s="546"/>
      <c r="G7237" s="234"/>
      <c r="H7237" s="238"/>
      <c r="I7237" s="237"/>
    </row>
    <row r="7238" spans="1:9" s="232" customFormat="1" ht="17" customHeight="1">
      <c r="A7238" s="234"/>
      <c r="B7238" s="233"/>
      <c r="C7238" s="238"/>
      <c r="E7238" s="545"/>
      <c r="F7238" s="546"/>
      <c r="G7238" s="234"/>
      <c r="H7238" s="238"/>
      <c r="I7238" s="237"/>
    </row>
    <row r="7239" spans="1:9" s="232" customFormat="1" ht="17" customHeight="1">
      <c r="A7239" s="234"/>
      <c r="B7239" s="233"/>
      <c r="C7239" s="238"/>
      <c r="E7239" s="545"/>
      <c r="F7239" s="546"/>
      <c r="G7239" s="234"/>
      <c r="H7239" s="238"/>
      <c r="I7239" s="237"/>
    </row>
    <row r="7240" spans="1:9" s="232" customFormat="1" ht="17" customHeight="1">
      <c r="A7240" s="234"/>
      <c r="B7240" s="233"/>
      <c r="C7240" s="238"/>
      <c r="E7240" s="545"/>
      <c r="F7240" s="546"/>
      <c r="G7240" s="234"/>
      <c r="H7240" s="238"/>
      <c r="I7240" s="237"/>
    </row>
    <row r="7241" spans="1:9" s="232" customFormat="1" ht="17" customHeight="1">
      <c r="A7241" s="234"/>
      <c r="B7241" s="233"/>
      <c r="C7241" s="238"/>
      <c r="E7241" s="545"/>
      <c r="F7241" s="546"/>
      <c r="G7241" s="234"/>
      <c r="H7241" s="238"/>
      <c r="I7241" s="237"/>
    </row>
    <row r="7242" spans="1:9" s="232" customFormat="1" ht="17" customHeight="1">
      <c r="A7242" s="234"/>
      <c r="B7242" s="233"/>
      <c r="C7242" s="238"/>
      <c r="E7242" s="545"/>
      <c r="F7242" s="546"/>
      <c r="G7242" s="234"/>
      <c r="H7242" s="238"/>
      <c r="I7242" s="237"/>
    </row>
    <row r="7243" spans="1:9" s="232" customFormat="1" ht="17" customHeight="1">
      <c r="A7243" s="234"/>
      <c r="B7243" s="233"/>
      <c r="C7243" s="238"/>
      <c r="E7243" s="545"/>
      <c r="F7243" s="546"/>
      <c r="G7243" s="234"/>
      <c r="H7243" s="238"/>
      <c r="I7243" s="237"/>
    </row>
    <row r="7244" spans="1:9" s="232" customFormat="1" ht="17" customHeight="1">
      <c r="A7244" s="234"/>
      <c r="B7244" s="233"/>
      <c r="C7244" s="238"/>
      <c r="E7244" s="545"/>
      <c r="F7244" s="546"/>
      <c r="G7244" s="234"/>
      <c r="H7244" s="238"/>
      <c r="I7244" s="237"/>
    </row>
    <row r="7245" spans="1:9" s="232" customFormat="1" ht="17" customHeight="1">
      <c r="A7245" s="234"/>
      <c r="B7245" s="233"/>
      <c r="C7245" s="238"/>
      <c r="E7245" s="545"/>
      <c r="F7245" s="546"/>
      <c r="G7245" s="234"/>
      <c r="H7245" s="238"/>
      <c r="I7245" s="237"/>
    </row>
    <row r="7246" spans="1:9" s="232" customFormat="1" ht="17" customHeight="1">
      <c r="A7246" s="234"/>
      <c r="B7246" s="233"/>
      <c r="C7246" s="238"/>
      <c r="E7246" s="545"/>
      <c r="F7246" s="546"/>
      <c r="G7246" s="234"/>
      <c r="H7246" s="238"/>
      <c r="I7246" s="237"/>
    </row>
    <row r="7247" spans="1:9" s="232" customFormat="1" ht="17" customHeight="1">
      <c r="A7247" s="234"/>
      <c r="B7247" s="233"/>
      <c r="C7247" s="238"/>
      <c r="E7247" s="545"/>
      <c r="F7247" s="546"/>
      <c r="G7247" s="234"/>
      <c r="H7247" s="238"/>
      <c r="I7247" s="237"/>
    </row>
    <row r="7248" spans="1:9" s="232" customFormat="1" ht="17" customHeight="1">
      <c r="A7248" s="234"/>
      <c r="B7248" s="233"/>
      <c r="C7248" s="238"/>
      <c r="E7248" s="545"/>
      <c r="F7248" s="546"/>
      <c r="G7248" s="234"/>
      <c r="H7248" s="238"/>
      <c r="I7248" s="237"/>
    </row>
    <row r="7249" spans="1:9" s="232" customFormat="1" ht="17" customHeight="1">
      <c r="A7249" s="234"/>
      <c r="B7249" s="233"/>
      <c r="C7249" s="238"/>
      <c r="E7249" s="545"/>
      <c r="F7249" s="546"/>
      <c r="G7249" s="234"/>
      <c r="H7249" s="238"/>
      <c r="I7249" s="237"/>
    </row>
    <row r="7250" spans="1:9" s="232" customFormat="1" ht="17" customHeight="1">
      <c r="A7250" s="234"/>
      <c r="B7250" s="233"/>
      <c r="C7250" s="238"/>
      <c r="E7250" s="545"/>
      <c r="F7250" s="546"/>
      <c r="G7250" s="234"/>
      <c r="H7250" s="238"/>
      <c r="I7250" s="237"/>
    </row>
    <row r="7251" spans="1:9" s="232" customFormat="1" ht="17" customHeight="1">
      <c r="A7251" s="234"/>
      <c r="B7251" s="233"/>
      <c r="C7251" s="238"/>
      <c r="E7251" s="545"/>
      <c r="F7251" s="546"/>
      <c r="G7251" s="234"/>
      <c r="H7251" s="238"/>
      <c r="I7251" s="237"/>
    </row>
    <row r="7252" spans="1:9" s="232" customFormat="1" ht="17" customHeight="1">
      <c r="A7252" s="234"/>
      <c r="B7252" s="233"/>
      <c r="C7252" s="238"/>
      <c r="E7252" s="545"/>
      <c r="F7252" s="546"/>
      <c r="G7252" s="234"/>
      <c r="H7252" s="238"/>
      <c r="I7252" s="237"/>
    </row>
    <row r="7253" spans="1:9" s="232" customFormat="1" ht="17" customHeight="1">
      <c r="A7253" s="234"/>
      <c r="B7253" s="233"/>
      <c r="C7253" s="238"/>
      <c r="E7253" s="545"/>
      <c r="F7253" s="546"/>
      <c r="G7253" s="234"/>
      <c r="H7253" s="238"/>
      <c r="I7253" s="237"/>
    </row>
    <row r="7254" spans="1:9" s="232" customFormat="1" ht="17" customHeight="1">
      <c r="A7254" s="234"/>
      <c r="B7254" s="233"/>
      <c r="C7254" s="238"/>
      <c r="E7254" s="545"/>
      <c r="F7254" s="546"/>
      <c r="G7254" s="234"/>
      <c r="H7254" s="238"/>
      <c r="I7254" s="237"/>
    </row>
    <row r="7255" spans="1:9" s="232" customFormat="1" ht="17" customHeight="1">
      <c r="A7255" s="234"/>
      <c r="B7255" s="233"/>
      <c r="C7255" s="238"/>
      <c r="E7255" s="545"/>
      <c r="F7255" s="546"/>
      <c r="G7255" s="234"/>
      <c r="H7255" s="238"/>
      <c r="I7255" s="237"/>
    </row>
    <row r="7256" spans="1:9" s="232" customFormat="1" ht="17" customHeight="1">
      <c r="A7256" s="234"/>
      <c r="B7256" s="233"/>
      <c r="C7256" s="238"/>
      <c r="E7256" s="545"/>
      <c r="F7256" s="546"/>
      <c r="G7256" s="234"/>
      <c r="H7256" s="238"/>
      <c r="I7256" s="237"/>
    </row>
    <row r="7257" spans="1:9" s="232" customFormat="1" ht="17" customHeight="1">
      <c r="A7257" s="234"/>
      <c r="B7257" s="233"/>
      <c r="C7257" s="238"/>
      <c r="E7257" s="545"/>
      <c r="F7257" s="546"/>
      <c r="G7257" s="234"/>
      <c r="H7257" s="238"/>
      <c r="I7257" s="237"/>
    </row>
    <row r="7258" spans="1:9" s="232" customFormat="1" ht="17" customHeight="1">
      <c r="A7258" s="234"/>
      <c r="B7258" s="233"/>
      <c r="C7258" s="238"/>
      <c r="E7258" s="545"/>
      <c r="F7258" s="546"/>
      <c r="G7258" s="234"/>
      <c r="H7258" s="238"/>
      <c r="I7258" s="237"/>
    </row>
    <row r="7259" spans="1:9" s="232" customFormat="1" ht="17" customHeight="1">
      <c r="A7259" s="234"/>
      <c r="B7259" s="233"/>
      <c r="C7259" s="238"/>
      <c r="E7259" s="545"/>
      <c r="F7259" s="546"/>
      <c r="G7259" s="234"/>
      <c r="H7259" s="238"/>
      <c r="I7259" s="237"/>
    </row>
    <row r="7260" spans="1:9" s="232" customFormat="1" ht="17" customHeight="1">
      <c r="A7260" s="234"/>
      <c r="B7260" s="233"/>
      <c r="C7260" s="238"/>
      <c r="E7260" s="545"/>
      <c r="F7260" s="546"/>
      <c r="G7260" s="234"/>
      <c r="H7260" s="238"/>
      <c r="I7260" s="237"/>
    </row>
    <row r="7261" spans="1:9" s="232" customFormat="1" ht="17" customHeight="1">
      <c r="A7261" s="234"/>
      <c r="B7261" s="233"/>
      <c r="C7261" s="238"/>
      <c r="E7261" s="545"/>
      <c r="F7261" s="546"/>
      <c r="G7261" s="234"/>
      <c r="H7261" s="238"/>
      <c r="I7261" s="237"/>
    </row>
    <row r="7262" spans="1:9" s="232" customFormat="1" ht="17" customHeight="1">
      <c r="A7262" s="234"/>
      <c r="B7262" s="233"/>
      <c r="C7262" s="238"/>
      <c r="E7262" s="545"/>
      <c r="F7262" s="546"/>
      <c r="G7262" s="234"/>
      <c r="H7262" s="238"/>
      <c r="I7262" s="237"/>
    </row>
    <row r="7263" spans="1:9" s="232" customFormat="1" ht="17" customHeight="1">
      <c r="A7263" s="234"/>
      <c r="B7263" s="233"/>
      <c r="C7263" s="238"/>
      <c r="E7263" s="545"/>
      <c r="F7263" s="546"/>
      <c r="G7263" s="234"/>
      <c r="H7263" s="238"/>
      <c r="I7263" s="237"/>
    </row>
    <row r="7264" spans="1:9" s="232" customFormat="1" ht="17" customHeight="1">
      <c r="A7264" s="234"/>
      <c r="B7264" s="233"/>
      <c r="C7264" s="238"/>
      <c r="E7264" s="545"/>
      <c r="F7264" s="546"/>
      <c r="G7264" s="234"/>
      <c r="H7264" s="238"/>
      <c r="I7264" s="237"/>
    </row>
    <row r="7265" spans="1:9" s="232" customFormat="1" ht="17" customHeight="1">
      <c r="A7265" s="234"/>
      <c r="B7265" s="233"/>
      <c r="C7265" s="238"/>
      <c r="E7265" s="545"/>
      <c r="F7265" s="546"/>
      <c r="G7265" s="234"/>
      <c r="H7265" s="238"/>
      <c r="I7265" s="237"/>
    </row>
    <row r="7266" spans="1:9" s="232" customFormat="1" ht="17" customHeight="1">
      <c r="A7266" s="234"/>
      <c r="B7266" s="233"/>
      <c r="C7266" s="238"/>
      <c r="E7266" s="545"/>
      <c r="F7266" s="546"/>
      <c r="G7266" s="234"/>
      <c r="H7266" s="238"/>
      <c r="I7266" s="237"/>
    </row>
    <row r="7267" spans="1:9" s="232" customFormat="1" ht="17" customHeight="1">
      <c r="A7267" s="234"/>
      <c r="B7267" s="233"/>
      <c r="C7267" s="238"/>
      <c r="E7267" s="545"/>
      <c r="F7267" s="546"/>
      <c r="G7267" s="234"/>
      <c r="H7267" s="238"/>
      <c r="I7267" s="237"/>
    </row>
    <row r="7268" spans="1:9" s="232" customFormat="1" ht="17" customHeight="1">
      <c r="A7268" s="234"/>
      <c r="B7268" s="233"/>
      <c r="C7268" s="238"/>
      <c r="E7268" s="545"/>
      <c r="F7268" s="546"/>
      <c r="G7268" s="234"/>
      <c r="H7268" s="238"/>
      <c r="I7268" s="237"/>
    </row>
    <row r="7269" spans="1:9" s="232" customFormat="1" ht="17" customHeight="1">
      <c r="A7269" s="234"/>
      <c r="B7269" s="233"/>
      <c r="C7269" s="238"/>
      <c r="E7269" s="545"/>
      <c r="F7269" s="546"/>
      <c r="G7269" s="234"/>
      <c r="H7269" s="238"/>
      <c r="I7269" s="237"/>
    </row>
    <row r="7270" spans="1:9" s="232" customFormat="1" ht="17" customHeight="1">
      <c r="A7270" s="234"/>
      <c r="B7270" s="233"/>
      <c r="C7270" s="238"/>
      <c r="E7270" s="545"/>
      <c r="F7270" s="546"/>
      <c r="G7270" s="234"/>
      <c r="H7270" s="238"/>
      <c r="I7270" s="237"/>
    </row>
    <row r="7271" spans="1:9" s="232" customFormat="1" ht="17" customHeight="1">
      <c r="A7271" s="234"/>
      <c r="B7271" s="233"/>
      <c r="C7271" s="238"/>
      <c r="E7271" s="545"/>
      <c r="F7271" s="546"/>
      <c r="G7271" s="234"/>
      <c r="H7271" s="238"/>
      <c r="I7271" s="237"/>
    </row>
    <row r="7272" spans="1:9" s="232" customFormat="1" ht="17" customHeight="1">
      <c r="A7272" s="234"/>
      <c r="B7272" s="233"/>
      <c r="C7272" s="238"/>
      <c r="E7272" s="545"/>
      <c r="F7272" s="546"/>
      <c r="G7272" s="234"/>
      <c r="H7272" s="238"/>
      <c r="I7272" s="237"/>
    </row>
    <row r="7273" spans="1:9" s="232" customFormat="1" ht="17" customHeight="1">
      <c r="A7273" s="234"/>
      <c r="B7273" s="233"/>
      <c r="C7273" s="238"/>
      <c r="E7273" s="545"/>
      <c r="F7273" s="546"/>
      <c r="G7273" s="234"/>
      <c r="H7273" s="238"/>
      <c r="I7273" s="237"/>
    </row>
    <row r="7274" spans="1:9" s="232" customFormat="1" ht="17" customHeight="1">
      <c r="A7274" s="234"/>
      <c r="B7274" s="233"/>
      <c r="C7274" s="238"/>
      <c r="E7274" s="545"/>
      <c r="F7274" s="546"/>
      <c r="G7274" s="234"/>
      <c r="H7274" s="238"/>
      <c r="I7274" s="237"/>
    </row>
    <row r="7275" spans="1:9" s="232" customFormat="1" ht="17" customHeight="1">
      <c r="A7275" s="234"/>
      <c r="B7275" s="233"/>
      <c r="C7275" s="238"/>
      <c r="E7275" s="545"/>
      <c r="F7275" s="546"/>
      <c r="G7275" s="234"/>
      <c r="H7275" s="238"/>
      <c r="I7275" s="237"/>
    </row>
    <row r="7276" spans="1:9" s="232" customFormat="1" ht="17" customHeight="1">
      <c r="A7276" s="234"/>
      <c r="B7276" s="233"/>
      <c r="C7276" s="238"/>
      <c r="E7276" s="545"/>
      <c r="F7276" s="546"/>
      <c r="G7276" s="234"/>
      <c r="H7276" s="238"/>
      <c r="I7276" s="237"/>
    </row>
    <row r="7277" spans="1:9" s="232" customFormat="1" ht="17" customHeight="1">
      <c r="A7277" s="234"/>
      <c r="B7277" s="233"/>
      <c r="C7277" s="238"/>
      <c r="E7277" s="545"/>
      <c r="F7277" s="546"/>
      <c r="G7277" s="234"/>
      <c r="H7277" s="238"/>
      <c r="I7277" s="237"/>
    </row>
    <row r="7278" spans="1:9" s="232" customFormat="1" ht="17" customHeight="1">
      <c r="A7278" s="234"/>
      <c r="B7278" s="233"/>
      <c r="C7278" s="238"/>
      <c r="E7278" s="545"/>
      <c r="F7278" s="546"/>
      <c r="G7278" s="234"/>
      <c r="H7278" s="238"/>
      <c r="I7278" s="237"/>
    </row>
    <row r="7279" spans="1:9" s="232" customFormat="1" ht="17" customHeight="1">
      <c r="A7279" s="234"/>
      <c r="B7279" s="233"/>
      <c r="C7279" s="238"/>
      <c r="E7279" s="545"/>
      <c r="F7279" s="546"/>
      <c r="G7279" s="234"/>
      <c r="H7279" s="238"/>
      <c r="I7279" s="237"/>
    </row>
    <row r="7280" spans="1:9" s="232" customFormat="1" ht="17" customHeight="1">
      <c r="A7280" s="234"/>
      <c r="B7280" s="233"/>
      <c r="C7280" s="238"/>
      <c r="E7280" s="545"/>
      <c r="F7280" s="546"/>
      <c r="G7280" s="234"/>
      <c r="H7280" s="238"/>
      <c r="I7280" s="237"/>
    </row>
    <row r="7281" spans="1:9" s="232" customFormat="1" ht="17" customHeight="1">
      <c r="A7281" s="234"/>
      <c r="B7281" s="233"/>
      <c r="C7281" s="238"/>
      <c r="E7281" s="545"/>
      <c r="F7281" s="546"/>
      <c r="G7281" s="234"/>
      <c r="H7281" s="238"/>
      <c r="I7281" s="237"/>
    </row>
    <row r="7282" spans="1:9" s="232" customFormat="1" ht="17" customHeight="1">
      <c r="A7282" s="234"/>
      <c r="B7282" s="233"/>
      <c r="C7282" s="238"/>
      <c r="E7282" s="545"/>
      <c r="F7282" s="546"/>
      <c r="G7282" s="234"/>
      <c r="H7282" s="238"/>
      <c r="I7282" s="237"/>
    </row>
    <row r="7283" spans="1:9" s="232" customFormat="1" ht="17" customHeight="1">
      <c r="A7283" s="234"/>
      <c r="B7283" s="233"/>
      <c r="C7283" s="238"/>
      <c r="E7283" s="545"/>
      <c r="F7283" s="546"/>
      <c r="G7283" s="234"/>
      <c r="H7283" s="238"/>
      <c r="I7283" s="237"/>
    </row>
    <row r="7284" spans="1:9" s="232" customFormat="1" ht="17" customHeight="1">
      <c r="A7284" s="234"/>
      <c r="B7284" s="233"/>
      <c r="C7284" s="238"/>
      <c r="E7284" s="545"/>
      <c r="F7284" s="546"/>
      <c r="G7284" s="234"/>
      <c r="H7284" s="238"/>
      <c r="I7284" s="237"/>
    </row>
    <row r="7285" spans="1:9" s="232" customFormat="1" ht="17" customHeight="1">
      <c r="A7285" s="234"/>
      <c r="B7285" s="233"/>
      <c r="C7285" s="238"/>
      <c r="E7285" s="545"/>
      <c r="F7285" s="546"/>
      <c r="G7285" s="234"/>
      <c r="H7285" s="238"/>
      <c r="I7285" s="237"/>
    </row>
    <row r="7286" spans="1:9" s="232" customFormat="1" ht="17" customHeight="1">
      <c r="A7286" s="234"/>
      <c r="B7286" s="233"/>
      <c r="C7286" s="238"/>
      <c r="E7286" s="545"/>
      <c r="F7286" s="546"/>
      <c r="G7286" s="234"/>
      <c r="H7286" s="238"/>
      <c r="I7286" s="237"/>
    </row>
    <row r="7287" spans="1:9" s="232" customFormat="1" ht="17" customHeight="1">
      <c r="A7287" s="234"/>
      <c r="B7287" s="233"/>
      <c r="C7287" s="238"/>
      <c r="E7287" s="545"/>
      <c r="F7287" s="546"/>
      <c r="G7287" s="234"/>
      <c r="H7287" s="238"/>
      <c r="I7287" s="237"/>
    </row>
    <row r="7288" spans="1:9" s="232" customFormat="1" ht="17" customHeight="1">
      <c r="A7288" s="234"/>
      <c r="B7288" s="233"/>
      <c r="C7288" s="238"/>
      <c r="E7288" s="545"/>
      <c r="F7288" s="546"/>
      <c r="G7288" s="234"/>
      <c r="H7288" s="238"/>
      <c r="I7288" s="237"/>
    </row>
    <row r="7289" spans="1:9" s="232" customFormat="1" ht="17" customHeight="1">
      <c r="A7289" s="234"/>
      <c r="B7289" s="233"/>
      <c r="C7289" s="238"/>
      <c r="E7289" s="545"/>
      <c r="F7289" s="546"/>
      <c r="G7289" s="234"/>
      <c r="H7289" s="238"/>
      <c r="I7289" s="237"/>
    </row>
    <row r="7290" spans="1:9" s="232" customFormat="1" ht="17" customHeight="1">
      <c r="A7290" s="234"/>
      <c r="B7290" s="233"/>
      <c r="C7290" s="238"/>
      <c r="E7290" s="545"/>
      <c r="F7290" s="546"/>
      <c r="G7290" s="234"/>
      <c r="H7290" s="238"/>
      <c r="I7290" s="237"/>
    </row>
    <row r="7291" spans="1:9" s="232" customFormat="1" ht="17" customHeight="1">
      <c r="A7291" s="234"/>
      <c r="B7291" s="233"/>
      <c r="C7291" s="238"/>
      <c r="E7291" s="545"/>
      <c r="F7291" s="546"/>
      <c r="G7291" s="234"/>
      <c r="H7291" s="238"/>
      <c r="I7291" s="237"/>
    </row>
    <row r="7292" spans="1:9" s="232" customFormat="1" ht="17" customHeight="1">
      <c r="A7292" s="234"/>
      <c r="B7292" s="233"/>
      <c r="C7292" s="238"/>
      <c r="E7292" s="545"/>
      <c r="F7292" s="546"/>
      <c r="G7292" s="234"/>
      <c r="H7292" s="238"/>
      <c r="I7292" s="237"/>
    </row>
    <row r="7293" spans="1:9" s="232" customFormat="1" ht="17" customHeight="1">
      <c r="A7293" s="234"/>
      <c r="B7293" s="233"/>
      <c r="C7293" s="238"/>
      <c r="E7293" s="545"/>
      <c r="F7293" s="546"/>
      <c r="G7293" s="234"/>
      <c r="H7293" s="238"/>
      <c r="I7293" s="237"/>
    </row>
    <row r="7294" spans="1:9" s="232" customFormat="1" ht="17" customHeight="1">
      <c r="A7294" s="234"/>
      <c r="B7294" s="233"/>
      <c r="C7294" s="238"/>
      <c r="E7294" s="545"/>
      <c r="F7294" s="546"/>
      <c r="G7294" s="234"/>
      <c r="H7294" s="238"/>
      <c r="I7294" s="237"/>
    </row>
    <row r="7295" spans="1:9" s="232" customFormat="1" ht="17" customHeight="1">
      <c r="A7295" s="234"/>
      <c r="B7295" s="233"/>
      <c r="C7295" s="238"/>
      <c r="E7295" s="545"/>
      <c r="F7295" s="546"/>
      <c r="G7295" s="234"/>
      <c r="H7295" s="238"/>
      <c r="I7295" s="237"/>
    </row>
    <row r="7296" spans="1:9" s="232" customFormat="1" ht="17" customHeight="1">
      <c r="A7296" s="234"/>
      <c r="B7296" s="233"/>
      <c r="C7296" s="238"/>
      <c r="E7296" s="545"/>
      <c r="F7296" s="546"/>
      <c r="G7296" s="234"/>
      <c r="H7296" s="238"/>
      <c r="I7296" s="237"/>
    </row>
    <row r="7297" spans="1:9" s="232" customFormat="1" ht="17" customHeight="1">
      <c r="A7297" s="234"/>
      <c r="B7297" s="233"/>
      <c r="C7297" s="238"/>
      <c r="E7297" s="545"/>
      <c r="F7297" s="546"/>
      <c r="G7297" s="234"/>
      <c r="H7297" s="238"/>
      <c r="I7297" s="237"/>
    </row>
    <row r="7298" spans="1:9" s="232" customFormat="1" ht="17" customHeight="1">
      <c r="A7298" s="234"/>
      <c r="B7298" s="233"/>
      <c r="C7298" s="238"/>
      <c r="E7298" s="545"/>
      <c r="F7298" s="546"/>
      <c r="G7298" s="234"/>
      <c r="H7298" s="238"/>
      <c r="I7298" s="237"/>
    </row>
    <row r="7299" spans="1:9" s="232" customFormat="1" ht="17" customHeight="1">
      <c r="A7299" s="234"/>
      <c r="B7299" s="233"/>
      <c r="C7299" s="238"/>
      <c r="E7299" s="545"/>
      <c r="F7299" s="546"/>
      <c r="G7299" s="234"/>
      <c r="H7299" s="238"/>
      <c r="I7299" s="237"/>
    </row>
    <row r="7300" spans="1:9" s="232" customFormat="1" ht="17" customHeight="1">
      <c r="A7300" s="234"/>
      <c r="B7300" s="233"/>
      <c r="C7300" s="238"/>
      <c r="E7300" s="545"/>
      <c r="F7300" s="546"/>
      <c r="G7300" s="234"/>
      <c r="H7300" s="238"/>
      <c r="I7300" s="237"/>
    </row>
    <row r="7301" spans="1:9" s="232" customFormat="1" ht="17" customHeight="1">
      <c r="A7301" s="234"/>
      <c r="B7301" s="233"/>
      <c r="C7301" s="238"/>
      <c r="E7301" s="545"/>
      <c r="F7301" s="546"/>
      <c r="G7301" s="234"/>
      <c r="H7301" s="238"/>
      <c r="I7301" s="237"/>
    </row>
    <row r="7302" spans="1:9" s="232" customFormat="1" ht="17" customHeight="1">
      <c r="A7302" s="234"/>
      <c r="B7302" s="233"/>
      <c r="C7302" s="238"/>
      <c r="E7302" s="545"/>
      <c r="F7302" s="546"/>
      <c r="G7302" s="234"/>
      <c r="H7302" s="238"/>
      <c r="I7302" s="237"/>
    </row>
    <row r="7303" spans="1:9" s="232" customFormat="1" ht="17" customHeight="1">
      <c r="A7303" s="234"/>
      <c r="B7303" s="233"/>
      <c r="C7303" s="238"/>
      <c r="E7303" s="545"/>
      <c r="F7303" s="546"/>
      <c r="G7303" s="234"/>
      <c r="H7303" s="238"/>
      <c r="I7303" s="237"/>
    </row>
    <row r="7304" spans="1:9" s="232" customFormat="1" ht="17" customHeight="1">
      <c r="A7304" s="234"/>
      <c r="B7304" s="233"/>
      <c r="C7304" s="238"/>
      <c r="E7304" s="545"/>
      <c r="F7304" s="546"/>
      <c r="G7304" s="234"/>
      <c r="H7304" s="238"/>
      <c r="I7304" s="237"/>
    </row>
    <row r="7305" spans="1:9" s="232" customFormat="1" ht="17" customHeight="1">
      <c r="A7305" s="234"/>
      <c r="B7305" s="233"/>
      <c r="C7305" s="238"/>
      <c r="E7305" s="545"/>
      <c r="F7305" s="546"/>
      <c r="G7305" s="234"/>
      <c r="H7305" s="238"/>
      <c r="I7305" s="237"/>
    </row>
    <row r="7306" spans="1:9" s="232" customFormat="1" ht="17" customHeight="1">
      <c r="A7306" s="234"/>
      <c r="B7306" s="233"/>
      <c r="C7306" s="238"/>
      <c r="E7306" s="545"/>
      <c r="F7306" s="546"/>
      <c r="G7306" s="234"/>
      <c r="H7306" s="238"/>
      <c r="I7306" s="237"/>
    </row>
    <row r="7307" spans="1:9" s="232" customFormat="1" ht="17" customHeight="1">
      <c r="A7307" s="234"/>
      <c r="B7307" s="233"/>
      <c r="C7307" s="238"/>
      <c r="E7307" s="545"/>
      <c r="F7307" s="546"/>
      <c r="G7307" s="234"/>
      <c r="H7307" s="238"/>
      <c r="I7307" s="237"/>
    </row>
    <row r="7308" spans="1:9" s="232" customFormat="1" ht="17" customHeight="1">
      <c r="A7308" s="234"/>
      <c r="B7308" s="233"/>
      <c r="C7308" s="238"/>
      <c r="E7308" s="545"/>
      <c r="F7308" s="546"/>
      <c r="G7308" s="234"/>
      <c r="H7308" s="238"/>
      <c r="I7308" s="237"/>
    </row>
    <row r="7309" spans="1:9" s="232" customFormat="1" ht="17" customHeight="1">
      <c r="A7309" s="234"/>
      <c r="B7309" s="233"/>
      <c r="C7309" s="238"/>
      <c r="E7309" s="545"/>
      <c r="F7309" s="546"/>
      <c r="G7309" s="234"/>
      <c r="H7309" s="238"/>
      <c r="I7309" s="237"/>
    </row>
    <row r="7310" spans="1:9" s="232" customFormat="1" ht="17" customHeight="1">
      <c r="A7310" s="234"/>
      <c r="B7310" s="233"/>
      <c r="C7310" s="238"/>
      <c r="E7310" s="545"/>
      <c r="F7310" s="546"/>
      <c r="G7310" s="234"/>
      <c r="H7310" s="238"/>
      <c r="I7310" s="237"/>
    </row>
    <row r="7311" spans="1:9" s="232" customFormat="1" ht="17" customHeight="1">
      <c r="A7311" s="234"/>
      <c r="B7311" s="233"/>
      <c r="C7311" s="238"/>
      <c r="E7311" s="545"/>
      <c r="F7311" s="546"/>
      <c r="G7311" s="234"/>
      <c r="H7311" s="238"/>
      <c r="I7311" s="237"/>
    </row>
    <row r="7312" spans="1:9" s="232" customFormat="1" ht="17" customHeight="1">
      <c r="A7312" s="234"/>
      <c r="B7312" s="233"/>
      <c r="C7312" s="238"/>
      <c r="E7312" s="545"/>
      <c r="F7312" s="546"/>
      <c r="G7312" s="234"/>
      <c r="H7312" s="238"/>
      <c r="I7312" s="237"/>
    </row>
    <row r="7313" spans="1:9" s="232" customFormat="1" ht="17" customHeight="1">
      <c r="A7313" s="234"/>
      <c r="B7313" s="233"/>
      <c r="C7313" s="238"/>
      <c r="E7313" s="545"/>
      <c r="F7313" s="546"/>
      <c r="G7313" s="234"/>
      <c r="H7313" s="238"/>
      <c r="I7313" s="237"/>
    </row>
    <row r="7314" spans="1:9" s="232" customFormat="1" ht="17" customHeight="1">
      <c r="A7314" s="234"/>
      <c r="B7314" s="233"/>
      <c r="C7314" s="238"/>
      <c r="E7314" s="545"/>
      <c r="F7314" s="546"/>
      <c r="G7314" s="234"/>
      <c r="H7314" s="238"/>
      <c r="I7314" s="237"/>
    </row>
    <row r="7315" spans="1:9" s="232" customFormat="1" ht="17" customHeight="1">
      <c r="A7315" s="234"/>
      <c r="B7315" s="233"/>
      <c r="C7315" s="238"/>
      <c r="E7315" s="545"/>
      <c r="F7315" s="546"/>
      <c r="G7315" s="234"/>
      <c r="H7315" s="238"/>
      <c r="I7315" s="237"/>
    </row>
    <row r="7316" spans="1:9" s="232" customFormat="1" ht="17" customHeight="1">
      <c r="A7316" s="234"/>
      <c r="B7316" s="233"/>
      <c r="C7316" s="238"/>
      <c r="E7316" s="545"/>
      <c r="F7316" s="546"/>
      <c r="G7316" s="234"/>
      <c r="H7316" s="238"/>
      <c r="I7316" s="237"/>
    </row>
    <row r="7317" spans="1:9" s="232" customFormat="1" ht="17" customHeight="1">
      <c r="A7317" s="234"/>
      <c r="B7317" s="233"/>
      <c r="C7317" s="238"/>
      <c r="E7317" s="545"/>
      <c r="F7317" s="546"/>
      <c r="G7317" s="234"/>
      <c r="H7317" s="238"/>
      <c r="I7317" s="237"/>
    </row>
    <row r="7318" spans="1:9" s="232" customFormat="1" ht="17" customHeight="1">
      <c r="A7318" s="234"/>
      <c r="B7318" s="233"/>
      <c r="C7318" s="238"/>
      <c r="E7318" s="545"/>
      <c r="F7318" s="546"/>
      <c r="G7318" s="234"/>
      <c r="H7318" s="238"/>
      <c r="I7318" s="237"/>
    </row>
    <row r="7319" spans="1:9" s="232" customFormat="1" ht="17" customHeight="1">
      <c r="A7319" s="234"/>
      <c r="B7319" s="233"/>
      <c r="C7319" s="238"/>
      <c r="E7319" s="545"/>
      <c r="F7319" s="546"/>
      <c r="G7319" s="234"/>
      <c r="H7319" s="238"/>
      <c r="I7319" s="237"/>
    </row>
    <row r="7320" spans="1:9" s="232" customFormat="1" ht="17" customHeight="1">
      <c r="A7320" s="234"/>
      <c r="B7320" s="233"/>
      <c r="C7320" s="238"/>
      <c r="E7320" s="545"/>
      <c r="F7320" s="546"/>
      <c r="G7320" s="234"/>
      <c r="H7320" s="238"/>
      <c r="I7320" s="237"/>
    </row>
    <row r="7321" spans="1:9" s="232" customFormat="1" ht="17" customHeight="1">
      <c r="A7321" s="234"/>
      <c r="B7321" s="233"/>
      <c r="C7321" s="238"/>
      <c r="E7321" s="545"/>
      <c r="F7321" s="546"/>
      <c r="G7321" s="234"/>
      <c r="H7321" s="238"/>
      <c r="I7321" s="237"/>
    </row>
    <row r="7322" spans="1:9" s="232" customFormat="1" ht="17" customHeight="1">
      <c r="A7322" s="234"/>
      <c r="B7322" s="233"/>
      <c r="C7322" s="238"/>
      <c r="E7322" s="545"/>
      <c r="F7322" s="546"/>
      <c r="G7322" s="234"/>
      <c r="H7322" s="238"/>
      <c r="I7322" s="237"/>
    </row>
    <row r="7323" spans="1:9" s="232" customFormat="1" ht="17" customHeight="1">
      <c r="A7323" s="234"/>
      <c r="B7323" s="233"/>
      <c r="C7323" s="238"/>
      <c r="E7323" s="545"/>
      <c r="F7323" s="546"/>
      <c r="G7323" s="234"/>
      <c r="H7323" s="238"/>
      <c r="I7323" s="237"/>
    </row>
    <row r="7324" spans="1:9" s="232" customFormat="1" ht="17" customHeight="1">
      <c r="A7324" s="234"/>
      <c r="B7324" s="233"/>
      <c r="C7324" s="238"/>
      <c r="E7324" s="545"/>
      <c r="F7324" s="546"/>
      <c r="G7324" s="234"/>
      <c r="H7324" s="238"/>
      <c r="I7324" s="237"/>
    </row>
    <row r="7325" spans="1:9" s="232" customFormat="1" ht="17" customHeight="1">
      <c r="A7325" s="234"/>
      <c r="B7325" s="233"/>
      <c r="C7325" s="238"/>
      <c r="E7325" s="545"/>
      <c r="F7325" s="546"/>
      <c r="G7325" s="234"/>
      <c r="H7325" s="238"/>
      <c r="I7325" s="237"/>
    </row>
    <row r="7326" spans="1:9" s="232" customFormat="1" ht="17" customHeight="1">
      <c r="A7326" s="234"/>
      <c r="B7326" s="233"/>
      <c r="C7326" s="238"/>
      <c r="E7326" s="545"/>
      <c r="F7326" s="546"/>
      <c r="G7326" s="234"/>
      <c r="H7326" s="238"/>
      <c r="I7326" s="237"/>
    </row>
    <row r="7327" spans="1:9" s="232" customFormat="1" ht="17" customHeight="1">
      <c r="A7327" s="234"/>
      <c r="B7327" s="233"/>
      <c r="C7327" s="238"/>
      <c r="E7327" s="545"/>
      <c r="F7327" s="546"/>
      <c r="G7327" s="234"/>
      <c r="H7327" s="238"/>
      <c r="I7327" s="237"/>
    </row>
    <row r="7328" spans="1:9" s="232" customFormat="1" ht="17" customHeight="1">
      <c r="A7328" s="234"/>
      <c r="B7328" s="233"/>
      <c r="C7328" s="238"/>
      <c r="E7328" s="545"/>
      <c r="F7328" s="546"/>
      <c r="G7328" s="234"/>
      <c r="H7328" s="238"/>
      <c r="I7328" s="237"/>
    </row>
    <row r="7329" spans="1:9" s="232" customFormat="1" ht="17" customHeight="1">
      <c r="A7329" s="234"/>
      <c r="B7329" s="233"/>
      <c r="C7329" s="238"/>
      <c r="E7329" s="545"/>
      <c r="F7329" s="546"/>
      <c r="G7329" s="234"/>
      <c r="H7329" s="238"/>
      <c r="I7329" s="237"/>
    </row>
    <row r="7330" spans="1:9" s="232" customFormat="1" ht="17" customHeight="1">
      <c r="A7330" s="234"/>
      <c r="B7330" s="233"/>
      <c r="C7330" s="238"/>
      <c r="E7330" s="545"/>
      <c r="F7330" s="546"/>
      <c r="G7330" s="234"/>
      <c r="H7330" s="238"/>
      <c r="I7330" s="237"/>
    </row>
    <row r="7331" spans="1:9" s="232" customFormat="1" ht="17" customHeight="1">
      <c r="A7331" s="234"/>
      <c r="B7331" s="233"/>
      <c r="C7331" s="238"/>
      <c r="E7331" s="545"/>
      <c r="F7331" s="546"/>
      <c r="G7331" s="234"/>
      <c r="H7331" s="238"/>
      <c r="I7331" s="237"/>
    </row>
    <row r="7332" spans="1:9" s="232" customFormat="1" ht="17" customHeight="1">
      <c r="A7332" s="234"/>
      <c r="B7332" s="233"/>
      <c r="C7332" s="238"/>
      <c r="E7332" s="545"/>
      <c r="F7332" s="546"/>
      <c r="G7332" s="234"/>
      <c r="H7332" s="238"/>
      <c r="I7332" s="237"/>
    </row>
    <row r="7333" spans="1:9" s="232" customFormat="1" ht="17" customHeight="1">
      <c r="A7333" s="234"/>
      <c r="B7333" s="233"/>
      <c r="C7333" s="238"/>
      <c r="E7333" s="545"/>
      <c r="F7333" s="546"/>
      <c r="G7333" s="234"/>
      <c r="H7333" s="238"/>
      <c r="I7333" s="237"/>
    </row>
    <row r="7334" spans="1:9" s="232" customFormat="1" ht="17" customHeight="1">
      <c r="A7334" s="234"/>
      <c r="B7334" s="233"/>
      <c r="C7334" s="238"/>
      <c r="E7334" s="545"/>
      <c r="F7334" s="546"/>
      <c r="G7334" s="234"/>
      <c r="H7334" s="238"/>
      <c r="I7334" s="237"/>
    </row>
    <row r="7335" spans="1:9" s="232" customFormat="1" ht="17" customHeight="1">
      <c r="A7335" s="234"/>
      <c r="B7335" s="233"/>
      <c r="C7335" s="238"/>
      <c r="E7335" s="545"/>
      <c r="F7335" s="546"/>
      <c r="G7335" s="234"/>
      <c r="H7335" s="238"/>
      <c r="I7335" s="237"/>
    </row>
    <row r="7336" spans="1:9" s="232" customFormat="1" ht="17" customHeight="1">
      <c r="A7336" s="234"/>
      <c r="B7336" s="233"/>
      <c r="C7336" s="238"/>
      <c r="E7336" s="545"/>
      <c r="F7336" s="546"/>
      <c r="G7336" s="234"/>
      <c r="H7336" s="238"/>
      <c r="I7336" s="237"/>
    </row>
    <row r="7337" spans="1:9" s="232" customFormat="1" ht="17" customHeight="1">
      <c r="A7337" s="234"/>
      <c r="B7337" s="233"/>
      <c r="C7337" s="238"/>
      <c r="E7337" s="545"/>
      <c r="F7337" s="546"/>
      <c r="G7337" s="234"/>
      <c r="H7337" s="238"/>
      <c r="I7337" s="237"/>
    </row>
    <row r="7338" spans="1:9" s="232" customFormat="1" ht="17" customHeight="1">
      <c r="A7338" s="234"/>
      <c r="B7338" s="233"/>
      <c r="C7338" s="238"/>
      <c r="E7338" s="545"/>
      <c r="F7338" s="546"/>
      <c r="G7338" s="234"/>
      <c r="H7338" s="238"/>
      <c r="I7338" s="237"/>
    </row>
    <row r="7339" spans="1:9" s="232" customFormat="1" ht="17" customHeight="1">
      <c r="A7339" s="234"/>
      <c r="B7339" s="233"/>
      <c r="C7339" s="238"/>
      <c r="E7339" s="545"/>
      <c r="F7339" s="546"/>
      <c r="G7339" s="234"/>
      <c r="H7339" s="238"/>
      <c r="I7339" s="237"/>
    </row>
    <row r="7340" spans="1:9" s="232" customFormat="1" ht="17" customHeight="1">
      <c r="A7340" s="234"/>
      <c r="B7340" s="233"/>
      <c r="C7340" s="238"/>
      <c r="E7340" s="545"/>
      <c r="F7340" s="546"/>
      <c r="G7340" s="234"/>
      <c r="H7340" s="238"/>
      <c r="I7340" s="237"/>
    </row>
    <row r="7341" spans="1:9" s="232" customFormat="1" ht="17" customHeight="1">
      <c r="A7341" s="234"/>
      <c r="B7341" s="233"/>
      <c r="C7341" s="238"/>
      <c r="E7341" s="545"/>
      <c r="F7341" s="546"/>
      <c r="G7341" s="234"/>
      <c r="H7341" s="238"/>
      <c r="I7341" s="237"/>
    </row>
    <row r="7342" spans="1:9" s="232" customFormat="1" ht="17" customHeight="1">
      <c r="A7342" s="234"/>
      <c r="B7342" s="233"/>
      <c r="C7342" s="238"/>
      <c r="E7342" s="545"/>
      <c r="F7342" s="546"/>
      <c r="G7342" s="234"/>
      <c r="H7342" s="238"/>
      <c r="I7342" s="237"/>
    </row>
    <row r="7343" spans="1:9" s="232" customFormat="1" ht="17" customHeight="1">
      <c r="A7343" s="234"/>
      <c r="B7343" s="233"/>
      <c r="C7343" s="238"/>
      <c r="E7343" s="545"/>
      <c r="F7343" s="546"/>
      <c r="G7343" s="234"/>
      <c r="H7343" s="238"/>
      <c r="I7343" s="237"/>
    </row>
    <row r="7344" spans="1:9" s="232" customFormat="1" ht="17" customHeight="1">
      <c r="A7344" s="234"/>
      <c r="B7344" s="233"/>
      <c r="C7344" s="238"/>
      <c r="E7344" s="545"/>
      <c r="F7344" s="546"/>
      <c r="G7344" s="234"/>
      <c r="H7344" s="238"/>
      <c r="I7344" s="237"/>
    </row>
    <row r="7345" spans="1:9" s="232" customFormat="1" ht="17" customHeight="1">
      <c r="A7345" s="234"/>
      <c r="B7345" s="233"/>
      <c r="C7345" s="238"/>
      <c r="E7345" s="545"/>
      <c r="F7345" s="546"/>
      <c r="G7345" s="234"/>
      <c r="H7345" s="238"/>
      <c r="I7345" s="237"/>
    </row>
    <row r="7346" spans="1:9" s="232" customFormat="1" ht="17" customHeight="1">
      <c r="A7346" s="234"/>
      <c r="B7346" s="233"/>
      <c r="C7346" s="238"/>
      <c r="E7346" s="545"/>
      <c r="F7346" s="546"/>
      <c r="G7346" s="234"/>
      <c r="H7346" s="238"/>
      <c r="I7346" s="237"/>
    </row>
    <row r="7347" spans="1:9" s="232" customFormat="1" ht="17" customHeight="1">
      <c r="A7347" s="234"/>
      <c r="B7347" s="233"/>
      <c r="C7347" s="238"/>
      <c r="E7347" s="545"/>
      <c r="F7347" s="546"/>
      <c r="G7347" s="234"/>
      <c r="H7347" s="238"/>
      <c r="I7347" s="237"/>
    </row>
    <row r="7348" spans="1:9" s="232" customFormat="1" ht="17" customHeight="1">
      <c r="A7348" s="234"/>
      <c r="B7348" s="233"/>
      <c r="C7348" s="238"/>
      <c r="E7348" s="545"/>
      <c r="F7348" s="546"/>
      <c r="G7348" s="234"/>
      <c r="H7348" s="238"/>
      <c r="I7348" s="237"/>
    </row>
    <row r="7349" spans="1:9" s="232" customFormat="1" ht="17" customHeight="1">
      <c r="A7349" s="234"/>
      <c r="B7349" s="233"/>
      <c r="C7349" s="238"/>
      <c r="E7349" s="545"/>
      <c r="F7349" s="546"/>
      <c r="G7349" s="234"/>
      <c r="H7349" s="238"/>
      <c r="I7349" s="237"/>
    </row>
    <row r="7350" spans="1:9" s="232" customFormat="1" ht="17" customHeight="1">
      <c r="A7350" s="234"/>
      <c r="B7350" s="233"/>
      <c r="C7350" s="238"/>
      <c r="E7350" s="545"/>
      <c r="F7350" s="546"/>
      <c r="G7350" s="234"/>
      <c r="H7350" s="238"/>
      <c r="I7350" s="237"/>
    </row>
    <row r="7351" spans="1:9" s="232" customFormat="1" ht="17" customHeight="1">
      <c r="A7351" s="234"/>
      <c r="B7351" s="233"/>
      <c r="C7351" s="238"/>
      <c r="E7351" s="545"/>
      <c r="F7351" s="546"/>
      <c r="G7351" s="234"/>
      <c r="H7351" s="238"/>
      <c r="I7351" s="237"/>
    </row>
    <row r="7352" spans="1:9" s="232" customFormat="1" ht="17" customHeight="1">
      <c r="A7352" s="234"/>
      <c r="B7352" s="233"/>
      <c r="C7352" s="238"/>
      <c r="E7352" s="545"/>
      <c r="F7352" s="546"/>
      <c r="G7352" s="234"/>
      <c r="H7352" s="238"/>
      <c r="I7352" s="237"/>
    </row>
    <row r="7353" spans="1:9" s="232" customFormat="1" ht="17" customHeight="1">
      <c r="A7353" s="234"/>
      <c r="B7353" s="233"/>
      <c r="C7353" s="238"/>
      <c r="E7353" s="545"/>
      <c r="F7353" s="546"/>
      <c r="G7353" s="234"/>
      <c r="H7353" s="238"/>
      <c r="I7353" s="237"/>
    </row>
    <row r="7354" spans="1:9" s="232" customFormat="1" ht="17" customHeight="1">
      <c r="A7354" s="234"/>
      <c r="B7354" s="233"/>
      <c r="C7354" s="238"/>
      <c r="E7354" s="545"/>
      <c r="F7354" s="546"/>
      <c r="G7354" s="234"/>
      <c r="H7354" s="238"/>
      <c r="I7354" s="237"/>
    </row>
    <row r="7355" spans="1:9" s="232" customFormat="1" ht="17" customHeight="1">
      <c r="A7355" s="234"/>
      <c r="B7355" s="233"/>
      <c r="C7355" s="238"/>
      <c r="E7355" s="545"/>
      <c r="F7355" s="546"/>
      <c r="G7355" s="234"/>
      <c r="H7355" s="238"/>
      <c r="I7355" s="237"/>
    </row>
    <row r="7356" spans="1:9" s="232" customFormat="1" ht="17" customHeight="1">
      <c r="A7356" s="234"/>
      <c r="B7356" s="233"/>
      <c r="C7356" s="238"/>
      <c r="E7356" s="545"/>
      <c r="F7356" s="546"/>
      <c r="G7356" s="234"/>
      <c r="H7356" s="238"/>
      <c r="I7356" s="237"/>
    </row>
    <row r="7357" spans="1:9" s="232" customFormat="1" ht="17" customHeight="1">
      <c r="A7357" s="234"/>
      <c r="B7357" s="233"/>
      <c r="C7357" s="238"/>
      <c r="E7357" s="545"/>
      <c r="F7357" s="546"/>
      <c r="G7357" s="234"/>
      <c r="H7357" s="238"/>
      <c r="I7357" s="237"/>
    </row>
    <row r="7358" spans="1:9" s="232" customFormat="1" ht="17" customHeight="1">
      <c r="A7358" s="234"/>
      <c r="B7358" s="233"/>
      <c r="C7358" s="238"/>
      <c r="E7358" s="545"/>
      <c r="F7358" s="546"/>
      <c r="G7358" s="234"/>
      <c r="H7358" s="238"/>
      <c r="I7358" s="237"/>
    </row>
    <row r="7359" spans="1:9" s="232" customFormat="1" ht="17" customHeight="1">
      <c r="A7359" s="234"/>
      <c r="B7359" s="233"/>
      <c r="C7359" s="238"/>
      <c r="E7359" s="545"/>
      <c r="F7359" s="546"/>
      <c r="G7359" s="234"/>
      <c r="H7359" s="238"/>
      <c r="I7359" s="237"/>
    </row>
    <row r="7360" spans="1:9" s="232" customFormat="1" ht="17" customHeight="1">
      <c r="A7360" s="234"/>
      <c r="B7360" s="233"/>
      <c r="C7360" s="238"/>
      <c r="E7360" s="545"/>
      <c r="F7360" s="546"/>
      <c r="G7360" s="234"/>
      <c r="H7360" s="238"/>
      <c r="I7360" s="237"/>
    </row>
    <row r="7361" spans="1:9" s="232" customFormat="1" ht="17" customHeight="1">
      <c r="A7361" s="234"/>
      <c r="B7361" s="233"/>
      <c r="C7361" s="238"/>
      <c r="E7361" s="545"/>
      <c r="F7361" s="546"/>
      <c r="G7361" s="234"/>
      <c r="H7361" s="238"/>
      <c r="I7361" s="237"/>
    </row>
    <row r="7362" spans="1:9" s="232" customFormat="1" ht="17" customHeight="1">
      <c r="A7362" s="234"/>
      <c r="B7362" s="233"/>
      <c r="C7362" s="238"/>
      <c r="E7362" s="545"/>
      <c r="F7362" s="546"/>
      <c r="G7362" s="234"/>
      <c r="H7362" s="238"/>
      <c r="I7362" s="237"/>
    </row>
    <row r="7363" spans="1:9" s="232" customFormat="1" ht="17" customHeight="1">
      <c r="A7363" s="234"/>
      <c r="B7363" s="233"/>
      <c r="C7363" s="238"/>
      <c r="E7363" s="545"/>
      <c r="F7363" s="546"/>
      <c r="G7363" s="234"/>
      <c r="H7363" s="238"/>
      <c r="I7363" s="237"/>
    </row>
    <row r="7364" spans="1:9" s="232" customFormat="1" ht="17" customHeight="1">
      <c r="A7364" s="234"/>
      <c r="B7364" s="233"/>
      <c r="C7364" s="238"/>
      <c r="E7364" s="545"/>
      <c r="F7364" s="546"/>
      <c r="G7364" s="234"/>
      <c r="H7364" s="238"/>
      <c r="I7364" s="237"/>
    </row>
    <row r="7365" spans="1:9" s="232" customFormat="1" ht="17" customHeight="1">
      <c r="A7365" s="234"/>
      <c r="B7365" s="233"/>
      <c r="C7365" s="238"/>
      <c r="E7365" s="545"/>
      <c r="F7365" s="546"/>
      <c r="G7365" s="234"/>
      <c r="H7365" s="238"/>
      <c r="I7365" s="237"/>
    </row>
    <row r="7366" spans="1:9" s="232" customFormat="1" ht="17" customHeight="1">
      <c r="A7366" s="234"/>
      <c r="B7366" s="233"/>
      <c r="C7366" s="238"/>
      <c r="E7366" s="545"/>
      <c r="F7366" s="546"/>
      <c r="G7366" s="234"/>
      <c r="H7366" s="238"/>
      <c r="I7366" s="237"/>
    </row>
    <row r="7367" spans="1:9" s="232" customFormat="1" ht="17" customHeight="1">
      <c r="A7367" s="234"/>
      <c r="B7367" s="233"/>
      <c r="C7367" s="238"/>
      <c r="E7367" s="545"/>
      <c r="F7367" s="546"/>
      <c r="G7367" s="234"/>
      <c r="H7367" s="238"/>
      <c r="I7367" s="237"/>
    </row>
    <row r="7368" spans="1:9" s="232" customFormat="1" ht="17" customHeight="1">
      <c r="A7368" s="234"/>
      <c r="B7368" s="233"/>
      <c r="C7368" s="238"/>
      <c r="E7368" s="545"/>
      <c r="F7368" s="546"/>
      <c r="G7368" s="234"/>
      <c r="H7368" s="238"/>
      <c r="I7368" s="237"/>
    </row>
    <row r="7369" spans="1:9" s="232" customFormat="1" ht="17" customHeight="1">
      <c r="A7369" s="234"/>
      <c r="B7369" s="233"/>
      <c r="C7369" s="238"/>
      <c r="E7369" s="545"/>
      <c r="F7369" s="546"/>
      <c r="G7369" s="234"/>
      <c r="H7369" s="238"/>
      <c r="I7369" s="237"/>
    </row>
    <row r="7370" spans="1:9" s="232" customFormat="1" ht="17" customHeight="1">
      <c r="A7370" s="234"/>
      <c r="B7370" s="233"/>
      <c r="C7370" s="238"/>
      <c r="E7370" s="545"/>
      <c r="F7370" s="546"/>
      <c r="G7370" s="234"/>
      <c r="H7370" s="238"/>
      <c r="I7370" s="237"/>
    </row>
    <row r="7371" spans="1:9" s="232" customFormat="1" ht="17" customHeight="1">
      <c r="A7371" s="234"/>
      <c r="B7371" s="233"/>
      <c r="C7371" s="238"/>
      <c r="E7371" s="545"/>
      <c r="F7371" s="546"/>
      <c r="G7371" s="234"/>
      <c r="H7371" s="238"/>
      <c r="I7371" s="237"/>
    </row>
    <row r="7372" spans="1:9" s="232" customFormat="1" ht="17" customHeight="1">
      <c r="A7372" s="234"/>
      <c r="B7372" s="233"/>
      <c r="C7372" s="238"/>
      <c r="E7372" s="545"/>
      <c r="F7372" s="546"/>
      <c r="G7372" s="234"/>
      <c r="H7372" s="238"/>
      <c r="I7372" s="237"/>
    </row>
    <row r="7373" spans="1:9" s="232" customFormat="1" ht="17" customHeight="1">
      <c r="A7373" s="234"/>
      <c r="B7373" s="233"/>
      <c r="C7373" s="238"/>
      <c r="E7373" s="545"/>
      <c r="F7373" s="546"/>
      <c r="G7373" s="234"/>
      <c r="H7373" s="238"/>
      <c r="I7373" s="237"/>
    </row>
    <row r="7374" spans="1:9" s="232" customFormat="1" ht="17" customHeight="1">
      <c r="A7374" s="234"/>
      <c r="B7374" s="233"/>
      <c r="C7374" s="238"/>
      <c r="E7374" s="545"/>
      <c r="F7374" s="546"/>
      <c r="G7374" s="234"/>
      <c r="H7374" s="238"/>
      <c r="I7374" s="237"/>
    </row>
    <row r="7375" spans="1:9" s="232" customFormat="1" ht="17" customHeight="1">
      <c r="A7375" s="234"/>
      <c r="B7375" s="233"/>
      <c r="C7375" s="238"/>
      <c r="E7375" s="545"/>
      <c r="F7375" s="546"/>
      <c r="G7375" s="234"/>
      <c r="H7375" s="238"/>
      <c r="I7375" s="237"/>
    </row>
    <row r="7376" spans="1:9" s="232" customFormat="1" ht="17" customHeight="1">
      <c r="A7376" s="234"/>
      <c r="B7376" s="233"/>
      <c r="C7376" s="238"/>
      <c r="E7376" s="545"/>
      <c r="F7376" s="546"/>
      <c r="G7376" s="234"/>
      <c r="H7376" s="238"/>
      <c r="I7376" s="237"/>
    </row>
    <row r="7377" spans="1:9" s="232" customFormat="1" ht="17" customHeight="1">
      <c r="A7377" s="234"/>
      <c r="B7377" s="233"/>
      <c r="C7377" s="238"/>
      <c r="E7377" s="545"/>
      <c r="F7377" s="546"/>
      <c r="G7377" s="234"/>
      <c r="H7377" s="238"/>
      <c r="I7377" s="237"/>
    </row>
    <row r="7378" spans="1:9" s="232" customFormat="1" ht="17" customHeight="1">
      <c r="A7378" s="234"/>
      <c r="B7378" s="233"/>
      <c r="C7378" s="238"/>
      <c r="E7378" s="545"/>
      <c r="F7378" s="546"/>
      <c r="G7378" s="234"/>
      <c r="H7378" s="238"/>
      <c r="I7378" s="237"/>
    </row>
    <row r="7379" spans="1:9" s="232" customFormat="1" ht="17" customHeight="1">
      <c r="A7379" s="234"/>
      <c r="B7379" s="233"/>
      <c r="C7379" s="238"/>
      <c r="E7379" s="545"/>
      <c r="F7379" s="546"/>
      <c r="G7379" s="234"/>
      <c r="H7379" s="238"/>
      <c r="I7379" s="237"/>
    </row>
    <row r="7380" spans="1:9" s="232" customFormat="1" ht="17" customHeight="1">
      <c r="A7380" s="234"/>
      <c r="B7380" s="233"/>
      <c r="C7380" s="238"/>
      <c r="E7380" s="545"/>
      <c r="F7380" s="546"/>
      <c r="G7380" s="234"/>
      <c r="H7380" s="238"/>
      <c r="I7380" s="237"/>
    </row>
    <row r="7381" spans="1:9" s="232" customFormat="1" ht="17" customHeight="1">
      <c r="A7381" s="234"/>
      <c r="B7381" s="233"/>
      <c r="C7381" s="238"/>
      <c r="E7381" s="545"/>
      <c r="F7381" s="546"/>
      <c r="G7381" s="234"/>
      <c r="H7381" s="238"/>
      <c r="I7381" s="237"/>
    </row>
    <row r="7382" spans="1:9" s="232" customFormat="1" ht="17" customHeight="1">
      <c r="A7382" s="234"/>
      <c r="B7382" s="233"/>
      <c r="C7382" s="238"/>
      <c r="E7382" s="545"/>
      <c r="F7382" s="546"/>
      <c r="G7382" s="234"/>
      <c r="H7382" s="238"/>
      <c r="I7382" s="237"/>
    </row>
    <row r="7383" spans="1:9" s="232" customFormat="1" ht="17" customHeight="1">
      <c r="A7383" s="234"/>
      <c r="B7383" s="233"/>
      <c r="C7383" s="238"/>
      <c r="E7383" s="545"/>
      <c r="F7383" s="546"/>
      <c r="G7383" s="234"/>
      <c r="H7383" s="238"/>
      <c r="I7383" s="237"/>
    </row>
    <row r="7384" spans="1:9" s="232" customFormat="1" ht="17" customHeight="1">
      <c r="A7384" s="234"/>
      <c r="B7384" s="233"/>
      <c r="C7384" s="238"/>
      <c r="E7384" s="545"/>
      <c r="F7384" s="546"/>
      <c r="G7384" s="234"/>
      <c r="H7384" s="238"/>
      <c r="I7384" s="237"/>
    </row>
    <row r="7385" spans="1:9" s="232" customFormat="1" ht="17" customHeight="1">
      <c r="A7385" s="234"/>
      <c r="B7385" s="233"/>
      <c r="C7385" s="238"/>
      <c r="E7385" s="545"/>
      <c r="F7385" s="546"/>
      <c r="G7385" s="234"/>
      <c r="H7385" s="238"/>
      <c r="I7385" s="237"/>
    </row>
    <row r="7386" spans="1:9" s="232" customFormat="1" ht="17" customHeight="1">
      <c r="A7386" s="234"/>
      <c r="B7386" s="233"/>
      <c r="C7386" s="238"/>
      <c r="E7386" s="545"/>
      <c r="F7386" s="546"/>
      <c r="G7386" s="234"/>
      <c r="H7386" s="238"/>
      <c r="I7386" s="237"/>
    </row>
    <row r="7387" spans="1:9" s="232" customFormat="1" ht="17" customHeight="1">
      <c r="A7387" s="234"/>
      <c r="B7387" s="233"/>
      <c r="C7387" s="238"/>
      <c r="E7387" s="545"/>
      <c r="F7387" s="546"/>
      <c r="G7387" s="234"/>
      <c r="H7387" s="238"/>
      <c r="I7387" s="237"/>
    </row>
    <row r="7388" spans="1:9" s="232" customFormat="1" ht="17" customHeight="1">
      <c r="A7388" s="234"/>
      <c r="B7388" s="233"/>
      <c r="C7388" s="238"/>
      <c r="E7388" s="545"/>
      <c r="F7388" s="546"/>
      <c r="G7388" s="234"/>
      <c r="H7388" s="238"/>
      <c r="I7388" s="237"/>
    </row>
    <row r="7389" spans="1:9" s="232" customFormat="1" ht="17" customHeight="1">
      <c r="A7389" s="234"/>
      <c r="B7389" s="233"/>
      <c r="C7389" s="238"/>
      <c r="E7389" s="545"/>
      <c r="F7389" s="546"/>
      <c r="G7389" s="234"/>
      <c r="H7389" s="238"/>
      <c r="I7389" s="237"/>
    </row>
    <row r="7390" spans="1:9" s="232" customFormat="1" ht="17" customHeight="1">
      <c r="A7390" s="234"/>
      <c r="B7390" s="233"/>
      <c r="C7390" s="238"/>
      <c r="E7390" s="545"/>
      <c r="F7390" s="546"/>
      <c r="G7390" s="234"/>
      <c r="H7390" s="238"/>
      <c r="I7390" s="237"/>
    </row>
    <row r="7391" spans="1:9" s="232" customFormat="1" ht="17" customHeight="1">
      <c r="A7391" s="234"/>
      <c r="B7391" s="233"/>
      <c r="C7391" s="238"/>
      <c r="E7391" s="545"/>
      <c r="F7391" s="546"/>
      <c r="G7391" s="234"/>
      <c r="H7391" s="238"/>
      <c r="I7391" s="237"/>
    </row>
    <row r="7392" spans="1:9" s="232" customFormat="1" ht="17" customHeight="1">
      <c r="A7392" s="234"/>
      <c r="B7392" s="233"/>
      <c r="C7392" s="238"/>
      <c r="E7392" s="545"/>
      <c r="F7392" s="546"/>
      <c r="G7392" s="234"/>
      <c r="H7392" s="238"/>
      <c r="I7392" s="237"/>
    </row>
    <row r="7393" spans="1:9" s="232" customFormat="1" ht="17" customHeight="1">
      <c r="A7393" s="234"/>
      <c r="B7393" s="233"/>
      <c r="C7393" s="238"/>
      <c r="E7393" s="545"/>
      <c r="F7393" s="546"/>
      <c r="G7393" s="234"/>
      <c r="H7393" s="238"/>
      <c r="I7393" s="237"/>
    </row>
    <row r="7394" spans="1:9" s="232" customFormat="1" ht="17" customHeight="1">
      <c r="A7394" s="234"/>
      <c r="B7394" s="233"/>
      <c r="C7394" s="238"/>
      <c r="E7394" s="545"/>
      <c r="F7394" s="546"/>
      <c r="G7394" s="234"/>
      <c r="H7394" s="238"/>
      <c r="I7394" s="237"/>
    </row>
    <row r="7395" spans="1:9" s="232" customFormat="1" ht="17" customHeight="1">
      <c r="A7395" s="234"/>
      <c r="B7395" s="233"/>
      <c r="C7395" s="238"/>
      <c r="E7395" s="545"/>
      <c r="F7395" s="546"/>
      <c r="G7395" s="234"/>
      <c r="H7395" s="238"/>
      <c r="I7395" s="237"/>
    </row>
    <row r="7396" spans="1:9" s="232" customFormat="1" ht="17" customHeight="1">
      <c r="A7396" s="234"/>
      <c r="B7396" s="233"/>
      <c r="C7396" s="238"/>
      <c r="E7396" s="545"/>
      <c r="F7396" s="546"/>
      <c r="G7396" s="234"/>
      <c r="H7396" s="238"/>
      <c r="I7396" s="237"/>
    </row>
    <row r="7397" spans="1:9" s="232" customFormat="1" ht="17" customHeight="1">
      <c r="A7397" s="234"/>
      <c r="B7397" s="233"/>
      <c r="C7397" s="238"/>
      <c r="E7397" s="545"/>
      <c r="F7397" s="546"/>
      <c r="G7397" s="234"/>
      <c r="H7397" s="238"/>
      <c r="I7397" s="237"/>
    </row>
    <row r="7398" spans="1:9" s="232" customFormat="1" ht="17" customHeight="1">
      <c r="A7398" s="234"/>
      <c r="B7398" s="233"/>
      <c r="C7398" s="238"/>
      <c r="E7398" s="545"/>
      <c r="F7398" s="546"/>
      <c r="G7398" s="234"/>
      <c r="H7398" s="238"/>
      <c r="I7398" s="237"/>
    </row>
    <row r="7399" spans="1:9" s="232" customFormat="1" ht="17" customHeight="1">
      <c r="A7399" s="234"/>
      <c r="B7399" s="233"/>
      <c r="C7399" s="238"/>
      <c r="E7399" s="545"/>
      <c r="F7399" s="546"/>
      <c r="G7399" s="234"/>
      <c r="H7399" s="238"/>
      <c r="I7399" s="237"/>
    </row>
    <row r="7400" spans="1:9" s="232" customFormat="1" ht="17" customHeight="1">
      <c r="A7400" s="234"/>
      <c r="B7400" s="233"/>
      <c r="C7400" s="238"/>
      <c r="E7400" s="545"/>
      <c r="F7400" s="546"/>
      <c r="G7400" s="234"/>
      <c r="H7400" s="238"/>
      <c r="I7400" s="237"/>
    </row>
    <row r="7401" spans="1:9" s="232" customFormat="1" ht="17" customHeight="1">
      <c r="A7401" s="234"/>
      <c r="B7401" s="233"/>
      <c r="C7401" s="238"/>
      <c r="E7401" s="545"/>
      <c r="F7401" s="546"/>
      <c r="G7401" s="234"/>
      <c r="H7401" s="238"/>
      <c r="I7401" s="237"/>
    </row>
    <row r="7402" spans="1:9" s="232" customFormat="1" ht="17" customHeight="1">
      <c r="A7402" s="234"/>
      <c r="B7402" s="233"/>
      <c r="C7402" s="238"/>
      <c r="E7402" s="545"/>
      <c r="F7402" s="546"/>
      <c r="G7402" s="234"/>
      <c r="H7402" s="238"/>
      <c r="I7402" s="237"/>
    </row>
    <row r="7403" spans="1:9" s="232" customFormat="1" ht="17" customHeight="1">
      <c r="A7403" s="234"/>
      <c r="B7403" s="233"/>
      <c r="C7403" s="238"/>
      <c r="E7403" s="545"/>
      <c r="F7403" s="546"/>
      <c r="G7403" s="234"/>
      <c r="H7403" s="238"/>
      <c r="I7403" s="237"/>
    </row>
    <row r="7404" spans="1:9" s="232" customFormat="1" ht="17" customHeight="1">
      <c r="A7404" s="234"/>
      <c r="B7404" s="233"/>
      <c r="C7404" s="238"/>
      <c r="E7404" s="545"/>
      <c r="F7404" s="546"/>
      <c r="G7404" s="234"/>
      <c r="H7404" s="238"/>
      <c r="I7404" s="237"/>
    </row>
    <row r="7405" spans="1:9" s="232" customFormat="1" ht="17" customHeight="1">
      <c r="A7405" s="234"/>
      <c r="B7405" s="233"/>
      <c r="C7405" s="238"/>
      <c r="E7405" s="545"/>
      <c r="F7405" s="546"/>
      <c r="G7405" s="234"/>
      <c r="H7405" s="238"/>
      <c r="I7405" s="237"/>
    </row>
    <row r="7406" spans="1:9" s="232" customFormat="1" ht="17" customHeight="1">
      <c r="A7406" s="234"/>
      <c r="B7406" s="233"/>
      <c r="C7406" s="238"/>
      <c r="E7406" s="545"/>
      <c r="F7406" s="546"/>
      <c r="G7406" s="234"/>
      <c r="H7406" s="238"/>
      <c r="I7406" s="237"/>
    </row>
    <row r="7407" spans="1:9" s="232" customFormat="1" ht="17" customHeight="1">
      <c r="A7407" s="234"/>
      <c r="B7407" s="233"/>
      <c r="C7407" s="238"/>
      <c r="E7407" s="545"/>
      <c r="F7407" s="546"/>
      <c r="G7407" s="234"/>
      <c r="H7407" s="238"/>
      <c r="I7407" s="237"/>
    </row>
    <row r="7408" spans="1:9" s="232" customFormat="1" ht="17" customHeight="1">
      <c r="A7408" s="234"/>
      <c r="B7408" s="233"/>
      <c r="C7408" s="238"/>
      <c r="E7408" s="545"/>
      <c r="F7408" s="546"/>
      <c r="G7408" s="234"/>
      <c r="H7408" s="238"/>
      <c r="I7408" s="237"/>
    </row>
    <row r="7409" spans="1:9" s="232" customFormat="1" ht="17" customHeight="1">
      <c r="A7409" s="234"/>
      <c r="B7409" s="233"/>
      <c r="C7409" s="238"/>
      <c r="E7409" s="545"/>
      <c r="F7409" s="546"/>
      <c r="G7409" s="234"/>
      <c r="H7409" s="238"/>
      <c r="I7409" s="237"/>
    </row>
    <row r="7410" spans="1:9" s="232" customFormat="1" ht="17" customHeight="1">
      <c r="A7410" s="234"/>
      <c r="B7410" s="233"/>
      <c r="C7410" s="238"/>
      <c r="E7410" s="545"/>
      <c r="F7410" s="546"/>
      <c r="G7410" s="234"/>
      <c r="H7410" s="238"/>
      <c r="I7410" s="237"/>
    </row>
    <row r="7411" spans="1:9" s="232" customFormat="1" ht="17" customHeight="1">
      <c r="A7411" s="234"/>
      <c r="B7411" s="233"/>
      <c r="C7411" s="238"/>
      <c r="E7411" s="545"/>
      <c r="F7411" s="546"/>
      <c r="G7411" s="234"/>
      <c r="H7411" s="238"/>
      <c r="I7411" s="237"/>
    </row>
    <row r="7412" spans="1:9" s="232" customFormat="1" ht="17" customHeight="1">
      <c r="A7412" s="234"/>
      <c r="B7412" s="233"/>
      <c r="C7412" s="238"/>
      <c r="E7412" s="545"/>
      <c r="F7412" s="546"/>
      <c r="G7412" s="234"/>
      <c r="H7412" s="238"/>
      <c r="I7412" s="237"/>
    </row>
    <row r="7413" spans="1:9" s="232" customFormat="1" ht="17" customHeight="1">
      <c r="A7413" s="234"/>
      <c r="B7413" s="233"/>
      <c r="C7413" s="238"/>
      <c r="E7413" s="545"/>
      <c r="F7413" s="546"/>
      <c r="G7413" s="234"/>
      <c r="H7413" s="238"/>
      <c r="I7413" s="237"/>
    </row>
    <row r="7414" spans="1:9" s="232" customFormat="1" ht="17" customHeight="1">
      <c r="A7414" s="234"/>
      <c r="B7414" s="233"/>
      <c r="C7414" s="238"/>
      <c r="E7414" s="545"/>
      <c r="F7414" s="546"/>
      <c r="G7414" s="234"/>
      <c r="H7414" s="238"/>
      <c r="I7414" s="237"/>
    </row>
    <row r="7415" spans="1:9" s="232" customFormat="1" ht="17" customHeight="1">
      <c r="A7415" s="234"/>
      <c r="B7415" s="233"/>
      <c r="C7415" s="238"/>
      <c r="E7415" s="545"/>
      <c r="F7415" s="546"/>
      <c r="G7415" s="234"/>
      <c r="H7415" s="238"/>
      <c r="I7415" s="237"/>
    </row>
    <row r="7416" spans="1:9" s="232" customFormat="1" ht="17" customHeight="1">
      <c r="A7416" s="234"/>
      <c r="B7416" s="233"/>
      <c r="C7416" s="238"/>
      <c r="E7416" s="545"/>
      <c r="F7416" s="546"/>
      <c r="G7416" s="234"/>
      <c r="H7416" s="238"/>
      <c r="I7416" s="237"/>
    </row>
    <row r="7417" spans="1:9" s="232" customFormat="1" ht="17" customHeight="1">
      <c r="A7417" s="234"/>
      <c r="B7417" s="233"/>
      <c r="C7417" s="238"/>
      <c r="E7417" s="545"/>
      <c r="F7417" s="546"/>
      <c r="G7417" s="234"/>
      <c r="H7417" s="238"/>
      <c r="I7417" s="237"/>
    </row>
    <row r="7418" spans="1:9" s="232" customFormat="1" ht="17" customHeight="1">
      <c r="A7418" s="234"/>
      <c r="B7418" s="233"/>
      <c r="C7418" s="238"/>
      <c r="E7418" s="545"/>
      <c r="F7418" s="546"/>
      <c r="G7418" s="234"/>
      <c r="H7418" s="238"/>
      <c r="I7418" s="237"/>
    </row>
    <row r="7419" spans="1:9" s="232" customFormat="1" ht="17" customHeight="1">
      <c r="A7419" s="234"/>
      <c r="B7419" s="233"/>
      <c r="C7419" s="238"/>
      <c r="E7419" s="545"/>
      <c r="F7419" s="546"/>
      <c r="G7419" s="234"/>
      <c r="H7419" s="238"/>
      <c r="I7419" s="237"/>
    </row>
    <row r="7420" spans="1:9" s="232" customFormat="1" ht="17" customHeight="1">
      <c r="A7420" s="234"/>
      <c r="B7420" s="233"/>
      <c r="C7420" s="238"/>
      <c r="E7420" s="545"/>
      <c r="F7420" s="546"/>
      <c r="G7420" s="234"/>
      <c r="H7420" s="238"/>
      <c r="I7420" s="237"/>
    </row>
    <row r="7421" spans="1:9" s="232" customFormat="1" ht="17" customHeight="1">
      <c r="A7421" s="234"/>
      <c r="B7421" s="233"/>
      <c r="C7421" s="238"/>
      <c r="E7421" s="545"/>
      <c r="F7421" s="546"/>
      <c r="G7421" s="234"/>
      <c r="H7421" s="238"/>
      <c r="I7421" s="237"/>
    </row>
    <row r="7422" spans="1:9" s="232" customFormat="1" ht="17" customHeight="1">
      <c r="A7422" s="234"/>
      <c r="B7422" s="233"/>
      <c r="C7422" s="238"/>
      <c r="E7422" s="545"/>
      <c r="F7422" s="546"/>
      <c r="G7422" s="234"/>
      <c r="H7422" s="238"/>
      <c r="I7422" s="237"/>
    </row>
    <row r="7423" spans="1:9" s="232" customFormat="1" ht="17" customHeight="1">
      <c r="A7423" s="234"/>
      <c r="B7423" s="233"/>
      <c r="C7423" s="238"/>
      <c r="E7423" s="545"/>
      <c r="F7423" s="546"/>
      <c r="G7423" s="234"/>
      <c r="H7423" s="238"/>
      <c r="I7423" s="237"/>
    </row>
    <row r="7424" spans="1:9" s="232" customFormat="1" ht="17" customHeight="1">
      <c r="A7424" s="234"/>
      <c r="B7424" s="233"/>
      <c r="C7424" s="238"/>
      <c r="E7424" s="545"/>
      <c r="F7424" s="546"/>
      <c r="G7424" s="234"/>
      <c r="H7424" s="238"/>
      <c r="I7424" s="237"/>
    </row>
    <row r="7425" spans="1:9" s="232" customFormat="1" ht="17" customHeight="1">
      <c r="A7425" s="234"/>
      <c r="B7425" s="233"/>
      <c r="C7425" s="238"/>
      <c r="E7425" s="545"/>
      <c r="F7425" s="546"/>
      <c r="G7425" s="234"/>
      <c r="H7425" s="238"/>
      <c r="I7425" s="237"/>
    </row>
    <row r="7426" spans="1:9" s="232" customFormat="1" ht="17" customHeight="1">
      <c r="A7426" s="234"/>
      <c r="B7426" s="233"/>
      <c r="C7426" s="238"/>
      <c r="E7426" s="545"/>
      <c r="F7426" s="546"/>
      <c r="G7426" s="234"/>
      <c r="H7426" s="238"/>
      <c r="I7426" s="237"/>
    </row>
    <row r="7427" spans="1:9" s="232" customFormat="1" ht="17" customHeight="1">
      <c r="A7427" s="234"/>
      <c r="B7427" s="233"/>
      <c r="C7427" s="238"/>
      <c r="E7427" s="545"/>
      <c r="F7427" s="546"/>
      <c r="G7427" s="234"/>
      <c r="H7427" s="238"/>
      <c r="I7427" s="237"/>
    </row>
    <row r="7428" spans="1:9" s="232" customFormat="1" ht="17" customHeight="1">
      <c r="A7428" s="234"/>
      <c r="B7428" s="233"/>
      <c r="C7428" s="238"/>
      <c r="E7428" s="545"/>
      <c r="F7428" s="546"/>
      <c r="G7428" s="234"/>
      <c r="H7428" s="238"/>
      <c r="I7428" s="237"/>
    </row>
    <row r="7429" spans="1:9" s="232" customFormat="1" ht="17" customHeight="1">
      <c r="A7429" s="234"/>
      <c r="B7429" s="233"/>
      <c r="C7429" s="238"/>
      <c r="E7429" s="545"/>
      <c r="F7429" s="546"/>
      <c r="G7429" s="234"/>
      <c r="H7429" s="238"/>
      <c r="I7429" s="237"/>
    </row>
    <row r="7430" spans="1:9" s="232" customFormat="1" ht="17" customHeight="1">
      <c r="A7430" s="234"/>
      <c r="B7430" s="233"/>
      <c r="C7430" s="238"/>
      <c r="E7430" s="545"/>
      <c r="F7430" s="546"/>
      <c r="G7430" s="234"/>
      <c r="H7430" s="238"/>
      <c r="I7430" s="237"/>
    </row>
    <row r="7431" spans="1:9" s="232" customFormat="1" ht="17" customHeight="1">
      <c r="A7431" s="234"/>
      <c r="B7431" s="233"/>
      <c r="C7431" s="238"/>
      <c r="E7431" s="545"/>
      <c r="F7431" s="546"/>
      <c r="G7431" s="234"/>
      <c r="H7431" s="238"/>
      <c r="I7431" s="237"/>
    </row>
    <row r="7432" spans="1:9" s="232" customFormat="1" ht="17" customHeight="1">
      <c r="A7432" s="234"/>
      <c r="B7432" s="233"/>
      <c r="C7432" s="238"/>
      <c r="E7432" s="545"/>
      <c r="F7432" s="546"/>
      <c r="G7432" s="234"/>
      <c r="H7432" s="238"/>
      <c r="I7432" s="237"/>
    </row>
    <row r="7433" spans="1:9" s="232" customFormat="1" ht="17" customHeight="1">
      <c r="A7433" s="234"/>
      <c r="B7433" s="233"/>
      <c r="C7433" s="238"/>
      <c r="E7433" s="545"/>
      <c r="F7433" s="546"/>
      <c r="G7433" s="234"/>
      <c r="H7433" s="238"/>
      <c r="I7433" s="237"/>
    </row>
    <row r="7434" spans="1:9" s="232" customFormat="1" ht="17" customHeight="1">
      <c r="A7434" s="234"/>
      <c r="B7434" s="233"/>
      <c r="C7434" s="238"/>
      <c r="E7434" s="545"/>
      <c r="F7434" s="546"/>
      <c r="G7434" s="234"/>
      <c r="H7434" s="238"/>
      <c r="I7434" s="237"/>
    </row>
    <row r="7435" spans="1:9" s="232" customFormat="1" ht="17" customHeight="1">
      <c r="A7435" s="234"/>
      <c r="B7435" s="233"/>
      <c r="C7435" s="238"/>
      <c r="E7435" s="545"/>
      <c r="F7435" s="546"/>
      <c r="G7435" s="234"/>
      <c r="H7435" s="238"/>
      <c r="I7435" s="237"/>
    </row>
    <row r="7436" spans="1:9" s="232" customFormat="1" ht="17" customHeight="1">
      <c r="A7436" s="234"/>
      <c r="B7436" s="233"/>
      <c r="C7436" s="238"/>
      <c r="E7436" s="545"/>
      <c r="F7436" s="546"/>
      <c r="G7436" s="234"/>
      <c r="H7436" s="238"/>
      <c r="I7436" s="237"/>
    </row>
    <row r="7437" spans="1:9" s="232" customFormat="1" ht="17" customHeight="1">
      <c r="A7437" s="234"/>
      <c r="B7437" s="233"/>
      <c r="C7437" s="238"/>
      <c r="E7437" s="545"/>
      <c r="F7437" s="546"/>
      <c r="G7437" s="234"/>
      <c r="H7437" s="238"/>
      <c r="I7437" s="237"/>
    </row>
    <row r="7438" spans="1:9" s="232" customFormat="1" ht="17" customHeight="1">
      <c r="A7438" s="234"/>
      <c r="B7438" s="233"/>
      <c r="C7438" s="238"/>
      <c r="E7438" s="545"/>
      <c r="F7438" s="546"/>
      <c r="G7438" s="234"/>
      <c r="H7438" s="238"/>
      <c r="I7438" s="237"/>
    </row>
    <row r="7439" spans="1:9" s="232" customFormat="1" ht="17" customHeight="1">
      <c r="A7439" s="234"/>
      <c r="B7439" s="233"/>
      <c r="C7439" s="238"/>
      <c r="E7439" s="545"/>
      <c r="F7439" s="546"/>
      <c r="G7439" s="234"/>
      <c r="H7439" s="238"/>
      <c r="I7439" s="237"/>
    </row>
    <row r="7440" spans="1:9" s="232" customFormat="1" ht="17" customHeight="1">
      <c r="A7440" s="234"/>
      <c r="B7440" s="233"/>
      <c r="C7440" s="238"/>
      <c r="E7440" s="545"/>
      <c r="F7440" s="546"/>
      <c r="G7440" s="234"/>
      <c r="H7440" s="238"/>
      <c r="I7440" s="237"/>
    </row>
    <row r="7441" spans="1:9" s="232" customFormat="1" ht="17" customHeight="1">
      <c r="A7441" s="234"/>
      <c r="B7441" s="233"/>
      <c r="C7441" s="238"/>
      <c r="E7441" s="545"/>
      <c r="F7441" s="546"/>
      <c r="G7441" s="234"/>
      <c r="H7441" s="238"/>
      <c r="I7441" s="237"/>
    </row>
    <row r="7442" spans="1:9" s="232" customFormat="1" ht="17" customHeight="1">
      <c r="A7442" s="234"/>
      <c r="B7442" s="233"/>
      <c r="C7442" s="238"/>
      <c r="E7442" s="545"/>
      <c r="F7442" s="546"/>
      <c r="G7442" s="234"/>
      <c r="H7442" s="238"/>
      <c r="I7442" s="237"/>
    </row>
    <row r="7443" spans="1:9" s="232" customFormat="1" ht="17" customHeight="1">
      <c r="A7443" s="234"/>
      <c r="B7443" s="233"/>
      <c r="C7443" s="238"/>
      <c r="E7443" s="545"/>
      <c r="F7443" s="546"/>
      <c r="G7443" s="234"/>
      <c r="H7443" s="238"/>
      <c r="I7443" s="237"/>
    </row>
    <row r="7444" spans="1:9" s="232" customFormat="1" ht="17" customHeight="1">
      <c r="A7444" s="234"/>
      <c r="B7444" s="233"/>
      <c r="C7444" s="238"/>
      <c r="E7444" s="545"/>
      <c r="F7444" s="546"/>
      <c r="G7444" s="234"/>
      <c r="H7444" s="238"/>
      <c r="I7444" s="237"/>
    </row>
    <row r="7445" spans="1:9" s="232" customFormat="1" ht="17" customHeight="1">
      <c r="A7445" s="234"/>
      <c r="B7445" s="233"/>
      <c r="C7445" s="238"/>
      <c r="E7445" s="545"/>
      <c r="F7445" s="546"/>
      <c r="G7445" s="234"/>
      <c r="H7445" s="238"/>
      <c r="I7445" s="237"/>
    </row>
    <row r="7446" spans="1:9" s="232" customFormat="1" ht="17" customHeight="1">
      <c r="A7446" s="234"/>
      <c r="B7446" s="233"/>
      <c r="C7446" s="238"/>
      <c r="E7446" s="545"/>
      <c r="F7446" s="546"/>
      <c r="G7446" s="234"/>
      <c r="H7446" s="238"/>
      <c r="I7446" s="237"/>
    </row>
    <row r="7447" spans="1:9" s="232" customFormat="1" ht="17" customHeight="1">
      <c r="A7447" s="234"/>
      <c r="B7447" s="233"/>
      <c r="C7447" s="238"/>
      <c r="E7447" s="545"/>
      <c r="F7447" s="546"/>
      <c r="G7447" s="234"/>
      <c r="H7447" s="238"/>
      <c r="I7447" s="237"/>
    </row>
    <row r="7448" spans="1:9" s="232" customFormat="1" ht="17" customHeight="1">
      <c r="A7448" s="234"/>
      <c r="B7448" s="233"/>
      <c r="C7448" s="238"/>
      <c r="E7448" s="545"/>
      <c r="F7448" s="546"/>
      <c r="G7448" s="234"/>
      <c r="H7448" s="238"/>
      <c r="I7448" s="237"/>
    </row>
    <row r="7449" spans="1:9" s="232" customFormat="1" ht="17" customHeight="1">
      <c r="A7449" s="234"/>
      <c r="B7449" s="233"/>
      <c r="C7449" s="238"/>
      <c r="E7449" s="545"/>
      <c r="F7449" s="546"/>
      <c r="G7449" s="234"/>
      <c r="H7449" s="238"/>
      <c r="I7449" s="237"/>
    </row>
    <row r="7450" spans="1:9" s="232" customFormat="1" ht="17" customHeight="1">
      <c r="A7450" s="234"/>
      <c r="B7450" s="233"/>
      <c r="C7450" s="238"/>
      <c r="E7450" s="545"/>
      <c r="F7450" s="546"/>
      <c r="G7450" s="234"/>
      <c r="H7450" s="238"/>
      <c r="I7450" s="237"/>
    </row>
    <row r="7451" spans="1:9" s="232" customFormat="1" ht="17" customHeight="1">
      <c r="A7451" s="234"/>
      <c r="B7451" s="233"/>
      <c r="C7451" s="238"/>
      <c r="E7451" s="545"/>
      <c r="F7451" s="546"/>
      <c r="G7451" s="234"/>
      <c r="H7451" s="238"/>
      <c r="I7451" s="237"/>
    </row>
    <row r="7452" spans="1:9" s="232" customFormat="1" ht="17" customHeight="1">
      <c r="A7452" s="234"/>
      <c r="B7452" s="233"/>
      <c r="C7452" s="238"/>
      <c r="E7452" s="545"/>
      <c r="F7452" s="546"/>
      <c r="G7452" s="234"/>
      <c r="H7452" s="238"/>
      <c r="I7452" s="237"/>
    </row>
    <row r="7453" spans="1:9" s="232" customFormat="1" ht="17" customHeight="1">
      <c r="A7453" s="234"/>
      <c r="B7453" s="233"/>
      <c r="C7453" s="238"/>
      <c r="E7453" s="545"/>
      <c r="F7453" s="546"/>
      <c r="G7453" s="234"/>
      <c r="H7453" s="238"/>
      <c r="I7453" s="237"/>
    </row>
    <row r="7454" spans="1:9" s="232" customFormat="1" ht="17" customHeight="1">
      <c r="A7454" s="234"/>
      <c r="B7454" s="233"/>
      <c r="C7454" s="238"/>
      <c r="E7454" s="545"/>
      <c r="F7454" s="546"/>
      <c r="G7454" s="234"/>
      <c r="H7454" s="238"/>
      <c r="I7454" s="237"/>
    </row>
    <row r="7455" spans="1:9" s="232" customFormat="1" ht="17" customHeight="1">
      <c r="A7455" s="234"/>
      <c r="B7455" s="233"/>
      <c r="C7455" s="238"/>
      <c r="E7455" s="545"/>
      <c r="F7455" s="546"/>
      <c r="G7455" s="234"/>
      <c r="H7455" s="238"/>
      <c r="I7455" s="237"/>
    </row>
    <row r="7456" spans="1:9" s="232" customFormat="1" ht="17" customHeight="1">
      <c r="A7456" s="234"/>
      <c r="B7456" s="233"/>
      <c r="C7456" s="238"/>
      <c r="E7456" s="545"/>
      <c r="F7456" s="546"/>
      <c r="G7456" s="234"/>
      <c r="H7456" s="238"/>
      <c r="I7456" s="237"/>
    </row>
    <row r="7457" spans="1:9" s="232" customFormat="1" ht="17" customHeight="1">
      <c r="A7457" s="234"/>
      <c r="B7457" s="233"/>
      <c r="C7457" s="238"/>
      <c r="E7457" s="545"/>
      <c r="F7457" s="546"/>
      <c r="G7457" s="234"/>
      <c r="H7457" s="238"/>
      <c r="I7457" s="237"/>
    </row>
    <row r="7458" spans="1:9" s="232" customFormat="1" ht="17" customHeight="1">
      <c r="A7458" s="234"/>
      <c r="B7458" s="233"/>
      <c r="C7458" s="238"/>
      <c r="E7458" s="545"/>
      <c r="F7458" s="546"/>
      <c r="G7458" s="234"/>
      <c r="H7458" s="238"/>
      <c r="I7458" s="237"/>
    </row>
    <row r="7459" spans="1:9" s="232" customFormat="1" ht="17" customHeight="1">
      <c r="A7459" s="234"/>
      <c r="B7459" s="233"/>
      <c r="C7459" s="238"/>
      <c r="E7459" s="545"/>
      <c r="F7459" s="546"/>
      <c r="G7459" s="234"/>
      <c r="H7459" s="238"/>
      <c r="I7459" s="237"/>
    </row>
    <row r="7460" spans="1:9" s="232" customFormat="1" ht="17" customHeight="1">
      <c r="A7460" s="234"/>
      <c r="B7460" s="233"/>
      <c r="C7460" s="238"/>
      <c r="E7460" s="545"/>
      <c r="F7460" s="546"/>
      <c r="G7460" s="234"/>
      <c r="H7460" s="238"/>
      <c r="I7460" s="237"/>
    </row>
    <row r="7461" spans="1:9" s="232" customFormat="1" ht="17" customHeight="1">
      <c r="A7461" s="234"/>
      <c r="B7461" s="233"/>
      <c r="C7461" s="238"/>
      <c r="E7461" s="545"/>
      <c r="F7461" s="546"/>
      <c r="G7461" s="234"/>
      <c r="H7461" s="238"/>
      <c r="I7461" s="237"/>
    </row>
    <row r="7462" spans="1:9" s="232" customFormat="1" ht="17" customHeight="1">
      <c r="A7462" s="234"/>
      <c r="B7462" s="233"/>
      <c r="C7462" s="238"/>
      <c r="E7462" s="545"/>
      <c r="F7462" s="546"/>
      <c r="G7462" s="234"/>
      <c r="H7462" s="238"/>
      <c r="I7462" s="237"/>
    </row>
    <row r="7463" spans="1:9" s="232" customFormat="1" ht="17" customHeight="1">
      <c r="A7463" s="234"/>
      <c r="B7463" s="233"/>
      <c r="C7463" s="238"/>
      <c r="E7463" s="545"/>
      <c r="F7463" s="546"/>
      <c r="G7463" s="234"/>
      <c r="H7463" s="238"/>
      <c r="I7463" s="237"/>
    </row>
    <row r="7464" spans="1:9" s="232" customFormat="1" ht="17" customHeight="1">
      <c r="A7464" s="234"/>
      <c r="B7464" s="233"/>
      <c r="C7464" s="238"/>
      <c r="E7464" s="545"/>
      <c r="F7464" s="546"/>
      <c r="G7464" s="234"/>
      <c r="H7464" s="238"/>
      <c r="I7464" s="237"/>
    </row>
    <row r="7465" spans="1:9" s="232" customFormat="1" ht="17" customHeight="1">
      <c r="A7465" s="234"/>
      <c r="B7465" s="233"/>
      <c r="C7465" s="238"/>
      <c r="E7465" s="545"/>
      <c r="F7465" s="546"/>
      <c r="G7465" s="234"/>
      <c r="H7465" s="238"/>
      <c r="I7465" s="237"/>
    </row>
    <row r="7466" spans="1:9" s="232" customFormat="1" ht="17" customHeight="1">
      <c r="A7466" s="234"/>
      <c r="B7466" s="233"/>
      <c r="C7466" s="238"/>
      <c r="E7466" s="545"/>
      <c r="F7466" s="546"/>
      <c r="G7466" s="234"/>
      <c r="H7466" s="238"/>
      <c r="I7466" s="237"/>
    </row>
    <row r="7467" spans="1:9" s="232" customFormat="1" ht="17" customHeight="1">
      <c r="A7467" s="234"/>
      <c r="B7467" s="233"/>
      <c r="C7467" s="238"/>
      <c r="E7467" s="545"/>
      <c r="F7467" s="546"/>
      <c r="G7467" s="234"/>
      <c r="H7467" s="238"/>
      <c r="I7467" s="237"/>
    </row>
    <row r="7468" spans="1:9" s="232" customFormat="1" ht="17" customHeight="1">
      <c r="A7468" s="234"/>
      <c r="B7468" s="233"/>
      <c r="C7468" s="238"/>
      <c r="E7468" s="545"/>
      <c r="F7468" s="546"/>
      <c r="G7468" s="234"/>
      <c r="H7468" s="238"/>
      <c r="I7468" s="237"/>
    </row>
    <row r="7469" spans="1:9" s="232" customFormat="1" ht="17" customHeight="1">
      <c r="A7469" s="234"/>
      <c r="B7469" s="233"/>
      <c r="C7469" s="238"/>
      <c r="E7469" s="545"/>
      <c r="F7469" s="546"/>
      <c r="G7469" s="234"/>
      <c r="H7469" s="238"/>
      <c r="I7469" s="237"/>
    </row>
    <row r="7470" spans="1:9" s="232" customFormat="1" ht="17" customHeight="1">
      <c r="A7470" s="234"/>
      <c r="B7470" s="233"/>
      <c r="C7470" s="238"/>
      <c r="E7470" s="545"/>
      <c r="F7470" s="546"/>
      <c r="G7470" s="234"/>
      <c r="H7470" s="238"/>
      <c r="I7470" s="237"/>
    </row>
    <row r="7471" spans="1:9" s="232" customFormat="1" ht="17" customHeight="1">
      <c r="A7471" s="234"/>
      <c r="B7471" s="233"/>
      <c r="C7471" s="238"/>
      <c r="E7471" s="545"/>
      <c r="F7471" s="546"/>
      <c r="G7471" s="234"/>
      <c r="H7471" s="238"/>
      <c r="I7471" s="237"/>
    </row>
    <row r="7472" spans="1:9" s="232" customFormat="1" ht="17" customHeight="1">
      <c r="A7472" s="234"/>
      <c r="B7472" s="233"/>
      <c r="C7472" s="238"/>
      <c r="E7472" s="545"/>
      <c r="F7472" s="546"/>
      <c r="G7472" s="234"/>
      <c r="H7472" s="238"/>
      <c r="I7472" s="237"/>
    </row>
    <row r="7473" spans="1:9" s="232" customFormat="1" ht="17" customHeight="1">
      <c r="A7473" s="234"/>
      <c r="B7473" s="233"/>
      <c r="C7473" s="238"/>
      <c r="E7473" s="545"/>
      <c r="F7473" s="546"/>
      <c r="G7473" s="234"/>
      <c r="H7473" s="238"/>
      <c r="I7473" s="237"/>
    </row>
    <row r="7474" spans="1:9" s="232" customFormat="1" ht="17" customHeight="1">
      <c r="A7474" s="234"/>
      <c r="B7474" s="233"/>
      <c r="C7474" s="238"/>
      <c r="E7474" s="545"/>
      <c r="F7474" s="546"/>
      <c r="G7474" s="234"/>
      <c r="H7474" s="238"/>
      <c r="I7474" s="237"/>
    </row>
    <row r="7475" spans="1:9" s="232" customFormat="1" ht="17" customHeight="1">
      <c r="A7475" s="234"/>
      <c r="B7475" s="233"/>
      <c r="C7475" s="238"/>
      <c r="E7475" s="545"/>
      <c r="F7475" s="546"/>
      <c r="G7475" s="234"/>
      <c r="H7475" s="238"/>
      <c r="I7475" s="237"/>
    </row>
    <row r="7476" spans="1:9" s="232" customFormat="1" ht="17" customHeight="1">
      <c r="A7476" s="234"/>
      <c r="B7476" s="233"/>
      <c r="C7476" s="238"/>
      <c r="E7476" s="545"/>
      <c r="F7476" s="546"/>
      <c r="G7476" s="234"/>
      <c r="H7476" s="238"/>
      <c r="I7476" s="237"/>
    </row>
    <row r="7477" spans="1:9" s="232" customFormat="1" ht="17" customHeight="1">
      <c r="A7477" s="234"/>
      <c r="B7477" s="233"/>
      <c r="C7477" s="238"/>
      <c r="E7477" s="545"/>
      <c r="F7477" s="546"/>
      <c r="G7477" s="234"/>
      <c r="H7477" s="238"/>
      <c r="I7477" s="237"/>
    </row>
    <row r="7478" spans="1:9" s="232" customFormat="1" ht="17" customHeight="1">
      <c r="A7478" s="234"/>
      <c r="B7478" s="233"/>
      <c r="C7478" s="238"/>
      <c r="E7478" s="545"/>
      <c r="F7478" s="546"/>
      <c r="G7478" s="234"/>
      <c r="H7478" s="238"/>
      <c r="I7478" s="237"/>
    </row>
    <row r="7479" spans="1:9" s="232" customFormat="1" ht="17" customHeight="1">
      <c r="A7479" s="234"/>
      <c r="B7479" s="233"/>
      <c r="C7479" s="238"/>
      <c r="E7479" s="545"/>
      <c r="F7479" s="546"/>
      <c r="G7479" s="234"/>
      <c r="H7479" s="238"/>
      <c r="I7479" s="237"/>
    </row>
    <row r="7480" spans="1:9" s="232" customFormat="1" ht="17" customHeight="1">
      <c r="A7480" s="234"/>
      <c r="B7480" s="233"/>
      <c r="C7480" s="238"/>
      <c r="E7480" s="545"/>
      <c r="F7480" s="546"/>
      <c r="G7480" s="234"/>
      <c r="H7480" s="238"/>
      <c r="I7480" s="237"/>
    </row>
    <row r="7481" spans="1:9" s="232" customFormat="1" ht="17" customHeight="1">
      <c r="A7481" s="234"/>
      <c r="B7481" s="233"/>
      <c r="C7481" s="238"/>
      <c r="E7481" s="545"/>
      <c r="F7481" s="546"/>
      <c r="G7481" s="234"/>
      <c r="H7481" s="238"/>
      <c r="I7481" s="237"/>
    </row>
    <row r="7482" spans="1:9" s="232" customFormat="1" ht="17" customHeight="1">
      <c r="A7482" s="234"/>
      <c r="B7482" s="233"/>
      <c r="C7482" s="238"/>
      <c r="E7482" s="545"/>
      <c r="F7482" s="546"/>
      <c r="G7482" s="234"/>
      <c r="H7482" s="238"/>
      <c r="I7482" s="237"/>
    </row>
    <row r="7483" spans="1:9" s="232" customFormat="1" ht="17" customHeight="1">
      <c r="A7483" s="234"/>
      <c r="B7483" s="233"/>
      <c r="C7483" s="238"/>
      <c r="E7483" s="545"/>
      <c r="F7483" s="546"/>
      <c r="G7483" s="234"/>
      <c r="H7483" s="238"/>
      <c r="I7483" s="237"/>
    </row>
    <row r="7484" spans="1:9" s="232" customFormat="1" ht="17" customHeight="1">
      <c r="A7484" s="234"/>
      <c r="B7484" s="233"/>
      <c r="C7484" s="238"/>
      <c r="E7484" s="545"/>
      <c r="F7484" s="546"/>
      <c r="G7484" s="234"/>
      <c r="H7484" s="238"/>
      <c r="I7484" s="237"/>
    </row>
    <row r="7485" spans="1:9" s="232" customFormat="1" ht="17" customHeight="1">
      <c r="A7485" s="234"/>
      <c r="B7485" s="233"/>
      <c r="C7485" s="238"/>
      <c r="E7485" s="545"/>
      <c r="F7485" s="546"/>
      <c r="G7485" s="234"/>
      <c r="H7485" s="238"/>
      <c r="I7485" s="237"/>
    </row>
    <row r="7486" spans="1:9" s="232" customFormat="1" ht="17" customHeight="1">
      <c r="A7486" s="234"/>
      <c r="B7486" s="233"/>
      <c r="C7486" s="238"/>
      <c r="E7486" s="545"/>
      <c r="F7486" s="546"/>
      <c r="G7486" s="234"/>
      <c r="H7486" s="238"/>
      <c r="I7486" s="237"/>
    </row>
    <row r="7487" spans="1:9" s="232" customFormat="1" ht="17" customHeight="1">
      <c r="A7487" s="234"/>
      <c r="B7487" s="233"/>
      <c r="C7487" s="238"/>
      <c r="E7487" s="545"/>
      <c r="F7487" s="546"/>
      <c r="G7487" s="234"/>
      <c r="H7487" s="238"/>
      <c r="I7487" s="237"/>
    </row>
    <row r="7488" spans="1:9" s="232" customFormat="1" ht="17" customHeight="1">
      <c r="A7488" s="234"/>
      <c r="B7488" s="233"/>
      <c r="C7488" s="238"/>
      <c r="E7488" s="545"/>
      <c r="F7488" s="546"/>
      <c r="G7488" s="234"/>
      <c r="H7488" s="238"/>
      <c r="I7488" s="237"/>
    </row>
    <row r="7489" spans="1:9" s="232" customFormat="1" ht="17" customHeight="1">
      <c r="A7489" s="234"/>
      <c r="B7489" s="233"/>
      <c r="C7489" s="238"/>
      <c r="E7489" s="545"/>
      <c r="F7489" s="546"/>
      <c r="G7489" s="234"/>
      <c r="H7489" s="238"/>
      <c r="I7489" s="237"/>
    </row>
    <row r="7490" spans="1:9" s="232" customFormat="1" ht="17" customHeight="1">
      <c r="A7490" s="234"/>
      <c r="B7490" s="233"/>
      <c r="C7490" s="238"/>
      <c r="E7490" s="545"/>
      <c r="F7490" s="546"/>
      <c r="G7490" s="234"/>
      <c r="H7490" s="238"/>
      <c r="I7490" s="237"/>
    </row>
    <row r="7491" spans="1:9" s="232" customFormat="1" ht="17" customHeight="1">
      <c r="A7491" s="234"/>
      <c r="B7491" s="233"/>
      <c r="C7491" s="238"/>
      <c r="E7491" s="545"/>
      <c r="F7491" s="546"/>
      <c r="G7491" s="234"/>
      <c r="H7491" s="238"/>
      <c r="I7491" s="237"/>
    </row>
    <row r="7492" spans="1:9" s="232" customFormat="1" ht="17" customHeight="1">
      <c r="A7492" s="234"/>
      <c r="B7492" s="233"/>
      <c r="C7492" s="238"/>
      <c r="E7492" s="545"/>
      <c r="F7492" s="546"/>
      <c r="G7492" s="234"/>
      <c r="H7492" s="238"/>
      <c r="I7492" s="237"/>
    </row>
    <row r="7493" spans="1:9" s="232" customFormat="1" ht="17" customHeight="1">
      <c r="A7493" s="234"/>
      <c r="B7493" s="233"/>
      <c r="C7493" s="238"/>
      <c r="E7493" s="545"/>
      <c r="F7493" s="546"/>
      <c r="G7493" s="234"/>
      <c r="H7493" s="238"/>
      <c r="I7493" s="237"/>
    </row>
    <row r="7494" spans="1:9" s="232" customFormat="1" ht="17" customHeight="1">
      <c r="A7494" s="234"/>
      <c r="B7494" s="233"/>
      <c r="C7494" s="238"/>
      <c r="E7494" s="545"/>
      <c r="F7494" s="546"/>
      <c r="G7494" s="234"/>
      <c r="H7494" s="238"/>
      <c r="I7494" s="237"/>
    </row>
    <row r="7495" spans="1:9" s="232" customFormat="1" ht="17" customHeight="1">
      <c r="A7495" s="234"/>
      <c r="B7495" s="233"/>
      <c r="C7495" s="238"/>
      <c r="E7495" s="545"/>
      <c r="F7495" s="546"/>
      <c r="G7495" s="234"/>
      <c r="H7495" s="238"/>
      <c r="I7495" s="237"/>
    </row>
    <row r="7496" spans="1:9" s="232" customFormat="1" ht="17" customHeight="1">
      <c r="A7496" s="234"/>
      <c r="B7496" s="233"/>
      <c r="C7496" s="238"/>
      <c r="E7496" s="545"/>
      <c r="F7496" s="546"/>
      <c r="G7496" s="234"/>
      <c r="H7496" s="238"/>
      <c r="I7496" s="237"/>
    </row>
    <row r="7497" spans="1:9" s="232" customFormat="1" ht="17" customHeight="1">
      <c r="A7497" s="234"/>
      <c r="B7497" s="233"/>
      <c r="C7497" s="238"/>
      <c r="E7497" s="545"/>
      <c r="F7497" s="546"/>
      <c r="G7497" s="234"/>
      <c r="H7497" s="238"/>
      <c r="I7497" s="237"/>
    </row>
    <row r="7498" spans="1:9" s="232" customFormat="1" ht="17" customHeight="1">
      <c r="A7498" s="234"/>
      <c r="B7498" s="233"/>
      <c r="C7498" s="238"/>
      <c r="E7498" s="545"/>
      <c r="F7498" s="546"/>
      <c r="G7498" s="234"/>
      <c r="H7498" s="238"/>
      <c r="I7498" s="237"/>
    </row>
    <row r="7499" spans="1:9" s="232" customFormat="1" ht="17" customHeight="1">
      <c r="A7499" s="234"/>
      <c r="B7499" s="233"/>
      <c r="C7499" s="238"/>
      <c r="E7499" s="545"/>
      <c r="F7499" s="546"/>
      <c r="G7499" s="234"/>
      <c r="H7499" s="238"/>
      <c r="I7499" s="237"/>
    </row>
    <row r="7500" spans="1:9" s="232" customFormat="1" ht="17" customHeight="1">
      <c r="A7500" s="234"/>
      <c r="B7500" s="233"/>
      <c r="C7500" s="238"/>
      <c r="E7500" s="545"/>
      <c r="F7500" s="546"/>
      <c r="G7500" s="234"/>
      <c r="H7500" s="238"/>
      <c r="I7500" s="237"/>
    </row>
    <row r="7501" spans="1:9" s="232" customFormat="1" ht="17" customHeight="1">
      <c r="A7501" s="234"/>
      <c r="B7501" s="233"/>
      <c r="C7501" s="238"/>
      <c r="E7501" s="545"/>
      <c r="F7501" s="546"/>
      <c r="G7501" s="234"/>
      <c r="H7501" s="238"/>
      <c r="I7501" s="237"/>
    </row>
    <row r="7502" spans="1:9" s="232" customFormat="1" ht="17" customHeight="1">
      <c r="A7502" s="234"/>
      <c r="B7502" s="233"/>
      <c r="C7502" s="238"/>
      <c r="E7502" s="545"/>
      <c r="F7502" s="546"/>
      <c r="G7502" s="234"/>
      <c r="H7502" s="238"/>
      <c r="I7502" s="237"/>
    </row>
    <row r="7503" spans="1:9" s="232" customFormat="1" ht="17" customHeight="1">
      <c r="A7503" s="234"/>
      <c r="B7503" s="233"/>
      <c r="C7503" s="238"/>
      <c r="E7503" s="545"/>
      <c r="F7503" s="546"/>
      <c r="G7503" s="234"/>
      <c r="H7503" s="238"/>
      <c r="I7503" s="237"/>
    </row>
    <row r="7504" spans="1:9" s="232" customFormat="1" ht="17" customHeight="1">
      <c r="A7504" s="234"/>
      <c r="B7504" s="233"/>
      <c r="C7504" s="238"/>
      <c r="E7504" s="545"/>
      <c r="F7504" s="546"/>
      <c r="G7504" s="234"/>
      <c r="H7504" s="238"/>
      <c r="I7504" s="237"/>
    </row>
    <row r="7505" spans="1:9" s="232" customFormat="1" ht="17" customHeight="1">
      <c r="A7505" s="234"/>
      <c r="B7505" s="233"/>
      <c r="C7505" s="238"/>
      <c r="E7505" s="545"/>
      <c r="F7505" s="546"/>
      <c r="G7505" s="234"/>
      <c r="H7505" s="238"/>
      <c r="I7505" s="237"/>
    </row>
    <row r="7506" spans="1:9" s="232" customFormat="1" ht="17" customHeight="1">
      <c r="A7506" s="234"/>
      <c r="B7506" s="233"/>
      <c r="C7506" s="238"/>
      <c r="E7506" s="545"/>
      <c r="F7506" s="546"/>
      <c r="G7506" s="234"/>
      <c r="H7506" s="238"/>
      <c r="I7506" s="237"/>
    </row>
    <row r="7507" spans="1:9" s="232" customFormat="1" ht="17" customHeight="1">
      <c r="A7507" s="234"/>
      <c r="B7507" s="233"/>
      <c r="C7507" s="238"/>
      <c r="E7507" s="545"/>
      <c r="F7507" s="546"/>
      <c r="G7507" s="234"/>
      <c r="H7507" s="238"/>
      <c r="I7507" s="237"/>
    </row>
    <row r="7508" spans="1:9" s="232" customFormat="1" ht="17" customHeight="1">
      <c r="A7508" s="234"/>
      <c r="B7508" s="233"/>
      <c r="C7508" s="238"/>
      <c r="E7508" s="545"/>
      <c r="F7508" s="546"/>
      <c r="G7508" s="234"/>
      <c r="H7508" s="238"/>
      <c r="I7508" s="237"/>
    </row>
    <row r="7509" spans="1:9" s="232" customFormat="1" ht="17" customHeight="1">
      <c r="A7509" s="234"/>
      <c r="B7509" s="233"/>
      <c r="C7509" s="238"/>
      <c r="E7509" s="545"/>
      <c r="F7509" s="546"/>
      <c r="G7509" s="234"/>
      <c r="H7509" s="238"/>
      <c r="I7509" s="237"/>
    </row>
    <row r="7510" spans="1:9" s="232" customFormat="1" ht="17" customHeight="1">
      <c r="A7510" s="234"/>
      <c r="B7510" s="233"/>
      <c r="C7510" s="238"/>
      <c r="E7510" s="545"/>
      <c r="F7510" s="546"/>
      <c r="G7510" s="234"/>
      <c r="H7510" s="238"/>
      <c r="I7510" s="237"/>
    </row>
    <row r="7511" spans="1:9" s="232" customFormat="1" ht="17" customHeight="1">
      <c r="A7511" s="234"/>
      <c r="B7511" s="233"/>
      <c r="C7511" s="238"/>
      <c r="E7511" s="545"/>
      <c r="F7511" s="546"/>
      <c r="G7511" s="234"/>
      <c r="H7511" s="238"/>
      <c r="I7511" s="237"/>
    </row>
    <row r="7512" spans="1:9" s="232" customFormat="1" ht="17" customHeight="1">
      <c r="A7512" s="234"/>
      <c r="B7512" s="233"/>
      <c r="C7512" s="238"/>
      <c r="E7512" s="545"/>
      <c r="F7512" s="546"/>
      <c r="G7512" s="234"/>
      <c r="H7512" s="238"/>
      <c r="I7512" s="237"/>
    </row>
    <row r="7513" spans="1:9" s="232" customFormat="1" ht="17" customHeight="1">
      <c r="A7513" s="234"/>
      <c r="B7513" s="233"/>
      <c r="C7513" s="238"/>
      <c r="E7513" s="545"/>
      <c r="F7513" s="546"/>
      <c r="G7513" s="234"/>
      <c r="H7513" s="238"/>
      <c r="I7513" s="237"/>
    </row>
    <row r="7514" spans="1:9" s="232" customFormat="1" ht="17" customHeight="1">
      <c r="A7514" s="234"/>
      <c r="B7514" s="233"/>
      <c r="C7514" s="238"/>
      <c r="E7514" s="545"/>
      <c r="F7514" s="546"/>
      <c r="G7514" s="234"/>
      <c r="H7514" s="238"/>
      <c r="I7514" s="237"/>
    </row>
    <row r="7515" spans="1:9" s="232" customFormat="1" ht="17" customHeight="1">
      <c r="A7515" s="234"/>
      <c r="B7515" s="233"/>
      <c r="C7515" s="238"/>
      <c r="E7515" s="545"/>
      <c r="F7515" s="546"/>
      <c r="G7515" s="234"/>
      <c r="H7515" s="238"/>
      <c r="I7515" s="237"/>
    </row>
    <row r="7516" spans="1:9" s="232" customFormat="1" ht="17" customHeight="1">
      <c r="A7516" s="234"/>
      <c r="B7516" s="233"/>
      <c r="C7516" s="238"/>
      <c r="E7516" s="545"/>
      <c r="F7516" s="546"/>
      <c r="G7516" s="234"/>
      <c r="H7516" s="238"/>
      <c r="I7516" s="237"/>
    </row>
    <row r="7517" spans="1:9" s="232" customFormat="1" ht="17" customHeight="1">
      <c r="A7517" s="234"/>
      <c r="B7517" s="233"/>
      <c r="C7517" s="238"/>
      <c r="E7517" s="545"/>
      <c r="F7517" s="546"/>
      <c r="G7517" s="234"/>
      <c r="H7517" s="238"/>
      <c r="I7517" s="237"/>
    </row>
    <row r="7518" spans="1:9" s="232" customFormat="1" ht="17" customHeight="1">
      <c r="A7518" s="234"/>
      <c r="B7518" s="233"/>
      <c r="C7518" s="238"/>
      <c r="E7518" s="545"/>
      <c r="F7518" s="546"/>
      <c r="G7518" s="234"/>
      <c r="H7518" s="238"/>
      <c r="I7518" s="237"/>
    </row>
    <row r="7519" spans="1:9" s="232" customFormat="1" ht="17" customHeight="1">
      <c r="A7519" s="234"/>
      <c r="B7519" s="233"/>
      <c r="C7519" s="238"/>
      <c r="E7519" s="545"/>
      <c r="F7519" s="546"/>
      <c r="G7519" s="234"/>
      <c r="H7519" s="238"/>
      <c r="I7519" s="237"/>
    </row>
    <row r="7520" spans="1:9" s="232" customFormat="1" ht="17" customHeight="1">
      <c r="A7520" s="234"/>
      <c r="B7520" s="233"/>
      <c r="C7520" s="238"/>
      <c r="E7520" s="545"/>
      <c r="F7520" s="546"/>
      <c r="G7520" s="234"/>
      <c r="H7520" s="238"/>
      <c r="I7520" s="237"/>
    </row>
    <row r="7521" spans="1:9" s="232" customFormat="1" ht="17" customHeight="1">
      <c r="A7521" s="234"/>
      <c r="B7521" s="233"/>
      <c r="C7521" s="238"/>
      <c r="E7521" s="545"/>
      <c r="F7521" s="546"/>
      <c r="G7521" s="234"/>
      <c r="H7521" s="238"/>
      <c r="I7521" s="237"/>
    </row>
    <row r="7522" spans="1:9" s="232" customFormat="1" ht="17" customHeight="1">
      <c r="A7522" s="234"/>
      <c r="B7522" s="233"/>
      <c r="C7522" s="238"/>
      <c r="E7522" s="545"/>
      <c r="F7522" s="546"/>
      <c r="G7522" s="234"/>
      <c r="H7522" s="238"/>
      <c r="I7522" s="237"/>
    </row>
    <row r="7523" spans="1:9" s="232" customFormat="1" ht="17" customHeight="1">
      <c r="A7523" s="234"/>
      <c r="B7523" s="233"/>
      <c r="C7523" s="238"/>
      <c r="E7523" s="545"/>
      <c r="F7523" s="546"/>
      <c r="G7523" s="234"/>
      <c r="H7523" s="238"/>
      <c r="I7523" s="237"/>
    </row>
    <row r="7524" spans="1:9" s="232" customFormat="1" ht="17" customHeight="1">
      <c r="A7524" s="234"/>
      <c r="B7524" s="233"/>
      <c r="C7524" s="238"/>
      <c r="E7524" s="545"/>
      <c r="F7524" s="546"/>
      <c r="G7524" s="234"/>
      <c r="H7524" s="238"/>
      <c r="I7524" s="237"/>
    </row>
    <row r="7525" spans="1:9" s="232" customFormat="1" ht="17" customHeight="1">
      <c r="A7525" s="234"/>
      <c r="B7525" s="233"/>
      <c r="C7525" s="238"/>
      <c r="E7525" s="545"/>
      <c r="F7525" s="546"/>
      <c r="G7525" s="234"/>
      <c r="H7525" s="238"/>
      <c r="I7525" s="237"/>
    </row>
    <row r="7526" spans="1:9" s="232" customFormat="1" ht="17" customHeight="1">
      <c r="A7526" s="234"/>
      <c r="B7526" s="233"/>
      <c r="C7526" s="238"/>
      <c r="E7526" s="545"/>
      <c r="F7526" s="546"/>
      <c r="G7526" s="234"/>
      <c r="H7526" s="238"/>
      <c r="I7526" s="237"/>
    </row>
    <row r="7527" spans="1:9" s="232" customFormat="1" ht="17" customHeight="1">
      <c r="A7527" s="234"/>
      <c r="B7527" s="233"/>
      <c r="C7527" s="238"/>
      <c r="E7527" s="545"/>
      <c r="F7527" s="546"/>
      <c r="G7527" s="234"/>
      <c r="H7527" s="238"/>
      <c r="I7527" s="237"/>
    </row>
    <row r="7528" spans="1:9" s="232" customFormat="1" ht="17" customHeight="1">
      <c r="A7528" s="234"/>
      <c r="B7528" s="233"/>
      <c r="C7528" s="238"/>
      <c r="E7528" s="545"/>
      <c r="F7528" s="546"/>
      <c r="G7528" s="234"/>
      <c r="H7528" s="238"/>
      <c r="I7528" s="237"/>
    </row>
    <row r="7529" spans="1:9" s="232" customFormat="1" ht="17" customHeight="1">
      <c r="A7529" s="234"/>
      <c r="B7529" s="233"/>
      <c r="C7529" s="238"/>
      <c r="E7529" s="545"/>
      <c r="F7529" s="546"/>
      <c r="G7529" s="234"/>
      <c r="H7529" s="238"/>
      <c r="I7529" s="237"/>
    </row>
    <row r="7530" spans="1:9" s="232" customFormat="1" ht="17" customHeight="1">
      <c r="A7530" s="234"/>
      <c r="B7530" s="233"/>
      <c r="C7530" s="238"/>
      <c r="E7530" s="545"/>
      <c r="F7530" s="546"/>
      <c r="G7530" s="234"/>
      <c r="H7530" s="238"/>
      <c r="I7530" s="237"/>
    </row>
    <row r="7531" spans="1:9" s="232" customFormat="1" ht="17" customHeight="1">
      <c r="A7531" s="234"/>
      <c r="B7531" s="233"/>
      <c r="C7531" s="238"/>
      <c r="E7531" s="545"/>
      <c r="F7531" s="546"/>
      <c r="G7531" s="234"/>
      <c r="H7531" s="238"/>
      <c r="I7531" s="237"/>
    </row>
    <row r="7532" spans="1:9" s="232" customFormat="1" ht="17" customHeight="1">
      <c r="A7532" s="234"/>
      <c r="B7532" s="233"/>
      <c r="C7532" s="238"/>
      <c r="E7532" s="545"/>
      <c r="F7532" s="546"/>
      <c r="G7532" s="234"/>
      <c r="H7532" s="238"/>
      <c r="I7532" s="237"/>
    </row>
    <row r="7533" spans="1:9" s="232" customFormat="1" ht="17" customHeight="1">
      <c r="A7533" s="234"/>
      <c r="B7533" s="233"/>
      <c r="C7533" s="238"/>
      <c r="E7533" s="545"/>
      <c r="F7533" s="546"/>
      <c r="G7533" s="234"/>
      <c r="H7533" s="238"/>
      <c r="I7533" s="237"/>
    </row>
    <row r="7534" spans="1:9" s="232" customFormat="1" ht="17" customHeight="1">
      <c r="A7534" s="234"/>
      <c r="B7534" s="233"/>
      <c r="C7534" s="238"/>
      <c r="E7534" s="545"/>
      <c r="F7534" s="546"/>
      <c r="G7534" s="234"/>
      <c r="H7534" s="238"/>
      <c r="I7534" s="237"/>
    </row>
    <row r="7535" spans="1:9" s="232" customFormat="1" ht="17" customHeight="1">
      <c r="A7535" s="234"/>
      <c r="B7535" s="233"/>
      <c r="C7535" s="238"/>
      <c r="E7535" s="545"/>
      <c r="F7535" s="546"/>
      <c r="G7535" s="234"/>
      <c r="H7535" s="238"/>
      <c r="I7535" s="237"/>
    </row>
    <row r="7536" spans="1:9" s="232" customFormat="1" ht="17" customHeight="1">
      <c r="A7536" s="234"/>
      <c r="B7536" s="233"/>
      <c r="C7536" s="238"/>
      <c r="E7536" s="545"/>
      <c r="F7536" s="546"/>
      <c r="G7536" s="234"/>
      <c r="H7536" s="238"/>
      <c r="I7536" s="237"/>
    </row>
    <row r="7537" spans="1:9" s="232" customFormat="1" ht="17" customHeight="1">
      <c r="A7537" s="234"/>
      <c r="B7537" s="233"/>
      <c r="C7537" s="238"/>
      <c r="E7537" s="545"/>
      <c r="F7537" s="546"/>
      <c r="G7537" s="234"/>
      <c r="H7537" s="238"/>
      <c r="I7537" s="237"/>
    </row>
    <row r="7538" spans="1:9" s="232" customFormat="1" ht="17" customHeight="1">
      <c r="A7538" s="234"/>
      <c r="B7538" s="233"/>
      <c r="C7538" s="238"/>
      <c r="E7538" s="545"/>
      <c r="F7538" s="546"/>
      <c r="G7538" s="234"/>
      <c r="H7538" s="238"/>
      <c r="I7538" s="237"/>
    </row>
    <row r="7539" spans="1:9" s="232" customFormat="1" ht="17" customHeight="1">
      <c r="A7539" s="234"/>
      <c r="B7539" s="233"/>
      <c r="C7539" s="238"/>
      <c r="E7539" s="545"/>
      <c r="F7539" s="546"/>
      <c r="G7539" s="234"/>
      <c r="H7539" s="238"/>
      <c r="I7539" s="237"/>
    </row>
    <row r="7540" spans="1:9" s="232" customFormat="1" ht="17" customHeight="1">
      <c r="A7540" s="234"/>
      <c r="B7540" s="233"/>
      <c r="C7540" s="238"/>
      <c r="E7540" s="545"/>
      <c r="F7540" s="546"/>
      <c r="G7540" s="234"/>
      <c r="H7540" s="238"/>
      <c r="I7540" s="237"/>
    </row>
    <row r="7541" spans="1:9" s="232" customFormat="1" ht="17" customHeight="1">
      <c r="A7541" s="234"/>
      <c r="B7541" s="233"/>
      <c r="C7541" s="238"/>
      <c r="E7541" s="545"/>
      <c r="F7541" s="546"/>
      <c r="G7541" s="234"/>
      <c r="H7541" s="238"/>
      <c r="I7541" s="237"/>
    </row>
    <row r="7542" spans="1:9" s="232" customFormat="1" ht="17" customHeight="1">
      <c r="A7542" s="234"/>
      <c r="B7542" s="233"/>
      <c r="C7542" s="238"/>
      <c r="E7542" s="545"/>
      <c r="F7542" s="546"/>
      <c r="G7542" s="234"/>
      <c r="H7542" s="238"/>
      <c r="I7542" s="237"/>
    </row>
    <row r="7543" spans="1:9" s="232" customFormat="1" ht="17" customHeight="1">
      <c r="A7543" s="234"/>
      <c r="B7543" s="233"/>
      <c r="C7543" s="238"/>
      <c r="E7543" s="545"/>
      <c r="F7543" s="546"/>
      <c r="G7543" s="234"/>
      <c r="H7543" s="238"/>
      <c r="I7543" s="237"/>
    </row>
    <row r="7544" spans="1:9" s="232" customFormat="1" ht="17" customHeight="1">
      <c r="A7544" s="234"/>
      <c r="B7544" s="233"/>
      <c r="C7544" s="238"/>
      <c r="E7544" s="545"/>
      <c r="F7544" s="546"/>
      <c r="G7544" s="234"/>
      <c r="H7544" s="238"/>
      <c r="I7544" s="237"/>
    </row>
    <row r="7545" spans="1:9" s="232" customFormat="1" ht="17" customHeight="1">
      <c r="A7545" s="234"/>
      <c r="B7545" s="233"/>
      <c r="C7545" s="238"/>
      <c r="E7545" s="545"/>
      <c r="F7545" s="546"/>
      <c r="G7545" s="234"/>
      <c r="H7545" s="238"/>
      <c r="I7545" s="237"/>
    </row>
    <row r="7546" spans="1:9" s="232" customFormat="1" ht="17" customHeight="1">
      <c r="A7546" s="234"/>
      <c r="B7546" s="233"/>
      <c r="C7546" s="238"/>
      <c r="E7546" s="545"/>
      <c r="F7546" s="546"/>
      <c r="G7546" s="234"/>
      <c r="H7546" s="238"/>
      <c r="I7546" s="237"/>
    </row>
    <row r="7547" spans="1:9" s="232" customFormat="1" ht="17" customHeight="1">
      <c r="A7547" s="234"/>
      <c r="B7547" s="233"/>
      <c r="C7547" s="238"/>
      <c r="E7547" s="545"/>
      <c r="F7547" s="546"/>
      <c r="G7547" s="234"/>
      <c r="H7547" s="238"/>
      <c r="I7547" s="237"/>
    </row>
    <row r="7548" spans="1:9" s="232" customFormat="1" ht="17" customHeight="1">
      <c r="A7548" s="234"/>
      <c r="B7548" s="233"/>
      <c r="C7548" s="238"/>
      <c r="E7548" s="545"/>
      <c r="F7548" s="546"/>
      <c r="G7548" s="234"/>
      <c r="H7548" s="238"/>
      <c r="I7548" s="237"/>
    </row>
    <row r="7549" spans="1:9" s="232" customFormat="1" ht="17" customHeight="1">
      <c r="A7549" s="234"/>
      <c r="B7549" s="233"/>
      <c r="C7549" s="238"/>
      <c r="E7549" s="545"/>
      <c r="F7549" s="546"/>
      <c r="G7549" s="234"/>
      <c r="H7549" s="238"/>
      <c r="I7549" s="237"/>
    </row>
    <row r="7550" spans="1:9" s="232" customFormat="1" ht="17" customHeight="1">
      <c r="A7550" s="234"/>
      <c r="B7550" s="233"/>
      <c r="C7550" s="238"/>
      <c r="E7550" s="545"/>
      <c r="F7550" s="546"/>
      <c r="G7550" s="234"/>
      <c r="H7550" s="238"/>
      <c r="I7550" s="237"/>
    </row>
    <row r="7551" spans="1:9" s="232" customFormat="1" ht="17" customHeight="1">
      <c r="A7551" s="234"/>
      <c r="B7551" s="233"/>
      <c r="C7551" s="238"/>
      <c r="E7551" s="545"/>
      <c r="F7551" s="546"/>
      <c r="G7551" s="234"/>
      <c r="H7551" s="238"/>
      <c r="I7551" s="237"/>
    </row>
    <row r="7552" spans="1:9" s="232" customFormat="1" ht="17" customHeight="1">
      <c r="A7552" s="234"/>
      <c r="B7552" s="233"/>
      <c r="C7552" s="238"/>
      <c r="E7552" s="545"/>
      <c r="F7552" s="546"/>
      <c r="G7552" s="234"/>
      <c r="H7552" s="238"/>
      <c r="I7552" s="237"/>
    </row>
    <row r="7553" spans="1:9" s="232" customFormat="1" ht="17" customHeight="1">
      <c r="A7553" s="234"/>
      <c r="B7553" s="233"/>
      <c r="C7553" s="238"/>
      <c r="E7553" s="545"/>
      <c r="F7553" s="546"/>
      <c r="G7553" s="234"/>
      <c r="H7553" s="238"/>
      <c r="I7553" s="237"/>
    </row>
    <row r="7554" spans="1:9" s="232" customFormat="1" ht="17" customHeight="1">
      <c r="A7554" s="234"/>
      <c r="B7554" s="233"/>
      <c r="C7554" s="238"/>
      <c r="E7554" s="545"/>
      <c r="F7554" s="546"/>
      <c r="G7554" s="234"/>
      <c r="H7554" s="238"/>
      <c r="I7554" s="237"/>
    </row>
    <row r="7555" spans="1:9" s="232" customFormat="1" ht="17" customHeight="1">
      <c r="A7555" s="234"/>
      <c r="B7555" s="233"/>
      <c r="C7555" s="238"/>
      <c r="E7555" s="545"/>
      <c r="F7555" s="546"/>
      <c r="G7555" s="234"/>
      <c r="H7555" s="238"/>
      <c r="I7555" s="237"/>
    </row>
    <row r="7556" spans="1:9" s="232" customFormat="1" ht="17" customHeight="1">
      <c r="A7556" s="234"/>
      <c r="B7556" s="233"/>
      <c r="C7556" s="238"/>
      <c r="E7556" s="545"/>
      <c r="F7556" s="546"/>
      <c r="G7556" s="234"/>
      <c r="H7556" s="238"/>
      <c r="I7556" s="237"/>
    </row>
    <row r="7557" spans="1:9" s="232" customFormat="1" ht="17" customHeight="1">
      <c r="A7557" s="234"/>
      <c r="B7557" s="233"/>
      <c r="C7557" s="238"/>
      <c r="E7557" s="545"/>
      <c r="F7557" s="546"/>
      <c r="G7557" s="234"/>
      <c r="H7557" s="238"/>
      <c r="I7557" s="237"/>
    </row>
    <row r="7558" spans="1:9" s="232" customFormat="1" ht="17" customHeight="1">
      <c r="A7558" s="234"/>
      <c r="B7558" s="233"/>
      <c r="C7558" s="238"/>
      <c r="E7558" s="545"/>
      <c r="F7558" s="546"/>
      <c r="G7558" s="234"/>
      <c r="H7558" s="238"/>
      <c r="I7558" s="237"/>
    </row>
    <row r="7559" spans="1:9" s="232" customFormat="1" ht="17" customHeight="1">
      <c r="A7559" s="234"/>
      <c r="B7559" s="233"/>
      <c r="C7559" s="238"/>
      <c r="E7559" s="545"/>
      <c r="F7559" s="546"/>
      <c r="G7559" s="234"/>
      <c r="H7559" s="238"/>
      <c r="I7559" s="237"/>
    </row>
    <row r="7560" spans="1:9" s="232" customFormat="1" ht="17" customHeight="1">
      <c r="A7560" s="234"/>
      <c r="B7560" s="233"/>
      <c r="C7560" s="238"/>
      <c r="E7560" s="545"/>
      <c r="F7560" s="546"/>
      <c r="G7560" s="234"/>
      <c r="H7560" s="238"/>
      <c r="I7560" s="237"/>
    </row>
    <row r="7561" spans="1:9" s="232" customFormat="1" ht="17" customHeight="1">
      <c r="A7561" s="234"/>
      <c r="B7561" s="233"/>
      <c r="C7561" s="238"/>
      <c r="E7561" s="545"/>
      <c r="F7561" s="546"/>
      <c r="G7561" s="234"/>
      <c r="H7561" s="238"/>
      <c r="I7561" s="237"/>
    </row>
    <row r="7562" spans="1:9" s="232" customFormat="1" ht="17" customHeight="1">
      <c r="A7562" s="234"/>
      <c r="B7562" s="233"/>
      <c r="C7562" s="238"/>
      <c r="E7562" s="545"/>
      <c r="F7562" s="546"/>
      <c r="G7562" s="234"/>
      <c r="H7562" s="238"/>
      <c r="I7562" s="237"/>
    </row>
    <row r="7563" spans="1:9" s="232" customFormat="1" ht="17" customHeight="1">
      <c r="A7563" s="234"/>
      <c r="B7563" s="233"/>
      <c r="C7563" s="238"/>
      <c r="E7563" s="545"/>
      <c r="F7563" s="546"/>
      <c r="G7563" s="234"/>
      <c r="H7563" s="238"/>
      <c r="I7563" s="237"/>
    </row>
    <row r="7564" spans="1:9" s="232" customFormat="1" ht="17" customHeight="1">
      <c r="A7564" s="234"/>
      <c r="B7564" s="233"/>
      <c r="C7564" s="238"/>
      <c r="E7564" s="545"/>
      <c r="F7564" s="546"/>
      <c r="G7564" s="234"/>
      <c r="H7564" s="238"/>
      <c r="I7564" s="237"/>
    </row>
    <row r="7565" spans="1:9" s="232" customFormat="1" ht="17" customHeight="1">
      <c r="A7565" s="234"/>
      <c r="B7565" s="233"/>
      <c r="C7565" s="238"/>
      <c r="E7565" s="545"/>
      <c r="F7565" s="546"/>
      <c r="G7565" s="234"/>
      <c r="H7565" s="238"/>
      <c r="I7565" s="237"/>
    </row>
    <row r="7566" spans="1:9" s="232" customFormat="1" ht="17" customHeight="1">
      <c r="A7566" s="234"/>
      <c r="B7566" s="233"/>
      <c r="C7566" s="238"/>
      <c r="E7566" s="545"/>
      <c r="F7566" s="546"/>
      <c r="G7566" s="234"/>
      <c r="H7566" s="238"/>
      <c r="I7566" s="237"/>
    </row>
    <row r="7567" spans="1:9" s="232" customFormat="1" ht="17" customHeight="1">
      <c r="A7567" s="234"/>
      <c r="B7567" s="233"/>
      <c r="C7567" s="238"/>
      <c r="E7567" s="545"/>
      <c r="F7567" s="546"/>
      <c r="G7567" s="234"/>
      <c r="H7567" s="238"/>
      <c r="I7567" s="237"/>
    </row>
    <row r="7568" spans="1:9" s="232" customFormat="1" ht="17" customHeight="1">
      <c r="A7568" s="234"/>
      <c r="B7568" s="233"/>
      <c r="C7568" s="238"/>
      <c r="E7568" s="545"/>
      <c r="F7568" s="546"/>
      <c r="G7568" s="234"/>
      <c r="H7568" s="238"/>
      <c r="I7568" s="237"/>
    </row>
    <row r="7569" spans="1:9" s="232" customFormat="1" ht="17" customHeight="1">
      <c r="A7569" s="234"/>
      <c r="B7569" s="233"/>
      <c r="C7569" s="238"/>
      <c r="E7569" s="545"/>
      <c r="F7569" s="546"/>
      <c r="G7569" s="234"/>
      <c r="H7569" s="238"/>
      <c r="I7569" s="237"/>
    </row>
    <row r="7570" spans="1:9" s="232" customFormat="1" ht="17" customHeight="1">
      <c r="A7570" s="234"/>
      <c r="B7570" s="233"/>
      <c r="C7570" s="238"/>
      <c r="E7570" s="545"/>
      <c r="F7570" s="546"/>
      <c r="G7570" s="234"/>
      <c r="H7570" s="238"/>
      <c r="I7570" s="237"/>
    </row>
    <row r="7571" spans="1:9" s="232" customFormat="1" ht="17" customHeight="1">
      <c r="A7571" s="234"/>
      <c r="B7571" s="233"/>
      <c r="C7571" s="238"/>
      <c r="E7571" s="545"/>
      <c r="F7571" s="546"/>
      <c r="G7571" s="234"/>
      <c r="H7571" s="238"/>
      <c r="I7571" s="237"/>
    </row>
    <row r="7572" spans="1:9" s="232" customFormat="1" ht="17" customHeight="1">
      <c r="A7572" s="234"/>
      <c r="B7572" s="233"/>
      <c r="C7572" s="238"/>
      <c r="E7572" s="545"/>
      <c r="F7572" s="546"/>
      <c r="G7572" s="234"/>
      <c r="H7572" s="238"/>
      <c r="I7572" s="237"/>
    </row>
    <row r="7573" spans="1:9" s="232" customFormat="1" ht="17" customHeight="1">
      <c r="A7573" s="234"/>
      <c r="B7573" s="233"/>
      <c r="C7573" s="238"/>
      <c r="E7573" s="545"/>
      <c r="F7573" s="546"/>
      <c r="G7573" s="234"/>
      <c r="H7573" s="238"/>
      <c r="I7573" s="237"/>
    </row>
    <row r="7574" spans="1:9" s="232" customFormat="1" ht="17" customHeight="1">
      <c r="A7574" s="234"/>
      <c r="B7574" s="233"/>
      <c r="C7574" s="238"/>
      <c r="E7574" s="545"/>
      <c r="F7574" s="546"/>
      <c r="G7574" s="234"/>
      <c r="H7574" s="238"/>
      <c r="I7574" s="237"/>
    </row>
    <row r="7575" spans="1:9" s="232" customFormat="1" ht="17" customHeight="1">
      <c r="A7575" s="234"/>
      <c r="B7575" s="233"/>
      <c r="C7575" s="238"/>
      <c r="E7575" s="545"/>
      <c r="F7575" s="546"/>
      <c r="G7575" s="234"/>
      <c r="H7575" s="238"/>
      <c r="I7575" s="237"/>
    </row>
    <row r="7576" spans="1:9" s="232" customFormat="1" ht="17" customHeight="1">
      <c r="A7576" s="234"/>
      <c r="B7576" s="233"/>
      <c r="C7576" s="238"/>
      <c r="E7576" s="545"/>
      <c r="F7576" s="546"/>
      <c r="G7576" s="234"/>
      <c r="H7576" s="238"/>
      <c r="I7576" s="237"/>
    </row>
    <row r="7577" spans="1:9" s="232" customFormat="1" ht="17" customHeight="1">
      <c r="A7577" s="234"/>
      <c r="B7577" s="233"/>
      <c r="C7577" s="238"/>
      <c r="E7577" s="545"/>
      <c r="F7577" s="546"/>
      <c r="G7577" s="234"/>
      <c r="H7577" s="238"/>
      <c r="I7577" s="237"/>
    </row>
    <row r="7578" spans="1:9" s="232" customFormat="1" ht="17" customHeight="1">
      <c r="A7578" s="234"/>
      <c r="B7578" s="233"/>
      <c r="C7578" s="238"/>
      <c r="E7578" s="545"/>
      <c r="F7578" s="546"/>
      <c r="G7578" s="234"/>
      <c r="H7578" s="238"/>
      <c r="I7578" s="237"/>
    </row>
    <row r="7579" spans="1:9" s="232" customFormat="1" ht="17" customHeight="1">
      <c r="A7579" s="234"/>
      <c r="B7579" s="233"/>
      <c r="C7579" s="238"/>
      <c r="E7579" s="545"/>
      <c r="F7579" s="546"/>
      <c r="G7579" s="234"/>
      <c r="H7579" s="238"/>
      <c r="I7579" s="237"/>
    </row>
    <row r="7580" spans="1:9" s="232" customFormat="1" ht="17" customHeight="1">
      <c r="A7580" s="234"/>
      <c r="B7580" s="233"/>
      <c r="C7580" s="238"/>
      <c r="E7580" s="545"/>
      <c r="F7580" s="546"/>
      <c r="G7580" s="234"/>
      <c r="H7580" s="238"/>
      <c r="I7580" s="237"/>
    </row>
    <row r="7581" spans="1:9" s="232" customFormat="1" ht="17" customHeight="1">
      <c r="A7581" s="234"/>
      <c r="B7581" s="233"/>
      <c r="C7581" s="238"/>
      <c r="E7581" s="545"/>
      <c r="F7581" s="546"/>
      <c r="G7581" s="234"/>
      <c r="H7581" s="238"/>
      <c r="I7581" s="237"/>
    </row>
    <row r="7582" spans="1:9" s="232" customFormat="1" ht="17" customHeight="1">
      <c r="A7582" s="234"/>
      <c r="B7582" s="233"/>
      <c r="C7582" s="238"/>
      <c r="E7582" s="545"/>
      <c r="F7582" s="546"/>
      <c r="G7582" s="234"/>
      <c r="H7582" s="238"/>
      <c r="I7582" s="237"/>
    </row>
    <row r="7583" spans="1:9" s="232" customFormat="1" ht="17" customHeight="1">
      <c r="A7583" s="234"/>
      <c r="B7583" s="233"/>
      <c r="C7583" s="238"/>
      <c r="E7583" s="545"/>
      <c r="F7583" s="546"/>
      <c r="G7583" s="234"/>
      <c r="H7583" s="238"/>
      <c r="I7583" s="237"/>
    </row>
    <row r="7584" spans="1:9" s="232" customFormat="1" ht="17" customHeight="1">
      <c r="A7584" s="234"/>
      <c r="B7584" s="233"/>
      <c r="C7584" s="238"/>
      <c r="E7584" s="545"/>
      <c r="F7584" s="546"/>
      <c r="G7584" s="234"/>
      <c r="H7584" s="238"/>
      <c r="I7584" s="237"/>
    </row>
    <row r="7585" spans="1:9" s="232" customFormat="1" ht="17" customHeight="1">
      <c r="A7585" s="234"/>
      <c r="B7585" s="233"/>
      <c r="C7585" s="238"/>
      <c r="E7585" s="545"/>
      <c r="F7585" s="546"/>
      <c r="G7585" s="234"/>
      <c r="H7585" s="238"/>
      <c r="I7585" s="237"/>
    </row>
    <row r="7586" spans="1:9" s="232" customFormat="1" ht="17" customHeight="1">
      <c r="A7586" s="234"/>
      <c r="B7586" s="233"/>
      <c r="C7586" s="238"/>
      <c r="E7586" s="545"/>
      <c r="F7586" s="546"/>
      <c r="G7586" s="234"/>
      <c r="H7586" s="238"/>
      <c r="I7586" s="237"/>
    </row>
    <row r="7587" spans="1:9" s="232" customFormat="1" ht="17" customHeight="1">
      <c r="A7587" s="234"/>
      <c r="B7587" s="233"/>
      <c r="C7587" s="238"/>
      <c r="E7587" s="545"/>
      <c r="F7587" s="546"/>
      <c r="G7587" s="234"/>
      <c r="H7587" s="238"/>
      <c r="I7587" s="237"/>
    </row>
    <row r="7588" spans="1:9" s="232" customFormat="1" ht="17" customHeight="1">
      <c r="A7588" s="234"/>
      <c r="B7588" s="233"/>
      <c r="C7588" s="238"/>
      <c r="E7588" s="545"/>
      <c r="F7588" s="546"/>
      <c r="G7588" s="234"/>
      <c r="H7588" s="238"/>
      <c r="I7588" s="237"/>
    </row>
    <row r="7589" spans="1:9" s="232" customFormat="1" ht="17" customHeight="1">
      <c r="A7589" s="234"/>
      <c r="B7589" s="233"/>
      <c r="C7589" s="238"/>
      <c r="E7589" s="545"/>
      <c r="F7589" s="546"/>
      <c r="G7589" s="234"/>
      <c r="H7589" s="238"/>
      <c r="I7589" s="237"/>
    </row>
    <row r="7590" spans="1:9" s="232" customFormat="1" ht="17" customHeight="1">
      <c r="A7590" s="234"/>
      <c r="B7590" s="233"/>
      <c r="C7590" s="238"/>
      <c r="E7590" s="545"/>
      <c r="F7590" s="546"/>
      <c r="G7590" s="234"/>
      <c r="H7590" s="238"/>
      <c r="I7590" s="237"/>
    </row>
    <row r="7591" spans="1:9" s="232" customFormat="1" ht="17" customHeight="1">
      <c r="A7591" s="234"/>
      <c r="B7591" s="233"/>
      <c r="C7591" s="238"/>
      <c r="E7591" s="545"/>
      <c r="F7591" s="546"/>
      <c r="G7591" s="234"/>
      <c r="H7591" s="238"/>
      <c r="I7591" s="237"/>
    </row>
    <row r="7592" spans="1:9" s="232" customFormat="1" ht="17" customHeight="1">
      <c r="A7592" s="234"/>
      <c r="B7592" s="233"/>
      <c r="C7592" s="238"/>
      <c r="E7592" s="545"/>
      <c r="F7592" s="546"/>
      <c r="G7592" s="234"/>
      <c r="H7592" s="238"/>
      <c r="I7592" s="237"/>
    </row>
    <row r="7593" spans="1:9" s="232" customFormat="1" ht="17" customHeight="1">
      <c r="A7593" s="234"/>
      <c r="B7593" s="233"/>
      <c r="C7593" s="238"/>
      <c r="E7593" s="545"/>
      <c r="F7593" s="546"/>
      <c r="G7593" s="234"/>
      <c r="H7593" s="238"/>
      <c r="I7593" s="237"/>
    </row>
    <row r="7594" spans="1:9" s="232" customFormat="1" ht="17" customHeight="1">
      <c r="A7594" s="234"/>
      <c r="B7594" s="233"/>
      <c r="C7594" s="238"/>
      <c r="E7594" s="545"/>
      <c r="F7594" s="546"/>
      <c r="G7594" s="234"/>
      <c r="H7594" s="238"/>
      <c r="I7594" s="237"/>
    </row>
    <row r="7595" spans="1:9" s="232" customFormat="1" ht="17" customHeight="1">
      <c r="A7595" s="234"/>
      <c r="B7595" s="233"/>
      <c r="C7595" s="238"/>
      <c r="E7595" s="545"/>
      <c r="F7595" s="546"/>
      <c r="G7595" s="234"/>
      <c r="H7595" s="238"/>
      <c r="I7595" s="237"/>
    </row>
    <row r="7596" spans="1:9" s="232" customFormat="1" ht="17" customHeight="1">
      <c r="A7596" s="234"/>
      <c r="B7596" s="233"/>
      <c r="C7596" s="238"/>
      <c r="E7596" s="545"/>
      <c r="F7596" s="546"/>
      <c r="G7596" s="234"/>
      <c r="H7596" s="238"/>
      <c r="I7596" s="237"/>
    </row>
    <row r="7597" spans="1:9" s="232" customFormat="1" ht="17" customHeight="1">
      <c r="A7597" s="234"/>
      <c r="B7597" s="233"/>
      <c r="C7597" s="238"/>
      <c r="E7597" s="545"/>
      <c r="F7597" s="546"/>
      <c r="G7597" s="234"/>
      <c r="H7597" s="238"/>
      <c r="I7597" s="237"/>
    </row>
    <row r="7598" spans="1:9" s="232" customFormat="1" ht="17" customHeight="1">
      <c r="A7598" s="234"/>
      <c r="B7598" s="233"/>
      <c r="C7598" s="238"/>
      <c r="E7598" s="545"/>
      <c r="F7598" s="546"/>
      <c r="G7598" s="234"/>
      <c r="H7598" s="238"/>
      <c r="I7598" s="237"/>
    </row>
    <row r="7599" spans="1:9" s="232" customFormat="1" ht="17" customHeight="1">
      <c r="A7599" s="234"/>
      <c r="B7599" s="233"/>
      <c r="C7599" s="238"/>
      <c r="E7599" s="545"/>
      <c r="F7599" s="546"/>
      <c r="G7599" s="234"/>
      <c r="H7599" s="238"/>
      <c r="I7599" s="237"/>
    </row>
    <row r="7600" spans="1:9" s="232" customFormat="1" ht="17" customHeight="1">
      <c r="A7600" s="234"/>
      <c r="B7600" s="233"/>
      <c r="C7600" s="238"/>
      <c r="E7600" s="545"/>
      <c r="F7600" s="546"/>
      <c r="G7600" s="234"/>
      <c r="H7600" s="238"/>
      <c r="I7600" s="237"/>
    </row>
    <row r="7601" spans="1:9" s="232" customFormat="1" ht="17" customHeight="1">
      <c r="A7601" s="234"/>
      <c r="B7601" s="233"/>
      <c r="C7601" s="238"/>
      <c r="E7601" s="545"/>
      <c r="F7601" s="546"/>
      <c r="G7601" s="234"/>
      <c r="H7601" s="238"/>
      <c r="I7601" s="237"/>
    </row>
    <row r="7602" spans="1:9" s="232" customFormat="1" ht="17" customHeight="1">
      <c r="A7602" s="234"/>
      <c r="B7602" s="233"/>
      <c r="C7602" s="238"/>
      <c r="E7602" s="545"/>
      <c r="F7602" s="546"/>
      <c r="G7602" s="234"/>
      <c r="H7602" s="238"/>
      <c r="I7602" s="237"/>
    </row>
    <row r="7603" spans="1:9" s="232" customFormat="1" ht="17" customHeight="1">
      <c r="A7603" s="234"/>
      <c r="B7603" s="233"/>
      <c r="C7603" s="238"/>
      <c r="E7603" s="545"/>
      <c r="F7603" s="546"/>
      <c r="G7603" s="234"/>
      <c r="H7603" s="238"/>
      <c r="I7603" s="237"/>
    </row>
    <row r="7604" spans="1:9" s="232" customFormat="1" ht="17" customHeight="1">
      <c r="A7604" s="234"/>
      <c r="B7604" s="233"/>
      <c r="C7604" s="238"/>
      <c r="E7604" s="545"/>
      <c r="F7604" s="546"/>
      <c r="G7604" s="234"/>
      <c r="H7604" s="238"/>
      <c r="I7604" s="237"/>
    </row>
    <row r="7605" spans="1:9" s="232" customFormat="1" ht="17" customHeight="1">
      <c r="A7605" s="234"/>
      <c r="B7605" s="233"/>
      <c r="C7605" s="238"/>
      <c r="E7605" s="545"/>
      <c r="F7605" s="546"/>
      <c r="G7605" s="234"/>
      <c r="H7605" s="238"/>
      <c r="I7605" s="237"/>
    </row>
    <row r="7606" spans="1:9" s="232" customFormat="1" ht="17" customHeight="1">
      <c r="A7606" s="234"/>
      <c r="B7606" s="233"/>
      <c r="C7606" s="238"/>
      <c r="E7606" s="545"/>
      <c r="F7606" s="546"/>
      <c r="G7606" s="234"/>
      <c r="H7606" s="238"/>
      <c r="I7606" s="237"/>
    </row>
    <row r="7607" spans="1:9" s="232" customFormat="1" ht="17" customHeight="1">
      <c r="A7607" s="234"/>
      <c r="B7607" s="233"/>
      <c r="C7607" s="238"/>
      <c r="E7607" s="545"/>
      <c r="F7607" s="546"/>
      <c r="G7607" s="234"/>
      <c r="H7607" s="238"/>
      <c r="I7607" s="237"/>
    </row>
    <row r="7608" spans="1:9" s="232" customFormat="1" ht="17" customHeight="1">
      <c r="A7608" s="234"/>
      <c r="B7608" s="233"/>
      <c r="C7608" s="238"/>
      <c r="E7608" s="545"/>
      <c r="F7608" s="546"/>
      <c r="G7608" s="234"/>
      <c r="H7608" s="238"/>
      <c r="I7608" s="237"/>
    </row>
    <row r="7609" spans="1:9" s="232" customFormat="1" ht="17" customHeight="1">
      <c r="A7609" s="234"/>
      <c r="B7609" s="233"/>
      <c r="C7609" s="238"/>
      <c r="E7609" s="545"/>
      <c r="F7609" s="546"/>
      <c r="G7609" s="234"/>
      <c r="H7609" s="238"/>
      <c r="I7609" s="237"/>
    </row>
    <row r="7610" spans="1:9" s="232" customFormat="1" ht="17" customHeight="1">
      <c r="A7610" s="234"/>
      <c r="B7610" s="233"/>
      <c r="C7610" s="238"/>
      <c r="E7610" s="545"/>
      <c r="F7610" s="546"/>
      <c r="G7610" s="234"/>
      <c r="H7610" s="238"/>
      <c r="I7610" s="237"/>
    </row>
    <row r="7611" spans="1:9" s="232" customFormat="1" ht="17" customHeight="1">
      <c r="A7611" s="234"/>
      <c r="B7611" s="233"/>
      <c r="C7611" s="238"/>
      <c r="E7611" s="545"/>
      <c r="F7611" s="546"/>
      <c r="G7611" s="234"/>
      <c r="H7611" s="238"/>
      <c r="I7611" s="237"/>
    </row>
    <row r="7612" spans="1:9" s="232" customFormat="1" ht="17" customHeight="1">
      <c r="A7612" s="234"/>
      <c r="B7612" s="233"/>
      <c r="C7612" s="238"/>
      <c r="E7612" s="545"/>
      <c r="F7612" s="546"/>
      <c r="G7612" s="234"/>
      <c r="H7612" s="238"/>
      <c r="I7612" s="237"/>
    </row>
    <row r="7613" spans="1:9" s="232" customFormat="1" ht="17" customHeight="1">
      <c r="A7613" s="234"/>
      <c r="B7613" s="233"/>
      <c r="C7613" s="238"/>
      <c r="E7613" s="545"/>
      <c r="F7613" s="546"/>
      <c r="G7613" s="234"/>
      <c r="H7613" s="238"/>
      <c r="I7613" s="237"/>
    </row>
    <row r="7614" spans="1:9" s="232" customFormat="1" ht="17" customHeight="1">
      <c r="A7614" s="234"/>
      <c r="B7614" s="233"/>
      <c r="C7614" s="238"/>
      <c r="E7614" s="545"/>
      <c r="F7614" s="546"/>
      <c r="G7614" s="234"/>
      <c r="H7614" s="238"/>
      <c r="I7614" s="237"/>
    </row>
    <row r="7615" spans="1:9" s="232" customFormat="1" ht="17" customHeight="1">
      <c r="A7615" s="234"/>
      <c r="B7615" s="233"/>
      <c r="C7615" s="238"/>
      <c r="E7615" s="545"/>
      <c r="F7615" s="546"/>
      <c r="G7615" s="234"/>
      <c r="H7615" s="238"/>
      <c r="I7615" s="237"/>
    </row>
    <row r="7616" spans="1:9" s="232" customFormat="1" ht="17" customHeight="1">
      <c r="A7616" s="234"/>
      <c r="B7616" s="233"/>
      <c r="C7616" s="238"/>
      <c r="E7616" s="545"/>
      <c r="F7616" s="546"/>
      <c r="G7616" s="234"/>
      <c r="H7616" s="238"/>
      <c r="I7616" s="237"/>
    </row>
    <row r="7617" spans="1:9" s="232" customFormat="1" ht="17" customHeight="1">
      <c r="A7617" s="234"/>
      <c r="B7617" s="233"/>
      <c r="C7617" s="238"/>
      <c r="E7617" s="545"/>
      <c r="F7617" s="546"/>
      <c r="G7617" s="234"/>
      <c r="H7617" s="238"/>
      <c r="I7617" s="237"/>
    </row>
    <row r="7618" spans="1:9" s="232" customFormat="1" ht="17" customHeight="1">
      <c r="A7618" s="234"/>
      <c r="B7618" s="233"/>
      <c r="C7618" s="238"/>
      <c r="E7618" s="545"/>
      <c r="F7618" s="546"/>
      <c r="G7618" s="234"/>
      <c r="H7618" s="238"/>
      <c r="I7618" s="237"/>
    </row>
    <row r="7619" spans="1:9" s="232" customFormat="1" ht="17" customHeight="1">
      <c r="A7619" s="234"/>
      <c r="B7619" s="233"/>
      <c r="C7619" s="238"/>
      <c r="E7619" s="545"/>
      <c r="F7619" s="546"/>
      <c r="G7619" s="234"/>
      <c r="H7619" s="238"/>
      <c r="I7619" s="237"/>
    </row>
    <row r="7620" spans="1:9" s="232" customFormat="1" ht="17" customHeight="1">
      <c r="A7620" s="234"/>
      <c r="B7620" s="233"/>
      <c r="C7620" s="238"/>
      <c r="E7620" s="545"/>
      <c r="F7620" s="546"/>
      <c r="G7620" s="234"/>
      <c r="H7620" s="238"/>
      <c r="I7620" s="237"/>
    </row>
    <row r="7621" spans="1:9" s="232" customFormat="1" ht="17" customHeight="1">
      <c r="A7621" s="234"/>
      <c r="B7621" s="233"/>
      <c r="C7621" s="238"/>
      <c r="E7621" s="545"/>
      <c r="F7621" s="546"/>
      <c r="G7621" s="234"/>
      <c r="H7621" s="238"/>
      <c r="I7621" s="237"/>
    </row>
    <row r="7622" spans="1:9" s="232" customFormat="1" ht="17" customHeight="1">
      <c r="A7622" s="234"/>
      <c r="B7622" s="233"/>
      <c r="C7622" s="238"/>
      <c r="E7622" s="545"/>
      <c r="F7622" s="546"/>
      <c r="G7622" s="234"/>
      <c r="H7622" s="238"/>
      <c r="I7622" s="237"/>
    </row>
    <row r="7623" spans="1:9" s="232" customFormat="1" ht="17" customHeight="1">
      <c r="A7623" s="234"/>
      <c r="B7623" s="233"/>
      <c r="C7623" s="238"/>
      <c r="E7623" s="545"/>
      <c r="F7623" s="546"/>
      <c r="G7623" s="234"/>
      <c r="H7623" s="238"/>
      <c r="I7623" s="237"/>
    </row>
    <row r="7624" spans="1:9" s="232" customFormat="1" ht="17" customHeight="1">
      <c r="A7624" s="234"/>
      <c r="B7624" s="233"/>
      <c r="C7624" s="238"/>
      <c r="E7624" s="545"/>
      <c r="F7624" s="546"/>
      <c r="G7624" s="234"/>
      <c r="H7624" s="238"/>
      <c r="I7624" s="237"/>
    </row>
    <row r="7625" spans="1:9" s="232" customFormat="1" ht="17" customHeight="1">
      <c r="A7625" s="234"/>
      <c r="B7625" s="233"/>
      <c r="C7625" s="238"/>
      <c r="E7625" s="545"/>
      <c r="F7625" s="546"/>
      <c r="G7625" s="234"/>
      <c r="H7625" s="238"/>
      <c r="I7625" s="237"/>
    </row>
    <row r="7626" spans="1:9" s="232" customFormat="1" ht="17" customHeight="1">
      <c r="A7626" s="234"/>
      <c r="B7626" s="233"/>
      <c r="C7626" s="238"/>
      <c r="E7626" s="545"/>
      <c r="F7626" s="546"/>
      <c r="G7626" s="234"/>
      <c r="H7626" s="238"/>
      <c r="I7626" s="237"/>
    </row>
    <row r="7627" spans="1:9" s="232" customFormat="1" ht="17" customHeight="1">
      <c r="A7627" s="234"/>
      <c r="B7627" s="233"/>
      <c r="C7627" s="238"/>
      <c r="E7627" s="545"/>
      <c r="F7627" s="546"/>
      <c r="G7627" s="234"/>
      <c r="H7627" s="238"/>
      <c r="I7627" s="237"/>
    </row>
    <row r="7628" spans="1:9" s="232" customFormat="1" ht="17" customHeight="1">
      <c r="A7628" s="234"/>
      <c r="B7628" s="233"/>
      <c r="C7628" s="238"/>
      <c r="E7628" s="545"/>
      <c r="F7628" s="546"/>
      <c r="G7628" s="234"/>
      <c r="H7628" s="238"/>
      <c r="I7628" s="237"/>
    </row>
    <row r="7629" spans="1:9" s="232" customFormat="1" ht="17" customHeight="1">
      <c r="A7629" s="234"/>
      <c r="B7629" s="233"/>
      <c r="C7629" s="238"/>
      <c r="E7629" s="545"/>
      <c r="F7629" s="546"/>
      <c r="G7629" s="234"/>
      <c r="H7629" s="238"/>
      <c r="I7629" s="237"/>
    </row>
    <row r="7630" spans="1:9" s="232" customFormat="1" ht="17" customHeight="1">
      <c r="A7630" s="234"/>
      <c r="B7630" s="233"/>
      <c r="C7630" s="238"/>
      <c r="E7630" s="545"/>
      <c r="F7630" s="546"/>
      <c r="G7630" s="234"/>
      <c r="H7630" s="238"/>
      <c r="I7630" s="237"/>
    </row>
    <row r="7631" spans="1:9" s="232" customFormat="1" ht="17" customHeight="1">
      <c r="A7631" s="234"/>
      <c r="B7631" s="233"/>
      <c r="C7631" s="238"/>
      <c r="E7631" s="545"/>
      <c r="F7631" s="546"/>
      <c r="G7631" s="234"/>
      <c r="H7631" s="238"/>
      <c r="I7631" s="237"/>
    </row>
    <row r="7632" spans="1:9" s="232" customFormat="1" ht="17" customHeight="1">
      <c r="A7632" s="234"/>
      <c r="B7632" s="233"/>
      <c r="C7632" s="238"/>
      <c r="E7632" s="545"/>
      <c r="F7632" s="546"/>
      <c r="G7632" s="234"/>
      <c r="H7632" s="238"/>
      <c r="I7632" s="237"/>
    </row>
    <row r="7633" spans="1:9" s="232" customFormat="1" ht="17" customHeight="1">
      <c r="A7633" s="234"/>
      <c r="B7633" s="233"/>
      <c r="C7633" s="238"/>
      <c r="E7633" s="545"/>
      <c r="F7633" s="546"/>
      <c r="G7633" s="234"/>
      <c r="H7633" s="238"/>
      <c r="I7633" s="237"/>
    </row>
    <row r="7634" spans="1:9" s="232" customFormat="1" ht="17" customHeight="1">
      <c r="A7634" s="234"/>
      <c r="B7634" s="233"/>
      <c r="C7634" s="238"/>
      <c r="E7634" s="545"/>
      <c r="F7634" s="546"/>
      <c r="G7634" s="234"/>
      <c r="H7634" s="238"/>
      <c r="I7634" s="237"/>
    </row>
    <row r="7635" spans="1:9" s="232" customFormat="1" ht="17" customHeight="1">
      <c r="A7635" s="234"/>
      <c r="B7635" s="233"/>
      <c r="C7635" s="238"/>
      <c r="E7635" s="545"/>
      <c r="F7635" s="546"/>
      <c r="G7635" s="234"/>
      <c r="H7635" s="238"/>
      <c r="I7635" s="237"/>
    </row>
    <row r="7636" spans="1:9" s="232" customFormat="1" ht="17" customHeight="1">
      <c r="A7636" s="234"/>
      <c r="B7636" s="233"/>
      <c r="C7636" s="238"/>
      <c r="E7636" s="545"/>
      <c r="F7636" s="546"/>
      <c r="G7636" s="234"/>
      <c r="H7636" s="238"/>
      <c r="I7636" s="237"/>
    </row>
    <row r="7637" spans="1:9" s="232" customFormat="1" ht="17" customHeight="1">
      <c r="A7637" s="234"/>
      <c r="B7637" s="233"/>
      <c r="C7637" s="238"/>
      <c r="E7637" s="545"/>
      <c r="F7637" s="546"/>
      <c r="G7637" s="234"/>
      <c r="H7637" s="238"/>
      <c r="I7637" s="237"/>
    </row>
    <row r="7638" spans="1:9" s="232" customFormat="1" ht="17" customHeight="1">
      <c r="A7638" s="234"/>
      <c r="B7638" s="233"/>
      <c r="C7638" s="238"/>
      <c r="E7638" s="545"/>
      <c r="F7638" s="546"/>
      <c r="G7638" s="234"/>
      <c r="H7638" s="238"/>
      <c r="I7638" s="237"/>
    </row>
    <row r="7639" spans="1:9" s="232" customFormat="1" ht="17" customHeight="1">
      <c r="A7639" s="234"/>
      <c r="B7639" s="233"/>
      <c r="C7639" s="238"/>
      <c r="E7639" s="545"/>
      <c r="F7639" s="546"/>
      <c r="G7639" s="234"/>
      <c r="H7639" s="238"/>
      <c r="I7639" s="237"/>
    </row>
    <row r="7640" spans="1:9" s="232" customFormat="1" ht="17" customHeight="1">
      <c r="A7640" s="234"/>
      <c r="B7640" s="233"/>
      <c r="C7640" s="238"/>
      <c r="E7640" s="545"/>
      <c r="F7640" s="546"/>
      <c r="G7640" s="234"/>
      <c r="H7640" s="238"/>
      <c r="I7640" s="237"/>
    </row>
    <row r="7641" spans="1:9" s="232" customFormat="1" ht="17" customHeight="1">
      <c r="A7641" s="234"/>
      <c r="B7641" s="233"/>
      <c r="C7641" s="238"/>
      <c r="E7641" s="545"/>
      <c r="F7641" s="546"/>
      <c r="G7641" s="234"/>
      <c r="H7641" s="238"/>
      <c r="I7641" s="237"/>
    </row>
    <row r="7642" spans="1:9" s="232" customFormat="1" ht="17" customHeight="1">
      <c r="A7642" s="234"/>
      <c r="B7642" s="233"/>
      <c r="C7642" s="238"/>
      <c r="E7642" s="545"/>
      <c r="F7642" s="546"/>
      <c r="G7642" s="234"/>
      <c r="H7642" s="238"/>
      <c r="I7642" s="237"/>
    </row>
    <row r="7643" spans="1:9" s="232" customFormat="1" ht="17" customHeight="1">
      <c r="A7643" s="234"/>
      <c r="B7643" s="233"/>
      <c r="C7643" s="238"/>
      <c r="E7643" s="545"/>
      <c r="F7643" s="546"/>
      <c r="G7643" s="234"/>
      <c r="H7643" s="238"/>
      <c r="I7643" s="237"/>
    </row>
    <row r="7644" spans="1:9" s="232" customFormat="1" ht="17" customHeight="1">
      <c r="A7644" s="234"/>
      <c r="B7644" s="233"/>
      <c r="C7644" s="238"/>
      <c r="E7644" s="545"/>
      <c r="F7644" s="546"/>
      <c r="G7644" s="234"/>
      <c r="H7644" s="238"/>
      <c r="I7644" s="237"/>
    </row>
    <row r="7645" spans="1:9" s="232" customFormat="1" ht="17" customHeight="1">
      <c r="A7645" s="234"/>
      <c r="B7645" s="233"/>
      <c r="C7645" s="238"/>
      <c r="E7645" s="545"/>
      <c r="F7645" s="546"/>
      <c r="G7645" s="234"/>
      <c r="H7645" s="238"/>
      <c r="I7645" s="237"/>
    </row>
    <row r="7646" spans="1:9" s="232" customFormat="1" ht="17" customHeight="1">
      <c r="A7646" s="234"/>
      <c r="B7646" s="233"/>
      <c r="C7646" s="238"/>
      <c r="E7646" s="545"/>
      <c r="F7646" s="546"/>
      <c r="G7646" s="234"/>
      <c r="H7646" s="238"/>
      <c r="I7646" s="237"/>
    </row>
    <row r="7647" spans="1:9" s="232" customFormat="1" ht="17" customHeight="1">
      <c r="A7647" s="234"/>
      <c r="B7647" s="233"/>
      <c r="C7647" s="238"/>
      <c r="E7647" s="545"/>
      <c r="F7647" s="546"/>
      <c r="G7647" s="234"/>
      <c r="H7647" s="238"/>
      <c r="I7647" s="237"/>
    </row>
    <row r="7648" spans="1:9" s="232" customFormat="1" ht="17" customHeight="1">
      <c r="A7648" s="234"/>
      <c r="B7648" s="233"/>
      <c r="C7648" s="238"/>
      <c r="E7648" s="545"/>
      <c r="F7648" s="546"/>
      <c r="G7648" s="234"/>
      <c r="H7648" s="238"/>
      <c r="I7648" s="237"/>
    </row>
    <row r="7649" spans="1:9" s="232" customFormat="1" ht="17" customHeight="1">
      <c r="A7649" s="234"/>
      <c r="B7649" s="233"/>
      <c r="C7649" s="238"/>
      <c r="E7649" s="545"/>
      <c r="F7649" s="546"/>
      <c r="G7649" s="234"/>
      <c r="H7649" s="238"/>
      <c r="I7649" s="237"/>
    </row>
    <row r="7650" spans="1:9" s="232" customFormat="1" ht="17" customHeight="1">
      <c r="A7650" s="234"/>
      <c r="B7650" s="233"/>
      <c r="C7650" s="238"/>
      <c r="E7650" s="545"/>
      <c r="F7650" s="546"/>
      <c r="G7650" s="234"/>
      <c r="H7650" s="238"/>
      <c r="I7650" s="237"/>
    </row>
    <row r="7651" spans="1:9" s="232" customFormat="1" ht="17" customHeight="1">
      <c r="A7651" s="234"/>
      <c r="B7651" s="233"/>
      <c r="C7651" s="238"/>
      <c r="E7651" s="545"/>
      <c r="F7651" s="546"/>
      <c r="G7651" s="234"/>
      <c r="H7651" s="238"/>
      <c r="I7651" s="237"/>
    </row>
    <row r="7652" spans="1:9" s="232" customFormat="1" ht="17" customHeight="1">
      <c r="A7652" s="234"/>
      <c r="B7652" s="233"/>
      <c r="C7652" s="238"/>
      <c r="E7652" s="545"/>
      <c r="F7652" s="546"/>
      <c r="G7652" s="234"/>
      <c r="H7652" s="238"/>
      <c r="I7652" s="237"/>
    </row>
    <row r="7653" spans="1:9" s="232" customFormat="1" ht="17" customHeight="1">
      <c r="A7653" s="234"/>
      <c r="B7653" s="233"/>
      <c r="C7653" s="238"/>
      <c r="E7653" s="545"/>
      <c r="F7653" s="546"/>
      <c r="G7653" s="234"/>
      <c r="H7653" s="238"/>
      <c r="I7653" s="237"/>
    </row>
    <row r="7654" spans="1:9" s="232" customFormat="1" ht="17" customHeight="1">
      <c r="A7654" s="234"/>
      <c r="B7654" s="233"/>
      <c r="C7654" s="238"/>
      <c r="E7654" s="545"/>
      <c r="F7654" s="546"/>
      <c r="G7654" s="234"/>
      <c r="H7654" s="238"/>
      <c r="I7654" s="237"/>
    </row>
    <row r="7655" spans="1:9" s="232" customFormat="1" ht="17" customHeight="1">
      <c r="A7655" s="234"/>
      <c r="B7655" s="233"/>
      <c r="C7655" s="238"/>
      <c r="E7655" s="545"/>
      <c r="F7655" s="546"/>
      <c r="G7655" s="234"/>
      <c r="H7655" s="238"/>
      <c r="I7655" s="237"/>
    </row>
    <row r="7656" spans="1:9" s="232" customFormat="1" ht="17" customHeight="1">
      <c r="A7656" s="234"/>
      <c r="B7656" s="233"/>
      <c r="C7656" s="238"/>
      <c r="E7656" s="545"/>
      <c r="F7656" s="546"/>
      <c r="G7656" s="234"/>
      <c r="H7656" s="238"/>
      <c r="I7656" s="237"/>
    </row>
    <row r="7657" spans="1:9" s="232" customFormat="1" ht="17" customHeight="1">
      <c r="A7657" s="234"/>
      <c r="B7657" s="233"/>
      <c r="C7657" s="238"/>
      <c r="E7657" s="545"/>
      <c r="F7657" s="546"/>
      <c r="G7657" s="234"/>
      <c r="H7657" s="238"/>
      <c r="I7657" s="237"/>
    </row>
    <row r="7658" spans="1:9" s="232" customFormat="1" ht="17" customHeight="1">
      <c r="A7658" s="234"/>
      <c r="B7658" s="233"/>
      <c r="C7658" s="238"/>
      <c r="E7658" s="545"/>
      <c r="F7658" s="546"/>
      <c r="G7658" s="234"/>
      <c r="H7658" s="238"/>
      <c r="I7658" s="237"/>
    </row>
    <row r="7659" spans="1:9" s="232" customFormat="1" ht="17" customHeight="1">
      <c r="A7659" s="234"/>
      <c r="B7659" s="233"/>
      <c r="C7659" s="238"/>
      <c r="E7659" s="545"/>
      <c r="F7659" s="546"/>
      <c r="G7659" s="234"/>
      <c r="H7659" s="238"/>
      <c r="I7659" s="237"/>
    </row>
    <row r="7660" spans="1:9" s="232" customFormat="1" ht="17" customHeight="1">
      <c r="A7660" s="234"/>
      <c r="B7660" s="233"/>
      <c r="C7660" s="238"/>
      <c r="E7660" s="545"/>
      <c r="F7660" s="546"/>
      <c r="G7660" s="234"/>
      <c r="H7660" s="238"/>
      <c r="I7660" s="237"/>
    </row>
    <row r="7661" spans="1:9" s="232" customFormat="1" ht="17" customHeight="1">
      <c r="A7661" s="234"/>
      <c r="B7661" s="233"/>
      <c r="C7661" s="238"/>
      <c r="E7661" s="545"/>
      <c r="F7661" s="546"/>
      <c r="G7661" s="234"/>
      <c r="H7661" s="238"/>
      <c r="I7661" s="237"/>
    </row>
    <row r="7662" spans="1:9" s="232" customFormat="1" ht="17" customHeight="1">
      <c r="A7662" s="234"/>
      <c r="B7662" s="233"/>
      <c r="C7662" s="238"/>
      <c r="E7662" s="545"/>
      <c r="F7662" s="546"/>
      <c r="G7662" s="234"/>
      <c r="H7662" s="238"/>
      <c r="I7662" s="237"/>
    </row>
    <row r="7663" spans="1:9" s="232" customFormat="1" ht="17" customHeight="1">
      <c r="A7663" s="234"/>
      <c r="B7663" s="233"/>
      <c r="C7663" s="238"/>
      <c r="E7663" s="545"/>
      <c r="F7663" s="546"/>
      <c r="G7663" s="234"/>
      <c r="H7663" s="238"/>
      <c r="I7663" s="237"/>
    </row>
    <row r="7664" spans="1:9" s="232" customFormat="1" ht="17" customHeight="1">
      <c r="A7664" s="234"/>
      <c r="B7664" s="233"/>
      <c r="C7664" s="238"/>
      <c r="E7664" s="545"/>
      <c r="F7664" s="546"/>
      <c r="G7664" s="234"/>
      <c r="H7664" s="238"/>
      <c r="I7664" s="237"/>
    </row>
    <row r="7665" spans="1:9" s="232" customFormat="1" ht="17" customHeight="1">
      <c r="A7665" s="234"/>
      <c r="B7665" s="233"/>
      <c r="C7665" s="238"/>
      <c r="E7665" s="545"/>
      <c r="F7665" s="546"/>
      <c r="G7665" s="234"/>
      <c r="H7665" s="238"/>
      <c r="I7665" s="237"/>
    </row>
    <row r="7666" spans="1:9" s="232" customFormat="1" ht="17" customHeight="1">
      <c r="A7666" s="234"/>
      <c r="B7666" s="233"/>
      <c r="C7666" s="238"/>
      <c r="E7666" s="545"/>
      <c r="F7666" s="546"/>
      <c r="G7666" s="234"/>
      <c r="H7666" s="238"/>
      <c r="I7666" s="237"/>
    </row>
    <row r="7667" spans="1:9" s="232" customFormat="1" ht="17" customHeight="1">
      <c r="A7667" s="234"/>
      <c r="B7667" s="233"/>
      <c r="C7667" s="238"/>
      <c r="E7667" s="545"/>
      <c r="F7667" s="546"/>
      <c r="G7667" s="234"/>
      <c r="H7667" s="238"/>
      <c r="I7667" s="237"/>
    </row>
    <row r="7668" spans="1:9" s="232" customFormat="1" ht="17" customHeight="1">
      <c r="A7668" s="234"/>
      <c r="B7668" s="233"/>
      <c r="C7668" s="238"/>
      <c r="E7668" s="545"/>
      <c r="F7668" s="546"/>
      <c r="G7668" s="234"/>
      <c r="H7668" s="238"/>
      <c r="I7668" s="237"/>
    </row>
    <row r="7669" spans="1:9" s="232" customFormat="1" ht="17" customHeight="1">
      <c r="A7669" s="234"/>
      <c r="B7669" s="233"/>
      <c r="C7669" s="238"/>
      <c r="E7669" s="545"/>
      <c r="F7669" s="546"/>
      <c r="G7669" s="234"/>
      <c r="H7669" s="238"/>
      <c r="I7669" s="237"/>
    </row>
    <row r="7670" spans="1:9" s="232" customFormat="1" ht="17" customHeight="1">
      <c r="A7670" s="234"/>
      <c r="B7670" s="233"/>
      <c r="C7670" s="238"/>
      <c r="E7670" s="545"/>
      <c r="F7670" s="546"/>
      <c r="G7670" s="234"/>
      <c r="H7670" s="238"/>
      <c r="I7670" s="237"/>
    </row>
    <row r="7671" spans="1:9" s="232" customFormat="1" ht="17" customHeight="1">
      <c r="A7671" s="234"/>
      <c r="B7671" s="233"/>
      <c r="C7671" s="238"/>
      <c r="E7671" s="545"/>
      <c r="F7671" s="546"/>
      <c r="G7671" s="234"/>
      <c r="H7671" s="238"/>
      <c r="I7671" s="237"/>
    </row>
    <row r="7672" spans="1:9" s="232" customFormat="1" ht="17" customHeight="1">
      <c r="A7672" s="234"/>
      <c r="B7672" s="233"/>
      <c r="C7672" s="238"/>
      <c r="E7672" s="545"/>
      <c r="F7672" s="546"/>
      <c r="G7672" s="234"/>
      <c r="H7672" s="238"/>
      <c r="I7672" s="237"/>
    </row>
    <row r="7673" spans="1:9" s="232" customFormat="1" ht="17" customHeight="1">
      <c r="A7673" s="234"/>
      <c r="B7673" s="233"/>
      <c r="C7673" s="238"/>
      <c r="E7673" s="545"/>
      <c r="F7673" s="546"/>
      <c r="G7673" s="234"/>
      <c r="H7673" s="238"/>
      <c r="I7673" s="237"/>
    </row>
    <row r="7674" spans="1:9" s="232" customFormat="1" ht="17" customHeight="1">
      <c r="A7674" s="234"/>
      <c r="B7674" s="233"/>
      <c r="C7674" s="238"/>
      <c r="E7674" s="545"/>
      <c r="F7674" s="546"/>
      <c r="G7674" s="234"/>
      <c r="H7674" s="238"/>
      <c r="I7674" s="237"/>
    </row>
    <row r="7675" spans="1:9" s="232" customFormat="1" ht="17" customHeight="1">
      <c r="A7675" s="234"/>
      <c r="B7675" s="233"/>
      <c r="C7675" s="238"/>
      <c r="E7675" s="545"/>
      <c r="F7675" s="546"/>
      <c r="G7675" s="234"/>
      <c r="H7675" s="238"/>
      <c r="I7675" s="237"/>
    </row>
    <row r="7676" spans="1:9" s="232" customFormat="1" ht="17" customHeight="1">
      <c r="A7676" s="234"/>
      <c r="B7676" s="233"/>
      <c r="C7676" s="238"/>
      <c r="E7676" s="545"/>
      <c r="F7676" s="546"/>
      <c r="G7676" s="234"/>
      <c r="H7676" s="238"/>
      <c r="I7676" s="237"/>
    </row>
    <row r="7677" spans="1:9" s="232" customFormat="1" ht="17" customHeight="1">
      <c r="A7677" s="234"/>
      <c r="B7677" s="233"/>
      <c r="C7677" s="238"/>
      <c r="E7677" s="545"/>
      <c r="F7677" s="546"/>
      <c r="G7677" s="234"/>
      <c r="H7677" s="238"/>
      <c r="I7677" s="237"/>
    </row>
    <row r="7678" spans="1:9" s="232" customFormat="1" ht="17" customHeight="1">
      <c r="A7678" s="234"/>
      <c r="B7678" s="233"/>
      <c r="C7678" s="238"/>
      <c r="E7678" s="545"/>
      <c r="F7678" s="546"/>
      <c r="G7678" s="234"/>
      <c r="H7678" s="238"/>
      <c r="I7678" s="237"/>
    </row>
    <row r="7679" spans="1:9" s="232" customFormat="1" ht="17" customHeight="1">
      <c r="A7679" s="234"/>
      <c r="B7679" s="233"/>
      <c r="C7679" s="238"/>
      <c r="E7679" s="545"/>
      <c r="F7679" s="546"/>
      <c r="G7679" s="234"/>
      <c r="H7679" s="238"/>
      <c r="I7679" s="237"/>
    </row>
    <row r="7680" spans="1:9" s="232" customFormat="1" ht="17" customHeight="1">
      <c r="A7680" s="234"/>
      <c r="B7680" s="233"/>
      <c r="C7680" s="238"/>
      <c r="E7680" s="545"/>
      <c r="F7680" s="546"/>
      <c r="G7680" s="234"/>
      <c r="H7680" s="238"/>
      <c r="I7680" s="237"/>
    </row>
    <row r="7681" spans="1:9" s="232" customFormat="1" ht="17" customHeight="1">
      <c r="A7681" s="234"/>
      <c r="B7681" s="233"/>
      <c r="C7681" s="238"/>
      <c r="E7681" s="545"/>
      <c r="F7681" s="546"/>
      <c r="G7681" s="234"/>
      <c r="H7681" s="238"/>
      <c r="I7681" s="237"/>
    </row>
    <row r="7682" spans="1:9" s="232" customFormat="1" ht="17" customHeight="1">
      <c r="A7682" s="234"/>
      <c r="B7682" s="233"/>
      <c r="C7682" s="238"/>
      <c r="E7682" s="545"/>
      <c r="F7682" s="546"/>
      <c r="G7682" s="234"/>
      <c r="H7682" s="238"/>
      <c r="I7682" s="237"/>
    </row>
    <row r="7683" spans="1:9" s="232" customFormat="1" ht="17" customHeight="1">
      <c r="A7683" s="234"/>
      <c r="B7683" s="233"/>
      <c r="C7683" s="238"/>
      <c r="E7683" s="545"/>
      <c r="F7683" s="546"/>
      <c r="G7683" s="234"/>
      <c r="H7683" s="238"/>
      <c r="I7683" s="237"/>
    </row>
    <row r="7684" spans="1:9" s="232" customFormat="1" ht="17" customHeight="1">
      <c r="A7684" s="234"/>
      <c r="B7684" s="233"/>
      <c r="C7684" s="238"/>
      <c r="E7684" s="545"/>
      <c r="F7684" s="546"/>
      <c r="G7684" s="234"/>
      <c r="H7684" s="238"/>
      <c r="I7684" s="237"/>
    </row>
    <row r="7685" spans="1:9" s="232" customFormat="1" ht="17" customHeight="1">
      <c r="A7685" s="234"/>
      <c r="B7685" s="233"/>
      <c r="C7685" s="238"/>
      <c r="E7685" s="545"/>
      <c r="F7685" s="546"/>
      <c r="G7685" s="234"/>
      <c r="H7685" s="238"/>
      <c r="I7685" s="237"/>
    </row>
    <row r="7686" spans="1:9" s="232" customFormat="1" ht="17" customHeight="1">
      <c r="A7686" s="234"/>
      <c r="B7686" s="233"/>
      <c r="C7686" s="238"/>
      <c r="E7686" s="545"/>
      <c r="F7686" s="546"/>
      <c r="G7686" s="234"/>
      <c r="H7686" s="238"/>
      <c r="I7686" s="237"/>
    </row>
    <row r="7687" spans="1:9" s="232" customFormat="1" ht="17" customHeight="1">
      <c r="A7687" s="234"/>
      <c r="B7687" s="233"/>
      <c r="C7687" s="238"/>
      <c r="E7687" s="545"/>
      <c r="F7687" s="546"/>
      <c r="G7687" s="234"/>
      <c r="H7687" s="238"/>
      <c r="I7687" s="237"/>
    </row>
    <row r="7688" spans="1:9" s="232" customFormat="1" ht="17" customHeight="1">
      <c r="A7688" s="234"/>
      <c r="B7688" s="233"/>
      <c r="C7688" s="238"/>
      <c r="E7688" s="545"/>
      <c r="F7688" s="546"/>
      <c r="G7688" s="234"/>
      <c r="H7688" s="238"/>
      <c r="I7688" s="237"/>
    </row>
    <row r="7689" spans="1:9" s="232" customFormat="1" ht="17" customHeight="1">
      <c r="A7689" s="234"/>
      <c r="B7689" s="233"/>
      <c r="C7689" s="238"/>
      <c r="E7689" s="545"/>
      <c r="F7689" s="546"/>
      <c r="G7689" s="234"/>
      <c r="H7689" s="238"/>
      <c r="I7689" s="237"/>
    </row>
    <row r="7690" spans="1:9" s="232" customFormat="1" ht="17" customHeight="1">
      <c r="A7690" s="234"/>
      <c r="B7690" s="233"/>
      <c r="C7690" s="238"/>
      <c r="E7690" s="545"/>
      <c r="F7690" s="546"/>
      <c r="G7690" s="234"/>
      <c r="H7690" s="238"/>
      <c r="I7690" s="237"/>
    </row>
    <row r="7691" spans="1:9" s="232" customFormat="1" ht="17" customHeight="1">
      <c r="A7691" s="234"/>
      <c r="B7691" s="233"/>
      <c r="C7691" s="238"/>
      <c r="E7691" s="545"/>
      <c r="F7691" s="546"/>
      <c r="G7691" s="234"/>
      <c r="H7691" s="238"/>
      <c r="I7691" s="237"/>
    </row>
    <row r="7692" spans="1:9" s="232" customFormat="1" ht="17" customHeight="1">
      <c r="A7692" s="234"/>
      <c r="B7692" s="233"/>
      <c r="C7692" s="238"/>
      <c r="E7692" s="545"/>
      <c r="F7692" s="546"/>
      <c r="G7692" s="234"/>
      <c r="H7692" s="238"/>
      <c r="I7692" s="237"/>
    </row>
    <row r="7693" spans="1:9" s="232" customFormat="1" ht="17" customHeight="1">
      <c r="A7693" s="234"/>
      <c r="B7693" s="233"/>
      <c r="C7693" s="238"/>
      <c r="E7693" s="545"/>
      <c r="F7693" s="546"/>
      <c r="G7693" s="234"/>
      <c r="H7693" s="238"/>
      <c r="I7693" s="237"/>
    </row>
    <row r="7694" spans="1:9" s="232" customFormat="1" ht="17" customHeight="1">
      <c r="A7694" s="234"/>
      <c r="B7694" s="233"/>
      <c r="C7694" s="238"/>
      <c r="E7694" s="545"/>
      <c r="F7694" s="546"/>
      <c r="G7694" s="234"/>
      <c r="H7694" s="238"/>
      <c r="I7694" s="237"/>
    </row>
    <row r="7695" spans="1:9" s="232" customFormat="1" ht="17" customHeight="1">
      <c r="A7695" s="234"/>
      <c r="B7695" s="233"/>
      <c r="C7695" s="238"/>
      <c r="E7695" s="545"/>
      <c r="F7695" s="546"/>
      <c r="G7695" s="234"/>
      <c r="H7695" s="238"/>
      <c r="I7695" s="237"/>
    </row>
    <row r="7696" spans="1:9" s="232" customFormat="1" ht="17" customHeight="1">
      <c r="A7696" s="234"/>
      <c r="B7696" s="233"/>
      <c r="C7696" s="238"/>
      <c r="E7696" s="545"/>
      <c r="F7696" s="546"/>
      <c r="G7696" s="234"/>
      <c r="H7696" s="238"/>
      <c r="I7696" s="237"/>
    </row>
    <row r="7697" spans="1:9" s="232" customFormat="1" ht="17" customHeight="1">
      <c r="A7697" s="234"/>
      <c r="B7697" s="233"/>
      <c r="C7697" s="238"/>
      <c r="E7697" s="545"/>
      <c r="F7697" s="546"/>
      <c r="G7697" s="234"/>
      <c r="H7697" s="238"/>
      <c r="I7697" s="237"/>
    </row>
    <row r="7698" spans="1:9" s="232" customFormat="1" ht="17" customHeight="1">
      <c r="A7698" s="234"/>
      <c r="B7698" s="233"/>
      <c r="C7698" s="238"/>
      <c r="E7698" s="545"/>
      <c r="F7698" s="546"/>
      <c r="G7698" s="234"/>
      <c r="H7698" s="238"/>
      <c r="I7698" s="237"/>
    </row>
    <row r="7699" spans="1:9" s="232" customFormat="1" ht="17" customHeight="1">
      <c r="A7699" s="234"/>
      <c r="B7699" s="233"/>
      <c r="C7699" s="238"/>
      <c r="E7699" s="545"/>
      <c r="F7699" s="546"/>
      <c r="G7699" s="234"/>
      <c r="H7699" s="238"/>
      <c r="I7699" s="237"/>
    </row>
    <row r="7700" spans="1:9" s="232" customFormat="1" ht="17" customHeight="1">
      <c r="A7700" s="234"/>
      <c r="B7700" s="233"/>
      <c r="C7700" s="238"/>
      <c r="E7700" s="545"/>
      <c r="F7700" s="546"/>
      <c r="G7700" s="234"/>
      <c r="H7700" s="238"/>
      <c r="I7700" s="237"/>
    </row>
    <row r="7701" spans="1:9" s="232" customFormat="1" ht="17" customHeight="1">
      <c r="A7701" s="234"/>
      <c r="B7701" s="233"/>
      <c r="C7701" s="238"/>
      <c r="E7701" s="545"/>
      <c r="F7701" s="546"/>
      <c r="G7701" s="234"/>
      <c r="H7701" s="238"/>
      <c r="I7701" s="237"/>
    </row>
    <row r="7702" spans="1:9" s="232" customFormat="1" ht="17" customHeight="1">
      <c r="A7702" s="234"/>
      <c r="B7702" s="233"/>
      <c r="C7702" s="238"/>
      <c r="E7702" s="545"/>
      <c r="F7702" s="546"/>
      <c r="G7702" s="234"/>
      <c r="H7702" s="238"/>
      <c r="I7702" s="237"/>
    </row>
    <row r="7703" spans="1:9" s="232" customFormat="1" ht="17" customHeight="1">
      <c r="A7703" s="234"/>
      <c r="B7703" s="233"/>
      <c r="C7703" s="238"/>
      <c r="E7703" s="545"/>
      <c r="F7703" s="546"/>
      <c r="G7703" s="234"/>
      <c r="H7703" s="238"/>
      <c r="I7703" s="237"/>
    </row>
    <row r="7704" spans="1:9" s="232" customFormat="1" ht="17" customHeight="1">
      <c r="A7704" s="234"/>
      <c r="B7704" s="233"/>
      <c r="C7704" s="238"/>
      <c r="E7704" s="545"/>
      <c r="F7704" s="546"/>
      <c r="G7704" s="234"/>
      <c r="H7704" s="238"/>
      <c r="I7704" s="237"/>
    </row>
    <row r="7705" spans="1:9" s="232" customFormat="1" ht="17" customHeight="1">
      <c r="A7705" s="234"/>
      <c r="B7705" s="233"/>
      <c r="C7705" s="238"/>
      <c r="E7705" s="545"/>
      <c r="F7705" s="546"/>
      <c r="G7705" s="234"/>
      <c r="H7705" s="238"/>
      <c r="I7705" s="237"/>
    </row>
    <row r="7706" spans="1:9" s="232" customFormat="1" ht="17" customHeight="1">
      <c r="A7706" s="234"/>
      <c r="B7706" s="233"/>
      <c r="C7706" s="238"/>
      <c r="E7706" s="545"/>
      <c r="F7706" s="546"/>
      <c r="G7706" s="234"/>
      <c r="H7706" s="238"/>
      <c r="I7706" s="237"/>
    </row>
    <row r="7707" spans="1:9" s="232" customFormat="1" ht="17" customHeight="1">
      <c r="A7707" s="234"/>
      <c r="B7707" s="233"/>
      <c r="C7707" s="238"/>
      <c r="E7707" s="545"/>
      <c r="F7707" s="546"/>
      <c r="G7707" s="234"/>
      <c r="H7707" s="238"/>
      <c r="I7707" s="237"/>
    </row>
    <row r="7708" spans="1:9" s="232" customFormat="1" ht="17" customHeight="1">
      <c r="A7708" s="234"/>
      <c r="B7708" s="233"/>
      <c r="C7708" s="238"/>
      <c r="E7708" s="545"/>
      <c r="F7708" s="546"/>
      <c r="G7708" s="234"/>
      <c r="H7708" s="238"/>
      <c r="I7708" s="237"/>
    </row>
    <row r="7709" spans="1:9" s="232" customFormat="1" ht="17" customHeight="1">
      <c r="A7709" s="234"/>
      <c r="B7709" s="233"/>
      <c r="C7709" s="238"/>
      <c r="E7709" s="545"/>
      <c r="F7709" s="546"/>
      <c r="G7709" s="234"/>
      <c r="H7709" s="238"/>
      <c r="I7709" s="237"/>
    </row>
    <row r="7710" spans="1:9" s="232" customFormat="1" ht="17" customHeight="1">
      <c r="A7710" s="234"/>
      <c r="B7710" s="233"/>
      <c r="C7710" s="238"/>
      <c r="E7710" s="545"/>
      <c r="F7710" s="546"/>
      <c r="G7710" s="234"/>
      <c r="H7710" s="238"/>
      <c r="I7710" s="237"/>
    </row>
    <row r="7711" spans="1:9" s="232" customFormat="1" ht="17" customHeight="1">
      <c r="A7711" s="234"/>
      <c r="B7711" s="233"/>
      <c r="C7711" s="238"/>
      <c r="E7711" s="545"/>
      <c r="F7711" s="546"/>
      <c r="G7711" s="234"/>
      <c r="H7711" s="238"/>
      <c r="I7711" s="237"/>
    </row>
    <row r="7712" spans="1:9" s="232" customFormat="1" ht="17" customHeight="1">
      <c r="A7712" s="234"/>
      <c r="B7712" s="233"/>
      <c r="C7712" s="238"/>
      <c r="E7712" s="545"/>
      <c r="F7712" s="546"/>
      <c r="G7712" s="234"/>
      <c r="H7712" s="238"/>
      <c r="I7712" s="237"/>
    </row>
    <row r="7713" spans="1:9" s="232" customFormat="1" ht="17" customHeight="1">
      <c r="A7713" s="234"/>
      <c r="B7713" s="233"/>
      <c r="C7713" s="238"/>
      <c r="E7713" s="545"/>
      <c r="F7713" s="546"/>
      <c r="G7713" s="234"/>
      <c r="H7713" s="238"/>
      <c r="I7713" s="237"/>
    </row>
    <row r="7714" spans="1:9" s="232" customFormat="1" ht="17" customHeight="1">
      <c r="A7714" s="234"/>
      <c r="B7714" s="233"/>
      <c r="C7714" s="238"/>
      <c r="E7714" s="545"/>
      <c r="F7714" s="546"/>
      <c r="G7714" s="234"/>
      <c r="H7714" s="238"/>
      <c r="I7714" s="237"/>
    </row>
    <row r="7715" spans="1:9" s="232" customFormat="1" ht="17" customHeight="1">
      <c r="A7715" s="234"/>
      <c r="B7715" s="233"/>
      <c r="C7715" s="238"/>
      <c r="E7715" s="545"/>
      <c r="F7715" s="546"/>
      <c r="G7715" s="234"/>
      <c r="H7715" s="238"/>
      <c r="I7715" s="237"/>
    </row>
    <row r="7716" spans="1:9" s="232" customFormat="1" ht="17" customHeight="1">
      <c r="A7716" s="234"/>
      <c r="B7716" s="233"/>
      <c r="C7716" s="238"/>
      <c r="E7716" s="545"/>
      <c r="F7716" s="546"/>
      <c r="G7716" s="234"/>
      <c r="H7716" s="238"/>
      <c r="I7716" s="237"/>
    </row>
    <row r="7717" spans="1:9" s="232" customFormat="1" ht="17" customHeight="1">
      <c r="A7717" s="234"/>
      <c r="B7717" s="233"/>
      <c r="C7717" s="238"/>
      <c r="E7717" s="545"/>
      <c r="F7717" s="546"/>
      <c r="G7717" s="234"/>
      <c r="H7717" s="238"/>
      <c r="I7717" s="237"/>
    </row>
    <row r="7718" spans="1:9" s="232" customFormat="1" ht="17" customHeight="1">
      <c r="A7718" s="234"/>
      <c r="B7718" s="233"/>
      <c r="C7718" s="238"/>
      <c r="E7718" s="545"/>
      <c r="F7718" s="546"/>
      <c r="G7718" s="234"/>
      <c r="H7718" s="238"/>
      <c r="I7718" s="237"/>
    </row>
    <row r="7719" spans="1:9" s="232" customFormat="1" ht="17" customHeight="1">
      <c r="A7719" s="234"/>
      <c r="B7719" s="233"/>
      <c r="C7719" s="238"/>
      <c r="E7719" s="545"/>
      <c r="F7719" s="546"/>
      <c r="G7719" s="234"/>
      <c r="H7719" s="238"/>
      <c r="I7719" s="237"/>
    </row>
    <row r="7720" spans="1:9" s="232" customFormat="1" ht="17" customHeight="1">
      <c r="A7720" s="234"/>
      <c r="B7720" s="233"/>
      <c r="C7720" s="238"/>
      <c r="E7720" s="545"/>
      <c r="F7720" s="546"/>
      <c r="G7720" s="234"/>
      <c r="H7720" s="238"/>
      <c r="I7720" s="237"/>
    </row>
    <row r="7721" spans="1:9" s="232" customFormat="1" ht="17" customHeight="1">
      <c r="A7721" s="234"/>
      <c r="B7721" s="233"/>
      <c r="C7721" s="238"/>
      <c r="E7721" s="545"/>
      <c r="F7721" s="546"/>
      <c r="G7721" s="234"/>
      <c r="H7721" s="238"/>
      <c r="I7721" s="237"/>
    </row>
    <row r="7722" spans="1:9" s="232" customFormat="1" ht="17" customHeight="1">
      <c r="A7722" s="234"/>
      <c r="B7722" s="233"/>
      <c r="C7722" s="238"/>
      <c r="E7722" s="545"/>
      <c r="F7722" s="546"/>
      <c r="G7722" s="234"/>
      <c r="H7722" s="238"/>
      <c r="I7722" s="237"/>
    </row>
    <row r="7723" spans="1:9" s="232" customFormat="1" ht="17" customHeight="1">
      <c r="A7723" s="234"/>
      <c r="B7723" s="233"/>
      <c r="C7723" s="238"/>
      <c r="E7723" s="545"/>
      <c r="F7723" s="546"/>
      <c r="G7723" s="234"/>
      <c r="H7723" s="238"/>
      <c r="I7723" s="237"/>
    </row>
    <row r="7724" spans="1:9" s="232" customFormat="1" ht="17" customHeight="1">
      <c r="A7724" s="234"/>
      <c r="B7724" s="233"/>
      <c r="C7724" s="238"/>
      <c r="E7724" s="545"/>
      <c r="F7724" s="546"/>
      <c r="G7724" s="234"/>
      <c r="H7724" s="238"/>
      <c r="I7724" s="237"/>
    </row>
    <row r="7725" spans="1:9" s="232" customFormat="1" ht="17" customHeight="1">
      <c r="A7725" s="234"/>
      <c r="B7725" s="233"/>
      <c r="C7725" s="238"/>
      <c r="E7725" s="545"/>
      <c r="F7725" s="546"/>
      <c r="G7725" s="234"/>
      <c r="H7725" s="238"/>
      <c r="I7725" s="237"/>
    </row>
    <row r="7726" spans="1:9" s="232" customFormat="1" ht="17" customHeight="1">
      <c r="A7726" s="234"/>
      <c r="B7726" s="233"/>
      <c r="C7726" s="238"/>
      <c r="E7726" s="545"/>
      <c r="F7726" s="546"/>
      <c r="G7726" s="234"/>
      <c r="H7726" s="238"/>
      <c r="I7726" s="237"/>
    </row>
    <row r="7727" spans="1:9" s="232" customFormat="1" ht="17" customHeight="1">
      <c r="A7727" s="234"/>
      <c r="B7727" s="233"/>
      <c r="C7727" s="238"/>
      <c r="E7727" s="545"/>
      <c r="F7727" s="546"/>
      <c r="G7727" s="234"/>
      <c r="H7727" s="238"/>
      <c r="I7727" s="237"/>
    </row>
    <row r="7728" spans="1:9" s="232" customFormat="1" ht="17" customHeight="1">
      <c r="A7728" s="234"/>
      <c r="B7728" s="233"/>
      <c r="C7728" s="238"/>
      <c r="E7728" s="545"/>
      <c r="F7728" s="546"/>
      <c r="G7728" s="234"/>
      <c r="H7728" s="238"/>
      <c r="I7728" s="237"/>
    </row>
    <row r="7729" spans="1:9" s="232" customFormat="1" ht="17" customHeight="1">
      <c r="A7729" s="234"/>
      <c r="B7729" s="233"/>
      <c r="C7729" s="238"/>
      <c r="E7729" s="545"/>
      <c r="F7729" s="546"/>
      <c r="G7729" s="234"/>
      <c r="H7729" s="238"/>
      <c r="I7729" s="237"/>
    </row>
    <row r="7730" spans="1:9" s="232" customFormat="1" ht="17" customHeight="1">
      <c r="A7730" s="234"/>
      <c r="B7730" s="233"/>
      <c r="C7730" s="238"/>
      <c r="E7730" s="545"/>
      <c r="F7730" s="546"/>
      <c r="G7730" s="234"/>
      <c r="H7730" s="238"/>
      <c r="I7730" s="237"/>
    </row>
    <row r="7731" spans="1:9" s="232" customFormat="1" ht="17" customHeight="1">
      <c r="A7731" s="234"/>
      <c r="B7731" s="233"/>
      <c r="C7731" s="238"/>
      <c r="E7731" s="545"/>
      <c r="F7731" s="546"/>
      <c r="G7731" s="234"/>
      <c r="H7731" s="238"/>
      <c r="I7731" s="237"/>
    </row>
    <row r="7732" spans="1:9" s="232" customFormat="1" ht="17" customHeight="1">
      <c r="A7732" s="234"/>
      <c r="B7732" s="233"/>
      <c r="C7732" s="238"/>
      <c r="E7732" s="545"/>
      <c r="F7732" s="546"/>
      <c r="G7732" s="234"/>
      <c r="H7732" s="238"/>
      <c r="I7732" s="237"/>
    </row>
    <row r="7733" spans="1:9" s="232" customFormat="1" ht="17" customHeight="1">
      <c r="A7733" s="234"/>
      <c r="B7733" s="233"/>
      <c r="C7733" s="238"/>
      <c r="E7733" s="545"/>
      <c r="F7733" s="546"/>
      <c r="G7733" s="234"/>
      <c r="H7733" s="238"/>
      <c r="I7733" s="237"/>
    </row>
    <row r="7734" spans="1:9" s="232" customFormat="1" ht="17" customHeight="1">
      <c r="A7734" s="234"/>
      <c r="B7734" s="233"/>
      <c r="C7734" s="238"/>
      <c r="E7734" s="545"/>
      <c r="F7734" s="546"/>
      <c r="G7734" s="234"/>
      <c r="H7734" s="238"/>
      <c r="I7734" s="237"/>
    </row>
    <row r="7735" spans="1:9" s="232" customFormat="1" ht="17" customHeight="1">
      <c r="A7735" s="234"/>
      <c r="B7735" s="233"/>
      <c r="C7735" s="238"/>
      <c r="E7735" s="545"/>
      <c r="F7735" s="546"/>
      <c r="G7735" s="234"/>
      <c r="H7735" s="238"/>
      <c r="I7735" s="237"/>
    </row>
    <row r="7736" spans="1:9" s="232" customFormat="1" ht="17" customHeight="1">
      <c r="A7736" s="234"/>
      <c r="B7736" s="233"/>
      <c r="C7736" s="238"/>
      <c r="E7736" s="545"/>
      <c r="F7736" s="546"/>
      <c r="G7736" s="234"/>
      <c r="H7736" s="238"/>
      <c r="I7736" s="237"/>
    </row>
    <row r="7737" spans="1:9" s="232" customFormat="1" ht="17" customHeight="1">
      <c r="A7737" s="234"/>
      <c r="B7737" s="233"/>
      <c r="C7737" s="238"/>
      <c r="E7737" s="545"/>
      <c r="F7737" s="546"/>
      <c r="G7737" s="234"/>
      <c r="H7737" s="238"/>
      <c r="I7737" s="237"/>
    </row>
    <row r="7738" spans="1:9" s="232" customFormat="1" ht="17" customHeight="1">
      <c r="A7738" s="234"/>
      <c r="B7738" s="233"/>
      <c r="C7738" s="238"/>
      <c r="E7738" s="545"/>
      <c r="F7738" s="546"/>
      <c r="G7738" s="234"/>
      <c r="H7738" s="238"/>
      <c r="I7738" s="237"/>
    </row>
    <row r="7739" spans="1:9" s="232" customFormat="1" ht="17" customHeight="1">
      <c r="A7739" s="234"/>
      <c r="B7739" s="233"/>
      <c r="C7739" s="238"/>
      <c r="E7739" s="545"/>
      <c r="F7739" s="546"/>
      <c r="G7739" s="234"/>
      <c r="H7739" s="238"/>
      <c r="I7739" s="237"/>
    </row>
    <row r="7740" spans="1:9" s="232" customFormat="1" ht="17" customHeight="1">
      <c r="A7740" s="234"/>
      <c r="B7740" s="233"/>
      <c r="C7740" s="238"/>
      <c r="E7740" s="545"/>
      <c r="F7740" s="546"/>
      <c r="G7740" s="234"/>
      <c r="H7740" s="238"/>
      <c r="I7740" s="237"/>
    </row>
    <row r="7741" spans="1:9" s="232" customFormat="1" ht="17" customHeight="1">
      <c r="A7741" s="234"/>
      <c r="B7741" s="233"/>
      <c r="C7741" s="238"/>
      <c r="E7741" s="545"/>
      <c r="F7741" s="546"/>
      <c r="G7741" s="234"/>
      <c r="H7741" s="238"/>
      <c r="I7741" s="237"/>
    </row>
    <row r="7742" spans="1:9" s="232" customFormat="1" ht="17" customHeight="1">
      <c r="A7742" s="234"/>
      <c r="B7742" s="233"/>
      <c r="C7742" s="238"/>
      <c r="E7742" s="545"/>
      <c r="F7742" s="546"/>
      <c r="G7742" s="234"/>
      <c r="H7742" s="238"/>
      <c r="I7742" s="237"/>
    </row>
    <row r="7743" spans="1:9" s="232" customFormat="1" ht="17" customHeight="1">
      <c r="A7743" s="234"/>
      <c r="B7743" s="233"/>
      <c r="C7743" s="238"/>
      <c r="E7743" s="545"/>
      <c r="F7743" s="546"/>
      <c r="G7743" s="234"/>
      <c r="H7743" s="238"/>
      <c r="I7743" s="237"/>
    </row>
    <row r="7744" spans="1:9" s="232" customFormat="1" ht="17" customHeight="1">
      <c r="A7744" s="234"/>
      <c r="B7744" s="233"/>
      <c r="C7744" s="238"/>
      <c r="E7744" s="545"/>
      <c r="F7744" s="546"/>
      <c r="G7744" s="234"/>
      <c r="H7744" s="238"/>
      <c r="I7744" s="237"/>
    </row>
    <row r="7745" spans="1:9" s="232" customFormat="1" ht="17" customHeight="1">
      <c r="A7745" s="234"/>
      <c r="B7745" s="233"/>
      <c r="C7745" s="238"/>
      <c r="E7745" s="545"/>
      <c r="F7745" s="546"/>
      <c r="G7745" s="234"/>
      <c r="H7745" s="238"/>
      <c r="I7745" s="237"/>
    </row>
    <row r="7746" spans="1:9" s="232" customFormat="1" ht="17" customHeight="1">
      <c r="A7746" s="234"/>
      <c r="B7746" s="233"/>
      <c r="C7746" s="238"/>
      <c r="E7746" s="545"/>
      <c r="F7746" s="546"/>
      <c r="G7746" s="234"/>
      <c r="H7746" s="238"/>
      <c r="I7746" s="237"/>
    </row>
    <row r="7747" spans="1:9" s="232" customFormat="1" ht="17" customHeight="1">
      <c r="A7747" s="234"/>
      <c r="B7747" s="233"/>
      <c r="C7747" s="238"/>
      <c r="E7747" s="545"/>
      <c r="F7747" s="546"/>
      <c r="G7747" s="234"/>
      <c r="H7747" s="238"/>
      <c r="I7747" s="237"/>
    </row>
    <row r="7748" spans="1:9" s="232" customFormat="1" ht="17" customHeight="1">
      <c r="A7748" s="234"/>
      <c r="B7748" s="233"/>
      <c r="C7748" s="238"/>
      <c r="E7748" s="545"/>
      <c r="F7748" s="546"/>
      <c r="G7748" s="234"/>
      <c r="H7748" s="238"/>
      <c r="I7748" s="237"/>
    </row>
    <row r="7749" spans="1:9" s="232" customFormat="1" ht="17" customHeight="1">
      <c r="A7749" s="234"/>
      <c r="B7749" s="233"/>
      <c r="C7749" s="238"/>
      <c r="E7749" s="545"/>
      <c r="F7749" s="546"/>
      <c r="G7749" s="234"/>
      <c r="H7749" s="238"/>
      <c r="I7749" s="237"/>
    </row>
    <row r="7750" spans="1:9" s="232" customFormat="1" ht="17" customHeight="1">
      <c r="A7750" s="234"/>
      <c r="B7750" s="233"/>
      <c r="C7750" s="238"/>
      <c r="E7750" s="545"/>
      <c r="F7750" s="546"/>
      <c r="G7750" s="234"/>
      <c r="H7750" s="238"/>
      <c r="I7750" s="237"/>
    </row>
    <row r="7751" spans="1:9" s="232" customFormat="1" ht="17" customHeight="1">
      <c r="A7751" s="234"/>
      <c r="B7751" s="233"/>
      <c r="C7751" s="238"/>
      <c r="E7751" s="545"/>
      <c r="F7751" s="546"/>
      <c r="G7751" s="234"/>
      <c r="H7751" s="238"/>
      <c r="I7751" s="237"/>
    </row>
    <row r="7752" spans="1:9" s="232" customFormat="1" ht="17" customHeight="1">
      <c r="A7752" s="234"/>
      <c r="B7752" s="233"/>
      <c r="C7752" s="238"/>
      <c r="E7752" s="545"/>
      <c r="F7752" s="546"/>
      <c r="G7752" s="234"/>
      <c r="H7752" s="238"/>
      <c r="I7752" s="237"/>
    </row>
    <row r="7753" spans="1:9" s="232" customFormat="1" ht="17" customHeight="1">
      <c r="A7753" s="234"/>
      <c r="B7753" s="233"/>
      <c r="C7753" s="238"/>
      <c r="E7753" s="545"/>
      <c r="F7753" s="546"/>
      <c r="G7753" s="234"/>
      <c r="H7753" s="238"/>
      <c r="I7753" s="237"/>
    </row>
    <row r="7754" spans="1:9" s="232" customFormat="1" ht="17" customHeight="1">
      <c r="A7754" s="234"/>
      <c r="B7754" s="233"/>
      <c r="C7754" s="238"/>
      <c r="E7754" s="545"/>
      <c r="F7754" s="546"/>
      <c r="G7754" s="234"/>
      <c r="H7754" s="238"/>
      <c r="I7754" s="237"/>
    </row>
    <row r="7755" spans="1:9" s="232" customFormat="1" ht="17" customHeight="1">
      <c r="A7755" s="234"/>
      <c r="B7755" s="233"/>
      <c r="C7755" s="238"/>
      <c r="E7755" s="545"/>
      <c r="F7755" s="546"/>
      <c r="G7755" s="234"/>
      <c r="H7755" s="238"/>
      <c r="I7755" s="237"/>
    </row>
    <row r="7756" spans="1:9" s="232" customFormat="1" ht="17" customHeight="1">
      <c r="A7756" s="234"/>
      <c r="B7756" s="233"/>
      <c r="C7756" s="238"/>
      <c r="E7756" s="545"/>
      <c r="F7756" s="546"/>
      <c r="G7756" s="234"/>
      <c r="H7756" s="238"/>
      <c r="I7756" s="237"/>
    </row>
    <row r="7757" spans="1:9" s="232" customFormat="1" ht="17" customHeight="1">
      <c r="A7757" s="234"/>
      <c r="B7757" s="233"/>
      <c r="C7757" s="238"/>
      <c r="E7757" s="545"/>
      <c r="F7757" s="546"/>
      <c r="G7757" s="234"/>
      <c r="H7757" s="238"/>
      <c r="I7757" s="237"/>
    </row>
    <row r="7758" spans="1:9" s="232" customFormat="1" ht="17" customHeight="1">
      <c r="A7758" s="234"/>
      <c r="B7758" s="233"/>
      <c r="C7758" s="238"/>
      <c r="E7758" s="545"/>
      <c r="F7758" s="546"/>
      <c r="G7758" s="234"/>
      <c r="H7758" s="238"/>
      <c r="I7758" s="237"/>
    </row>
    <row r="7759" spans="1:9" s="232" customFormat="1" ht="17" customHeight="1">
      <c r="A7759" s="234"/>
      <c r="B7759" s="233"/>
      <c r="C7759" s="238"/>
      <c r="E7759" s="545"/>
      <c r="F7759" s="546"/>
      <c r="G7759" s="234"/>
      <c r="H7759" s="238"/>
      <c r="I7759" s="237"/>
    </row>
    <row r="7760" spans="1:9" s="232" customFormat="1" ht="17" customHeight="1">
      <c r="A7760" s="234"/>
      <c r="B7760" s="233"/>
      <c r="C7760" s="238"/>
      <c r="E7760" s="545"/>
      <c r="F7760" s="546"/>
      <c r="G7760" s="234"/>
      <c r="H7760" s="238"/>
      <c r="I7760" s="237"/>
    </row>
    <row r="7761" spans="1:9" s="232" customFormat="1" ht="17" customHeight="1">
      <c r="A7761" s="234"/>
      <c r="B7761" s="233"/>
      <c r="C7761" s="238"/>
      <c r="E7761" s="545"/>
      <c r="F7761" s="546"/>
      <c r="G7761" s="234"/>
      <c r="H7761" s="238"/>
      <c r="I7761" s="237"/>
    </row>
    <row r="7762" spans="1:9" s="232" customFormat="1" ht="17" customHeight="1">
      <c r="A7762" s="234"/>
      <c r="B7762" s="233"/>
      <c r="C7762" s="238"/>
      <c r="E7762" s="545"/>
      <c r="F7762" s="546"/>
      <c r="G7762" s="234"/>
      <c r="H7762" s="238"/>
      <c r="I7762" s="237"/>
    </row>
    <row r="7763" spans="1:9" s="232" customFormat="1" ht="17" customHeight="1">
      <c r="A7763" s="234"/>
      <c r="B7763" s="233"/>
      <c r="C7763" s="238"/>
      <c r="E7763" s="545"/>
      <c r="F7763" s="546"/>
      <c r="G7763" s="234"/>
      <c r="H7763" s="238"/>
      <c r="I7763" s="237"/>
    </row>
    <row r="7764" spans="1:9" s="232" customFormat="1" ht="17" customHeight="1">
      <c r="A7764" s="234"/>
      <c r="B7764" s="233"/>
      <c r="C7764" s="238"/>
      <c r="E7764" s="545"/>
      <c r="F7764" s="546"/>
      <c r="G7764" s="234"/>
      <c r="H7764" s="238"/>
      <c r="I7764" s="237"/>
    </row>
    <row r="7765" spans="1:9" s="232" customFormat="1" ht="17" customHeight="1">
      <c r="A7765" s="234"/>
      <c r="B7765" s="233"/>
      <c r="C7765" s="238"/>
      <c r="E7765" s="545"/>
      <c r="F7765" s="546"/>
      <c r="G7765" s="234"/>
      <c r="H7765" s="238"/>
      <c r="I7765" s="237"/>
    </row>
    <row r="7766" spans="1:9" s="232" customFormat="1" ht="17" customHeight="1">
      <c r="A7766" s="234"/>
      <c r="B7766" s="233"/>
      <c r="C7766" s="238"/>
      <c r="E7766" s="545"/>
      <c r="F7766" s="546"/>
      <c r="G7766" s="234"/>
      <c r="H7766" s="238"/>
      <c r="I7766" s="237"/>
    </row>
    <row r="7767" spans="1:9" s="232" customFormat="1" ht="17" customHeight="1">
      <c r="A7767" s="234"/>
      <c r="B7767" s="233"/>
      <c r="C7767" s="238"/>
      <c r="E7767" s="545"/>
      <c r="F7767" s="546"/>
      <c r="G7767" s="234"/>
      <c r="H7767" s="238"/>
      <c r="I7767" s="237"/>
    </row>
    <row r="7768" spans="1:9" s="232" customFormat="1" ht="17" customHeight="1">
      <c r="A7768" s="234"/>
      <c r="B7768" s="233"/>
      <c r="C7768" s="238"/>
      <c r="E7768" s="545"/>
      <c r="F7768" s="546"/>
      <c r="G7768" s="234"/>
      <c r="H7768" s="238"/>
      <c r="I7768" s="237"/>
    </row>
    <row r="7769" spans="1:9" s="232" customFormat="1" ht="17" customHeight="1">
      <c r="A7769" s="234"/>
      <c r="B7769" s="233"/>
      <c r="C7769" s="238"/>
      <c r="E7769" s="545"/>
      <c r="F7769" s="546"/>
      <c r="G7769" s="234"/>
      <c r="H7769" s="238"/>
      <c r="I7769" s="237"/>
    </row>
    <row r="7770" spans="1:9" s="232" customFormat="1" ht="17" customHeight="1">
      <c r="A7770" s="234"/>
      <c r="B7770" s="233"/>
      <c r="C7770" s="238"/>
      <c r="E7770" s="545"/>
      <c r="F7770" s="546"/>
      <c r="G7770" s="234"/>
      <c r="H7770" s="238"/>
      <c r="I7770" s="237"/>
    </row>
    <row r="7771" spans="1:9" s="232" customFormat="1" ht="17" customHeight="1">
      <c r="A7771" s="234"/>
      <c r="B7771" s="233"/>
      <c r="C7771" s="238"/>
      <c r="E7771" s="545"/>
      <c r="F7771" s="546"/>
      <c r="G7771" s="234"/>
      <c r="H7771" s="238"/>
      <c r="I7771" s="237"/>
    </row>
    <row r="7772" spans="1:9" s="232" customFormat="1" ht="17" customHeight="1">
      <c r="A7772" s="234"/>
      <c r="B7772" s="233"/>
      <c r="C7772" s="238"/>
      <c r="E7772" s="545"/>
      <c r="F7772" s="546"/>
      <c r="G7772" s="234"/>
      <c r="H7772" s="238"/>
      <c r="I7772" s="237"/>
    </row>
    <row r="7773" spans="1:9" s="232" customFormat="1" ht="17" customHeight="1">
      <c r="A7773" s="234"/>
      <c r="B7773" s="233"/>
      <c r="C7773" s="238"/>
      <c r="E7773" s="545"/>
      <c r="F7773" s="546"/>
      <c r="G7773" s="234"/>
      <c r="H7773" s="238"/>
      <c r="I7773" s="237"/>
    </row>
    <row r="7774" spans="1:9" s="232" customFormat="1" ht="17" customHeight="1">
      <c r="A7774" s="234"/>
      <c r="B7774" s="233"/>
      <c r="C7774" s="238"/>
      <c r="E7774" s="545"/>
      <c r="F7774" s="546"/>
      <c r="G7774" s="234"/>
      <c r="H7774" s="238"/>
      <c r="I7774" s="237"/>
    </row>
    <row r="7775" spans="1:9" s="232" customFormat="1" ht="17" customHeight="1">
      <c r="A7775" s="234"/>
      <c r="B7775" s="233"/>
      <c r="C7775" s="238"/>
      <c r="E7775" s="545"/>
      <c r="F7775" s="546"/>
      <c r="G7775" s="234"/>
      <c r="H7775" s="238"/>
      <c r="I7775" s="237"/>
    </row>
    <row r="7776" spans="1:9" s="232" customFormat="1" ht="17" customHeight="1">
      <c r="A7776" s="234"/>
      <c r="B7776" s="233"/>
      <c r="C7776" s="238"/>
      <c r="E7776" s="545"/>
      <c r="F7776" s="546"/>
      <c r="G7776" s="234"/>
      <c r="H7776" s="238"/>
      <c r="I7776" s="237"/>
    </row>
    <row r="7777" spans="1:9" s="232" customFormat="1" ht="17" customHeight="1">
      <c r="A7777" s="234"/>
      <c r="B7777" s="233"/>
      <c r="C7777" s="238"/>
      <c r="E7777" s="545"/>
      <c r="F7777" s="546"/>
      <c r="G7777" s="234"/>
      <c r="H7777" s="238"/>
      <c r="I7777" s="237"/>
    </row>
    <row r="7778" spans="1:9" s="232" customFormat="1" ht="17" customHeight="1">
      <c r="A7778" s="234"/>
      <c r="B7778" s="233"/>
      <c r="C7778" s="238"/>
      <c r="E7778" s="545"/>
      <c r="F7778" s="546"/>
      <c r="G7778" s="234"/>
      <c r="H7778" s="238"/>
      <c r="I7778" s="237"/>
    </row>
    <row r="7779" spans="1:9" s="232" customFormat="1" ht="17" customHeight="1">
      <c r="A7779" s="234"/>
      <c r="B7779" s="233"/>
      <c r="C7779" s="238"/>
      <c r="E7779" s="545"/>
      <c r="F7779" s="546"/>
      <c r="G7779" s="234"/>
      <c r="H7779" s="238"/>
      <c r="I7779" s="237"/>
    </row>
    <row r="7780" spans="1:9" s="232" customFormat="1" ht="17" customHeight="1">
      <c r="A7780" s="234"/>
      <c r="B7780" s="233"/>
      <c r="C7780" s="238"/>
      <c r="E7780" s="545"/>
      <c r="F7780" s="546"/>
      <c r="G7780" s="234"/>
      <c r="H7780" s="238"/>
      <c r="I7780" s="237"/>
    </row>
    <row r="7781" spans="1:9" s="232" customFormat="1" ht="17" customHeight="1">
      <c r="A7781" s="234"/>
      <c r="B7781" s="233"/>
      <c r="C7781" s="238"/>
      <c r="E7781" s="545"/>
      <c r="F7781" s="546"/>
      <c r="G7781" s="234"/>
      <c r="H7781" s="238"/>
      <c r="I7781" s="237"/>
    </row>
    <row r="7782" spans="1:9" s="232" customFormat="1" ht="17" customHeight="1">
      <c r="A7782" s="234"/>
      <c r="B7782" s="233"/>
      <c r="C7782" s="238"/>
      <c r="E7782" s="545"/>
      <c r="F7782" s="546"/>
      <c r="G7782" s="234"/>
      <c r="H7782" s="238"/>
      <c r="I7782" s="237"/>
    </row>
    <row r="7783" spans="1:9" s="232" customFormat="1" ht="17" customHeight="1">
      <c r="A7783" s="234"/>
      <c r="B7783" s="233"/>
      <c r="C7783" s="238"/>
      <c r="E7783" s="545"/>
      <c r="F7783" s="546"/>
      <c r="G7783" s="234"/>
      <c r="H7783" s="238"/>
      <c r="I7783" s="237"/>
    </row>
    <row r="7784" spans="1:9" s="232" customFormat="1" ht="17" customHeight="1">
      <c r="A7784" s="234"/>
      <c r="B7784" s="233"/>
      <c r="C7784" s="238"/>
      <c r="E7784" s="545"/>
      <c r="F7784" s="546"/>
      <c r="G7784" s="234"/>
      <c r="H7784" s="238"/>
      <c r="I7784" s="237"/>
    </row>
    <row r="7785" spans="1:9" s="232" customFormat="1" ht="17" customHeight="1">
      <c r="A7785" s="234"/>
      <c r="B7785" s="233"/>
      <c r="C7785" s="238"/>
      <c r="E7785" s="545"/>
      <c r="F7785" s="546"/>
      <c r="G7785" s="234"/>
      <c r="H7785" s="238"/>
      <c r="I7785" s="237"/>
    </row>
    <row r="7786" spans="1:9" s="232" customFormat="1" ht="17" customHeight="1">
      <c r="A7786" s="234"/>
      <c r="B7786" s="233"/>
      <c r="C7786" s="238"/>
      <c r="E7786" s="545"/>
      <c r="F7786" s="546"/>
      <c r="G7786" s="234"/>
      <c r="H7786" s="238"/>
      <c r="I7786" s="237"/>
    </row>
    <row r="7787" spans="1:9" s="232" customFormat="1" ht="17" customHeight="1">
      <c r="A7787" s="234"/>
      <c r="B7787" s="233"/>
      <c r="C7787" s="238"/>
      <c r="E7787" s="545"/>
      <c r="F7787" s="546"/>
      <c r="G7787" s="234"/>
      <c r="H7787" s="238"/>
      <c r="I7787" s="237"/>
    </row>
    <row r="7788" spans="1:9" s="232" customFormat="1" ht="17" customHeight="1">
      <c r="A7788" s="234"/>
      <c r="B7788" s="233"/>
      <c r="C7788" s="238"/>
      <c r="E7788" s="545"/>
      <c r="F7788" s="546"/>
      <c r="G7788" s="234"/>
      <c r="H7788" s="238"/>
      <c r="I7788" s="237"/>
    </row>
    <row r="7789" spans="1:9" s="232" customFormat="1" ht="17" customHeight="1">
      <c r="A7789" s="234"/>
      <c r="B7789" s="233"/>
      <c r="C7789" s="238"/>
      <c r="E7789" s="545"/>
      <c r="F7789" s="546"/>
      <c r="G7789" s="234"/>
      <c r="H7789" s="238"/>
      <c r="I7789" s="237"/>
    </row>
    <row r="7790" spans="1:9" s="232" customFormat="1" ht="17" customHeight="1">
      <c r="A7790" s="234"/>
      <c r="B7790" s="233"/>
      <c r="C7790" s="238"/>
      <c r="E7790" s="545"/>
      <c r="F7790" s="546"/>
      <c r="G7790" s="234"/>
      <c r="H7790" s="238"/>
      <c r="I7790" s="237"/>
    </row>
    <row r="7791" spans="1:9" s="232" customFormat="1" ht="17" customHeight="1">
      <c r="A7791" s="234"/>
      <c r="B7791" s="233"/>
      <c r="C7791" s="238"/>
      <c r="E7791" s="545"/>
      <c r="F7791" s="546"/>
      <c r="G7791" s="234"/>
      <c r="H7791" s="238"/>
      <c r="I7791" s="237"/>
    </row>
    <row r="7792" spans="1:9" s="232" customFormat="1" ht="17" customHeight="1">
      <c r="A7792" s="234"/>
      <c r="B7792" s="233"/>
      <c r="C7792" s="238"/>
      <c r="E7792" s="545"/>
      <c r="F7792" s="546"/>
      <c r="G7792" s="234"/>
      <c r="H7792" s="238"/>
      <c r="I7792" s="237"/>
    </row>
    <row r="7793" spans="1:9" s="232" customFormat="1" ht="17" customHeight="1">
      <c r="A7793" s="234"/>
      <c r="B7793" s="233"/>
      <c r="C7793" s="238"/>
      <c r="E7793" s="545"/>
      <c r="F7793" s="546"/>
      <c r="G7793" s="234"/>
      <c r="H7793" s="238"/>
      <c r="I7793" s="237"/>
    </row>
    <row r="7794" spans="1:9" s="232" customFormat="1" ht="17" customHeight="1">
      <c r="A7794" s="234"/>
      <c r="B7794" s="233"/>
      <c r="C7794" s="238"/>
      <c r="E7794" s="545"/>
      <c r="F7794" s="546"/>
      <c r="G7794" s="234"/>
      <c r="H7794" s="238"/>
      <c r="I7794" s="237"/>
    </row>
    <row r="7795" spans="1:9" s="232" customFormat="1" ht="17" customHeight="1">
      <c r="A7795" s="234"/>
      <c r="B7795" s="233"/>
      <c r="C7795" s="238"/>
      <c r="E7795" s="545"/>
      <c r="F7795" s="546"/>
      <c r="G7795" s="234"/>
      <c r="H7795" s="238"/>
      <c r="I7795" s="237"/>
    </row>
    <row r="7796" spans="1:9" s="232" customFormat="1" ht="17" customHeight="1">
      <c r="A7796" s="234"/>
      <c r="B7796" s="233"/>
      <c r="C7796" s="238"/>
      <c r="E7796" s="545"/>
      <c r="F7796" s="546"/>
      <c r="G7796" s="234"/>
      <c r="H7796" s="238"/>
      <c r="I7796" s="237"/>
    </row>
    <row r="7797" spans="1:9" s="232" customFormat="1" ht="17" customHeight="1">
      <c r="A7797" s="234"/>
      <c r="B7797" s="233"/>
      <c r="C7797" s="238"/>
      <c r="E7797" s="545"/>
      <c r="F7797" s="546"/>
      <c r="G7797" s="234"/>
      <c r="H7797" s="238"/>
      <c r="I7797" s="237"/>
    </row>
    <row r="7798" spans="1:9" s="232" customFormat="1" ht="17" customHeight="1">
      <c r="A7798" s="234"/>
      <c r="B7798" s="233"/>
      <c r="C7798" s="238"/>
      <c r="E7798" s="545"/>
      <c r="F7798" s="546"/>
      <c r="G7798" s="234"/>
      <c r="H7798" s="238"/>
      <c r="I7798" s="237"/>
    </row>
    <row r="7799" spans="1:9" s="232" customFormat="1" ht="17" customHeight="1">
      <c r="A7799" s="234"/>
      <c r="B7799" s="233"/>
      <c r="C7799" s="238"/>
      <c r="E7799" s="545"/>
      <c r="F7799" s="546"/>
      <c r="G7799" s="234"/>
      <c r="H7799" s="238"/>
      <c r="I7799" s="237"/>
    </row>
    <row r="7800" spans="1:9" s="232" customFormat="1" ht="17" customHeight="1">
      <c r="A7800" s="234"/>
      <c r="B7800" s="233"/>
      <c r="C7800" s="238"/>
      <c r="E7800" s="545"/>
      <c r="F7800" s="546"/>
      <c r="G7800" s="234"/>
      <c r="H7800" s="238"/>
      <c r="I7800" s="237"/>
    </row>
    <row r="7801" spans="1:9" s="232" customFormat="1" ht="17" customHeight="1">
      <c r="A7801" s="234"/>
      <c r="B7801" s="233"/>
      <c r="C7801" s="238"/>
      <c r="E7801" s="545"/>
      <c r="F7801" s="546"/>
      <c r="G7801" s="234"/>
      <c r="H7801" s="238"/>
      <c r="I7801" s="237"/>
    </row>
    <row r="7802" spans="1:9" s="232" customFormat="1" ht="17" customHeight="1">
      <c r="A7802" s="234"/>
      <c r="B7802" s="233"/>
      <c r="C7802" s="238"/>
      <c r="E7802" s="545"/>
      <c r="F7802" s="546"/>
      <c r="G7802" s="234"/>
      <c r="H7802" s="238"/>
      <c r="I7802" s="237"/>
    </row>
    <row r="7803" spans="1:9" s="232" customFormat="1" ht="17" customHeight="1">
      <c r="A7803" s="234"/>
      <c r="B7803" s="233"/>
      <c r="C7803" s="238"/>
      <c r="E7803" s="545"/>
      <c r="F7803" s="546"/>
      <c r="G7803" s="234"/>
      <c r="H7803" s="238"/>
      <c r="I7803" s="237"/>
    </row>
    <row r="7804" spans="1:9" s="232" customFormat="1" ht="17" customHeight="1">
      <c r="A7804" s="234"/>
      <c r="B7804" s="233"/>
      <c r="C7804" s="238"/>
      <c r="E7804" s="545"/>
      <c r="F7804" s="546"/>
      <c r="G7804" s="234"/>
      <c r="H7804" s="238"/>
      <c r="I7804" s="237"/>
    </row>
    <row r="7805" spans="1:9" s="232" customFormat="1" ht="17" customHeight="1">
      <c r="A7805" s="234"/>
      <c r="B7805" s="233"/>
      <c r="C7805" s="238"/>
      <c r="E7805" s="545"/>
      <c r="F7805" s="546"/>
      <c r="G7805" s="234"/>
      <c r="H7805" s="238"/>
      <c r="I7805" s="237"/>
    </row>
    <row r="7806" spans="1:9" s="232" customFormat="1" ht="17" customHeight="1">
      <c r="A7806" s="234"/>
      <c r="B7806" s="233"/>
      <c r="C7806" s="238"/>
      <c r="E7806" s="545"/>
      <c r="F7806" s="546"/>
      <c r="G7806" s="234"/>
      <c r="H7806" s="238"/>
      <c r="I7806" s="237"/>
    </row>
    <row r="7807" spans="1:9" s="232" customFormat="1" ht="17" customHeight="1">
      <c r="A7807" s="234"/>
      <c r="B7807" s="233"/>
      <c r="C7807" s="238"/>
      <c r="E7807" s="545"/>
      <c r="F7807" s="546"/>
      <c r="G7807" s="234"/>
      <c r="H7807" s="238"/>
      <c r="I7807" s="237"/>
    </row>
    <row r="7808" spans="1:9" s="232" customFormat="1" ht="17" customHeight="1">
      <c r="A7808" s="234"/>
      <c r="B7808" s="233"/>
      <c r="C7808" s="238"/>
      <c r="E7808" s="545"/>
      <c r="F7808" s="546"/>
      <c r="G7808" s="234"/>
      <c r="H7808" s="238"/>
      <c r="I7808" s="237"/>
    </row>
    <row r="7809" spans="1:9" s="232" customFormat="1" ht="17" customHeight="1">
      <c r="A7809" s="234"/>
      <c r="B7809" s="233"/>
      <c r="C7809" s="238"/>
      <c r="E7809" s="545"/>
      <c r="F7809" s="546"/>
      <c r="G7809" s="234"/>
      <c r="H7809" s="238"/>
      <c r="I7809" s="237"/>
    </row>
    <row r="7810" spans="1:9" s="232" customFormat="1" ht="17" customHeight="1">
      <c r="A7810" s="234"/>
      <c r="B7810" s="233"/>
      <c r="C7810" s="238"/>
      <c r="E7810" s="545"/>
      <c r="F7810" s="546"/>
      <c r="G7810" s="234"/>
      <c r="H7810" s="238"/>
      <c r="I7810" s="237"/>
    </row>
    <row r="7811" spans="1:9" s="232" customFormat="1" ht="17" customHeight="1">
      <c r="A7811" s="234"/>
      <c r="B7811" s="233"/>
      <c r="C7811" s="238"/>
      <c r="E7811" s="545"/>
      <c r="F7811" s="546"/>
      <c r="G7811" s="234"/>
      <c r="H7811" s="238"/>
      <c r="I7811" s="237"/>
    </row>
    <row r="7812" spans="1:9" s="232" customFormat="1" ht="17" customHeight="1">
      <c r="A7812" s="234"/>
      <c r="B7812" s="233"/>
      <c r="C7812" s="238"/>
      <c r="E7812" s="545"/>
      <c r="F7812" s="546"/>
      <c r="G7812" s="234"/>
      <c r="H7812" s="238"/>
      <c r="I7812" s="237"/>
    </row>
    <row r="7813" spans="1:9" s="232" customFormat="1" ht="17" customHeight="1">
      <c r="A7813" s="234"/>
      <c r="B7813" s="233"/>
      <c r="C7813" s="238"/>
      <c r="E7813" s="545"/>
      <c r="F7813" s="546"/>
      <c r="G7813" s="234"/>
      <c r="H7813" s="238"/>
      <c r="I7813" s="237"/>
    </row>
    <row r="7814" spans="1:9" s="232" customFormat="1" ht="17" customHeight="1">
      <c r="A7814" s="234"/>
      <c r="B7814" s="233"/>
      <c r="C7814" s="238"/>
      <c r="E7814" s="545"/>
      <c r="F7814" s="546"/>
      <c r="G7814" s="234"/>
      <c r="H7814" s="238"/>
      <c r="I7814" s="237"/>
    </row>
    <row r="7815" spans="1:9" s="232" customFormat="1" ht="17" customHeight="1">
      <c r="A7815" s="234"/>
      <c r="B7815" s="233"/>
      <c r="C7815" s="238"/>
      <c r="E7815" s="545"/>
      <c r="F7815" s="546"/>
      <c r="G7815" s="234"/>
      <c r="H7815" s="238"/>
      <c r="I7815" s="237"/>
    </row>
    <row r="7816" spans="1:9" s="232" customFormat="1" ht="17" customHeight="1">
      <c r="A7816" s="234"/>
      <c r="B7816" s="233"/>
      <c r="C7816" s="238"/>
      <c r="E7816" s="545"/>
      <c r="F7816" s="546"/>
      <c r="G7816" s="234"/>
      <c r="H7816" s="238"/>
      <c r="I7816" s="237"/>
    </row>
    <row r="7817" spans="1:9" s="232" customFormat="1" ht="17" customHeight="1">
      <c r="A7817" s="234"/>
      <c r="B7817" s="233"/>
      <c r="C7817" s="238"/>
      <c r="E7817" s="545"/>
      <c r="F7817" s="546"/>
      <c r="G7817" s="234"/>
      <c r="H7817" s="238"/>
      <c r="I7817" s="237"/>
    </row>
    <row r="7818" spans="1:9" s="232" customFormat="1" ht="17" customHeight="1">
      <c r="A7818" s="234"/>
      <c r="B7818" s="233"/>
      <c r="C7818" s="238"/>
      <c r="E7818" s="545"/>
      <c r="F7818" s="546"/>
      <c r="G7818" s="234"/>
      <c r="H7818" s="238"/>
      <c r="I7818" s="237"/>
    </row>
    <row r="7819" spans="1:9" s="232" customFormat="1" ht="17" customHeight="1">
      <c r="A7819" s="234"/>
      <c r="B7819" s="233"/>
      <c r="C7819" s="238"/>
      <c r="E7819" s="545"/>
      <c r="F7819" s="546"/>
      <c r="G7819" s="234"/>
      <c r="H7819" s="238"/>
      <c r="I7819" s="237"/>
    </row>
    <row r="7820" spans="1:9" s="232" customFormat="1" ht="17" customHeight="1">
      <c r="A7820" s="234"/>
      <c r="B7820" s="233"/>
      <c r="C7820" s="238"/>
      <c r="E7820" s="545"/>
      <c r="F7820" s="546"/>
      <c r="G7820" s="234"/>
      <c r="H7820" s="238"/>
      <c r="I7820" s="237"/>
    </row>
    <row r="7821" spans="1:9" s="232" customFormat="1" ht="17" customHeight="1">
      <c r="A7821" s="234"/>
      <c r="B7821" s="233"/>
      <c r="C7821" s="238"/>
      <c r="E7821" s="545"/>
      <c r="F7821" s="546"/>
      <c r="G7821" s="234"/>
      <c r="H7821" s="238"/>
      <c r="I7821" s="237"/>
    </row>
    <row r="7822" spans="1:9" s="232" customFormat="1" ht="17" customHeight="1">
      <c r="A7822" s="234"/>
      <c r="B7822" s="233"/>
      <c r="C7822" s="238"/>
      <c r="E7822" s="545"/>
      <c r="F7822" s="546"/>
      <c r="G7822" s="234"/>
      <c r="H7822" s="238"/>
      <c r="I7822" s="237"/>
    </row>
    <row r="7823" spans="1:9" s="232" customFormat="1" ht="17" customHeight="1">
      <c r="A7823" s="234"/>
      <c r="B7823" s="233"/>
      <c r="C7823" s="238"/>
      <c r="E7823" s="545"/>
      <c r="F7823" s="546"/>
      <c r="G7823" s="234"/>
      <c r="H7823" s="238"/>
      <c r="I7823" s="237"/>
    </row>
    <row r="7824" spans="1:9" s="232" customFormat="1" ht="17" customHeight="1">
      <c r="A7824" s="234"/>
      <c r="B7824" s="233"/>
      <c r="C7824" s="238"/>
      <c r="E7824" s="545"/>
      <c r="F7824" s="546"/>
      <c r="G7824" s="234"/>
      <c r="H7824" s="238"/>
      <c r="I7824" s="237"/>
    </row>
    <row r="7825" spans="1:9" s="232" customFormat="1" ht="17" customHeight="1">
      <c r="A7825" s="234"/>
      <c r="B7825" s="233"/>
      <c r="C7825" s="238"/>
      <c r="E7825" s="545"/>
      <c r="F7825" s="546"/>
      <c r="G7825" s="234"/>
      <c r="H7825" s="238"/>
      <c r="I7825" s="237"/>
    </row>
    <row r="7826" spans="1:9" s="232" customFormat="1" ht="17" customHeight="1">
      <c r="A7826" s="234"/>
      <c r="B7826" s="233"/>
      <c r="C7826" s="238"/>
      <c r="E7826" s="545"/>
      <c r="F7826" s="546"/>
      <c r="G7826" s="234"/>
      <c r="H7826" s="238"/>
      <c r="I7826" s="237"/>
    </row>
    <row r="7827" spans="1:9" s="232" customFormat="1" ht="17" customHeight="1">
      <c r="A7827" s="234"/>
      <c r="B7827" s="233"/>
      <c r="C7827" s="238"/>
      <c r="E7827" s="545"/>
      <c r="F7827" s="546"/>
      <c r="G7827" s="234"/>
      <c r="H7827" s="238"/>
      <c r="I7827" s="237"/>
    </row>
    <row r="7828" spans="1:9" s="232" customFormat="1" ht="17" customHeight="1">
      <c r="A7828" s="234"/>
      <c r="B7828" s="233"/>
      <c r="C7828" s="238"/>
      <c r="E7828" s="545"/>
      <c r="F7828" s="546"/>
      <c r="G7828" s="234"/>
      <c r="H7828" s="238"/>
      <c r="I7828" s="237"/>
    </row>
    <row r="7829" spans="1:9" s="232" customFormat="1" ht="17" customHeight="1">
      <c r="A7829" s="234"/>
      <c r="B7829" s="233"/>
      <c r="C7829" s="238"/>
      <c r="E7829" s="545"/>
      <c r="F7829" s="546"/>
      <c r="G7829" s="234"/>
      <c r="H7829" s="238"/>
      <c r="I7829" s="237"/>
    </row>
    <row r="7830" spans="1:9" s="232" customFormat="1" ht="17" customHeight="1">
      <c r="A7830" s="234"/>
      <c r="B7830" s="233"/>
      <c r="C7830" s="238"/>
      <c r="E7830" s="545"/>
      <c r="F7830" s="546"/>
      <c r="G7830" s="234"/>
      <c r="H7830" s="238"/>
      <c r="I7830" s="237"/>
    </row>
    <row r="7831" spans="1:9" s="232" customFormat="1" ht="17" customHeight="1">
      <c r="A7831" s="234"/>
      <c r="B7831" s="233"/>
      <c r="C7831" s="238"/>
      <c r="E7831" s="545"/>
      <c r="F7831" s="546"/>
      <c r="G7831" s="234"/>
      <c r="H7831" s="238"/>
      <c r="I7831" s="237"/>
    </row>
    <row r="7832" spans="1:9" s="232" customFormat="1" ht="17" customHeight="1">
      <c r="A7832" s="234"/>
      <c r="B7832" s="233"/>
      <c r="C7832" s="238"/>
      <c r="E7832" s="545"/>
      <c r="F7832" s="546"/>
      <c r="G7832" s="234"/>
      <c r="H7832" s="238"/>
      <c r="I7832" s="237"/>
    </row>
    <row r="7833" spans="1:9" s="232" customFormat="1" ht="17" customHeight="1">
      <c r="A7833" s="234"/>
      <c r="B7833" s="233"/>
      <c r="C7833" s="238"/>
      <c r="E7833" s="545"/>
      <c r="F7833" s="546"/>
      <c r="G7833" s="234"/>
      <c r="H7833" s="238"/>
      <c r="I7833" s="237"/>
    </row>
    <row r="7834" spans="1:9" s="232" customFormat="1" ht="17" customHeight="1">
      <c r="A7834" s="234"/>
      <c r="B7834" s="233"/>
      <c r="C7834" s="238"/>
      <c r="E7834" s="545"/>
      <c r="F7834" s="546"/>
      <c r="G7834" s="234"/>
      <c r="H7834" s="238"/>
      <c r="I7834" s="237"/>
    </row>
    <row r="7835" spans="1:9" s="232" customFormat="1" ht="17" customHeight="1">
      <c r="A7835" s="234"/>
      <c r="B7835" s="233"/>
      <c r="C7835" s="238"/>
      <c r="E7835" s="545"/>
      <c r="F7835" s="546"/>
      <c r="G7835" s="234"/>
      <c r="H7835" s="238"/>
      <c r="I7835" s="237"/>
    </row>
    <row r="7836" spans="1:9" s="232" customFormat="1" ht="17" customHeight="1">
      <c r="A7836" s="234"/>
      <c r="B7836" s="233"/>
      <c r="C7836" s="238"/>
      <c r="E7836" s="545"/>
      <c r="F7836" s="546"/>
      <c r="G7836" s="234"/>
      <c r="H7836" s="238"/>
      <c r="I7836" s="237"/>
    </row>
    <row r="7837" spans="1:9" s="232" customFormat="1" ht="17" customHeight="1">
      <c r="A7837" s="234"/>
      <c r="B7837" s="233"/>
      <c r="C7837" s="238"/>
      <c r="E7837" s="545"/>
      <c r="F7837" s="546"/>
      <c r="G7837" s="234"/>
      <c r="H7837" s="238"/>
      <c r="I7837" s="237"/>
    </row>
    <row r="7838" spans="1:9" s="232" customFormat="1" ht="17" customHeight="1">
      <c r="A7838" s="234"/>
      <c r="B7838" s="233"/>
      <c r="C7838" s="238"/>
      <c r="E7838" s="545"/>
      <c r="F7838" s="546"/>
      <c r="G7838" s="234"/>
      <c r="H7838" s="238"/>
      <c r="I7838" s="237"/>
    </row>
    <row r="7839" spans="1:9" s="232" customFormat="1" ht="17" customHeight="1">
      <c r="A7839" s="234"/>
      <c r="B7839" s="233"/>
      <c r="C7839" s="238"/>
      <c r="E7839" s="545"/>
      <c r="F7839" s="546"/>
      <c r="G7839" s="234"/>
      <c r="H7839" s="238"/>
      <c r="I7839" s="237"/>
    </row>
    <row r="7840" spans="1:9" s="232" customFormat="1" ht="17" customHeight="1">
      <c r="A7840" s="234"/>
      <c r="B7840" s="233"/>
      <c r="C7840" s="238"/>
      <c r="E7840" s="545"/>
      <c r="F7840" s="546"/>
      <c r="G7840" s="234"/>
      <c r="H7840" s="238"/>
      <c r="I7840" s="237"/>
    </row>
    <row r="7841" spans="1:9" s="232" customFormat="1" ht="17" customHeight="1">
      <c r="A7841" s="234"/>
      <c r="B7841" s="233"/>
      <c r="C7841" s="238"/>
      <c r="E7841" s="545"/>
      <c r="F7841" s="546"/>
      <c r="G7841" s="234"/>
      <c r="H7841" s="238"/>
      <c r="I7841" s="237"/>
    </row>
    <row r="7842" spans="1:9" s="232" customFormat="1" ht="17" customHeight="1">
      <c r="A7842" s="234"/>
      <c r="B7842" s="233"/>
      <c r="C7842" s="238"/>
      <c r="E7842" s="545"/>
      <c r="F7842" s="546"/>
      <c r="G7842" s="234"/>
      <c r="H7842" s="238"/>
      <c r="I7842" s="237"/>
    </row>
    <row r="7843" spans="1:9" s="232" customFormat="1" ht="17" customHeight="1">
      <c r="A7843" s="234"/>
      <c r="B7843" s="233"/>
      <c r="C7843" s="238"/>
      <c r="E7843" s="545"/>
      <c r="F7843" s="546"/>
      <c r="G7843" s="234"/>
      <c r="H7843" s="238"/>
      <c r="I7843" s="237"/>
    </row>
    <row r="7844" spans="1:9" s="232" customFormat="1" ht="17" customHeight="1">
      <c r="A7844" s="234"/>
      <c r="B7844" s="233"/>
      <c r="C7844" s="238"/>
      <c r="E7844" s="545"/>
      <c r="F7844" s="546"/>
      <c r="G7844" s="234"/>
      <c r="H7844" s="238"/>
      <c r="I7844" s="237"/>
    </row>
    <row r="7845" spans="1:9" s="232" customFormat="1" ht="17" customHeight="1">
      <c r="A7845" s="234"/>
      <c r="B7845" s="233"/>
      <c r="C7845" s="238"/>
      <c r="E7845" s="545"/>
      <c r="F7845" s="546"/>
      <c r="G7845" s="234"/>
      <c r="H7845" s="238"/>
      <c r="I7845" s="237"/>
    </row>
    <row r="7846" spans="1:9" s="232" customFormat="1" ht="17" customHeight="1">
      <c r="A7846" s="234"/>
      <c r="B7846" s="233"/>
      <c r="C7846" s="238"/>
      <c r="E7846" s="545"/>
      <c r="F7846" s="546"/>
      <c r="G7846" s="234"/>
      <c r="H7846" s="238"/>
      <c r="I7846" s="237"/>
    </row>
    <row r="7847" spans="1:9" s="232" customFormat="1" ht="17" customHeight="1">
      <c r="A7847" s="234"/>
      <c r="B7847" s="233"/>
      <c r="C7847" s="238"/>
      <c r="E7847" s="545"/>
      <c r="F7847" s="546"/>
      <c r="G7847" s="234"/>
      <c r="H7847" s="238"/>
      <c r="I7847" s="237"/>
    </row>
    <row r="7848" spans="1:9" s="232" customFormat="1" ht="17" customHeight="1">
      <c r="A7848" s="234"/>
      <c r="B7848" s="233"/>
      <c r="C7848" s="238"/>
      <c r="E7848" s="545"/>
      <c r="F7848" s="546"/>
      <c r="G7848" s="234"/>
      <c r="H7848" s="238"/>
      <c r="I7848" s="237"/>
    </row>
    <row r="7849" spans="1:9" s="232" customFormat="1" ht="17" customHeight="1">
      <c r="A7849" s="234"/>
      <c r="B7849" s="233"/>
      <c r="C7849" s="238"/>
      <c r="E7849" s="545"/>
      <c r="F7849" s="546"/>
      <c r="G7849" s="234"/>
      <c r="H7849" s="238"/>
      <c r="I7849" s="237"/>
    </row>
    <row r="7850" spans="1:9" s="232" customFormat="1" ht="17" customHeight="1">
      <c r="A7850" s="234"/>
      <c r="B7850" s="233"/>
      <c r="C7850" s="238"/>
      <c r="E7850" s="545"/>
      <c r="F7850" s="546"/>
      <c r="G7850" s="234"/>
      <c r="H7850" s="238"/>
      <c r="I7850" s="237"/>
    </row>
    <row r="7851" spans="1:9" s="232" customFormat="1" ht="17" customHeight="1">
      <c r="A7851" s="234"/>
      <c r="B7851" s="233"/>
      <c r="C7851" s="238"/>
      <c r="E7851" s="545"/>
      <c r="F7851" s="546"/>
      <c r="G7851" s="234"/>
      <c r="H7851" s="238"/>
      <c r="I7851" s="237"/>
    </row>
    <row r="7852" spans="1:9" s="232" customFormat="1" ht="17" customHeight="1">
      <c r="A7852" s="234"/>
      <c r="B7852" s="233"/>
      <c r="C7852" s="238"/>
      <c r="E7852" s="545"/>
      <c r="F7852" s="546"/>
      <c r="G7852" s="234"/>
      <c r="H7852" s="238"/>
      <c r="I7852" s="237"/>
    </row>
    <row r="7853" spans="1:9" s="232" customFormat="1" ht="17" customHeight="1">
      <c r="A7853" s="234"/>
      <c r="B7853" s="233"/>
      <c r="C7853" s="238"/>
      <c r="E7853" s="545"/>
      <c r="F7853" s="546"/>
      <c r="G7853" s="234"/>
      <c r="H7853" s="238"/>
      <c r="I7853" s="237"/>
    </row>
    <row r="7854" spans="1:9" s="232" customFormat="1" ht="17" customHeight="1">
      <c r="A7854" s="234"/>
      <c r="B7854" s="233"/>
      <c r="C7854" s="238"/>
      <c r="E7854" s="545"/>
      <c r="F7854" s="546"/>
      <c r="G7854" s="234"/>
      <c r="H7854" s="238"/>
      <c r="I7854" s="237"/>
    </row>
    <row r="7855" spans="1:9" s="232" customFormat="1" ht="17" customHeight="1">
      <c r="A7855" s="234"/>
      <c r="B7855" s="233"/>
      <c r="C7855" s="238"/>
      <c r="E7855" s="545"/>
      <c r="F7855" s="546"/>
      <c r="G7855" s="234"/>
      <c r="H7855" s="238"/>
      <c r="I7855" s="237"/>
    </row>
    <row r="7856" spans="1:9" s="232" customFormat="1" ht="17" customHeight="1">
      <c r="A7856" s="234"/>
      <c r="B7856" s="233"/>
      <c r="C7856" s="238"/>
      <c r="E7856" s="545"/>
      <c r="F7856" s="546"/>
      <c r="G7856" s="234"/>
      <c r="H7856" s="238"/>
      <c r="I7856" s="237"/>
    </row>
    <row r="7857" spans="1:9" s="232" customFormat="1" ht="17" customHeight="1">
      <c r="A7857" s="234"/>
      <c r="B7857" s="233"/>
      <c r="C7857" s="238"/>
      <c r="E7857" s="545"/>
      <c r="F7857" s="546"/>
      <c r="G7857" s="234"/>
      <c r="H7857" s="238"/>
      <c r="I7857" s="237"/>
    </row>
    <row r="7858" spans="1:9" s="232" customFormat="1" ht="17" customHeight="1">
      <c r="A7858" s="234"/>
      <c r="B7858" s="233"/>
      <c r="C7858" s="238"/>
      <c r="E7858" s="545"/>
      <c r="F7858" s="546"/>
      <c r="G7858" s="234"/>
      <c r="H7858" s="238"/>
      <c r="I7858" s="237"/>
    </row>
    <row r="7859" spans="1:9" s="232" customFormat="1" ht="17" customHeight="1">
      <c r="A7859" s="234"/>
      <c r="B7859" s="233"/>
      <c r="C7859" s="238"/>
      <c r="E7859" s="545"/>
      <c r="F7859" s="546"/>
      <c r="G7859" s="234"/>
      <c r="H7859" s="238"/>
      <c r="I7859" s="237"/>
    </row>
    <row r="7860" spans="1:9" s="232" customFormat="1" ht="17" customHeight="1">
      <c r="A7860" s="234"/>
      <c r="B7860" s="233"/>
      <c r="C7860" s="238"/>
      <c r="E7860" s="545"/>
      <c r="F7860" s="546"/>
      <c r="G7860" s="234"/>
      <c r="H7860" s="238"/>
      <c r="I7860" s="237"/>
    </row>
    <row r="7861" spans="1:9" s="232" customFormat="1" ht="17" customHeight="1">
      <c r="A7861" s="234"/>
      <c r="B7861" s="233"/>
      <c r="C7861" s="238"/>
      <c r="E7861" s="545"/>
      <c r="F7861" s="546"/>
      <c r="G7861" s="234"/>
      <c r="H7861" s="238"/>
      <c r="I7861" s="237"/>
    </row>
    <row r="7862" spans="1:9" s="232" customFormat="1" ht="17" customHeight="1">
      <c r="A7862" s="234"/>
      <c r="B7862" s="233"/>
      <c r="C7862" s="238"/>
      <c r="E7862" s="545"/>
      <c r="F7862" s="546"/>
      <c r="G7862" s="234"/>
      <c r="H7862" s="238"/>
      <c r="I7862" s="237"/>
    </row>
    <row r="7863" spans="1:9" s="232" customFormat="1" ht="17" customHeight="1">
      <c r="A7863" s="234"/>
      <c r="B7863" s="233"/>
      <c r="C7863" s="238"/>
      <c r="E7863" s="545"/>
      <c r="F7863" s="546"/>
      <c r="G7863" s="234"/>
      <c r="H7863" s="238"/>
      <c r="I7863" s="237"/>
    </row>
    <row r="7864" spans="1:9" s="232" customFormat="1" ht="17" customHeight="1">
      <c r="A7864" s="234"/>
      <c r="B7864" s="233"/>
      <c r="C7864" s="238"/>
      <c r="E7864" s="545"/>
      <c r="F7864" s="546"/>
      <c r="G7864" s="234"/>
      <c r="H7864" s="238"/>
      <c r="I7864" s="237"/>
    </row>
    <row r="7865" spans="1:9" s="232" customFormat="1" ht="17" customHeight="1">
      <c r="A7865" s="234"/>
      <c r="B7865" s="233"/>
      <c r="C7865" s="238"/>
      <c r="E7865" s="545"/>
      <c r="F7865" s="546"/>
      <c r="G7865" s="234"/>
      <c r="H7865" s="238"/>
      <c r="I7865" s="237"/>
    </row>
    <row r="7866" spans="1:9" s="232" customFormat="1" ht="17" customHeight="1">
      <c r="A7866" s="234"/>
      <c r="B7866" s="233"/>
      <c r="C7866" s="238"/>
      <c r="E7866" s="545"/>
      <c r="F7866" s="546"/>
      <c r="G7866" s="234"/>
      <c r="H7866" s="238"/>
      <c r="I7866" s="237"/>
    </row>
    <row r="7867" spans="1:9" s="232" customFormat="1" ht="17" customHeight="1">
      <c r="A7867" s="234"/>
      <c r="B7867" s="233"/>
      <c r="C7867" s="238"/>
      <c r="E7867" s="545"/>
      <c r="F7867" s="546"/>
      <c r="G7867" s="234"/>
      <c r="H7867" s="238"/>
      <c r="I7867" s="237"/>
    </row>
    <row r="7868" spans="1:9" s="232" customFormat="1" ht="17" customHeight="1">
      <c r="A7868" s="234"/>
      <c r="B7868" s="233"/>
      <c r="C7868" s="238"/>
      <c r="E7868" s="545"/>
      <c r="F7868" s="546"/>
      <c r="G7868" s="234"/>
      <c r="H7868" s="238"/>
      <c r="I7868" s="237"/>
    </row>
    <row r="7869" spans="1:9" s="232" customFormat="1" ht="17" customHeight="1">
      <c r="A7869" s="234"/>
      <c r="B7869" s="233"/>
      <c r="C7869" s="238"/>
      <c r="E7869" s="545"/>
      <c r="F7869" s="546"/>
      <c r="G7869" s="234"/>
      <c r="H7869" s="238"/>
      <c r="I7869" s="237"/>
    </row>
    <row r="7870" spans="1:9" s="232" customFormat="1" ht="17" customHeight="1">
      <c r="A7870" s="234"/>
      <c r="B7870" s="233"/>
      <c r="C7870" s="238"/>
      <c r="E7870" s="545"/>
      <c r="F7870" s="546"/>
      <c r="G7870" s="234"/>
      <c r="H7870" s="238"/>
      <c r="I7870" s="237"/>
    </row>
    <row r="7871" spans="1:9" s="232" customFormat="1" ht="17" customHeight="1">
      <c r="A7871" s="234"/>
      <c r="B7871" s="233"/>
      <c r="C7871" s="238"/>
      <c r="E7871" s="545"/>
      <c r="F7871" s="546"/>
      <c r="G7871" s="234"/>
      <c r="H7871" s="238"/>
      <c r="I7871" s="237"/>
    </row>
    <row r="7872" spans="1:9" s="232" customFormat="1" ht="17" customHeight="1">
      <c r="A7872" s="234"/>
      <c r="B7872" s="233"/>
      <c r="C7872" s="238"/>
      <c r="E7872" s="545"/>
      <c r="F7872" s="546"/>
      <c r="G7872" s="234"/>
      <c r="H7872" s="238"/>
      <c r="I7872" s="237"/>
    </row>
    <row r="7873" spans="1:9" s="232" customFormat="1" ht="17" customHeight="1">
      <c r="A7873" s="234"/>
      <c r="B7873" s="233"/>
      <c r="C7873" s="238"/>
      <c r="E7873" s="545"/>
      <c r="F7873" s="546"/>
      <c r="G7873" s="234"/>
      <c r="H7873" s="238"/>
      <c r="I7873" s="237"/>
    </row>
    <row r="7874" spans="1:9" s="232" customFormat="1" ht="17" customHeight="1">
      <c r="A7874" s="234"/>
      <c r="B7874" s="233"/>
      <c r="C7874" s="238"/>
      <c r="E7874" s="545"/>
      <c r="F7874" s="546"/>
      <c r="G7874" s="234"/>
      <c r="H7874" s="238"/>
      <c r="I7874" s="237"/>
    </row>
    <row r="7875" spans="1:9" s="232" customFormat="1" ht="17" customHeight="1">
      <c r="A7875" s="234"/>
      <c r="B7875" s="233"/>
      <c r="C7875" s="238"/>
      <c r="E7875" s="545"/>
      <c r="F7875" s="546"/>
      <c r="G7875" s="234"/>
      <c r="H7875" s="238"/>
      <c r="I7875" s="237"/>
    </row>
    <row r="7876" spans="1:9" s="232" customFormat="1" ht="17" customHeight="1">
      <c r="A7876" s="234"/>
      <c r="B7876" s="233"/>
      <c r="C7876" s="238"/>
      <c r="E7876" s="545"/>
      <c r="F7876" s="546"/>
      <c r="G7876" s="234"/>
      <c r="H7876" s="238"/>
      <c r="I7876" s="237"/>
    </row>
    <row r="7877" spans="1:9" s="232" customFormat="1" ht="17" customHeight="1">
      <c r="A7877" s="234"/>
      <c r="B7877" s="233"/>
      <c r="C7877" s="238"/>
      <c r="E7877" s="545"/>
      <c r="F7877" s="546"/>
      <c r="G7877" s="234"/>
      <c r="H7877" s="238"/>
      <c r="I7877" s="237"/>
    </row>
    <row r="7878" spans="1:9" s="232" customFormat="1" ht="17" customHeight="1">
      <c r="A7878" s="234"/>
      <c r="B7878" s="233"/>
      <c r="C7878" s="238"/>
      <c r="E7878" s="545"/>
      <c r="F7878" s="546"/>
      <c r="G7878" s="234"/>
      <c r="H7878" s="238"/>
      <c r="I7878" s="237"/>
    </row>
    <row r="7879" spans="1:9" s="232" customFormat="1" ht="17" customHeight="1">
      <c r="A7879" s="234"/>
      <c r="B7879" s="233"/>
      <c r="C7879" s="238"/>
      <c r="E7879" s="545"/>
      <c r="F7879" s="546"/>
      <c r="G7879" s="234"/>
      <c r="H7879" s="238"/>
      <c r="I7879" s="237"/>
    </row>
    <row r="7880" spans="1:9" s="232" customFormat="1" ht="17" customHeight="1">
      <c r="A7880" s="234"/>
      <c r="B7880" s="233"/>
      <c r="C7880" s="238"/>
      <c r="E7880" s="545"/>
      <c r="F7880" s="546"/>
      <c r="G7880" s="234"/>
      <c r="H7880" s="238"/>
      <c r="I7880" s="237"/>
    </row>
    <row r="7881" spans="1:9" s="232" customFormat="1" ht="17" customHeight="1">
      <c r="A7881" s="234"/>
      <c r="B7881" s="233"/>
      <c r="C7881" s="238"/>
      <c r="E7881" s="545"/>
      <c r="F7881" s="546"/>
      <c r="G7881" s="234"/>
      <c r="H7881" s="238"/>
      <c r="I7881" s="237"/>
    </row>
    <row r="7882" spans="1:9" s="232" customFormat="1" ht="17" customHeight="1">
      <c r="A7882" s="234"/>
      <c r="B7882" s="233"/>
      <c r="C7882" s="238"/>
      <c r="E7882" s="545"/>
      <c r="F7882" s="546"/>
      <c r="G7882" s="234"/>
      <c r="H7882" s="238"/>
      <c r="I7882" s="237"/>
    </row>
    <row r="7883" spans="1:9" s="232" customFormat="1" ht="17" customHeight="1">
      <c r="A7883" s="234"/>
      <c r="B7883" s="233"/>
      <c r="C7883" s="238"/>
      <c r="E7883" s="545"/>
      <c r="F7883" s="546"/>
      <c r="G7883" s="234"/>
      <c r="H7883" s="238"/>
      <c r="I7883" s="237"/>
    </row>
    <row r="7884" spans="1:9" s="232" customFormat="1" ht="17" customHeight="1">
      <c r="A7884" s="234"/>
      <c r="B7884" s="233"/>
      <c r="C7884" s="238"/>
      <c r="E7884" s="545"/>
      <c r="F7884" s="546"/>
      <c r="G7884" s="234"/>
      <c r="H7884" s="238"/>
      <c r="I7884" s="237"/>
    </row>
    <row r="7885" spans="1:9" s="232" customFormat="1" ht="17" customHeight="1">
      <c r="A7885" s="234"/>
      <c r="B7885" s="233"/>
      <c r="C7885" s="238"/>
      <c r="E7885" s="545"/>
      <c r="F7885" s="546"/>
      <c r="G7885" s="234"/>
      <c r="H7885" s="238"/>
      <c r="I7885" s="237"/>
    </row>
    <row r="7886" spans="1:9" s="232" customFormat="1" ht="17" customHeight="1">
      <c r="A7886" s="234"/>
      <c r="B7886" s="233"/>
      <c r="C7886" s="238"/>
      <c r="E7886" s="545"/>
      <c r="F7886" s="546"/>
      <c r="G7886" s="234"/>
      <c r="H7886" s="238"/>
      <c r="I7886" s="237"/>
    </row>
    <row r="7887" spans="1:9" s="232" customFormat="1" ht="17" customHeight="1">
      <c r="A7887" s="234"/>
      <c r="B7887" s="233"/>
      <c r="C7887" s="238"/>
      <c r="E7887" s="545"/>
      <c r="F7887" s="546"/>
      <c r="G7887" s="234"/>
      <c r="H7887" s="238"/>
      <c r="I7887" s="237"/>
    </row>
    <row r="7888" spans="1:9" s="232" customFormat="1" ht="17" customHeight="1">
      <c r="A7888" s="234"/>
      <c r="B7888" s="233"/>
      <c r="C7888" s="238"/>
      <c r="E7888" s="545"/>
      <c r="F7888" s="546"/>
      <c r="G7888" s="234"/>
      <c r="H7888" s="238"/>
      <c r="I7888" s="237"/>
    </row>
    <row r="7889" spans="1:9" s="232" customFormat="1" ht="17" customHeight="1">
      <c r="A7889" s="234"/>
      <c r="B7889" s="233"/>
      <c r="C7889" s="238"/>
      <c r="E7889" s="545"/>
      <c r="F7889" s="546"/>
      <c r="G7889" s="234"/>
      <c r="H7889" s="238"/>
      <c r="I7889" s="237"/>
    </row>
    <row r="7890" spans="1:9" s="232" customFormat="1" ht="17" customHeight="1">
      <c r="A7890" s="234"/>
      <c r="B7890" s="233"/>
      <c r="C7890" s="238"/>
      <c r="E7890" s="545"/>
      <c r="F7890" s="546"/>
      <c r="G7890" s="234"/>
      <c r="H7890" s="238"/>
      <c r="I7890" s="237"/>
    </row>
    <row r="7891" spans="1:9" s="232" customFormat="1" ht="17" customHeight="1">
      <c r="A7891" s="234"/>
      <c r="B7891" s="233"/>
      <c r="C7891" s="238"/>
      <c r="E7891" s="545"/>
      <c r="F7891" s="546"/>
      <c r="G7891" s="234"/>
      <c r="H7891" s="238"/>
      <c r="I7891" s="237"/>
    </row>
    <row r="7892" spans="1:9" s="232" customFormat="1" ht="17" customHeight="1">
      <c r="A7892" s="234"/>
      <c r="B7892" s="233"/>
      <c r="C7892" s="238"/>
      <c r="E7892" s="545"/>
      <c r="F7892" s="546"/>
      <c r="G7892" s="234"/>
      <c r="H7892" s="238"/>
      <c r="I7892" s="237"/>
    </row>
    <row r="7893" spans="1:9" s="232" customFormat="1" ht="17" customHeight="1">
      <c r="A7893" s="234"/>
      <c r="B7893" s="233"/>
      <c r="C7893" s="238"/>
      <c r="E7893" s="545"/>
      <c r="F7893" s="546"/>
      <c r="G7893" s="234"/>
      <c r="H7893" s="238"/>
      <c r="I7893" s="237"/>
    </row>
    <row r="7894" spans="1:9" s="232" customFormat="1" ht="17" customHeight="1">
      <c r="A7894" s="234"/>
      <c r="B7894" s="233"/>
      <c r="C7894" s="238"/>
      <c r="E7894" s="545"/>
      <c r="F7894" s="546"/>
      <c r="G7894" s="234"/>
      <c r="H7894" s="238"/>
      <c r="I7894" s="237"/>
    </row>
    <row r="7895" spans="1:9" s="232" customFormat="1" ht="17" customHeight="1">
      <c r="A7895" s="234"/>
      <c r="B7895" s="233"/>
      <c r="C7895" s="238"/>
      <c r="E7895" s="545"/>
      <c r="F7895" s="546"/>
      <c r="G7895" s="234"/>
      <c r="H7895" s="238"/>
      <c r="I7895" s="237"/>
    </row>
    <row r="7896" spans="1:9" s="232" customFormat="1" ht="17" customHeight="1">
      <c r="A7896" s="234"/>
      <c r="B7896" s="233"/>
      <c r="C7896" s="238"/>
      <c r="E7896" s="545"/>
      <c r="F7896" s="546"/>
      <c r="G7896" s="234"/>
      <c r="H7896" s="238"/>
      <c r="I7896" s="237"/>
    </row>
    <row r="7897" spans="1:9" s="232" customFormat="1" ht="17" customHeight="1">
      <c r="A7897" s="234"/>
      <c r="B7897" s="233"/>
      <c r="C7897" s="238"/>
      <c r="E7897" s="545"/>
      <c r="F7897" s="546"/>
      <c r="G7897" s="234"/>
      <c r="H7897" s="238"/>
      <c r="I7897" s="237"/>
    </row>
    <row r="7898" spans="1:9" s="232" customFormat="1" ht="17" customHeight="1">
      <c r="A7898" s="234"/>
      <c r="B7898" s="233"/>
      <c r="C7898" s="238"/>
      <c r="E7898" s="545"/>
      <c r="F7898" s="546"/>
      <c r="G7898" s="234"/>
      <c r="H7898" s="238"/>
      <c r="I7898" s="237"/>
    </row>
    <row r="7899" spans="1:9" s="232" customFormat="1" ht="17" customHeight="1">
      <c r="A7899" s="234"/>
      <c r="B7899" s="233"/>
      <c r="C7899" s="238"/>
      <c r="E7899" s="545"/>
      <c r="F7899" s="546"/>
      <c r="G7899" s="234"/>
      <c r="H7899" s="238"/>
      <c r="I7899" s="237"/>
    </row>
    <row r="7900" spans="1:9" s="232" customFormat="1" ht="17" customHeight="1">
      <c r="A7900" s="234"/>
      <c r="B7900" s="233"/>
      <c r="C7900" s="238"/>
      <c r="E7900" s="545"/>
      <c r="F7900" s="546"/>
      <c r="G7900" s="234"/>
      <c r="H7900" s="238"/>
      <c r="I7900" s="237"/>
    </row>
    <row r="7901" spans="1:9" s="232" customFormat="1" ht="17" customHeight="1">
      <c r="A7901" s="234"/>
      <c r="B7901" s="233"/>
      <c r="C7901" s="238"/>
      <c r="E7901" s="545"/>
      <c r="F7901" s="546"/>
      <c r="G7901" s="234"/>
      <c r="H7901" s="238"/>
      <c r="I7901" s="237"/>
    </row>
    <row r="7902" spans="1:9" s="232" customFormat="1" ht="17" customHeight="1">
      <c r="A7902" s="234"/>
      <c r="B7902" s="233"/>
      <c r="C7902" s="238"/>
      <c r="E7902" s="545"/>
      <c r="F7902" s="546"/>
      <c r="G7902" s="234"/>
      <c r="H7902" s="238"/>
      <c r="I7902" s="237"/>
    </row>
    <row r="7903" spans="1:9" s="232" customFormat="1" ht="17" customHeight="1">
      <c r="A7903" s="234"/>
      <c r="B7903" s="233"/>
      <c r="C7903" s="238"/>
      <c r="E7903" s="545"/>
      <c r="F7903" s="546"/>
      <c r="G7903" s="234"/>
      <c r="H7903" s="238"/>
      <c r="I7903" s="237"/>
    </row>
    <row r="7904" spans="1:9" s="232" customFormat="1" ht="17" customHeight="1">
      <c r="A7904" s="234"/>
      <c r="B7904" s="233"/>
      <c r="C7904" s="238"/>
      <c r="E7904" s="545"/>
      <c r="F7904" s="546"/>
      <c r="G7904" s="234"/>
      <c r="H7904" s="238"/>
      <c r="I7904" s="237"/>
    </row>
    <row r="7905" spans="1:9" s="232" customFormat="1" ht="17" customHeight="1">
      <c r="A7905" s="234"/>
      <c r="B7905" s="233"/>
      <c r="C7905" s="238"/>
      <c r="E7905" s="545"/>
      <c r="F7905" s="546"/>
      <c r="G7905" s="234"/>
      <c r="H7905" s="238"/>
      <c r="I7905" s="237"/>
    </row>
    <row r="7906" spans="1:9" s="232" customFormat="1" ht="17" customHeight="1">
      <c r="A7906" s="234"/>
      <c r="B7906" s="233"/>
      <c r="C7906" s="238"/>
      <c r="E7906" s="545"/>
      <c r="F7906" s="546"/>
      <c r="G7906" s="234"/>
      <c r="H7906" s="238"/>
      <c r="I7906" s="237"/>
    </row>
    <row r="7907" spans="1:9" s="232" customFormat="1" ht="17" customHeight="1">
      <c r="A7907" s="234"/>
      <c r="B7907" s="233"/>
      <c r="C7907" s="238"/>
      <c r="E7907" s="545"/>
      <c r="F7907" s="546"/>
      <c r="G7907" s="234"/>
      <c r="H7907" s="238"/>
      <c r="I7907" s="237"/>
    </row>
    <row r="7908" spans="1:9" s="232" customFormat="1" ht="17" customHeight="1">
      <c r="A7908" s="234"/>
      <c r="B7908" s="233"/>
      <c r="C7908" s="238"/>
      <c r="E7908" s="545"/>
      <c r="F7908" s="546"/>
      <c r="G7908" s="234"/>
      <c r="H7908" s="238"/>
      <c r="I7908" s="237"/>
    </row>
    <row r="7909" spans="1:9" s="232" customFormat="1" ht="17" customHeight="1">
      <c r="A7909" s="234"/>
      <c r="B7909" s="233"/>
      <c r="C7909" s="238"/>
      <c r="E7909" s="545"/>
      <c r="F7909" s="546"/>
      <c r="G7909" s="234"/>
      <c r="H7909" s="238"/>
      <c r="I7909" s="237"/>
    </row>
    <row r="7910" spans="1:9" s="232" customFormat="1" ht="17" customHeight="1">
      <c r="A7910" s="234"/>
      <c r="B7910" s="233"/>
      <c r="C7910" s="238"/>
      <c r="E7910" s="545"/>
      <c r="F7910" s="546"/>
      <c r="G7910" s="234"/>
      <c r="H7910" s="238"/>
      <c r="I7910" s="237"/>
    </row>
    <row r="7911" spans="1:9" s="232" customFormat="1" ht="17" customHeight="1">
      <c r="A7911" s="234"/>
      <c r="B7911" s="233"/>
      <c r="C7911" s="238"/>
      <c r="E7911" s="545"/>
      <c r="F7911" s="546"/>
      <c r="G7911" s="234"/>
      <c r="H7911" s="238"/>
      <c r="I7911" s="237"/>
    </row>
    <row r="7912" spans="1:9" s="232" customFormat="1" ht="17" customHeight="1">
      <c r="A7912" s="234"/>
      <c r="B7912" s="233"/>
      <c r="C7912" s="238"/>
      <c r="E7912" s="545"/>
      <c r="F7912" s="546"/>
      <c r="G7912" s="234"/>
      <c r="H7912" s="238"/>
      <c r="I7912" s="237"/>
    </row>
    <row r="7913" spans="1:9" s="232" customFormat="1" ht="17" customHeight="1">
      <c r="A7913" s="234"/>
      <c r="B7913" s="233"/>
      <c r="C7913" s="238"/>
      <c r="E7913" s="545"/>
      <c r="F7913" s="546"/>
      <c r="G7913" s="234"/>
      <c r="H7913" s="238"/>
      <c r="I7913" s="237"/>
    </row>
    <row r="7914" spans="1:9" s="232" customFormat="1" ht="17" customHeight="1">
      <c r="A7914" s="234"/>
      <c r="B7914" s="233"/>
      <c r="C7914" s="238"/>
      <c r="E7914" s="545"/>
      <c r="F7914" s="546"/>
      <c r="G7914" s="234"/>
      <c r="H7914" s="238"/>
      <c r="I7914" s="237"/>
    </row>
    <row r="7915" spans="1:9" s="232" customFormat="1" ht="17" customHeight="1">
      <c r="A7915" s="234"/>
      <c r="B7915" s="233"/>
      <c r="C7915" s="238"/>
      <c r="E7915" s="545"/>
      <c r="F7915" s="546"/>
      <c r="G7915" s="234"/>
      <c r="H7915" s="238"/>
      <c r="I7915" s="237"/>
    </row>
    <row r="7916" spans="1:9" s="232" customFormat="1" ht="17" customHeight="1">
      <c r="A7916" s="234"/>
      <c r="B7916" s="233"/>
      <c r="C7916" s="238"/>
      <c r="E7916" s="545"/>
      <c r="F7916" s="546"/>
      <c r="G7916" s="234"/>
      <c r="H7916" s="238"/>
      <c r="I7916" s="237"/>
    </row>
    <row r="7917" spans="1:9" s="232" customFormat="1" ht="17" customHeight="1">
      <c r="A7917" s="234"/>
      <c r="B7917" s="233"/>
      <c r="C7917" s="238"/>
      <c r="E7917" s="545"/>
      <c r="F7917" s="546"/>
      <c r="G7917" s="234"/>
      <c r="H7917" s="238"/>
      <c r="I7917" s="237"/>
    </row>
    <row r="7918" spans="1:9" s="232" customFormat="1" ht="17" customHeight="1">
      <c r="A7918" s="234"/>
      <c r="B7918" s="233"/>
      <c r="C7918" s="238"/>
      <c r="E7918" s="545"/>
      <c r="F7918" s="546"/>
      <c r="G7918" s="234"/>
      <c r="H7918" s="238"/>
      <c r="I7918" s="237"/>
    </row>
    <row r="7919" spans="1:9" s="232" customFormat="1" ht="17" customHeight="1">
      <c r="A7919" s="234"/>
      <c r="B7919" s="233"/>
      <c r="C7919" s="238"/>
      <c r="E7919" s="545"/>
      <c r="F7919" s="546"/>
      <c r="G7919" s="234"/>
      <c r="H7919" s="238"/>
      <c r="I7919" s="237"/>
    </row>
    <row r="7920" spans="1:9" s="232" customFormat="1" ht="17" customHeight="1">
      <c r="A7920" s="234"/>
      <c r="B7920" s="233"/>
      <c r="C7920" s="238"/>
      <c r="E7920" s="545"/>
      <c r="F7920" s="546"/>
      <c r="G7920" s="234"/>
      <c r="H7920" s="238"/>
      <c r="I7920" s="237"/>
    </row>
    <row r="7921" spans="1:9" s="232" customFormat="1" ht="17" customHeight="1">
      <c r="A7921" s="234"/>
      <c r="B7921" s="233"/>
      <c r="C7921" s="238"/>
      <c r="E7921" s="545"/>
      <c r="F7921" s="546"/>
      <c r="G7921" s="234"/>
      <c r="H7921" s="238"/>
      <c r="I7921" s="237"/>
    </row>
    <row r="7922" spans="1:9" s="232" customFormat="1" ht="17" customHeight="1">
      <c r="A7922" s="234"/>
      <c r="B7922" s="233"/>
      <c r="C7922" s="238"/>
      <c r="E7922" s="545"/>
      <c r="F7922" s="546"/>
      <c r="G7922" s="234"/>
      <c r="H7922" s="238"/>
      <c r="I7922" s="237"/>
    </row>
    <row r="7923" spans="1:9" s="232" customFormat="1" ht="17" customHeight="1">
      <c r="A7923" s="234"/>
      <c r="B7923" s="233"/>
      <c r="C7923" s="238"/>
      <c r="E7923" s="545"/>
      <c r="F7923" s="546"/>
      <c r="G7923" s="234"/>
      <c r="H7923" s="238"/>
      <c r="I7923" s="237"/>
    </row>
    <row r="7924" spans="1:9" s="232" customFormat="1" ht="17" customHeight="1">
      <c r="A7924" s="234"/>
      <c r="B7924" s="233"/>
      <c r="C7924" s="238"/>
      <c r="E7924" s="545"/>
      <c r="F7924" s="546"/>
      <c r="G7924" s="234"/>
      <c r="H7924" s="238"/>
      <c r="I7924" s="237"/>
    </row>
    <row r="7925" spans="1:9" s="232" customFormat="1" ht="17" customHeight="1">
      <c r="A7925" s="234"/>
      <c r="B7925" s="233"/>
      <c r="C7925" s="238"/>
      <c r="E7925" s="545"/>
      <c r="F7925" s="546"/>
      <c r="G7925" s="234"/>
      <c r="H7925" s="238"/>
      <c r="I7925" s="237"/>
    </row>
    <row r="7926" spans="1:9" s="232" customFormat="1" ht="17" customHeight="1">
      <c r="A7926" s="234"/>
      <c r="B7926" s="233"/>
      <c r="C7926" s="238"/>
      <c r="E7926" s="545"/>
      <c r="F7926" s="546"/>
      <c r="G7926" s="234"/>
      <c r="H7926" s="238"/>
      <c r="I7926" s="237"/>
    </row>
    <row r="7927" spans="1:9" s="232" customFormat="1" ht="17" customHeight="1">
      <c r="A7927" s="234"/>
      <c r="B7927" s="233"/>
      <c r="C7927" s="238"/>
      <c r="E7927" s="545"/>
      <c r="F7927" s="546"/>
      <c r="G7927" s="234"/>
      <c r="H7927" s="238"/>
      <c r="I7927" s="237"/>
    </row>
    <row r="7928" spans="1:9" s="232" customFormat="1" ht="17" customHeight="1">
      <c r="A7928" s="234"/>
      <c r="B7928" s="233"/>
      <c r="C7928" s="238"/>
      <c r="E7928" s="545"/>
      <c r="F7928" s="546"/>
      <c r="G7928" s="234"/>
      <c r="H7928" s="238"/>
      <c r="I7928" s="237"/>
    </row>
    <row r="7929" spans="1:9" s="232" customFormat="1" ht="17" customHeight="1">
      <c r="A7929" s="234"/>
      <c r="B7929" s="233"/>
      <c r="C7929" s="238"/>
      <c r="E7929" s="545"/>
      <c r="F7929" s="546"/>
      <c r="G7929" s="234"/>
      <c r="H7929" s="238"/>
      <c r="I7929" s="237"/>
    </row>
    <row r="7930" spans="1:9" s="232" customFormat="1" ht="17" customHeight="1">
      <c r="A7930" s="234"/>
      <c r="B7930" s="233"/>
      <c r="C7930" s="238"/>
      <c r="E7930" s="545"/>
      <c r="F7930" s="546"/>
      <c r="G7930" s="234"/>
      <c r="H7930" s="238"/>
      <c r="I7930" s="237"/>
    </row>
    <row r="7931" spans="1:9" s="232" customFormat="1" ht="17" customHeight="1">
      <c r="A7931" s="234"/>
      <c r="B7931" s="233"/>
      <c r="C7931" s="238"/>
      <c r="E7931" s="545"/>
      <c r="F7931" s="546"/>
      <c r="G7931" s="234"/>
      <c r="H7931" s="238"/>
      <c r="I7931" s="237"/>
    </row>
    <row r="7932" spans="1:9" s="232" customFormat="1" ht="17" customHeight="1">
      <c r="A7932" s="234"/>
      <c r="B7932" s="233"/>
      <c r="C7932" s="238"/>
      <c r="E7932" s="545"/>
      <c r="F7932" s="546"/>
      <c r="G7932" s="234"/>
      <c r="H7932" s="238"/>
      <c r="I7932" s="237"/>
    </row>
    <row r="7933" spans="1:9" s="232" customFormat="1" ht="17" customHeight="1">
      <c r="A7933" s="234"/>
      <c r="B7933" s="233"/>
      <c r="C7933" s="238"/>
      <c r="E7933" s="545"/>
      <c r="F7933" s="546"/>
      <c r="G7933" s="234"/>
      <c r="H7933" s="238"/>
      <c r="I7933" s="237"/>
    </row>
    <row r="7934" spans="1:9" s="232" customFormat="1" ht="17" customHeight="1">
      <c r="A7934" s="234"/>
      <c r="B7934" s="233"/>
      <c r="C7934" s="238"/>
      <c r="E7934" s="545"/>
      <c r="F7934" s="546"/>
      <c r="G7934" s="234"/>
      <c r="H7934" s="238"/>
      <c r="I7934" s="237"/>
    </row>
    <row r="7935" spans="1:9" s="232" customFormat="1" ht="17" customHeight="1">
      <c r="A7935" s="234"/>
      <c r="B7935" s="233"/>
      <c r="C7935" s="238"/>
      <c r="E7935" s="545"/>
      <c r="F7935" s="546"/>
      <c r="G7935" s="234"/>
      <c r="H7935" s="238"/>
      <c r="I7935" s="237"/>
    </row>
    <row r="7936" spans="1:9" s="232" customFormat="1" ht="17" customHeight="1">
      <c r="A7936" s="234"/>
      <c r="B7936" s="233"/>
      <c r="C7936" s="238"/>
      <c r="E7936" s="545"/>
      <c r="F7936" s="546"/>
      <c r="G7936" s="234"/>
      <c r="H7936" s="238"/>
      <c r="I7936" s="237"/>
    </row>
    <row r="7937" spans="1:9" s="232" customFormat="1" ht="17" customHeight="1">
      <c r="A7937" s="234"/>
      <c r="B7937" s="233"/>
      <c r="C7937" s="238"/>
      <c r="E7937" s="545"/>
      <c r="F7937" s="546"/>
      <c r="G7937" s="234"/>
      <c r="H7937" s="238"/>
      <c r="I7937" s="237"/>
    </row>
    <row r="7938" spans="1:9" s="232" customFormat="1" ht="17" customHeight="1">
      <c r="A7938" s="234"/>
      <c r="B7938" s="233"/>
      <c r="C7938" s="238"/>
      <c r="E7938" s="545"/>
      <c r="F7938" s="546"/>
      <c r="G7938" s="234"/>
      <c r="H7938" s="238"/>
      <c r="I7938" s="237"/>
    </row>
    <row r="7939" spans="1:9" s="232" customFormat="1" ht="17" customHeight="1">
      <c r="A7939" s="234"/>
      <c r="B7939" s="233"/>
      <c r="C7939" s="238"/>
      <c r="E7939" s="545"/>
      <c r="F7939" s="546"/>
      <c r="G7939" s="234"/>
      <c r="H7939" s="238"/>
      <c r="I7939" s="237"/>
    </row>
    <row r="7940" spans="1:9" s="232" customFormat="1" ht="17" customHeight="1">
      <c r="A7940" s="234"/>
      <c r="B7940" s="233"/>
      <c r="C7940" s="238"/>
      <c r="E7940" s="545"/>
      <c r="F7940" s="546"/>
      <c r="G7940" s="234"/>
      <c r="H7940" s="238"/>
      <c r="I7940" s="237"/>
    </row>
    <row r="7941" spans="1:9" s="232" customFormat="1" ht="17" customHeight="1">
      <c r="A7941" s="234"/>
      <c r="B7941" s="233"/>
      <c r="C7941" s="238"/>
      <c r="E7941" s="545"/>
      <c r="F7941" s="546"/>
      <c r="G7941" s="234"/>
      <c r="H7941" s="238"/>
      <c r="I7941" s="237"/>
    </row>
    <row r="7942" spans="1:9" s="232" customFormat="1" ht="17" customHeight="1">
      <c r="A7942" s="234"/>
      <c r="B7942" s="233"/>
      <c r="C7942" s="238"/>
      <c r="E7942" s="545"/>
      <c r="F7942" s="546"/>
      <c r="G7942" s="234"/>
      <c r="H7942" s="238"/>
      <c r="I7942" s="237"/>
    </row>
    <row r="7943" spans="1:9" s="232" customFormat="1" ht="17" customHeight="1">
      <c r="A7943" s="234"/>
      <c r="B7943" s="233"/>
      <c r="C7943" s="238"/>
      <c r="E7943" s="545"/>
      <c r="F7943" s="546"/>
      <c r="G7943" s="234"/>
      <c r="H7943" s="238"/>
      <c r="I7943" s="237"/>
    </row>
    <row r="7944" spans="1:9" s="232" customFormat="1" ht="17" customHeight="1">
      <c r="A7944" s="234"/>
      <c r="B7944" s="233"/>
      <c r="C7944" s="238"/>
      <c r="E7944" s="545"/>
      <c r="F7944" s="546"/>
      <c r="G7944" s="234"/>
      <c r="H7944" s="238"/>
      <c r="I7944" s="237"/>
    </row>
    <row r="7945" spans="1:9" s="232" customFormat="1" ht="17" customHeight="1">
      <c r="A7945" s="234"/>
      <c r="B7945" s="233"/>
      <c r="C7945" s="238"/>
      <c r="E7945" s="545"/>
      <c r="F7945" s="546"/>
      <c r="G7945" s="234"/>
      <c r="H7945" s="238"/>
      <c r="I7945" s="237"/>
    </row>
    <row r="7946" spans="1:9" s="232" customFormat="1" ht="17" customHeight="1">
      <c r="A7946" s="234"/>
      <c r="B7946" s="233"/>
      <c r="C7946" s="238"/>
      <c r="E7946" s="545"/>
      <c r="F7946" s="546"/>
      <c r="G7946" s="234"/>
      <c r="H7946" s="238"/>
      <c r="I7946" s="237"/>
    </row>
    <row r="7947" spans="1:9" s="232" customFormat="1" ht="17" customHeight="1">
      <c r="A7947" s="234"/>
      <c r="B7947" s="233"/>
      <c r="C7947" s="238"/>
      <c r="E7947" s="545"/>
      <c r="F7947" s="546"/>
      <c r="G7947" s="234"/>
      <c r="H7947" s="238"/>
      <c r="I7947" s="237"/>
    </row>
    <row r="7948" spans="1:9" s="232" customFormat="1" ht="17" customHeight="1">
      <c r="A7948" s="234"/>
      <c r="B7948" s="233"/>
      <c r="C7948" s="238"/>
      <c r="E7948" s="545"/>
      <c r="F7948" s="546"/>
      <c r="G7948" s="234"/>
      <c r="H7948" s="238"/>
      <c r="I7948" s="237"/>
    </row>
    <row r="7949" spans="1:9" s="232" customFormat="1" ht="17" customHeight="1">
      <c r="A7949" s="234"/>
      <c r="B7949" s="233"/>
      <c r="C7949" s="238"/>
      <c r="E7949" s="545"/>
      <c r="F7949" s="546"/>
      <c r="G7949" s="234"/>
      <c r="H7949" s="238"/>
      <c r="I7949" s="237"/>
    </row>
    <row r="7950" spans="1:9" s="232" customFormat="1" ht="17" customHeight="1">
      <c r="A7950" s="234"/>
      <c r="B7950" s="233"/>
      <c r="C7950" s="238"/>
      <c r="E7950" s="545"/>
      <c r="F7950" s="546"/>
      <c r="G7950" s="234"/>
      <c r="H7950" s="238"/>
      <c r="I7950" s="237"/>
    </row>
    <row r="7951" spans="1:9" s="232" customFormat="1" ht="17" customHeight="1">
      <c r="A7951" s="234"/>
      <c r="B7951" s="233"/>
      <c r="C7951" s="238"/>
      <c r="E7951" s="545"/>
      <c r="F7951" s="546"/>
      <c r="G7951" s="234"/>
      <c r="H7951" s="238"/>
      <c r="I7951" s="237"/>
    </row>
    <row r="7952" spans="1:9" s="232" customFormat="1" ht="17" customHeight="1">
      <c r="A7952" s="234"/>
      <c r="B7952" s="233"/>
      <c r="C7952" s="238"/>
      <c r="E7952" s="545"/>
      <c r="F7952" s="546"/>
      <c r="G7952" s="234"/>
      <c r="H7952" s="238"/>
      <c r="I7952" s="237"/>
    </row>
    <row r="7953" spans="1:9" s="232" customFormat="1" ht="17" customHeight="1">
      <c r="A7953" s="234"/>
      <c r="B7953" s="233"/>
      <c r="C7953" s="238"/>
      <c r="E7953" s="545"/>
      <c r="F7953" s="546"/>
      <c r="G7953" s="234"/>
      <c r="H7953" s="238"/>
      <c r="I7953" s="237"/>
    </row>
    <row r="7954" spans="1:9" s="232" customFormat="1" ht="17" customHeight="1">
      <c r="A7954" s="234"/>
      <c r="B7954" s="233"/>
      <c r="C7954" s="238"/>
      <c r="E7954" s="545"/>
      <c r="F7954" s="546"/>
      <c r="G7954" s="234"/>
      <c r="H7954" s="238"/>
      <c r="I7954" s="237"/>
    </row>
    <row r="7955" spans="1:9" s="232" customFormat="1" ht="17" customHeight="1">
      <c r="A7955" s="234"/>
      <c r="B7955" s="233"/>
      <c r="C7955" s="238"/>
      <c r="E7955" s="545"/>
      <c r="F7955" s="546"/>
      <c r="G7955" s="234"/>
      <c r="H7955" s="238"/>
      <c r="I7955" s="237"/>
    </row>
    <row r="7956" spans="1:9" s="232" customFormat="1" ht="17" customHeight="1">
      <c r="A7956" s="234"/>
      <c r="B7956" s="233"/>
      <c r="C7956" s="238"/>
      <c r="E7956" s="545"/>
      <c r="F7956" s="546"/>
      <c r="G7956" s="234"/>
      <c r="H7956" s="238"/>
      <c r="I7956" s="237"/>
    </row>
    <row r="7957" spans="1:9" s="232" customFormat="1" ht="17" customHeight="1">
      <c r="A7957" s="234"/>
      <c r="B7957" s="233"/>
      <c r="C7957" s="238"/>
      <c r="E7957" s="545"/>
      <c r="F7957" s="546"/>
      <c r="G7957" s="234"/>
      <c r="H7957" s="238"/>
      <c r="I7957" s="237"/>
    </row>
    <row r="7958" spans="1:9" s="232" customFormat="1" ht="17" customHeight="1">
      <c r="A7958" s="234"/>
      <c r="B7958" s="233"/>
      <c r="C7958" s="238"/>
      <c r="E7958" s="545"/>
      <c r="F7958" s="546"/>
      <c r="G7958" s="234"/>
      <c r="H7958" s="238"/>
      <c r="I7958" s="237"/>
    </row>
    <row r="7959" spans="1:9" s="232" customFormat="1" ht="17" customHeight="1">
      <c r="A7959" s="234"/>
      <c r="B7959" s="233"/>
      <c r="C7959" s="238"/>
      <c r="E7959" s="545"/>
      <c r="F7959" s="546"/>
      <c r="G7959" s="234"/>
      <c r="H7959" s="238"/>
      <c r="I7959" s="237"/>
    </row>
    <row r="7960" spans="1:9" s="232" customFormat="1" ht="17" customHeight="1">
      <c r="A7960" s="234"/>
      <c r="B7960" s="233"/>
      <c r="C7960" s="238"/>
      <c r="E7960" s="545"/>
      <c r="F7960" s="546"/>
      <c r="G7960" s="234"/>
      <c r="H7960" s="238"/>
      <c r="I7960" s="237"/>
    </row>
    <row r="7961" spans="1:9" s="232" customFormat="1" ht="17" customHeight="1">
      <c r="A7961" s="234"/>
      <c r="B7961" s="233"/>
      <c r="C7961" s="238"/>
      <c r="E7961" s="545"/>
      <c r="F7961" s="546"/>
      <c r="G7961" s="234"/>
      <c r="H7961" s="238"/>
      <c r="I7961" s="237"/>
    </row>
    <row r="7962" spans="1:9" s="232" customFormat="1" ht="17" customHeight="1">
      <c r="A7962" s="234"/>
      <c r="B7962" s="233"/>
      <c r="C7962" s="238"/>
      <c r="E7962" s="545"/>
      <c r="F7962" s="546"/>
      <c r="G7962" s="234"/>
      <c r="H7962" s="238"/>
      <c r="I7962" s="237"/>
    </row>
    <row r="7963" spans="1:9" s="232" customFormat="1" ht="17" customHeight="1">
      <c r="A7963" s="234"/>
      <c r="B7963" s="233"/>
      <c r="C7963" s="238"/>
      <c r="E7963" s="545"/>
      <c r="F7963" s="546"/>
      <c r="G7963" s="234"/>
      <c r="H7963" s="238"/>
      <c r="I7963" s="237"/>
    </row>
    <row r="7964" spans="1:9" s="232" customFormat="1" ht="17" customHeight="1">
      <c r="A7964" s="234"/>
      <c r="B7964" s="233"/>
      <c r="C7964" s="238"/>
      <c r="E7964" s="545"/>
      <c r="F7964" s="546"/>
      <c r="G7964" s="234"/>
      <c r="H7964" s="238"/>
      <c r="I7964" s="237"/>
    </row>
    <row r="7965" spans="1:9" s="232" customFormat="1" ht="17" customHeight="1">
      <c r="A7965" s="234"/>
      <c r="B7965" s="233"/>
      <c r="C7965" s="238"/>
      <c r="E7965" s="545"/>
      <c r="F7965" s="546"/>
      <c r="G7965" s="234"/>
      <c r="H7965" s="238"/>
      <c r="I7965" s="237"/>
    </row>
    <row r="7966" spans="1:9" s="232" customFormat="1" ht="17" customHeight="1">
      <c r="A7966" s="234"/>
      <c r="B7966" s="233"/>
      <c r="C7966" s="238"/>
      <c r="E7966" s="545"/>
      <c r="F7966" s="546"/>
      <c r="G7966" s="234"/>
      <c r="H7966" s="238"/>
      <c r="I7966" s="237"/>
    </row>
    <row r="7967" spans="1:9" s="232" customFormat="1" ht="17" customHeight="1">
      <c r="A7967" s="234"/>
      <c r="B7967" s="233"/>
      <c r="C7967" s="238"/>
      <c r="E7967" s="545"/>
      <c r="F7967" s="546"/>
      <c r="G7967" s="234"/>
      <c r="H7967" s="238"/>
      <c r="I7967" s="237"/>
    </row>
    <row r="7968" spans="1:9" s="232" customFormat="1" ht="17" customHeight="1">
      <c r="A7968" s="234"/>
      <c r="B7968" s="233"/>
      <c r="C7968" s="238"/>
      <c r="E7968" s="545"/>
      <c r="F7968" s="546"/>
      <c r="G7968" s="234"/>
      <c r="H7968" s="238"/>
      <c r="I7968" s="237"/>
    </row>
    <row r="7969" spans="1:9" s="232" customFormat="1" ht="17" customHeight="1">
      <c r="A7969" s="234"/>
      <c r="B7969" s="233"/>
      <c r="C7969" s="238"/>
      <c r="E7969" s="545"/>
      <c r="F7969" s="546"/>
      <c r="G7969" s="234"/>
      <c r="H7969" s="238"/>
      <c r="I7969" s="237"/>
    </row>
    <row r="7970" spans="1:9" s="232" customFormat="1" ht="17" customHeight="1">
      <c r="A7970" s="234"/>
      <c r="B7970" s="233"/>
      <c r="C7970" s="238"/>
      <c r="E7970" s="545"/>
      <c r="F7970" s="546"/>
      <c r="G7970" s="234"/>
      <c r="H7970" s="238"/>
      <c r="I7970" s="237"/>
    </row>
    <row r="7971" spans="1:9" s="232" customFormat="1" ht="17" customHeight="1">
      <c r="A7971" s="234"/>
      <c r="B7971" s="233"/>
      <c r="C7971" s="238"/>
      <c r="E7971" s="545"/>
      <c r="F7971" s="546"/>
      <c r="G7971" s="234"/>
      <c r="H7971" s="238"/>
      <c r="I7971" s="237"/>
    </row>
    <row r="7972" spans="1:9" s="232" customFormat="1" ht="17" customHeight="1">
      <c r="A7972" s="234"/>
      <c r="B7972" s="233"/>
      <c r="C7972" s="238"/>
      <c r="E7972" s="545"/>
      <c r="F7972" s="546"/>
      <c r="G7972" s="234"/>
      <c r="H7972" s="238"/>
      <c r="I7972" s="237"/>
    </row>
    <row r="7973" spans="1:9" s="232" customFormat="1" ht="17" customHeight="1">
      <c r="A7973" s="234"/>
      <c r="B7973" s="233"/>
      <c r="C7973" s="238"/>
      <c r="E7973" s="545"/>
      <c r="F7973" s="546"/>
      <c r="G7973" s="234"/>
      <c r="H7973" s="238"/>
      <c r="I7973" s="237"/>
    </row>
    <row r="7974" spans="1:9" s="232" customFormat="1" ht="17" customHeight="1">
      <c r="A7974" s="234"/>
      <c r="B7974" s="233"/>
      <c r="C7974" s="238"/>
      <c r="E7974" s="545"/>
      <c r="F7974" s="546"/>
      <c r="G7974" s="234"/>
      <c r="H7974" s="238"/>
      <c r="I7974" s="237"/>
    </row>
    <row r="7975" spans="1:9" s="232" customFormat="1" ht="17" customHeight="1">
      <c r="A7975" s="234"/>
      <c r="B7975" s="233"/>
      <c r="C7975" s="238"/>
      <c r="E7975" s="545"/>
      <c r="F7975" s="546"/>
      <c r="G7975" s="234"/>
      <c r="H7975" s="238"/>
      <c r="I7975" s="237"/>
    </row>
    <row r="7976" spans="1:9" s="232" customFormat="1" ht="17" customHeight="1">
      <c r="A7976" s="234"/>
      <c r="B7976" s="233"/>
      <c r="C7976" s="238"/>
      <c r="E7976" s="545"/>
      <c r="F7976" s="546"/>
      <c r="G7976" s="234"/>
      <c r="H7976" s="238"/>
      <c r="I7976" s="237"/>
    </row>
    <row r="7977" spans="1:9" s="232" customFormat="1" ht="17" customHeight="1">
      <c r="A7977" s="234"/>
      <c r="B7977" s="233"/>
      <c r="C7977" s="238"/>
      <c r="E7977" s="545"/>
      <c r="F7977" s="546"/>
      <c r="G7977" s="234"/>
      <c r="H7977" s="238"/>
      <c r="I7977" s="237"/>
    </row>
    <row r="7978" spans="1:9" s="232" customFormat="1" ht="17" customHeight="1">
      <c r="A7978" s="234"/>
      <c r="B7978" s="233"/>
      <c r="C7978" s="238"/>
      <c r="E7978" s="545"/>
      <c r="F7978" s="546"/>
      <c r="G7978" s="234"/>
      <c r="H7978" s="238"/>
      <c r="I7978" s="237"/>
    </row>
    <row r="7979" spans="1:9" s="232" customFormat="1" ht="17" customHeight="1">
      <c r="A7979" s="234"/>
      <c r="B7979" s="233"/>
      <c r="C7979" s="238"/>
      <c r="E7979" s="545"/>
      <c r="F7979" s="546"/>
      <c r="G7979" s="234"/>
      <c r="H7979" s="238"/>
      <c r="I7979" s="237"/>
    </row>
    <row r="7980" spans="1:9" s="232" customFormat="1" ht="17" customHeight="1">
      <c r="A7980" s="234"/>
      <c r="B7980" s="233"/>
      <c r="C7980" s="238"/>
      <c r="E7980" s="545"/>
      <c r="F7980" s="546"/>
      <c r="G7980" s="234"/>
      <c r="H7980" s="238"/>
      <c r="I7980" s="237"/>
    </row>
    <row r="7981" spans="1:9" s="232" customFormat="1" ht="17" customHeight="1">
      <c r="A7981" s="234"/>
      <c r="B7981" s="233"/>
      <c r="C7981" s="238"/>
      <c r="E7981" s="545"/>
      <c r="F7981" s="546"/>
      <c r="G7981" s="234"/>
      <c r="H7981" s="238"/>
      <c r="I7981" s="237"/>
    </row>
    <row r="7982" spans="1:9" s="232" customFormat="1" ht="17" customHeight="1">
      <c r="A7982" s="234"/>
      <c r="B7982" s="233"/>
      <c r="C7982" s="238"/>
      <c r="E7982" s="545"/>
      <c r="F7982" s="546"/>
      <c r="G7982" s="234"/>
      <c r="H7982" s="238"/>
      <c r="I7982" s="237"/>
    </row>
    <row r="7983" spans="1:9" s="232" customFormat="1" ht="17" customHeight="1">
      <c r="A7983" s="234"/>
      <c r="B7983" s="233"/>
      <c r="C7983" s="238"/>
      <c r="E7983" s="545"/>
      <c r="F7983" s="546"/>
      <c r="G7983" s="234"/>
      <c r="H7983" s="238"/>
      <c r="I7983" s="237"/>
    </row>
    <row r="7984" spans="1:9" s="232" customFormat="1" ht="17" customHeight="1">
      <c r="A7984" s="234"/>
      <c r="B7984" s="233"/>
      <c r="C7984" s="238"/>
      <c r="E7984" s="545"/>
      <c r="F7984" s="546"/>
      <c r="G7984" s="234"/>
      <c r="H7984" s="238"/>
      <c r="I7984" s="237"/>
    </row>
    <row r="7985" spans="1:9" s="232" customFormat="1" ht="17" customHeight="1">
      <c r="A7985" s="234"/>
      <c r="B7985" s="233"/>
      <c r="C7985" s="238"/>
      <c r="E7985" s="545"/>
      <c r="F7985" s="546"/>
      <c r="G7985" s="234"/>
      <c r="H7985" s="238"/>
      <c r="I7985" s="237"/>
    </row>
    <row r="7986" spans="1:9" s="232" customFormat="1" ht="17" customHeight="1">
      <c r="A7986" s="234"/>
      <c r="B7986" s="233"/>
      <c r="C7986" s="238"/>
      <c r="E7986" s="545"/>
      <c r="F7986" s="546"/>
      <c r="G7986" s="234"/>
      <c r="H7986" s="238"/>
      <c r="I7986" s="237"/>
    </row>
    <row r="7987" spans="1:9" s="232" customFormat="1" ht="17" customHeight="1">
      <c r="A7987" s="234"/>
      <c r="B7987" s="233"/>
      <c r="C7987" s="238"/>
      <c r="E7987" s="545"/>
      <c r="F7987" s="546"/>
      <c r="G7987" s="234"/>
      <c r="H7987" s="238"/>
      <c r="I7987" s="237"/>
    </row>
    <row r="7988" spans="1:9" s="232" customFormat="1" ht="17" customHeight="1">
      <c r="A7988" s="234"/>
      <c r="B7988" s="233"/>
      <c r="C7988" s="238"/>
      <c r="E7988" s="545"/>
      <c r="F7988" s="546"/>
      <c r="G7988" s="234"/>
      <c r="H7988" s="238"/>
      <c r="I7988" s="237"/>
    </row>
    <row r="7989" spans="1:9" s="232" customFormat="1" ht="17" customHeight="1">
      <c r="A7989" s="234"/>
      <c r="B7989" s="233"/>
      <c r="C7989" s="238"/>
      <c r="E7989" s="545"/>
      <c r="F7989" s="546"/>
      <c r="G7989" s="234"/>
      <c r="H7989" s="238"/>
      <c r="I7989" s="237"/>
    </row>
    <row r="7990" spans="1:9" s="232" customFormat="1" ht="17" customHeight="1">
      <c r="A7990" s="234"/>
      <c r="B7990" s="233"/>
      <c r="C7990" s="238"/>
      <c r="E7990" s="545"/>
      <c r="F7990" s="546"/>
      <c r="G7990" s="234"/>
      <c r="H7990" s="238"/>
      <c r="I7990" s="237"/>
    </row>
    <row r="7991" spans="1:9" s="232" customFormat="1" ht="17" customHeight="1">
      <c r="A7991" s="234"/>
      <c r="B7991" s="233"/>
      <c r="C7991" s="238"/>
      <c r="E7991" s="545"/>
      <c r="F7991" s="546"/>
      <c r="G7991" s="234"/>
      <c r="H7991" s="238"/>
      <c r="I7991" s="237"/>
    </row>
    <row r="7992" spans="1:9" s="232" customFormat="1" ht="17" customHeight="1">
      <c r="A7992" s="234"/>
      <c r="B7992" s="233"/>
      <c r="C7992" s="238"/>
      <c r="E7992" s="545"/>
      <c r="F7992" s="546"/>
      <c r="G7992" s="234"/>
      <c r="H7992" s="238"/>
      <c r="I7992" s="237"/>
    </row>
    <row r="7993" spans="1:9" s="232" customFormat="1" ht="17" customHeight="1">
      <c r="A7993" s="234"/>
      <c r="B7993" s="233"/>
      <c r="C7993" s="238"/>
      <c r="E7993" s="545"/>
      <c r="F7993" s="546"/>
      <c r="G7993" s="234"/>
      <c r="H7993" s="238"/>
      <c r="I7993" s="237"/>
    </row>
    <row r="7994" spans="1:9" s="232" customFormat="1" ht="17" customHeight="1">
      <c r="A7994" s="234"/>
      <c r="B7994" s="233"/>
      <c r="C7994" s="238"/>
      <c r="E7994" s="545"/>
      <c r="F7994" s="546"/>
      <c r="G7994" s="234"/>
      <c r="H7994" s="238"/>
      <c r="I7994" s="237"/>
    </row>
    <row r="7995" spans="1:9" s="232" customFormat="1" ht="17" customHeight="1">
      <c r="A7995" s="234"/>
      <c r="B7995" s="233"/>
      <c r="C7995" s="238"/>
      <c r="E7995" s="545"/>
      <c r="F7995" s="546"/>
      <c r="G7995" s="234"/>
      <c r="H7995" s="238"/>
      <c r="I7995" s="237"/>
    </row>
    <row r="7996" spans="1:9" s="232" customFormat="1" ht="17" customHeight="1">
      <c r="A7996" s="234"/>
      <c r="B7996" s="233"/>
      <c r="C7996" s="238"/>
      <c r="E7996" s="545"/>
      <c r="F7996" s="546"/>
      <c r="G7996" s="234"/>
      <c r="H7996" s="238"/>
      <c r="I7996" s="237"/>
    </row>
    <row r="7997" spans="1:9" s="232" customFormat="1" ht="17" customHeight="1">
      <c r="A7997" s="234"/>
      <c r="B7997" s="233"/>
      <c r="C7997" s="238"/>
      <c r="E7997" s="545"/>
      <c r="F7997" s="546"/>
      <c r="G7997" s="234"/>
      <c r="H7997" s="238"/>
      <c r="I7997" s="237"/>
    </row>
    <row r="7998" spans="1:9" s="232" customFormat="1" ht="17" customHeight="1">
      <c r="A7998" s="234"/>
      <c r="B7998" s="233"/>
      <c r="C7998" s="238"/>
      <c r="E7998" s="545"/>
      <c r="F7998" s="546"/>
      <c r="G7998" s="234"/>
      <c r="H7998" s="238"/>
      <c r="I7998" s="237"/>
    </row>
    <row r="7999" spans="1:9" s="232" customFormat="1" ht="17" customHeight="1">
      <c r="A7999" s="234"/>
      <c r="B7999" s="233"/>
      <c r="C7999" s="238"/>
      <c r="E7999" s="545"/>
      <c r="F7999" s="546"/>
      <c r="G7999" s="234"/>
      <c r="H7999" s="238"/>
      <c r="I7999" s="237"/>
    </row>
    <row r="8000" spans="1:9" s="232" customFormat="1" ht="17" customHeight="1">
      <c r="A8000" s="234"/>
      <c r="B8000" s="233"/>
      <c r="C8000" s="238"/>
      <c r="E8000" s="545"/>
      <c r="F8000" s="546"/>
      <c r="G8000" s="234"/>
      <c r="H8000" s="238"/>
      <c r="I8000" s="237"/>
    </row>
    <row r="8001" spans="1:9" s="232" customFormat="1" ht="17" customHeight="1">
      <c r="A8001" s="234"/>
      <c r="B8001" s="233"/>
      <c r="C8001" s="238"/>
      <c r="E8001" s="545"/>
      <c r="F8001" s="546"/>
      <c r="G8001" s="234"/>
      <c r="H8001" s="238"/>
      <c r="I8001" s="237"/>
    </row>
    <row r="8002" spans="1:9" s="232" customFormat="1" ht="17" customHeight="1">
      <c r="A8002" s="234"/>
      <c r="B8002" s="233"/>
      <c r="C8002" s="238"/>
      <c r="E8002" s="545"/>
      <c r="F8002" s="546"/>
      <c r="G8002" s="234"/>
      <c r="H8002" s="238"/>
      <c r="I8002" s="237"/>
    </row>
    <row r="8003" spans="1:9" s="232" customFormat="1" ht="17" customHeight="1">
      <c r="A8003" s="234"/>
      <c r="B8003" s="233"/>
      <c r="C8003" s="238"/>
      <c r="E8003" s="545"/>
      <c r="F8003" s="546"/>
      <c r="G8003" s="234"/>
      <c r="H8003" s="238"/>
      <c r="I8003" s="237"/>
    </row>
    <row r="8004" spans="1:9" s="232" customFormat="1" ht="17" customHeight="1">
      <c r="A8004" s="234"/>
      <c r="B8004" s="233"/>
      <c r="C8004" s="238"/>
      <c r="E8004" s="545"/>
      <c r="F8004" s="546"/>
      <c r="G8004" s="234"/>
      <c r="H8004" s="238"/>
      <c r="I8004" s="237"/>
    </row>
    <row r="8005" spans="1:9" s="232" customFormat="1" ht="17" customHeight="1">
      <c r="A8005" s="234"/>
      <c r="B8005" s="233"/>
      <c r="C8005" s="238"/>
      <c r="E8005" s="545"/>
      <c r="F8005" s="546"/>
      <c r="G8005" s="234"/>
      <c r="H8005" s="238"/>
      <c r="I8005" s="237"/>
    </row>
    <row r="8006" spans="1:9" s="232" customFormat="1" ht="17" customHeight="1">
      <c r="A8006" s="234"/>
      <c r="B8006" s="233"/>
      <c r="C8006" s="238"/>
      <c r="E8006" s="545"/>
      <c r="F8006" s="546"/>
      <c r="G8006" s="234"/>
      <c r="H8006" s="238"/>
      <c r="I8006" s="237"/>
    </row>
    <row r="8007" spans="1:9" s="232" customFormat="1" ht="17" customHeight="1">
      <c r="A8007" s="234"/>
      <c r="B8007" s="233"/>
      <c r="C8007" s="238"/>
      <c r="E8007" s="545"/>
      <c r="F8007" s="546"/>
      <c r="G8007" s="234"/>
      <c r="H8007" s="238"/>
      <c r="I8007" s="237"/>
    </row>
    <row r="8008" spans="1:9" s="232" customFormat="1" ht="17" customHeight="1">
      <c r="A8008" s="234"/>
      <c r="B8008" s="233"/>
      <c r="C8008" s="238"/>
      <c r="E8008" s="545"/>
      <c r="F8008" s="546"/>
      <c r="G8008" s="234"/>
      <c r="H8008" s="238"/>
      <c r="I8008" s="237"/>
    </row>
    <row r="8009" spans="1:9" s="232" customFormat="1" ht="17" customHeight="1">
      <c r="A8009" s="234"/>
      <c r="B8009" s="233"/>
      <c r="C8009" s="238"/>
      <c r="E8009" s="545"/>
      <c r="F8009" s="546"/>
      <c r="G8009" s="234"/>
      <c r="H8009" s="238"/>
      <c r="I8009" s="237"/>
    </row>
    <row r="8010" spans="1:9" s="232" customFormat="1" ht="17" customHeight="1">
      <c r="A8010" s="234"/>
      <c r="B8010" s="233"/>
      <c r="C8010" s="238"/>
      <c r="E8010" s="545"/>
      <c r="F8010" s="546"/>
      <c r="G8010" s="234"/>
      <c r="H8010" s="238"/>
      <c r="I8010" s="237"/>
    </row>
    <row r="8011" spans="1:9" s="232" customFormat="1" ht="17" customHeight="1">
      <c r="A8011" s="234"/>
      <c r="B8011" s="233"/>
      <c r="C8011" s="238"/>
      <c r="E8011" s="545"/>
      <c r="F8011" s="546"/>
      <c r="G8011" s="234"/>
      <c r="H8011" s="238"/>
      <c r="I8011" s="237"/>
    </row>
    <row r="8012" spans="1:9" s="232" customFormat="1" ht="17" customHeight="1">
      <c r="A8012" s="234"/>
      <c r="B8012" s="233"/>
      <c r="C8012" s="238"/>
      <c r="E8012" s="545"/>
      <c r="F8012" s="546"/>
      <c r="G8012" s="234"/>
      <c r="H8012" s="238"/>
      <c r="I8012" s="237"/>
    </row>
    <row r="8013" spans="1:9" s="232" customFormat="1" ht="17" customHeight="1">
      <c r="A8013" s="234"/>
      <c r="B8013" s="233"/>
      <c r="C8013" s="238"/>
      <c r="E8013" s="545"/>
      <c r="F8013" s="546"/>
      <c r="G8013" s="234"/>
      <c r="H8013" s="238"/>
      <c r="I8013" s="237"/>
    </row>
    <row r="8014" spans="1:9" s="232" customFormat="1" ht="17" customHeight="1">
      <c r="A8014" s="234"/>
      <c r="B8014" s="233"/>
      <c r="C8014" s="238"/>
      <c r="E8014" s="545"/>
      <c r="F8014" s="546"/>
      <c r="G8014" s="234"/>
      <c r="H8014" s="238"/>
      <c r="I8014" s="237"/>
    </row>
    <row r="8015" spans="1:9" s="232" customFormat="1" ht="17" customHeight="1">
      <c r="A8015" s="234"/>
      <c r="B8015" s="233"/>
      <c r="C8015" s="238"/>
      <c r="E8015" s="545"/>
      <c r="F8015" s="546"/>
      <c r="G8015" s="234"/>
      <c r="H8015" s="238"/>
      <c r="I8015" s="237"/>
    </row>
    <row r="8016" spans="1:9" s="232" customFormat="1" ht="17" customHeight="1">
      <c r="A8016" s="234"/>
      <c r="B8016" s="233"/>
      <c r="C8016" s="238"/>
      <c r="E8016" s="545"/>
      <c r="F8016" s="546"/>
      <c r="G8016" s="234"/>
      <c r="H8016" s="238"/>
      <c r="I8016" s="237"/>
    </row>
    <row r="8017" spans="1:9" s="232" customFormat="1" ht="17" customHeight="1">
      <c r="A8017" s="234"/>
      <c r="B8017" s="233"/>
      <c r="C8017" s="238"/>
      <c r="E8017" s="545"/>
      <c r="F8017" s="546"/>
      <c r="G8017" s="234"/>
      <c r="H8017" s="238"/>
      <c r="I8017" s="237"/>
    </row>
    <row r="8018" spans="1:9" s="232" customFormat="1" ht="17" customHeight="1">
      <c r="A8018" s="234"/>
      <c r="B8018" s="233"/>
      <c r="C8018" s="238"/>
      <c r="E8018" s="545"/>
      <c r="F8018" s="546"/>
      <c r="G8018" s="234"/>
      <c r="H8018" s="238"/>
      <c r="I8018" s="237"/>
    </row>
    <row r="8019" spans="1:9" s="232" customFormat="1" ht="17" customHeight="1">
      <c r="A8019" s="234"/>
      <c r="B8019" s="233"/>
      <c r="C8019" s="238"/>
      <c r="E8019" s="545"/>
      <c r="F8019" s="546"/>
      <c r="G8019" s="234"/>
      <c r="H8019" s="238"/>
      <c r="I8019" s="237"/>
    </row>
    <row r="8020" spans="1:9" s="232" customFormat="1" ht="17" customHeight="1">
      <c r="A8020" s="234"/>
      <c r="B8020" s="233"/>
      <c r="C8020" s="238"/>
      <c r="E8020" s="545"/>
      <c r="F8020" s="546"/>
      <c r="G8020" s="234"/>
      <c r="H8020" s="238"/>
      <c r="I8020" s="237"/>
    </row>
    <row r="8021" spans="1:9" s="232" customFormat="1" ht="17" customHeight="1">
      <c r="A8021" s="234"/>
      <c r="B8021" s="233"/>
      <c r="C8021" s="238"/>
      <c r="E8021" s="545"/>
      <c r="F8021" s="546"/>
      <c r="G8021" s="234"/>
      <c r="H8021" s="238"/>
      <c r="I8021" s="237"/>
    </row>
    <row r="8022" spans="1:9" s="232" customFormat="1" ht="17" customHeight="1">
      <c r="A8022" s="234"/>
      <c r="B8022" s="233"/>
      <c r="C8022" s="238"/>
      <c r="E8022" s="545"/>
      <c r="F8022" s="546"/>
      <c r="G8022" s="234"/>
      <c r="H8022" s="238"/>
      <c r="I8022" s="237"/>
    </row>
    <row r="8023" spans="1:9" s="232" customFormat="1" ht="17" customHeight="1">
      <c r="A8023" s="234"/>
      <c r="B8023" s="233"/>
      <c r="C8023" s="238"/>
      <c r="E8023" s="545"/>
      <c r="F8023" s="546"/>
      <c r="G8023" s="234"/>
      <c r="H8023" s="238"/>
      <c r="I8023" s="237"/>
    </row>
    <row r="8024" spans="1:9" s="232" customFormat="1" ht="17" customHeight="1">
      <c r="A8024" s="234"/>
      <c r="B8024" s="233"/>
      <c r="C8024" s="238"/>
      <c r="E8024" s="545"/>
      <c r="F8024" s="546"/>
      <c r="G8024" s="234"/>
      <c r="H8024" s="238"/>
      <c r="I8024" s="237"/>
    </row>
    <row r="8025" spans="1:9" s="232" customFormat="1" ht="17" customHeight="1">
      <c r="A8025" s="234"/>
      <c r="B8025" s="233"/>
      <c r="C8025" s="238"/>
      <c r="E8025" s="545"/>
      <c r="F8025" s="546"/>
      <c r="G8025" s="234"/>
      <c r="H8025" s="238"/>
      <c r="I8025" s="237"/>
    </row>
    <row r="8026" spans="1:9" s="232" customFormat="1" ht="17" customHeight="1">
      <c r="A8026" s="234"/>
      <c r="B8026" s="233"/>
      <c r="C8026" s="238"/>
      <c r="E8026" s="545"/>
      <c r="F8026" s="546"/>
      <c r="G8026" s="234"/>
      <c r="H8026" s="238"/>
      <c r="I8026" s="237"/>
    </row>
    <row r="8027" spans="1:9" s="232" customFormat="1" ht="17" customHeight="1">
      <c r="A8027" s="234"/>
      <c r="B8027" s="233"/>
      <c r="C8027" s="238"/>
      <c r="E8027" s="545"/>
      <c r="F8027" s="546"/>
      <c r="G8027" s="234"/>
      <c r="H8027" s="238"/>
      <c r="I8027" s="237"/>
    </row>
    <row r="8028" spans="1:9" s="232" customFormat="1" ht="17" customHeight="1">
      <c r="A8028" s="234"/>
      <c r="B8028" s="233"/>
      <c r="C8028" s="238"/>
      <c r="E8028" s="545"/>
      <c r="F8028" s="546"/>
      <c r="G8028" s="234"/>
      <c r="H8028" s="238"/>
      <c r="I8028" s="237"/>
    </row>
    <row r="8029" spans="1:9" s="232" customFormat="1" ht="17" customHeight="1">
      <c r="A8029" s="234"/>
      <c r="B8029" s="233"/>
      <c r="C8029" s="238"/>
      <c r="E8029" s="545"/>
      <c r="F8029" s="546"/>
      <c r="G8029" s="234"/>
      <c r="H8029" s="238"/>
      <c r="I8029" s="237"/>
    </row>
    <row r="8030" spans="1:9" s="232" customFormat="1" ht="17" customHeight="1">
      <c r="A8030" s="234"/>
      <c r="B8030" s="233"/>
      <c r="C8030" s="238"/>
      <c r="E8030" s="545"/>
      <c r="F8030" s="546"/>
      <c r="G8030" s="234"/>
      <c r="H8030" s="238"/>
      <c r="I8030" s="237"/>
    </row>
    <row r="8031" spans="1:9" s="232" customFormat="1" ht="17" customHeight="1">
      <c r="A8031" s="234"/>
      <c r="B8031" s="233"/>
      <c r="C8031" s="238"/>
      <c r="E8031" s="545"/>
      <c r="F8031" s="546"/>
      <c r="G8031" s="234"/>
      <c r="H8031" s="238"/>
      <c r="I8031" s="237"/>
    </row>
    <row r="8032" spans="1:9" s="232" customFormat="1" ht="17" customHeight="1">
      <c r="A8032" s="234"/>
      <c r="B8032" s="233"/>
      <c r="C8032" s="238"/>
      <c r="E8032" s="545"/>
      <c r="F8032" s="546"/>
      <c r="G8032" s="234"/>
      <c r="H8032" s="238"/>
      <c r="I8032" s="237"/>
    </row>
    <row r="8033" spans="1:9" s="232" customFormat="1" ht="17" customHeight="1">
      <c r="A8033" s="234"/>
      <c r="B8033" s="233"/>
      <c r="C8033" s="238"/>
      <c r="E8033" s="545"/>
      <c r="F8033" s="546"/>
      <c r="G8033" s="234"/>
      <c r="H8033" s="238"/>
      <c r="I8033" s="237"/>
    </row>
    <row r="8034" spans="1:9" s="232" customFormat="1" ht="17" customHeight="1">
      <c r="A8034" s="234"/>
      <c r="B8034" s="233"/>
      <c r="C8034" s="238"/>
      <c r="E8034" s="545"/>
      <c r="F8034" s="546"/>
      <c r="G8034" s="234"/>
      <c r="H8034" s="238"/>
      <c r="I8034" s="237"/>
    </row>
    <row r="8035" spans="1:9" s="232" customFormat="1" ht="17" customHeight="1">
      <c r="A8035" s="234"/>
      <c r="B8035" s="233"/>
      <c r="C8035" s="238"/>
      <c r="E8035" s="545"/>
      <c r="F8035" s="546"/>
      <c r="G8035" s="234"/>
      <c r="H8035" s="238"/>
      <c r="I8035" s="237"/>
    </row>
    <row r="8036" spans="1:9" s="232" customFormat="1" ht="17" customHeight="1">
      <c r="A8036" s="234"/>
      <c r="B8036" s="233"/>
      <c r="C8036" s="238"/>
      <c r="E8036" s="545"/>
      <c r="F8036" s="546"/>
      <c r="G8036" s="234"/>
      <c r="H8036" s="238"/>
      <c r="I8036" s="237"/>
    </row>
    <row r="8037" spans="1:9" s="232" customFormat="1" ht="17" customHeight="1">
      <c r="A8037" s="234"/>
      <c r="B8037" s="233"/>
      <c r="C8037" s="238"/>
      <c r="E8037" s="545"/>
      <c r="F8037" s="546"/>
      <c r="G8037" s="234"/>
      <c r="H8037" s="238"/>
      <c r="I8037" s="237"/>
    </row>
    <row r="8038" spans="1:9" s="232" customFormat="1" ht="17" customHeight="1">
      <c r="A8038" s="234"/>
      <c r="B8038" s="233"/>
      <c r="C8038" s="238"/>
      <c r="E8038" s="545"/>
      <c r="F8038" s="546"/>
      <c r="G8038" s="234"/>
      <c r="H8038" s="238"/>
      <c r="I8038" s="237"/>
    </row>
    <row r="8039" spans="1:9" s="232" customFormat="1" ht="17" customHeight="1">
      <c r="A8039" s="234"/>
      <c r="B8039" s="233"/>
      <c r="C8039" s="238"/>
      <c r="E8039" s="545"/>
      <c r="F8039" s="546"/>
      <c r="G8039" s="234"/>
      <c r="H8039" s="238"/>
      <c r="I8039" s="237"/>
    </row>
    <row r="8040" spans="1:9" s="232" customFormat="1" ht="17" customHeight="1">
      <c r="A8040" s="234"/>
      <c r="B8040" s="233"/>
      <c r="C8040" s="238"/>
      <c r="E8040" s="545"/>
      <c r="F8040" s="546"/>
      <c r="G8040" s="234"/>
      <c r="H8040" s="238"/>
      <c r="I8040" s="237"/>
    </row>
    <row r="8041" spans="1:9" s="232" customFormat="1" ht="17" customHeight="1">
      <c r="A8041" s="234"/>
      <c r="B8041" s="233"/>
      <c r="C8041" s="238"/>
      <c r="E8041" s="545"/>
      <c r="F8041" s="546"/>
      <c r="G8041" s="234"/>
      <c r="H8041" s="238"/>
      <c r="I8041" s="237"/>
    </row>
    <row r="8042" spans="1:9" s="232" customFormat="1" ht="17" customHeight="1">
      <c r="A8042" s="234"/>
      <c r="B8042" s="233"/>
      <c r="C8042" s="238"/>
      <c r="E8042" s="545"/>
      <c r="F8042" s="546"/>
      <c r="G8042" s="234"/>
      <c r="H8042" s="238"/>
      <c r="I8042" s="237"/>
    </row>
    <row r="8043" spans="1:9" s="232" customFormat="1" ht="17" customHeight="1">
      <c r="A8043" s="234"/>
      <c r="B8043" s="233"/>
      <c r="C8043" s="238"/>
      <c r="E8043" s="545"/>
      <c r="F8043" s="546"/>
      <c r="G8043" s="234"/>
      <c r="H8043" s="238"/>
      <c r="I8043" s="237"/>
    </row>
    <row r="8044" spans="1:9" s="232" customFormat="1" ht="17" customHeight="1">
      <c r="A8044" s="234"/>
      <c r="B8044" s="233"/>
      <c r="C8044" s="238"/>
      <c r="E8044" s="545"/>
      <c r="F8044" s="546"/>
      <c r="G8044" s="234"/>
      <c r="H8044" s="238"/>
      <c r="I8044" s="237"/>
    </row>
    <row r="8045" spans="1:9" s="232" customFormat="1" ht="17" customHeight="1">
      <c r="A8045" s="234"/>
      <c r="B8045" s="233"/>
      <c r="C8045" s="238"/>
      <c r="E8045" s="545"/>
      <c r="F8045" s="546"/>
      <c r="G8045" s="234"/>
      <c r="H8045" s="238"/>
      <c r="I8045" s="237"/>
    </row>
    <row r="8046" spans="1:9" s="232" customFormat="1" ht="17" customHeight="1">
      <c r="A8046" s="234"/>
      <c r="B8046" s="233"/>
      <c r="C8046" s="238"/>
      <c r="E8046" s="545"/>
      <c r="F8046" s="546"/>
      <c r="G8046" s="234"/>
      <c r="H8046" s="238"/>
      <c r="I8046" s="237"/>
    </row>
    <row r="8047" spans="1:9" s="232" customFormat="1" ht="17" customHeight="1">
      <c r="A8047" s="234"/>
      <c r="B8047" s="233"/>
      <c r="C8047" s="238"/>
      <c r="E8047" s="545"/>
      <c r="F8047" s="546"/>
      <c r="G8047" s="234"/>
      <c r="H8047" s="238"/>
      <c r="I8047" s="237"/>
    </row>
    <row r="8048" spans="1:9" s="232" customFormat="1" ht="17" customHeight="1">
      <c r="A8048" s="234"/>
      <c r="B8048" s="233"/>
      <c r="C8048" s="238"/>
      <c r="E8048" s="545"/>
      <c r="F8048" s="546"/>
      <c r="G8048" s="234"/>
      <c r="H8048" s="238"/>
      <c r="I8048" s="237"/>
    </row>
    <row r="8049" spans="1:9" s="232" customFormat="1" ht="17" customHeight="1">
      <c r="A8049" s="234"/>
      <c r="B8049" s="233"/>
      <c r="C8049" s="238"/>
      <c r="E8049" s="545"/>
      <c r="F8049" s="546"/>
      <c r="G8049" s="234"/>
      <c r="H8049" s="238"/>
      <c r="I8049" s="237"/>
    </row>
    <row r="8050" spans="1:9" s="232" customFormat="1" ht="17" customHeight="1">
      <c r="A8050" s="234"/>
      <c r="B8050" s="233"/>
      <c r="C8050" s="238"/>
      <c r="E8050" s="545"/>
      <c r="F8050" s="546"/>
      <c r="G8050" s="234"/>
      <c r="H8050" s="238"/>
      <c r="I8050" s="237"/>
    </row>
    <row r="8051" spans="1:9" s="232" customFormat="1" ht="17" customHeight="1">
      <c r="A8051" s="234"/>
      <c r="B8051" s="233"/>
      <c r="C8051" s="238"/>
      <c r="E8051" s="545"/>
      <c r="F8051" s="546"/>
      <c r="G8051" s="234"/>
      <c r="H8051" s="238"/>
      <c r="I8051" s="237"/>
    </row>
    <row r="8052" spans="1:9" s="232" customFormat="1" ht="17" customHeight="1">
      <c r="A8052" s="234"/>
      <c r="B8052" s="233"/>
      <c r="C8052" s="238"/>
      <c r="E8052" s="545"/>
      <c r="F8052" s="546"/>
      <c r="G8052" s="234"/>
      <c r="H8052" s="238"/>
      <c r="I8052" s="237"/>
    </row>
    <row r="8053" spans="1:9" s="232" customFormat="1" ht="17" customHeight="1">
      <c r="A8053" s="234"/>
      <c r="B8053" s="233"/>
      <c r="C8053" s="238"/>
      <c r="E8053" s="545"/>
      <c r="F8053" s="546"/>
      <c r="G8053" s="234"/>
      <c r="H8053" s="238"/>
      <c r="I8053" s="237"/>
    </row>
    <row r="8054" spans="1:9" s="232" customFormat="1" ht="17" customHeight="1">
      <c r="A8054" s="234"/>
      <c r="B8054" s="233"/>
      <c r="C8054" s="238"/>
      <c r="E8054" s="545"/>
      <c r="F8054" s="546"/>
      <c r="G8054" s="234"/>
      <c r="H8054" s="238"/>
      <c r="I8054" s="237"/>
    </row>
    <row r="8055" spans="1:9" s="232" customFormat="1" ht="17" customHeight="1">
      <c r="A8055" s="234"/>
      <c r="B8055" s="233"/>
      <c r="C8055" s="238"/>
      <c r="E8055" s="545"/>
      <c r="F8055" s="546"/>
      <c r="G8055" s="234"/>
      <c r="H8055" s="238"/>
      <c r="I8055" s="237"/>
    </row>
    <row r="8056" spans="1:9" s="232" customFormat="1" ht="17" customHeight="1">
      <c r="A8056" s="234"/>
      <c r="B8056" s="233"/>
      <c r="C8056" s="238"/>
      <c r="E8056" s="545"/>
      <c r="F8056" s="546"/>
      <c r="G8056" s="234"/>
      <c r="H8056" s="238"/>
      <c r="I8056" s="237"/>
    </row>
    <row r="8057" spans="1:9" s="232" customFormat="1" ht="17" customHeight="1">
      <c r="A8057" s="234"/>
      <c r="B8057" s="233"/>
      <c r="C8057" s="238"/>
      <c r="E8057" s="545"/>
      <c r="F8057" s="546"/>
      <c r="G8057" s="234"/>
      <c r="H8057" s="238"/>
      <c r="I8057" s="237"/>
    </row>
    <row r="8058" spans="1:9" s="232" customFormat="1" ht="17" customHeight="1">
      <c r="A8058" s="234"/>
      <c r="B8058" s="233"/>
      <c r="C8058" s="238"/>
      <c r="E8058" s="545"/>
      <c r="F8058" s="546"/>
      <c r="G8058" s="234"/>
      <c r="H8058" s="238"/>
      <c r="I8058" s="237"/>
    </row>
    <row r="8059" spans="1:9" s="232" customFormat="1" ht="17" customHeight="1">
      <c r="A8059" s="234"/>
      <c r="B8059" s="233"/>
      <c r="C8059" s="238"/>
      <c r="E8059" s="545"/>
      <c r="F8059" s="546"/>
      <c r="G8059" s="234"/>
      <c r="H8059" s="238"/>
      <c r="I8059" s="237"/>
    </row>
    <row r="8060" spans="1:9" s="232" customFormat="1" ht="17" customHeight="1">
      <c r="A8060" s="234"/>
      <c r="B8060" s="233"/>
      <c r="C8060" s="238"/>
      <c r="E8060" s="545"/>
      <c r="F8060" s="546"/>
      <c r="G8060" s="234"/>
      <c r="H8060" s="238"/>
      <c r="I8060" s="237"/>
    </row>
    <row r="8061" spans="1:9" s="232" customFormat="1" ht="17" customHeight="1">
      <c r="A8061" s="234"/>
      <c r="B8061" s="233"/>
      <c r="C8061" s="238"/>
      <c r="E8061" s="545"/>
      <c r="F8061" s="546"/>
      <c r="G8061" s="234"/>
      <c r="H8061" s="238"/>
      <c r="I8061" s="237"/>
    </row>
    <row r="8062" spans="1:9" s="232" customFormat="1" ht="17" customHeight="1">
      <c r="A8062" s="234"/>
      <c r="B8062" s="233"/>
      <c r="C8062" s="238"/>
      <c r="E8062" s="545"/>
      <c r="F8062" s="546"/>
      <c r="G8062" s="234"/>
      <c r="H8062" s="238"/>
      <c r="I8062" s="237"/>
    </row>
    <row r="8063" spans="1:9" s="232" customFormat="1" ht="17" customHeight="1">
      <c r="A8063" s="234"/>
      <c r="B8063" s="233"/>
      <c r="C8063" s="238"/>
      <c r="E8063" s="545"/>
      <c r="F8063" s="546"/>
      <c r="G8063" s="234"/>
      <c r="H8063" s="238"/>
      <c r="I8063" s="237"/>
    </row>
    <row r="8064" spans="1:9" s="232" customFormat="1" ht="17" customHeight="1">
      <c r="A8064" s="234"/>
      <c r="B8064" s="233"/>
      <c r="C8064" s="238"/>
      <c r="E8064" s="545"/>
      <c r="F8064" s="546"/>
      <c r="G8064" s="234"/>
      <c r="H8064" s="238"/>
      <c r="I8064" s="237"/>
    </row>
    <row r="8065" spans="1:9" s="232" customFormat="1" ht="17" customHeight="1">
      <c r="A8065" s="234"/>
      <c r="B8065" s="233"/>
      <c r="C8065" s="238"/>
      <c r="E8065" s="545"/>
      <c r="F8065" s="546"/>
      <c r="G8065" s="234"/>
      <c r="H8065" s="238"/>
      <c r="I8065" s="237"/>
    </row>
    <row r="8066" spans="1:9" s="232" customFormat="1" ht="17" customHeight="1">
      <c r="A8066" s="234"/>
      <c r="B8066" s="233"/>
      <c r="C8066" s="238"/>
      <c r="E8066" s="545"/>
      <c r="F8066" s="546"/>
      <c r="G8066" s="234"/>
      <c r="H8066" s="238"/>
      <c r="I8066" s="237"/>
    </row>
    <row r="8067" spans="1:9" s="232" customFormat="1" ht="17" customHeight="1">
      <c r="A8067" s="234"/>
      <c r="B8067" s="233"/>
      <c r="C8067" s="238"/>
      <c r="E8067" s="545"/>
      <c r="F8067" s="546"/>
      <c r="G8067" s="234"/>
      <c r="H8067" s="238"/>
      <c r="I8067" s="237"/>
    </row>
    <row r="8068" spans="1:9" s="232" customFormat="1" ht="17" customHeight="1">
      <c r="A8068" s="234"/>
      <c r="B8068" s="233"/>
      <c r="C8068" s="238"/>
      <c r="E8068" s="545"/>
      <c r="F8068" s="546"/>
      <c r="G8068" s="234"/>
      <c r="H8068" s="238"/>
      <c r="I8068" s="237"/>
    </row>
    <row r="8069" spans="1:9" s="232" customFormat="1" ht="17" customHeight="1">
      <c r="A8069" s="234"/>
      <c r="B8069" s="233"/>
      <c r="C8069" s="238"/>
      <c r="E8069" s="545"/>
      <c r="F8069" s="546"/>
      <c r="G8069" s="234"/>
      <c r="H8069" s="238"/>
      <c r="I8069" s="237"/>
    </row>
    <row r="8070" spans="1:9" s="232" customFormat="1" ht="17" customHeight="1">
      <c r="A8070" s="234"/>
      <c r="B8070" s="233"/>
      <c r="C8070" s="238"/>
      <c r="E8070" s="545"/>
      <c r="F8070" s="546"/>
      <c r="G8070" s="234"/>
      <c r="H8070" s="238"/>
      <c r="I8070" s="237"/>
    </row>
    <row r="8071" spans="1:9" s="232" customFormat="1" ht="17" customHeight="1">
      <c r="A8071" s="234"/>
      <c r="B8071" s="233"/>
      <c r="C8071" s="238"/>
      <c r="E8071" s="545"/>
      <c r="F8071" s="546"/>
      <c r="G8071" s="234"/>
      <c r="H8071" s="238"/>
      <c r="I8071" s="237"/>
    </row>
    <row r="8072" spans="1:9" s="232" customFormat="1" ht="17" customHeight="1">
      <c r="A8072" s="234"/>
      <c r="B8072" s="233"/>
      <c r="C8072" s="238"/>
      <c r="E8072" s="545"/>
      <c r="F8072" s="546"/>
      <c r="G8072" s="234"/>
      <c r="H8072" s="238"/>
      <c r="I8072" s="237"/>
    </row>
    <row r="8073" spans="1:9" s="232" customFormat="1" ht="17" customHeight="1">
      <c r="A8073" s="234"/>
      <c r="B8073" s="233"/>
      <c r="C8073" s="238"/>
      <c r="E8073" s="545"/>
      <c r="F8073" s="546"/>
      <c r="G8073" s="234"/>
      <c r="H8073" s="238"/>
      <c r="I8073" s="237"/>
    </row>
    <row r="8074" spans="1:9" s="232" customFormat="1" ht="17" customHeight="1">
      <c r="A8074" s="234"/>
      <c r="B8074" s="233"/>
      <c r="C8074" s="238"/>
      <c r="E8074" s="545"/>
      <c r="F8074" s="546"/>
      <c r="G8074" s="234"/>
      <c r="H8074" s="238"/>
      <c r="I8074" s="237"/>
    </row>
    <row r="8075" spans="1:9" s="232" customFormat="1" ht="17" customHeight="1">
      <c r="A8075" s="234"/>
      <c r="B8075" s="233"/>
      <c r="C8075" s="238"/>
      <c r="E8075" s="545"/>
      <c r="F8075" s="546"/>
      <c r="G8075" s="234"/>
      <c r="H8075" s="238"/>
      <c r="I8075" s="237"/>
    </row>
    <row r="8076" spans="1:9" s="232" customFormat="1" ht="17" customHeight="1">
      <c r="A8076" s="234"/>
      <c r="B8076" s="233"/>
      <c r="C8076" s="238"/>
      <c r="E8076" s="545"/>
      <c r="F8076" s="546"/>
      <c r="G8076" s="234"/>
      <c r="H8076" s="238"/>
      <c r="I8076" s="237"/>
    </row>
    <row r="8077" spans="1:9" s="232" customFormat="1" ht="17" customHeight="1">
      <c r="A8077" s="234"/>
      <c r="B8077" s="233"/>
      <c r="C8077" s="238"/>
      <c r="E8077" s="545"/>
      <c r="F8077" s="546"/>
      <c r="G8077" s="234"/>
      <c r="H8077" s="238"/>
      <c r="I8077" s="237"/>
    </row>
    <row r="8078" spans="1:9" s="232" customFormat="1" ht="17" customHeight="1">
      <c r="A8078" s="234"/>
      <c r="B8078" s="233"/>
      <c r="C8078" s="238"/>
      <c r="E8078" s="545"/>
      <c r="F8078" s="546"/>
      <c r="G8078" s="234"/>
      <c r="H8078" s="238"/>
      <c r="I8078" s="237"/>
    </row>
    <row r="8079" spans="1:9" s="232" customFormat="1" ht="17" customHeight="1">
      <c r="A8079" s="234"/>
      <c r="B8079" s="233"/>
      <c r="C8079" s="238"/>
      <c r="E8079" s="545"/>
      <c r="F8079" s="546"/>
      <c r="G8079" s="234"/>
      <c r="H8079" s="238"/>
      <c r="I8079" s="237"/>
    </row>
    <row r="8080" spans="1:9" s="232" customFormat="1" ht="17" customHeight="1">
      <c r="A8080" s="234"/>
      <c r="B8080" s="233"/>
      <c r="C8080" s="238"/>
      <c r="E8080" s="545"/>
      <c r="F8080" s="546"/>
      <c r="G8080" s="234"/>
      <c r="H8080" s="238"/>
      <c r="I8080" s="237"/>
    </row>
    <row r="8081" spans="1:9" s="232" customFormat="1" ht="17" customHeight="1">
      <c r="A8081" s="234"/>
      <c r="B8081" s="233"/>
      <c r="C8081" s="238"/>
      <c r="E8081" s="545"/>
      <c r="F8081" s="546"/>
      <c r="G8081" s="234"/>
      <c r="H8081" s="238"/>
      <c r="I8081" s="237"/>
    </row>
    <row r="8082" spans="1:9" s="232" customFormat="1" ht="17" customHeight="1">
      <c r="A8082" s="234"/>
      <c r="B8082" s="233"/>
      <c r="C8082" s="238"/>
      <c r="E8082" s="545"/>
      <c r="F8082" s="546"/>
      <c r="G8082" s="234"/>
      <c r="H8082" s="238"/>
      <c r="I8082" s="237"/>
    </row>
    <row r="8083" spans="1:9" s="232" customFormat="1" ht="17" customHeight="1">
      <c r="A8083" s="234"/>
      <c r="B8083" s="233"/>
      <c r="C8083" s="238"/>
      <c r="E8083" s="545"/>
      <c r="F8083" s="546"/>
      <c r="G8083" s="234"/>
      <c r="H8083" s="238"/>
      <c r="I8083" s="237"/>
    </row>
    <row r="8084" spans="1:9" s="232" customFormat="1" ht="17" customHeight="1">
      <c r="A8084" s="234"/>
      <c r="B8084" s="233"/>
      <c r="C8084" s="238"/>
      <c r="E8084" s="545"/>
      <c r="F8084" s="546"/>
      <c r="G8084" s="234"/>
      <c r="H8084" s="238"/>
      <c r="I8084" s="237"/>
    </row>
    <row r="8085" spans="1:9" s="232" customFormat="1" ht="17" customHeight="1">
      <c r="A8085" s="234"/>
      <c r="B8085" s="233"/>
      <c r="C8085" s="238"/>
      <c r="E8085" s="545"/>
      <c r="F8085" s="546"/>
      <c r="G8085" s="234"/>
      <c r="H8085" s="238"/>
      <c r="I8085" s="237"/>
    </row>
    <row r="8086" spans="1:9" s="232" customFormat="1" ht="17" customHeight="1">
      <c r="A8086" s="234"/>
      <c r="B8086" s="233"/>
      <c r="C8086" s="238"/>
      <c r="E8086" s="545"/>
      <c r="F8086" s="546"/>
      <c r="G8086" s="234"/>
      <c r="H8086" s="238"/>
      <c r="I8086" s="237"/>
    </row>
    <row r="8087" spans="1:9" s="232" customFormat="1" ht="17" customHeight="1">
      <c r="A8087" s="234"/>
      <c r="B8087" s="233"/>
      <c r="C8087" s="238"/>
      <c r="E8087" s="545"/>
      <c r="F8087" s="546"/>
      <c r="G8087" s="234"/>
      <c r="H8087" s="238"/>
      <c r="I8087" s="237"/>
    </row>
    <row r="8088" spans="1:9" s="232" customFormat="1" ht="17" customHeight="1">
      <c r="A8088" s="234"/>
      <c r="B8088" s="233"/>
      <c r="C8088" s="238"/>
      <c r="E8088" s="545"/>
      <c r="F8088" s="546"/>
      <c r="G8088" s="234"/>
      <c r="H8088" s="238"/>
      <c r="I8088" s="237"/>
    </row>
    <row r="8089" spans="1:9" s="232" customFormat="1" ht="17" customHeight="1">
      <c r="A8089" s="234"/>
      <c r="B8089" s="233"/>
      <c r="C8089" s="238"/>
      <c r="E8089" s="545"/>
      <c r="F8089" s="546"/>
      <c r="G8089" s="234"/>
      <c r="H8089" s="238"/>
      <c r="I8089" s="237"/>
    </row>
    <row r="8090" spans="1:9" s="232" customFormat="1" ht="17" customHeight="1">
      <c r="A8090" s="234"/>
      <c r="B8090" s="233"/>
      <c r="C8090" s="238"/>
      <c r="E8090" s="545"/>
      <c r="F8090" s="546"/>
      <c r="G8090" s="234"/>
      <c r="H8090" s="238"/>
      <c r="I8090" s="237"/>
    </row>
    <row r="8091" spans="1:9" s="232" customFormat="1" ht="17" customHeight="1">
      <c r="A8091" s="234"/>
      <c r="B8091" s="233"/>
      <c r="C8091" s="238"/>
      <c r="E8091" s="545"/>
      <c r="F8091" s="546"/>
      <c r="G8091" s="234"/>
      <c r="H8091" s="238"/>
      <c r="I8091" s="237"/>
    </row>
    <row r="8092" spans="1:9" s="232" customFormat="1" ht="17" customHeight="1">
      <c r="A8092" s="234"/>
      <c r="B8092" s="233"/>
      <c r="C8092" s="238"/>
      <c r="E8092" s="545"/>
      <c r="F8092" s="546"/>
      <c r="G8092" s="234"/>
      <c r="H8092" s="238"/>
      <c r="I8092" s="237"/>
    </row>
    <row r="8093" spans="1:9" s="232" customFormat="1" ht="17" customHeight="1">
      <c r="A8093" s="234"/>
      <c r="B8093" s="233"/>
      <c r="C8093" s="238"/>
      <c r="E8093" s="545"/>
      <c r="F8093" s="546"/>
      <c r="G8093" s="234"/>
      <c r="H8093" s="238"/>
      <c r="I8093" s="237"/>
    </row>
    <row r="8094" spans="1:9" s="232" customFormat="1" ht="17" customHeight="1">
      <c r="A8094" s="234"/>
      <c r="B8094" s="233"/>
      <c r="C8094" s="238"/>
      <c r="E8094" s="545"/>
      <c r="F8094" s="546"/>
      <c r="G8094" s="234"/>
      <c r="H8094" s="238"/>
      <c r="I8094" s="237"/>
    </row>
    <row r="8095" spans="1:9" s="232" customFormat="1" ht="17" customHeight="1">
      <c r="A8095" s="234"/>
      <c r="B8095" s="233"/>
      <c r="C8095" s="238"/>
      <c r="E8095" s="545"/>
      <c r="F8095" s="546"/>
      <c r="G8095" s="234"/>
      <c r="H8095" s="238"/>
      <c r="I8095" s="237"/>
    </row>
    <row r="8096" spans="1:9" s="232" customFormat="1" ht="17" customHeight="1">
      <c r="A8096" s="234"/>
      <c r="B8096" s="233"/>
      <c r="C8096" s="238"/>
      <c r="E8096" s="545"/>
      <c r="F8096" s="546"/>
      <c r="G8096" s="234"/>
      <c r="H8096" s="238"/>
      <c r="I8096" s="237"/>
    </row>
    <row r="8097" spans="1:9" s="232" customFormat="1" ht="17" customHeight="1">
      <c r="A8097" s="234"/>
      <c r="B8097" s="233"/>
      <c r="C8097" s="238"/>
      <c r="E8097" s="545"/>
      <c r="F8097" s="546"/>
      <c r="G8097" s="234"/>
      <c r="H8097" s="238"/>
      <c r="I8097" s="237"/>
    </row>
    <row r="8098" spans="1:9" s="232" customFormat="1" ht="17" customHeight="1">
      <c r="A8098" s="234"/>
      <c r="B8098" s="233"/>
      <c r="C8098" s="238"/>
      <c r="E8098" s="545"/>
      <c r="F8098" s="546"/>
      <c r="G8098" s="234"/>
      <c r="H8098" s="238"/>
      <c r="I8098" s="237"/>
    </row>
    <row r="8099" spans="1:9" s="232" customFormat="1" ht="17" customHeight="1">
      <c r="A8099" s="234"/>
      <c r="B8099" s="233"/>
      <c r="C8099" s="238"/>
      <c r="E8099" s="545"/>
      <c r="F8099" s="546"/>
      <c r="G8099" s="234"/>
      <c r="H8099" s="238"/>
      <c r="I8099" s="237"/>
    </row>
    <row r="8100" spans="1:9" s="232" customFormat="1" ht="17" customHeight="1">
      <c r="A8100" s="234"/>
      <c r="B8100" s="233"/>
      <c r="C8100" s="238"/>
      <c r="E8100" s="545"/>
      <c r="F8100" s="546"/>
      <c r="G8100" s="234"/>
      <c r="H8100" s="238"/>
      <c r="I8100" s="237"/>
    </row>
    <row r="8101" spans="1:9" s="232" customFormat="1" ht="17" customHeight="1">
      <c r="A8101" s="234"/>
      <c r="B8101" s="233"/>
      <c r="C8101" s="238"/>
      <c r="E8101" s="545"/>
      <c r="F8101" s="546"/>
      <c r="G8101" s="234"/>
      <c r="H8101" s="238"/>
      <c r="I8101" s="237"/>
    </row>
    <row r="8102" spans="1:9" s="232" customFormat="1" ht="17" customHeight="1">
      <c r="A8102" s="234"/>
      <c r="B8102" s="233"/>
      <c r="C8102" s="238"/>
      <c r="E8102" s="545"/>
      <c r="F8102" s="546"/>
      <c r="G8102" s="234"/>
      <c r="H8102" s="238"/>
      <c r="I8102" s="237"/>
    </row>
    <row r="8103" spans="1:9" s="232" customFormat="1" ht="17" customHeight="1">
      <c r="A8103" s="234"/>
      <c r="B8103" s="233"/>
      <c r="C8103" s="238"/>
      <c r="E8103" s="545"/>
      <c r="F8103" s="546"/>
      <c r="G8103" s="234"/>
      <c r="H8103" s="238"/>
      <c r="I8103" s="237"/>
    </row>
    <row r="8104" spans="1:9" s="232" customFormat="1" ht="17" customHeight="1">
      <c r="A8104" s="234"/>
      <c r="B8104" s="233"/>
      <c r="C8104" s="238"/>
      <c r="E8104" s="545"/>
      <c r="F8104" s="546"/>
      <c r="G8104" s="234"/>
      <c r="H8104" s="238"/>
      <c r="I8104" s="237"/>
    </row>
    <row r="8105" spans="1:9" s="232" customFormat="1" ht="17" customHeight="1">
      <c r="A8105" s="234"/>
      <c r="B8105" s="233"/>
      <c r="C8105" s="238"/>
      <c r="E8105" s="545"/>
      <c r="F8105" s="546"/>
      <c r="G8105" s="234"/>
      <c r="H8105" s="238"/>
      <c r="I8105" s="237"/>
    </row>
    <row r="8106" spans="1:9" s="232" customFormat="1" ht="17" customHeight="1">
      <c r="A8106" s="234"/>
      <c r="B8106" s="233"/>
      <c r="C8106" s="238"/>
      <c r="E8106" s="545"/>
      <c r="F8106" s="546"/>
      <c r="G8106" s="234"/>
      <c r="H8106" s="238"/>
      <c r="I8106" s="237"/>
    </row>
    <row r="8107" spans="1:9" s="232" customFormat="1" ht="17" customHeight="1">
      <c r="A8107" s="234"/>
      <c r="B8107" s="233"/>
      <c r="C8107" s="238"/>
      <c r="E8107" s="545"/>
      <c r="F8107" s="546"/>
      <c r="G8107" s="234"/>
      <c r="H8107" s="238"/>
      <c r="I8107" s="237"/>
    </row>
    <row r="8108" spans="1:9" s="232" customFormat="1" ht="17" customHeight="1">
      <c r="A8108" s="234"/>
      <c r="B8108" s="233"/>
      <c r="C8108" s="238"/>
      <c r="E8108" s="545"/>
      <c r="F8108" s="546"/>
      <c r="G8108" s="234"/>
      <c r="H8108" s="238"/>
      <c r="I8108" s="237"/>
    </row>
    <row r="8109" spans="1:9" s="232" customFormat="1" ht="17" customHeight="1">
      <c r="A8109" s="234"/>
      <c r="B8109" s="233"/>
      <c r="C8109" s="238"/>
      <c r="E8109" s="545"/>
      <c r="F8109" s="546"/>
      <c r="G8109" s="234"/>
      <c r="H8109" s="238"/>
      <c r="I8109" s="237"/>
    </row>
    <row r="8110" spans="1:9" s="232" customFormat="1" ht="17" customHeight="1">
      <c r="A8110" s="234"/>
      <c r="B8110" s="233"/>
      <c r="C8110" s="238"/>
      <c r="E8110" s="545"/>
      <c r="F8110" s="546"/>
      <c r="G8110" s="234"/>
      <c r="H8110" s="238"/>
      <c r="I8110" s="237"/>
    </row>
    <row r="8111" spans="1:9" s="232" customFormat="1" ht="17" customHeight="1">
      <c r="A8111" s="234"/>
      <c r="B8111" s="233"/>
      <c r="C8111" s="238"/>
      <c r="E8111" s="545"/>
      <c r="F8111" s="546"/>
      <c r="G8111" s="234"/>
      <c r="H8111" s="238"/>
      <c r="I8111" s="237"/>
    </row>
    <row r="8112" spans="1:9" s="232" customFormat="1" ht="17" customHeight="1">
      <c r="A8112" s="234"/>
      <c r="B8112" s="233"/>
      <c r="C8112" s="238"/>
      <c r="E8112" s="545"/>
      <c r="F8112" s="546"/>
      <c r="G8112" s="234"/>
      <c r="H8112" s="238"/>
      <c r="I8112" s="237"/>
    </row>
    <row r="8113" spans="1:9" s="232" customFormat="1" ht="17" customHeight="1">
      <c r="A8113" s="234"/>
      <c r="B8113" s="233"/>
      <c r="C8113" s="238"/>
      <c r="E8113" s="545"/>
      <c r="F8113" s="546"/>
      <c r="G8113" s="234"/>
      <c r="H8113" s="238"/>
      <c r="I8113" s="237"/>
    </row>
    <row r="8114" spans="1:9" s="232" customFormat="1" ht="17" customHeight="1">
      <c r="A8114" s="234"/>
      <c r="B8114" s="233"/>
      <c r="C8114" s="238"/>
      <c r="E8114" s="545"/>
      <c r="F8114" s="546"/>
      <c r="G8114" s="234"/>
      <c r="H8114" s="238"/>
      <c r="I8114" s="237"/>
    </row>
    <row r="8115" spans="1:9" s="232" customFormat="1" ht="17" customHeight="1">
      <c r="A8115" s="234"/>
      <c r="B8115" s="233"/>
      <c r="C8115" s="238"/>
      <c r="E8115" s="545"/>
      <c r="F8115" s="546"/>
      <c r="G8115" s="234"/>
      <c r="H8115" s="238"/>
      <c r="I8115" s="237"/>
    </row>
    <row r="8116" spans="1:9" s="232" customFormat="1" ht="17" customHeight="1">
      <c r="A8116" s="234"/>
      <c r="B8116" s="233"/>
      <c r="C8116" s="238"/>
      <c r="E8116" s="545"/>
      <c r="F8116" s="546"/>
      <c r="G8116" s="234"/>
      <c r="H8116" s="238"/>
      <c r="I8116" s="237"/>
    </row>
    <row r="8117" spans="1:9" s="232" customFormat="1" ht="17" customHeight="1">
      <c r="A8117" s="234"/>
      <c r="B8117" s="233"/>
      <c r="C8117" s="238"/>
      <c r="E8117" s="545"/>
      <c r="F8117" s="546"/>
      <c r="G8117" s="234"/>
      <c r="H8117" s="238"/>
      <c r="I8117" s="237"/>
    </row>
    <row r="8118" spans="1:9" s="232" customFormat="1" ht="17" customHeight="1">
      <c r="A8118" s="234"/>
      <c r="B8118" s="233"/>
      <c r="C8118" s="238"/>
      <c r="E8118" s="545"/>
      <c r="F8118" s="546"/>
      <c r="G8118" s="234"/>
      <c r="H8118" s="238"/>
      <c r="I8118" s="237"/>
    </row>
    <row r="8119" spans="1:9" s="232" customFormat="1" ht="17" customHeight="1">
      <c r="A8119" s="234"/>
      <c r="B8119" s="233"/>
      <c r="C8119" s="238"/>
      <c r="E8119" s="545"/>
      <c r="F8119" s="546"/>
      <c r="G8119" s="234"/>
      <c r="H8119" s="238"/>
      <c r="I8119" s="237"/>
    </row>
    <row r="8120" spans="1:9" s="232" customFormat="1" ht="17" customHeight="1">
      <c r="A8120" s="234"/>
      <c r="B8120" s="233"/>
      <c r="C8120" s="238"/>
      <c r="E8120" s="545"/>
      <c r="F8120" s="546"/>
      <c r="G8120" s="234"/>
      <c r="H8120" s="238"/>
      <c r="I8120" s="237"/>
    </row>
    <row r="8121" spans="1:9" s="232" customFormat="1" ht="17" customHeight="1">
      <c r="A8121" s="234"/>
      <c r="B8121" s="233"/>
      <c r="C8121" s="238"/>
      <c r="E8121" s="545"/>
      <c r="F8121" s="546"/>
      <c r="G8121" s="234"/>
      <c r="H8121" s="238"/>
      <c r="I8121" s="237"/>
    </row>
    <row r="8122" spans="1:9" s="232" customFormat="1" ht="17" customHeight="1">
      <c r="A8122" s="234"/>
      <c r="B8122" s="233"/>
      <c r="C8122" s="238"/>
      <c r="E8122" s="545"/>
      <c r="F8122" s="546"/>
      <c r="G8122" s="234"/>
      <c r="H8122" s="238"/>
      <c r="I8122" s="237"/>
    </row>
    <row r="8123" spans="1:9" s="232" customFormat="1" ht="17" customHeight="1">
      <c r="A8123" s="234"/>
      <c r="B8123" s="233"/>
      <c r="C8123" s="238"/>
      <c r="E8123" s="545"/>
      <c r="F8123" s="546"/>
      <c r="G8123" s="234"/>
      <c r="H8123" s="238"/>
      <c r="I8123" s="237"/>
    </row>
    <row r="8124" spans="1:9" s="232" customFormat="1" ht="17" customHeight="1">
      <c r="A8124" s="234"/>
      <c r="B8124" s="233"/>
      <c r="C8124" s="238"/>
      <c r="E8124" s="545"/>
      <c r="F8124" s="546"/>
      <c r="G8124" s="234"/>
      <c r="H8124" s="238"/>
      <c r="I8124" s="237"/>
    </row>
    <row r="8125" spans="1:9" s="232" customFormat="1" ht="17" customHeight="1">
      <c r="A8125" s="234"/>
      <c r="B8125" s="233"/>
      <c r="C8125" s="238"/>
      <c r="E8125" s="545"/>
      <c r="F8125" s="546"/>
      <c r="G8125" s="234"/>
      <c r="H8125" s="238"/>
      <c r="I8125" s="237"/>
    </row>
    <row r="8126" spans="1:9" s="232" customFormat="1" ht="17" customHeight="1">
      <c r="A8126" s="234"/>
      <c r="B8126" s="233"/>
      <c r="C8126" s="238"/>
      <c r="E8126" s="545"/>
      <c r="F8126" s="546"/>
      <c r="G8126" s="234"/>
      <c r="H8126" s="238"/>
      <c r="I8126" s="237"/>
    </row>
    <row r="8127" spans="1:9" s="232" customFormat="1" ht="17" customHeight="1">
      <c r="A8127" s="234"/>
      <c r="B8127" s="233"/>
      <c r="C8127" s="238"/>
      <c r="E8127" s="545"/>
      <c r="F8127" s="546"/>
      <c r="G8127" s="234"/>
      <c r="H8127" s="238"/>
      <c r="I8127" s="237"/>
    </row>
    <row r="8128" spans="1:9" s="232" customFormat="1" ht="17" customHeight="1">
      <c r="A8128" s="234"/>
      <c r="B8128" s="233"/>
      <c r="C8128" s="238"/>
      <c r="E8128" s="545"/>
      <c r="F8128" s="546"/>
      <c r="G8128" s="234"/>
      <c r="H8128" s="238"/>
      <c r="I8128" s="237"/>
    </row>
    <row r="8129" spans="1:9" s="232" customFormat="1" ht="17" customHeight="1">
      <c r="A8129" s="234"/>
      <c r="B8129" s="233"/>
      <c r="C8129" s="238"/>
      <c r="E8129" s="545"/>
      <c r="F8129" s="546"/>
      <c r="G8129" s="234"/>
      <c r="H8129" s="238"/>
      <c r="I8129" s="237"/>
    </row>
    <row r="8130" spans="1:9" s="232" customFormat="1" ht="17" customHeight="1">
      <c r="A8130" s="234"/>
      <c r="B8130" s="233"/>
      <c r="C8130" s="238"/>
      <c r="E8130" s="545"/>
      <c r="F8130" s="546"/>
      <c r="G8130" s="234"/>
      <c r="H8130" s="238"/>
      <c r="I8130" s="237"/>
    </row>
    <row r="8131" spans="1:9" s="232" customFormat="1" ht="17" customHeight="1">
      <c r="A8131" s="234"/>
      <c r="B8131" s="233"/>
      <c r="C8131" s="238"/>
      <c r="E8131" s="545"/>
      <c r="F8131" s="546"/>
      <c r="G8131" s="234"/>
      <c r="H8131" s="238"/>
      <c r="I8131" s="237"/>
    </row>
    <row r="8132" spans="1:9" s="232" customFormat="1" ht="17" customHeight="1">
      <c r="A8132" s="234"/>
      <c r="B8132" s="233"/>
      <c r="C8132" s="238"/>
      <c r="E8132" s="545"/>
      <c r="F8132" s="546"/>
      <c r="G8132" s="234"/>
      <c r="H8132" s="238"/>
      <c r="I8132" s="237"/>
    </row>
    <row r="8133" spans="1:9" s="232" customFormat="1" ht="17" customHeight="1">
      <c r="A8133" s="234"/>
      <c r="B8133" s="233"/>
      <c r="C8133" s="238"/>
      <c r="E8133" s="545"/>
      <c r="F8133" s="546"/>
      <c r="G8133" s="234"/>
      <c r="H8133" s="238"/>
      <c r="I8133" s="237"/>
    </row>
    <row r="8134" spans="1:9" s="232" customFormat="1" ht="17" customHeight="1">
      <c r="A8134" s="234"/>
      <c r="B8134" s="233"/>
      <c r="C8134" s="238"/>
      <c r="E8134" s="545"/>
      <c r="F8134" s="546"/>
      <c r="G8134" s="234"/>
      <c r="H8134" s="238"/>
      <c r="I8134" s="237"/>
    </row>
    <row r="8135" spans="1:9" s="232" customFormat="1" ht="17" customHeight="1">
      <c r="A8135" s="234"/>
      <c r="B8135" s="233"/>
      <c r="C8135" s="238"/>
      <c r="E8135" s="545"/>
      <c r="F8135" s="546"/>
      <c r="G8135" s="234"/>
      <c r="H8135" s="238"/>
      <c r="I8135" s="237"/>
    </row>
    <row r="8136" spans="1:9" s="232" customFormat="1" ht="17" customHeight="1">
      <c r="A8136" s="234"/>
      <c r="B8136" s="233"/>
      <c r="C8136" s="238"/>
      <c r="E8136" s="545"/>
      <c r="F8136" s="546"/>
      <c r="G8136" s="234"/>
      <c r="H8136" s="238"/>
      <c r="I8136" s="237"/>
    </row>
    <row r="8137" spans="1:9" s="232" customFormat="1" ht="17" customHeight="1">
      <c r="A8137" s="234"/>
      <c r="B8137" s="233"/>
      <c r="C8137" s="238"/>
      <c r="E8137" s="545"/>
      <c r="F8137" s="546"/>
      <c r="G8137" s="234"/>
      <c r="H8137" s="238"/>
      <c r="I8137" s="237"/>
    </row>
    <row r="8138" spans="1:9" s="232" customFormat="1" ht="17" customHeight="1">
      <c r="A8138" s="234"/>
      <c r="B8138" s="233"/>
      <c r="C8138" s="238"/>
      <c r="E8138" s="545"/>
      <c r="F8138" s="546"/>
      <c r="G8138" s="234"/>
      <c r="H8138" s="238"/>
      <c r="I8138" s="237"/>
    </row>
    <row r="8139" spans="1:9" s="232" customFormat="1" ht="17" customHeight="1">
      <c r="A8139" s="234"/>
      <c r="B8139" s="233"/>
      <c r="C8139" s="238"/>
      <c r="E8139" s="545"/>
      <c r="F8139" s="546"/>
      <c r="G8139" s="234"/>
      <c r="H8139" s="238"/>
      <c r="I8139" s="237"/>
    </row>
    <row r="8140" spans="1:9" s="232" customFormat="1" ht="17" customHeight="1">
      <c r="A8140" s="234"/>
      <c r="B8140" s="233"/>
      <c r="C8140" s="238"/>
      <c r="E8140" s="545"/>
      <c r="F8140" s="546"/>
      <c r="G8140" s="234"/>
      <c r="H8140" s="238"/>
      <c r="I8140" s="237"/>
    </row>
    <row r="8141" spans="1:9" s="232" customFormat="1" ht="17" customHeight="1">
      <c r="A8141" s="234"/>
      <c r="B8141" s="233"/>
      <c r="C8141" s="238"/>
      <c r="E8141" s="545"/>
      <c r="F8141" s="546"/>
      <c r="G8141" s="234"/>
      <c r="H8141" s="238"/>
      <c r="I8141" s="237"/>
    </row>
    <row r="8142" spans="1:9" s="232" customFormat="1" ht="17" customHeight="1">
      <c r="A8142" s="234"/>
      <c r="B8142" s="233"/>
      <c r="C8142" s="238"/>
      <c r="E8142" s="545"/>
      <c r="F8142" s="546"/>
      <c r="G8142" s="234"/>
      <c r="H8142" s="238"/>
      <c r="I8142" s="237"/>
    </row>
    <row r="8143" spans="1:9" s="232" customFormat="1" ht="17" customHeight="1">
      <c r="A8143" s="234"/>
      <c r="B8143" s="233"/>
      <c r="C8143" s="238"/>
      <c r="E8143" s="545"/>
      <c r="F8143" s="546"/>
      <c r="G8143" s="234"/>
      <c r="H8143" s="238"/>
      <c r="I8143" s="237"/>
    </row>
    <row r="8144" spans="1:9" s="232" customFormat="1" ht="17" customHeight="1">
      <c r="A8144" s="234"/>
      <c r="B8144" s="233"/>
      <c r="C8144" s="238"/>
      <c r="E8144" s="545"/>
      <c r="F8144" s="546"/>
      <c r="G8144" s="234"/>
      <c r="H8144" s="238"/>
      <c r="I8144" s="237"/>
    </row>
    <row r="8145" spans="1:9" s="232" customFormat="1" ht="17" customHeight="1">
      <c r="A8145" s="234"/>
      <c r="B8145" s="233"/>
      <c r="C8145" s="238"/>
      <c r="E8145" s="545"/>
      <c r="F8145" s="546"/>
      <c r="G8145" s="234"/>
      <c r="H8145" s="238"/>
      <c r="I8145" s="237"/>
    </row>
    <row r="8146" spans="1:9" s="232" customFormat="1" ht="17" customHeight="1">
      <c r="A8146" s="234"/>
      <c r="B8146" s="233"/>
      <c r="C8146" s="238"/>
      <c r="E8146" s="545"/>
      <c r="F8146" s="546"/>
      <c r="G8146" s="234"/>
      <c r="H8146" s="238"/>
      <c r="I8146" s="237"/>
    </row>
    <row r="8147" spans="1:9" s="232" customFormat="1" ht="17" customHeight="1">
      <c r="A8147" s="234"/>
      <c r="B8147" s="233"/>
      <c r="C8147" s="238"/>
      <c r="E8147" s="545"/>
      <c r="F8147" s="546"/>
      <c r="G8147" s="234"/>
      <c r="H8147" s="238"/>
      <c r="I8147" s="237"/>
    </row>
    <row r="8148" spans="1:9" s="232" customFormat="1" ht="17" customHeight="1">
      <c r="A8148" s="234"/>
      <c r="B8148" s="233"/>
      <c r="C8148" s="238"/>
      <c r="E8148" s="545"/>
      <c r="F8148" s="546"/>
      <c r="G8148" s="234"/>
      <c r="H8148" s="238"/>
      <c r="I8148" s="237"/>
    </row>
    <row r="8149" spans="1:9" s="232" customFormat="1" ht="17" customHeight="1">
      <c r="A8149" s="234"/>
      <c r="B8149" s="233"/>
      <c r="C8149" s="238"/>
      <c r="E8149" s="545"/>
      <c r="F8149" s="546"/>
      <c r="G8149" s="234"/>
      <c r="H8149" s="238"/>
      <c r="I8149" s="237"/>
    </row>
    <row r="8150" spans="1:9" s="232" customFormat="1" ht="17" customHeight="1">
      <c r="A8150" s="234"/>
      <c r="B8150" s="233"/>
      <c r="C8150" s="238"/>
      <c r="E8150" s="545"/>
      <c r="F8150" s="546"/>
      <c r="G8150" s="234"/>
      <c r="H8150" s="238"/>
      <c r="I8150" s="237"/>
    </row>
    <row r="8151" spans="1:9" s="232" customFormat="1" ht="17" customHeight="1">
      <c r="A8151" s="234"/>
      <c r="B8151" s="233"/>
      <c r="C8151" s="238"/>
      <c r="E8151" s="545"/>
      <c r="F8151" s="546"/>
      <c r="G8151" s="234"/>
      <c r="H8151" s="238"/>
      <c r="I8151" s="237"/>
    </row>
    <row r="8152" spans="1:9" s="232" customFormat="1" ht="17" customHeight="1">
      <c r="A8152" s="234"/>
      <c r="B8152" s="233"/>
      <c r="C8152" s="238"/>
      <c r="E8152" s="545"/>
      <c r="F8152" s="546"/>
      <c r="G8152" s="234"/>
      <c r="H8152" s="238"/>
      <c r="I8152" s="237"/>
    </row>
    <row r="8153" spans="1:9" s="232" customFormat="1" ht="17" customHeight="1">
      <c r="A8153" s="234"/>
      <c r="B8153" s="233"/>
      <c r="C8153" s="238"/>
      <c r="E8153" s="545"/>
      <c r="F8153" s="546"/>
      <c r="G8153" s="234"/>
      <c r="H8153" s="238"/>
      <c r="I8153" s="237"/>
    </row>
    <row r="8154" spans="1:9" s="232" customFormat="1" ht="17" customHeight="1">
      <c r="A8154" s="234"/>
      <c r="B8154" s="233"/>
      <c r="C8154" s="238"/>
      <c r="E8154" s="545"/>
      <c r="F8154" s="546"/>
      <c r="G8154" s="234"/>
      <c r="H8154" s="238"/>
      <c r="I8154" s="237"/>
    </row>
    <row r="8155" spans="1:9" s="232" customFormat="1" ht="17" customHeight="1">
      <c r="A8155" s="234"/>
      <c r="B8155" s="233"/>
      <c r="C8155" s="238"/>
      <c r="E8155" s="545"/>
      <c r="F8155" s="546"/>
      <c r="G8155" s="234"/>
      <c r="H8155" s="238"/>
      <c r="I8155" s="237"/>
    </row>
    <row r="8156" spans="1:9" s="232" customFormat="1" ht="17" customHeight="1">
      <c r="A8156" s="234"/>
      <c r="B8156" s="233"/>
      <c r="C8156" s="238"/>
      <c r="E8156" s="545"/>
      <c r="F8156" s="546"/>
      <c r="G8156" s="234"/>
      <c r="H8156" s="238"/>
      <c r="I8156" s="237"/>
    </row>
    <row r="8157" spans="1:9" s="232" customFormat="1" ht="17" customHeight="1">
      <c r="A8157" s="234"/>
      <c r="B8157" s="233"/>
      <c r="C8157" s="238"/>
      <c r="E8157" s="545"/>
      <c r="F8157" s="546"/>
      <c r="G8157" s="234"/>
      <c r="H8157" s="238"/>
      <c r="I8157" s="237"/>
    </row>
    <row r="8158" spans="1:9" s="232" customFormat="1" ht="17" customHeight="1">
      <c r="A8158" s="234"/>
      <c r="B8158" s="233"/>
      <c r="C8158" s="238"/>
      <c r="E8158" s="545"/>
      <c r="F8158" s="546"/>
      <c r="G8158" s="234"/>
      <c r="H8158" s="238"/>
      <c r="I8158" s="237"/>
    </row>
    <row r="8159" spans="1:9" s="232" customFormat="1" ht="17" customHeight="1">
      <c r="A8159" s="234"/>
      <c r="B8159" s="233"/>
      <c r="C8159" s="238"/>
      <c r="E8159" s="545"/>
      <c r="F8159" s="546"/>
      <c r="G8159" s="234"/>
      <c r="H8159" s="238"/>
      <c r="I8159" s="237"/>
    </row>
    <row r="8160" spans="1:9" s="232" customFormat="1" ht="17" customHeight="1">
      <c r="A8160" s="234"/>
      <c r="B8160" s="233"/>
      <c r="C8160" s="238"/>
      <c r="E8160" s="545"/>
      <c r="F8160" s="546"/>
      <c r="G8160" s="234"/>
      <c r="H8160" s="238"/>
      <c r="I8160" s="237"/>
    </row>
    <row r="8161" spans="1:9" s="232" customFormat="1" ht="17" customHeight="1">
      <c r="A8161" s="234"/>
      <c r="B8161" s="233"/>
      <c r="C8161" s="238"/>
      <c r="E8161" s="545"/>
      <c r="F8161" s="546"/>
      <c r="G8161" s="234"/>
      <c r="H8161" s="238"/>
      <c r="I8161" s="237"/>
    </row>
    <row r="8162" spans="1:9" s="232" customFormat="1" ht="17" customHeight="1">
      <c r="A8162" s="234"/>
      <c r="B8162" s="233"/>
      <c r="C8162" s="238"/>
      <c r="E8162" s="545"/>
      <c r="F8162" s="546"/>
      <c r="G8162" s="234"/>
      <c r="H8162" s="238"/>
      <c r="I8162" s="237"/>
    </row>
    <row r="8163" spans="1:9" s="232" customFormat="1" ht="17" customHeight="1">
      <c r="A8163" s="234"/>
      <c r="B8163" s="233"/>
      <c r="C8163" s="238"/>
      <c r="E8163" s="545"/>
      <c r="F8163" s="546"/>
      <c r="G8163" s="234"/>
      <c r="H8163" s="238"/>
      <c r="I8163" s="237"/>
    </row>
    <row r="8164" spans="1:9" s="232" customFormat="1" ht="17" customHeight="1">
      <c r="A8164" s="234"/>
      <c r="B8164" s="233"/>
      <c r="C8164" s="238"/>
      <c r="E8164" s="545"/>
      <c r="F8164" s="546"/>
      <c r="G8164" s="234"/>
      <c r="H8164" s="238"/>
      <c r="I8164" s="237"/>
    </row>
    <row r="8165" spans="1:9" s="232" customFormat="1" ht="17" customHeight="1">
      <c r="A8165" s="234"/>
      <c r="B8165" s="233"/>
      <c r="C8165" s="238"/>
      <c r="E8165" s="545"/>
      <c r="F8165" s="546"/>
      <c r="G8165" s="234"/>
      <c r="H8165" s="238"/>
      <c r="I8165" s="237"/>
    </row>
    <row r="8166" spans="1:9" s="232" customFormat="1" ht="17" customHeight="1">
      <c r="A8166" s="234"/>
      <c r="B8166" s="233"/>
      <c r="C8166" s="238"/>
      <c r="E8166" s="545"/>
      <c r="F8166" s="546"/>
      <c r="G8166" s="234"/>
      <c r="H8166" s="238"/>
      <c r="I8166" s="237"/>
    </row>
    <row r="8167" spans="1:9" s="232" customFormat="1" ht="17" customHeight="1">
      <c r="A8167" s="234"/>
      <c r="B8167" s="233"/>
      <c r="C8167" s="238"/>
      <c r="E8167" s="545"/>
      <c r="F8167" s="546"/>
      <c r="G8167" s="234"/>
      <c r="H8167" s="238"/>
      <c r="I8167" s="237"/>
    </row>
    <row r="8168" spans="1:9" s="232" customFormat="1" ht="17" customHeight="1">
      <c r="A8168" s="234"/>
      <c r="B8168" s="233"/>
      <c r="C8168" s="238"/>
      <c r="E8168" s="545"/>
      <c r="F8168" s="546"/>
      <c r="G8168" s="234"/>
      <c r="H8168" s="238"/>
      <c r="I8168" s="237"/>
    </row>
    <row r="8169" spans="1:9" s="232" customFormat="1" ht="17" customHeight="1">
      <c r="A8169" s="234"/>
      <c r="B8169" s="233"/>
      <c r="C8169" s="238"/>
      <c r="E8169" s="545"/>
      <c r="F8169" s="546"/>
      <c r="G8169" s="234"/>
      <c r="H8169" s="238"/>
      <c r="I8169" s="237"/>
    </row>
    <row r="8170" spans="1:9" s="232" customFormat="1" ht="17" customHeight="1">
      <c r="A8170" s="234"/>
      <c r="B8170" s="233"/>
      <c r="C8170" s="238"/>
      <c r="E8170" s="545"/>
      <c r="F8170" s="546"/>
      <c r="G8170" s="234"/>
      <c r="H8170" s="238"/>
      <c r="I8170" s="237"/>
    </row>
    <row r="8171" spans="1:9" s="232" customFormat="1" ht="17" customHeight="1">
      <c r="A8171" s="234"/>
      <c r="B8171" s="233"/>
      <c r="C8171" s="238"/>
      <c r="E8171" s="545"/>
      <c r="F8171" s="546"/>
      <c r="G8171" s="234"/>
      <c r="H8171" s="238"/>
      <c r="I8171" s="237"/>
    </row>
    <row r="8172" spans="1:9" s="232" customFormat="1" ht="17" customHeight="1">
      <c r="A8172" s="234"/>
      <c r="B8172" s="233"/>
      <c r="C8172" s="238"/>
      <c r="E8172" s="545"/>
      <c r="F8172" s="546"/>
      <c r="G8172" s="234"/>
      <c r="H8172" s="238"/>
      <c r="I8172" s="237"/>
    </row>
    <row r="8173" spans="1:9" s="232" customFormat="1" ht="17" customHeight="1">
      <c r="A8173" s="234"/>
      <c r="B8173" s="233"/>
      <c r="C8173" s="238"/>
      <c r="E8173" s="545"/>
      <c r="F8173" s="546"/>
      <c r="G8173" s="234"/>
      <c r="H8173" s="238"/>
      <c r="I8173" s="237"/>
    </row>
    <row r="8174" spans="1:9" s="232" customFormat="1" ht="17" customHeight="1">
      <c r="A8174" s="234"/>
      <c r="B8174" s="233"/>
      <c r="C8174" s="238"/>
      <c r="E8174" s="545"/>
      <c r="F8174" s="546"/>
      <c r="G8174" s="234"/>
      <c r="H8174" s="238"/>
      <c r="I8174" s="237"/>
    </row>
    <row r="8175" spans="1:9" s="232" customFormat="1" ht="17" customHeight="1">
      <c r="A8175" s="234"/>
      <c r="B8175" s="233"/>
      <c r="C8175" s="238"/>
      <c r="E8175" s="545"/>
      <c r="F8175" s="546"/>
      <c r="G8175" s="234"/>
      <c r="H8175" s="238"/>
      <c r="I8175" s="237"/>
    </row>
    <row r="8176" spans="1:9" s="232" customFormat="1" ht="17" customHeight="1">
      <c r="A8176" s="234"/>
      <c r="B8176" s="233"/>
      <c r="C8176" s="238"/>
      <c r="E8176" s="545"/>
      <c r="F8176" s="546"/>
      <c r="G8176" s="234"/>
      <c r="H8176" s="238"/>
      <c r="I8176" s="237"/>
    </row>
    <row r="8177" spans="1:9" s="232" customFormat="1" ht="17" customHeight="1">
      <c r="A8177" s="234"/>
      <c r="B8177" s="233"/>
      <c r="C8177" s="238"/>
      <c r="E8177" s="545"/>
      <c r="F8177" s="546"/>
      <c r="G8177" s="234"/>
      <c r="H8177" s="238"/>
      <c r="I8177" s="237"/>
    </row>
    <row r="8178" spans="1:9" s="232" customFormat="1" ht="17" customHeight="1">
      <c r="A8178" s="234"/>
      <c r="B8178" s="233"/>
      <c r="C8178" s="238"/>
      <c r="E8178" s="545"/>
      <c r="F8178" s="546"/>
      <c r="G8178" s="234"/>
      <c r="H8178" s="238"/>
      <c r="I8178" s="237"/>
    </row>
    <row r="8179" spans="1:9" s="232" customFormat="1" ht="17" customHeight="1">
      <c r="A8179" s="234"/>
      <c r="B8179" s="233"/>
      <c r="C8179" s="238"/>
      <c r="E8179" s="545"/>
      <c r="F8179" s="546"/>
      <c r="G8179" s="234"/>
      <c r="H8179" s="238"/>
      <c r="I8179" s="237"/>
    </row>
    <row r="8180" spans="1:9" s="232" customFormat="1" ht="17" customHeight="1">
      <c r="A8180" s="234"/>
      <c r="B8180" s="233"/>
      <c r="C8180" s="238"/>
      <c r="E8180" s="545"/>
      <c r="F8180" s="546"/>
      <c r="G8180" s="234"/>
      <c r="H8180" s="238"/>
      <c r="I8180" s="237"/>
    </row>
    <row r="8181" spans="1:9" s="232" customFormat="1" ht="17" customHeight="1">
      <c r="A8181" s="234"/>
      <c r="B8181" s="233"/>
      <c r="C8181" s="238"/>
      <c r="E8181" s="545"/>
      <c r="F8181" s="546"/>
      <c r="G8181" s="234"/>
      <c r="H8181" s="238"/>
      <c r="I8181" s="237"/>
    </row>
    <row r="8182" spans="1:9" s="232" customFormat="1" ht="17" customHeight="1">
      <c r="A8182" s="234"/>
      <c r="B8182" s="233"/>
      <c r="C8182" s="238"/>
      <c r="E8182" s="545"/>
      <c r="F8182" s="546"/>
      <c r="G8182" s="234"/>
      <c r="H8182" s="238"/>
      <c r="I8182" s="237"/>
    </row>
    <row r="8183" spans="1:9" s="232" customFormat="1" ht="17" customHeight="1">
      <c r="A8183" s="234"/>
      <c r="B8183" s="233"/>
      <c r="C8183" s="238"/>
      <c r="E8183" s="545"/>
      <c r="F8183" s="546"/>
      <c r="G8183" s="234"/>
      <c r="H8183" s="238"/>
      <c r="I8183" s="237"/>
    </row>
    <row r="8184" spans="1:9" s="232" customFormat="1" ht="17" customHeight="1">
      <c r="A8184" s="234"/>
      <c r="B8184" s="233"/>
      <c r="C8184" s="238"/>
      <c r="E8184" s="545"/>
      <c r="F8184" s="546"/>
      <c r="G8184" s="234"/>
      <c r="H8184" s="238"/>
      <c r="I8184" s="237"/>
    </row>
    <row r="8185" spans="1:9" s="232" customFormat="1" ht="17" customHeight="1">
      <c r="A8185" s="234"/>
      <c r="B8185" s="233"/>
      <c r="C8185" s="238"/>
      <c r="E8185" s="545"/>
      <c r="F8185" s="546"/>
      <c r="G8185" s="234"/>
      <c r="H8185" s="238"/>
      <c r="I8185" s="237"/>
    </row>
    <row r="8186" spans="1:9" s="232" customFormat="1" ht="17" customHeight="1">
      <c r="A8186" s="234"/>
      <c r="B8186" s="233"/>
      <c r="C8186" s="238"/>
      <c r="E8186" s="545"/>
      <c r="F8186" s="546"/>
      <c r="G8186" s="234"/>
      <c r="H8186" s="238"/>
      <c r="I8186" s="237"/>
    </row>
    <row r="8187" spans="1:9" s="232" customFormat="1" ht="17" customHeight="1">
      <c r="A8187" s="234"/>
      <c r="B8187" s="233"/>
      <c r="C8187" s="238"/>
      <c r="E8187" s="545"/>
      <c r="F8187" s="546"/>
      <c r="G8187" s="234"/>
      <c r="H8187" s="238"/>
      <c r="I8187" s="237"/>
    </row>
    <row r="8188" spans="1:9" s="232" customFormat="1" ht="17" customHeight="1">
      <c r="A8188" s="234"/>
      <c r="B8188" s="233"/>
      <c r="C8188" s="238"/>
      <c r="E8188" s="545"/>
      <c r="F8188" s="546"/>
      <c r="G8188" s="234"/>
      <c r="H8188" s="238"/>
      <c r="I8188" s="237"/>
    </row>
    <row r="8189" spans="1:9" s="232" customFormat="1" ht="17" customHeight="1">
      <c r="A8189" s="234"/>
      <c r="B8189" s="233"/>
      <c r="C8189" s="238"/>
      <c r="E8189" s="545"/>
      <c r="F8189" s="546"/>
      <c r="G8189" s="234"/>
      <c r="H8189" s="238"/>
      <c r="I8189" s="237"/>
    </row>
    <row r="8190" spans="1:9" s="232" customFormat="1" ht="17" customHeight="1">
      <c r="A8190" s="234"/>
      <c r="B8190" s="233"/>
      <c r="C8190" s="238"/>
      <c r="E8190" s="545"/>
      <c r="F8190" s="546"/>
      <c r="G8190" s="234"/>
      <c r="H8190" s="238"/>
      <c r="I8190" s="237"/>
    </row>
    <row r="8191" spans="1:9" s="232" customFormat="1" ht="17" customHeight="1">
      <c r="A8191" s="234"/>
      <c r="B8191" s="233"/>
      <c r="C8191" s="238"/>
      <c r="E8191" s="545"/>
      <c r="F8191" s="546"/>
      <c r="G8191" s="234"/>
      <c r="H8191" s="238"/>
      <c r="I8191" s="237"/>
    </row>
    <row r="8192" spans="1:9" s="232" customFormat="1" ht="17" customHeight="1">
      <c r="A8192" s="234"/>
      <c r="B8192" s="233"/>
      <c r="C8192" s="238"/>
      <c r="E8192" s="545"/>
      <c r="F8192" s="546"/>
      <c r="G8192" s="234"/>
      <c r="H8192" s="238"/>
      <c r="I8192" s="237"/>
    </row>
    <row r="8193" spans="1:9" s="232" customFormat="1" ht="17" customHeight="1">
      <c r="A8193" s="234"/>
      <c r="B8193" s="233"/>
      <c r="C8193" s="238"/>
      <c r="E8193" s="545"/>
      <c r="F8193" s="546"/>
      <c r="G8193" s="234"/>
      <c r="H8193" s="238"/>
      <c r="I8193" s="237"/>
    </row>
    <row r="8194" spans="1:9" s="232" customFormat="1" ht="17" customHeight="1">
      <c r="A8194" s="234"/>
      <c r="B8194" s="233"/>
      <c r="C8194" s="238"/>
      <c r="E8194" s="545"/>
      <c r="F8194" s="546"/>
      <c r="G8194" s="234"/>
      <c r="H8194" s="238"/>
      <c r="I8194" s="237"/>
    </row>
    <row r="8195" spans="1:9" s="232" customFormat="1" ht="17" customHeight="1">
      <c r="A8195" s="234"/>
      <c r="B8195" s="233"/>
      <c r="C8195" s="238"/>
      <c r="E8195" s="545"/>
      <c r="F8195" s="546"/>
      <c r="G8195" s="234"/>
      <c r="H8195" s="238"/>
      <c r="I8195" s="237"/>
    </row>
    <row r="8196" spans="1:9" s="232" customFormat="1" ht="17" customHeight="1">
      <c r="A8196" s="234"/>
      <c r="B8196" s="233"/>
      <c r="C8196" s="238"/>
      <c r="E8196" s="545"/>
      <c r="F8196" s="546"/>
      <c r="G8196" s="234"/>
      <c r="H8196" s="238"/>
      <c r="I8196" s="237"/>
    </row>
    <row r="8197" spans="1:9" s="232" customFormat="1" ht="17" customHeight="1">
      <c r="A8197" s="234"/>
      <c r="B8197" s="233"/>
      <c r="C8197" s="238"/>
      <c r="E8197" s="545"/>
      <c r="F8197" s="546"/>
      <c r="G8197" s="234"/>
      <c r="H8197" s="238"/>
      <c r="I8197" s="237"/>
    </row>
    <row r="8198" spans="1:9" s="232" customFormat="1" ht="17" customHeight="1">
      <c r="A8198" s="234"/>
      <c r="B8198" s="233"/>
      <c r="C8198" s="238"/>
      <c r="E8198" s="545"/>
      <c r="F8198" s="546"/>
      <c r="G8198" s="234"/>
      <c r="H8198" s="238"/>
      <c r="I8198" s="237"/>
    </row>
    <row r="8199" spans="1:9" s="232" customFormat="1" ht="17" customHeight="1">
      <c r="A8199" s="234"/>
      <c r="B8199" s="233"/>
      <c r="C8199" s="238"/>
      <c r="E8199" s="545"/>
      <c r="F8199" s="546"/>
      <c r="G8199" s="234"/>
      <c r="H8199" s="238"/>
      <c r="I8199" s="237"/>
    </row>
    <row r="8200" spans="1:9" s="232" customFormat="1" ht="17" customHeight="1">
      <c r="A8200" s="234"/>
      <c r="B8200" s="233"/>
      <c r="C8200" s="238"/>
      <c r="E8200" s="545"/>
      <c r="F8200" s="546"/>
      <c r="G8200" s="234"/>
      <c r="H8200" s="238"/>
      <c r="I8200" s="237"/>
    </row>
    <row r="8201" spans="1:9" s="232" customFormat="1" ht="17" customHeight="1">
      <c r="A8201" s="234"/>
      <c r="B8201" s="233"/>
      <c r="C8201" s="238"/>
      <c r="E8201" s="545"/>
      <c r="F8201" s="546"/>
      <c r="G8201" s="234"/>
      <c r="H8201" s="238"/>
      <c r="I8201" s="237"/>
    </row>
    <row r="8202" spans="1:9" s="232" customFormat="1" ht="17" customHeight="1">
      <c r="A8202" s="234"/>
      <c r="B8202" s="233"/>
      <c r="C8202" s="238"/>
      <c r="E8202" s="545"/>
      <c r="F8202" s="546"/>
      <c r="G8202" s="234"/>
      <c r="H8202" s="238"/>
      <c r="I8202" s="237"/>
    </row>
    <row r="8203" spans="1:9" s="232" customFormat="1" ht="17" customHeight="1">
      <c r="A8203" s="234"/>
      <c r="B8203" s="233"/>
      <c r="C8203" s="238"/>
      <c r="E8203" s="545"/>
      <c r="F8203" s="546"/>
      <c r="G8203" s="234"/>
      <c r="H8203" s="238"/>
      <c r="I8203" s="237"/>
    </row>
    <row r="8204" spans="1:9" s="232" customFormat="1" ht="17" customHeight="1">
      <c r="A8204" s="234"/>
      <c r="B8204" s="233"/>
      <c r="C8204" s="238"/>
      <c r="E8204" s="545"/>
      <c r="F8204" s="546"/>
      <c r="G8204" s="234"/>
      <c r="H8204" s="238"/>
      <c r="I8204" s="237"/>
    </row>
    <row r="8205" spans="1:9" s="232" customFormat="1" ht="17" customHeight="1">
      <c r="A8205" s="234"/>
      <c r="B8205" s="233"/>
      <c r="C8205" s="238"/>
      <c r="E8205" s="545"/>
      <c r="F8205" s="546"/>
      <c r="G8205" s="234"/>
      <c r="H8205" s="238"/>
      <c r="I8205" s="237"/>
    </row>
    <row r="8206" spans="1:9" s="232" customFormat="1" ht="17" customHeight="1">
      <c r="A8206" s="234"/>
      <c r="B8206" s="233"/>
      <c r="C8206" s="238"/>
      <c r="E8206" s="545"/>
      <c r="F8206" s="546"/>
      <c r="G8206" s="234"/>
      <c r="H8206" s="238"/>
      <c r="I8206" s="237"/>
    </row>
    <row r="8207" spans="1:9" s="232" customFormat="1" ht="17" customHeight="1">
      <c r="A8207" s="234"/>
      <c r="B8207" s="233"/>
      <c r="C8207" s="238"/>
      <c r="E8207" s="545"/>
      <c r="F8207" s="546"/>
      <c r="G8207" s="234"/>
      <c r="H8207" s="238"/>
      <c r="I8207" s="237"/>
    </row>
    <row r="8208" spans="1:9" s="232" customFormat="1" ht="17" customHeight="1">
      <c r="A8208" s="234"/>
      <c r="B8208" s="233"/>
      <c r="C8208" s="238"/>
      <c r="E8208" s="545"/>
      <c r="F8208" s="546"/>
      <c r="G8208" s="234"/>
      <c r="H8208" s="238"/>
      <c r="I8208" s="237"/>
    </row>
    <row r="8209" spans="1:9" s="232" customFormat="1" ht="17" customHeight="1">
      <c r="A8209" s="234"/>
      <c r="B8209" s="233"/>
      <c r="C8209" s="238"/>
      <c r="E8209" s="545"/>
      <c r="F8209" s="546"/>
      <c r="G8209" s="234"/>
      <c r="H8209" s="238"/>
      <c r="I8209" s="237"/>
    </row>
    <row r="8210" spans="1:9" s="232" customFormat="1" ht="17" customHeight="1">
      <c r="A8210" s="234"/>
      <c r="B8210" s="233"/>
      <c r="C8210" s="238"/>
      <c r="E8210" s="545"/>
      <c r="F8210" s="546"/>
      <c r="G8210" s="234"/>
      <c r="H8210" s="238"/>
      <c r="I8210" s="237"/>
    </row>
    <row r="8211" spans="1:9" s="232" customFormat="1" ht="17" customHeight="1">
      <c r="A8211" s="234"/>
      <c r="B8211" s="233"/>
      <c r="C8211" s="238"/>
      <c r="E8211" s="545"/>
      <c r="F8211" s="546"/>
      <c r="G8211" s="234"/>
      <c r="H8211" s="238"/>
      <c r="I8211" s="237"/>
    </row>
    <row r="8212" spans="1:9" s="232" customFormat="1" ht="17" customHeight="1">
      <c r="A8212" s="234"/>
      <c r="B8212" s="233"/>
      <c r="C8212" s="238"/>
      <c r="E8212" s="545"/>
      <c r="F8212" s="546"/>
      <c r="G8212" s="234"/>
      <c r="H8212" s="238"/>
      <c r="I8212" s="237"/>
    </row>
    <row r="8213" spans="1:9" s="232" customFormat="1" ht="17" customHeight="1">
      <c r="A8213" s="234"/>
      <c r="B8213" s="233"/>
      <c r="C8213" s="238"/>
      <c r="E8213" s="545"/>
      <c r="F8213" s="546"/>
      <c r="G8213" s="234"/>
      <c r="H8213" s="238"/>
      <c r="I8213" s="237"/>
    </row>
    <row r="8214" spans="1:9" s="232" customFormat="1" ht="17" customHeight="1">
      <c r="A8214" s="234"/>
      <c r="B8214" s="233"/>
      <c r="C8214" s="238"/>
      <c r="E8214" s="545"/>
      <c r="F8214" s="546"/>
      <c r="G8214" s="234"/>
      <c r="H8214" s="238"/>
      <c r="I8214" s="237"/>
    </row>
    <row r="8215" spans="1:9" s="232" customFormat="1" ht="17" customHeight="1">
      <c r="A8215" s="234"/>
      <c r="B8215" s="233"/>
      <c r="C8215" s="238"/>
      <c r="E8215" s="545"/>
      <c r="F8215" s="546"/>
      <c r="G8215" s="234"/>
      <c r="H8215" s="238"/>
      <c r="I8215" s="237"/>
    </row>
    <row r="8216" spans="1:9" s="232" customFormat="1" ht="17" customHeight="1">
      <c r="A8216" s="234"/>
      <c r="B8216" s="233"/>
      <c r="C8216" s="238"/>
      <c r="E8216" s="545"/>
      <c r="F8216" s="546"/>
      <c r="G8216" s="234"/>
      <c r="H8216" s="238"/>
      <c r="I8216" s="237"/>
    </row>
    <row r="8217" spans="1:9" s="232" customFormat="1" ht="17" customHeight="1">
      <c r="A8217" s="234"/>
      <c r="B8217" s="233"/>
      <c r="C8217" s="238"/>
      <c r="E8217" s="545"/>
      <c r="F8217" s="546"/>
      <c r="G8217" s="234"/>
      <c r="H8217" s="238"/>
      <c r="I8217" s="237"/>
    </row>
    <row r="8218" spans="1:9" s="232" customFormat="1" ht="17" customHeight="1">
      <c r="A8218" s="234"/>
      <c r="B8218" s="233"/>
      <c r="C8218" s="238"/>
      <c r="E8218" s="545"/>
      <c r="F8218" s="546"/>
      <c r="G8218" s="234"/>
      <c r="H8218" s="238"/>
      <c r="I8218" s="237"/>
    </row>
    <row r="8219" spans="1:9" s="232" customFormat="1" ht="17" customHeight="1">
      <c r="A8219" s="234"/>
      <c r="B8219" s="233"/>
      <c r="C8219" s="238"/>
      <c r="E8219" s="545"/>
      <c r="F8219" s="546"/>
      <c r="G8219" s="234"/>
      <c r="H8219" s="238"/>
      <c r="I8219" s="237"/>
    </row>
    <row r="8220" spans="1:9" s="232" customFormat="1" ht="17" customHeight="1">
      <c r="A8220" s="234"/>
      <c r="B8220" s="233"/>
      <c r="C8220" s="238"/>
      <c r="E8220" s="545"/>
      <c r="F8220" s="546"/>
      <c r="G8220" s="234"/>
      <c r="H8220" s="238"/>
      <c r="I8220" s="237"/>
    </row>
    <row r="8221" spans="1:9" s="232" customFormat="1" ht="17" customHeight="1">
      <c r="A8221" s="234"/>
      <c r="B8221" s="233"/>
      <c r="C8221" s="238"/>
      <c r="E8221" s="545"/>
      <c r="F8221" s="546"/>
      <c r="G8221" s="234"/>
      <c r="H8221" s="238"/>
      <c r="I8221" s="237"/>
    </row>
    <row r="8222" spans="1:9" s="232" customFormat="1" ht="17" customHeight="1">
      <c r="A8222" s="234"/>
      <c r="B8222" s="233"/>
      <c r="C8222" s="238"/>
      <c r="E8222" s="545"/>
      <c r="F8222" s="546"/>
      <c r="G8222" s="234"/>
      <c r="H8222" s="238"/>
      <c r="I8222" s="237"/>
    </row>
    <row r="8223" spans="1:9" s="232" customFormat="1" ht="17" customHeight="1">
      <c r="A8223" s="234"/>
      <c r="B8223" s="233"/>
      <c r="C8223" s="238"/>
      <c r="E8223" s="545"/>
      <c r="F8223" s="546"/>
      <c r="G8223" s="234"/>
      <c r="H8223" s="238"/>
      <c r="I8223" s="237"/>
    </row>
    <row r="8224" spans="1:9" s="232" customFormat="1" ht="17" customHeight="1">
      <c r="A8224" s="234"/>
      <c r="B8224" s="233"/>
      <c r="C8224" s="238"/>
      <c r="E8224" s="545"/>
      <c r="F8224" s="546"/>
      <c r="G8224" s="234"/>
      <c r="H8224" s="238"/>
      <c r="I8224" s="237"/>
    </row>
    <row r="8225" spans="1:9" s="232" customFormat="1" ht="17" customHeight="1">
      <c r="A8225" s="234"/>
      <c r="B8225" s="233"/>
      <c r="C8225" s="238"/>
      <c r="E8225" s="545"/>
      <c r="F8225" s="546"/>
      <c r="G8225" s="234"/>
      <c r="H8225" s="238"/>
      <c r="I8225" s="237"/>
    </row>
    <row r="8226" spans="1:9" s="232" customFormat="1" ht="17" customHeight="1">
      <c r="A8226" s="234"/>
      <c r="B8226" s="233"/>
      <c r="C8226" s="238"/>
      <c r="E8226" s="545"/>
      <c r="F8226" s="546"/>
      <c r="G8226" s="234"/>
      <c r="H8226" s="238"/>
      <c r="I8226" s="237"/>
    </row>
    <row r="8227" spans="1:9" s="232" customFormat="1" ht="17" customHeight="1">
      <c r="A8227" s="234"/>
      <c r="B8227" s="233"/>
      <c r="C8227" s="238"/>
      <c r="E8227" s="545"/>
      <c r="F8227" s="546"/>
      <c r="G8227" s="234"/>
      <c r="H8227" s="238"/>
      <c r="I8227" s="237"/>
    </row>
    <row r="8228" spans="1:9" s="232" customFormat="1" ht="17" customHeight="1">
      <c r="A8228" s="234"/>
      <c r="B8228" s="233"/>
      <c r="C8228" s="238"/>
      <c r="E8228" s="545"/>
      <c r="F8228" s="546"/>
      <c r="G8228" s="234"/>
      <c r="H8228" s="238"/>
      <c r="I8228" s="237"/>
    </row>
    <row r="8229" spans="1:9" s="232" customFormat="1" ht="17" customHeight="1">
      <c r="A8229" s="234"/>
      <c r="B8229" s="233"/>
      <c r="C8229" s="238"/>
      <c r="E8229" s="545"/>
      <c r="F8229" s="546"/>
      <c r="G8229" s="234"/>
      <c r="H8229" s="238"/>
      <c r="I8229" s="237"/>
    </row>
    <row r="8230" spans="1:9" s="232" customFormat="1" ht="17" customHeight="1">
      <c r="A8230" s="234"/>
      <c r="B8230" s="233"/>
      <c r="C8230" s="238"/>
      <c r="E8230" s="545"/>
      <c r="F8230" s="546"/>
      <c r="G8230" s="234"/>
      <c r="H8230" s="238"/>
      <c r="I8230" s="237"/>
    </row>
    <row r="8231" spans="1:9" s="232" customFormat="1" ht="17" customHeight="1">
      <c r="A8231" s="234"/>
      <c r="B8231" s="233"/>
      <c r="C8231" s="238"/>
      <c r="E8231" s="545"/>
      <c r="F8231" s="546"/>
      <c r="G8231" s="234"/>
      <c r="H8231" s="238"/>
      <c r="I8231" s="237"/>
    </row>
    <row r="8232" spans="1:9" s="232" customFormat="1" ht="17" customHeight="1">
      <c r="A8232" s="234"/>
      <c r="B8232" s="233"/>
      <c r="C8232" s="238"/>
      <c r="E8232" s="545"/>
      <c r="F8232" s="546"/>
      <c r="G8232" s="234"/>
      <c r="H8232" s="238"/>
      <c r="I8232" s="237"/>
    </row>
    <row r="8233" spans="1:9" s="232" customFormat="1" ht="17" customHeight="1">
      <c r="A8233" s="234"/>
      <c r="B8233" s="233"/>
      <c r="C8233" s="238"/>
      <c r="E8233" s="545"/>
      <c r="F8233" s="546"/>
      <c r="G8233" s="234"/>
      <c r="H8233" s="238"/>
      <c r="I8233" s="237"/>
    </row>
    <row r="8234" spans="1:9" s="232" customFormat="1" ht="17" customHeight="1">
      <c r="A8234" s="234"/>
      <c r="B8234" s="233"/>
      <c r="C8234" s="238"/>
      <c r="E8234" s="545"/>
      <c r="F8234" s="546"/>
      <c r="G8234" s="234"/>
      <c r="H8234" s="238"/>
      <c r="I8234" s="237"/>
    </row>
    <row r="8235" spans="1:9" s="232" customFormat="1" ht="17" customHeight="1">
      <c r="A8235" s="234"/>
      <c r="B8235" s="233"/>
      <c r="C8235" s="238"/>
      <c r="E8235" s="545"/>
      <c r="F8235" s="546"/>
      <c r="G8235" s="234"/>
      <c r="H8235" s="238"/>
      <c r="I8235" s="237"/>
    </row>
    <row r="8236" spans="1:9" s="232" customFormat="1" ht="17" customHeight="1">
      <c r="A8236" s="234"/>
      <c r="B8236" s="233"/>
      <c r="C8236" s="238"/>
      <c r="E8236" s="545"/>
      <c r="F8236" s="546"/>
      <c r="G8236" s="234"/>
      <c r="H8236" s="238"/>
      <c r="I8236" s="237"/>
    </row>
    <row r="8237" spans="1:9" s="232" customFormat="1" ht="17" customHeight="1">
      <c r="A8237" s="234"/>
      <c r="B8237" s="233"/>
      <c r="C8237" s="238"/>
      <c r="E8237" s="545"/>
      <c r="F8237" s="546"/>
      <c r="G8237" s="234"/>
      <c r="H8237" s="238"/>
      <c r="I8237" s="237"/>
    </row>
    <row r="8238" spans="1:9" s="232" customFormat="1" ht="17" customHeight="1">
      <c r="A8238" s="234"/>
      <c r="B8238" s="233"/>
      <c r="C8238" s="238"/>
      <c r="E8238" s="545"/>
      <c r="F8238" s="546"/>
      <c r="G8238" s="234"/>
      <c r="H8238" s="238"/>
      <c r="I8238" s="237"/>
    </row>
    <row r="8239" spans="1:9" s="232" customFormat="1" ht="17" customHeight="1">
      <c r="A8239" s="234"/>
      <c r="B8239" s="233"/>
      <c r="C8239" s="238"/>
      <c r="E8239" s="545"/>
      <c r="F8239" s="546"/>
      <c r="G8239" s="234"/>
      <c r="H8239" s="238"/>
      <c r="I8239" s="237"/>
    </row>
    <row r="8240" spans="1:9" s="232" customFormat="1" ht="17" customHeight="1">
      <c r="A8240" s="234"/>
      <c r="B8240" s="233"/>
      <c r="C8240" s="238"/>
      <c r="E8240" s="545"/>
      <c r="F8240" s="546"/>
      <c r="G8240" s="234"/>
      <c r="H8240" s="238"/>
      <c r="I8240" s="237"/>
    </row>
    <row r="8241" spans="1:9" s="232" customFormat="1" ht="17" customHeight="1">
      <c r="A8241" s="234"/>
      <c r="B8241" s="233"/>
      <c r="C8241" s="238"/>
      <c r="E8241" s="545"/>
      <c r="F8241" s="546"/>
      <c r="G8241" s="234"/>
      <c r="H8241" s="238"/>
      <c r="I8241" s="237"/>
    </row>
    <row r="8242" spans="1:9" s="232" customFormat="1" ht="17" customHeight="1">
      <c r="A8242" s="234"/>
      <c r="B8242" s="233"/>
      <c r="C8242" s="238"/>
      <c r="E8242" s="545"/>
      <c r="F8242" s="546"/>
      <c r="G8242" s="234"/>
      <c r="H8242" s="238"/>
      <c r="I8242" s="237"/>
    </row>
    <row r="8243" spans="1:9" s="232" customFormat="1" ht="17" customHeight="1">
      <c r="A8243" s="234"/>
      <c r="B8243" s="233"/>
      <c r="C8243" s="238"/>
      <c r="E8243" s="545"/>
      <c r="F8243" s="546"/>
      <c r="G8243" s="234"/>
      <c r="H8243" s="238"/>
      <c r="I8243" s="237"/>
    </row>
    <row r="8244" spans="1:9" s="232" customFormat="1" ht="17" customHeight="1">
      <c r="A8244" s="234"/>
      <c r="B8244" s="233"/>
      <c r="C8244" s="238"/>
      <c r="E8244" s="545"/>
      <c r="F8244" s="546"/>
      <c r="G8244" s="234"/>
      <c r="H8244" s="238"/>
      <c r="I8244" s="237"/>
    </row>
    <row r="8245" spans="1:9" s="232" customFormat="1" ht="17" customHeight="1">
      <c r="A8245" s="234"/>
      <c r="B8245" s="233"/>
      <c r="C8245" s="238"/>
      <c r="E8245" s="545"/>
      <c r="F8245" s="546"/>
      <c r="G8245" s="234"/>
      <c r="H8245" s="238"/>
      <c r="I8245" s="237"/>
    </row>
    <row r="8246" spans="1:9" s="232" customFormat="1" ht="17" customHeight="1">
      <c r="A8246" s="234"/>
      <c r="B8246" s="233"/>
      <c r="C8246" s="238"/>
      <c r="E8246" s="545"/>
      <c r="F8246" s="546"/>
      <c r="G8246" s="234"/>
      <c r="H8246" s="238"/>
      <c r="I8246" s="237"/>
    </row>
    <row r="8247" spans="1:9" s="232" customFormat="1" ht="17" customHeight="1">
      <c r="A8247" s="234"/>
      <c r="B8247" s="233"/>
      <c r="C8247" s="238"/>
      <c r="E8247" s="545"/>
      <c r="F8247" s="546"/>
      <c r="G8247" s="234"/>
      <c r="H8247" s="238"/>
      <c r="I8247" s="237"/>
    </row>
    <row r="8248" spans="1:9" s="232" customFormat="1" ht="17" customHeight="1">
      <c r="A8248" s="234"/>
      <c r="B8248" s="233"/>
      <c r="C8248" s="238"/>
      <c r="E8248" s="545"/>
      <c r="F8248" s="546"/>
      <c r="G8248" s="234"/>
      <c r="H8248" s="238"/>
      <c r="I8248" s="237"/>
    </row>
    <row r="8249" spans="1:9" s="232" customFormat="1" ht="17" customHeight="1">
      <c r="A8249" s="234"/>
      <c r="B8249" s="233"/>
      <c r="C8249" s="238"/>
      <c r="E8249" s="545"/>
      <c r="F8249" s="546"/>
      <c r="G8249" s="234"/>
      <c r="H8249" s="238"/>
      <c r="I8249" s="237"/>
    </row>
    <row r="8250" spans="1:9" s="232" customFormat="1" ht="17" customHeight="1">
      <c r="A8250" s="234"/>
      <c r="B8250" s="233"/>
      <c r="C8250" s="238"/>
      <c r="E8250" s="545"/>
      <c r="F8250" s="546"/>
      <c r="G8250" s="234"/>
      <c r="H8250" s="238"/>
      <c r="I8250" s="237"/>
    </row>
    <row r="8251" spans="1:9" s="232" customFormat="1" ht="17" customHeight="1">
      <c r="A8251" s="234"/>
      <c r="B8251" s="233"/>
      <c r="C8251" s="238"/>
      <c r="E8251" s="545"/>
      <c r="F8251" s="546"/>
      <c r="G8251" s="234"/>
      <c r="H8251" s="238"/>
      <c r="I8251" s="237"/>
    </row>
    <row r="8252" spans="1:9" s="232" customFormat="1" ht="17" customHeight="1">
      <c r="A8252" s="234"/>
      <c r="B8252" s="233"/>
      <c r="C8252" s="238"/>
      <c r="E8252" s="545"/>
      <c r="F8252" s="546"/>
      <c r="G8252" s="234"/>
      <c r="H8252" s="238"/>
      <c r="I8252" s="237"/>
    </row>
    <row r="8253" spans="1:9" s="232" customFormat="1" ht="17" customHeight="1">
      <c r="A8253" s="234"/>
      <c r="B8253" s="233"/>
      <c r="C8253" s="238"/>
      <c r="E8253" s="545"/>
      <c r="F8253" s="546"/>
      <c r="G8253" s="234"/>
      <c r="H8253" s="238"/>
      <c r="I8253" s="237"/>
    </row>
    <row r="8254" spans="1:9" s="232" customFormat="1" ht="17" customHeight="1">
      <c r="A8254" s="234"/>
      <c r="B8254" s="233"/>
      <c r="C8254" s="238"/>
      <c r="E8254" s="545"/>
      <c r="F8254" s="546"/>
      <c r="G8254" s="234"/>
      <c r="H8254" s="238"/>
      <c r="I8254" s="237"/>
    </row>
    <row r="8255" spans="1:9" s="232" customFormat="1" ht="17" customHeight="1">
      <c r="A8255" s="234"/>
      <c r="B8255" s="233"/>
      <c r="C8255" s="238"/>
      <c r="E8255" s="545"/>
      <c r="F8255" s="546"/>
      <c r="G8255" s="234"/>
      <c r="H8255" s="238"/>
      <c r="I8255" s="237"/>
    </row>
    <row r="8256" spans="1:9" s="232" customFormat="1" ht="17" customHeight="1">
      <c r="A8256" s="234"/>
      <c r="B8256" s="233"/>
      <c r="C8256" s="238"/>
      <c r="E8256" s="545"/>
      <c r="F8256" s="546"/>
      <c r="G8256" s="234"/>
      <c r="H8256" s="238"/>
      <c r="I8256" s="237"/>
    </row>
    <row r="8257" spans="1:9" s="232" customFormat="1" ht="17" customHeight="1">
      <c r="A8257" s="234"/>
      <c r="B8257" s="233"/>
      <c r="C8257" s="238"/>
      <c r="E8257" s="545"/>
      <c r="F8257" s="546"/>
      <c r="G8257" s="234"/>
      <c r="H8257" s="238"/>
      <c r="I8257" s="237"/>
    </row>
    <row r="8258" spans="1:9" s="232" customFormat="1" ht="17" customHeight="1">
      <c r="A8258" s="234"/>
      <c r="B8258" s="233"/>
      <c r="C8258" s="238"/>
      <c r="E8258" s="545"/>
      <c r="F8258" s="546"/>
      <c r="G8258" s="234"/>
      <c r="H8258" s="238"/>
      <c r="I8258" s="237"/>
    </row>
    <row r="8259" spans="1:9" s="232" customFormat="1" ht="17" customHeight="1">
      <c r="A8259" s="234"/>
      <c r="B8259" s="233"/>
      <c r="C8259" s="238"/>
      <c r="E8259" s="545"/>
      <c r="F8259" s="546"/>
      <c r="G8259" s="234"/>
      <c r="H8259" s="238"/>
      <c r="I8259" s="237"/>
    </row>
    <row r="8260" spans="1:9" s="232" customFormat="1" ht="17" customHeight="1">
      <c r="A8260" s="234"/>
      <c r="B8260" s="233"/>
      <c r="C8260" s="238"/>
      <c r="E8260" s="545"/>
      <c r="F8260" s="546"/>
      <c r="G8260" s="234"/>
      <c r="H8260" s="238"/>
      <c r="I8260" s="237"/>
    </row>
    <row r="8261" spans="1:9" s="232" customFormat="1" ht="17" customHeight="1">
      <c r="A8261" s="234"/>
      <c r="B8261" s="233"/>
      <c r="C8261" s="238"/>
      <c r="E8261" s="545"/>
      <c r="F8261" s="546"/>
      <c r="G8261" s="234"/>
      <c r="H8261" s="238"/>
      <c r="I8261" s="237"/>
    </row>
    <row r="8262" spans="1:9" s="232" customFormat="1" ht="17" customHeight="1">
      <c r="A8262" s="234"/>
      <c r="B8262" s="233"/>
      <c r="C8262" s="238"/>
      <c r="E8262" s="545"/>
      <c r="F8262" s="546"/>
      <c r="G8262" s="234"/>
      <c r="H8262" s="238"/>
      <c r="I8262" s="237"/>
    </row>
    <row r="8263" spans="1:9" s="232" customFormat="1" ht="17" customHeight="1">
      <c r="A8263" s="234"/>
      <c r="B8263" s="233"/>
      <c r="C8263" s="238"/>
      <c r="E8263" s="545"/>
      <c r="F8263" s="546"/>
      <c r="G8263" s="234"/>
      <c r="H8263" s="238"/>
      <c r="I8263" s="237"/>
    </row>
    <row r="8264" spans="1:9" s="232" customFormat="1" ht="17" customHeight="1">
      <c r="A8264" s="234"/>
      <c r="B8264" s="233"/>
      <c r="C8264" s="238"/>
      <c r="E8264" s="545"/>
      <c r="F8264" s="546"/>
      <c r="G8264" s="234"/>
      <c r="H8264" s="238"/>
      <c r="I8264" s="237"/>
    </row>
    <row r="8265" spans="1:9" s="232" customFormat="1" ht="17" customHeight="1">
      <c r="A8265" s="234"/>
      <c r="B8265" s="233"/>
      <c r="C8265" s="238"/>
      <c r="E8265" s="545"/>
      <c r="F8265" s="546"/>
      <c r="G8265" s="234"/>
      <c r="H8265" s="238"/>
      <c r="I8265" s="237"/>
    </row>
    <row r="8266" spans="1:9" s="232" customFormat="1" ht="17" customHeight="1">
      <c r="A8266" s="234"/>
      <c r="B8266" s="233"/>
      <c r="C8266" s="238"/>
      <c r="E8266" s="545"/>
      <c r="F8266" s="546"/>
      <c r="G8266" s="234"/>
      <c r="H8266" s="238"/>
      <c r="I8266" s="237"/>
    </row>
    <row r="8267" spans="1:9" s="232" customFormat="1" ht="17" customHeight="1">
      <c r="A8267" s="234"/>
      <c r="B8267" s="233"/>
      <c r="C8267" s="238"/>
      <c r="E8267" s="545"/>
      <c r="F8267" s="546"/>
      <c r="G8267" s="234"/>
      <c r="H8267" s="238"/>
      <c r="I8267" s="237"/>
    </row>
    <row r="8268" spans="1:9" s="232" customFormat="1" ht="17" customHeight="1">
      <c r="A8268" s="234"/>
      <c r="B8268" s="233"/>
      <c r="C8268" s="238"/>
      <c r="E8268" s="545"/>
      <c r="F8268" s="546"/>
      <c r="G8268" s="234"/>
      <c r="H8268" s="238"/>
      <c r="I8268" s="237"/>
    </row>
    <row r="8269" spans="1:9" s="232" customFormat="1" ht="17" customHeight="1">
      <c r="A8269" s="234"/>
      <c r="B8269" s="233"/>
      <c r="C8269" s="238"/>
      <c r="E8269" s="545"/>
      <c r="F8269" s="546"/>
      <c r="G8269" s="234"/>
      <c r="H8269" s="238"/>
      <c r="I8269" s="237"/>
    </row>
    <row r="8270" spans="1:9" s="232" customFormat="1" ht="17" customHeight="1">
      <c r="A8270" s="234"/>
      <c r="B8270" s="233"/>
      <c r="C8270" s="238"/>
      <c r="E8270" s="545"/>
      <c r="F8270" s="546"/>
      <c r="G8270" s="234"/>
      <c r="H8270" s="238"/>
      <c r="I8270" s="237"/>
    </row>
    <row r="8271" spans="1:9" s="232" customFormat="1" ht="17" customHeight="1">
      <c r="A8271" s="234"/>
      <c r="B8271" s="233"/>
      <c r="C8271" s="238"/>
      <c r="E8271" s="545"/>
      <c r="F8271" s="546"/>
      <c r="G8271" s="234"/>
      <c r="H8271" s="238"/>
      <c r="I8271" s="237"/>
    </row>
    <row r="8272" spans="1:9" s="232" customFormat="1" ht="17" customHeight="1">
      <c r="A8272" s="234"/>
      <c r="B8272" s="233"/>
      <c r="C8272" s="238"/>
      <c r="E8272" s="545"/>
      <c r="F8272" s="546"/>
      <c r="G8272" s="234"/>
      <c r="H8272" s="238"/>
      <c r="I8272" s="237"/>
    </row>
    <row r="8273" spans="1:9" s="232" customFormat="1" ht="17" customHeight="1">
      <c r="A8273" s="234"/>
      <c r="B8273" s="233"/>
      <c r="C8273" s="238"/>
      <c r="E8273" s="545"/>
      <c r="F8273" s="546"/>
      <c r="G8273" s="234"/>
      <c r="H8273" s="238"/>
      <c r="I8273" s="237"/>
    </row>
    <row r="8274" spans="1:9" s="232" customFormat="1" ht="17" customHeight="1">
      <c r="A8274" s="234"/>
      <c r="B8274" s="233"/>
      <c r="C8274" s="238"/>
      <c r="E8274" s="545"/>
      <c r="F8274" s="546"/>
      <c r="G8274" s="234"/>
      <c r="H8274" s="238"/>
      <c r="I8274" s="237"/>
    </row>
    <row r="8275" spans="1:9" s="232" customFormat="1" ht="17" customHeight="1">
      <c r="A8275" s="234"/>
      <c r="B8275" s="233"/>
      <c r="C8275" s="238"/>
      <c r="E8275" s="545"/>
      <c r="F8275" s="546"/>
      <c r="G8275" s="234"/>
      <c r="H8275" s="238"/>
      <c r="I8275" s="237"/>
    </row>
    <row r="8276" spans="1:9" s="232" customFormat="1" ht="17" customHeight="1">
      <c r="A8276" s="234"/>
      <c r="B8276" s="233"/>
      <c r="C8276" s="238"/>
      <c r="E8276" s="545"/>
      <c r="F8276" s="546"/>
      <c r="G8276" s="234"/>
      <c r="H8276" s="238"/>
      <c r="I8276" s="237"/>
    </row>
    <row r="8277" spans="1:9" s="232" customFormat="1" ht="17" customHeight="1">
      <c r="A8277" s="234"/>
      <c r="B8277" s="233"/>
      <c r="C8277" s="238"/>
      <c r="E8277" s="545"/>
      <c r="F8277" s="546"/>
      <c r="G8277" s="234"/>
      <c r="H8277" s="238"/>
      <c r="I8277" s="237"/>
    </row>
    <row r="8278" spans="1:9" s="232" customFormat="1" ht="17" customHeight="1">
      <c r="A8278" s="234"/>
      <c r="B8278" s="233"/>
      <c r="C8278" s="238"/>
      <c r="E8278" s="545"/>
      <c r="F8278" s="546"/>
      <c r="G8278" s="234"/>
      <c r="H8278" s="238"/>
      <c r="I8278" s="237"/>
    </row>
    <row r="8279" spans="1:9" s="232" customFormat="1" ht="17" customHeight="1">
      <c r="A8279" s="234"/>
      <c r="B8279" s="233"/>
      <c r="C8279" s="238"/>
      <c r="E8279" s="545"/>
      <c r="F8279" s="546"/>
      <c r="G8279" s="234"/>
      <c r="H8279" s="238"/>
      <c r="I8279" s="237"/>
    </row>
    <row r="8280" spans="1:9" s="232" customFormat="1" ht="17" customHeight="1">
      <c r="A8280" s="234"/>
      <c r="B8280" s="233"/>
      <c r="C8280" s="238"/>
      <c r="E8280" s="545"/>
      <c r="F8280" s="546"/>
      <c r="G8280" s="234"/>
      <c r="H8280" s="238"/>
      <c r="I8280" s="237"/>
    </row>
    <row r="8281" spans="1:9" s="232" customFormat="1" ht="17" customHeight="1">
      <c r="A8281" s="234"/>
      <c r="B8281" s="233"/>
      <c r="C8281" s="238"/>
      <c r="E8281" s="545"/>
      <c r="F8281" s="546"/>
      <c r="G8281" s="234"/>
      <c r="H8281" s="238"/>
      <c r="I8281" s="237"/>
    </row>
    <row r="8282" spans="1:9" s="232" customFormat="1" ht="17" customHeight="1">
      <c r="A8282" s="234"/>
      <c r="B8282" s="233"/>
      <c r="C8282" s="238"/>
      <c r="E8282" s="545"/>
      <c r="F8282" s="546"/>
      <c r="G8282" s="234"/>
      <c r="H8282" s="238"/>
      <c r="I8282" s="237"/>
    </row>
    <row r="8283" spans="1:9" s="232" customFormat="1" ht="17" customHeight="1">
      <c r="A8283" s="234"/>
      <c r="B8283" s="233"/>
      <c r="C8283" s="238"/>
      <c r="E8283" s="545"/>
      <c r="F8283" s="546"/>
      <c r="G8283" s="234"/>
      <c r="H8283" s="238"/>
      <c r="I8283" s="237"/>
    </row>
    <row r="8284" spans="1:9" s="232" customFormat="1" ht="17" customHeight="1">
      <c r="A8284" s="234"/>
      <c r="B8284" s="233"/>
      <c r="C8284" s="238"/>
      <c r="E8284" s="545"/>
      <c r="F8284" s="546"/>
      <c r="G8284" s="234"/>
      <c r="H8284" s="238"/>
      <c r="I8284" s="237"/>
    </row>
    <row r="8285" spans="1:9" s="232" customFormat="1" ht="17" customHeight="1">
      <c r="A8285" s="234"/>
      <c r="B8285" s="233"/>
      <c r="C8285" s="238"/>
      <c r="E8285" s="545"/>
      <c r="F8285" s="546"/>
      <c r="G8285" s="234"/>
      <c r="H8285" s="238"/>
      <c r="I8285" s="237"/>
    </row>
    <row r="8286" spans="1:9" s="232" customFormat="1" ht="17" customHeight="1">
      <c r="A8286" s="234"/>
      <c r="B8286" s="233"/>
      <c r="C8286" s="238"/>
      <c r="E8286" s="545"/>
      <c r="F8286" s="546"/>
      <c r="G8286" s="234"/>
      <c r="H8286" s="238"/>
      <c r="I8286" s="237"/>
    </row>
    <row r="8287" spans="1:9" s="232" customFormat="1" ht="17" customHeight="1">
      <c r="A8287" s="234"/>
      <c r="B8287" s="233"/>
      <c r="C8287" s="238"/>
      <c r="E8287" s="545"/>
      <c r="F8287" s="546"/>
      <c r="G8287" s="234"/>
      <c r="H8287" s="238"/>
      <c r="I8287" s="237"/>
    </row>
    <row r="8288" spans="1:9" s="232" customFormat="1" ht="17" customHeight="1">
      <c r="A8288" s="234"/>
      <c r="B8288" s="233"/>
      <c r="C8288" s="238"/>
      <c r="E8288" s="545"/>
      <c r="F8288" s="546"/>
      <c r="G8288" s="234"/>
      <c r="H8288" s="238"/>
      <c r="I8288" s="237"/>
    </row>
    <row r="8289" spans="1:9" s="232" customFormat="1" ht="17" customHeight="1">
      <c r="A8289" s="234"/>
      <c r="B8289" s="233"/>
      <c r="C8289" s="238"/>
      <c r="E8289" s="545"/>
      <c r="F8289" s="546"/>
      <c r="G8289" s="234"/>
      <c r="H8289" s="238"/>
      <c r="I8289" s="237"/>
    </row>
    <row r="8290" spans="1:9" s="232" customFormat="1" ht="17" customHeight="1">
      <c r="A8290" s="234"/>
      <c r="B8290" s="233"/>
      <c r="C8290" s="238"/>
      <c r="E8290" s="545"/>
      <c r="F8290" s="546"/>
      <c r="G8290" s="234"/>
      <c r="H8290" s="238"/>
      <c r="I8290" s="237"/>
    </row>
    <row r="8291" spans="1:9" s="232" customFormat="1" ht="17" customHeight="1">
      <c r="A8291" s="234"/>
      <c r="B8291" s="233"/>
      <c r="C8291" s="238"/>
      <c r="E8291" s="545"/>
      <c r="F8291" s="546"/>
      <c r="G8291" s="234"/>
      <c r="H8291" s="238"/>
      <c r="I8291" s="237"/>
    </row>
    <row r="8292" spans="1:9" s="232" customFormat="1" ht="17" customHeight="1">
      <c r="A8292" s="234"/>
      <c r="B8292" s="233"/>
      <c r="C8292" s="238"/>
      <c r="E8292" s="545"/>
      <c r="F8292" s="546"/>
      <c r="G8292" s="234"/>
      <c r="H8292" s="238"/>
      <c r="I8292" s="237"/>
    </row>
    <row r="8293" spans="1:9" s="232" customFormat="1" ht="17" customHeight="1">
      <c r="A8293" s="234"/>
      <c r="B8293" s="233"/>
      <c r="C8293" s="238"/>
      <c r="E8293" s="545"/>
      <c r="F8293" s="546"/>
      <c r="G8293" s="234"/>
      <c r="H8293" s="238"/>
      <c r="I8293" s="237"/>
    </row>
    <row r="8294" spans="1:9" s="232" customFormat="1" ht="17" customHeight="1">
      <c r="A8294" s="234"/>
      <c r="B8294" s="233"/>
      <c r="C8294" s="238"/>
      <c r="E8294" s="545"/>
      <c r="F8294" s="546"/>
      <c r="G8294" s="234"/>
      <c r="H8294" s="238"/>
      <c r="I8294" s="237"/>
    </row>
    <row r="8295" spans="1:9" s="232" customFormat="1" ht="17" customHeight="1">
      <c r="A8295" s="234"/>
      <c r="B8295" s="233"/>
      <c r="C8295" s="238"/>
      <c r="E8295" s="545"/>
      <c r="F8295" s="546"/>
      <c r="G8295" s="234"/>
      <c r="H8295" s="238"/>
      <c r="I8295" s="237"/>
    </row>
    <row r="8296" spans="1:9" s="232" customFormat="1" ht="17" customHeight="1">
      <c r="A8296" s="234"/>
      <c r="B8296" s="233"/>
      <c r="C8296" s="238"/>
      <c r="E8296" s="545"/>
      <c r="F8296" s="546"/>
      <c r="G8296" s="234"/>
      <c r="H8296" s="238"/>
      <c r="I8296" s="237"/>
    </row>
    <row r="8297" spans="1:9" s="232" customFormat="1" ht="17" customHeight="1">
      <c r="A8297" s="234"/>
      <c r="B8297" s="233"/>
      <c r="C8297" s="238"/>
      <c r="E8297" s="545"/>
      <c r="F8297" s="546"/>
      <c r="G8297" s="234"/>
      <c r="H8297" s="238"/>
      <c r="I8297" s="237"/>
    </row>
    <row r="8298" spans="1:9" s="232" customFormat="1" ht="17" customHeight="1">
      <c r="A8298" s="234"/>
      <c r="B8298" s="233"/>
      <c r="C8298" s="238"/>
      <c r="E8298" s="545"/>
      <c r="F8298" s="546"/>
      <c r="G8298" s="234"/>
      <c r="H8298" s="238"/>
      <c r="I8298" s="237"/>
    </row>
    <row r="8299" spans="1:9" s="232" customFormat="1" ht="17" customHeight="1">
      <c r="A8299" s="234"/>
      <c r="B8299" s="233"/>
      <c r="C8299" s="238"/>
      <c r="E8299" s="545"/>
      <c r="F8299" s="546"/>
      <c r="G8299" s="234"/>
      <c r="H8299" s="238"/>
      <c r="I8299" s="237"/>
    </row>
    <row r="8300" spans="1:9" s="232" customFormat="1" ht="17" customHeight="1">
      <c r="A8300" s="234"/>
      <c r="B8300" s="233"/>
      <c r="C8300" s="238"/>
      <c r="E8300" s="545"/>
      <c r="F8300" s="546"/>
      <c r="G8300" s="234"/>
      <c r="H8300" s="238"/>
      <c r="I8300" s="237"/>
    </row>
    <row r="8301" spans="1:9" s="232" customFormat="1" ht="17" customHeight="1">
      <c r="A8301" s="234"/>
      <c r="B8301" s="233"/>
      <c r="C8301" s="238"/>
      <c r="E8301" s="545"/>
      <c r="F8301" s="546"/>
      <c r="G8301" s="234"/>
      <c r="H8301" s="238"/>
      <c r="I8301" s="237"/>
    </row>
    <row r="8302" spans="1:9" s="232" customFormat="1" ht="17" customHeight="1">
      <c r="A8302" s="234"/>
      <c r="B8302" s="233"/>
      <c r="C8302" s="238"/>
      <c r="E8302" s="545"/>
      <c r="F8302" s="546"/>
      <c r="G8302" s="234"/>
      <c r="H8302" s="238"/>
      <c r="I8302" s="237"/>
    </row>
    <row r="8303" spans="1:9" s="232" customFormat="1" ht="17" customHeight="1">
      <c r="A8303" s="234"/>
      <c r="B8303" s="233"/>
      <c r="C8303" s="238"/>
      <c r="E8303" s="545"/>
      <c r="F8303" s="546"/>
      <c r="G8303" s="234"/>
      <c r="H8303" s="238"/>
      <c r="I8303" s="237"/>
    </row>
    <row r="8304" spans="1:9" s="232" customFormat="1" ht="17" customHeight="1">
      <c r="A8304" s="234"/>
      <c r="B8304" s="233"/>
      <c r="C8304" s="238"/>
      <c r="E8304" s="545"/>
      <c r="F8304" s="546"/>
      <c r="G8304" s="234"/>
      <c r="H8304" s="238"/>
      <c r="I8304" s="237"/>
    </row>
    <row r="8305" spans="1:9" s="232" customFormat="1" ht="17" customHeight="1">
      <c r="A8305" s="234"/>
      <c r="B8305" s="233"/>
      <c r="C8305" s="238"/>
      <c r="E8305" s="545"/>
      <c r="F8305" s="546"/>
      <c r="G8305" s="234"/>
      <c r="H8305" s="238"/>
      <c r="I8305" s="237"/>
    </row>
    <row r="8306" spans="1:9" s="232" customFormat="1" ht="17" customHeight="1">
      <c r="A8306" s="234"/>
      <c r="B8306" s="233"/>
      <c r="C8306" s="238"/>
      <c r="E8306" s="545"/>
      <c r="F8306" s="546"/>
      <c r="G8306" s="234"/>
      <c r="H8306" s="238"/>
      <c r="I8306" s="237"/>
    </row>
    <row r="8307" spans="1:9" s="232" customFormat="1" ht="17" customHeight="1">
      <c r="A8307" s="234"/>
      <c r="B8307" s="233"/>
      <c r="C8307" s="238"/>
      <c r="E8307" s="545"/>
      <c r="F8307" s="546"/>
      <c r="G8307" s="234"/>
      <c r="H8307" s="238"/>
      <c r="I8307" s="237"/>
    </row>
    <row r="8308" spans="1:9" s="232" customFormat="1" ht="17" customHeight="1">
      <c r="A8308" s="234"/>
      <c r="B8308" s="233"/>
      <c r="C8308" s="238"/>
      <c r="E8308" s="545"/>
      <c r="F8308" s="546"/>
      <c r="G8308" s="234"/>
      <c r="H8308" s="238"/>
      <c r="I8308" s="237"/>
    </row>
    <row r="8309" spans="1:9" s="232" customFormat="1" ht="17" customHeight="1">
      <c r="A8309" s="234"/>
      <c r="B8309" s="233"/>
      <c r="C8309" s="238"/>
      <c r="E8309" s="545"/>
      <c r="F8309" s="546"/>
      <c r="G8309" s="234"/>
      <c r="H8309" s="238"/>
      <c r="I8309" s="237"/>
    </row>
    <row r="8310" spans="1:9" s="232" customFormat="1" ht="17" customHeight="1">
      <c r="A8310" s="234"/>
      <c r="B8310" s="233"/>
      <c r="C8310" s="238"/>
      <c r="E8310" s="545"/>
      <c r="F8310" s="546"/>
      <c r="G8310" s="234"/>
      <c r="H8310" s="238"/>
      <c r="I8310" s="237"/>
    </row>
    <row r="8311" spans="1:9" s="232" customFormat="1" ht="17" customHeight="1">
      <c r="A8311" s="234"/>
      <c r="B8311" s="233"/>
      <c r="C8311" s="238"/>
      <c r="E8311" s="545"/>
      <c r="F8311" s="546"/>
      <c r="G8311" s="234"/>
      <c r="H8311" s="238"/>
      <c r="I8311" s="237"/>
    </row>
    <row r="8312" spans="1:9" s="232" customFormat="1" ht="17" customHeight="1">
      <c r="A8312" s="234"/>
      <c r="B8312" s="233"/>
      <c r="C8312" s="238"/>
      <c r="E8312" s="545"/>
      <c r="F8312" s="546"/>
      <c r="G8312" s="234"/>
      <c r="H8312" s="238"/>
      <c r="I8312" s="237"/>
    </row>
    <row r="8313" spans="1:9" s="232" customFormat="1" ht="17" customHeight="1">
      <c r="A8313" s="234"/>
      <c r="B8313" s="233"/>
      <c r="C8313" s="238"/>
      <c r="E8313" s="545"/>
      <c r="F8313" s="546"/>
      <c r="G8313" s="234"/>
      <c r="H8313" s="238"/>
      <c r="I8313" s="237"/>
    </row>
    <row r="8314" spans="1:9" s="232" customFormat="1" ht="17" customHeight="1">
      <c r="A8314" s="234"/>
      <c r="B8314" s="233"/>
      <c r="C8314" s="238"/>
      <c r="E8314" s="545"/>
      <c r="F8314" s="546"/>
      <c r="G8314" s="234"/>
      <c r="H8314" s="238"/>
      <c r="I8314" s="237"/>
    </row>
    <row r="8315" spans="1:9" s="232" customFormat="1" ht="17" customHeight="1">
      <c r="A8315" s="234"/>
      <c r="B8315" s="233"/>
      <c r="C8315" s="238"/>
      <c r="E8315" s="545"/>
      <c r="F8315" s="546"/>
      <c r="G8315" s="234"/>
      <c r="H8315" s="238"/>
      <c r="I8315" s="237"/>
    </row>
    <row r="8316" spans="1:9" s="232" customFormat="1" ht="17" customHeight="1">
      <c r="A8316" s="234"/>
      <c r="B8316" s="233"/>
      <c r="C8316" s="238"/>
      <c r="E8316" s="545"/>
      <c r="F8316" s="546"/>
      <c r="G8316" s="234"/>
      <c r="H8316" s="238"/>
      <c r="I8316" s="237"/>
    </row>
    <row r="8317" spans="1:9" s="232" customFormat="1" ht="17" customHeight="1">
      <c r="A8317" s="234"/>
      <c r="B8317" s="233"/>
      <c r="C8317" s="238"/>
      <c r="E8317" s="545"/>
      <c r="F8317" s="546"/>
      <c r="G8317" s="234"/>
      <c r="H8317" s="238"/>
      <c r="I8317" s="237"/>
    </row>
    <row r="8318" spans="1:9" s="232" customFormat="1" ht="17" customHeight="1">
      <c r="A8318" s="234"/>
      <c r="B8318" s="233"/>
      <c r="C8318" s="238"/>
      <c r="E8318" s="545"/>
      <c r="F8318" s="546"/>
      <c r="G8318" s="234"/>
      <c r="H8318" s="238"/>
      <c r="I8318" s="237"/>
    </row>
    <row r="8319" spans="1:9" s="232" customFormat="1" ht="17" customHeight="1">
      <c r="A8319" s="234"/>
      <c r="B8319" s="233"/>
      <c r="C8319" s="238"/>
      <c r="E8319" s="545"/>
      <c r="F8319" s="546"/>
      <c r="G8319" s="234"/>
      <c r="H8319" s="238"/>
      <c r="I8319" s="237"/>
    </row>
    <row r="8320" spans="1:9" s="232" customFormat="1" ht="17" customHeight="1">
      <c r="A8320" s="234"/>
      <c r="B8320" s="233"/>
      <c r="C8320" s="238"/>
      <c r="E8320" s="545"/>
      <c r="F8320" s="546"/>
      <c r="G8320" s="234"/>
      <c r="H8320" s="238"/>
      <c r="I8320" s="237"/>
    </row>
    <row r="8321" spans="1:9" s="232" customFormat="1" ht="17" customHeight="1">
      <c r="A8321" s="234"/>
      <c r="B8321" s="233"/>
      <c r="C8321" s="238"/>
      <c r="E8321" s="545"/>
      <c r="F8321" s="546"/>
      <c r="G8321" s="234"/>
      <c r="H8321" s="238"/>
      <c r="I8321" s="237"/>
    </row>
    <row r="8322" spans="1:9" s="232" customFormat="1" ht="17" customHeight="1">
      <c r="A8322" s="234"/>
      <c r="B8322" s="233"/>
      <c r="C8322" s="238"/>
      <c r="E8322" s="545"/>
      <c r="F8322" s="546"/>
      <c r="G8322" s="234"/>
      <c r="H8322" s="238"/>
      <c r="I8322" s="237"/>
    </row>
    <row r="8323" spans="1:9" s="232" customFormat="1" ht="17" customHeight="1">
      <c r="A8323" s="234"/>
      <c r="B8323" s="233"/>
      <c r="C8323" s="238"/>
      <c r="E8323" s="545"/>
      <c r="F8323" s="546"/>
      <c r="G8323" s="234"/>
      <c r="H8323" s="238"/>
      <c r="I8323" s="237"/>
    </row>
    <row r="8324" spans="1:9" s="232" customFormat="1" ht="17" customHeight="1">
      <c r="A8324" s="234"/>
      <c r="B8324" s="233"/>
      <c r="C8324" s="238"/>
      <c r="E8324" s="545"/>
      <c r="F8324" s="546"/>
      <c r="G8324" s="234"/>
      <c r="H8324" s="238"/>
      <c r="I8324" s="237"/>
    </row>
    <row r="8325" spans="1:9" s="232" customFormat="1" ht="17" customHeight="1">
      <c r="A8325" s="234"/>
      <c r="B8325" s="233"/>
      <c r="C8325" s="238"/>
      <c r="E8325" s="545"/>
      <c r="F8325" s="546"/>
      <c r="G8325" s="234"/>
      <c r="H8325" s="238"/>
      <c r="I8325" s="237"/>
    </row>
    <row r="8326" spans="1:9" s="232" customFormat="1" ht="17" customHeight="1">
      <c r="A8326" s="234"/>
      <c r="B8326" s="233"/>
      <c r="C8326" s="238"/>
      <c r="E8326" s="545"/>
      <c r="F8326" s="546"/>
      <c r="G8326" s="234"/>
      <c r="H8326" s="238"/>
      <c r="I8326" s="237"/>
    </row>
    <row r="8327" spans="1:9" s="232" customFormat="1" ht="17" customHeight="1">
      <c r="A8327" s="234"/>
      <c r="B8327" s="233"/>
      <c r="C8327" s="238"/>
      <c r="E8327" s="545"/>
      <c r="F8327" s="546"/>
      <c r="G8327" s="234"/>
      <c r="H8327" s="238"/>
      <c r="I8327" s="237"/>
    </row>
    <row r="8328" spans="1:9" s="232" customFormat="1" ht="17" customHeight="1">
      <c r="A8328" s="234"/>
      <c r="B8328" s="233"/>
      <c r="C8328" s="238"/>
      <c r="E8328" s="545"/>
      <c r="F8328" s="546"/>
      <c r="G8328" s="234"/>
      <c r="H8328" s="238"/>
      <c r="I8328" s="237"/>
    </row>
    <row r="8329" spans="1:9" s="232" customFormat="1" ht="17" customHeight="1">
      <c r="A8329" s="234"/>
      <c r="B8329" s="233"/>
      <c r="C8329" s="238"/>
      <c r="E8329" s="545"/>
      <c r="F8329" s="546"/>
      <c r="G8329" s="234"/>
      <c r="H8329" s="238"/>
      <c r="I8329" s="237"/>
    </row>
    <row r="8330" spans="1:9" s="232" customFormat="1" ht="17" customHeight="1">
      <c r="A8330" s="234"/>
      <c r="B8330" s="233"/>
      <c r="C8330" s="238"/>
      <c r="E8330" s="545"/>
      <c r="F8330" s="546"/>
      <c r="G8330" s="234"/>
      <c r="H8330" s="238"/>
      <c r="I8330" s="237"/>
    </row>
    <row r="8331" spans="1:9" s="232" customFormat="1" ht="17" customHeight="1">
      <c r="A8331" s="234"/>
      <c r="B8331" s="233"/>
      <c r="C8331" s="238"/>
      <c r="E8331" s="545"/>
      <c r="F8331" s="546"/>
      <c r="G8331" s="234"/>
      <c r="H8331" s="238"/>
      <c r="I8331" s="237"/>
    </row>
    <row r="8332" spans="1:9" s="232" customFormat="1" ht="17" customHeight="1">
      <c r="A8332" s="234"/>
      <c r="B8332" s="233"/>
      <c r="C8332" s="238"/>
      <c r="E8332" s="545"/>
      <c r="F8332" s="546"/>
      <c r="G8332" s="234"/>
      <c r="H8332" s="238"/>
      <c r="I8332" s="237"/>
    </row>
    <row r="8333" spans="1:9" s="232" customFormat="1" ht="17" customHeight="1">
      <c r="A8333" s="234"/>
      <c r="B8333" s="233"/>
      <c r="C8333" s="238"/>
      <c r="E8333" s="545"/>
      <c r="F8333" s="546"/>
      <c r="G8333" s="234"/>
      <c r="H8333" s="238"/>
      <c r="I8333" s="237"/>
    </row>
    <row r="8334" spans="1:9" s="232" customFormat="1" ht="17" customHeight="1">
      <c r="A8334" s="234"/>
      <c r="B8334" s="233"/>
      <c r="C8334" s="238"/>
      <c r="E8334" s="545"/>
      <c r="F8334" s="546"/>
      <c r="G8334" s="234"/>
      <c r="H8334" s="238"/>
      <c r="I8334" s="237"/>
    </row>
    <row r="8335" spans="1:9" s="232" customFormat="1" ht="17" customHeight="1">
      <c r="A8335" s="234"/>
      <c r="B8335" s="233"/>
      <c r="C8335" s="238"/>
      <c r="E8335" s="545"/>
      <c r="F8335" s="546"/>
      <c r="G8335" s="234"/>
      <c r="H8335" s="238"/>
      <c r="I8335" s="237"/>
    </row>
    <row r="8336" spans="1:9" s="232" customFormat="1" ht="17" customHeight="1">
      <c r="A8336" s="234"/>
      <c r="B8336" s="233"/>
      <c r="C8336" s="238"/>
      <c r="E8336" s="545"/>
      <c r="F8336" s="546"/>
      <c r="G8336" s="234"/>
      <c r="H8336" s="238"/>
      <c r="I8336" s="237"/>
    </row>
    <row r="8337" spans="1:9" s="232" customFormat="1" ht="17" customHeight="1">
      <c r="A8337" s="234"/>
      <c r="B8337" s="233"/>
      <c r="C8337" s="238"/>
      <c r="E8337" s="545"/>
      <c r="F8337" s="546"/>
      <c r="G8337" s="234"/>
      <c r="H8337" s="238"/>
      <c r="I8337" s="237"/>
    </row>
    <row r="8338" spans="1:9" s="232" customFormat="1" ht="17" customHeight="1">
      <c r="A8338" s="234"/>
      <c r="B8338" s="233"/>
      <c r="C8338" s="238"/>
      <c r="E8338" s="545"/>
      <c r="F8338" s="546"/>
      <c r="G8338" s="234"/>
      <c r="H8338" s="238"/>
      <c r="I8338" s="237"/>
    </row>
    <row r="8339" spans="1:9" s="232" customFormat="1" ht="17" customHeight="1">
      <c r="A8339" s="234"/>
      <c r="B8339" s="233"/>
      <c r="C8339" s="238"/>
      <c r="E8339" s="545"/>
      <c r="F8339" s="546"/>
      <c r="G8339" s="234"/>
      <c r="H8339" s="238"/>
      <c r="I8339" s="237"/>
    </row>
    <row r="8340" spans="1:9" s="232" customFormat="1" ht="17" customHeight="1">
      <c r="A8340" s="234"/>
      <c r="B8340" s="233"/>
      <c r="C8340" s="238"/>
      <c r="E8340" s="545"/>
      <c r="F8340" s="546"/>
      <c r="G8340" s="234"/>
      <c r="H8340" s="238"/>
      <c r="I8340" s="237"/>
    </row>
    <row r="8341" spans="1:9" s="232" customFormat="1" ht="17" customHeight="1">
      <c r="A8341" s="234"/>
      <c r="B8341" s="233"/>
      <c r="C8341" s="238"/>
      <c r="E8341" s="545"/>
      <c r="F8341" s="546"/>
      <c r="G8341" s="234"/>
      <c r="H8341" s="238"/>
      <c r="I8341" s="237"/>
    </row>
    <row r="8342" spans="1:9" s="232" customFormat="1" ht="17" customHeight="1">
      <c r="A8342" s="234"/>
      <c r="B8342" s="233"/>
      <c r="C8342" s="238"/>
      <c r="E8342" s="545"/>
      <c r="F8342" s="546"/>
      <c r="G8342" s="234"/>
      <c r="H8342" s="238"/>
      <c r="I8342" s="237"/>
    </row>
    <row r="8343" spans="1:9" s="232" customFormat="1" ht="17" customHeight="1">
      <c r="A8343" s="234"/>
      <c r="B8343" s="233"/>
      <c r="C8343" s="238"/>
      <c r="E8343" s="545"/>
      <c r="F8343" s="546"/>
      <c r="G8343" s="234"/>
      <c r="H8343" s="238"/>
      <c r="I8343" s="237"/>
    </row>
    <row r="8344" spans="1:9" s="232" customFormat="1" ht="17" customHeight="1">
      <c r="A8344" s="234"/>
      <c r="B8344" s="233"/>
      <c r="C8344" s="238"/>
      <c r="E8344" s="545"/>
      <c r="F8344" s="546"/>
      <c r="G8344" s="234"/>
      <c r="H8344" s="238"/>
      <c r="I8344" s="237"/>
    </row>
    <row r="8345" spans="1:9" s="232" customFormat="1" ht="17" customHeight="1">
      <c r="A8345" s="234"/>
      <c r="B8345" s="233"/>
      <c r="C8345" s="238"/>
      <c r="E8345" s="545"/>
      <c r="F8345" s="546"/>
      <c r="G8345" s="234"/>
      <c r="H8345" s="238"/>
      <c r="I8345" s="237"/>
    </row>
    <row r="8346" spans="1:9" s="232" customFormat="1" ht="17" customHeight="1">
      <c r="A8346" s="234"/>
      <c r="B8346" s="233"/>
      <c r="C8346" s="238"/>
      <c r="E8346" s="545"/>
      <c r="F8346" s="546"/>
      <c r="G8346" s="234"/>
      <c r="H8346" s="238"/>
      <c r="I8346" s="237"/>
    </row>
    <row r="8347" spans="1:9" s="232" customFormat="1" ht="17" customHeight="1">
      <c r="A8347" s="234"/>
      <c r="B8347" s="233"/>
      <c r="C8347" s="238"/>
      <c r="E8347" s="545"/>
      <c r="F8347" s="546"/>
      <c r="G8347" s="234"/>
      <c r="H8347" s="238"/>
      <c r="I8347" s="237"/>
    </row>
    <row r="8348" spans="1:9" s="232" customFormat="1" ht="17" customHeight="1">
      <c r="A8348" s="234"/>
      <c r="B8348" s="233"/>
      <c r="C8348" s="238"/>
      <c r="E8348" s="545"/>
      <c r="F8348" s="546"/>
      <c r="G8348" s="234"/>
      <c r="H8348" s="238"/>
      <c r="I8348" s="237"/>
    </row>
    <row r="8349" spans="1:9" s="232" customFormat="1" ht="17" customHeight="1">
      <c r="A8349" s="234"/>
      <c r="B8349" s="233"/>
      <c r="C8349" s="238"/>
      <c r="E8349" s="545"/>
      <c r="F8349" s="546"/>
      <c r="G8349" s="234"/>
      <c r="H8349" s="238"/>
      <c r="I8349" s="237"/>
    </row>
    <row r="8350" spans="1:9" s="232" customFormat="1" ht="17" customHeight="1">
      <c r="A8350" s="234"/>
      <c r="B8350" s="233"/>
      <c r="C8350" s="238"/>
      <c r="E8350" s="545"/>
      <c r="F8350" s="546"/>
      <c r="G8350" s="234"/>
      <c r="H8350" s="238"/>
      <c r="I8350" s="237"/>
    </row>
    <row r="8351" spans="1:9" s="232" customFormat="1" ht="17" customHeight="1">
      <c r="A8351" s="234"/>
      <c r="B8351" s="233"/>
      <c r="C8351" s="238"/>
      <c r="E8351" s="545"/>
      <c r="F8351" s="546"/>
      <c r="G8351" s="234"/>
      <c r="H8351" s="238"/>
      <c r="I8351" s="237"/>
    </row>
    <row r="8352" spans="1:9" s="232" customFormat="1" ht="17" customHeight="1">
      <c r="A8352" s="234"/>
      <c r="B8352" s="233"/>
      <c r="C8352" s="238"/>
      <c r="E8352" s="545"/>
      <c r="F8352" s="546"/>
      <c r="G8352" s="234"/>
      <c r="H8352" s="238"/>
      <c r="I8352" s="237"/>
    </row>
    <row r="8353" spans="1:9" s="232" customFormat="1" ht="17" customHeight="1">
      <c r="A8353" s="234"/>
      <c r="B8353" s="233"/>
      <c r="C8353" s="238"/>
      <c r="E8353" s="545"/>
      <c r="F8353" s="546"/>
      <c r="G8353" s="234"/>
      <c r="H8353" s="238"/>
      <c r="I8353" s="237"/>
    </row>
    <row r="8354" spans="1:9" s="232" customFormat="1" ht="17" customHeight="1">
      <c r="A8354" s="234"/>
      <c r="B8354" s="233"/>
      <c r="C8354" s="238"/>
      <c r="E8354" s="545"/>
      <c r="F8354" s="546"/>
      <c r="G8354" s="234"/>
      <c r="H8354" s="238"/>
      <c r="I8354" s="237"/>
    </row>
    <row r="8355" spans="1:9" s="232" customFormat="1" ht="17" customHeight="1">
      <c r="A8355" s="234"/>
      <c r="B8355" s="233"/>
      <c r="C8355" s="238"/>
      <c r="E8355" s="545"/>
      <c r="F8355" s="546"/>
      <c r="G8355" s="234"/>
      <c r="H8355" s="238"/>
      <c r="I8355" s="237"/>
    </row>
    <row r="8356" spans="1:9" s="232" customFormat="1" ht="17" customHeight="1">
      <c r="A8356" s="234"/>
      <c r="B8356" s="233"/>
      <c r="C8356" s="238"/>
      <c r="E8356" s="545"/>
      <c r="F8356" s="546"/>
      <c r="G8356" s="234"/>
      <c r="H8356" s="238"/>
      <c r="I8356" s="237"/>
    </row>
    <row r="8357" spans="1:9" s="232" customFormat="1" ht="17" customHeight="1">
      <c r="A8357" s="234"/>
      <c r="B8357" s="233"/>
      <c r="C8357" s="238"/>
      <c r="E8357" s="545"/>
      <c r="F8357" s="546"/>
      <c r="G8357" s="234"/>
      <c r="H8357" s="238"/>
      <c r="I8357" s="237"/>
    </row>
    <row r="8358" spans="1:9" s="232" customFormat="1" ht="17" customHeight="1">
      <c r="A8358" s="234"/>
      <c r="B8358" s="233"/>
      <c r="C8358" s="238"/>
      <c r="E8358" s="545"/>
      <c r="F8358" s="546"/>
      <c r="G8358" s="234"/>
      <c r="H8358" s="238"/>
      <c r="I8358" s="237"/>
    </row>
    <row r="8359" spans="1:9" s="232" customFormat="1" ht="17" customHeight="1">
      <c r="A8359" s="234"/>
      <c r="B8359" s="233"/>
      <c r="C8359" s="238"/>
      <c r="E8359" s="545"/>
      <c r="F8359" s="546"/>
      <c r="G8359" s="234"/>
      <c r="H8359" s="238"/>
      <c r="I8359" s="237"/>
    </row>
    <row r="8360" spans="1:9" s="232" customFormat="1" ht="17" customHeight="1">
      <c r="A8360" s="234"/>
      <c r="B8360" s="233"/>
      <c r="C8360" s="238"/>
      <c r="E8360" s="545"/>
      <c r="F8360" s="546"/>
      <c r="G8360" s="234"/>
      <c r="H8360" s="238"/>
      <c r="I8360" s="237"/>
    </row>
    <row r="8361" spans="1:9" s="232" customFormat="1" ht="17" customHeight="1">
      <c r="A8361" s="234"/>
      <c r="B8361" s="233"/>
      <c r="C8361" s="238"/>
      <c r="E8361" s="545"/>
      <c r="F8361" s="546"/>
      <c r="G8361" s="234"/>
      <c r="H8361" s="238"/>
      <c r="I8361" s="237"/>
    </row>
    <row r="8362" spans="1:9" s="232" customFormat="1" ht="17" customHeight="1">
      <c r="A8362" s="234"/>
      <c r="B8362" s="233"/>
      <c r="C8362" s="238"/>
      <c r="E8362" s="545"/>
      <c r="F8362" s="546"/>
      <c r="G8362" s="234"/>
      <c r="H8362" s="238"/>
      <c r="I8362" s="237"/>
    </row>
    <row r="8363" spans="1:9" s="232" customFormat="1" ht="17" customHeight="1">
      <c r="A8363" s="234"/>
      <c r="B8363" s="233"/>
      <c r="C8363" s="238"/>
      <c r="E8363" s="545"/>
      <c r="F8363" s="546"/>
      <c r="G8363" s="234"/>
      <c r="H8363" s="238"/>
      <c r="I8363" s="237"/>
    </row>
    <row r="8364" spans="1:9" s="232" customFormat="1" ht="17" customHeight="1">
      <c r="A8364" s="234"/>
      <c r="B8364" s="233"/>
      <c r="C8364" s="238"/>
      <c r="E8364" s="545"/>
      <c r="F8364" s="546"/>
      <c r="G8364" s="234"/>
      <c r="H8364" s="238"/>
      <c r="I8364" s="237"/>
    </row>
    <row r="8365" spans="1:9" s="232" customFormat="1" ht="17" customHeight="1">
      <c r="A8365" s="234"/>
      <c r="B8365" s="233"/>
      <c r="C8365" s="238"/>
      <c r="E8365" s="545"/>
      <c r="F8365" s="546"/>
      <c r="G8365" s="234"/>
      <c r="H8365" s="238"/>
      <c r="I8365" s="237"/>
    </row>
    <row r="8366" spans="1:9" s="232" customFormat="1" ht="17" customHeight="1">
      <c r="A8366" s="234"/>
      <c r="B8366" s="233"/>
      <c r="C8366" s="238"/>
      <c r="E8366" s="545"/>
      <c r="F8366" s="546"/>
      <c r="G8366" s="234"/>
      <c r="H8366" s="238"/>
      <c r="I8366" s="237"/>
    </row>
    <row r="8367" spans="1:9" s="232" customFormat="1" ht="17" customHeight="1">
      <c r="A8367" s="234"/>
      <c r="B8367" s="233"/>
      <c r="C8367" s="238"/>
      <c r="E8367" s="545"/>
      <c r="F8367" s="546"/>
      <c r="G8367" s="234"/>
      <c r="H8367" s="238"/>
      <c r="I8367" s="237"/>
    </row>
    <row r="8368" spans="1:9" s="232" customFormat="1" ht="17" customHeight="1">
      <c r="A8368" s="234"/>
      <c r="B8368" s="233"/>
      <c r="C8368" s="238"/>
      <c r="E8368" s="545"/>
      <c r="F8368" s="546"/>
      <c r="G8368" s="234"/>
      <c r="H8368" s="238"/>
      <c r="I8368" s="237"/>
    </row>
    <row r="8369" spans="1:9" s="232" customFormat="1" ht="17" customHeight="1">
      <c r="A8369" s="234"/>
      <c r="B8369" s="233"/>
      <c r="C8369" s="238"/>
      <c r="E8369" s="545"/>
      <c r="F8369" s="546"/>
      <c r="G8369" s="234"/>
      <c r="H8369" s="238"/>
      <c r="I8369" s="237"/>
    </row>
    <row r="8370" spans="1:9" s="232" customFormat="1" ht="17" customHeight="1">
      <c r="A8370" s="234"/>
      <c r="B8370" s="233"/>
      <c r="C8370" s="238"/>
      <c r="E8370" s="545"/>
      <c r="F8370" s="546"/>
      <c r="G8370" s="234"/>
      <c r="H8370" s="238"/>
      <c r="I8370" s="237"/>
    </row>
    <row r="8371" spans="1:9" s="232" customFormat="1" ht="17" customHeight="1">
      <c r="A8371" s="234"/>
      <c r="B8371" s="233"/>
      <c r="C8371" s="238"/>
      <c r="E8371" s="545"/>
      <c r="F8371" s="546"/>
      <c r="G8371" s="234"/>
      <c r="H8371" s="238"/>
      <c r="I8371" s="237"/>
    </row>
    <row r="8372" spans="1:9" s="232" customFormat="1" ht="17" customHeight="1">
      <c r="A8372" s="234"/>
      <c r="B8372" s="233"/>
      <c r="C8372" s="238"/>
      <c r="E8372" s="545"/>
      <c r="F8372" s="546"/>
      <c r="G8372" s="234"/>
      <c r="H8372" s="238"/>
      <c r="I8372" s="237"/>
    </row>
    <row r="8373" spans="1:9" s="232" customFormat="1" ht="17" customHeight="1">
      <c r="A8373" s="234"/>
      <c r="B8373" s="233"/>
      <c r="C8373" s="238"/>
      <c r="E8373" s="545"/>
      <c r="F8373" s="546"/>
      <c r="G8373" s="234"/>
      <c r="H8373" s="238"/>
      <c r="I8373" s="237"/>
    </row>
    <row r="8374" spans="1:9" s="232" customFormat="1" ht="17" customHeight="1">
      <c r="A8374" s="234"/>
      <c r="B8374" s="233"/>
      <c r="C8374" s="238"/>
      <c r="E8374" s="545"/>
      <c r="F8374" s="546"/>
      <c r="G8374" s="234"/>
      <c r="H8374" s="238"/>
      <c r="I8374" s="237"/>
    </row>
    <row r="8375" spans="1:9" s="232" customFormat="1" ht="17" customHeight="1">
      <c r="A8375" s="234"/>
      <c r="B8375" s="233"/>
      <c r="C8375" s="238"/>
      <c r="E8375" s="545"/>
      <c r="F8375" s="546"/>
      <c r="G8375" s="234"/>
      <c r="H8375" s="238"/>
      <c r="I8375" s="237"/>
    </row>
    <row r="8376" spans="1:9" s="232" customFormat="1" ht="17" customHeight="1">
      <c r="A8376" s="234"/>
      <c r="B8376" s="233"/>
      <c r="C8376" s="238"/>
      <c r="E8376" s="545"/>
      <c r="F8376" s="546"/>
      <c r="G8376" s="234"/>
      <c r="H8376" s="238"/>
      <c r="I8376" s="237"/>
    </row>
    <row r="8377" spans="1:9" s="232" customFormat="1" ht="17" customHeight="1">
      <c r="A8377" s="234"/>
      <c r="B8377" s="233"/>
      <c r="C8377" s="238"/>
      <c r="E8377" s="545"/>
      <c r="F8377" s="546"/>
      <c r="G8377" s="234"/>
      <c r="H8377" s="238"/>
      <c r="I8377" s="237"/>
    </row>
    <row r="8378" spans="1:9" s="232" customFormat="1" ht="17" customHeight="1">
      <c r="A8378" s="234"/>
      <c r="B8378" s="233"/>
      <c r="C8378" s="238"/>
      <c r="E8378" s="545"/>
      <c r="F8378" s="546"/>
      <c r="G8378" s="234"/>
      <c r="H8378" s="238"/>
      <c r="I8378" s="237"/>
    </row>
    <row r="8379" spans="1:9" s="232" customFormat="1" ht="17" customHeight="1">
      <c r="A8379" s="234"/>
      <c r="B8379" s="233"/>
      <c r="C8379" s="238"/>
      <c r="E8379" s="545"/>
      <c r="F8379" s="546"/>
      <c r="G8379" s="234"/>
      <c r="H8379" s="238"/>
      <c r="I8379" s="237"/>
    </row>
    <row r="8380" spans="1:9" s="232" customFormat="1" ht="17" customHeight="1">
      <c r="A8380" s="234"/>
      <c r="B8380" s="233"/>
      <c r="C8380" s="238"/>
      <c r="E8380" s="545"/>
      <c r="F8380" s="546"/>
      <c r="G8380" s="234"/>
      <c r="H8380" s="238"/>
      <c r="I8380" s="237"/>
    </row>
    <row r="8381" spans="1:9" s="232" customFormat="1" ht="17" customHeight="1">
      <c r="A8381" s="234"/>
      <c r="B8381" s="233"/>
      <c r="C8381" s="238"/>
      <c r="E8381" s="545"/>
      <c r="F8381" s="546"/>
      <c r="G8381" s="234"/>
      <c r="H8381" s="238"/>
      <c r="I8381" s="237"/>
    </row>
    <row r="8382" spans="1:9" s="232" customFormat="1" ht="17" customHeight="1">
      <c r="A8382" s="234"/>
      <c r="B8382" s="233"/>
      <c r="C8382" s="238"/>
      <c r="E8382" s="545"/>
      <c r="F8382" s="546"/>
      <c r="G8382" s="234"/>
      <c r="H8382" s="238"/>
      <c r="I8382" s="237"/>
    </row>
    <row r="8383" spans="1:9" s="232" customFormat="1" ht="17" customHeight="1">
      <c r="A8383" s="234"/>
      <c r="B8383" s="233"/>
      <c r="C8383" s="238"/>
      <c r="E8383" s="545"/>
      <c r="F8383" s="546"/>
      <c r="G8383" s="234"/>
      <c r="H8383" s="238"/>
      <c r="I8383" s="237"/>
    </row>
    <row r="8384" spans="1:9" s="232" customFormat="1" ht="17" customHeight="1">
      <c r="A8384" s="234"/>
      <c r="B8384" s="233"/>
      <c r="C8384" s="238"/>
      <c r="E8384" s="545"/>
      <c r="F8384" s="546"/>
      <c r="G8384" s="234"/>
      <c r="H8384" s="238"/>
      <c r="I8384" s="237"/>
    </row>
    <row r="8385" spans="1:9" s="232" customFormat="1" ht="17" customHeight="1">
      <c r="A8385" s="234"/>
      <c r="B8385" s="233"/>
      <c r="C8385" s="238"/>
      <c r="E8385" s="545"/>
      <c r="F8385" s="546"/>
      <c r="G8385" s="234"/>
      <c r="H8385" s="238"/>
      <c r="I8385" s="237"/>
    </row>
    <row r="8386" spans="1:9" s="232" customFormat="1" ht="17" customHeight="1">
      <c r="A8386" s="234"/>
      <c r="B8386" s="233"/>
      <c r="C8386" s="238"/>
      <c r="E8386" s="545"/>
      <c r="F8386" s="546"/>
      <c r="G8386" s="234"/>
      <c r="H8386" s="238"/>
      <c r="I8386" s="237"/>
    </row>
    <row r="8387" spans="1:9" s="232" customFormat="1" ht="17" customHeight="1">
      <c r="A8387" s="234"/>
      <c r="B8387" s="233"/>
      <c r="C8387" s="238"/>
      <c r="E8387" s="545"/>
      <c r="F8387" s="546"/>
      <c r="G8387" s="234"/>
      <c r="H8387" s="238"/>
      <c r="I8387" s="237"/>
    </row>
    <row r="8388" spans="1:9" s="232" customFormat="1" ht="17" customHeight="1">
      <c r="A8388" s="234"/>
      <c r="B8388" s="233"/>
      <c r="C8388" s="238"/>
      <c r="E8388" s="545"/>
      <c r="F8388" s="546"/>
      <c r="G8388" s="234"/>
      <c r="H8388" s="238"/>
      <c r="I8388" s="237"/>
    </row>
    <row r="8389" spans="1:9" s="232" customFormat="1" ht="17" customHeight="1">
      <c r="A8389" s="234"/>
      <c r="B8389" s="233"/>
      <c r="C8389" s="238"/>
      <c r="E8389" s="545"/>
      <c r="F8389" s="546"/>
      <c r="G8389" s="234"/>
      <c r="H8389" s="238"/>
      <c r="I8389" s="237"/>
    </row>
    <row r="8390" spans="1:9" s="232" customFormat="1" ht="17" customHeight="1">
      <c r="A8390" s="234"/>
      <c r="B8390" s="233"/>
      <c r="C8390" s="238"/>
      <c r="E8390" s="545"/>
      <c r="F8390" s="546"/>
      <c r="G8390" s="234"/>
      <c r="H8390" s="238"/>
      <c r="I8390" s="237"/>
    </row>
    <row r="8391" spans="1:9" s="232" customFormat="1" ht="17" customHeight="1">
      <c r="A8391" s="234"/>
      <c r="B8391" s="233"/>
      <c r="C8391" s="238"/>
      <c r="E8391" s="545"/>
      <c r="F8391" s="546"/>
      <c r="G8391" s="234"/>
      <c r="H8391" s="238"/>
      <c r="I8391" s="237"/>
    </row>
    <row r="8392" spans="1:9" s="232" customFormat="1" ht="17" customHeight="1">
      <c r="A8392" s="234"/>
      <c r="B8392" s="233"/>
      <c r="C8392" s="238"/>
      <c r="E8392" s="545"/>
      <c r="F8392" s="546"/>
      <c r="G8392" s="234"/>
      <c r="H8392" s="238"/>
      <c r="I8392" s="237"/>
    </row>
    <row r="8393" spans="1:9" s="232" customFormat="1" ht="17" customHeight="1">
      <c r="A8393" s="234"/>
      <c r="B8393" s="233"/>
      <c r="C8393" s="238"/>
      <c r="E8393" s="545"/>
      <c r="F8393" s="546"/>
      <c r="G8393" s="234"/>
      <c r="H8393" s="238"/>
      <c r="I8393" s="237"/>
    </row>
    <row r="8394" spans="1:9" s="232" customFormat="1" ht="17" customHeight="1">
      <c r="A8394" s="234"/>
      <c r="B8394" s="233"/>
      <c r="C8394" s="238"/>
      <c r="E8394" s="545"/>
      <c r="F8394" s="546"/>
      <c r="G8394" s="234"/>
      <c r="H8394" s="238"/>
      <c r="I8394" s="237"/>
    </row>
    <row r="8395" spans="1:9" s="232" customFormat="1" ht="17" customHeight="1">
      <c r="A8395" s="234"/>
      <c r="B8395" s="233"/>
      <c r="C8395" s="238"/>
      <c r="E8395" s="545"/>
      <c r="F8395" s="546"/>
      <c r="G8395" s="234"/>
      <c r="H8395" s="238"/>
      <c r="I8395" s="237"/>
    </row>
    <row r="8396" spans="1:9" s="232" customFormat="1" ht="17" customHeight="1">
      <c r="A8396" s="234"/>
      <c r="B8396" s="233"/>
      <c r="C8396" s="238"/>
      <c r="E8396" s="545"/>
      <c r="F8396" s="546"/>
      <c r="G8396" s="234"/>
      <c r="H8396" s="238"/>
      <c r="I8396" s="237"/>
    </row>
    <row r="8397" spans="1:9" s="232" customFormat="1" ht="17" customHeight="1">
      <c r="A8397" s="234"/>
      <c r="B8397" s="233"/>
      <c r="C8397" s="238"/>
      <c r="E8397" s="545"/>
      <c r="F8397" s="546"/>
      <c r="G8397" s="234"/>
      <c r="H8397" s="238"/>
      <c r="I8397" s="237"/>
    </row>
    <row r="8398" spans="1:9" s="232" customFormat="1" ht="17" customHeight="1">
      <c r="A8398" s="234"/>
      <c r="B8398" s="233"/>
      <c r="C8398" s="238"/>
      <c r="E8398" s="545"/>
      <c r="F8398" s="546"/>
      <c r="G8398" s="234"/>
      <c r="H8398" s="238"/>
      <c r="I8398" s="237"/>
    </row>
    <row r="8399" spans="1:9" s="232" customFormat="1" ht="17" customHeight="1">
      <c r="A8399" s="234"/>
      <c r="B8399" s="233"/>
      <c r="C8399" s="238"/>
      <c r="E8399" s="545"/>
      <c r="F8399" s="546"/>
      <c r="G8399" s="234"/>
      <c r="H8399" s="238"/>
      <c r="I8399" s="237"/>
    </row>
    <row r="8400" spans="1:9" s="232" customFormat="1" ht="17" customHeight="1">
      <c r="A8400" s="234"/>
      <c r="B8400" s="233"/>
      <c r="C8400" s="238"/>
      <c r="E8400" s="545"/>
      <c r="F8400" s="546"/>
      <c r="G8400" s="234"/>
      <c r="H8400" s="238"/>
      <c r="I8400" s="237"/>
    </row>
    <row r="8401" spans="1:9" s="232" customFormat="1" ht="17" customHeight="1">
      <c r="A8401" s="234"/>
      <c r="B8401" s="233"/>
      <c r="C8401" s="238"/>
      <c r="E8401" s="545"/>
      <c r="F8401" s="546"/>
      <c r="G8401" s="234"/>
      <c r="H8401" s="238"/>
      <c r="I8401" s="237"/>
    </row>
    <row r="8402" spans="1:9" s="232" customFormat="1" ht="17" customHeight="1">
      <c r="A8402" s="234"/>
      <c r="B8402" s="233"/>
      <c r="C8402" s="238"/>
      <c r="E8402" s="545"/>
      <c r="F8402" s="546"/>
      <c r="G8402" s="234"/>
      <c r="H8402" s="238"/>
      <c r="I8402" s="237"/>
    </row>
    <row r="8403" spans="1:9" s="232" customFormat="1" ht="17" customHeight="1">
      <c r="A8403" s="234"/>
      <c r="B8403" s="233"/>
      <c r="C8403" s="238"/>
      <c r="E8403" s="545"/>
      <c r="F8403" s="546"/>
      <c r="G8403" s="234"/>
      <c r="H8403" s="238"/>
      <c r="I8403" s="237"/>
    </row>
    <row r="8404" spans="1:9" s="232" customFormat="1" ht="17" customHeight="1">
      <c r="A8404" s="234"/>
      <c r="B8404" s="233"/>
      <c r="C8404" s="238"/>
      <c r="E8404" s="545"/>
      <c r="F8404" s="546"/>
      <c r="G8404" s="234"/>
      <c r="H8404" s="238"/>
      <c r="I8404" s="237"/>
    </row>
    <row r="8405" spans="1:9" s="232" customFormat="1" ht="17" customHeight="1">
      <c r="A8405" s="234"/>
      <c r="B8405" s="233"/>
      <c r="C8405" s="238"/>
      <c r="E8405" s="545"/>
      <c r="F8405" s="546"/>
      <c r="G8405" s="234"/>
      <c r="H8405" s="238"/>
      <c r="I8405" s="237"/>
    </row>
    <row r="8406" spans="1:9" s="232" customFormat="1" ht="17" customHeight="1">
      <c r="A8406" s="234"/>
      <c r="B8406" s="233"/>
      <c r="C8406" s="238"/>
      <c r="E8406" s="545"/>
      <c r="F8406" s="546"/>
      <c r="G8406" s="234"/>
      <c r="H8406" s="238"/>
      <c r="I8406" s="237"/>
    </row>
    <row r="8407" spans="1:9" s="232" customFormat="1" ht="17" customHeight="1">
      <c r="A8407" s="234"/>
      <c r="B8407" s="233"/>
      <c r="C8407" s="238"/>
      <c r="E8407" s="545"/>
      <c r="F8407" s="546"/>
      <c r="G8407" s="234"/>
      <c r="H8407" s="238"/>
      <c r="I8407" s="237"/>
    </row>
    <row r="8408" spans="1:9" s="232" customFormat="1" ht="17" customHeight="1">
      <c r="A8408" s="234"/>
      <c r="B8408" s="233"/>
      <c r="C8408" s="238"/>
      <c r="E8408" s="545"/>
      <c r="F8408" s="546"/>
      <c r="G8408" s="234"/>
      <c r="H8408" s="238"/>
      <c r="I8408" s="237"/>
    </row>
    <row r="8409" spans="1:9" s="232" customFormat="1" ht="17" customHeight="1">
      <c r="A8409" s="234"/>
      <c r="B8409" s="233"/>
      <c r="C8409" s="238"/>
      <c r="E8409" s="545"/>
      <c r="F8409" s="546"/>
      <c r="G8409" s="234"/>
      <c r="H8409" s="238"/>
      <c r="I8409" s="237"/>
    </row>
    <row r="8410" spans="1:9" s="232" customFormat="1" ht="17" customHeight="1">
      <c r="A8410" s="234"/>
      <c r="B8410" s="233"/>
      <c r="C8410" s="238"/>
      <c r="E8410" s="545"/>
      <c r="F8410" s="546"/>
      <c r="G8410" s="234"/>
      <c r="H8410" s="238"/>
      <c r="I8410" s="237"/>
    </row>
    <row r="8411" spans="1:9" s="232" customFormat="1" ht="17" customHeight="1">
      <c r="A8411" s="234"/>
      <c r="B8411" s="233"/>
      <c r="C8411" s="238"/>
      <c r="E8411" s="545"/>
      <c r="F8411" s="546"/>
      <c r="G8411" s="234"/>
      <c r="H8411" s="238"/>
      <c r="I8411" s="237"/>
    </row>
    <row r="8412" spans="1:9" s="232" customFormat="1" ht="17" customHeight="1">
      <c r="A8412" s="234"/>
      <c r="B8412" s="233"/>
      <c r="C8412" s="238"/>
      <c r="E8412" s="545"/>
      <c r="F8412" s="546"/>
      <c r="G8412" s="234"/>
      <c r="H8412" s="238"/>
      <c r="I8412" s="237"/>
    </row>
    <row r="8413" spans="1:9" s="232" customFormat="1" ht="17" customHeight="1">
      <c r="A8413" s="234"/>
      <c r="B8413" s="233"/>
      <c r="C8413" s="238"/>
      <c r="E8413" s="545"/>
      <c r="F8413" s="546"/>
      <c r="G8413" s="234"/>
      <c r="H8413" s="238"/>
      <c r="I8413" s="237"/>
    </row>
    <row r="8414" spans="1:9" s="232" customFormat="1" ht="17" customHeight="1">
      <c r="A8414" s="234"/>
      <c r="B8414" s="233"/>
      <c r="C8414" s="238"/>
      <c r="E8414" s="545"/>
      <c r="F8414" s="546"/>
      <c r="G8414" s="234"/>
      <c r="H8414" s="238"/>
      <c r="I8414" s="237"/>
    </row>
    <row r="8415" spans="1:9" s="232" customFormat="1" ht="17" customHeight="1">
      <c r="A8415" s="234"/>
      <c r="B8415" s="233"/>
      <c r="C8415" s="238"/>
      <c r="E8415" s="545"/>
      <c r="F8415" s="546"/>
      <c r="G8415" s="234"/>
      <c r="H8415" s="238"/>
      <c r="I8415" s="237"/>
    </row>
    <row r="8416" spans="1:9" s="232" customFormat="1" ht="17" customHeight="1">
      <c r="A8416" s="234"/>
      <c r="B8416" s="233"/>
      <c r="C8416" s="238"/>
      <c r="E8416" s="545"/>
      <c r="F8416" s="546"/>
      <c r="G8416" s="234"/>
      <c r="H8416" s="238"/>
      <c r="I8416" s="237"/>
    </row>
    <row r="8417" spans="1:9" s="232" customFormat="1" ht="17" customHeight="1">
      <c r="A8417" s="234"/>
      <c r="B8417" s="233"/>
      <c r="C8417" s="238"/>
      <c r="E8417" s="545"/>
      <c r="F8417" s="546"/>
      <c r="G8417" s="234"/>
      <c r="H8417" s="238"/>
      <c r="I8417" s="237"/>
    </row>
    <row r="8418" spans="1:9" s="232" customFormat="1" ht="17" customHeight="1">
      <c r="A8418" s="234"/>
      <c r="B8418" s="233"/>
      <c r="C8418" s="238"/>
      <c r="E8418" s="545"/>
      <c r="F8418" s="546"/>
      <c r="G8418" s="234"/>
      <c r="H8418" s="238"/>
      <c r="I8418" s="237"/>
    </row>
    <row r="8419" spans="1:9" s="232" customFormat="1" ht="17" customHeight="1">
      <c r="A8419" s="234"/>
      <c r="B8419" s="233"/>
      <c r="C8419" s="238"/>
      <c r="E8419" s="545"/>
      <c r="F8419" s="546"/>
      <c r="G8419" s="234"/>
      <c r="H8419" s="238"/>
      <c r="I8419" s="237"/>
    </row>
    <row r="8420" spans="1:9" s="232" customFormat="1" ht="17" customHeight="1">
      <c r="A8420" s="234"/>
      <c r="B8420" s="233"/>
      <c r="C8420" s="238"/>
      <c r="E8420" s="545"/>
      <c r="F8420" s="546"/>
      <c r="G8420" s="234"/>
      <c r="H8420" s="238"/>
      <c r="I8420" s="237"/>
    </row>
    <row r="8421" spans="1:9" s="232" customFormat="1" ht="17" customHeight="1">
      <c r="A8421" s="234"/>
      <c r="B8421" s="233"/>
      <c r="C8421" s="238"/>
      <c r="E8421" s="545"/>
      <c r="F8421" s="546"/>
      <c r="G8421" s="234"/>
      <c r="H8421" s="238"/>
      <c r="I8421" s="237"/>
    </row>
    <row r="8422" spans="1:9" s="232" customFormat="1" ht="17" customHeight="1">
      <c r="A8422" s="234"/>
      <c r="B8422" s="233"/>
      <c r="C8422" s="238"/>
      <c r="E8422" s="545"/>
      <c r="F8422" s="546"/>
      <c r="G8422" s="234"/>
      <c r="H8422" s="238"/>
      <c r="I8422" s="237"/>
    </row>
    <row r="8423" spans="1:9" s="232" customFormat="1" ht="17" customHeight="1">
      <c r="A8423" s="234"/>
      <c r="B8423" s="233"/>
      <c r="C8423" s="238"/>
      <c r="E8423" s="545"/>
      <c r="F8423" s="546"/>
      <c r="G8423" s="234"/>
      <c r="H8423" s="238"/>
      <c r="I8423" s="237"/>
    </row>
    <row r="8424" spans="1:9" s="232" customFormat="1" ht="17" customHeight="1">
      <c r="A8424" s="234"/>
      <c r="B8424" s="233"/>
      <c r="C8424" s="238"/>
      <c r="E8424" s="545"/>
      <c r="F8424" s="546"/>
      <c r="G8424" s="234"/>
      <c r="H8424" s="238"/>
      <c r="I8424" s="237"/>
    </row>
    <row r="8425" spans="1:9" s="232" customFormat="1" ht="17" customHeight="1">
      <c r="A8425" s="234"/>
      <c r="B8425" s="233"/>
      <c r="C8425" s="238"/>
      <c r="E8425" s="545"/>
      <c r="F8425" s="546"/>
      <c r="G8425" s="234"/>
      <c r="H8425" s="238"/>
      <c r="I8425" s="237"/>
    </row>
    <row r="8426" spans="1:9" s="232" customFormat="1" ht="17" customHeight="1">
      <c r="A8426" s="234"/>
      <c r="B8426" s="233"/>
      <c r="C8426" s="238"/>
      <c r="E8426" s="545"/>
      <c r="F8426" s="546"/>
      <c r="G8426" s="234"/>
      <c r="H8426" s="238"/>
      <c r="I8426" s="237"/>
    </row>
    <row r="8427" spans="1:9" s="232" customFormat="1" ht="17" customHeight="1">
      <c r="A8427" s="234"/>
      <c r="B8427" s="233"/>
      <c r="C8427" s="238"/>
      <c r="E8427" s="545"/>
      <c r="F8427" s="546"/>
      <c r="G8427" s="234"/>
      <c r="H8427" s="238"/>
      <c r="I8427" s="237"/>
    </row>
    <row r="8428" spans="1:9" s="232" customFormat="1" ht="17" customHeight="1">
      <c r="A8428" s="234"/>
      <c r="B8428" s="233"/>
      <c r="C8428" s="238"/>
      <c r="E8428" s="545"/>
      <c r="F8428" s="546"/>
      <c r="G8428" s="234"/>
      <c r="H8428" s="238"/>
      <c r="I8428" s="237"/>
    </row>
    <row r="8429" spans="1:9" s="232" customFormat="1" ht="17" customHeight="1">
      <c r="A8429" s="234"/>
      <c r="B8429" s="233"/>
      <c r="C8429" s="238"/>
      <c r="E8429" s="545"/>
      <c r="F8429" s="546"/>
      <c r="G8429" s="234"/>
      <c r="H8429" s="238"/>
      <c r="I8429" s="237"/>
    </row>
    <row r="8430" spans="1:9" s="232" customFormat="1" ht="17" customHeight="1">
      <c r="A8430" s="234"/>
      <c r="B8430" s="233"/>
      <c r="C8430" s="238"/>
      <c r="E8430" s="545"/>
      <c r="F8430" s="546"/>
      <c r="G8430" s="234"/>
      <c r="H8430" s="238"/>
      <c r="I8430" s="237"/>
    </row>
    <row r="8431" spans="1:9" s="232" customFormat="1" ht="17" customHeight="1">
      <c r="A8431" s="234"/>
      <c r="B8431" s="233"/>
      <c r="C8431" s="238"/>
      <c r="E8431" s="545"/>
      <c r="F8431" s="546"/>
      <c r="G8431" s="234"/>
      <c r="H8431" s="238"/>
      <c r="I8431" s="237"/>
    </row>
    <row r="8432" spans="1:9" s="232" customFormat="1" ht="17" customHeight="1">
      <c r="A8432" s="234"/>
      <c r="B8432" s="233"/>
      <c r="C8432" s="238"/>
      <c r="E8432" s="545"/>
      <c r="F8432" s="546"/>
      <c r="G8432" s="234"/>
      <c r="H8432" s="238"/>
      <c r="I8432" s="237"/>
    </row>
    <row r="8433" spans="1:9" s="232" customFormat="1" ht="17" customHeight="1">
      <c r="A8433" s="234"/>
      <c r="B8433" s="233"/>
      <c r="C8433" s="238"/>
      <c r="E8433" s="545"/>
      <c r="F8433" s="546"/>
      <c r="G8433" s="234"/>
      <c r="H8433" s="238"/>
      <c r="I8433" s="237"/>
    </row>
    <row r="8434" spans="1:9" s="232" customFormat="1" ht="17" customHeight="1">
      <c r="A8434" s="234"/>
      <c r="B8434" s="233"/>
      <c r="C8434" s="238"/>
      <c r="E8434" s="545"/>
      <c r="F8434" s="546"/>
      <c r="G8434" s="234"/>
      <c r="H8434" s="238"/>
      <c r="I8434" s="237"/>
    </row>
    <row r="8435" spans="1:9" s="232" customFormat="1" ht="17" customHeight="1">
      <c r="A8435" s="234"/>
      <c r="B8435" s="233"/>
      <c r="C8435" s="238"/>
      <c r="E8435" s="545"/>
      <c r="F8435" s="546"/>
      <c r="G8435" s="234"/>
      <c r="H8435" s="238"/>
      <c r="I8435" s="237"/>
    </row>
    <row r="8436" spans="1:9" s="232" customFormat="1" ht="17" customHeight="1">
      <c r="A8436" s="234"/>
      <c r="B8436" s="233"/>
      <c r="C8436" s="238"/>
      <c r="E8436" s="545"/>
      <c r="F8436" s="546"/>
      <c r="G8436" s="234"/>
      <c r="H8436" s="238"/>
      <c r="I8436" s="237"/>
    </row>
    <row r="8437" spans="1:9" s="232" customFormat="1" ht="17" customHeight="1">
      <c r="A8437" s="234"/>
      <c r="B8437" s="233"/>
      <c r="C8437" s="238"/>
      <c r="E8437" s="545"/>
      <c r="F8437" s="546"/>
      <c r="G8437" s="234"/>
      <c r="H8437" s="238"/>
      <c r="I8437" s="237"/>
    </row>
    <row r="8438" spans="1:9" s="232" customFormat="1" ht="17" customHeight="1">
      <c r="A8438" s="234"/>
      <c r="B8438" s="233"/>
      <c r="C8438" s="238"/>
      <c r="E8438" s="545"/>
      <c r="F8438" s="546"/>
      <c r="G8438" s="234"/>
      <c r="H8438" s="238"/>
      <c r="I8438" s="237"/>
    </row>
    <row r="8439" spans="1:9" s="232" customFormat="1" ht="17" customHeight="1">
      <c r="A8439" s="234"/>
      <c r="B8439" s="233"/>
      <c r="C8439" s="238"/>
      <c r="E8439" s="545"/>
      <c r="F8439" s="546"/>
      <c r="G8439" s="234"/>
      <c r="H8439" s="238"/>
      <c r="I8439" s="237"/>
    </row>
    <row r="8440" spans="1:9" s="232" customFormat="1" ht="17" customHeight="1">
      <c r="A8440" s="234"/>
      <c r="B8440" s="233"/>
      <c r="C8440" s="238"/>
      <c r="E8440" s="545"/>
      <c r="F8440" s="546"/>
      <c r="G8440" s="234"/>
      <c r="H8440" s="238"/>
      <c r="I8440" s="237"/>
    </row>
    <row r="8441" spans="1:9" s="232" customFormat="1" ht="17" customHeight="1">
      <c r="A8441" s="234"/>
      <c r="B8441" s="233"/>
      <c r="C8441" s="238"/>
      <c r="E8441" s="545"/>
      <c r="F8441" s="546"/>
      <c r="G8441" s="234"/>
      <c r="H8441" s="238"/>
      <c r="I8441" s="237"/>
    </row>
    <row r="8442" spans="1:9" s="232" customFormat="1" ht="17" customHeight="1">
      <c r="A8442" s="234"/>
      <c r="B8442" s="233"/>
      <c r="C8442" s="238"/>
      <c r="E8442" s="545"/>
      <c r="F8442" s="546"/>
      <c r="G8442" s="234"/>
      <c r="H8442" s="238"/>
      <c r="I8442" s="237"/>
    </row>
    <row r="8443" spans="1:9" s="232" customFormat="1" ht="17" customHeight="1">
      <c r="A8443" s="234"/>
      <c r="B8443" s="233"/>
      <c r="C8443" s="238"/>
      <c r="E8443" s="545"/>
      <c r="F8443" s="546"/>
      <c r="G8443" s="234"/>
      <c r="H8443" s="238"/>
      <c r="I8443" s="237"/>
    </row>
    <row r="8444" spans="1:9" s="232" customFormat="1" ht="17" customHeight="1">
      <c r="A8444" s="234"/>
      <c r="B8444" s="233"/>
      <c r="C8444" s="238"/>
      <c r="E8444" s="545"/>
      <c r="F8444" s="546"/>
      <c r="G8444" s="234"/>
      <c r="H8444" s="238"/>
      <c r="I8444" s="237"/>
    </row>
    <row r="8445" spans="1:9" s="232" customFormat="1" ht="17" customHeight="1">
      <c r="A8445" s="234"/>
      <c r="B8445" s="233"/>
      <c r="C8445" s="238"/>
      <c r="E8445" s="545"/>
      <c r="F8445" s="546"/>
      <c r="G8445" s="234"/>
      <c r="H8445" s="238"/>
      <c r="I8445" s="237"/>
    </row>
    <row r="8446" spans="1:9" s="232" customFormat="1" ht="17" customHeight="1">
      <c r="A8446" s="234"/>
      <c r="B8446" s="233"/>
      <c r="C8446" s="238"/>
      <c r="E8446" s="545"/>
      <c r="F8446" s="546"/>
      <c r="G8446" s="234"/>
      <c r="H8446" s="238"/>
      <c r="I8446" s="237"/>
    </row>
    <row r="8447" spans="1:9" s="232" customFormat="1" ht="17" customHeight="1">
      <c r="A8447" s="234"/>
      <c r="B8447" s="233"/>
      <c r="C8447" s="238"/>
      <c r="E8447" s="545"/>
      <c r="F8447" s="546"/>
      <c r="G8447" s="234"/>
      <c r="H8447" s="238"/>
      <c r="I8447" s="237"/>
    </row>
    <row r="8448" spans="1:9" s="232" customFormat="1" ht="17" customHeight="1">
      <c r="A8448" s="234"/>
      <c r="B8448" s="233"/>
      <c r="C8448" s="238"/>
      <c r="E8448" s="545"/>
      <c r="F8448" s="546"/>
      <c r="G8448" s="234"/>
      <c r="H8448" s="238"/>
      <c r="I8448" s="237"/>
    </row>
    <row r="8449" spans="1:9" s="232" customFormat="1" ht="17" customHeight="1">
      <c r="A8449" s="234"/>
      <c r="B8449" s="233"/>
      <c r="C8449" s="238"/>
      <c r="E8449" s="545"/>
      <c r="F8449" s="546"/>
      <c r="G8449" s="234"/>
      <c r="H8449" s="238"/>
      <c r="I8449" s="237"/>
    </row>
    <row r="8450" spans="1:9" s="232" customFormat="1" ht="17" customHeight="1">
      <c r="A8450" s="234"/>
      <c r="B8450" s="233"/>
      <c r="C8450" s="238"/>
      <c r="E8450" s="545"/>
      <c r="F8450" s="546"/>
      <c r="G8450" s="234"/>
      <c r="H8450" s="238"/>
      <c r="I8450" s="237"/>
    </row>
    <row r="8451" spans="1:9" s="232" customFormat="1" ht="17" customHeight="1">
      <c r="A8451" s="234"/>
      <c r="B8451" s="233"/>
      <c r="C8451" s="238"/>
      <c r="E8451" s="545"/>
      <c r="F8451" s="546"/>
      <c r="G8451" s="234"/>
      <c r="H8451" s="238"/>
      <c r="I8451" s="237"/>
    </row>
    <row r="8452" spans="1:9" s="232" customFormat="1" ht="17" customHeight="1">
      <c r="A8452" s="234"/>
      <c r="B8452" s="233"/>
      <c r="C8452" s="238"/>
      <c r="E8452" s="545"/>
      <c r="F8452" s="546"/>
      <c r="G8452" s="234"/>
      <c r="H8452" s="238"/>
      <c r="I8452" s="237"/>
    </row>
    <row r="8453" spans="1:9" s="232" customFormat="1" ht="17" customHeight="1">
      <c r="A8453" s="234"/>
      <c r="B8453" s="233"/>
      <c r="C8453" s="238"/>
      <c r="E8453" s="545"/>
      <c r="F8453" s="546"/>
      <c r="G8453" s="234"/>
      <c r="H8453" s="238"/>
      <c r="I8453" s="237"/>
    </row>
    <row r="8454" spans="1:9" s="232" customFormat="1" ht="17" customHeight="1">
      <c r="A8454" s="234"/>
      <c r="B8454" s="233"/>
      <c r="C8454" s="238"/>
      <c r="E8454" s="545"/>
      <c r="F8454" s="546"/>
      <c r="G8454" s="234"/>
      <c r="H8454" s="238"/>
      <c r="I8454" s="237"/>
    </row>
    <row r="8455" spans="1:9" s="232" customFormat="1" ht="17" customHeight="1">
      <c r="A8455" s="234"/>
      <c r="B8455" s="233"/>
      <c r="C8455" s="238"/>
      <c r="E8455" s="545"/>
      <c r="F8455" s="546"/>
      <c r="G8455" s="234"/>
      <c r="H8455" s="238"/>
      <c r="I8455" s="237"/>
    </row>
    <row r="8456" spans="1:9" s="232" customFormat="1" ht="17" customHeight="1">
      <c r="A8456" s="234"/>
      <c r="B8456" s="233"/>
      <c r="C8456" s="238"/>
      <c r="E8456" s="545"/>
      <c r="F8456" s="546"/>
      <c r="G8456" s="234"/>
      <c r="H8456" s="238"/>
      <c r="I8456" s="237"/>
    </row>
    <row r="8457" spans="1:9" s="232" customFormat="1" ht="17" customHeight="1">
      <c r="A8457" s="234"/>
      <c r="B8457" s="233"/>
      <c r="C8457" s="238"/>
      <c r="E8457" s="545"/>
      <c r="F8457" s="546"/>
      <c r="G8457" s="234"/>
      <c r="H8457" s="238"/>
      <c r="I8457" s="237"/>
    </row>
    <row r="8458" spans="1:9" s="232" customFormat="1" ht="17" customHeight="1">
      <c r="A8458" s="234"/>
      <c r="B8458" s="233"/>
      <c r="C8458" s="238"/>
      <c r="E8458" s="545"/>
      <c r="F8458" s="546"/>
      <c r="G8458" s="234"/>
      <c r="H8458" s="238"/>
      <c r="I8458" s="237"/>
    </row>
    <row r="8459" spans="1:9" s="232" customFormat="1" ht="17" customHeight="1">
      <c r="A8459" s="234"/>
      <c r="B8459" s="233"/>
      <c r="C8459" s="238"/>
      <c r="E8459" s="545"/>
      <c r="F8459" s="546"/>
      <c r="G8459" s="234"/>
      <c r="H8459" s="238"/>
      <c r="I8459" s="237"/>
    </row>
    <row r="8460" spans="1:9" s="232" customFormat="1" ht="17" customHeight="1">
      <c r="A8460" s="234"/>
      <c r="B8460" s="233"/>
      <c r="C8460" s="238"/>
      <c r="E8460" s="545"/>
      <c r="F8460" s="546"/>
      <c r="G8460" s="234"/>
      <c r="H8460" s="238"/>
      <c r="I8460" s="237"/>
    </row>
    <row r="8461" spans="1:9" s="232" customFormat="1" ht="17" customHeight="1">
      <c r="A8461" s="234"/>
      <c r="B8461" s="233"/>
      <c r="C8461" s="238"/>
      <c r="E8461" s="545"/>
      <c r="F8461" s="546"/>
      <c r="G8461" s="234"/>
      <c r="H8461" s="238"/>
      <c r="I8461" s="237"/>
    </row>
    <row r="8462" spans="1:9" s="232" customFormat="1" ht="17" customHeight="1">
      <c r="A8462" s="234"/>
      <c r="B8462" s="233"/>
      <c r="C8462" s="238"/>
      <c r="E8462" s="545"/>
      <c r="F8462" s="546"/>
      <c r="G8462" s="234"/>
      <c r="H8462" s="238"/>
      <c r="I8462" s="237"/>
    </row>
    <row r="8463" spans="1:9" s="232" customFormat="1" ht="17" customHeight="1">
      <c r="A8463" s="234"/>
      <c r="B8463" s="233"/>
      <c r="C8463" s="238"/>
      <c r="E8463" s="545"/>
      <c r="F8463" s="546"/>
      <c r="G8463" s="234"/>
      <c r="H8463" s="238"/>
      <c r="I8463" s="237"/>
    </row>
    <row r="8464" spans="1:9" s="232" customFormat="1" ht="17" customHeight="1">
      <c r="A8464" s="234"/>
      <c r="B8464" s="233"/>
      <c r="C8464" s="238"/>
      <c r="E8464" s="545"/>
      <c r="F8464" s="546"/>
      <c r="G8464" s="234"/>
      <c r="H8464" s="238"/>
      <c r="I8464" s="237"/>
    </row>
    <row r="8465" spans="1:9" s="232" customFormat="1" ht="17" customHeight="1">
      <c r="A8465" s="234"/>
      <c r="B8465" s="233"/>
      <c r="C8465" s="238"/>
      <c r="E8465" s="545"/>
      <c r="F8465" s="546"/>
      <c r="G8465" s="234"/>
      <c r="H8465" s="238"/>
      <c r="I8465" s="237"/>
    </row>
    <row r="8466" spans="1:9" s="232" customFormat="1" ht="17" customHeight="1">
      <c r="A8466" s="234"/>
      <c r="B8466" s="233"/>
      <c r="C8466" s="238"/>
      <c r="E8466" s="545"/>
      <c r="F8466" s="546"/>
      <c r="G8466" s="234"/>
      <c r="H8466" s="238"/>
      <c r="I8466" s="237"/>
    </row>
    <row r="8467" spans="1:9" s="232" customFormat="1" ht="17" customHeight="1">
      <c r="A8467" s="234"/>
      <c r="B8467" s="233"/>
      <c r="C8467" s="238"/>
      <c r="E8467" s="545"/>
      <c r="F8467" s="546"/>
      <c r="G8467" s="234"/>
      <c r="H8467" s="238"/>
      <c r="I8467" s="237"/>
    </row>
    <row r="8468" spans="1:9" s="232" customFormat="1" ht="17" customHeight="1">
      <c r="A8468" s="234"/>
      <c r="B8468" s="233"/>
      <c r="C8468" s="238"/>
      <c r="E8468" s="545"/>
      <c r="F8468" s="546"/>
      <c r="G8468" s="234"/>
      <c r="H8468" s="238"/>
      <c r="I8468" s="237"/>
    </row>
    <row r="8469" spans="1:9" s="232" customFormat="1" ht="17" customHeight="1">
      <c r="A8469" s="234"/>
      <c r="B8469" s="233"/>
      <c r="C8469" s="238"/>
      <c r="E8469" s="545"/>
      <c r="F8469" s="546"/>
      <c r="G8469" s="234"/>
      <c r="H8469" s="238"/>
      <c r="I8469" s="237"/>
    </row>
    <row r="8470" spans="1:9" s="232" customFormat="1" ht="17" customHeight="1">
      <c r="A8470" s="234"/>
      <c r="B8470" s="233"/>
      <c r="C8470" s="238"/>
      <c r="E8470" s="545"/>
      <c r="F8470" s="546"/>
      <c r="G8470" s="234"/>
      <c r="H8470" s="238"/>
      <c r="I8470" s="237"/>
    </row>
    <row r="8471" spans="1:9" s="232" customFormat="1" ht="17" customHeight="1">
      <c r="A8471" s="234"/>
      <c r="B8471" s="233"/>
      <c r="C8471" s="238"/>
      <c r="E8471" s="545"/>
      <c r="F8471" s="546"/>
      <c r="G8471" s="234"/>
      <c r="H8471" s="238"/>
      <c r="I8471" s="237"/>
    </row>
    <row r="8472" spans="1:9" s="232" customFormat="1" ht="17" customHeight="1">
      <c r="A8472" s="234"/>
      <c r="B8472" s="233"/>
      <c r="C8472" s="238"/>
      <c r="E8472" s="545"/>
      <c r="F8472" s="546"/>
      <c r="G8472" s="234"/>
      <c r="H8472" s="238"/>
      <c r="I8472" s="237"/>
    </row>
    <row r="8473" spans="1:9" s="232" customFormat="1" ht="17" customHeight="1">
      <c r="A8473" s="234"/>
      <c r="B8473" s="233"/>
      <c r="C8473" s="238"/>
      <c r="E8473" s="545"/>
      <c r="F8473" s="546"/>
      <c r="G8473" s="234"/>
      <c r="H8473" s="238"/>
      <c r="I8473" s="237"/>
    </row>
    <row r="8474" spans="1:9" s="232" customFormat="1" ht="17" customHeight="1">
      <c r="A8474" s="234"/>
      <c r="B8474" s="233"/>
      <c r="C8474" s="238"/>
      <c r="E8474" s="545"/>
      <c r="F8474" s="546"/>
      <c r="G8474" s="234"/>
      <c r="H8474" s="238"/>
      <c r="I8474" s="237"/>
    </row>
    <row r="8475" spans="1:9" s="232" customFormat="1" ht="17" customHeight="1">
      <c r="A8475" s="234"/>
      <c r="B8475" s="233"/>
      <c r="C8475" s="238"/>
      <c r="E8475" s="545"/>
      <c r="F8475" s="546"/>
      <c r="G8475" s="234"/>
      <c r="H8475" s="238"/>
      <c r="I8475" s="237"/>
    </row>
    <row r="8476" spans="1:9" s="232" customFormat="1" ht="17" customHeight="1">
      <c r="A8476" s="234"/>
      <c r="B8476" s="233"/>
      <c r="C8476" s="238"/>
      <c r="E8476" s="545"/>
      <c r="F8476" s="546"/>
      <c r="G8476" s="234"/>
      <c r="H8476" s="238"/>
      <c r="I8476" s="237"/>
    </row>
    <row r="8477" spans="1:9" s="232" customFormat="1" ht="17" customHeight="1">
      <c r="A8477" s="234"/>
      <c r="B8477" s="233"/>
      <c r="C8477" s="238"/>
      <c r="E8477" s="545"/>
      <c r="F8477" s="546"/>
      <c r="G8477" s="234"/>
      <c r="H8477" s="238"/>
      <c r="I8477" s="237"/>
    </row>
    <row r="8478" spans="1:9" s="232" customFormat="1" ht="17" customHeight="1">
      <c r="A8478" s="234"/>
      <c r="B8478" s="233"/>
      <c r="C8478" s="238"/>
      <c r="E8478" s="545"/>
      <c r="F8478" s="546"/>
      <c r="G8478" s="234"/>
      <c r="H8478" s="238"/>
      <c r="I8478" s="237"/>
    </row>
    <row r="8479" spans="1:9" s="232" customFormat="1" ht="17" customHeight="1">
      <c r="A8479" s="234"/>
      <c r="B8479" s="233"/>
      <c r="C8479" s="238"/>
      <c r="E8479" s="545"/>
      <c r="F8479" s="546"/>
      <c r="G8479" s="234"/>
      <c r="H8479" s="238"/>
      <c r="I8479" s="237"/>
    </row>
    <row r="8480" spans="1:9" s="232" customFormat="1" ht="17" customHeight="1">
      <c r="A8480" s="234"/>
      <c r="B8480" s="233"/>
      <c r="C8480" s="238"/>
      <c r="E8480" s="545"/>
      <c r="F8480" s="546"/>
      <c r="G8480" s="234"/>
      <c r="H8480" s="238"/>
      <c r="I8480" s="237"/>
    </row>
    <row r="8481" spans="1:9" s="232" customFormat="1" ht="17" customHeight="1">
      <c r="A8481" s="234"/>
      <c r="B8481" s="233"/>
      <c r="C8481" s="238"/>
      <c r="E8481" s="545"/>
      <c r="F8481" s="546"/>
      <c r="G8481" s="234"/>
      <c r="H8481" s="238"/>
      <c r="I8481" s="237"/>
    </row>
    <row r="8482" spans="1:9" s="232" customFormat="1" ht="17" customHeight="1">
      <c r="A8482" s="234"/>
      <c r="B8482" s="233"/>
      <c r="C8482" s="238"/>
      <c r="E8482" s="545"/>
      <c r="F8482" s="546"/>
      <c r="G8482" s="234"/>
      <c r="H8482" s="238"/>
      <c r="I8482" s="237"/>
    </row>
    <row r="8483" spans="1:9" s="232" customFormat="1" ht="17" customHeight="1">
      <c r="A8483" s="234"/>
      <c r="B8483" s="233"/>
      <c r="C8483" s="238"/>
      <c r="E8483" s="545"/>
      <c r="F8483" s="546"/>
      <c r="G8483" s="234"/>
      <c r="H8483" s="238"/>
      <c r="I8483" s="237"/>
    </row>
    <row r="8484" spans="1:9" s="232" customFormat="1" ht="17" customHeight="1">
      <c r="A8484" s="234"/>
      <c r="B8484" s="233"/>
      <c r="C8484" s="238"/>
      <c r="E8484" s="545"/>
      <c r="F8484" s="546"/>
      <c r="G8484" s="234"/>
      <c r="H8484" s="238"/>
      <c r="I8484" s="237"/>
    </row>
    <row r="8485" spans="1:9" s="232" customFormat="1" ht="17" customHeight="1">
      <c r="A8485" s="234"/>
      <c r="B8485" s="233"/>
      <c r="C8485" s="238"/>
      <c r="E8485" s="545"/>
      <c r="F8485" s="546"/>
      <c r="G8485" s="234"/>
      <c r="H8485" s="238"/>
      <c r="I8485" s="237"/>
    </row>
    <row r="8486" spans="1:9" s="232" customFormat="1" ht="17" customHeight="1">
      <c r="A8486" s="234"/>
      <c r="B8486" s="233"/>
      <c r="C8486" s="238"/>
      <c r="E8486" s="545"/>
      <c r="F8486" s="546"/>
      <c r="G8486" s="234"/>
      <c r="H8486" s="238"/>
      <c r="I8486" s="237"/>
    </row>
    <row r="8487" spans="1:9" s="232" customFormat="1" ht="17" customHeight="1">
      <c r="A8487" s="234"/>
      <c r="B8487" s="233"/>
      <c r="C8487" s="238"/>
      <c r="E8487" s="545"/>
      <c r="F8487" s="546"/>
      <c r="G8487" s="234"/>
      <c r="H8487" s="238"/>
      <c r="I8487" s="237"/>
    </row>
    <row r="8488" spans="1:9" s="232" customFormat="1" ht="17" customHeight="1">
      <c r="A8488" s="234"/>
      <c r="B8488" s="233"/>
      <c r="C8488" s="238"/>
      <c r="E8488" s="545"/>
      <c r="F8488" s="546"/>
      <c r="G8488" s="234"/>
      <c r="H8488" s="238"/>
      <c r="I8488" s="237"/>
    </row>
    <row r="8489" spans="1:9" s="232" customFormat="1" ht="17" customHeight="1">
      <c r="A8489" s="234"/>
      <c r="B8489" s="233"/>
      <c r="C8489" s="238"/>
      <c r="E8489" s="545"/>
      <c r="F8489" s="546"/>
      <c r="G8489" s="234"/>
      <c r="H8489" s="238"/>
      <c r="I8489" s="237"/>
    </row>
    <row r="8490" spans="1:9" s="232" customFormat="1" ht="17" customHeight="1">
      <c r="A8490" s="234"/>
      <c r="B8490" s="233"/>
      <c r="C8490" s="238"/>
      <c r="E8490" s="545"/>
      <c r="F8490" s="546"/>
      <c r="G8490" s="234"/>
      <c r="H8490" s="238"/>
      <c r="I8490" s="237"/>
    </row>
    <row r="8491" spans="1:9" s="232" customFormat="1" ht="17" customHeight="1">
      <c r="A8491" s="234"/>
      <c r="B8491" s="233"/>
      <c r="C8491" s="238"/>
      <c r="E8491" s="545"/>
      <c r="F8491" s="546"/>
      <c r="G8491" s="234"/>
      <c r="H8491" s="238"/>
      <c r="I8491" s="237"/>
    </row>
    <row r="8492" spans="1:9" s="232" customFormat="1" ht="17" customHeight="1">
      <c r="A8492" s="234"/>
      <c r="B8492" s="233"/>
      <c r="C8492" s="238"/>
      <c r="E8492" s="545"/>
      <c r="F8492" s="546"/>
      <c r="G8492" s="234"/>
      <c r="H8492" s="238"/>
      <c r="I8492" s="237"/>
    </row>
    <row r="8493" spans="1:9" s="232" customFormat="1" ht="17" customHeight="1">
      <c r="A8493" s="234"/>
      <c r="B8493" s="233"/>
      <c r="C8493" s="238"/>
      <c r="E8493" s="545"/>
      <c r="F8493" s="546"/>
      <c r="G8493" s="234"/>
      <c r="H8493" s="238"/>
      <c r="I8493" s="237"/>
    </row>
    <row r="8494" spans="1:9" s="232" customFormat="1" ht="17" customHeight="1">
      <c r="A8494" s="234"/>
      <c r="B8494" s="233"/>
      <c r="C8494" s="238"/>
      <c r="E8494" s="545"/>
      <c r="F8494" s="546"/>
      <c r="G8494" s="234"/>
      <c r="H8494" s="238"/>
      <c r="I8494" s="237"/>
    </row>
    <row r="8495" spans="1:9" s="232" customFormat="1" ht="17" customHeight="1">
      <c r="A8495" s="234"/>
      <c r="B8495" s="233"/>
      <c r="C8495" s="238"/>
      <c r="E8495" s="545"/>
      <c r="F8495" s="546"/>
      <c r="G8495" s="234"/>
      <c r="H8495" s="238"/>
      <c r="I8495" s="237"/>
    </row>
    <row r="8496" spans="1:9" s="232" customFormat="1" ht="17" customHeight="1">
      <c r="A8496" s="234"/>
      <c r="B8496" s="233"/>
      <c r="C8496" s="238"/>
      <c r="E8496" s="545"/>
      <c r="F8496" s="546"/>
      <c r="G8496" s="234"/>
      <c r="H8496" s="238"/>
      <c r="I8496" s="237"/>
    </row>
    <row r="8497" spans="1:9" s="232" customFormat="1" ht="17" customHeight="1">
      <c r="A8497" s="234"/>
      <c r="B8497" s="233"/>
      <c r="C8497" s="238"/>
      <c r="E8497" s="545"/>
      <c r="F8497" s="546"/>
      <c r="G8497" s="234"/>
      <c r="H8497" s="238"/>
      <c r="I8497" s="237"/>
    </row>
    <row r="8498" spans="1:9" s="232" customFormat="1" ht="17" customHeight="1">
      <c r="A8498" s="234"/>
      <c r="B8498" s="233"/>
      <c r="C8498" s="238"/>
      <c r="E8498" s="545"/>
      <c r="F8498" s="546"/>
      <c r="G8498" s="234"/>
      <c r="H8498" s="238"/>
      <c r="I8498" s="237"/>
    </row>
    <row r="8499" spans="1:9" s="232" customFormat="1" ht="17" customHeight="1">
      <c r="A8499" s="234"/>
      <c r="B8499" s="233"/>
      <c r="C8499" s="238"/>
      <c r="E8499" s="545"/>
      <c r="F8499" s="546"/>
      <c r="G8499" s="234"/>
      <c r="H8499" s="238"/>
      <c r="I8499" s="237"/>
    </row>
    <row r="8500" spans="1:9" s="232" customFormat="1" ht="17" customHeight="1">
      <c r="A8500" s="234"/>
      <c r="B8500" s="233"/>
      <c r="C8500" s="238"/>
      <c r="E8500" s="545"/>
      <c r="F8500" s="546"/>
      <c r="G8500" s="234"/>
      <c r="H8500" s="238"/>
      <c r="I8500" s="237"/>
    </row>
    <row r="8501" spans="1:9" s="232" customFormat="1" ht="17" customHeight="1">
      <c r="A8501" s="234"/>
      <c r="B8501" s="233"/>
      <c r="C8501" s="238"/>
      <c r="E8501" s="545"/>
      <c r="F8501" s="546"/>
      <c r="G8501" s="234"/>
      <c r="H8501" s="238"/>
      <c r="I8501" s="237"/>
    </row>
    <row r="8502" spans="1:9" s="232" customFormat="1" ht="17" customHeight="1">
      <c r="A8502" s="234"/>
      <c r="B8502" s="233"/>
      <c r="C8502" s="238"/>
      <c r="E8502" s="545"/>
      <c r="F8502" s="546"/>
      <c r="G8502" s="234"/>
      <c r="H8502" s="238"/>
      <c r="I8502" s="237"/>
    </row>
    <row r="8503" spans="1:9" s="232" customFormat="1" ht="17" customHeight="1">
      <c r="A8503" s="234"/>
      <c r="B8503" s="233"/>
      <c r="C8503" s="238"/>
      <c r="E8503" s="545"/>
      <c r="F8503" s="546"/>
      <c r="G8503" s="234"/>
      <c r="H8503" s="238"/>
      <c r="I8503" s="237"/>
    </row>
    <row r="8504" spans="1:9" s="232" customFormat="1" ht="17" customHeight="1">
      <c r="A8504" s="234"/>
      <c r="B8504" s="233"/>
      <c r="C8504" s="238"/>
      <c r="E8504" s="545"/>
      <c r="F8504" s="546"/>
      <c r="G8504" s="234"/>
      <c r="H8504" s="238"/>
      <c r="I8504" s="237"/>
    </row>
    <row r="8505" spans="1:9" s="232" customFormat="1" ht="17" customHeight="1">
      <c r="A8505" s="234"/>
      <c r="B8505" s="233"/>
      <c r="C8505" s="238"/>
      <c r="E8505" s="545"/>
      <c r="F8505" s="546"/>
      <c r="G8505" s="234"/>
      <c r="H8505" s="238"/>
      <c r="I8505" s="237"/>
    </row>
    <row r="8506" spans="1:9" s="232" customFormat="1" ht="17" customHeight="1">
      <c r="A8506" s="234"/>
      <c r="B8506" s="233"/>
      <c r="C8506" s="238"/>
      <c r="E8506" s="545"/>
      <c r="F8506" s="546"/>
      <c r="G8506" s="234"/>
      <c r="H8506" s="238"/>
      <c r="I8506" s="237"/>
    </row>
    <row r="8507" spans="1:9" s="232" customFormat="1" ht="17" customHeight="1">
      <c r="A8507" s="234"/>
      <c r="B8507" s="233"/>
      <c r="C8507" s="238"/>
      <c r="E8507" s="545"/>
      <c r="F8507" s="546"/>
      <c r="G8507" s="234"/>
      <c r="H8507" s="238"/>
      <c r="I8507" s="237"/>
    </row>
    <row r="8508" spans="1:9" s="232" customFormat="1" ht="17" customHeight="1">
      <c r="A8508" s="234"/>
      <c r="B8508" s="233"/>
      <c r="C8508" s="238"/>
      <c r="E8508" s="545"/>
      <c r="F8508" s="546"/>
      <c r="G8508" s="234"/>
      <c r="H8508" s="238"/>
      <c r="I8508" s="237"/>
    </row>
    <row r="8509" spans="1:9" s="232" customFormat="1" ht="17" customHeight="1">
      <c r="A8509" s="234"/>
      <c r="B8509" s="233"/>
      <c r="C8509" s="238"/>
      <c r="E8509" s="545"/>
      <c r="F8509" s="546"/>
      <c r="G8509" s="234"/>
      <c r="H8509" s="238"/>
      <c r="I8509" s="237"/>
    </row>
    <row r="8510" spans="1:9" s="232" customFormat="1" ht="17" customHeight="1">
      <c r="A8510" s="234"/>
      <c r="B8510" s="233"/>
      <c r="C8510" s="238"/>
      <c r="E8510" s="545"/>
      <c r="F8510" s="546"/>
      <c r="G8510" s="234"/>
      <c r="H8510" s="238"/>
      <c r="I8510" s="237"/>
    </row>
    <row r="8511" spans="1:9" s="232" customFormat="1" ht="17" customHeight="1">
      <c r="A8511" s="234"/>
      <c r="B8511" s="233"/>
      <c r="C8511" s="238"/>
      <c r="E8511" s="545"/>
      <c r="F8511" s="546"/>
      <c r="G8511" s="234"/>
      <c r="H8511" s="238"/>
      <c r="I8511" s="237"/>
    </row>
    <row r="8512" spans="1:9" s="232" customFormat="1" ht="17" customHeight="1">
      <c r="A8512" s="234"/>
      <c r="B8512" s="233"/>
      <c r="C8512" s="238"/>
      <c r="E8512" s="545"/>
      <c r="F8512" s="546"/>
      <c r="G8512" s="234"/>
      <c r="H8512" s="238"/>
      <c r="I8512" s="237"/>
    </row>
    <row r="8513" spans="1:9" s="232" customFormat="1" ht="17" customHeight="1">
      <c r="A8513" s="234"/>
      <c r="B8513" s="233"/>
      <c r="C8513" s="238"/>
      <c r="E8513" s="545"/>
      <c r="F8513" s="546"/>
      <c r="G8513" s="234"/>
      <c r="H8513" s="238"/>
      <c r="I8513" s="237"/>
    </row>
    <row r="8514" spans="1:9" s="232" customFormat="1" ht="17" customHeight="1">
      <c r="A8514" s="234"/>
      <c r="B8514" s="233"/>
      <c r="C8514" s="238"/>
      <c r="E8514" s="545"/>
      <c r="F8514" s="546"/>
      <c r="G8514" s="234"/>
      <c r="H8514" s="238"/>
      <c r="I8514" s="237"/>
    </row>
    <row r="8515" spans="1:9" s="232" customFormat="1" ht="17" customHeight="1">
      <c r="A8515" s="234"/>
      <c r="B8515" s="233"/>
      <c r="C8515" s="238"/>
      <c r="E8515" s="545"/>
      <c r="F8515" s="546"/>
      <c r="G8515" s="234"/>
      <c r="H8515" s="238"/>
      <c r="I8515" s="237"/>
    </row>
    <row r="8516" spans="1:9" s="232" customFormat="1" ht="17" customHeight="1">
      <c r="A8516" s="234"/>
      <c r="B8516" s="233"/>
      <c r="C8516" s="238"/>
      <c r="E8516" s="545"/>
      <c r="F8516" s="546"/>
      <c r="G8516" s="234"/>
      <c r="H8516" s="238"/>
      <c r="I8516" s="237"/>
    </row>
    <row r="8517" spans="1:9" s="232" customFormat="1" ht="17" customHeight="1">
      <c r="A8517" s="234"/>
      <c r="B8517" s="233"/>
      <c r="C8517" s="238"/>
      <c r="E8517" s="545"/>
      <c r="F8517" s="546"/>
      <c r="G8517" s="234"/>
      <c r="H8517" s="238"/>
      <c r="I8517" s="237"/>
    </row>
    <row r="8518" spans="1:9" s="232" customFormat="1" ht="17" customHeight="1">
      <c r="A8518" s="234"/>
      <c r="B8518" s="233"/>
      <c r="C8518" s="238"/>
      <c r="E8518" s="545"/>
      <c r="F8518" s="546"/>
      <c r="G8518" s="234"/>
      <c r="H8518" s="238"/>
      <c r="I8518" s="237"/>
    </row>
    <row r="8519" spans="1:9" s="232" customFormat="1" ht="17" customHeight="1">
      <c r="A8519" s="234"/>
      <c r="B8519" s="233"/>
      <c r="C8519" s="238"/>
      <c r="E8519" s="545"/>
      <c r="F8519" s="546"/>
      <c r="G8519" s="234"/>
      <c r="H8519" s="238"/>
      <c r="I8519" s="237"/>
    </row>
    <row r="8520" spans="1:9" s="232" customFormat="1" ht="17" customHeight="1">
      <c r="A8520" s="234"/>
      <c r="B8520" s="233"/>
      <c r="C8520" s="238"/>
      <c r="E8520" s="545"/>
      <c r="F8520" s="546"/>
      <c r="G8520" s="234"/>
      <c r="H8520" s="238"/>
      <c r="I8520" s="237"/>
    </row>
    <row r="8521" spans="1:9" s="232" customFormat="1" ht="17" customHeight="1">
      <c r="A8521" s="234"/>
      <c r="B8521" s="233"/>
      <c r="C8521" s="238"/>
      <c r="E8521" s="545"/>
      <c r="F8521" s="546"/>
      <c r="G8521" s="234"/>
      <c r="H8521" s="238"/>
      <c r="I8521" s="237"/>
    </row>
    <row r="8522" spans="1:9" s="232" customFormat="1" ht="17" customHeight="1">
      <c r="A8522" s="234"/>
      <c r="B8522" s="233"/>
      <c r="C8522" s="238"/>
      <c r="E8522" s="545"/>
      <c r="F8522" s="546"/>
      <c r="G8522" s="234"/>
      <c r="H8522" s="238"/>
      <c r="I8522" s="237"/>
    </row>
    <row r="8523" spans="1:9" s="232" customFormat="1" ht="17" customHeight="1">
      <c r="A8523" s="234"/>
      <c r="B8523" s="233"/>
      <c r="C8523" s="238"/>
      <c r="E8523" s="545"/>
      <c r="F8523" s="546"/>
      <c r="G8523" s="234"/>
      <c r="H8523" s="238"/>
      <c r="I8523" s="237"/>
    </row>
    <row r="8524" spans="1:9" s="232" customFormat="1" ht="17" customHeight="1">
      <c r="A8524" s="234"/>
      <c r="B8524" s="233"/>
      <c r="C8524" s="238"/>
      <c r="E8524" s="545"/>
      <c r="F8524" s="546"/>
      <c r="G8524" s="234"/>
      <c r="H8524" s="238"/>
      <c r="I8524" s="237"/>
    </row>
    <row r="8525" spans="1:9" s="232" customFormat="1" ht="17" customHeight="1">
      <c r="A8525" s="234"/>
      <c r="B8525" s="233"/>
      <c r="C8525" s="238"/>
      <c r="E8525" s="545"/>
      <c r="F8525" s="546"/>
      <c r="G8525" s="234"/>
      <c r="H8525" s="238"/>
      <c r="I8525" s="237"/>
    </row>
    <row r="8526" spans="1:9" s="232" customFormat="1" ht="17" customHeight="1">
      <c r="A8526" s="234"/>
      <c r="B8526" s="233"/>
      <c r="C8526" s="238"/>
      <c r="E8526" s="545"/>
      <c r="F8526" s="546"/>
      <c r="G8526" s="234"/>
      <c r="H8526" s="238"/>
      <c r="I8526" s="237"/>
    </row>
    <row r="8527" spans="1:9" s="232" customFormat="1" ht="17" customHeight="1">
      <c r="A8527" s="234"/>
      <c r="B8527" s="233"/>
      <c r="C8527" s="238"/>
      <c r="E8527" s="545"/>
      <c r="F8527" s="546"/>
      <c r="G8527" s="234"/>
      <c r="H8527" s="238"/>
      <c r="I8527" s="237"/>
    </row>
    <row r="8528" spans="1:9" s="232" customFormat="1" ht="17" customHeight="1">
      <c r="A8528" s="234"/>
      <c r="B8528" s="233"/>
      <c r="C8528" s="238"/>
      <c r="E8528" s="545"/>
      <c r="F8528" s="546"/>
      <c r="G8528" s="234"/>
      <c r="H8528" s="238"/>
      <c r="I8528" s="237"/>
    </row>
    <row r="8529" spans="1:9" s="232" customFormat="1" ht="17" customHeight="1">
      <c r="A8529" s="234"/>
      <c r="B8529" s="233"/>
      <c r="C8529" s="238"/>
      <c r="E8529" s="545"/>
      <c r="F8529" s="546"/>
      <c r="G8529" s="234"/>
      <c r="H8529" s="238"/>
      <c r="I8529" s="237"/>
    </row>
    <row r="8530" spans="1:9" s="232" customFormat="1" ht="17" customHeight="1">
      <c r="A8530" s="234"/>
      <c r="B8530" s="233"/>
      <c r="C8530" s="238"/>
      <c r="E8530" s="545"/>
      <c r="F8530" s="546"/>
      <c r="G8530" s="234"/>
      <c r="H8530" s="238"/>
      <c r="I8530" s="237"/>
    </row>
    <row r="8531" spans="1:9" s="232" customFormat="1" ht="17" customHeight="1">
      <c r="A8531" s="234"/>
      <c r="B8531" s="233"/>
      <c r="C8531" s="238"/>
      <c r="E8531" s="545"/>
      <c r="F8531" s="546"/>
      <c r="G8531" s="234"/>
      <c r="H8531" s="238"/>
      <c r="I8531" s="237"/>
    </row>
    <row r="8532" spans="1:9" s="232" customFormat="1" ht="17" customHeight="1">
      <c r="A8532" s="234"/>
      <c r="B8532" s="233"/>
      <c r="C8532" s="238"/>
      <c r="E8532" s="545"/>
      <c r="F8532" s="546"/>
      <c r="G8532" s="234"/>
      <c r="H8532" s="238"/>
      <c r="I8532" s="237"/>
    </row>
    <row r="8533" spans="1:9" s="232" customFormat="1" ht="17" customHeight="1">
      <c r="A8533" s="234"/>
      <c r="B8533" s="233"/>
      <c r="C8533" s="238"/>
      <c r="E8533" s="545"/>
      <c r="F8533" s="546"/>
      <c r="G8533" s="234"/>
      <c r="H8533" s="238"/>
      <c r="I8533" s="237"/>
    </row>
    <row r="8534" spans="1:9" s="232" customFormat="1" ht="17" customHeight="1">
      <c r="A8534" s="234"/>
      <c r="B8534" s="233"/>
      <c r="C8534" s="238"/>
      <c r="E8534" s="545"/>
      <c r="F8534" s="546"/>
      <c r="G8534" s="234"/>
      <c r="H8534" s="238"/>
      <c r="I8534" s="237"/>
    </row>
    <row r="8535" spans="1:9" s="232" customFormat="1" ht="17" customHeight="1">
      <c r="A8535" s="234"/>
      <c r="B8535" s="233"/>
      <c r="C8535" s="238"/>
      <c r="E8535" s="545"/>
      <c r="F8535" s="546"/>
      <c r="G8535" s="234"/>
      <c r="H8535" s="238"/>
      <c r="I8535" s="237"/>
    </row>
    <row r="8536" spans="1:9" s="232" customFormat="1" ht="17" customHeight="1">
      <c r="A8536" s="234"/>
      <c r="B8536" s="233"/>
      <c r="C8536" s="238"/>
      <c r="E8536" s="545"/>
      <c r="F8536" s="546"/>
      <c r="G8536" s="234"/>
      <c r="H8536" s="238"/>
      <c r="I8536" s="237"/>
    </row>
    <row r="8537" spans="1:9" s="232" customFormat="1" ht="17" customHeight="1">
      <c r="A8537" s="234"/>
      <c r="B8537" s="233"/>
      <c r="C8537" s="238"/>
      <c r="E8537" s="545"/>
      <c r="F8537" s="546"/>
      <c r="G8537" s="234"/>
      <c r="H8537" s="238"/>
      <c r="I8537" s="237"/>
    </row>
    <row r="8538" spans="1:9" s="232" customFormat="1" ht="17" customHeight="1">
      <c r="A8538" s="234"/>
      <c r="B8538" s="233"/>
      <c r="C8538" s="238"/>
      <c r="E8538" s="545"/>
      <c r="F8538" s="546"/>
      <c r="G8538" s="234"/>
      <c r="H8538" s="238"/>
      <c r="I8538" s="237"/>
    </row>
    <row r="8539" spans="1:9" s="232" customFormat="1" ht="17" customHeight="1">
      <c r="A8539" s="234"/>
      <c r="B8539" s="233"/>
      <c r="C8539" s="238"/>
      <c r="E8539" s="545"/>
      <c r="F8539" s="546"/>
      <c r="G8539" s="234"/>
      <c r="H8539" s="238"/>
      <c r="I8539" s="237"/>
    </row>
    <row r="8540" spans="1:9" s="232" customFormat="1" ht="17" customHeight="1">
      <c r="A8540" s="234"/>
      <c r="B8540" s="233"/>
      <c r="C8540" s="238"/>
      <c r="E8540" s="545"/>
      <c r="F8540" s="546"/>
      <c r="G8540" s="234"/>
      <c r="H8540" s="238"/>
      <c r="I8540" s="237"/>
    </row>
    <row r="8541" spans="1:9" s="232" customFormat="1" ht="17" customHeight="1">
      <c r="A8541" s="234"/>
      <c r="B8541" s="233"/>
      <c r="C8541" s="238"/>
      <c r="E8541" s="545"/>
      <c r="F8541" s="546"/>
      <c r="G8541" s="234"/>
      <c r="H8541" s="238"/>
      <c r="I8541" s="237"/>
    </row>
    <row r="8542" spans="1:9" s="232" customFormat="1" ht="17" customHeight="1">
      <c r="A8542" s="234"/>
      <c r="B8542" s="233"/>
      <c r="C8542" s="238"/>
      <c r="E8542" s="545"/>
      <c r="F8542" s="546"/>
      <c r="G8542" s="234"/>
      <c r="H8542" s="238"/>
      <c r="I8542" s="237"/>
    </row>
    <row r="8543" spans="1:9" s="232" customFormat="1" ht="17" customHeight="1">
      <c r="A8543" s="234"/>
      <c r="B8543" s="233"/>
      <c r="C8543" s="238"/>
      <c r="E8543" s="545"/>
      <c r="F8543" s="546"/>
      <c r="G8543" s="234"/>
      <c r="H8543" s="238"/>
      <c r="I8543" s="237"/>
    </row>
    <row r="8544" spans="1:9" s="232" customFormat="1" ht="17" customHeight="1">
      <c r="A8544" s="234"/>
      <c r="B8544" s="233"/>
      <c r="C8544" s="238"/>
      <c r="E8544" s="545"/>
      <c r="F8544" s="546"/>
      <c r="G8544" s="234"/>
      <c r="H8544" s="238"/>
      <c r="I8544" s="237"/>
    </row>
    <row r="8545" spans="1:9" s="232" customFormat="1" ht="17" customHeight="1">
      <c r="A8545" s="234"/>
      <c r="B8545" s="233"/>
      <c r="C8545" s="238"/>
      <c r="E8545" s="545"/>
      <c r="F8545" s="546"/>
      <c r="G8545" s="234"/>
      <c r="H8545" s="238"/>
      <c r="I8545" s="237"/>
    </row>
    <row r="8546" spans="1:9" s="232" customFormat="1" ht="17" customHeight="1">
      <c r="A8546" s="234"/>
      <c r="B8546" s="233"/>
      <c r="C8546" s="238"/>
      <c r="E8546" s="545"/>
      <c r="F8546" s="546"/>
      <c r="G8546" s="234"/>
      <c r="H8546" s="238"/>
      <c r="I8546" s="237"/>
    </row>
    <row r="8547" spans="1:9" s="232" customFormat="1" ht="17" customHeight="1">
      <c r="A8547" s="234"/>
      <c r="B8547" s="233"/>
      <c r="C8547" s="238"/>
      <c r="E8547" s="545"/>
      <c r="F8547" s="546"/>
      <c r="G8547" s="234"/>
      <c r="H8547" s="238"/>
      <c r="I8547" s="237"/>
    </row>
    <row r="8548" spans="1:9" s="232" customFormat="1" ht="17" customHeight="1">
      <c r="A8548" s="234"/>
      <c r="B8548" s="233"/>
      <c r="C8548" s="238"/>
      <c r="E8548" s="545"/>
      <c r="F8548" s="546"/>
      <c r="G8548" s="234"/>
      <c r="H8548" s="238"/>
      <c r="I8548" s="237"/>
    </row>
    <row r="8549" spans="1:9" s="232" customFormat="1" ht="17" customHeight="1">
      <c r="A8549" s="234"/>
      <c r="B8549" s="233"/>
      <c r="C8549" s="238"/>
      <c r="E8549" s="545"/>
      <c r="F8549" s="546"/>
      <c r="G8549" s="234"/>
      <c r="H8549" s="238"/>
      <c r="I8549" s="237"/>
    </row>
    <row r="8550" spans="1:9" s="232" customFormat="1" ht="17" customHeight="1">
      <c r="A8550" s="234"/>
      <c r="B8550" s="233"/>
      <c r="C8550" s="238"/>
      <c r="E8550" s="545"/>
      <c r="F8550" s="546"/>
      <c r="G8550" s="234"/>
      <c r="H8550" s="238"/>
      <c r="I8550" s="237"/>
    </row>
    <row r="8551" spans="1:9" s="232" customFormat="1" ht="17" customHeight="1">
      <c r="A8551" s="234"/>
      <c r="B8551" s="233"/>
      <c r="C8551" s="238"/>
      <c r="E8551" s="545"/>
      <c r="F8551" s="546"/>
      <c r="G8551" s="234"/>
      <c r="H8551" s="238"/>
      <c r="I8551" s="237"/>
    </row>
    <row r="8552" spans="1:9" s="232" customFormat="1" ht="17" customHeight="1">
      <c r="A8552" s="234"/>
      <c r="B8552" s="233"/>
      <c r="C8552" s="238"/>
      <c r="E8552" s="545"/>
      <c r="F8552" s="546"/>
      <c r="G8552" s="234"/>
      <c r="H8552" s="238"/>
      <c r="I8552" s="237"/>
    </row>
    <row r="8553" spans="1:9" s="232" customFormat="1" ht="17" customHeight="1">
      <c r="A8553" s="234"/>
      <c r="B8553" s="233"/>
      <c r="C8553" s="238"/>
      <c r="E8553" s="545"/>
      <c r="F8553" s="546"/>
      <c r="G8553" s="234"/>
      <c r="H8553" s="238"/>
      <c r="I8553" s="237"/>
    </row>
    <row r="8554" spans="1:9" s="232" customFormat="1" ht="17" customHeight="1">
      <c r="A8554" s="234"/>
      <c r="B8554" s="233"/>
      <c r="C8554" s="238"/>
      <c r="E8554" s="545"/>
      <c r="F8554" s="546"/>
      <c r="G8554" s="234"/>
      <c r="H8554" s="238"/>
      <c r="I8554" s="237"/>
    </row>
    <row r="8555" spans="1:9" s="232" customFormat="1" ht="17" customHeight="1">
      <c r="A8555" s="234"/>
      <c r="B8555" s="233"/>
      <c r="C8555" s="238"/>
      <c r="E8555" s="545"/>
      <c r="F8555" s="546"/>
      <c r="G8555" s="234"/>
      <c r="H8555" s="238"/>
      <c r="I8555" s="237"/>
    </row>
    <row r="8556" spans="1:9" s="232" customFormat="1" ht="17" customHeight="1">
      <c r="A8556" s="234"/>
      <c r="B8556" s="233"/>
      <c r="C8556" s="238"/>
      <c r="E8556" s="545"/>
      <c r="F8556" s="546"/>
      <c r="G8556" s="234"/>
      <c r="H8556" s="238"/>
      <c r="I8556" s="237"/>
    </row>
    <row r="8557" spans="1:9" s="232" customFormat="1" ht="17" customHeight="1">
      <c r="A8557" s="234"/>
      <c r="B8557" s="233"/>
      <c r="C8557" s="238"/>
      <c r="E8557" s="545"/>
      <c r="F8557" s="546"/>
      <c r="G8557" s="234"/>
      <c r="H8557" s="238"/>
      <c r="I8557" s="237"/>
    </row>
    <row r="8558" spans="1:9" s="232" customFormat="1" ht="17" customHeight="1">
      <c r="A8558" s="234"/>
      <c r="B8558" s="233"/>
      <c r="C8558" s="238"/>
      <c r="E8558" s="545"/>
      <c r="F8558" s="546"/>
      <c r="G8558" s="234"/>
      <c r="H8558" s="238"/>
      <c r="I8558" s="237"/>
    </row>
    <row r="8559" spans="1:9" s="232" customFormat="1" ht="17" customHeight="1">
      <c r="A8559" s="234"/>
      <c r="B8559" s="233"/>
      <c r="C8559" s="238"/>
      <c r="E8559" s="545"/>
      <c r="F8559" s="546"/>
      <c r="G8559" s="234"/>
      <c r="H8559" s="238"/>
      <c r="I8559" s="237"/>
    </row>
    <row r="8560" spans="1:9" s="232" customFormat="1" ht="17" customHeight="1">
      <c r="A8560" s="234"/>
      <c r="B8560" s="233"/>
      <c r="C8560" s="238"/>
      <c r="E8560" s="545"/>
      <c r="F8560" s="546"/>
      <c r="G8560" s="234"/>
      <c r="H8560" s="238"/>
      <c r="I8560" s="237"/>
    </row>
    <row r="8561" spans="1:9" s="232" customFormat="1" ht="17" customHeight="1">
      <c r="A8561" s="234"/>
      <c r="B8561" s="233"/>
      <c r="C8561" s="238"/>
      <c r="E8561" s="545"/>
      <c r="F8561" s="546"/>
      <c r="G8561" s="234"/>
      <c r="H8561" s="238"/>
      <c r="I8561" s="237"/>
    </row>
    <row r="8562" spans="1:9" s="232" customFormat="1" ht="17" customHeight="1">
      <c r="A8562" s="234"/>
      <c r="B8562" s="233"/>
      <c r="C8562" s="238"/>
      <c r="E8562" s="545"/>
      <c r="F8562" s="546"/>
      <c r="G8562" s="234"/>
      <c r="H8562" s="238"/>
      <c r="I8562" s="237"/>
    </row>
    <row r="8563" spans="1:9" s="232" customFormat="1" ht="17" customHeight="1">
      <c r="A8563" s="234"/>
      <c r="B8563" s="233"/>
      <c r="C8563" s="238"/>
      <c r="E8563" s="545"/>
      <c r="F8563" s="546"/>
      <c r="G8563" s="234"/>
      <c r="H8563" s="238"/>
      <c r="I8563" s="237"/>
    </row>
    <row r="8564" spans="1:9" s="232" customFormat="1" ht="17" customHeight="1">
      <c r="A8564" s="234"/>
      <c r="B8564" s="233"/>
      <c r="C8564" s="238"/>
      <c r="E8564" s="545"/>
      <c r="F8564" s="546"/>
      <c r="G8564" s="234"/>
      <c r="H8564" s="238"/>
      <c r="I8564" s="237"/>
    </row>
    <row r="8565" spans="1:9" s="232" customFormat="1" ht="17" customHeight="1">
      <c r="A8565" s="234"/>
      <c r="B8565" s="233"/>
      <c r="C8565" s="238"/>
      <c r="E8565" s="545"/>
      <c r="F8565" s="546"/>
      <c r="G8565" s="234"/>
      <c r="H8565" s="238"/>
      <c r="I8565" s="237"/>
    </row>
    <row r="8566" spans="1:9" s="232" customFormat="1" ht="17" customHeight="1">
      <c r="A8566" s="234"/>
      <c r="B8566" s="233"/>
      <c r="C8566" s="238"/>
      <c r="E8566" s="545"/>
      <c r="F8566" s="546"/>
      <c r="G8566" s="234"/>
      <c r="H8566" s="238"/>
      <c r="I8566" s="237"/>
    </row>
    <row r="8567" spans="1:9" s="232" customFormat="1" ht="17" customHeight="1">
      <c r="A8567" s="234"/>
      <c r="B8567" s="233"/>
      <c r="C8567" s="238"/>
      <c r="E8567" s="545"/>
      <c r="F8567" s="546"/>
      <c r="G8567" s="234"/>
      <c r="H8567" s="238"/>
      <c r="I8567" s="237"/>
    </row>
    <row r="8568" spans="1:9" s="232" customFormat="1" ht="17" customHeight="1">
      <c r="A8568" s="234"/>
      <c r="B8568" s="233"/>
      <c r="C8568" s="238"/>
      <c r="E8568" s="545"/>
      <c r="F8568" s="546"/>
      <c r="G8568" s="234"/>
      <c r="H8568" s="238"/>
      <c r="I8568" s="237"/>
    </row>
    <row r="8569" spans="1:9" s="232" customFormat="1" ht="17" customHeight="1">
      <c r="A8569" s="234"/>
      <c r="B8569" s="233"/>
      <c r="C8569" s="238"/>
      <c r="E8569" s="545"/>
      <c r="F8569" s="546"/>
      <c r="G8569" s="234"/>
      <c r="H8569" s="238"/>
      <c r="I8569" s="237"/>
    </row>
    <row r="8570" spans="1:9" s="232" customFormat="1" ht="17" customHeight="1">
      <c r="A8570" s="234"/>
      <c r="B8570" s="233"/>
      <c r="C8570" s="238"/>
      <c r="E8570" s="545"/>
      <c r="F8570" s="546"/>
      <c r="G8570" s="234"/>
      <c r="H8570" s="238"/>
      <c r="I8570" s="237"/>
    </row>
    <row r="8571" spans="1:9" s="232" customFormat="1" ht="17" customHeight="1">
      <c r="A8571" s="234"/>
      <c r="B8571" s="233"/>
      <c r="C8571" s="238"/>
      <c r="E8571" s="545"/>
      <c r="F8571" s="546"/>
      <c r="G8571" s="234"/>
      <c r="H8571" s="238"/>
      <c r="I8571" s="237"/>
    </row>
    <row r="8572" spans="1:9" s="232" customFormat="1" ht="17" customHeight="1">
      <c r="A8572" s="234"/>
      <c r="B8572" s="233"/>
      <c r="C8572" s="238"/>
      <c r="E8572" s="545"/>
      <c r="F8572" s="546"/>
      <c r="G8572" s="234"/>
      <c r="H8572" s="238"/>
      <c r="I8572" s="237"/>
    </row>
    <row r="8573" spans="1:9" s="232" customFormat="1" ht="17" customHeight="1">
      <c r="A8573" s="234"/>
      <c r="B8573" s="233"/>
      <c r="C8573" s="238"/>
      <c r="E8573" s="545"/>
      <c r="F8573" s="546"/>
      <c r="G8573" s="234"/>
      <c r="H8573" s="238"/>
      <c r="I8573" s="237"/>
    </row>
    <row r="8574" spans="1:9" s="232" customFormat="1" ht="17" customHeight="1">
      <c r="A8574" s="234"/>
      <c r="B8574" s="233"/>
      <c r="C8574" s="238"/>
      <c r="E8574" s="545"/>
      <c r="F8574" s="546"/>
      <c r="G8574" s="234"/>
      <c r="H8574" s="238"/>
      <c r="I8574" s="237"/>
    </row>
    <row r="8575" spans="1:9" s="232" customFormat="1" ht="17" customHeight="1">
      <c r="A8575" s="234"/>
      <c r="B8575" s="233"/>
      <c r="C8575" s="238"/>
      <c r="E8575" s="545"/>
      <c r="F8575" s="546"/>
      <c r="G8575" s="234"/>
      <c r="H8575" s="238"/>
      <c r="I8575" s="237"/>
    </row>
    <row r="8576" spans="1:9" s="232" customFormat="1" ht="17" customHeight="1">
      <c r="A8576" s="234"/>
      <c r="B8576" s="233"/>
      <c r="C8576" s="238"/>
      <c r="E8576" s="545"/>
      <c r="F8576" s="546"/>
      <c r="G8576" s="234"/>
      <c r="H8576" s="238"/>
      <c r="I8576" s="237"/>
    </row>
    <row r="8577" spans="1:9" s="232" customFormat="1" ht="17" customHeight="1">
      <c r="A8577" s="234"/>
      <c r="B8577" s="233"/>
      <c r="C8577" s="238"/>
      <c r="E8577" s="545"/>
      <c r="F8577" s="546"/>
      <c r="G8577" s="234"/>
      <c r="H8577" s="238"/>
      <c r="I8577" s="237"/>
    </row>
    <row r="8578" spans="1:9" s="232" customFormat="1" ht="17" customHeight="1">
      <c r="A8578" s="234"/>
      <c r="B8578" s="233"/>
      <c r="C8578" s="238"/>
      <c r="E8578" s="545"/>
      <c r="F8578" s="546"/>
      <c r="G8578" s="234"/>
      <c r="H8578" s="238"/>
      <c r="I8578" s="237"/>
    </row>
    <row r="8579" spans="1:9" s="232" customFormat="1" ht="17" customHeight="1">
      <c r="A8579" s="234"/>
      <c r="B8579" s="233"/>
      <c r="C8579" s="238"/>
      <c r="E8579" s="545"/>
      <c r="F8579" s="546"/>
      <c r="G8579" s="234"/>
      <c r="H8579" s="238"/>
      <c r="I8579" s="237"/>
    </row>
    <row r="8580" spans="1:9" s="232" customFormat="1" ht="17" customHeight="1">
      <c r="A8580" s="234"/>
      <c r="B8580" s="233"/>
      <c r="C8580" s="238"/>
      <c r="E8580" s="545"/>
      <c r="F8580" s="546"/>
      <c r="G8580" s="234"/>
      <c r="H8580" s="238"/>
      <c r="I8580" s="237"/>
    </row>
    <row r="8581" spans="1:9" s="232" customFormat="1" ht="17" customHeight="1">
      <c r="A8581" s="234"/>
      <c r="B8581" s="233"/>
      <c r="C8581" s="238"/>
      <c r="E8581" s="545"/>
      <c r="F8581" s="546"/>
      <c r="G8581" s="234"/>
      <c r="H8581" s="238"/>
      <c r="I8581" s="237"/>
    </row>
    <row r="8582" spans="1:9" s="232" customFormat="1" ht="17" customHeight="1">
      <c r="A8582" s="234"/>
      <c r="B8582" s="233"/>
      <c r="C8582" s="238"/>
      <c r="E8582" s="545"/>
      <c r="F8582" s="546"/>
      <c r="G8582" s="234"/>
      <c r="H8582" s="238"/>
      <c r="I8582" s="237"/>
    </row>
    <row r="8583" spans="1:9" s="232" customFormat="1" ht="17" customHeight="1">
      <c r="A8583" s="234"/>
      <c r="B8583" s="233"/>
      <c r="C8583" s="238"/>
      <c r="E8583" s="545"/>
      <c r="F8583" s="546"/>
      <c r="G8583" s="234"/>
      <c r="H8583" s="238"/>
      <c r="I8583" s="237"/>
    </row>
    <row r="8584" spans="1:9" s="232" customFormat="1" ht="17" customHeight="1">
      <c r="A8584" s="234"/>
      <c r="B8584" s="233"/>
      <c r="C8584" s="238"/>
      <c r="E8584" s="545"/>
      <c r="F8584" s="546"/>
      <c r="G8584" s="234"/>
      <c r="H8584" s="238"/>
      <c r="I8584" s="237"/>
    </row>
    <row r="8585" spans="1:9" s="232" customFormat="1" ht="17" customHeight="1">
      <c r="A8585" s="234"/>
      <c r="B8585" s="233"/>
      <c r="C8585" s="238"/>
      <c r="E8585" s="545"/>
      <c r="F8585" s="546"/>
      <c r="G8585" s="234"/>
      <c r="H8585" s="238"/>
      <c r="I8585" s="237"/>
    </row>
    <row r="8586" spans="1:9" s="232" customFormat="1" ht="17" customHeight="1">
      <c r="A8586" s="234"/>
      <c r="B8586" s="233"/>
      <c r="C8586" s="238"/>
      <c r="E8586" s="545"/>
      <c r="F8586" s="546"/>
      <c r="G8586" s="234"/>
      <c r="H8586" s="238"/>
      <c r="I8586" s="237"/>
    </row>
    <row r="8587" spans="1:9" s="232" customFormat="1" ht="17" customHeight="1">
      <c r="A8587" s="234"/>
      <c r="B8587" s="233"/>
      <c r="C8587" s="238"/>
      <c r="E8587" s="545"/>
      <c r="F8587" s="546"/>
      <c r="G8587" s="234"/>
      <c r="H8587" s="238"/>
      <c r="I8587" s="237"/>
    </row>
    <row r="8588" spans="1:9" s="232" customFormat="1" ht="17" customHeight="1">
      <c r="A8588" s="234"/>
      <c r="B8588" s="233"/>
      <c r="C8588" s="238"/>
      <c r="E8588" s="545"/>
      <c r="F8588" s="546"/>
      <c r="G8588" s="234"/>
      <c r="H8588" s="238"/>
      <c r="I8588" s="237"/>
    </row>
    <row r="8589" spans="1:9" s="232" customFormat="1" ht="17" customHeight="1">
      <c r="A8589" s="234"/>
      <c r="B8589" s="233"/>
      <c r="C8589" s="238"/>
      <c r="E8589" s="545"/>
      <c r="F8589" s="546"/>
      <c r="G8589" s="234"/>
      <c r="H8589" s="238"/>
      <c r="I8589" s="237"/>
    </row>
    <row r="8590" spans="1:9" s="232" customFormat="1" ht="17" customHeight="1">
      <c r="A8590" s="234"/>
      <c r="B8590" s="233"/>
      <c r="C8590" s="238"/>
      <c r="E8590" s="545"/>
      <c r="F8590" s="546"/>
      <c r="G8590" s="234"/>
      <c r="H8590" s="238"/>
      <c r="I8590" s="237"/>
    </row>
    <row r="8591" spans="1:9" s="232" customFormat="1" ht="17" customHeight="1">
      <c r="A8591" s="234"/>
      <c r="B8591" s="233"/>
      <c r="C8591" s="238"/>
      <c r="E8591" s="545"/>
      <c r="F8591" s="546"/>
      <c r="G8591" s="234"/>
      <c r="H8591" s="238"/>
      <c r="I8591" s="237"/>
    </row>
    <row r="8592" spans="1:9" s="232" customFormat="1" ht="17" customHeight="1">
      <c r="A8592" s="234"/>
      <c r="B8592" s="233"/>
      <c r="C8592" s="238"/>
      <c r="E8592" s="545"/>
      <c r="F8592" s="546"/>
      <c r="G8592" s="234"/>
      <c r="H8592" s="238"/>
      <c r="I8592" s="237"/>
    </row>
    <row r="8593" spans="1:9" s="232" customFormat="1" ht="17" customHeight="1">
      <c r="A8593" s="234"/>
      <c r="B8593" s="233"/>
      <c r="C8593" s="238"/>
      <c r="E8593" s="545"/>
      <c r="F8593" s="546"/>
      <c r="G8593" s="234"/>
      <c r="H8593" s="238"/>
      <c r="I8593" s="237"/>
    </row>
    <row r="8594" spans="1:9" s="232" customFormat="1" ht="17" customHeight="1">
      <c r="A8594" s="234"/>
      <c r="B8594" s="233"/>
      <c r="C8594" s="238"/>
      <c r="E8594" s="545"/>
      <c r="F8594" s="546"/>
      <c r="G8594" s="234"/>
      <c r="H8594" s="238"/>
      <c r="I8594" s="237"/>
    </row>
    <row r="8595" spans="1:9" s="232" customFormat="1" ht="17" customHeight="1">
      <c r="A8595" s="234"/>
      <c r="B8595" s="233"/>
      <c r="C8595" s="238"/>
      <c r="E8595" s="545"/>
      <c r="F8595" s="546"/>
      <c r="G8595" s="234"/>
      <c r="H8595" s="238"/>
      <c r="I8595" s="237"/>
    </row>
    <row r="8596" spans="1:9" s="232" customFormat="1" ht="17" customHeight="1">
      <c r="A8596" s="234"/>
      <c r="B8596" s="233"/>
      <c r="C8596" s="238"/>
      <c r="E8596" s="545"/>
      <c r="F8596" s="546"/>
      <c r="G8596" s="234"/>
      <c r="H8596" s="238"/>
      <c r="I8596" s="237"/>
    </row>
    <row r="8597" spans="1:9" s="232" customFormat="1" ht="17" customHeight="1">
      <c r="A8597" s="234"/>
      <c r="B8597" s="233"/>
      <c r="C8597" s="238"/>
      <c r="E8597" s="545"/>
      <c r="F8597" s="546"/>
      <c r="G8597" s="234"/>
      <c r="H8597" s="238"/>
      <c r="I8597" s="237"/>
    </row>
    <row r="8598" spans="1:9" s="232" customFormat="1" ht="17" customHeight="1">
      <c r="A8598" s="234"/>
      <c r="B8598" s="233"/>
      <c r="C8598" s="238"/>
      <c r="E8598" s="545"/>
      <c r="F8598" s="546"/>
      <c r="G8598" s="234"/>
      <c r="H8598" s="238"/>
      <c r="I8598" s="237"/>
    </row>
    <row r="8599" spans="1:9" s="232" customFormat="1" ht="17" customHeight="1">
      <c r="A8599" s="234"/>
      <c r="B8599" s="233"/>
      <c r="C8599" s="238"/>
      <c r="E8599" s="545"/>
      <c r="F8599" s="546"/>
      <c r="G8599" s="234"/>
      <c r="H8599" s="238"/>
      <c r="I8599" s="237"/>
    </row>
    <row r="8600" spans="1:9" s="232" customFormat="1" ht="17" customHeight="1">
      <c r="A8600" s="234"/>
      <c r="B8600" s="233"/>
      <c r="C8600" s="238"/>
      <c r="E8600" s="545"/>
      <c r="F8600" s="546"/>
      <c r="G8600" s="234"/>
      <c r="H8600" s="238"/>
      <c r="I8600" s="237"/>
    </row>
    <row r="8601" spans="1:9" s="232" customFormat="1" ht="17" customHeight="1">
      <c r="A8601" s="234"/>
      <c r="B8601" s="233"/>
      <c r="C8601" s="238"/>
      <c r="E8601" s="545"/>
      <c r="F8601" s="546"/>
      <c r="G8601" s="234"/>
      <c r="H8601" s="238"/>
      <c r="I8601" s="237"/>
    </row>
    <row r="8602" spans="1:9" s="232" customFormat="1" ht="17" customHeight="1">
      <c r="A8602" s="234"/>
      <c r="B8602" s="233"/>
      <c r="C8602" s="238"/>
      <c r="E8602" s="545"/>
      <c r="F8602" s="546"/>
      <c r="G8602" s="234"/>
      <c r="H8602" s="238"/>
      <c r="I8602" s="237"/>
    </row>
    <row r="8603" spans="1:9" s="232" customFormat="1" ht="17" customHeight="1">
      <c r="A8603" s="234"/>
      <c r="B8603" s="233"/>
      <c r="C8603" s="238"/>
      <c r="E8603" s="545"/>
      <c r="F8603" s="546"/>
      <c r="G8603" s="234"/>
      <c r="H8603" s="238"/>
      <c r="I8603" s="237"/>
    </row>
    <row r="8604" spans="1:9" s="232" customFormat="1" ht="17" customHeight="1">
      <c r="A8604" s="234"/>
      <c r="B8604" s="233"/>
      <c r="C8604" s="238"/>
      <c r="E8604" s="545"/>
      <c r="F8604" s="546"/>
      <c r="G8604" s="234"/>
      <c r="H8604" s="238"/>
      <c r="I8604" s="237"/>
    </row>
    <row r="8605" spans="1:9" s="232" customFormat="1" ht="17" customHeight="1">
      <c r="A8605" s="234"/>
      <c r="B8605" s="233"/>
      <c r="C8605" s="238"/>
      <c r="E8605" s="545"/>
      <c r="F8605" s="546"/>
      <c r="G8605" s="234"/>
      <c r="H8605" s="238"/>
      <c r="I8605" s="237"/>
    </row>
    <row r="8606" spans="1:9" s="232" customFormat="1" ht="17" customHeight="1">
      <c r="A8606" s="234"/>
      <c r="B8606" s="233"/>
      <c r="C8606" s="238"/>
      <c r="E8606" s="545"/>
      <c r="F8606" s="546"/>
      <c r="G8606" s="234"/>
      <c r="H8606" s="238"/>
      <c r="I8606" s="237"/>
    </row>
    <row r="8607" spans="1:9" s="232" customFormat="1" ht="17" customHeight="1">
      <c r="A8607" s="234"/>
      <c r="B8607" s="233"/>
      <c r="C8607" s="238"/>
      <c r="E8607" s="545"/>
      <c r="F8607" s="546"/>
      <c r="G8607" s="234"/>
      <c r="H8607" s="238"/>
      <c r="I8607" s="237"/>
    </row>
    <row r="8608" spans="1:9" s="232" customFormat="1" ht="17" customHeight="1">
      <c r="A8608" s="234"/>
      <c r="B8608" s="233"/>
      <c r="C8608" s="238"/>
      <c r="E8608" s="545"/>
      <c r="F8608" s="546"/>
      <c r="G8608" s="234"/>
      <c r="H8608" s="238"/>
      <c r="I8608" s="237"/>
    </row>
    <row r="8609" spans="1:9" s="232" customFormat="1" ht="17" customHeight="1">
      <c r="A8609" s="234"/>
      <c r="B8609" s="233"/>
      <c r="C8609" s="238"/>
      <c r="E8609" s="545"/>
      <c r="F8609" s="546"/>
      <c r="G8609" s="234"/>
      <c r="H8609" s="238"/>
      <c r="I8609" s="237"/>
    </row>
    <row r="8610" spans="1:9" s="232" customFormat="1" ht="17" customHeight="1">
      <c r="A8610" s="234"/>
      <c r="B8610" s="233"/>
      <c r="C8610" s="238"/>
      <c r="E8610" s="545"/>
      <c r="F8610" s="546"/>
      <c r="G8610" s="234"/>
      <c r="H8610" s="238"/>
      <c r="I8610" s="237"/>
    </row>
    <row r="8611" spans="1:9" s="232" customFormat="1" ht="17" customHeight="1">
      <c r="A8611" s="234"/>
      <c r="B8611" s="233"/>
      <c r="C8611" s="238"/>
      <c r="E8611" s="545"/>
      <c r="F8611" s="546"/>
      <c r="G8611" s="234"/>
      <c r="H8611" s="238"/>
      <c r="I8611" s="237"/>
    </row>
    <row r="8612" spans="1:9" s="232" customFormat="1" ht="17" customHeight="1">
      <c r="A8612" s="234"/>
      <c r="B8612" s="233"/>
      <c r="C8612" s="238"/>
      <c r="E8612" s="545"/>
      <c r="F8612" s="546"/>
      <c r="G8612" s="234"/>
      <c r="H8612" s="238"/>
      <c r="I8612" s="237"/>
    </row>
    <row r="8613" spans="1:9" s="232" customFormat="1" ht="17" customHeight="1">
      <c r="A8613" s="234"/>
      <c r="B8613" s="233"/>
      <c r="C8613" s="238"/>
      <c r="E8613" s="545"/>
      <c r="F8613" s="546"/>
      <c r="G8613" s="234"/>
      <c r="H8613" s="238"/>
      <c r="I8613" s="237"/>
    </row>
    <row r="8614" spans="1:9" s="232" customFormat="1" ht="17" customHeight="1">
      <c r="A8614" s="234"/>
      <c r="B8614" s="233"/>
      <c r="C8614" s="238"/>
      <c r="E8614" s="545"/>
      <c r="F8614" s="546"/>
      <c r="G8614" s="234"/>
      <c r="H8614" s="238"/>
      <c r="I8614" s="237"/>
    </row>
    <row r="8615" spans="1:9" s="232" customFormat="1" ht="17" customHeight="1">
      <c r="A8615" s="234"/>
      <c r="B8615" s="233"/>
      <c r="C8615" s="238"/>
      <c r="E8615" s="545"/>
      <c r="F8615" s="546"/>
      <c r="G8615" s="234"/>
      <c r="H8615" s="238"/>
      <c r="I8615" s="237"/>
    </row>
    <row r="8616" spans="1:9" s="232" customFormat="1" ht="17" customHeight="1">
      <c r="A8616" s="234"/>
      <c r="B8616" s="233"/>
      <c r="C8616" s="238"/>
      <c r="E8616" s="545"/>
      <c r="F8616" s="546"/>
      <c r="G8616" s="234"/>
      <c r="H8616" s="238"/>
      <c r="I8616" s="237"/>
    </row>
    <row r="8617" spans="1:9" s="232" customFormat="1" ht="17" customHeight="1">
      <c r="A8617" s="234"/>
      <c r="B8617" s="233"/>
      <c r="C8617" s="238"/>
      <c r="E8617" s="545"/>
      <c r="F8617" s="546"/>
      <c r="G8617" s="234"/>
      <c r="H8617" s="238"/>
      <c r="I8617" s="237"/>
    </row>
    <row r="8618" spans="1:9" s="232" customFormat="1" ht="17" customHeight="1">
      <c r="A8618" s="234"/>
      <c r="B8618" s="233"/>
      <c r="C8618" s="238"/>
      <c r="E8618" s="545"/>
      <c r="F8618" s="546"/>
      <c r="G8618" s="234"/>
      <c r="H8618" s="238"/>
      <c r="I8618" s="237"/>
    </row>
    <row r="8619" spans="1:9" s="232" customFormat="1" ht="17" customHeight="1">
      <c r="A8619" s="234"/>
      <c r="B8619" s="233"/>
      <c r="C8619" s="238"/>
      <c r="E8619" s="545"/>
      <c r="F8619" s="546"/>
      <c r="G8619" s="234"/>
      <c r="H8619" s="238"/>
      <c r="I8619" s="237"/>
    </row>
    <row r="8620" spans="1:9" s="232" customFormat="1" ht="17" customHeight="1">
      <c r="A8620" s="234"/>
      <c r="B8620" s="233"/>
      <c r="C8620" s="238"/>
      <c r="E8620" s="545"/>
      <c r="F8620" s="546"/>
      <c r="G8620" s="234"/>
      <c r="H8620" s="238"/>
      <c r="I8620" s="237"/>
    </row>
    <row r="8621" spans="1:9" s="232" customFormat="1" ht="17" customHeight="1">
      <c r="A8621" s="234"/>
      <c r="B8621" s="233"/>
      <c r="C8621" s="238"/>
      <c r="E8621" s="545"/>
      <c r="F8621" s="546"/>
      <c r="G8621" s="234"/>
      <c r="H8621" s="238"/>
      <c r="I8621" s="237"/>
    </row>
    <row r="8622" spans="1:9" s="232" customFormat="1" ht="17" customHeight="1">
      <c r="A8622" s="234"/>
      <c r="B8622" s="233"/>
      <c r="C8622" s="238"/>
      <c r="E8622" s="545"/>
      <c r="F8622" s="546"/>
      <c r="G8622" s="234"/>
      <c r="H8622" s="238"/>
      <c r="I8622" s="237"/>
    </row>
    <row r="8623" spans="1:9" s="232" customFormat="1" ht="17" customHeight="1">
      <c r="A8623" s="234"/>
      <c r="B8623" s="233"/>
      <c r="C8623" s="238"/>
      <c r="E8623" s="545"/>
      <c r="F8623" s="546"/>
      <c r="G8623" s="234"/>
      <c r="H8623" s="238"/>
      <c r="I8623" s="237"/>
    </row>
    <row r="8624" spans="1:9" s="232" customFormat="1" ht="17" customHeight="1">
      <c r="A8624" s="234"/>
      <c r="B8624" s="233"/>
      <c r="C8624" s="238"/>
      <c r="E8624" s="545"/>
      <c r="F8624" s="546"/>
      <c r="G8624" s="234"/>
      <c r="H8624" s="238"/>
      <c r="I8624" s="237"/>
    </row>
    <row r="8625" spans="1:9" s="232" customFormat="1" ht="17" customHeight="1">
      <c r="A8625" s="234"/>
      <c r="B8625" s="233"/>
      <c r="C8625" s="238"/>
      <c r="E8625" s="545"/>
      <c r="F8625" s="546"/>
      <c r="G8625" s="234"/>
      <c r="H8625" s="238"/>
      <c r="I8625" s="237"/>
    </row>
    <row r="8626" spans="1:9" s="232" customFormat="1" ht="17" customHeight="1">
      <c r="A8626" s="234"/>
      <c r="B8626" s="233"/>
      <c r="C8626" s="238"/>
      <c r="E8626" s="545"/>
      <c r="F8626" s="546"/>
      <c r="G8626" s="234"/>
      <c r="H8626" s="238"/>
      <c r="I8626" s="237"/>
    </row>
    <row r="8627" spans="1:9" s="232" customFormat="1" ht="17" customHeight="1">
      <c r="A8627" s="234"/>
      <c r="B8627" s="233"/>
      <c r="C8627" s="238"/>
      <c r="E8627" s="545"/>
      <c r="F8627" s="546"/>
      <c r="G8627" s="234"/>
      <c r="H8627" s="238"/>
      <c r="I8627" s="237"/>
    </row>
    <row r="8628" spans="1:9" s="232" customFormat="1" ht="17" customHeight="1">
      <c r="A8628" s="234"/>
      <c r="B8628" s="233"/>
      <c r="C8628" s="238"/>
      <c r="E8628" s="545"/>
      <c r="F8628" s="546"/>
      <c r="G8628" s="234"/>
      <c r="H8628" s="238"/>
      <c r="I8628" s="237"/>
    </row>
    <row r="8629" spans="1:9" s="232" customFormat="1" ht="17" customHeight="1">
      <c r="A8629" s="234"/>
      <c r="B8629" s="233"/>
      <c r="C8629" s="238"/>
      <c r="E8629" s="545"/>
      <c r="F8629" s="546"/>
      <c r="G8629" s="234"/>
      <c r="H8629" s="238"/>
      <c r="I8629" s="237"/>
    </row>
    <row r="8630" spans="1:9" s="232" customFormat="1" ht="17" customHeight="1">
      <c r="A8630" s="234"/>
      <c r="B8630" s="233"/>
      <c r="C8630" s="238"/>
      <c r="E8630" s="545"/>
      <c r="F8630" s="546"/>
      <c r="G8630" s="234"/>
      <c r="H8630" s="238"/>
      <c r="I8630" s="237"/>
    </row>
    <row r="8631" spans="1:9" s="232" customFormat="1" ht="17" customHeight="1">
      <c r="A8631" s="234"/>
      <c r="B8631" s="233"/>
      <c r="C8631" s="238"/>
      <c r="E8631" s="545"/>
      <c r="F8631" s="546"/>
      <c r="G8631" s="234"/>
      <c r="H8631" s="238"/>
      <c r="I8631" s="237"/>
    </row>
    <row r="8632" spans="1:9" s="232" customFormat="1" ht="17" customHeight="1">
      <c r="A8632" s="234"/>
      <c r="B8632" s="233"/>
      <c r="C8632" s="238"/>
      <c r="E8632" s="545"/>
      <c r="F8632" s="546"/>
      <c r="G8632" s="234"/>
      <c r="H8632" s="238"/>
      <c r="I8632" s="237"/>
    </row>
    <row r="8633" spans="1:9" s="232" customFormat="1" ht="17" customHeight="1">
      <c r="A8633" s="234"/>
      <c r="B8633" s="233"/>
      <c r="C8633" s="238"/>
      <c r="E8633" s="545"/>
      <c r="F8633" s="546"/>
      <c r="G8633" s="234"/>
      <c r="H8633" s="238"/>
      <c r="I8633" s="237"/>
    </row>
    <row r="8634" spans="1:9" s="232" customFormat="1" ht="17" customHeight="1">
      <c r="A8634" s="234"/>
      <c r="B8634" s="233"/>
      <c r="C8634" s="238"/>
      <c r="E8634" s="545"/>
      <c r="F8634" s="546"/>
      <c r="G8634" s="234"/>
      <c r="H8634" s="238"/>
      <c r="I8634" s="237"/>
    </row>
    <row r="8635" spans="1:9" s="232" customFormat="1" ht="17" customHeight="1">
      <c r="A8635" s="234"/>
      <c r="B8635" s="233"/>
      <c r="C8635" s="238"/>
      <c r="E8635" s="545"/>
      <c r="F8635" s="546"/>
      <c r="G8635" s="234"/>
      <c r="H8635" s="238"/>
      <c r="I8635" s="237"/>
    </row>
    <row r="8636" spans="1:9" s="232" customFormat="1" ht="17" customHeight="1">
      <c r="A8636" s="234"/>
      <c r="B8636" s="233"/>
      <c r="C8636" s="238"/>
      <c r="E8636" s="545"/>
      <c r="F8636" s="546"/>
      <c r="G8636" s="234"/>
      <c r="H8636" s="238"/>
      <c r="I8636" s="237"/>
    </row>
    <row r="8637" spans="1:9" s="232" customFormat="1" ht="17" customHeight="1">
      <c r="A8637" s="234"/>
      <c r="B8637" s="233"/>
      <c r="C8637" s="238"/>
      <c r="E8637" s="545"/>
      <c r="F8637" s="546"/>
      <c r="G8637" s="234"/>
      <c r="H8637" s="238"/>
      <c r="I8637" s="237"/>
    </row>
    <row r="8638" spans="1:9" s="232" customFormat="1" ht="17" customHeight="1">
      <c r="A8638" s="234"/>
      <c r="B8638" s="233"/>
      <c r="C8638" s="238"/>
      <c r="E8638" s="545"/>
      <c r="F8638" s="546"/>
      <c r="G8638" s="234"/>
      <c r="H8638" s="238"/>
      <c r="I8638" s="237"/>
    </row>
    <row r="8639" spans="1:9" s="232" customFormat="1" ht="17" customHeight="1">
      <c r="A8639" s="234"/>
      <c r="B8639" s="233"/>
      <c r="C8639" s="238"/>
      <c r="E8639" s="545"/>
      <c r="F8639" s="546"/>
      <c r="G8639" s="234"/>
      <c r="H8639" s="238"/>
      <c r="I8639" s="237"/>
    </row>
    <row r="8640" spans="1:9" s="232" customFormat="1" ht="17" customHeight="1">
      <c r="A8640" s="234"/>
      <c r="B8640" s="233"/>
      <c r="C8640" s="238"/>
      <c r="E8640" s="545"/>
      <c r="F8640" s="546"/>
      <c r="G8640" s="234"/>
      <c r="H8640" s="238"/>
      <c r="I8640" s="237"/>
    </row>
    <row r="8641" spans="1:9" s="232" customFormat="1" ht="17" customHeight="1">
      <c r="A8641" s="234"/>
      <c r="B8641" s="233"/>
      <c r="C8641" s="238"/>
      <c r="E8641" s="545"/>
      <c r="F8641" s="546"/>
      <c r="G8641" s="234"/>
      <c r="H8641" s="238"/>
      <c r="I8641" s="237"/>
    </row>
    <row r="8642" spans="1:9" s="232" customFormat="1" ht="17" customHeight="1">
      <c r="A8642" s="234"/>
      <c r="B8642" s="233"/>
      <c r="C8642" s="238"/>
      <c r="E8642" s="545"/>
      <c r="F8642" s="546"/>
      <c r="G8642" s="234"/>
      <c r="H8642" s="238"/>
      <c r="I8642" s="237"/>
    </row>
    <row r="8643" spans="1:9" s="232" customFormat="1" ht="17" customHeight="1">
      <c r="A8643" s="234"/>
      <c r="B8643" s="233"/>
      <c r="C8643" s="238"/>
      <c r="E8643" s="545"/>
      <c r="F8643" s="546"/>
      <c r="G8643" s="234"/>
      <c r="H8643" s="238"/>
      <c r="I8643" s="237"/>
    </row>
    <row r="8644" spans="1:9" s="232" customFormat="1" ht="17" customHeight="1">
      <c r="A8644" s="234"/>
      <c r="B8644" s="233"/>
      <c r="C8644" s="238"/>
      <c r="E8644" s="545"/>
      <c r="F8644" s="546"/>
      <c r="G8644" s="234"/>
      <c r="H8644" s="238"/>
      <c r="I8644" s="237"/>
    </row>
    <row r="8645" spans="1:9" s="232" customFormat="1" ht="17" customHeight="1">
      <c r="A8645" s="234"/>
      <c r="B8645" s="233"/>
      <c r="C8645" s="238"/>
      <c r="E8645" s="545"/>
      <c r="F8645" s="546"/>
      <c r="G8645" s="234"/>
      <c r="H8645" s="238"/>
      <c r="I8645" s="237"/>
    </row>
    <row r="8646" spans="1:9" s="232" customFormat="1" ht="17" customHeight="1">
      <c r="A8646" s="234"/>
      <c r="B8646" s="233"/>
      <c r="C8646" s="238"/>
      <c r="E8646" s="545"/>
      <c r="F8646" s="546"/>
      <c r="G8646" s="234"/>
      <c r="H8646" s="238"/>
      <c r="I8646" s="237"/>
    </row>
    <row r="8647" spans="1:9" s="232" customFormat="1" ht="17" customHeight="1">
      <c r="A8647" s="234"/>
      <c r="B8647" s="233"/>
      <c r="C8647" s="238"/>
      <c r="E8647" s="545"/>
      <c r="F8647" s="546"/>
      <c r="G8647" s="234"/>
      <c r="H8647" s="238"/>
      <c r="I8647" s="237"/>
    </row>
    <row r="8648" spans="1:9" s="232" customFormat="1" ht="17" customHeight="1">
      <c r="A8648" s="234"/>
      <c r="B8648" s="233"/>
      <c r="C8648" s="238"/>
      <c r="E8648" s="545"/>
      <c r="F8648" s="546"/>
      <c r="G8648" s="234"/>
      <c r="H8648" s="238"/>
      <c r="I8648" s="237"/>
    </row>
    <row r="8649" spans="1:9" s="232" customFormat="1" ht="17" customHeight="1">
      <c r="A8649" s="234"/>
      <c r="B8649" s="233"/>
      <c r="C8649" s="238"/>
      <c r="E8649" s="545"/>
      <c r="F8649" s="546"/>
      <c r="G8649" s="234"/>
      <c r="H8649" s="238"/>
      <c r="I8649" s="237"/>
    </row>
    <row r="8650" spans="1:9" s="232" customFormat="1" ht="17" customHeight="1">
      <c r="A8650" s="234"/>
      <c r="B8650" s="233"/>
      <c r="C8650" s="238"/>
      <c r="E8650" s="545"/>
      <c r="F8650" s="546"/>
      <c r="G8650" s="234"/>
      <c r="H8650" s="238"/>
      <c r="I8650" s="237"/>
    </row>
    <row r="8651" spans="1:9" s="232" customFormat="1" ht="17" customHeight="1">
      <c r="A8651" s="234"/>
      <c r="B8651" s="233"/>
      <c r="C8651" s="238"/>
      <c r="E8651" s="545"/>
      <c r="F8651" s="546"/>
      <c r="G8651" s="234"/>
      <c r="H8651" s="238"/>
      <c r="I8651" s="237"/>
    </row>
    <row r="8652" spans="1:9" s="232" customFormat="1" ht="17" customHeight="1">
      <c r="A8652" s="234"/>
      <c r="B8652" s="233"/>
      <c r="C8652" s="238"/>
      <c r="E8652" s="545"/>
      <c r="F8652" s="546"/>
      <c r="G8652" s="234"/>
      <c r="H8652" s="238"/>
      <c r="I8652" s="237"/>
    </row>
    <row r="8653" spans="1:9" s="232" customFormat="1" ht="17" customHeight="1">
      <c r="A8653" s="234"/>
      <c r="B8653" s="233"/>
      <c r="C8653" s="238"/>
      <c r="E8653" s="545"/>
      <c r="F8653" s="546"/>
      <c r="G8653" s="234"/>
      <c r="H8653" s="238"/>
      <c r="I8653" s="237"/>
    </row>
    <row r="8654" spans="1:9" s="232" customFormat="1" ht="17" customHeight="1">
      <c r="A8654" s="234"/>
      <c r="B8654" s="233"/>
      <c r="C8654" s="238"/>
      <c r="E8654" s="545"/>
      <c r="F8654" s="546"/>
      <c r="G8654" s="234"/>
      <c r="H8654" s="238"/>
      <c r="I8654" s="237"/>
    </row>
    <row r="8655" spans="1:9" s="232" customFormat="1" ht="17" customHeight="1">
      <c r="A8655" s="234"/>
      <c r="B8655" s="233"/>
      <c r="C8655" s="238"/>
      <c r="E8655" s="545"/>
      <c r="F8655" s="546"/>
      <c r="G8655" s="234"/>
      <c r="H8655" s="238"/>
      <c r="I8655" s="237"/>
    </row>
    <row r="8656" spans="1:9" s="232" customFormat="1" ht="17" customHeight="1">
      <c r="A8656" s="234"/>
      <c r="B8656" s="233"/>
      <c r="C8656" s="238"/>
      <c r="E8656" s="545"/>
      <c r="F8656" s="546"/>
      <c r="G8656" s="234"/>
      <c r="H8656" s="238"/>
      <c r="I8656" s="237"/>
    </row>
    <row r="8657" spans="1:9" s="232" customFormat="1" ht="17" customHeight="1">
      <c r="A8657" s="234"/>
      <c r="B8657" s="233"/>
      <c r="C8657" s="238"/>
      <c r="E8657" s="545"/>
      <c r="F8657" s="546"/>
      <c r="G8657" s="234"/>
      <c r="H8657" s="238"/>
      <c r="I8657" s="237"/>
    </row>
    <row r="8658" spans="1:9" s="232" customFormat="1" ht="17" customHeight="1">
      <c r="A8658" s="234"/>
      <c r="B8658" s="233"/>
      <c r="C8658" s="238"/>
      <c r="E8658" s="545"/>
      <c r="F8658" s="546"/>
      <c r="G8658" s="234"/>
      <c r="H8658" s="238"/>
      <c r="I8658" s="237"/>
    </row>
    <row r="8659" spans="1:9" s="232" customFormat="1" ht="17" customHeight="1">
      <c r="A8659" s="234"/>
      <c r="B8659" s="233"/>
      <c r="C8659" s="238"/>
      <c r="E8659" s="545"/>
      <c r="F8659" s="546"/>
      <c r="G8659" s="234"/>
      <c r="H8659" s="238"/>
      <c r="I8659" s="237"/>
    </row>
    <row r="8660" spans="1:9" s="232" customFormat="1" ht="17" customHeight="1">
      <c r="A8660" s="234"/>
      <c r="B8660" s="233"/>
      <c r="C8660" s="238"/>
      <c r="E8660" s="545"/>
      <c r="F8660" s="546"/>
      <c r="G8660" s="234"/>
      <c r="H8660" s="238"/>
      <c r="I8660" s="237"/>
    </row>
    <row r="8661" spans="1:9" s="232" customFormat="1" ht="17" customHeight="1">
      <c r="A8661" s="234"/>
      <c r="B8661" s="233"/>
      <c r="C8661" s="238"/>
      <c r="E8661" s="545"/>
      <c r="F8661" s="546"/>
      <c r="G8661" s="234"/>
      <c r="H8661" s="238"/>
      <c r="I8661" s="237"/>
    </row>
    <row r="8662" spans="1:9" s="232" customFormat="1" ht="17" customHeight="1">
      <c r="A8662" s="234"/>
      <c r="B8662" s="233"/>
      <c r="C8662" s="238"/>
      <c r="E8662" s="545"/>
      <c r="F8662" s="546"/>
      <c r="G8662" s="234"/>
      <c r="H8662" s="238"/>
      <c r="I8662" s="237"/>
    </row>
    <row r="8663" spans="1:9" s="232" customFormat="1" ht="17" customHeight="1">
      <c r="A8663" s="234"/>
      <c r="B8663" s="233"/>
      <c r="C8663" s="238"/>
      <c r="E8663" s="545"/>
      <c r="F8663" s="546"/>
      <c r="G8663" s="234"/>
      <c r="H8663" s="238"/>
      <c r="I8663" s="237"/>
    </row>
    <row r="8664" spans="1:9" s="232" customFormat="1" ht="17" customHeight="1">
      <c r="A8664" s="234"/>
      <c r="B8664" s="233"/>
      <c r="C8664" s="238"/>
      <c r="E8664" s="545"/>
      <c r="F8664" s="546"/>
      <c r="G8664" s="234"/>
      <c r="H8664" s="238"/>
      <c r="I8664" s="237"/>
    </row>
    <row r="8665" spans="1:9" s="232" customFormat="1" ht="17" customHeight="1">
      <c r="A8665" s="234"/>
      <c r="B8665" s="233"/>
      <c r="C8665" s="238"/>
      <c r="E8665" s="545"/>
      <c r="F8665" s="546"/>
      <c r="G8665" s="234"/>
      <c r="H8665" s="238"/>
      <c r="I8665" s="237"/>
    </row>
    <row r="8666" spans="1:9" s="232" customFormat="1" ht="17" customHeight="1">
      <c r="A8666" s="234"/>
      <c r="B8666" s="233"/>
      <c r="C8666" s="238"/>
      <c r="E8666" s="545"/>
      <c r="F8666" s="546"/>
      <c r="G8666" s="234"/>
      <c r="H8666" s="238"/>
      <c r="I8666" s="237"/>
    </row>
    <row r="8667" spans="1:9" s="232" customFormat="1" ht="17" customHeight="1">
      <c r="A8667" s="234"/>
      <c r="B8667" s="233"/>
      <c r="C8667" s="238"/>
      <c r="E8667" s="545"/>
      <c r="F8667" s="546"/>
      <c r="G8667" s="234"/>
      <c r="H8667" s="238"/>
      <c r="I8667" s="237"/>
    </row>
    <row r="8668" spans="1:9" s="232" customFormat="1" ht="17" customHeight="1">
      <c r="A8668" s="234"/>
      <c r="B8668" s="233"/>
      <c r="C8668" s="238"/>
      <c r="E8668" s="545"/>
      <c r="F8668" s="546"/>
      <c r="G8668" s="234"/>
      <c r="H8668" s="238"/>
      <c r="I8668" s="237"/>
    </row>
    <row r="8669" spans="1:9" s="232" customFormat="1" ht="17" customHeight="1">
      <c r="A8669" s="234"/>
      <c r="B8669" s="233"/>
      <c r="C8669" s="238"/>
      <c r="E8669" s="545"/>
      <c r="F8669" s="546"/>
      <c r="G8669" s="234"/>
      <c r="H8669" s="238"/>
      <c r="I8669" s="237"/>
    </row>
    <row r="8670" spans="1:9" s="232" customFormat="1" ht="17" customHeight="1">
      <c r="A8670" s="234"/>
      <c r="B8670" s="233"/>
      <c r="C8670" s="238"/>
      <c r="E8670" s="545"/>
      <c r="F8670" s="546"/>
      <c r="G8670" s="234"/>
      <c r="H8670" s="238"/>
      <c r="I8670" s="237"/>
    </row>
    <row r="8671" spans="1:9" s="232" customFormat="1" ht="17" customHeight="1">
      <c r="A8671" s="234"/>
      <c r="B8671" s="233"/>
      <c r="C8671" s="238"/>
      <c r="E8671" s="545"/>
      <c r="F8671" s="546"/>
      <c r="G8671" s="234"/>
      <c r="H8671" s="238"/>
      <c r="I8671" s="237"/>
    </row>
    <row r="8672" spans="1:9" s="232" customFormat="1" ht="17" customHeight="1">
      <c r="A8672" s="234"/>
      <c r="B8672" s="233"/>
      <c r="C8672" s="238"/>
      <c r="E8672" s="545"/>
      <c r="F8672" s="546"/>
      <c r="G8672" s="234"/>
      <c r="H8672" s="238"/>
      <c r="I8672" s="237"/>
    </row>
    <row r="8673" spans="1:9" s="232" customFormat="1" ht="17" customHeight="1">
      <c r="A8673" s="234"/>
      <c r="B8673" s="233"/>
      <c r="C8673" s="238"/>
      <c r="E8673" s="545"/>
      <c r="F8673" s="546"/>
      <c r="G8673" s="234"/>
      <c r="H8673" s="238"/>
      <c r="I8673" s="237"/>
    </row>
    <row r="8674" spans="1:9" s="232" customFormat="1" ht="17" customHeight="1">
      <c r="A8674" s="234"/>
      <c r="B8674" s="233"/>
      <c r="C8674" s="238"/>
      <c r="E8674" s="545"/>
      <c r="F8674" s="546"/>
      <c r="G8674" s="234"/>
      <c r="H8674" s="238"/>
      <c r="I8674" s="237"/>
    </row>
    <row r="8675" spans="1:9" s="232" customFormat="1" ht="17" customHeight="1">
      <c r="A8675" s="234"/>
      <c r="B8675" s="233"/>
      <c r="C8675" s="238"/>
      <c r="E8675" s="545"/>
      <c r="F8675" s="546"/>
      <c r="G8675" s="234"/>
      <c r="H8675" s="238"/>
      <c r="I8675" s="237"/>
    </row>
    <row r="8676" spans="1:9" s="232" customFormat="1" ht="17" customHeight="1">
      <c r="A8676" s="234"/>
      <c r="B8676" s="233"/>
      <c r="C8676" s="238"/>
      <c r="E8676" s="545"/>
      <c r="F8676" s="546"/>
      <c r="G8676" s="234"/>
      <c r="H8676" s="238"/>
      <c r="I8676" s="237"/>
    </row>
    <row r="8677" spans="1:9" s="232" customFormat="1" ht="17" customHeight="1">
      <c r="A8677" s="234"/>
      <c r="B8677" s="233"/>
      <c r="C8677" s="238"/>
      <c r="E8677" s="545"/>
      <c r="F8677" s="546"/>
      <c r="G8677" s="234"/>
      <c r="H8677" s="238"/>
      <c r="I8677" s="237"/>
    </row>
    <row r="8678" spans="1:9" s="232" customFormat="1" ht="17" customHeight="1">
      <c r="A8678" s="234"/>
      <c r="B8678" s="233"/>
      <c r="C8678" s="238"/>
      <c r="E8678" s="545"/>
      <c r="F8678" s="546"/>
      <c r="G8678" s="234"/>
      <c r="H8678" s="238"/>
      <c r="I8678" s="237"/>
    </row>
    <row r="8679" spans="1:9" s="232" customFormat="1" ht="17" customHeight="1">
      <c r="A8679" s="234"/>
      <c r="B8679" s="233"/>
      <c r="C8679" s="238"/>
      <c r="E8679" s="545"/>
      <c r="F8679" s="546"/>
      <c r="G8679" s="234"/>
      <c r="H8679" s="238"/>
      <c r="I8679" s="237"/>
    </row>
    <row r="8680" spans="1:9" s="232" customFormat="1" ht="17" customHeight="1">
      <c r="A8680" s="234"/>
      <c r="B8680" s="233"/>
      <c r="C8680" s="238"/>
      <c r="E8680" s="545"/>
      <c r="F8680" s="546"/>
      <c r="G8680" s="234"/>
      <c r="H8680" s="238"/>
      <c r="I8680" s="237"/>
    </row>
    <row r="8681" spans="1:9" s="232" customFormat="1" ht="17" customHeight="1">
      <c r="A8681" s="234"/>
      <c r="B8681" s="233"/>
      <c r="C8681" s="238"/>
      <c r="E8681" s="545"/>
      <c r="F8681" s="546"/>
      <c r="G8681" s="234"/>
      <c r="H8681" s="238"/>
      <c r="I8681" s="237"/>
    </row>
    <row r="8682" spans="1:9" s="232" customFormat="1" ht="17" customHeight="1">
      <c r="A8682" s="234"/>
      <c r="B8682" s="233"/>
      <c r="C8682" s="238"/>
      <c r="E8682" s="545"/>
      <c r="F8682" s="546"/>
      <c r="G8682" s="234"/>
      <c r="H8682" s="238"/>
      <c r="I8682" s="237"/>
    </row>
    <row r="8683" spans="1:9" s="232" customFormat="1" ht="17" customHeight="1">
      <c r="A8683" s="234"/>
      <c r="B8683" s="233"/>
      <c r="C8683" s="238"/>
      <c r="E8683" s="545"/>
      <c r="F8683" s="546"/>
      <c r="G8683" s="234"/>
      <c r="H8683" s="238"/>
      <c r="I8683" s="237"/>
    </row>
    <row r="8684" spans="1:9" s="232" customFormat="1" ht="17" customHeight="1">
      <c r="A8684" s="234"/>
      <c r="B8684" s="233"/>
      <c r="C8684" s="238"/>
      <c r="E8684" s="545"/>
      <c r="F8684" s="546"/>
      <c r="G8684" s="234"/>
      <c r="H8684" s="238"/>
      <c r="I8684" s="237"/>
    </row>
    <row r="8685" spans="1:9" s="232" customFormat="1" ht="17" customHeight="1">
      <c r="A8685" s="234"/>
      <c r="B8685" s="233"/>
      <c r="C8685" s="238"/>
      <c r="E8685" s="545"/>
      <c r="F8685" s="546"/>
      <c r="G8685" s="234"/>
      <c r="H8685" s="238"/>
      <c r="I8685" s="237"/>
    </row>
    <row r="8686" spans="1:9" s="232" customFormat="1" ht="17" customHeight="1">
      <c r="A8686" s="234"/>
      <c r="B8686" s="233"/>
      <c r="C8686" s="238"/>
      <c r="E8686" s="545"/>
      <c r="F8686" s="546"/>
      <c r="G8686" s="234"/>
      <c r="H8686" s="238"/>
      <c r="I8686" s="237"/>
    </row>
    <row r="8687" spans="1:9" s="232" customFormat="1" ht="17" customHeight="1">
      <c r="A8687" s="234"/>
      <c r="B8687" s="233"/>
      <c r="C8687" s="238"/>
      <c r="E8687" s="545"/>
      <c r="F8687" s="546"/>
      <c r="G8687" s="234"/>
      <c r="H8687" s="238"/>
      <c r="I8687" s="237"/>
    </row>
    <row r="8688" spans="1:9" s="232" customFormat="1" ht="17" customHeight="1">
      <c r="A8688" s="234"/>
      <c r="B8688" s="233"/>
      <c r="C8688" s="238"/>
      <c r="E8688" s="545"/>
      <c r="F8688" s="546"/>
      <c r="G8688" s="234"/>
      <c r="H8688" s="238"/>
      <c r="I8688" s="237"/>
    </row>
    <row r="8689" spans="1:9" s="232" customFormat="1" ht="17" customHeight="1">
      <c r="A8689" s="234"/>
      <c r="B8689" s="233"/>
      <c r="C8689" s="238"/>
      <c r="E8689" s="545"/>
      <c r="F8689" s="546"/>
      <c r="G8689" s="234"/>
      <c r="H8689" s="238"/>
      <c r="I8689" s="237"/>
    </row>
    <row r="8690" spans="1:9" s="232" customFormat="1" ht="17" customHeight="1">
      <c r="A8690" s="234"/>
      <c r="B8690" s="233"/>
      <c r="C8690" s="238"/>
      <c r="E8690" s="545"/>
      <c r="F8690" s="546"/>
      <c r="G8690" s="234"/>
      <c r="H8690" s="238"/>
      <c r="I8690" s="237"/>
    </row>
    <row r="8691" spans="1:9" s="232" customFormat="1" ht="17" customHeight="1">
      <c r="A8691" s="234"/>
      <c r="B8691" s="233"/>
      <c r="C8691" s="238"/>
      <c r="E8691" s="545"/>
      <c r="F8691" s="546"/>
      <c r="G8691" s="234"/>
      <c r="H8691" s="238"/>
      <c r="I8691" s="237"/>
    </row>
    <row r="8692" spans="1:9" s="232" customFormat="1" ht="17" customHeight="1">
      <c r="A8692" s="234"/>
      <c r="B8692" s="233"/>
      <c r="C8692" s="238"/>
      <c r="E8692" s="545"/>
      <c r="F8692" s="546"/>
      <c r="G8692" s="234"/>
      <c r="H8692" s="238"/>
      <c r="I8692" s="237"/>
    </row>
    <row r="8693" spans="1:9" s="232" customFormat="1" ht="17" customHeight="1">
      <c r="A8693" s="234"/>
      <c r="B8693" s="233"/>
      <c r="C8693" s="238"/>
      <c r="E8693" s="545"/>
      <c r="F8693" s="546"/>
      <c r="G8693" s="234"/>
      <c r="H8693" s="238"/>
      <c r="I8693" s="237"/>
    </row>
    <row r="8694" spans="1:9" s="232" customFormat="1" ht="17" customHeight="1">
      <c r="A8694" s="234"/>
      <c r="B8694" s="233"/>
      <c r="C8694" s="238"/>
      <c r="E8694" s="545"/>
      <c r="F8694" s="546"/>
      <c r="G8694" s="234"/>
      <c r="H8694" s="238"/>
      <c r="I8694" s="237"/>
    </row>
    <row r="8695" spans="1:9" s="232" customFormat="1" ht="17" customHeight="1">
      <c r="A8695" s="234"/>
      <c r="B8695" s="233"/>
      <c r="C8695" s="238"/>
      <c r="E8695" s="545"/>
      <c r="F8695" s="546"/>
      <c r="G8695" s="234"/>
      <c r="H8695" s="238"/>
      <c r="I8695" s="237"/>
    </row>
    <row r="8696" spans="1:9" s="232" customFormat="1" ht="17" customHeight="1">
      <c r="A8696" s="234"/>
      <c r="B8696" s="233"/>
      <c r="C8696" s="238"/>
      <c r="E8696" s="545"/>
      <c r="F8696" s="546"/>
      <c r="G8696" s="234"/>
      <c r="H8696" s="238"/>
      <c r="I8696" s="237"/>
    </row>
    <row r="8697" spans="1:9" s="232" customFormat="1" ht="17" customHeight="1">
      <c r="A8697" s="234"/>
      <c r="B8697" s="233"/>
      <c r="C8697" s="238"/>
      <c r="E8697" s="545"/>
      <c r="F8697" s="546"/>
      <c r="G8697" s="234"/>
      <c r="H8697" s="238"/>
      <c r="I8697" s="237"/>
    </row>
    <row r="8698" spans="1:9" s="232" customFormat="1" ht="17" customHeight="1">
      <c r="A8698" s="234"/>
      <c r="B8698" s="233"/>
      <c r="C8698" s="238"/>
      <c r="E8698" s="545"/>
      <c r="F8698" s="546"/>
      <c r="G8698" s="234"/>
      <c r="H8698" s="238"/>
      <c r="I8698" s="237"/>
    </row>
    <row r="8699" spans="1:9" s="232" customFormat="1" ht="17" customHeight="1">
      <c r="A8699" s="234"/>
      <c r="B8699" s="233"/>
      <c r="C8699" s="238"/>
      <c r="E8699" s="545"/>
      <c r="F8699" s="546"/>
      <c r="G8699" s="234"/>
      <c r="H8699" s="238"/>
      <c r="I8699" s="237"/>
    </row>
    <row r="8700" spans="1:9" s="232" customFormat="1" ht="17" customHeight="1">
      <c r="A8700" s="234"/>
      <c r="B8700" s="233"/>
      <c r="C8700" s="238"/>
      <c r="E8700" s="545"/>
      <c r="F8700" s="546"/>
      <c r="G8700" s="234"/>
      <c r="H8700" s="238"/>
      <c r="I8700" s="237"/>
    </row>
    <row r="8701" spans="1:9" s="232" customFormat="1" ht="17" customHeight="1">
      <c r="A8701" s="234"/>
      <c r="B8701" s="233"/>
      <c r="C8701" s="238"/>
      <c r="E8701" s="545"/>
      <c r="F8701" s="546"/>
      <c r="G8701" s="234"/>
      <c r="H8701" s="238"/>
      <c r="I8701" s="237"/>
    </row>
    <row r="8702" spans="1:9" s="232" customFormat="1" ht="17" customHeight="1">
      <c r="A8702" s="234"/>
      <c r="B8702" s="233"/>
      <c r="C8702" s="238"/>
      <c r="E8702" s="545"/>
      <c r="F8702" s="546"/>
      <c r="G8702" s="234"/>
      <c r="H8702" s="238"/>
      <c r="I8702" s="237"/>
    </row>
    <row r="8703" spans="1:9" s="232" customFormat="1" ht="17" customHeight="1">
      <c r="A8703" s="234"/>
      <c r="B8703" s="233"/>
      <c r="C8703" s="238"/>
      <c r="E8703" s="545"/>
      <c r="F8703" s="546"/>
      <c r="G8703" s="234"/>
      <c r="H8703" s="238"/>
      <c r="I8703" s="237"/>
    </row>
    <row r="8704" spans="1:9" s="232" customFormat="1" ht="17" customHeight="1">
      <c r="A8704" s="234"/>
      <c r="B8704" s="233"/>
      <c r="C8704" s="238"/>
      <c r="E8704" s="545"/>
      <c r="F8704" s="546"/>
      <c r="G8704" s="234"/>
      <c r="H8704" s="238"/>
      <c r="I8704" s="237"/>
    </row>
    <row r="8705" spans="1:9" s="232" customFormat="1" ht="17" customHeight="1">
      <c r="A8705" s="234"/>
      <c r="B8705" s="233"/>
      <c r="C8705" s="238"/>
      <c r="E8705" s="545"/>
      <c r="F8705" s="546"/>
      <c r="G8705" s="234"/>
      <c r="H8705" s="238"/>
      <c r="I8705" s="237"/>
    </row>
    <row r="8706" spans="1:9" s="232" customFormat="1" ht="17" customHeight="1">
      <c r="A8706" s="234"/>
      <c r="B8706" s="233"/>
      <c r="C8706" s="238"/>
      <c r="E8706" s="545"/>
      <c r="F8706" s="546"/>
      <c r="G8706" s="234"/>
      <c r="H8706" s="238"/>
      <c r="I8706" s="237"/>
    </row>
    <row r="8707" spans="1:9" s="232" customFormat="1" ht="17" customHeight="1">
      <c r="A8707" s="234"/>
      <c r="B8707" s="233"/>
      <c r="C8707" s="238"/>
      <c r="E8707" s="545"/>
      <c r="F8707" s="546"/>
      <c r="G8707" s="234"/>
      <c r="H8707" s="238"/>
      <c r="I8707" s="237"/>
    </row>
    <row r="8708" spans="1:9" s="232" customFormat="1" ht="17" customHeight="1">
      <c r="A8708" s="234"/>
      <c r="B8708" s="233"/>
      <c r="C8708" s="238"/>
      <c r="E8708" s="545"/>
      <c r="F8708" s="546"/>
      <c r="G8708" s="234"/>
      <c r="H8708" s="238"/>
      <c r="I8708" s="237"/>
    </row>
    <row r="8709" spans="1:9" s="232" customFormat="1" ht="17" customHeight="1">
      <c r="A8709" s="234"/>
      <c r="B8709" s="233"/>
      <c r="C8709" s="238"/>
      <c r="E8709" s="545"/>
      <c r="F8709" s="546"/>
      <c r="G8709" s="234"/>
      <c r="H8709" s="238"/>
      <c r="I8709" s="237"/>
    </row>
    <row r="8710" spans="1:9" s="232" customFormat="1" ht="17" customHeight="1">
      <c r="A8710" s="234"/>
      <c r="B8710" s="233"/>
      <c r="C8710" s="238"/>
      <c r="E8710" s="545"/>
      <c r="F8710" s="546"/>
      <c r="G8710" s="234"/>
      <c r="H8710" s="238"/>
      <c r="I8710" s="237"/>
    </row>
    <row r="8711" spans="1:9" s="232" customFormat="1" ht="17" customHeight="1">
      <c r="A8711" s="234"/>
      <c r="B8711" s="233"/>
      <c r="C8711" s="238"/>
      <c r="E8711" s="545"/>
      <c r="F8711" s="546"/>
      <c r="G8711" s="234"/>
      <c r="H8711" s="238"/>
      <c r="I8711" s="237"/>
    </row>
    <row r="8712" spans="1:9" s="232" customFormat="1" ht="17" customHeight="1">
      <c r="A8712" s="234"/>
      <c r="B8712" s="233"/>
      <c r="C8712" s="238"/>
      <c r="E8712" s="545"/>
      <c r="F8712" s="546"/>
      <c r="G8712" s="234"/>
      <c r="H8712" s="238"/>
      <c r="I8712" s="237"/>
    </row>
    <row r="8713" spans="1:9" s="232" customFormat="1" ht="17" customHeight="1">
      <c r="A8713" s="234"/>
      <c r="B8713" s="233"/>
      <c r="C8713" s="238"/>
      <c r="E8713" s="545"/>
      <c r="F8713" s="546"/>
      <c r="G8713" s="234"/>
      <c r="H8713" s="238"/>
      <c r="I8713" s="237"/>
    </row>
    <row r="8714" spans="1:9" s="232" customFormat="1" ht="17" customHeight="1">
      <c r="A8714" s="234"/>
      <c r="B8714" s="233"/>
      <c r="C8714" s="238"/>
      <c r="E8714" s="545"/>
      <c r="F8714" s="546"/>
      <c r="G8714" s="234"/>
      <c r="H8714" s="238"/>
      <c r="I8714" s="237"/>
    </row>
    <row r="8715" spans="1:9" s="232" customFormat="1" ht="17" customHeight="1">
      <c r="A8715" s="234"/>
      <c r="B8715" s="233"/>
      <c r="C8715" s="238"/>
      <c r="E8715" s="545"/>
      <c r="F8715" s="546"/>
      <c r="G8715" s="234"/>
      <c r="H8715" s="238"/>
      <c r="I8715" s="237"/>
    </row>
    <row r="8716" spans="1:9" s="232" customFormat="1" ht="17" customHeight="1">
      <c r="A8716" s="234"/>
      <c r="B8716" s="233"/>
      <c r="C8716" s="238"/>
      <c r="E8716" s="545"/>
      <c r="F8716" s="546"/>
      <c r="G8716" s="234"/>
      <c r="H8716" s="238"/>
      <c r="I8716" s="237"/>
    </row>
    <row r="8717" spans="1:9" s="232" customFormat="1" ht="17" customHeight="1">
      <c r="A8717" s="234"/>
      <c r="B8717" s="233"/>
      <c r="C8717" s="238"/>
      <c r="E8717" s="545"/>
      <c r="F8717" s="546"/>
      <c r="G8717" s="234"/>
      <c r="H8717" s="238"/>
      <c r="I8717" s="237"/>
    </row>
    <row r="8718" spans="1:9" s="232" customFormat="1" ht="17" customHeight="1">
      <c r="A8718" s="234"/>
      <c r="B8718" s="233"/>
      <c r="C8718" s="238"/>
      <c r="E8718" s="545"/>
      <c r="F8718" s="546"/>
      <c r="G8718" s="234"/>
      <c r="H8718" s="238"/>
      <c r="I8718" s="237"/>
    </row>
    <row r="8719" spans="1:9" s="232" customFormat="1" ht="17" customHeight="1">
      <c r="A8719" s="234"/>
      <c r="B8719" s="233"/>
      <c r="C8719" s="238"/>
      <c r="E8719" s="545"/>
      <c r="F8719" s="546"/>
      <c r="G8719" s="234"/>
      <c r="H8719" s="238"/>
      <c r="I8719" s="237"/>
    </row>
    <row r="8720" spans="1:9" s="232" customFormat="1" ht="17" customHeight="1">
      <c r="A8720" s="234"/>
      <c r="B8720" s="233"/>
      <c r="C8720" s="238"/>
      <c r="E8720" s="545"/>
      <c r="F8720" s="546"/>
      <c r="G8720" s="234"/>
      <c r="H8720" s="238"/>
      <c r="I8720" s="237"/>
    </row>
    <row r="8721" spans="1:9" s="232" customFormat="1" ht="17" customHeight="1">
      <c r="A8721" s="234"/>
      <c r="B8721" s="233"/>
      <c r="C8721" s="238"/>
      <c r="E8721" s="545"/>
      <c r="F8721" s="546"/>
      <c r="G8721" s="234"/>
      <c r="H8721" s="238"/>
      <c r="I8721" s="237"/>
    </row>
    <row r="8722" spans="1:9" s="232" customFormat="1" ht="17" customHeight="1">
      <c r="A8722" s="234"/>
      <c r="B8722" s="233"/>
      <c r="C8722" s="238"/>
      <c r="E8722" s="545"/>
      <c r="F8722" s="546"/>
      <c r="G8722" s="234"/>
      <c r="H8722" s="238"/>
      <c r="I8722" s="237"/>
    </row>
    <row r="8723" spans="1:9" s="232" customFormat="1" ht="17" customHeight="1">
      <c r="A8723" s="234"/>
      <c r="B8723" s="233"/>
      <c r="C8723" s="238"/>
      <c r="E8723" s="545"/>
      <c r="F8723" s="546"/>
      <c r="G8723" s="234"/>
      <c r="H8723" s="238"/>
      <c r="I8723" s="237"/>
    </row>
    <row r="8724" spans="1:9" s="232" customFormat="1" ht="17" customHeight="1">
      <c r="A8724" s="234"/>
      <c r="B8724" s="233"/>
      <c r="C8724" s="238"/>
      <c r="E8724" s="545"/>
      <c r="F8724" s="546"/>
      <c r="G8724" s="234"/>
      <c r="H8724" s="238"/>
      <c r="I8724" s="237"/>
    </row>
    <row r="8725" spans="1:9" s="232" customFormat="1" ht="17" customHeight="1">
      <c r="A8725" s="234"/>
      <c r="B8725" s="233"/>
      <c r="C8725" s="238"/>
      <c r="E8725" s="545"/>
      <c r="F8725" s="546"/>
      <c r="G8725" s="234"/>
      <c r="H8725" s="238"/>
      <c r="I8725" s="237"/>
    </row>
    <row r="8726" spans="1:9" s="232" customFormat="1" ht="17" customHeight="1">
      <c r="A8726" s="234"/>
      <c r="B8726" s="233"/>
      <c r="C8726" s="238"/>
      <c r="E8726" s="545"/>
      <c r="F8726" s="546"/>
      <c r="G8726" s="234"/>
      <c r="H8726" s="238"/>
      <c r="I8726" s="237"/>
    </row>
    <row r="8727" spans="1:9" s="232" customFormat="1" ht="17" customHeight="1">
      <c r="A8727" s="234"/>
      <c r="B8727" s="233"/>
      <c r="C8727" s="238"/>
      <c r="E8727" s="545"/>
      <c r="F8727" s="546"/>
      <c r="G8727" s="234"/>
      <c r="H8727" s="238"/>
      <c r="I8727" s="237"/>
    </row>
    <row r="8728" spans="1:9" s="232" customFormat="1" ht="17" customHeight="1">
      <c r="A8728" s="234"/>
      <c r="B8728" s="233"/>
      <c r="C8728" s="238"/>
      <c r="E8728" s="545"/>
      <c r="F8728" s="546"/>
      <c r="G8728" s="234"/>
      <c r="H8728" s="238"/>
      <c r="I8728" s="237"/>
    </row>
    <row r="8729" spans="1:9" s="232" customFormat="1" ht="17" customHeight="1">
      <c r="A8729" s="234"/>
      <c r="B8729" s="233"/>
      <c r="C8729" s="238"/>
      <c r="E8729" s="545"/>
      <c r="F8729" s="546"/>
      <c r="G8729" s="234"/>
      <c r="H8729" s="238"/>
      <c r="I8729" s="237"/>
    </row>
    <row r="8730" spans="1:9" s="232" customFormat="1" ht="17" customHeight="1">
      <c r="A8730" s="234"/>
      <c r="B8730" s="233"/>
      <c r="C8730" s="238"/>
      <c r="E8730" s="545"/>
      <c r="F8730" s="546"/>
      <c r="G8730" s="234"/>
      <c r="H8730" s="238"/>
      <c r="I8730" s="237"/>
    </row>
    <row r="8731" spans="1:9" s="232" customFormat="1" ht="17" customHeight="1">
      <c r="A8731" s="234"/>
      <c r="B8731" s="233"/>
      <c r="C8731" s="238"/>
      <c r="E8731" s="545"/>
      <c r="F8731" s="546"/>
      <c r="G8731" s="234"/>
      <c r="H8731" s="238"/>
      <c r="I8731" s="237"/>
    </row>
    <row r="8732" spans="1:9" s="232" customFormat="1" ht="17" customHeight="1">
      <c r="A8732" s="234"/>
      <c r="B8732" s="233"/>
      <c r="C8732" s="238"/>
      <c r="E8732" s="545"/>
      <c r="F8732" s="546"/>
      <c r="G8732" s="234"/>
      <c r="H8732" s="238"/>
      <c r="I8732" s="237"/>
    </row>
    <row r="8733" spans="1:9" s="232" customFormat="1" ht="17" customHeight="1">
      <c r="A8733" s="234"/>
      <c r="B8733" s="233"/>
      <c r="C8733" s="238"/>
      <c r="E8733" s="545"/>
      <c r="F8733" s="546"/>
      <c r="G8733" s="234"/>
      <c r="H8733" s="238"/>
      <c r="I8733" s="237"/>
    </row>
    <row r="8734" spans="1:9" s="232" customFormat="1" ht="17" customHeight="1">
      <c r="A8734" s="234"/>
      <c r="B8734" s="233"/>
      <c r="C8734" s="238"/>
      <c r="E8734" s="545"/>
      <c r="F8734" s="546"/>
      <c r="G8734" s="234"/>
      <c r="H8734" s="238"/>
      <c r="I8734" s="237"/>
    </row>
    <row r="8735" spans="1:9" s="232" customFormat="1" ht="17" customHeight="1">
      <c r="A8735" s="234"/>
      <c r="B8735" s="233"/>
      <c r="C8735" s="238"/>
      <c r="E8735" s="545"/>
      <c r="F8735" s="546"/>
      <c r="G8735" s="234"/>
      <c r="H8735" s="238"/>
      <c r="I8735" s="237"/>
    </row>
    <row r="8736" spans="1:9" s="232" customFormat="1" ht="17" customHeight="1">
      <c r="A8736" s="234"/>
      <c r="B8736" s="233"/>
      <c r="C8736" s="238"/>
      <c r="E8736" s="545"/>
      <c r="F8736" s="546"/>
      <c r="G8736" s="234"/>
      <c r="H8736" s="238"/>
      <c r="I8736" s="237"/>
    </row>
    <row r="8737" spans="1:9" s="232" customFormat="1" ht="17" customHeight="1">
      <c r="A8737" s="234"/>
      <c r="B8737" s="233"/>
      <c r="C8737" s="238"/>
      <c r="E8737" s="545"/>
      <c r="F8737" s="546"/>
      <c r="G8737" s="234"/>
      <c r="H8737" s="238"/>
      <c r="I8737" s="237"/>
    </row>
    <row r="8738" spans="1:9" s="232" customFormat="1" ht="17" customHeight="1">
      <c r="A8738" s="234"/>
      <c r="B8738" s="233"/>
      <c r="C8738" s="238"/>
      <c r="E8738" s="545"/>
      <c r="F8738" s="546"/>
      <c r="G8738" s="234"/>
      <c r="H8738" s="238"/>
      <c r="I8738" s="237"/>
    </row>
    <row r="8739" spans="1:9" s="232" customFormat="1" ht="17" customHeight="1">
      <c r="A8739" s="234"/>
      <c r="B8739" s="233"/>
      <c r="C8739" s="238"/>
      <c r="E8739" s="545"/>
      <c r="F8739" s="546"/>
      <c r="G8739" s="234"/>
      <c r="H8739" s="238"/>
      <c r="I8739" s="237"/>
    </row>
    <row r="8740" spans="1:9" s="232" customFormat="1" ht="17" customHeight="1">
      <c r="A8740" s="234"/>
      <c r="B8740" s="233"/>
      <c r="C8740" s="238"/>
      <c r="E8740" s="545"/>
      <c r="F8740" s="546"/>
      <c r="G8740" s="234"/>
      <c r="H8740" s="238"/>
      <c r="I8740" s="237"/>
    </row>
    <row r="8741" spans="1:9" s="232" customFormat="1" ht="17" customHeight="1">
      <c r="A8741" s="234"/>
      <c r="B8741" s="233"/>
      <c r="C8741" s="238"/>
      <c r="E8741" s="545"/>
      <c r="F8741" s="546"/>
      <c r="G8741" s="234"/>
      <c r="H8741" s="238"/>
      <c r="I8741" s="237"/>
    </row>
    <row r="8742" spans="1:9" s="232" customFormat="1" ht="17" customHeight="1">
      <c r="A8742" s="234"/>
      <c r="B8742" s="233"/>
      <c r="C8742" s="238"/>
      <c r="E8742" s="545"/>
      <c r="F8742" s="546"/>
      <c r="G8742" s="234"/>
      <c r="H8742" s="238"/>
      <c r="I8742" s="237"/>
    </row>
    <row r="8743" spans="1:9" s="232" customFormat="1" ht="17" customHeight="1">
      <c r="A8743" s="234"/>
      <c r="B8743" s="233"/>
      <c r="C8743" s="238"/>
      <c r="E8743" s="545"/>
      <c r="F8743" s="546"/>
      <c r="G8743" s="234"/>
      <c r="H8743" s="238"/>
      <c r="I8743" s="237"/>
    </row>
    <row r="8744" spans="1:9" s="232" customFormat="1" ht="17" customHeight="1">
      <c r="A8744" s="234"/>
      <c r="B8744" s="233"/>
      <c r="C8744" s="238"/>
      <c r="E8744" s="545"/>
      <c r="F8744" s="546"/>
      <c r="G8744" s="234"/>
      <c r="H8744" s="238"/>
      <c r="I8744" s="237"/>
    </row>
    <row r="8745" spans="1:9" s="232" customFormat="1" ht="17" customHeight="1">
      <c r="A8745" s="234"/>
      <c r="B8745" s="233"/>
      <c r="C8745" s="238"/>
      <c r="E8745" s="545"/>
      <c r="F8745" s="546"/>
      <c r="G8745" s="234"/>
      <c r="H8745" s="238"/>
      <c r="I8745" s="237"/>
    </row>
    <row r="8746" spans="1:9" s="232" customFormat="1" ht="17" customHeight="1">
      <c r="A8746" s="234"/>
      <c r="B8746" s="233"/>
      <c r="C8746" s="238"/>
      <c r="E8746" s="545"/>
      <c r="F8746" s="546"/>
      <c r="G8746" s="234"/>
      <c r="H8746" s="238"/>
      <c r="I8746" s="237"/>
    </row>
    <row r="8747" spans="1:9" s="232" customFormat="1" ht="17" customHeight="1">
      <c r="A8747" s="234"/>
      <c r="B8747" s="233"/>
      <c r="C8747" s="238"/>
      <c r="E8747" s="545"/>
      <c r="F8747" s="546"/>
      <c r="G8747" s="234"/>
      <c r="H8747" s="238"/>
      <c r="I8747" s="237"/>
    </row>
    <row r="8748" spans="1:9" s="232" customFormat="1" ht="17" customHeight="1">
      <c r="A8748" s="234"/>
      <c r="B8748" s="233"/>
      <c r="C8748" s="238"/>
      <c r="E8748" s="545"/>
      <c r="F8748" s="546"/>
      <c r="G8748" s="234"/>
      <c r="H8748" s="238"/>
      <c r="I8748" s="237"/>
    </row>
    <row r="8749" spans="1:9" s="232" customFormat="1" ht="17" customHeight="1">
      <c r="A8749" s="234"/>
      <c r="B8749" s="233"/>
      <c r="C8749" s="238"/>
      <c r="E8749" s="545"/>
      <c r="F8749" s="546"/>
      <c r="G8749" s="234"/>
      <c r="H8749" s="238"/>
      <c r="I8749" s="237"/>
    </row>
    <row r="8750" spans="1:9" s="232" customFormat="1" ht="17" customHeight="1">
      <c r="A8750" s="234"/>
      <c r="B8750" s="233"/>
      <c r="C8750" s="238"/>
      <c r="E8750" s="545"/>
      <c r="F8750" s="546"/>
      <c r="G8750" s="234"/>
      <c r="H8750" s="238"/>
      <c r="I8750" s="237"/>
    </row>
    <row r="8751" spans="1:9" s="232" customFormat="1" ht="17" customHeight="1">
      <c r="A8751" s="234"/>
      <c r="B8751" s="233"/>
      <c r="C8751" s="238"/>
      <c r="E8751" s="545"/>
      <c r="F8751" s="546"/>
      <c r="G8751" s="234"/>
      <c r="H8751" s="238"/>
      <c r="I8751" s="237"/>
    </row>
    <row r="8752" spans="1:9" s="232" customFormat="1" ht="17" customHeight="1">
      <c r="A8752" s="234"/>
      <c r="B8752" s="233"/>
      <c r="C8752" s="238"/>
      <c r="E8752" s="545"/>
      <c r="F8752" s="546"/>
      <c r="G8752" s="234"/>
      <c r="H8752" s="238"/>
      <c r="I8752" s="237"/>
    </row>
    <row r="8753" spans="1:9" s="232" customFormat="1" ht="17" customHeight="1">
      <c r="A8753" s="234"/>
      <c r="B8753" s="233"/>
      <c r="C8753" s="238"/>
      <c r="E8753" s="545"/>
      <c r="F8753" s="546"/>
      <c r="G8753" s="234"/>
      <c r="H8753" s="238"/>
      <c r="I8753" s="237"/>
    </row>
    <row r="8754" spans="1:9" s="232" customFormat="1" ht="17" customHeight="1">
      <c r="A8754" s="234"/>
      <c r="B8754" s="233"/>
      <c r="C8754" s="238"/>
      <c r="E8754" s="545"/>
      <c r="F8754" s="546"/>
      <c r="G8754" s="234"/>
      <c r="H8754" s="238"/>
      <c r="I8754" s="237"/>
    </row>
    <row r="8755" spans="1:9" s="232" customFormat="1" ht="17" customHeight="1">
      <c r="A8755" s="234"/>
      <c r="B8755" s="233"/>
      <c r="C8755" s="238"/>
      <c r="E8755" s="545"/>
      <c r="F8755" s="546"/>
      <c r="G8755" s="234"/>
      <c r="H8755" s="238"/>
      <c r="I8755" s="237"/>
    </row>
    <row r="8756" spans="1:9" s="232" customFormat="1" ht="17" customHeight="1">
      <c r="A8756" s="234"/>
      <c r="B8756" s="233"/>
      <c r="C8756" s="238"/>
      <c r="E8756" s="545"/>
      <c r="F8756" s="546"/>
      <c r="G8756" s="234"/>
      <c r="H8756" s="238"/>
      <c r="I8756" s="237"/>
    </row>
    <row r="8757" spans="1:9" s="232" customFormat="1" ht="17" customHeight="1">
      <c r="A8757" s="234"/>
      <c r="B8757" s="233"/>
      <c r="C8757" s="238"/>
      <c r="E8757" s="545"/>
      <c r="F8757" s="546"/>
      <c r="G8757" s="234"/>
      <c r="H8757" s="238"/>
      <c r="I8757" s="237"/>
    </row>
    <row r="8758" spans="1:9" s="232" customFormat="1" ht="17" customHeight="1">
      <c r="A8758" s="234"/>
      <c r="B8758" s="233"/>
      <c r="C8758" s="238"/>
      <c r="E8758" s="545"/>
      <c r="F8758" s="546"/>
      <c r="G8758" s="234"/>
      <c r="H8758" s="238"/>
      <c r="I8758" s="237"/>
    </row>
    <row r="8759" spans="1:9" s="232" customFormat="1" ht="17" customHeight="1">
      <c r="A8759" s="234"/>
      <c r="B8759" s="233"/>
      <c r="C8759" s="238"/>
      <c r="E8759" s="545"/>
      <c r="F8759" s="546"/>
      <c r="G8759" s="234"/>
      <c r="H8759" s="238"/>
      <c r="I8759" s="237"/>
    </row>
    <row r="8760" spans="1:9" s="232" customFormat="1" ht="17" customHeight="1">
      <c r="A8760" s="234"/>
      <c r="B8760" s="233"/>
      <c r="C8760" s="238"/>
      <c r="E8760" s="545"/>
      <c r="F8760" s="546"/>
      <c r="G8760" s="234"/>
      <c r="H8760" s="238"/>
      <c r="I8760" s="237"/>
    </row>
    <row r="8761" spans="1:9" s="232" customFormat="1" ht="17" customHeight="1">
      <c r="A8761" s="234"/>
      <c r="B8761" s="233"/>
      <c r="C8761" s="238"/>
      <c r="E8761" s="545"/>
      <c r="F8761" s="546"/>
      <c r="G8761" s="234"/>
      <c r="H8761" s="238"/>
      <c r="I8761" s="237"/>
    </row>
    <row r="8762" spans="1:9" s="232" customFormat="1" ht="17" customHeight="1">
      <c r="A8762" s="234"/>
      <c r="B8762" s="233"/>
      <c r="C8762" s="238"/>
      <c r="E8762" s="545"/>
      <c r="F8762" s="546"/>
      <c r="G8762" s="234"/>
      <c r="H8762" s="238"/>
      <c r="I8762" s="237"/>
    </row>
    <row r="8763" spans="1:9" s="232" customFormat="1" ht="17" customHeight="1">
      <c r="A8763" s="234"/>
      <c r="B8763" s="233"/>
      <c r="C8763" s="238"/>
      <c r="E8763" s="545"/>
      <c r="F8763" s="546"/>
      <c r="G8763" s="234"/>
      <c r="H8763" s="238"/>
      <c r="I8763" s="237"/>
    </row>
    <row r="8764" spans="1:9" s="232" customFormat="1" ht="17" customHeight="1">
      <c r="A8764" s="234"/>
      <c r="B8764" s="233"/>
      <c r="C8764" s="238"/>
      <c r="E8764" s="545"/>
      <c r="F8764" s="546"/>
      <c r="G8764" s="234"/>
      <c r="H8764" s="238"/>
      <c r="I8764" s="237"/>
    </row>
    <row r="8765" spans="1:9" s="232" customFormat="1" ht="17" customHeight="1">
      <c r="A8765" s="234"/>
      <c r="B8765" s="233"/>
      <c r="C8765" s="238"/>
      <c r="E8765" s="545"/>
      <c r="F8765" s="546"/>
      <c r="G8765" s="234"/>
      <c r="H8765" s="238"/>
      <c r="I8765" s="237"/>
    </row>
    <row r="8766" spans="1:9" s="232" customFormat="1" ht="17" customHeight="1">
      <c r="A8766" s="234"/>
      <c r="B8766" s="233"/>
      <c r="C8766" s="238"/>
      <c r="E8766" s="545"/>
      <c r="F8766" s="546"/>
      <c r="G8766" s="234"/>
      <c r="H8766" s="238"/>
      <c r="I8766" s="237"/>
    </row>
    <row r="8767" spans="1:9" s="232" customFormat="1" ht="17" customHeight="1">
      <c r="A8767" s="234"/>
      <c r="B8767" s="233"/>
      <c r="C8767" s="238"/>
      <c r="E8767" s="545"/>
      <c r="F8767" s="546"/>
      <c r="G8767" s="234"/>
      <c r="H8767" s="238"/>
      <c r="I8767" s="237"/>
    </row>
    <row r="8768" spans="1:9" s="232" customFormat="1" ht="17" customHeight="1">
      <c r="A8768" s="234"/>
      <c r="B8768" s="233"/>
      <c r="C8768" s="238"/>
      <c r="E8768" s="545"/>
      <c r="F8768" s="546"/>
      <c r="G8768" s="234"/>
      <c r="H8768" s="238"/>
      <c r="I8768" s="237"/>
    </row>
    <row r="8769" spans="1:9" s="232" customFormat="1" ht="17" customHeight="1">
      <c r="A8769" s="234"/>
      <c r="B8769" s="233"/>
      <c r="C8769" s="238"/>
      <c r="E8769" s="545"/>
      <c r="F8769" s="546"/>
      <c r="G8769" s="234"/>
      <c r="H8769" s="238"/>
      <c r="I8769" s="237"/>
    </row>
    <row r="8770" spans="1:9" s="232" customFormat="1" ht="17" customHeight="1">
      <c r="A8770" s="234"/>
      <c r="B8770" s="233"/>
      <c r="C8770" s="238"/>
      <c r="E8770" s="545"/>
      <c r="F8770" s="546"/>
      <c r="G8770" s="234"/>
      <c r="H8770" s="238"/>
      <c r="I8770" s="237"/>
    </row>
    <row r="8771" spans="1:9" s="232" customFormat="1" ht="17" customHeight="1">
      <c r="A8771" s="234"/>
      <c r="B8771" s="233"/>
      <c r="C8771" s="238"/>
      <c r="E8771" s="545"/>
      <c r="F8771" s="546"/>
      <c r="G8771" s="234"/>
      <c r="H8771" s="238"/>
      <c r="I8771" s="237"/>
    </row>
    <row r="8772" spans="1:9" s="232" customFormat="1" ht="17" customHeight="1">
      <c r="A8772" s="234"/>
      <c r="B8772" s="233"/>
      <c r="C8772" s="238"/>
      <c r="E8772" s="545"/>
      <c r="F8772" s="546"/>
      <c r="G8772" s="234"/>
      <c r="H8772" s="238"/>
      <c r="I8772" s="237"/>
    </row>
    <row r="8773" spans="1:9" s="232" customFormat="1" ht="17" customHeight="1">
      <c r="A8773" s="234"/>
      <c r="B8773" s="233"/>
      <c r="C8773" s="238"/>
      <c r="E8773" s="545"/>
      <c r="F8773" s="546"/>
      <c r="G8773" s="234"/>
      <c r="H8773" s="238"/>
      <c r="I8773" s="237"/>
    </row>
    <row r="8774" spans="1:9" s="232" customFormat="1" ht="17" customHeight="1">
      <c r="A8774" s="234"/>
      <c r="B8774" s="233"/>
      <c r="C8774" s="238"/>
      <c r="E8774" s="545"/>
      <c r="F8774" s="546"/>
      <c r="G8774" s="234"/>
      <c r="H8774" s="238"/>
      <c r="I8774" s="237"/>
    </row>
    <row r="8775" spans="1:9" s="232" customFormat="1" ht="17" customHeight="1">
      <c r="A8775" s="234"/>
      <c r="B8775" s="233"/>
      <c r="C8775" s="238"/>
      <c r="E8775" s="545"/>
      <c r="F8775" s="546"/>
      <c r="G8775" s="234"/>
      <c r="H8775" s="238"/>
      <c r="I8775" s="237"/>
    </row>
    <row r="8776" spans="1:9" s="232" customFormat="1" ht="17" customHeight="1">
      <c r="A8776" s="234"/>
      <c r="B8776" s="233"/>
      <c r="C8776" s="238"/>
      <c r="E8776" s="545"/>
      <c r="F8776" s="546"/>
      <c r="G8776" s="234"/>
      <c r="H8776" s="238"/>
      <c r="I8776" s="237"/>
    </row>
    <row r="8777" spans="1:9" s="232" customFormat="1" ht="17" customHeight="1">
      <c r="A8777" s="234"/>
      <c r="B8777" s="233"/>
      <c r="C8777" s="238"/>
      <c r="E8777" s="545"/>
      <c r="F8777" s="546"/>
      <c r="G8777" s="234"/>
      <c r="H8777" s="238"/>
      <c r="I8777" s="237"/>
    </row>
    <row r="8778" spans="1:9" s="232" customFormat="1" ht="17" customHeight="1">
      <c r="A8778" s="234"/>
      <c r="B8778" s="233"/>
      <c r="C8778" s="238"/>
      <c r="E8778" s="545"/>
      <c r="F8778" s="546"/>
      <c r="G8778" s="234"/>
      <c r="H8778" s="238"/>
      <c r="I8778" s="237"/>
    </row>
    <row r="8779" spans="1:9" s="232" customFormat="1" ht="17" customHeight="1">
      <c r="A8779" s="234"/>
      <c r="B8779" s="233"/>
      <c r="C8779" s="238"/>
      <c r="E8779" s="545"/>
      <c r="F8779" s="546"/>
      <c r="G8779" s="234"/>
      <c r="H8779" s="238"/>
      <c r="I8779" s="237"/>
    </row>
    <row r="8780" spans="1:9" s="232" customFormat="1" ht="17" customHeight="1">
      <c r="A8780" s="234"/>
      <c r="B8780" s="233"/>
      <c r="C8780" s="238"/>
      <c r="E8780" s="545"/>
      <c r="F8780" s="546"/>
      <c r="G8780" s="234"/>
      <c r="H8780" s="238"/>
      <c r="I8780" s="237"/>
    </row>
    <row r="8781" spans="1:9" s="232" customFormat="1" ht="17" customHeight="1">
      <c r="A8781" s="234"/>
      <c r="B8781" s="233"/>
      <c r="C8781" s="238"/>
      <c r="E8781" s="545"/>
      <c r="F8781" s="546"/>
      <c r="G8781" s="234"/>
      <c r="H8781" s="238"/>
      <c r="I8781" s="237"/>
    </row>
    <row r="8782" spans="1:9" s="232" customFormat="1" ht="17" customHeight="1">
      <c r="A8782" s="234"/>
      <c r="B8782" s="233"/>
      <c r="C8782" s="238"/>
      <c r="E8782" s="545"/>
      <c r="F8782" s="546"/>
      <c r="G8782" s="234"/>
      <c r="H8782" s="238"/>
      <c r="I8782" s="237"/>
    </row>
    <row r="8783" spans="1:9" s="232" customFormat="1" ht="17" customHeight="1">
      <c r="A8783" s="234"/>
      <c r="B8783" s="233"/>
      <c r="C8783" s="238"/>
      <c r="E8783" s="545"/>
      <c r="F8783" s="546"/>
      <c r="G8783" s="234"/>
      <c r="H8783" s="238"/>
      <c r="I8783" s="237"/>
    </row>
    <row r="8784" spans="1:9" s="232" customFormat="1" ht="17" customHeight="1">
      <c r="A8784" s="234"/>
      <c r="B8784" s="233"/>
      <c r="C8784" s="238"/>
      <c r="E8784" s="545"/>
      <c r="F8784" s="546"/>
      <c r="G8784" s="234"/>
      <c r="H8784" s="238"/>
      <c r="I8784" s="237"/>
    </row>
    <row r="8785" spans="1:9" s="232" customFormat="1" ht="17" customHeight="1">
      <c r="A8785" s="234"/>
      <c r="B8785" s="233"/>
      <c r="C8785" s="238"/>
      <c r="E8785" s="545"/>
      <c r="F8785" s="546"/>
      <c r="G8785" s="234"/>
      <c r="H8785" s="238"/>
      <c r="I8785" s="237"/>
    </row>
    <row r="8786" spans="1:9" s="232" customFormat="1" ht="17" customHeight="1">
      <c r="A8786" s="234"/>
      <c r="B8786" s="233"/>
      <c r="C8786" s="238"/>
      <c r="E8786" s="545"/>
      <c r="F8786" s="546"/>
      <c r="G8786" s="234"/>
      <c r="H8786" s="238"/>
      <c r="I8786" s="237"/>
    </row>
    <row r="8787" spans="1:9" s="232" customFormat="1" ht="17" customHeight="1">
      <c r="A8787" s="234"/>
      <c r="B8787" s="233"/>
      <c r="C8787" s="238"/>
      <c r="E8787" s="545"/>
      <c r="F8787" s="546"/>
      <c r="G8787" s="234"/>
      <c r="H8787" s="238"/>
      <c r="I8787" s="237"/>
    </row>
    <row r="8788" spans="1:9" s="232" customFormat="1" ht="17" customHeight="1">
      <c r="A8788" s="234"/>
      <c r="B8788" s="233"/>
      <c r="C8788" s="238"/>
      <c r="E8788" s="545"/>
      <c r="F8788" s="546"/>
      <c r="G8788" s="234"/>
      <c r="H8788" s="238"/>
      <c r="I8788" s="237"/>
    </row>
    <row r="8789" spans="1:9" s="232" customFormat="1" ht="17" customHeight="1">
      <c r="A8789" s="234"/>
      <c r="B8789" s="233"/>
      <c r="C8789" s="238"/>
      <c r="E8789" s="545"/>
      <c r="F8789" s="546"/>
      <c r="G8789" s="234"/>
      <c r="H8789" s="238"/>
      <c r="I8789" s="237"/>
    </row>
    <row r="8790" spans="1:9" s="232" customFormat="1" ht="17" customHeight="1">
      <c r="A8790" s="234"/>
      <c r="B8790" s="233"/>
      <c r="C8790" s="238"/>
      <c r="E8790" s="545"/>
      <c r="F8790" s="546"/>
      <c r="G8790" s="234"/>
      <c r="H8790" s="238"/>
      <c r="I8790" s="237"/>
    </row>
    <row r="8791" spans="1:9" s="232" customFormat="1" ht="17" customHeight="1">
      <c r="A8791" s="234"/>
      <c r="B8791" s="233"/>
      <c r="C8791" s="238"/>
      <c r="E8791" s="545"/>
      <c r="F8791" s="546"/>
      <c r="G8791" s="234"/>
      <c r="H8791" s="238"/>
      <c r="I8791" s="237"/>
    </row>
    <row r="8792" spans="1:9" s="232" customFormat="1" ht="17" customHeight="1">
      <c r="A8792" s="234"/>
      <c r="B8792" s="233"/>
      <c r="C8792" s="238"/>
      <c r="E8792" s="545"/>
      <c r="F8792" s="546"/>
      <c r="G8792" s="234"/>
      <c r="H8792" s="238"/>
      <c r="I8792" s="237"/>
    </row>
    <row r="8793" spans="1:9" s="232" customFormat="1" ht="17" customHeight="1">
      <c r="A8793" s="234"/>
      <c r="B8793" s="233"/>
      <c r="C8793" s="238"/>
      <c r="E8793" s="545"/>
      <c r="F8793" s="546"/>
      <c r="G8793" s="234"/>
      <c r="H8793" s="238"/>
      <c r="I8793" s="237"/>
    </row>
    <row r="8794" spans="1:9" s="232" customFormat="1" ht="17" customHeight="1">
      <c r="A8794" s="234"/>
      <c r="B8794" s="233"/>
      <c r="C8794" s="238"/>
      <c r="E8794" s="545"/>
      <c r="F8794" s="546"/>
      <c r="G8794" s="234"/>
      <c r="H8794" s="238"/>
      <c r="I8794" s="237"/>
    </row>
    <row r="8795" spans="1:9" s="232" customFormat="1" ht="17" customHeight="1">
      <c r="A8795" s="234"/>
      <c r="B8795" s="233"/>
      <c r="C8795" s="238"/>
      <c r="E8795" s="545"/>
      <c r="F8795" s="546"/>
      <c r="G8795" s="234"/>
      <c r="H8795" s="238"/>
      <c r="I8795" s="237"/>
    </row>
    <row r="8796" spans="1:9" s="232" customFormat="1" ht="17" customHeight="1">
      <c r="A8796" s="234"/>
      <c r="B8796" s="233"/>
      <c r="C8796" s="238"/>
      <c r="E8796" s="545"/>
      <c r="F8796" s="546"/>
      <c r="G8796" s="234"/>
      <c r="H8796" s="238"/>
      <c r="I8796" s="237"/>
    </row>
    <row r="8797" spans="1:9" s="232" customFormat="1" ht="17" customHeight="1">
      <c r="A8797" s="234"/>
      <c r="B8797" s="233"/>
      <c r="C8797" s="238"/>
      <c r="E8797" s="545"/>
      <c r="F8797" s="546"/>
      <c r="G8797" s="234"/>
      <c r="H8797" s="238"/>
      <c r="I8797" s="237"/>
    </row>
    <row r="8798" spans="1:9" s="232" customFormat="1" ht="17" customHeight="1">
      <c r="A8798" s="234"/>
      <c r="B8798" s="233"/>
      <c r="C8798" s="238"/>
      <c r="E8798" s="545"/>
      <c r="F8798" s="546"/>
      <c r="G8798" s="234"/>
      <c r="H8798" s="238"/>
      <c r="I8798" s="237"/>
    </row>
    <row r="8799" spans="1:9" s="232" customFormat="1" ht="17" customHeight="1">
      <c r="A8799" s="234"/>
      <c r="B8799" s="233"/>
      <c r="C8799" s="238"/>
      <c r="E8799" s="545"/>
      <c r="F8799" s="546"/>
      <c r="G8799" s="234"/>
      <c r="H8799" s="238"/>
      <c r="I8799" s="237"/>
    </row>
    <row r="8800" spans="1:9" s="232" customFormat="1" ht="17" customHeight="1">
      <c r="A8800" s="234"/>
      <c r="B8800" s="233"/>
      <c r="C8800" s="238"/>
      <c r="E8800" s="545"/>
      <c r="F8800" s="546"/>
      <c r="G8800" s="234"/>
      <c r="H8800" s="238"/>
      <c r="I8800" s="237"/>
    </row>
    <row r="8801" spans="1:9" s="232" customFormat="1" ht="17" customHeight="1">
      <c r="A8801" s="234"/>
      <c r="B8801" s="233"/>
      <c r="C8801" s="238"/>
      <c r="E8801" s="545"/>
      <c r="F8801" s="546"/>
      <c r="G8801" s="234"/>
      <c r="H8801" s="238"/>
      <c r="I8801" s="237"/>
    </row>
    <row r="8802" spans="1:9" s="232" customFormat="1" ht="17" customHeight="1">
      <c r="A8802" s="234"/>
      <c r="B8802" s="233"/>
      <c r="C8802" s="238"/>
      <c r="E8802" s="545"/>
      <c r="F8802" s="546"/>
      <c r="G8802" s="234"/>
      <c r="H8802" s="238"/>
      <c r="I8802" s="237"/>
    </row>
    <row r="8803" spans="1:9" s="232" customFormat="1" ht="17" customHeight="1">
      <c r="A8803" s="234"/>
      <c r="B8803" s="233"/>
      <c r="C8803" s="238"/>
      <c r="E8803" s="545"/>
      <c r="F8803" s="546"/>
      <c r="G8803" s="234"/>
      <c r="H8803" s="238"/>
      <c r="I8803" s="237"/>
    </row>
    <row r="8804" spans="1:9" s="232" customFormat="1" ht="17" customHeight="1">
      <c r="A8804" s="234"/>
      <c r="B8804" s="233"/>
      <c r="C8804" s="238"/>
      <c r="E8804" s="545"/>
      <c r="F8804" s="546"/>
      <c r="G8804" s="234"/>
      <c r="H8804" s="238"/>
      <c r="I8804" s="237"/>
    </row>
    <row r="8805" spans="1:9" s="232" customFormat="1" ht="17" customHeight="1">
      <c r="A8805" s="234"/>
      <c r="B8805" s="233"/>
      <c r="C8805" s="238"/>
      <c r="E8805" s="545"/>
      <c r="F8805" s="546"/>
      <c r="G8805" s="234"/>
      <c r="H8805" s="238"/>
      <c r="I8805" s="237"/>
    </row>
    <row r="8806" spans="1:9" s="232" customFormat="1" ht="17" customHeight="1">
      <c r="A8806" s="234"/>
      <c r="B8806" s="233"/>
      <c r="C8806" s="238"/>
      <c r="E8806" s="545"/>
      <c r="F8806" s="546"/>
      <c r="G8806" s="234"/>
      <c r="H8806" s="238"/>
      <c r="I8806" s="237"/>
    </row>
    <row r="8807" spans="1:9" s="232" customFormat="1" ht="17" customHeight="1">
      <c r="A8807" s="234"/>
      <c r="B8807" s="233"/>
      <c r="C8807" s="238"/>
      <c r="E8807" s="545"/>
      <c r="F8807" s="546"/>
      <c r="G8807" s="234"/>
      <c r="H8807" s="238"/>
      <c r="I8807" s="237"/>
    </row>
    <row r="8808" spans="1:9" s="232" customFormat="1" ht="17" customHeight="1">
      <c r="A8808" s="234"/>
      <c r="B8808" s="233"/>
      <c r="C8808" s="238"/>
      <c r="E8808" s="545"/>
      <c r="F8808" s="546"/>
      <c r="G8808" s="234"/>
      <c r="H8808" s="238"/>
      <c r="I8808" s="237"/>
    </row>
    <row r="8809" spans="1:9" s="232" customFormat="1" ht="17" customHeight="1">
      <c r="A8809" s="234"/>
      <c r="B8809" s="233"/>
      <c r="C8809" s="238"/>
      <c r="E8809" s="545"/>
      <c r="F8809" s="546"/>
      <c r="G8809" s="234"/>
      <c r="H8809" s="238"/>
      <c r="I8809" s="237"/>
    </row>
    <row r="8810" spans="1:9" s="232" customFormat="1" ht="17" customHeight="1">
      <c r="A8810" s="234"/>
      <c r="B8810" s="233"/>
      <c r="C8810" s="238"/>
      <c r="E8810" s="545"/>
      <c r="F8810" s="546"/>
      <c r="G8810" s="234"/>
      <c r="H8810" s="238"/>
      <c r="I8810" s="237"/>
    </row>
    <row r="8811" spans="1:9" s="232" customFormat="1" ht="17" customHeight="1">
      <c r="A8811" s="234"/>
      <c r="B8811" s="233"/>
      <c r="C8811" s="238"/>
      <c r="E8811" s="545"/>
      <c r="F8811" s="546"/>
      <c r="G8811" s="234"/>
      <c r="H8811" s="238"/>
      <c r="I8811" s="237"/>
    </row>
    <row r="8812" spans="1:9" s="232" customFormat="1" ht="17" customHeight="1">
      <c r="A8812" s="234"/>
      <c r="B8812" s="233"/>
      <c r="C8812" s="238"/>
      <c r="E8812" s="545"/>
      <c r="F8812" s="546"/>
      <c r="G8812" s="234"/>
      <c r="H8812" s="238"/>
      <c r="I8812" s="237"/>
    </row>
    <row r="8813" spans="1:9" s="232" customFormat="1" ht="17" customHeight="1">
      <c r="A8813" s="234"/>
      <c r="B8813" s="233"/>
      <c r="C8813" s="238"/>
      <c r="E8813" s="545"/>
      <c r="F8813" s="546"/>
      <c r="G8813" s="234"/>
      <c r="H8813" s="238"/>
      <c r="I8813" s="237"/>
    </row>
    <row r="8814" spans="1:9" s="232" customFormat="1" ht="17" customHeight="1">
      <c r="A8814" s="234"/>
      <c r="B8814" s="233"/>
      <c r="C8814" s="238"/>
      <c r="E8814" s="545"/>
      <c r="F8814" s="546"/>
      <c r="G8814" s="234"/>
      <c r="H8814" s="238"/>
      <c r="I8814" s="237"/>
    </row>
    <row r="8815" spans="1:9" s="232" customFormat="1" ht="17" customHeight="1">
      <c r="A8815" s="234"/>
      <c r="B8815" s="233"/>
      <c r="C8815" s="238"/>
      <c r="E8815" s="545"/>
      <c r="F8815" s="546"/>
      <c r="G8815" s="234"/>
      <c r="H8815" s="238"/>
      <c r="I8815" s="237"/>
    </row>
    <row r="8816" spans="1:9" s="232" customFormat="1" ht="17" customHeight="1">
      <c r="A8816" s="234"/>
      <c r="B8816" s="233"/>
      <c r="C8816" s="238"/>
      <c r="E8816" s="545"/>
      <c r="F8816" s="546"/>
      <c r="G8816" s="234"/>
      <c r="H8816" s="238"/>
      <c r="I8816" s="237"/>
    </row>
    <row r="8817" spans="1:9" s="232" customFormat="1" ht="17" customHeight="1">
      <c r="A8817" s="234"/>
      <c r="B8817" s="233"/>
      <c r="C8817" s="238"/>
      <c r="E8817" s="545"/>
      <c r="F8817" s="546"/>
      <c r="G8817" s="234"/>
      <c r="H8817" s="238"/>
      <c r="I8817" s="237"/>
    </row>
    <row r="8818" spans="1:9" s="232" customFormat="1" ht="17" customHeight="1">
      <c r="A8818" s="234"/>
      <c r="B8818" s="233"/>
      <c r="C8818" s="238"/>
      <c r="E8818" s="545"/>
      <c r="F8818" s="546"/>
      <c r="G8818" s="234"/>
      <c r="H8818" s="238"/>
      <c r="I8818" s="237"/>
    </row>
    <row r="8819" spans="1:9" s="232" customFormat="1" ht="17" customHeight="1">
      <c r="A8819" s="234"/>
      <c r="B8819" s="233"/>
      <c r="C8819" s="238"/>
      <c r="E8819" s="545"/>
      <c r="F8819" s="546"/>
      <c r="G8819" s="234"/>
      <c r="H8819" s="238"/>
      <c r="I8819" s="237"/>
    </row>
    <row r="8820" spans="1:9" s="232" customFormat="1" ht="17" customHeight="1">
      <c r="A8820" s="234"/>
      <c r="B8820" s="233"/>
      <c r="C8820" s="238"/>
      <c r="E8820" s="545"/>
      <c r="F8820" s="546"/>
      <c r="G8820" s="234"/>
      <c r="H8820" s="238"/>
      <c r="I8820" s="237"/>
    </row>
    <row r="8821" spans="1:9" s="232" customFormat="1" ht="17" customHeight="1">
      <c r="A8821" s="234"/>
      <c r="B8821" s="233"/>
      <c r="C8821" s="238"/>
      <c r="E8821" s="545"/>
      <c r="F8821" s="546"/>
      <c r="G8821" s="234"/>
      <c r="H8821" s="238"/>
      <c r="I8821" s="237"/>
    </row>
    <row r="8822" spans="1:9" s="232" customFormat="1" ht="17" customHeight="1">
      <c r="A8822" s="234"/>
      <c r="B8822" s="233"/>
      <c r="C8822" s="238"/>
      <c r="E8822" s="545"/>
      <c r="F8822" s="546"/>
      <c r="G8822" s="234"/>
      <c r="H8822" s="238"/>
      <c r="I8822" s="237"/>
    </row>
    <row r="8823" spans="1:9" s="232" customFormat="1" ht="17" customHeight="1">
      <c r="A8823" s="234"/>
      <c r="B8823" s="233"/>
      <c r="C8823" s="238"/>
      <c r="E8823" s="545"/>
      <c r="F8823" s="546"/>
      <c r="G8823" s="234"/>
      <c r="H8823" s="238"/>
      <c r="I8823" s="237"/>
    </row>
    <row r="8824" spans="1:9" s="232" customFormat="1" ht="17" customHeight="1">
      <c r="A8824" s="234"/>
      <c r="B8824" s="233"/>
      <c r="C8824" s="238"/>
      <c r="E8824" s="545"/>
      <c r="F8824" s="546"/>
      <c r="G8824" s="234"/>
      <c r="H8824" s="238"/>
      <c r="I8824" s="237"/>
    </row>
    <row r="8825" spans="1:9" s="232" customFormat="1" ht="17" customHeight="1">
      <c r="A8825" s="234"/>
      <c r="B8825" s="233"/>
      <c r="C8825" s="238"/>
      <c r="E8825" s="545"/>
      <c r="F8825" s="546"/>
      <c r="G8825" s="234"/>
      <c r="H8825" s="238"/>
      <c r="I8825" s="237"/>
    </row>
    <row r="8826" spans="1:9" s="232" customFormat="1" ht="17" customHeight="1">
      <c r="A8826" s="234"/>
      <c r="B8826" s="233"/>
      <c r="C8826" s="238"/>
      <c r="E8826" s="545"/>
      <c r="F8826" s="546"/>
      <c r="G8826" s="234"/>
      <c r="H8826" s="238"/>
      <c r="I8826" s="237"/>
    </row>
    <row r="8827" spans="1:9" s="232" customFormat="1" ht="17" customHeight="1">
      <c r="A8827" s="234"/>
      <c r="B8827" s="233"/>
      <c r="C8827" s="238"/>
      <c r="E8827" s="545"/>
      <c r="F8827" s="546"/>
      <c r="G8827" s="234"/>
      <c r="H8827" s="238"/>
      <c r="I8827" s="237"/>
    </row>
    <row r="8828" spans="1:9" s="232" customFormat="1" ht="17" customHeight="1">
      <c r="A8828" s="234"/>
      <c r="B8828" s="233"/>
      <c r="C8828" s="238"/>
      <c r="E8828" s="545"/>
      <c r="F8828" s="546"/>
      <c r="G8828" s="234"/>
      <c r="H8828" s="238"/>
      <c r="I8828" s="237"/>
    </row>
    <row r="8829" spans="1:9" s="232" customFormat="1" ht="17" customHeight="1">
      <c r="A8829" s="234"/>
      <c r="B8829" s="233"/>
      <c r="C8829" s="238"/>
      <c r="E8829" s="545"/>
      <c r="F8829" s="546"/>
      <c r="G8829" s="234"/>
      <c r="H8829" s="238"/>
      <c r="I8829" s="237"/>
    </row>
    <row r="8830" spans="1:9" s="232" customFormat="1" ht="17" customHeight="1">
      <c r="A8830" s="234"/>
      <c r="B8830" s="233"/>
      <c r="C8830" s="238"/>
      <c r="E8830" s="545"/>
      <c r="F8830" s="546"/>
      <c r="G8830" s="234"/>
      <c r="H8830" s="238"/>
      <c r="I8830" s="237"/>
    </row>
    <row r="8831" spans="1:9" s="232" customFormat="1" ht="17" customHeight="1">
      <c r="A8831" s="234"/>
      <c r="B8831" s="233"/>
      <c r="C8831" s="238"/>
      <c r="E8831" s="545"/>
      <c r="F8831" s="546"/>
      <c r="G8831" s="234"/>
      <c r="H8831" s="238"/>
      <c r="I8831" s="237"/>
    </row>
    <row r="8832" spans="1:9" s="232" customFormat="1" ht="17" customHeight="1">
      <c r="A8832" s="234"/>
      <c r="B8832" s="233"/>
      <c r="C8832" s="238"/>
      <c r="E8832" s="545"/>
      <c r="F8832" s="546"/>
      <c r="G8832" s="234"/>
      <c r="H8832" s="238"/>
      <c r="I8832" s="237"/>
    </row>
    <row r="8833" spans="1:9" s="232" customFormat="1" ht="17" customHeight="1">
      <c r="A8833" s="234"/>
      <c r="B8833" s="233"/>
      <c r="C8833" s="238"/>
      <c r="E8833" s="545"/>
      <c r="F8833" s="546"/>
      <c r="G8833" s="234"/>
      <c r="H8833" s="238"/>
      <c r="I8833" s="237"/>
    </row>
    <row r="8834" spans="1:9" s="232" customFormat="1" ht="17" customHeight="1">
      <c r="A8834" s="234"/>
      <c r="B8834" s="233"/>
      <c r="C8834" s="238"/>
      <c r="E8834" s="545"/>
      <c r="F8834" s="546"/>
      <c r="G8834" s="234"/>
      <c r="H8834" s="238"/>
      <c r="I8834" s="237"/>
    </row>
    <row r="8835" spans="1:9" s="232" customFormat="1" ht="17" customHeight="1">
      <c r="A8835" s="234"/>
      <c r="B8835" s="233"/>
      <c r="C8835" s="238"/>
      <c r="E8835" s="545"/>
      <c r="F8835" s="546"/>
      <c r="G8835" s="234"/>
      <c r="H8835" s="238"/>
      <c r="I8835" s="237"/>
    </row>
    <row r="8836" spans="1:9" s="232" customFormat="1" ht="17" customHeight="1">
      <c r="A8836" s="234"/>
      <c r="B8836" s="233"/>
      <c r="C8836" s="238"/>
      <c r="E8836" s="545"/>
      <c r="F8836" s="546"/>
      <c r="G8836" s="234"/>
      <c r="H8836" s="238"/>
      <c r="I8836" s="237"/>
    </row>
    <row r="8837" spans="1:9" s="232" customFormat="1" ht="17" customHeight="1">
      <c r="A8837" s="234"/>
      <c r="B8837" s="233"/>
      <c r="C8837" s="238"/>
      <c r="E8837" s="545"/>
      <c r="F8837" s="546"/>
      <c r="G8837" s="234"/>
      <c r="H8837" s="238"/>
      <c r="I8837" s="237"/>
    </row>
    <row r="8838" spans="1:9" s="232" customFormat="1" ht="17" customHeight="1">
      <c r="A8838" s="234"/>
      <c r="B8838" s="233"/>
      <c r="C8838" s="238"/>
      <c r="E8838" s="545"/>
      <c r="F8838" s="546"/>
      <c r="G8838" s="234"/>
      <c r="H8838" s="238"/>
      <c r="I8838" s="237"/>
    </row>
    <row r="8839" spans="1:9" s="232" customFormat="1" ht="17" customHeight="1">
      <c r="A8839" s="234"/>
      <c r="B8839" s="233"/>
      <c r="C8839" s="238"/>
      <c r="E8839" s="545"/>
      <c r="F8839" s="546"/>
      <c r="G8839" s="234"/>
      <c r="H8839" s="238"/>
      <c r="I8839" s="237"/>
    </row>
    <row r="8840" spans="1:9" s="232" customFormat="1" ht="17" customHeight="1">
      <c r="A8840" s="234"/>
      <c r="B8840" s="233"/>
      <c r="C8840" s="238"/>
      <c r="E8840" s="545"/>
      <c r="F8840" s="546"/>
      <c r="G8840" s="234"/>
      <c r="H8840" s="238"/>
      <c r="I8840" s="237"/>
    </row>
    <row r="8841" spans="1:9" s="232" customFormat="1" ht="17" customHeight="1">
      <c r="A8841" s="234"/>
      <c r="B8841" s="233"/>
      <c r="C8841" s="238"/>
      <c r="E8841" s="545"/>
      <c r="F8841" s="546"/>
      <c r="G8841" s="234"/>
      <c r="H8841" s="238"/>
      <c r="I8841" s="237"/>
    </row>
    <row r="8842" spans="1:9" s="232" customFormat="1" ht="17" customHeight="1">
      <c r="A8842" s="234"/>
      <c r="B8842" s="233"/>
      <c r="C8842" s="238"/>
      <c r="E8842" s="545"/>
      <c r="F8842" s="546"/>
      <c r="G8842" s="234"/>
      <c r="H8842" s="238"/>
      <c r="I8842" s="237"/>
    </row>
    <row r="8843" spans="1:9" s="232" customFormat="1" ht="17" customHeight="1">
      <c r="A8843" s="234"/>
      <c r="B8843" s="233"/>
      <c r="C8843" s="238"/>
      <c r="E8843" s="545"/>
      <c r="F8843" s="546"/>
      <c r="G8843" s="234"/>
      <c r="H8843" s="238"/>
      <c r="I8843" s="237"/>
    </row>
    <row r="8844" spans="1:9" s="232" customFormat="1" ht="17" customHeight="1">
      <c r="A8844" s="234"/>
      <c r="B8844" s="233"/>
      <c r="C8844" s="238"/>
      <c r="E8844" s="545"/>
      <c r="F8844" s="546"/>
      <c r="G8844" s="234"/>
      <c r="H8844" s="238"/>
      <c r="I8844" s="237"/>
    </row>
    <row r="8845" spans="1:9" s="232" customFormat="1" ht="17" customHeight="1">
      <c r="A8845" s="234"/>
      <c r="B8845" s="233"/>
      <c r="C8845" s="238"/>
      <c r="E8845" s="545"/>
      <c r="F8845" s="546"/>
      <c r="G8845" s="234"/>
      <c r="H8845" s="238"/>
      <c r="I8845" s="237"/>
    </row>
    <row r="8846" spans="1:9" s="232" customFormat="1" ht="17" customHeight="1">
      <c r="A8846" s="234"/>
      <c r="B8846" s="233"/>
      <c r="C8846" s="238"/>
      <c r="E8846" s="545"/>
      <c r="F8846" s="546"/>
      <c r="G8846" s="234"/>
      <c r="H8846" s="238"/>
      <c r="I8846" s="237"/>
    </row>
    <row r="8847" spans="1:9" s="232" customFormat="1" ht="17" customHeight="1">
      <c r="A8847" s="234"/>
      <c r="B8847" s="233"/>
      <c r="C8847" s="238"/>
      <c r="E8847" s="545"/>
      <c r="F8847" s="546"/>
      <c r="G8847" s="234"/>
      <c r="H8847" s="238"/>
      <c r="I8847" s="237"/>
    </row>
    <row r="8848" spans="1:9" s="232" customFormat="1" ht="17" customHeight="1">
      <c r="A8848" s="234"/>
      <c r="B8848" s="233"/>
      <c r="C8848" s="238"/>
      <c r="E8848" s="545"/>
      <c r="F8848" s="546"/>
      <c r="G8848" s="234"/>
      <c r="H8848" s="238"/>
      <c r="I8848" s="237"/>
    </row>
    <row r="8849" spans="1:9" s="232" customFormat="1" ht="17" customHeight="1">
      <c r="A8849" s="234"/>
      <c r="B8849" s="233"/>
      <c r="C8849" s="238"/>
      <c r="E8849" s="545"/>
      <c r="F8849" s="546"/>
      <c r="G8849" s="234"/>
      <c r="H8849" s="238"/>
      <c r="I8849" s="237"/>
    </row>
    <row r="8850" spans="1:9" s="232" customFormat="1" ht="17" customHeight="1">
      <c r="A8850" s="234"/>
      <c r="B8850" s="233"/>
      <c r="C8850" s="238"/>
      <c r="E8850" s="545"/>
      <c r="F8850" s="546"/>
      <c r="G8850" s="234"/>
      <c r="H8850" s="238"/>
      <c r="I8850" s="237"/>
    </row>
    <row r="8851" spans="1:9" s="232" customFormat="1" ht="17" customHeight="1">
      <c r="A8851" s="234"/>
      <c r="B8851" s="233"/>
      <c r="C8851" s="238"/>
      <c r="E8851" s="545"/>
      <c r="F8851" s="546"/>
      <c r="G8851" s="234"/>
      <c r="H8851" s="238"/>
      <c r="I8851" s="237"/>
    </row>
    <row r="8852" spans="1:9" s="232" customFormat="1" ht="17" customHeight="1">
      <c r="A8852" s="234"/>
      <c r="B8852" s="233"/>
      <c r="C8852" s="238"/>
      <c r="E8852" s="545"/>
      <c r="F8852" s="546"/>
      <c r="G8852" s="234"/>
      <c r="H8852" s="238"/>
      <c r="I8852" s="237"/>
    </row>
    <row r="8853" spans="1:9" s="232" customFormat="1" ht="17" customHeight="1">
      <c r="A8853" s="234"/>
      <c r="B8853" s="233"/>
      <c r="C8853" s="238"/>
      <c r="E8853" s="545"/>
      <c r="F8853" s="546"/>
      <c r="G8853" s="234"/>
      <c r="H8853" s="238"/>
      <c r="I8853" s="237"/>
    </row>
    <row r="8854" spans="1:9" s="232" customFormat="1" ht="17" customHeight="1">
      <c r="A8854" s="234"/>
      <c r="B8854" s="233"/>
      <c r="C8854" s="238"/>
      <c r="E8854" s="545"/>
      <c r="F8854" s="546"/>
      <c r="G8854" s="234"/>
      <c r="H8854" s="238"/>
      <c r="I8854" s="237"/>
    </row>
    <row r="8855" spans="1:9" s="232" customFormat="1" ht="17" customHeight="1">
      <c r="A8855" s="234"/>
      <c r="B8855" s="233"/>
      <c r="C8855" s="238"/>
      <c r="E8855" s="545"/>
      <c r="F8855" s="546"/>
      <c r="G8855" s="234"/>
      <c r="H8855" s="238"/>
      <c r="I8855" s="237"/>
    </row>
    <row r="8856" spans="1:9" s="232" customFormat="1" ht="17" customHeight="1">
      <c r="A8856" s="234"/>
      <c r="B8856" s="233"/>
      <c r="C8856" s="238"/>
      <c r="E8856" s="545"/>
      <c r="F8856" s="546"/>
      <c r="G8856" s="234"/>
      <c r="H8856" s="238"/>
      <c r="I8856" s="237"/>
    </row>
    <row r="8857" spans="1:9" s="232" customFormat="1" ht="17" customHeight="1">
      <c r="A8857" s="234"/>
      <c r="B8857" s="233"/>
      <c r="C8857" s="238"/>
      <c r="E8857" s="545"/>
      <c r="F8857" s="546"/>
      <c r="G8857" s="234"/>
      <c r="H8857" s="238"/>
      <c r="I8857" s="237"/>
    </row>
    <row r="8858" spans="1:9" s="232" customFormat="1" ht="17" customHeight="1">
      <c r="A8858" s="234"/>
      <c r="B8858" s="233"/>
      <c r="C8858" s="238"/>
      <c r="E8858" s="545"/>
      <c r="F8858" s="546"/>
      <c r="G8858" s="234"/>
      <c r="H8858" s="238"/>
      <c r="I8858" s="237"/>
    </row>
    <row r="8859" spans="1:9" s="232" customFormat="1" ht="17" customHeight="1">
      <c r="A8859" s="234"/>
      <c r="B8859" s="233"/>
      <c r="C8859" s="238"/>
      <c r="E8859" s="545"/>
      <c r="F8859" s="546"/>
      <c r="G8859" s="234"/>
      <c r="H8859" s="238"/>
      <c r="I8859" s="237"/>
    </row>
    <row r="8860" spans="1:9" s="232" customFormat="1" ht="17" customHeight="1">
      <c r="A8860" s="234"/>
      <c r="B8860" s="233"/>
      <c r="C8860" s="238"/>
      <c r="E8860" s="545"/>
      <c r="F8860" s="546"/>
      <c r="G8860" s="234"/>
      <c r="H8860" s="238"/>
      <c r="I8860" s="237"/>
    </row>
    <row r="8861" spans="1:9" s="232" customFormat="1" ht="17" customHeight="1">
      <c r="A8861" s="234"/>
      <c r="B8861" s="233"/>
      <c r="C8861" s="238"/>
      <c r="E8861" s="545"/>
      <c r="F8861" s="546"/>
      <c r="G8861" s="234"/>
      <c r="H8861" s="238"/>
      <c r="I8861" s="237"/>
    </row>
    <row r="8862" spans="1:9" s="232" customFormat="1" ht="17" customHeight="1">
      <c r="A8862" s="234"/>
      <c r="B8862" s="233"/>
      <c r="C8862" s="238"/>
      <c r="E8862" s="545"/>
      <c r="F8862" s="546"/>
      <c r="G8862" s="234"/>
      <c r="H8862" s="238"/>
      <c r="I8862" s="237"/>
    </row>
    <row r="8863" spans="1:9" s="232" customFormat="1" ht="17" customHeight="1">
      <c r="A8863" s="234"/>
      <c r="B8863" s="233"/>
      <c r="C8863" s="238"/>
      <c r="E8863" s="545"/>
      <c r="F8863" s="546"/>
      <c r="G8863" s="234"/>
      <c r="H8863" s="238"/>
      <c r="I8863" s="237"/>
    </row>
    <row r="8864" spans="1:9" s="232" customFormat="1" ht="17" customHeight="1">
      <c r="A8864" s="234"/>
      <c r="B8864" s="233"/>
      <c r="C8864" s="238"/>
      <c r="E8864" s="545"/>
      <c r="F8864" s="546"/>
      <c r="G8864" s="234"/>
      <c r="H8864" s="238"/>
      <c r="I8864" s="237"/>
    </row>
    <row r="8865" spans="1:9" s="232" customFormat="1" ht="17" customHeight="1">
      <c r="A8865" s="234"/>
      <c r="B8865" s="233"/>
      <c r="C8865" s="238"/>
      <c r="E8865" s="545"/>
      <c r="F8865" s="546"/>
      <c r="G8865" s="234"/>
      <c r="H8865" s="238"/>
      <c r="I8865" s="237"/>
    </row>
    <row r="8866" spans="1:9" s="232" customFormat="1" ht="17" customHeight="1">
      <c r="A8866" s="234"/>
      <c r="B8866" s="233"/>
      <c r="C8866" s="238"/>
      <c r="E8866" s="545"/>
      <c r="F8866" s="546"/>
      <c r="G8866" s="234"/>
      <c r="H8866" s="238"/>
      <c r="I8866" s="237"/>
    </row>
    <row r="8867" spans="1:9" s="232" customFormat="1" ht="17" customHeight="1">
      <c r="A8867" s="234"/>
      <c r="B8867" s="233"/>
      <c r="C8867" s="238"/>
      <c r="E8867" s="545"/>
      <c r="F8867" s="546"/>
      <c r="G8867" s="234"/>
      <c r="H8867" s="238"/>
      <c r="I8867" s="237"/>
    </row>
    <row r="8868" spans="1:9" s="232" customFormat="1" ht="17" customHeight="1">
      <c r="A8868" s="234"/>
      <c r="B8868" s="233"/>
      <c r="C8868" s="238"/>
      <c r="E8868" s="545"/>
      <c r="F8868" s="546"/>
      <c r="G8868" s="234"/>
      <c r="H8868" s="238"/>
      <c r="I8868" s="237"/>
    </row>
    <row r="8869" spans="1:9" s="232" customFormat="1" ht="17" customHeight="1">
      <c r="A8869" s="234"/>
      <c r="B8869" s="233"/>
      <c r="C8869" s="238"/>
      <c r="E8869" s="545"/>
      <c r="F8869" s="546"/>
      <c r="G8869" s="234"/>
      <c r="H8869" s="238"/>
      <c r="I8869" s="237"/>
    </row>
    <row r="8870" spans="1:9" s="232" customFormat="1" ht="17" customHeight="1">
      <c r="A8870" s="234"/>
      <c r="B8870" s="233"/>
      <c r="C8870" s="238"/>
      <c r="E8870" s="545"/>
      <c r="F8870" s="546"/>
      <c r="G8870" s="234"/>
      <c r="H8870" s="238"/>
      <c r="I8870" s="237"/>
    </row>
    <row r="8871" spans="1:9" s="232" customFormat="1" ht="17" customHeight="1">
      <c r="A8871" s="234"/>
      <c r="B8871" s="233"/>
      <c r="C8871" s="238"/>
      <c r="E8871" s="545"/>
      <c r="F8871" s="546"/>
      <c r="G8871" s="234"/>
      <c r="H8871" s="238"/>
      <c r="I8871" s="237"/>
    </row>
    <row r="8872" spans="1:9" s="232" customFormat="1" ht="17" customHeight="1">
      <c r="A8872" s="234"/>
      <c r="B8872" s="233"/>
      <c r="C8872" s="238"/>
      <c r="E8872" s="545"/>
      <c r="F8872" s="546"/>
      <c r="G8872" s="234"/>
      <c r="H8872" s="238"/>
      <c r="I8872" s="237"/>
    </row>
    <row r="8873" spans="1:9" s="232" customFormat="1" ht="17" customHeight="1">
      <c r="A8873" s="234"/>
      <c r="B8873" s="233"/>
      <c r="C8873" s="238"/>
      <c r="E8873" s="545"/>
      <c r="F8873" s="546"/>
      <c r="G8873" s="234"/>
      <c r="H8873" s="238"/>
      <c r="I8873" s="237"/>
    </row>
    <row r="8874" spans="1:9" s="232" customFormat="1" ht="17" customHeight="1">
      <c r="A8874" s="234"/>
      <c r="B8874" s="233"/>
      <c r="C8874" s="238"/>
      <c r="E8874" s="545"/>
      <c r="F8874" s="546"/>
      <c r="G8874" s="234"/>
      <c r="H8874" s="238"/>
      <c r="I8874" s="237"/>
    </row>
    <row r="8875" spans="1:9" s="232" customFormat="1" ht="17" customHeight="1">
      <c r="A8875" s="234"/>
      <c r="B8875" s="233"/>
      <c r="C8875" s="238"/>
      <c r="E8875" s="545"/>
      <c r="F8875" s="546"/>
      <c r="G8875" s="234"/>
      <c r="H8875" s="238"/>
      <c r="I8875" s="237"/>
    </row>
    <row r="8876" spans="1:9" s="232" customFormat="1" ht="17" customHeight="1">
      <c r="A8876" s="234"/>
      <c r="B8876" s="233"/>
      <c r="C8876" s="238"/>
      <c r="E8876" s="545"/>
      <c r="F8876" s="546"/>
      <c r="G8876" s="234"/>
      <c r="H8876" s="238"/>
      <c r="I8876" s="237"/>
    </row>
    <row r="8877" spans="1:9" s="232" customFormat="1" ht="17" customHeight="1">
      <c r="A8877" s="234"/>
      <c r="B8877" s="233"/>
      <c r="C8877" s="238"/>
      <c r="E8877" s="545"/>
      <c r="F8877" s="546"/>
      <c r="G8877" s="234"/>
      <c r="H8877" s="238"/>
      <c r="I8877" s="237"/>
    </row>
    <row r="8878" spans="1:9" s="232" customFormat="1" ht="17" customHeight="1">
      <c r="A8878" s="234"/>
      <c r="B8878" s="233"/>
      <c r="C8878" s="238"/>
      <c r="E8878" s="545"/>
      <c r="F8878" s="546"/>
      <c r="G8878" s="234"/>
      <c r="H8878" s="238"/>
      <c r="I8878" s="237"/>
    </row>
    <row r="8879" spans="1:9" s="232" customFormat="1" ht="17" customHeight="1">
      <c r="A8879" s="234"/>
      <c r="B8879" s="233"/>
      <c r="C8879" s="238"/>
      <c r="E8879" s="545"/>
      <c r="F8879" s="546"/>
      <c r="G8879" s="234"/>
      <c r="H8879" s="238"/>
      <c r="I8879" s="237"/>
    </row>
    <row r="8880" spans="1:9" s="232" customFormat="1" ht="17" customHeight="1">
      <c r="A8880" s="234"/>
      <c r="B8880" s="233"/>
      <c r="C8880" s="238"/>
      <c r="E8880" s="545"/>
      <c r="F8880" s="546"/>
      <c r="G8880" s="234"/>
      <c r="H8880" s="238"/>
      <c r="I8880" s="237"/>
    </row>
    <row r="8881" spans="1:9" s="232" customFormat="1" ht="17" customHeight="1">
      <c r="A8881" s="234"/>
      <c r="B8881" s="233"/>
      <c r="C8881" s="238"/>
      <c r="E8881" s="545"/>
      <c r="F8881" s="546"/>
      <c r="G8881" s="234"/>
      <c r="H8881" s="238"/>
      <c r="I8881" s="237"/>
    </row>
    <row r="8882" spans="1:9" s="232" customFormat="1" ht="17" customHeight="1">
      <c r="A8882" s="234"/>
      <c r="B8882" s="233"/>
      <c r="C8882" s="238"/>
      <c r="E8882" s="545"/>
      <c r="F8882" s="546"/>
      <c r="G8882" s="234"/>
      <c r="H8882" s="238"/>
      <c r="I8882" s="237"/>
    </row>
    <row r="8883" spans="1:9" s="232" customFormat="1" ht="17" customHeight="1">
      <c r="A8883" s="234"/>
      <c r="B8883" s="233"/>
      <c r="C8883" s="238"/>
      <c r="E8883" s="545"/>
      <c r="F8883" s="546"/>
      <c r="G8883" s="234"/>
      <c r="H8883" s="238"/>
      <c r="I8883" s="237"/>
    </row>
    <row r="8884" spans="1:9" s="232" customFormat="1" ht="17" customHeight="1">
      <c r="A8884" s="234"/>
      <c r="B8884" s="233"/>
      <c r="C8884" s="238"/>
      <c r="E8884" s="545"/>
      <c r="F8884" s="546"/>
      <c r="G8884" s="234"/>
      <c r="H8884" s="238"/>
      <c r="I8884" s="237"/>
    </row>
    <row r="8885" spans="1:9" s="232" customFormat="1" ht="17" customHeight="1">
      <c r="A8885" s="234"/>
      <c r="B8885" s="233"/>
      <c r="C8885" s="238"/>
      <c r="E8885" s="545"/>
      <c r="F8885" s="546"/>
      <c r="G8885" s="234"/>
      <c r="H8885" s="238"/>
      <c r="I8885" s="237"/>
    </row>
    <row r="8886" spans="1:9" s="232" customFormat="1" ht="17" customHeight="1">
      <c r="A8886" s="234"/>
      <c r="B8886" s="233"/>
      <c r="C8886" s="238"/>
      <c r="E8886" s="545"/>
      <c r="F8886" s="546"/>
      <c r="G8886" s="234"/>
      <c r="H8886" s="238"/>
      <c r="I8886" s="237"/>
    </row>
    <row r="8887" spans="1:9" s="232" customFormat="1" ht="17" customHeight="1">
      <c r="A8887" s="234"/>
      <c r="B8887" s="233"/>
      <c r="C8887" s="238"/>
      <c r="E8887" s="545"/>
      <c r="F8887" s="546"/>
      <c r="G8887" s="234"/>
      <c r="H8887" s="238"/>
      <c r="I8887" s="237"/>
    </row>
    <row r="8888" spans="1:9" s="232" customFormat="1" ht="17" customHeight="1">
      <c r="A8888" s="234"/>
      <c r="B8888" s="233"/>
      <c r="C8888" s="238"/>
      <c r="E8888" s="545"/>
      <c r="F8888" s="546"/>
      <c r="G8888" s="234"/>
      <c r="H8888" s="238"/>
      <c r="I8888" s="237"/>
    </row>
    <row r="8889" spans="1:9" s="232" customFormat="1" ht="17" customHeight="1">
      <c r="A8889" s="234"/>
      <c r="B8889" s="233"/>
      <c r="C8889" s="238"/>
      <c r="E8889" s="545"/>
      <c r="F8889" s="546"/>
      <c r="G8889" s="234"/>
      <c r="H8889" s="238"/>
      <c r="I8889" s="237"/>
    </row>
    <row r="8890" spans="1:9" s="232" customFormat="1" ht="17" customHeight="1">
      <c r="A8890" s="234"/>
      <c r="B8890" s="233"/>
      <c r="C8890" s="238"/>
      <c r="E8890" s="545"/>
      <c r="F8890" s="546"/>
      <c r="G8890" s="234"/>
      <c r="H8890" s="238"/>
      <c r="I8890" s="237"/>
    </row>
    <row r="8891" spans="1:9" s="232" customFormat="1" ht="17" customHeight="1">
      <c r="A8891" s="234"/>
      <c r="B8891" s="233"/>
      <c r="C8891" s="238"/>
      <c r="E8891" s="545"/>
      <c r="F8891" s="546"/>
      <c r="G8891" s="234"/>
      <c r="H8891" s="238"/>
      <c r="I8891" s="237"/>
    </row>
    <row r="8892" spans="1:9" s="232" customFormat="1" ht="17" customHeight="1">
      <c r="A8892" s="234"/>
      <c r="B8892" s="233"/>
      <c r="C8892" s="238"/>
      <c r="E8892" s="545"/>
      <c r="F8892" s="546"/>
      <c r="G8892" s="234"/>
      <c r="H8892" s="238"/>
      <c r="I8892" s="237"/>
    </row>
    <row r="8893" spans="1:9" s="232" customFormat="1" ht="17" customHeight="1">
      <c r="A8893" s="234"/>
      <c r="B8893" s="233"/>
      <c r="C8893" s="238"/>
      <c r="E8893" s="545"/>
      <c r="F8893" s="546"/>
      <c r="G8893" s="234"/>
      <c r="H8893" s="238"/>
      <c r="I8893" s="237"/>
    </row>
    <row r="8894" spans="1:9" s="232" customFormat="1" ht="17" customHeight="1">
      <c r="A8894" s="234"/>
      <c r="B8894" s="233"/>
      <c r="C8894" s="238"/>
      <c r="E8894" s="545"/>
      <c r="F8894" s="546"/>
      <c r="G8894" s="234"/>
      <c r="H8894" s="238"/>
      <c r="I8894" s="237"/>
    </row>
    <row r="8895" spans="1:9" s="232" customFormat="1" ht="17" customHeight="1">
      <c r="A8895" s="234"/>
      <c r="B8895" s="233"/>
      <c r="C8895" s="238"/>
      <c r="E8895" s="545"/>
      <c r="F8895" s="546"/>
      <c r="G8895" s="234"/>
      <c r="H8895" s="238"/>
      <c r="I8895" s="237"/>
    </row>
    <row r="8896" spans="1:9" s="232" customFormat="1" ht="17" customHeight="1">
      <c r="A8896" s="234"/>
      <c r="B8896" s="233"/>
      <c r="C8896" s="238"/>
      <c r="E8896" s="545"/>
      <c r="F8896" s="546"/>
      <c r="G8896" s="234"/>
      <c r="H8896" s="238"/>
      <c r="I8896" s="237"/>
    </row>
    <row r="8897" spans="1:9" s="232" customFormat="1" ht="17" customHeight="1">
      <c r="A8897" s="234"/>
      <c r="B8897" s="233"/>
      <c r="C8897" s="238"/>
      <c r="E8897" s="545"/>
      <c r="F8897" s="546"/>
      <c r="G8897" s="234"/>
      <c r="H8897" s="238"/>
      <c r="I8897" s="237"/>
    </row>
    <row r="8898" spans="1:9" s="232" customFormat="1" ht="17" customHeight="1">
      <c r="A8898" s="234"/>
      <c r="B8898" s="233"/>
      <c r="C8898" s="238"/>
      <c r="E8898" s="545"/>
      <c r="F8898" s="546"/>
      <c r="G8898" s="234"/>
      <c r="H8898" s="238"/>
      <c r="I8898" s="237"/>
    </row>
    <row r="8899" spans="1:9" s="232" customFormat="1" ht="17" customHeight="1">
      <c r="A8899" s="234"/>
      <c r="B8899" s="233"/>
      <c r="C8899" s="238"/>
      <c r="E8899" s="545"/>
      <c r="F8899" s="546"/>
      <c r="G8899" s="234"/>
      <c r="H8899" s="238"/>
      <c r="I8899" s="237"/>
    </row>
    <row r="8900" spans="1:9" s="232" customFormat="1" ht="17" customHeight="1">
      <c r="A8900" s="234"/>
      <c r="B8900" s="233"/>
      <c r="C8900" s="238"/>
      <c r="E8900" s="545"/>
      <c r="F8900" s="546"/>
      <c r="G8900" s="234"/>
      <c r="H8900" s="238"/>
      <c r="I8900" s="237"/>
    </row>
    <row r="8901" spans="1:9" s="232" customFormat="1" ht="17" customHeight="1">
      <c r="A8901" s="234"/>
      <c r="B8901" s="233"/>
      <c r="C8901" s="238"/>
      <c r="E8901" s="545"/>
      <c r="F8901" s="546"/>
      <c r="G8901" s="234"/>
      <c r="H8901" s="238"/>
      <c r="I8901" s="237"/>
    </row>
    <row r="8902" spans="1:9" s="232" customFormat="1" ht="17" customHeight="1">
      <c r="A8902" s="234"/>
      <c r="B8902" s="233"/>
      <c r="C8902" s="238"/>
      <c r="E8902" s="545"/>
      <c r="F8902" s="546"/>
      <c r="G8902" s="234"/>
      <c r="H8902" s="238"/>
      <c r="I8902" s="237"/>
    </row>
    <row r="8903" spans="1:9" s="232" customFormat="1" ht="17" customHeight="1">
      <c r="A8903" s="234"/>
      <c r="B8903" s="233"/>
      <c r="C8903" s="238"/>
      <c r="E8903" s="545"/>
      <c r="F8903" s="546"/>
      <c r="G8903" s="234"/>
      <c r="H8903" s="238"/>
      <c r="I8903" s="237"/>
    </row>
    <row r="8904" spans="1:9" s="232" customFormat="1" ht="17" customHeight="1">
      <c r="A8904" s="234"/>
      <c r="B8904" s="233"/>
      <c r="C8904" s="238"/>
      <c r="E8904" s="545"/>
      <c r="F8904" s="546"/>
      <c r="G8904" s="234"/>
      <c r="H8904" s="238"/>
      <c r="I8904" s="237"/>
    </row>
    <row r="8905" spans="1:9" s="232" customFormat="1" ht="17" customHeight="1">
      <c r="A8905" s="234"/>
      <c r="B8905" s="233"/>
      <c r="C8905" s="238"/>
      <c r="E8905" s="545"/>
      <c r="F8905" s="546"/>
      <c r="G8905" s="234"/>
      <c r="H8905" s="238"/>
      <c r="I8905" s="237"/>
    </row>
    <row r="8906" spans="1:9" s="232" customFormat="1" ht="17" customHeight="1">
      <c r="A8906" s="234"/>
      <c r="B8906" s="233"/>
      <c r="C8906" s="238"/>
      <c r="E8906" s="545"/>
      <c r="F8906" s="546"/>
      <c r="G8906" s="234"/>
      <c r="H8906" s="238"/>
      <c r="I8906" s="237"/>
    </row>
    <row r="8907" spans="1:9" s="232" customFormat="1" ht="17" customHeight="1">
      <c r="A8907" s="234"/>
      <c r="B8907" s="233"/>
      <c r="C8907" s="238"/>
      <c r="E8907" s="545"/>
      <c r="F8907" s="546"/>
      <c r="G8907" s="234"/>
      <c r="H8907" s="238"/>
      <c r="I8907" s="237"/>
    </row>
    <row r="8908" spans="1:9" s="232" customFormat="1" ht="17" customHeight="1">
      <c r="A8908" s="234"/>
      <c r="B8908" s="233"/>
      <c r="C8908" s="238"/>
      <c r="E8908" s="545"/>
      <c r="F8908" s="546"/>
      <c r="G8908" s="234"/>
      <c r="H8908" s="238"/>
      <c r="I8908" s="237"/>
    </row>
    <row r="8909" spans="1:9" s="232" customFormat="1" ht="17" customHeight="1">
      <c r="A8909" s="234"/>
      <c r="B8909" s="233"/>
      <c r="C8909" s="238"/>
      <c r="E8909" s="545"/>
      <c r="F8909" s="546"/>
      <c r="G8909" s="234"/>
      <c r="H8909" s="238"/>
      <c r="I8909" s="237"/>
    </row>
    <row r="8910" spans="1:9" s="232" customFormat="1" ht="17" customHeight="1">
      <c r="A8910" s="234"/>
      <c r="B8910" s="233"/>
      <c r="C8910" s="238"/>
      <c r="E8910" s="545"/>
      <c r="F8910" s="546"/>
      <c r="G8910" s="234"/>
      <c r="H8910" s="238"/>
      <c r="I8910" s="237"/>
    </row>
    <row r="8911" spans="1:9" s="232" customFormat="1" ht="17" customHeight="1">
      <c r="A8911" s="234"/>
      <c r="B8911" s="233"/>
      <c r="C8911" s="238"/>
      <c r="E8911" s="545"/>
      <c r="F8911" s="546"/>
      <c r="G8911" s="234"/>
      <c r="H8911" s="238"/>
      <c r="I8911" s="237"/>
    </row>
    <row r="8912" spans="1:9" s="232" customFormat="1" ht="17" customHeight="1">
      <c r="A8912" s="234"/>
      <c r="B8912" s="233"/>
      <c r="C8912" s="238"/>
      <c r="E8912" s="545"/>
      <c r="F8912" s="546"/>
      <c r="G8912" s="234"/>
      <c r="H8912" s="238"/>
      <c r="I8912" s="237"/>
    </row>
    <row r="8913" spans="1:9" s="232" customFormat="1" ht="17" customHeight="1">
      <c r="A8913" s="234"/>
      <c r="B8913" s="233"/>
      <c r="C8913" s="238"/>
      <c r="E8913" s="545"/>
      <c r="F8913" s="546"/>
      <c r="G8913" s="234"/>
      <c r="H8913" s="238"/>
      <c r="I8913" s="237"/>
    </row>
    <row r="8914" spans="1:9" s="232" customFormat="1" ht="17" customHeight="1">
      <c r="A8914" s="234"/>
      <c r="B8914" s="233"/>
      <c r="C8914" s="238"/>
      <c r="E8914" s="545"/>
      <c r="F8914" s="546"/>
      <c r="G8914" s="234"/>
      <c r="H8914" s="238"/>
      <c r="I8914" s="237"/>
    </row>
    <row r="8915" spans="1:9" s="232" customFormat="1" ht="17" customHeight="1">
      <c r="A8915" s="234"/>
      <c r="B8915" s="233"/>
      <c r="C8915" s="238"/>
      <c r="E8915" s="545"/>
      <c r="F8915" s="546"/>
      <c r="G8915" s="234"/>
      <c r="H8915" s="238"/>
      <c r="I8915" s="237"/>
    </row>
    <row r="8916" spans="1:9" s="232" customFormat="1" ht="17" customHeight="1">
      <c r="A8916" s="234"/>
      <c r="B8916" s="233"/>
      <c r="C8916" s="238"/>
      <c r="E8916" s="545"/>
      <c r="F8916" s="546"/>
      <c r="G8916" s="234"/>
      <c r="H8916" s="238"/>
      <c r="I8916" s="237"/>
    </row>
    <row r="8917" spans="1:9" s="232" customFormat="1" ht="17" customHeight="1">
      <c r="A8917" s="234"/>
      <c r="B8917" s="233"/>
      <c r="C8917" s="238"/>
      <c r="E8917" s="545"/>
      <c r="F8917" s="546"/>
      <c r="G8917" s="234"/>
      <c r="H8917" s="238"/>
      <c r="I8917" s="237"/>
    </row>
    <row r="8918" spans="1:9" s="232" customFormat="1" ht="17" customHeight="1">
      <c r="A8918" s="234"/>
      <c r="B8918" s="233"/>
      <c r="C8918" s="238"/>
      <c r="E8918" s="545"/>
      <c r="F8918" s="546"/>
      <c r="G8918" s="234"/>
      <c r="H8918" s="238"/>
      <c r="I8918" s="237"/>
    </row>
    <row r="8919" spans="1:9" s="232" customFormat="1" ht="17" customHeight="1">
      <c r="A8919" s="234"/>
      <c r="B8919" s="233"/>
      <c r="C8919" s="238"/>
      <c r="E8919" s="545"/>
      <c r="F8919" s="546"/>
      <c r="G8919" s="234"/>
      <c r="H8919" s="238"/>
      <c r="I8919" s="237"/>
    </row>
    <row r="8920" spans="1:9" s="232" customFormat="1" ht="17" customHeight="1">
      <c r="A8920" s="234"/>
      <c r="B8920" s="233"/>
      <c r="C8920" s="238"/>
      <c r="E8920" s="545"/>
      <c r="F8920" s="546"/>
      <c r="G8920" s="234"/>
      <c r="H8920" s="238"/>
      <c r="I8920" s="237"/>
    </row>
    <row r="8921" spans="1:9" s="232" customFormat="1" ht="17" customHeight="1">
      <c r="A8921" s="234"/>
      <c r="B8921" s="233"/>
      <c r="C8921" s="238"/>
      <c r="E8921" s="545"/>
      <c r="F8921" s="546"/>
      <c r="G8921" s="234"/>
      <c r="H8921" s="238"/>
      <c r="I8921" s="237"/>
    </row>
    <row r="8922" spans="1:9" s="232" customFormat="1" ht="17" customHeight="1">
      <c r="A8922" s="234"/>
      <c r="B8922" s="233"/>
      <c r="C8922" s="238"/>
      <c r="E8922" s="545"/>
      <c r="F8922" s="546"/>
      <c r="G8922" s="234"/>
      <c r="H8922" s="238"/>
      <c r="I8922" s="237"/>
    </row>
    <row r="8923" spans="1:9" s="232" customFormat="1" ht="17" customHeight="1">
      <c r="A8923" s="234"/>
      <c r="B8923" s="233"/>
      <c r="C8923" s="238"/>
      <c r="E8923" s="545"/>
      <c r="F8923" s="546"/>
      <c r="G8923" s="234"/>
      <c r="H8923" s="238"/>
      <c r="I8923" s="237"/>
    </row>
    <row r="8924" spans="1:9" s="232" customFormat="1" ht="17" customHeight="1">
      <c r="A8924" s="234"/>
      <c r="B8924" s="233"/>
      <c r="C8924" s="238"/>
      <c r="E8924" s="545"/>
      <c r="F8924" s="546"/>
      <c r="G8924" s="234"/>
      <c r="H8924" s="238"/>
      <c r="I8924" s="237"/>
    </row>
    <row r="8925" spans="1:9" s="232" customFormat="1" ht="17" customHeight="1">
      <c r="A8925" s="234"/>
      <c r="B8925" s="233"/>
      <c r="C8925" s="238"/>
      <c r="E8925" s="545"/>
      <c r="F8925" s="546"/>
      <c r="G8925" s="234"/>
      <c r="H8925" s="238"/>
      <c r="I8925" s="237"/>
    </row>
    <row r="8926" spans="1:9" s="232" customFormat="1" ht="17" customHeight="1">
      <c r="A8926" s="234"/>
      <c r="B8926" s="233"/>
      <c r="C8926" s="238"/>
      <c r="E8926" s="545"/>
      <c r="F8926" s="546"/>
      <c r="G8926" s="234"/>
      <c r="H8926" s="238"/>
      <c r="I8926" s="237"/>
    </row>
    <row r="8927" spans="1:9" s="232" customFormat="1" ht="17" customHeight="1">
      <c r="A8927" s="234"/>
      <c r="B8927" s="233"/>
      <c r="C8927" s="238"/>
      <c r="E8927" s="545"/>
      <c r="F8927" s="546"/>
      <c r="G8927" s="234"/>
      <c r="H8927" s="238"/>
      <c r="I8927" s="237"/>
    </row>
    <row r="8928" spans="1:9" s="232" customFormat="1" ht="17" customHeight="1">
      <c r="A8928" s="234"/>
      <c r="B8928" s="233"/>
      <c r="C8928" s="238"/>
      <c r="E8928" s="545"/>
      <c r="F8928" s="546"/>
      <c r="G8928" s="234"/>
      <c r="H8928" s="238"/>
      <c r="I8928" s="237"/>
    </row>
    <row r="8929" spans="1:9" s="232" customFormat="1" ht="17" customHeight="1">
      <c r="A8929" s="234"/>
      <c r="B8929" s="233"/>
      <c r="C8929" s="238"/>
      <c r="E8929" s="545"/>
      <c r="F8929" s="546"/>
      <c r="G8929" s="234"/>
      <c r="H8929" s="238"/>
      <c r="I8929" s="237"/>
    </row>
    <row r="8930" spans="1:9" s="232" customFormat="1" ht="17" customHeight="1">
      <c r="A8930" s="234"/>
      <c r="B8930" s="233"/>
      <c r="C8930" s="238"/>
      <c r="E8930" s="545"/>
      <c r="F8930" s="546"/>
      <c r="G8930" s="234"/>
      <c r="H8930" s="238"/>
      <c r="I8930" s="237"/>
    </row>
    <row r="8931" spans="1:9" s="232" customFormat="1" ht="17" customHeight="1">
      <c r="A8931" s="234"/>
      <c r="B8931" s="233"/>
      <c r="C8931" s="238"/>
      <c r="E8931" s="545"/>
      <c r="F8931" s="546"/>
      <c r="G8931" s="234"/>
      <c r="H8931" s="238"/>
      <c r="I8931" s="237"/>
    </row>
    <row r="8932" spans="1:9" s="232" customFormat="1" ht="17" customHeight="1">
      <c r="A8932" s="234"/>
      <c r="B8932" s="233"/>
      <c r="C8932" s="238"/>
      <c r="E8932" s="545"/>
      <c r="F8932" s="546"/>
      <c r="G8932" s="234"/>
      <c r="H8932" s="238"/>
      <c r="I8932" s="237"/>
    </row>
    <row r="8933" spans="1:9" s="232" customFormat="1" ht="17" customHeight="1">
      <c r="A8933" s="234"/>
      <c r="B8933" s="233"/>
      <c r="C8933" s="238"/>
      <c r="E8933" s="545"/>
      <c r="F8933" s="546"/>
      <c r="G8933" s="234"/>
      <c r="H8933" s="238"/>
      <c r="I8933" s="237"/>
    </row>
    <row r="8934" spans="1:9" s="232" customFormat="1" ht="17" customHeight="1">
      <c r="A8934" s="234"/>
      <c r="B8934" s="233"/>
      <c r="C8934" s="238"/>
      <c r="E8934" s="545"/>
      <c r="F8934" s="546"/>
      <c r="G8934" s="234"/>
      <c r="H8934" s="238"/>
      <c r="I8934" s="237"/>
    </row>
    <row r="8935" spans="1:9" s="232" customFormat="1" ht="17" customHeight="1">
      <c r="A8935" s="234"/>
      <c r="B8935" s="233"/>
      <c r="C8935" s="238"/>
      <c r="E8935" s="545"/>
      <c r="F8935" s="546"/>
      <c r="G8935" s="234"/>
      <c r="H8935" s="238"/>
      <c r="I8935" s="237"/>
    </row>
    <row r="8936" spans="1:9" s="232" customFormat="1" ht="17" customHeight="1">
      <c r="A8936" s="234"/>
      <c r="B8936" s="233"/>
      <c r="C8936" s="238"/>
      <c r="E8936" s="545"/>
      <c r="F8936" s="546"/>
      <c r="G8936" s="234"/>
      <c r="H8936" s="238"/>
      <c r="I8936" s="237"/>
    </row>
    <row r="8937" spans="1:9" s="232" customFormat="1" ht="17" customHeight="1">
      <c r="A8937" s="234"/>
      <c r="B8937" s="233"/>
      <c r="C8937" s="238"/>
      <c r="E8937" s="545"/>
      <c r="F8937" s="546"/>
      <c r="G8937" s="234"/>
      <c r="H8937" s="238"/>
      <c r="I8937" s="237"/>
    </row>
    <row r="8938" spans="1:9" s="232" customFormat="1" ht="17" customHeight="1">
      <c r="A8938" s="234"/>
      <c r="B8938" s="233"/>
      <c r="C8938" s="238"/>
      <c r="E8938" s="545"/>
      <c r="F8938" s="546"/>
      <c r="G8938" s="234"/>
      <c r="H8938" s="238"/>
      <c r="I8938" s="237"/>
    </row>
    <row r="8939" spans="1:9" s="232" customFormat="1" ht="17" customHeight="1">
      <c r="A8939" s="234"/>
      <c r="B8939" s="233"/>
      <c r="C8939" s="238"/>
      <c r="E8939" s="545"/>
      <c r="F8939" s="546"/>
      <c r="G8939" s="234"/>
      <c r="H8939" s="238"/>
      <c r="I8939" s="237"/>
    </row>
    <row r="8940" spans="1:9" s="232" customFormat="1" ht="17" customHeight="1">
      <c r="A8940" s="234"/>
      <c r="B8940" s="233"/>
      <c r="C8940" s="238"/>
      <c r="E8940" s="545"/>
      <c r="F8940" s="546"/>
      <c r="G8940" s="234"/>
      <c r="H8940" s="238"/>
      <c r="I8940" s="237"/>
    </row>
    <row r="8941" spans="1:9" s="232" customFormat="1" ht="17" customHeight="1">
      <c r="A8941" s="234"/>
      <c r="B8941" s="233"/>
      <c r="C8941" s="238"/>
      <c r="E8941" s="545"/>
      <c r="F8941" s="546"/>
      <c r="G8941" s="234"/>
      <c r="H8941" s="238"/>
      <c r="I8941" s="237"/>
    </row>
    <row r="8942" spans="1:9" s="232" customFormat="1" ht="17" customHeight="1">
      <c r="A8942" s="234"/>
      <c r="B8942" s="233"/>
      <c r="C8942" s="238"/>
      <c r="E8942" s="545"/>
      <c r="F8942" s="546"/>
      <c r="G8942" s="234"/>
      <c r="H8942" s="238"/>
      <c r="I8942" s="237"/>
    </row>
    <row r="8943" spans="1:9" s="232" customFormat="1" ht="17" customHeight="1">
      <c r="A8943" s="234"/>
      <c r="B8943" s="233"/>
      <c r="C8943" s="238"/>
      <c r="E8943" s="545"/>
      <c r="F8943" s="546"/>
      <c r="G8943" s="234"/>
      <c r="H8943" s="238"/>
      <c r="I8943" s="237"/>
    </row>
    <row r="8944" spans="1:9" s="232" customFormat="1" ht="17" customHeight="1">
      <c r="A8944" s="234"/>
      <c r="B8944" s="233"/>
      <c r="C8944" s="238"/>
      <c r="E8944" s="545"/>
      <c r="F8944" s="546"/>
      <c r="G8944" s="234"/>
      <c r="H8944" s="238"/>
      <c r="I8944" s="237"/>
    </row>
    <row r="8945" spans="1:9" s="232" customFormat="1" ht="17" customHeight="1">
      <c r="A8945" s="234"/>
      <c r="B8945" s="233"/>
      <c r="C8945" s="238"/>
      <c r="E8945" s="545"/>
      <c r="F8945" s="546"/>
      <c r="G8945" s="234"/>
      <c r="H8945" s="238"/>
      <c r="I8945" s="237"/>
    </row>
    <row r="8946" spans="1:9" s="232" customFormat="1" ht="17" customHeight="1">
      <c r="A8946" s="234"/>
      <c r="B8946" s="233"/>
      <c r="C8946" s="238"/>
      <c r="E8946" s="545"/>
      <c r="F8946" s="546"/>
      <c r="G8946" s="234"/>
      <c r="H8946" s="238"/>
      <c r="I8946" s="237"/>
    </row>
    <row r="8947" spans="1:9" s="232" customFormat="1" ht="17" customHeight="1">
      <c r="A8947" s="234"/>
      <c r="B8947" s="233"/>
      <c r="C8947" s="238"/>
      <c r="E8947" s="545"/>
      <c r="F8947" s="546"/>
      <c r="G8947" s="234"/>
      <c r="H8947" s="238"/>
      <c r="I8947" s="237"/>
    </row>
    <row r="8948" spans="1:9" s="232" customFormat="1" ht="17" customHeight="1">
      <c r="A8948" s="234"/>
      <c r="B8948" s="233"/>
      <c r="C8948" s="238"/>
      <c r="E8948" s="545"/>
      <c r="F8948" s="546"/>
      <c r="G8948" s="234"/>
      <c r="H8948" s="238"/>
      <c r="I8948" s="237"/>
    </row>
    <row r="8949" spans="1:9" s="232" customFormat="1" ht="17" customHeight="1">
      <c r="A8949" s="234"/>
      <c r="B8949" s="233"/>
      <c r="C8949" s="238"/>
      <c r="E8949" s="545"/>
      <c r="F8949" s="546"/>
      <c r="G8949" s="234"/>
      <c r="H8949" s="238"/>
      <c r="I8949" s="237"/>
    </row>
    <row r="8950" spans="1:9" s="232" customFormat="1" ht="17" customHeight="1">
      <c r="A8950" s="234"/>
      <c r="B8950" s="233"/>
      <c r="C8950" s="238"/>
      <c r="E8950" s="545"/>
      <c r="F8950" s="546"/>
      <c r="G8950" s="234"/>
      <c r="H8950" s="238"/>
      <c r="I8950" s="237"/>
    </row>
    <row r="8951" spans="1:9" s="232" customFormat="1" ht="17" customHeight="1">
      <c r="A8951" s="234"/>
      <c r="B8951" s="233"/>
      <c r="C8951" s="238"/>
      <c r="E8951" s="545"/>
      <c r="F8951" s="546"/>
      <c r="G8951" s="234"/>
      <c r="H8951" s="238"/>
      <c r="I8951" s="237"/>
    </row>
    <row r="8952" spans="1:9" s="232" customFormat="1" ht="17" customHeight="1">
      <c r="A8952" s="234"/>
      <c r="B8952" s="233"/>
      <c r="C8952" s="238"/>
      <c r="E8952" s="545"/>
      <c r="F8952" s="546"/>
      <c r="G8952" s="234"/>
      <c r="H8952" s="238"/>
      <c r="I8952" s="237"/>
    </row>
    <row r="8953" spans="1:9" s="232" customFormat="1" ht="17" customHeight="1">
      <c r="A8953" s="234"/>
      <c r="B8953" s="233"/>
      <c r="C8953" s="238"/>
      <c r="E8953" s="545"/>
      <c r="F8953" s="546"/>
      <c r="G8953" s="234"/>
      <c r="H8953" s="238"/>
      <c r="I8953" s="237"/>
    </row>
    <row r="8954" spans="1:9" s="232" customFormat="1" ht="17" customHeight="1">
      <c r="A8954" s="234"/>
      <c r="B8954" s="233"/>
      <c r="C8954" s="238"/>
      <c r="E8954" s="545"/>
      <c r="F8954" s="546"/>
      <c r="G8954" s="234"/>
      <c r="H8954" s="238"/>
      <c r="I8954" s="237"/>
    </row>
    <row r="8955" spans="1:9" s="232" customFormat="1" ht="17" customHeight="1">
      <c r="A8955" s="234"/>
      <c r="B8955" s="233"/>
      <c r="C8955" s="238"/>
      <c r="E8955" s="545"/>
      <c r="F8955" s="546"/>
      <c r="G8955" s="234"/>
      <c r="H8955" s="238"/>
      <c r="I8955" s="237"/>
    </row>
    <row r="8956" spans="1:9" s="232" customFormat="1" ht="17" customHeight="1">
      <c r="A8956" s="234"/>
      <c r="B8956" s="233"/>
      <c r="C8956" s="238"/>
      <c r="E8956" s="545"/>
      <c r="F8956" s="546"/>
      <c r="G8956" s="234"/>
      <c r="H8956" s="238"/>
      <c r="I8956" s="237"/>
    </row>
    <row r="8957" spans="1:9" s="232" customFormat="1" ht="17" customHeight="1">
      <c r="A8957" s="234"/>
      <c r="B8957" s="233"/>
      <c r="C8957" s="238"/>
      <c r="E8957" s="545"/>
      <c r="F8957" s="546"/>
      <c r="G8957" s="234"/>
      <c r="H8957" s="238"/>
      <c r="I8957" s="237"/>
    </row>
    <row r="8958" spans="1:9" s="232" customFormat="1" ht="17" customHeight="1">
      <c r="A8958" s="234"/>
      <c r="B8958" s="233"/>
      <c r="C8958" s="238"/>
      <c r="E8958" s="545"/>
      <c r="F8958" s="546"/>
      <c r="G8958" s="234"/>
      <c r="H8958" s="238"/>
      <c r="I8958" s="237"/>
    </row>
    <row r="8959" spans="1:9" s="232" customFormat="1" ht="17" customHeight="1">
      <c r="A8959" s="234"/>
      <c r="B8959" s="233"/>
      <c r="C8959" s="238"/>
      <c r="E8959" s="545"/>
      <c r="F8959" s="546"/>
      <c r="G8959" s="234"/>
      <c r="H8959" s="238"/>
      <c r="I8959" s="237"/>
    </row>
    <row r="8960" spans="1:9" s="232" customFormat="1" ht="17" customHeight="1">
      <c r="A8960" s="234"/>
      <c r="B8960" s="233"/>
      <c r="C8960" s="238"/>
      <c r="E8960" s="545"/>
      <c r="F8960" s="546"/>
      <c r="G8960" s="234"/>
      <c r="H8960" s="238"/>
      <c r="I8960" s="237"/>
    </row>
    <row r="8961" spans="1:9" s="232" customFormat="1" ht="17" customHeight="1">
      <c r="A8961" s="234"/>
      <c r="B8961" s="233"/>
      <c r="C8961" s="238"/>
      <c r="E8961" s="545"/>
      <c r="F8961" s="546"/>
      <c r="G8961" s="234"/>
      <c r="H8961" s="238"/>
      <c r="I8961" s="237"/>
    </row>
    <row r="8962" spans="1:9" s="232" customFormat="1" ht="17" customHeight="1">
      <c r="A8962" s="234"/>
      <c r="B8962" s="233"/>
      <c r="C8962" s="238"/>
      <c r="E8962" s="545"/>
      <c r="F8962" s="546"/>
      <c r="G8962" s="234"/>
      <c r="H8962" s="238"/>
      <c r="I8962" s="237"/>
    </row>
    <row r="8963" spans="1:9" s="232" customFormat="1" ht="17" customHeight="1">
      <c r="A8963" s="234"/>
      <c r="B8963" s="233"/>
      <c r="C8963" s="238"/>
      <c r="E8963" s="545"/>
      <c r="F8963" s="546"/>
      <c r="G8963" s="234"/>
      <c r="H8963" s="238"/>
      <c r="I8963" s="237"/>
    </row>
    <row r="8964" spans="1:9" s="232" customFormat="1" ht="17" customHeight="1">
      <c r="A8964" s="234"/>
      <c r="B8964" s="233"/>
      <c r="C8964" s="238"/>
      <c r="E8964" s="545"/>
      <c r="F8964" s="546"/>
      <c r="G8964" s="234"/>
      <c r="H8964" s="238"/>
      <c r="I8964" s="237"/>
    </row>
    <row r="8965" spans="1:9" s="232" customFormat="1" ht="17" customHeight="1">
      <c r="A8965" s="234"/>
      <c r="B8965" s="233"/>
      <c r="C8965" s="238"/>
      <c r="E8965" s="545"/>
      <c r="F8965" s="546"/>
      <c r="G8965" s="234"/>
      <c r="H8965" s="238"/>
      <c r="I8965" s="237"/>
    </row>
    <row r="8966" spans="1:9" s="232" customFormat="1" ht="17" customHeight="1">
      <c r="A8966" s="234"/>
      <c r="B8966" s="233"/>
      <c r="C8966" s="238"/>
      <c r="E8966" s="545"/>
      <c r="F8966" s="546"/>
      <c r="G8966" s="234"/>
      <c r="H8966" s="238"/>
      <c r="I8966" s="237"/>
    </row>
    <row r="8967" spans="1:9" s="232" customFormat="1" ht="17" customHeight="1">
      <c r="A8967" s="234"/>
      <c r="B8967" s="233"/>
      <c r="C8967" s="238"/>
      <c r="E8967" s="545"/>
      <c r="F8967" s="546"/>
      <c r="G8967" s="234"/>
      <c r="H8967" s="238"/>
      <c r="I8967" s="237"/>
    </row>
    <row r="8968" spans="1:9" s="232" customFormat="1" ht="17" customHeight="1">
      <c r="A8968" s="234"/>
      <c r="B8968" s="233"/>
      <c r="C8968" s="238"/>
      <c r="E8968" s="545"/>
      <c r="F8968" s="546"/>
      <c r="G8968" s="234"/>
      <c r="H8968" s="238"/>
      <c r="I8968" s="237"/>
    </row>
    <row r="8969" spans="1:9" s="232" customFormat="1" ht="17" customHeight="1">
      <c r="A8969" s="234"/>
      <c r="B8969" s="233"/>
      <c r="C8969" s="238"/>
      <c r="E8969" s="545"/>
      <c r="F8969" s="546"/>
      <c r="G8969" s="234"/>
      <c r="H8969" s="238"/>
      <c r="I8969" s="237"/>
    </row>
    <row r="8970" spans="1:9" s="232" customFormat="1" ht="17" customHeight="1">
      <c r="A8970" s="234"/>
      <c r="B8970" s="233"/>
      <c r="C8970" s="238"/>
      <c r="E8970" s="545"/>
      <c r="F8970" s="546"/>
      <c r="G8970" s="234"/>
      <c r="H8970" s="238"/>
      <c r="I8970" s="237"/>
    </row>
    <row r="8971" spans="1:9" s="232" customFormat="1" ht="17" customHeight="1">
      <c r="A8971" s="234"/>
      <c r="B8971" s="233"/>
      <c r="C8971" s="238"/>
      <c r="E8971" s="545"/>
      <c r="F8971" s="546"/>
      <c r="G8971" s="234"/>
      <c r="H8971" s="238"/>
      <c r="I8971" s="237"/>
    </row>
    <row r="8972" spans="1:9" s="232" customFormat="1" ht="17" customHeight="1">
      <c r="A8972" s="234"/>
      <c r="B8972" s="233"/>
      <c r="C8972" s="238"/>
      <c r="E8972" s="545"/>
      <c r="F8972" s="546"/>
      <c r="G8972" s="234"/>
      <c r="H8972" s="238"/>
      <c r="I8972" s="237"/>
    </row>
    <row r="8973" spans="1:9" s="232" customFormat="1" ht="17" customHeight="1">
      <c r="A8973" s="234"/>
      <c r="B8973" s="233"/>
      <c r="C8973" s="238"/>
      <c r="E8973" s="545"/>
      <c r="F8973" s="546"/>
      <c r="G8973" s="234"/>
      <c r="H8973" s="238"/>
      <c r="I8973" s="237"/>
    </row>
    <row r="8974" spans="1:9" s="232" customFormat="1" ht="17" customHeight="1">
      <c r="A8974" s="234"/>
      <c r="B8974" s="233"/>
      <c r="C8974" s="238"/>
      <c r="E8974" s="545"/>
      <c r="F8974" s="546"/>
      <c r="G8974" s="234"/>
      <c r="H8974" s="238"/>
      <c r="I8974" s="237"/>
    </row>
    <row r="8975" spans="1:9" s="232" customFormat="1" ht="17" customHeight="1">
      <c r="A8975" s="234"/>
      <c r="B8975" s="233"/>
      <c r="C8975" s="238"/>
      <c r="E8975" s="545"/>
      <c r="F8975" s="546"/>
      <c r="G8975" s="234"/>
      <c r="H8975" s="238"/>
      <c r="I8975" s="237"/>
    </row>
    <row r="8976" spans="1:9" s="232" customFormat="1" ht="17" customHeight="1">
      <c r="A8976" s="234"/>
      <c r="B8976" s="233"/>
      <c r="C8976" s="238"/>
      <c r="E8976" s="545"/>
      <c r="F8976" s="546"/>
      <c r="G8976" s="234"/>
      <c r="H8976" s="238"/>
      <c r="I8976" s="237"/>
    </row>
    <row r="8977" spans="1:9" s="232" customFormat="1" ht="17" customHeight="1">
      <c r="A8977" s="234"/>
      <c r="B8977" s="233"/>
      <c r="C8977" s="238"/>
      <c r="E8977" s="545"/>
      <c r="F8977" s="546"/>
      <c r="G8977" s="234"/>
      <c r="H8977" s="238"/>
      <c r="I8977" s="237"/>
    </row>
    <row r="8978" spans="1:9" s="232" customFormat="1" ht="17" customHeight="1">
      <c r="A8978" s="234"/>
      <c r="B8978" s="233"/>
      <c r="C8978" s="238"/>
      <c r="E8978" s="545"/>
      <c r="F8978" s="546"/>
      <c r="G8978" s="234"/>
      <c r="H8978" s="238"/>
      <c r="I8978" s="237"/>
    </row>
    <row r="8979" spans="1:9" s="232" customFormat="1" ht="17" customHeight="1">
      <c r="A8979" s="234"/>
      <c r="B8979" s="233"/>
      <c r="C8979" s="238"/>
      <c r="E8979" s="545"/>
      <c r="F8979" s="546"/>
      <c r="G8979" s="234"/>
      <c r="H8979" s="238"/>
      <c r="I8979" s="237"/>
    </row>
    <row r="8980" spans="1:9" s="232" customFormat="1" ht="17" customHeight="1">
      <c r="A8980" s="234"/>
      <c r="B8980" s="233"/>
      <c r="C8980" s="238"/>
      <c r="E8980" s="545"/>
      <c r="F8980" s="546"/>
      <c r="G8980" s="234"/>
      <c r="H8980" s="238"/>
      <c r="I8980" s="237"/>
    </row>
    <row r="8981" spans="1:9" s="232" customFormat="1" ht="17" customHeight="1">
      <c r="A8981" s="234"/>
      <c r="B8981" s="233"/>
      <c r="C8981" s="238"/>
      <c r="E8981" s="545"/>
      <c r="F8981" s="546"/>
      <c r="G8981" s="234"/>
      <c r="H8981" s="238"/>
      <c r="I8981" s="237"/>
    </row>
    <row r="8982" spans="1:9" s="232" customFormat="1" ht="17" customHeight="1">
      <c r="A8982" s="234"/>
      <c r="B8982" s="233"/>
      <c r="C8982" s="238"/>
      <c r="E8982" s="545"/>
      <c r="F8982" s="546"/>
      <c r="G8982" s="234"/>
      <c r="H8982" s="238"/>
      <c r="I8982" s="237"/>
    </row>
    <row r="8983" spans="1:9" s="232" customFormat="1" ht="17" customHeight="1">
      <c r="A8983" s="234"/>
      <c r="B8983" s="233"/>
      <c r="C8983" s="238"/>
      <c r="E8983" s="545"/>
      <c r="F8983" s="546"/>
      <c r="G8983" s="234"/>
      <c r="H8983" s="238"/>
      <c r="I8983" s="237"/>
    </row>
    <row r="8984" spans="1:9" s="232" customFormat="1" ht="17" customHeight="1">
      <c r="A8984" s="234"/>
      <c r="B8984" s="233"/>
      <c r="C8984" s="238"/>
      <c r="E8984" s="545"/>
      <c r="F8984" s="546"/>
      <c r="G8984" s="234"/>
      <c r="H8984" s="238"/>
      <c r="I8984" s="237"/>
    </row>
    <row r="8985" spans="1:9" s="232" customFormat="1" ht="17" customHeight="1">
      <c r="A8985" s="234"/>
      <c r="B8985" s="233"/>
      <c r="C8985" s="238"/>
      <c r="E8985" s="545"/>
      <c r="F8985" s="546"/>
      <c r="G8985" s="234"/>
      <c r="H8985" s="238"/>
      <c r="I8985" s="237"/>
    </row>
    <row r="8986" spans="1:9" s="232" customFormat="1" ht="17" customHeight="1">
      <c r="A8986" s="234"/>
      <c r="B8986" s="233"/>
      <c r="C8986" s="238"/>
      <c r="E8986" s="545"/>
      <c r="F8986" s="546"/>
      <c r="G8986" s="234"/>
      <c r="H8986" s="238"/>
      <c r="I8986" s="237"/>
    </row>
    <row r="8987" spans="1:9" s="232" customFormat="1" ht="17" customHeight="1">
      <c r="A8987" s="234"/>
      <c r="B8987" s="233"/>
      <c r="C8987" s="238"/>
      <c r="E8987" s="545"/>
      <c r="F8987" s="546"/>
      <c r="G8987" s="234"/>
      <c r="H8987" s="238"/>
      <c r="I8987" s="237"/>
    </row>
    <row r="8988" spans="1:9" s="232" customFormat="1" ht="17" customHeight="1">
      <c r="A8988" s="234"/>
      <c r="B8988" s="233"/>
      <c r="C8988" s="238"/>
      <c r="E8988" s="545"/>
      <c r="F8988" s="546"/>
      <c r="G8988" s="234"/>
      <c r="H8988" s="238"/>
      <c r="I8988" s="237"/>
    </row>
    <row r="8989" spans="1:9" s="232" customFormat="1" ht="17" customHeight="1">
      <c r="A8989" s="234"/>
      <c r="B8989" s="233"/>
      <c r="C8989" s="238"/>
      <c r="E8989" s="545"/>
      <c r="F8989" s="546"/>
      <c r="G8989" s="234"/>
      <c r="H8989" s="238"/>
      <c r="I8989" s="237"/>
    </row>
    <row r="8990" spans="1:9" s="232" customFormat="1" ht="17" customHeight="1">
      <c r="A8990" s="234"/>
      <c r="B8990" s="233"/>
      <c r="C8990" s="238"/>
      <c r="E8990" s="545"/>
      <c r="F8990" s="546"/>
      <c r="G8990" s="234"/>
      <c r="H8990" s="238"/>
      <c r="I8990" s="237"/>
    </row>
    <row r="8991" spans="1:9" s="232" customFormat="1" ht="17" customHeight="1">
      <c r="A8991" s="234"/>
      <c r="B8991" s="233"/>
      <c r="C8991" s="238"/>
      <c r="E8991" s="545"/>
      <c r="F8991" s="546"/>
      <c r="G8991" s="234"/>
      <c r="H8991" s="238"/>
      <c r="I8991" s="237"/>
    </row>
    <row r="8992" spans="1:9" s="232" customFormat="1" ht="17" customHeight="1">
      <c r="A8992" s="234"/>
      <c r="B8992" s="233"/>
      <c r="C8992" s="238"/>
      <c r="E8992" s="545"/>
      <c r="F8992" s="546"/>
      <c r="G8992" s="234"/>
      <c r="H8992" s="238"/>
      <c r="I8992" s="237"/>
    </row>
    <row r="8993" spans="1:9" s="232" customFormat="1" ht="17" customHeight="1">
      <c r="A8993" s="234"/>
      <c r="B8993" s="233"/>
      <c r="C8993" s="238"/>
      <c r="E8993" s="545"/>
      <c r="F8993" s="546"/>
      <c r="G8993" s="234"/>
      <c r="H8993" s="238"/>
      <c r="I8993" s="237"/>
    </row>
    <row r="8994" spans="1:9" s="232" customFormat="1" ht="17" customHeight="1">
      <c r="A8994" s="234"/>
      <c r="B8994" s="233"/>
      <c r="C8994" s="238"/>
      <c r="E8994" s="545"/>
      <c r="F8994" s="546"/>
      <c r="G8994" s="234"/>
      <c r="H8994" s="238"/>
      <c r="I8994" s="237"/>
    </row>
    <row r="8995" spans="1:9" s="232" customFormat="1" ht="17" customHeight="1">
      <c r="A8995" s="234"/>
      <c r="B8995" s="233"/>
      <c r="C8995" s="238"/>
      <c r="E8995" s="545"/>
      <c r="F8995" s="546"/>
      <c r="G8995" s="234"/>
      <c r="H8995" s="238"/>
      <c r="I8995" s="237"/>
    </row>
    <row r="8996" spans="1:9" s="232" customFormat="1" ht="17" customHeight="1">
      <c r="A8996" s="234"/>
      <c r="B8996" s="233"/>
      <c r="C8996" s="238"/>
      <c r="E8996" s="545"/>
      <c r="F8996" s="546"/>
      <c r="G8996" s="234"/>
      <c r="H8996" s="238"/>
      <c r="I8996" s="237"/>
    </row>
    <row r="8997" spans="1:9" s="232" customFormat="1" ht="17" customHeight="1">
      <c r="A8997" s="234"/>
      <c r="B8997" s="233"/>
      <c r="C8997" s="238"/>
      <c r="E8997" s="545"/>
      <c r="F8997" s="546"/>
      <c r="G8997" s="234"/>
      <c r="H8997" s="238"/>
      <c r="I8997" s="237"/>
    </row>
    <row r="8998" spans="1:9" s="232" customFormat="1" ht="17" customHeight="1">
      <c r="A8998" s="234"/>
      <c r="B8998" s="233"/>
      <c r="C8998" s="238"/>
      <c r="E8998" s="545"/>
      <c r="F8998" s="546"/>
      <c r="G8998" s="234"/>
      <c r="H8998" s="238"/>
      <c r="I8998" s="237"/>
    </row>
    <row r="8999" spans="1:9" s="232" customFormat="1" ht="17" customHeight="1">
      <c r="A8999" s="234"/>
      <c r="B8999" s="233"/>
      <c r="C8999" s="238"/>
      <c r="E8999" s="545"/>
      <c r="F8999" s="546"/>
      <c r="G8999" s="234"/>
      <c r="H8999" s="238"/>
      <c r="I8999" s="237"/>
    </row>
    <row r="9000" spans="1:9" s="232" customFormat="1" ht="17" customHeight="1">
      <c r="A9000" s="234"/>
      <c r="B9000" s="233"/>
      <c r="C9000" s="238"/>
      <c r="E9000" s="545"/>
      <c r="F9000" s="546"/>
      <c r="G9000" s="234"/>
      <c r="H9000" s="238"/>
      <c r="I9000" s="237"/>
    </row>
    <row r="9001" spans="1:9" s="232" customFormat="1" ht="17" customHeight="1">
      <c r="A9001" s="234"/>
      <c r="B9001" s="233"/>
      <c r="C9001" s="238"/>
      <c r="E9001" s="545"/>
      <c r="F9001" s="546"/>
      <c r="G9001" s="234"/>
      <c r="H9001" s="238"/>
      <c r="I9001" s="237"/>
    </row>
    <row r="9002" spans="1:9" s="232" customFormat="1" ht="17" customHeight="1">
      <c r="A9002" s="234"/>
      <c r="B9002" s="233"/>
      <c r="C9002" s="238"/>
      <c r="E9002" s="545"/>
      <c r="F9002" s="546"/>
      <c r="G9002" s="234"/>
      <c r="H9002" s="238"/>
      <c r="I9002" s="237"/>
    </row>
    <row r="9003" spans="1:9" s="232" customFormat="1" ht="17" customHeight="1">
      <c r="A9003" s="234"/>
      <c r="B9003" s="233"/>
      <c r="C9003" s="238"/>
      <c r="E9003" s="545"/>
      <c r="F9003" s="546"/>
      <c r="G9003" s="234"/>
      <c r="H9003" s="238"/>
      <c r="I9003" s="237"/>
    </row>
    <row r="9004" spans="1:9" s="232" customFormat="1" ht="17" customHeight="1">
      <c r="A9004" s="234"/>
      <c r="B9004" s="233"/>
      <c r="C9004" s="238"/>
      <c r="E9004" s="545"/>
      <c r="F9004" s="546"/>
      <c r="G9004" s="234"/>
      <c r="H9004" s="238"/>
      <c r="I9004" s="237"/>
    </row>
    <row r="9005" spans="1:9" s="232" customFormat="1" ht="17" customHeight="1">
      <c r="A9005" s="234"/>
      <c r="B9005" s="233"/>
      <c r="C9005" s="238"/>
      <c r="E9005" s="545"/>
      <c r="F9005" s="546"/>
      <c r="G9005" s="234"/>
      <c r="H9005" s="238"/>
      <c r="I9005" s="237"/>
    </row>
    <row r="9006" spans="1:9" s="232" customFormat="1" ht="17" customHeight="1">
      <c r="A9006" s="234"/>
      <c r="B9006" s="233"/>
      <c r="C9006" s="238"/>
      <c r="E9006" s="545"/>
      <c r="F9006" s="546"/>
      <c r="G9006" s="234"/>
      <c r="H9006" s="238"/>
      <c r="I9006" s="237"/>
    </row>
    <row r="9007" spans="1:9" s="232" customFormat="1" ht="17" customHeight="1">
      <c r="A9007" s="234"/>
      <c r="B9007" s="233"/>
      <c r="C9007" s="238"/>
      <c r="E9007" s="545"/>
      <c r="F9007" s="546"/>
      <c r="G9007" s="234"/>
      <c r="H9007" s="238"/>
      <c r="I9007" s="237"/>
    </row>
    <row r="9008" spans="1:9" s="232" customFormat="1" ht="17" customHeight="1">
      <c r="A9008" s="234"/>
      <c r="B9008" s="233"/>
      <c r="C9008" s="238"/>
      <c r="E9008" s="545"/>
      <c r="F9008" s="546"/>
      <c r="G9008" s="234"/>
      <c r="H9008" s="238"/>
      <c r="I9008" s="237"/>
    </row>
    <row r="9009" spans="1:9" s="232" customFormat="1" ht="17" customHeight="1">
      <c r="A9009" s="234"/>
      <c r="B9009" s="233"/>
      <c r="C9009" s="238"/>
      <c r="E9009" s="545"/>
      <c r="F9009" s="546"/>
      <c r="G9009" s="234"/>
      <c r="H9009" s="238"/>
      <c r="I9009" s="237"/>
    </row>
    <row r="9010" spans="1:9" s="232" customFormat="1" ht="17" customHeight="1">
      <c r="A9010" s="234"/>
      <c r="B9010" s="233"/>
      <c r="C9010" s="238"/>
      <c r="E9010" s="545"/>
      <c r="F9010" s="546"/>
      <c r="G9010" s="234"/>
      <c r="H9010" s="238"/>
      <c r="I9010" s="237"/>
    </row>
    <row r="9011" spans="1:9" s="232" customFormat="1" ht="17" customHeight="1">
      <c r="A9011" s="234"/>
      <c r="B9011" s="233"/>
      <c r="C9011" s="238"/>
      <c r="E9011" s="545"/>
      <c r="F9011" s="546"/>
      <c r="G9011" s="234"/>
      <c r="H9011" s="238"/>
      <c r="I9011" s="237"/>
    </row>
    <row r="9012" spans="1:9" s="232" customFormat="1" ht="17" customHeight="1">
      <c r="A9012" s="234"/>
      <c r="B9012" s="233"/>
      <c r="C9012" s="238"/>
      <c r="E9012" s="545"/>
      <c r="F9012" s="546"/>
      <c r="G9012" s="234"/>
      <c r="H9012" s="238"/>
      <c r="I9012" s="237"/>
    </row>
    <row r="9013" spans="1:9" s="232" customFormat="1" ht="17" customHeight="1">
      <c r="A9013" s="234"/>
      <c r="B9013" s="233"/>
      <c r="C9013" s="238"/>
      <c r="E9013" s="545"/>
      <c r="F9013" s="546"/>
      <c r="G9013" s="234"/>
      <c r="H9013" s="238"/>
      <c r="I9013" s="237"/>
    </row>
    <row r="9014" spans="1:9" s="232" customFormat="1" ht="17" customHeight="1">
      <c r="A9014" s="234"/>
      <c r="B9014" s="233"/>
      <c r="C9014" s="238"/>
      <c r="E9014" s="545"/>
      <c r="F9014" s="546"/>
      <c r="G9014" s="234"/>
      <c r="H9014" s="238"/>
      <c r="I9014" s="237"/>
    </row>
    <row r="9015" spans="1:9" s="232" customFormat="1" ht="17" customHeight="1">
      <c r="A9015" s="234"/>
      <c r="B9015" s="233"/>
      <c r="C9015" s="238"/>
      <c r="E9015" s="545"/>
      <c r="F9015" s="546"/>
      <c r="G9015" s="234"/>
      <c r="H9015" s="238"/>
      <c r="I9015" s="237"/>
    </row>
    <row r="9016" spans="1:9" s="232" customFormat="1" ht="17" customHeight="1">
      <c r="A9016" s="234"/>
      <c r="B9016" s="233"/>
      <c r="C9016" s="238"/>
      <c r="E9016" s="545"/>
      <c r="F9016" s="546"/>
      <c r="G9016" s="234"/>
      <c r="H9016" s="238"/>
      <c r="I9016" s="237"/>
    </row>
    <row r="9017" spans="1:9" s="232" customFormat="1" ht="17" customHeight="1">
      <c r="A9017" s="234"/>
      <c r="B9017" s="233"/>
      <c r="C9017" s="238"/>
      <c r="E9017" s="545"/>
      <c r="F9017" s="546"/>
      <c r="G9017" s="234"/>
      <c r="H9017" s="238"/>
      <c r="I9017" s="237"/>
    </row>
    <row r="9018" spans="1:9" s="232" customFormat="1" ht="17" customHeight="1">
      <c r="A9018" s="234"/>
      <c r="B9018" s="233"/>
      <c r="C9018" s="238"/>
      <c r="E9018" s="545"/>
      <c r="F9018" s="546"/>
      <c r="G9018" s="234"/>
      <c r="H9018" s="238"/>
      <c r="I9018" s="237"/>
    </row>
    <row r="9019" spans="1:9" s="232" customFormat="1" ht="17" customHeight="1">
      <c r="A9019" s="234"/>
      <c r="B9019" s="233"/>
      <c r="C9019" s="238"/>
      <c r="E9019" s="545"/>
      <c r="F9019" s="546"/>
      <c r="G9019" s="234"/>
      <c r="H9019" s="238"/>
      <c r="I9019" s="237"/>
    </row>
    <row r="9020" spans="1:9" s="232" customFormat="1" ht="17" customHeight="1">
      <c r="A9020" s="234"/>
      <c r="B9020" s="233"/>
      <c r="C9020" s="238"/>
      <c r="E9020" s="545"/>
      <c r="F9020" s="546"/>
      <c r="G9020" s="234"/>
      <c r="H9020" s="238"/>
      <c r="I9020" s="237"/>
    </row>
    <row r="9021" spans="1:9" s="232" customFormat="1" ht="17" customHeight="1">
      <c r="A9021" s="234"/>
      <c r="B9021" s="233"/>
      <c r="C9021" s="238"/>
      <c r="E9021" s="545"/>
      <c r="F9021" s="546"/>
      <c r="G9021" s="234"/>
      <c r="H9021" s="238"/>
      <c r="I9021" s="237"/>
    </row>
    <row r="9022" spans="1:9" s="232" customFormat="1" ht="17" customHeight="1">
      <c r="A9022" s="234"/>
      <c r="B9022" s="233"/>
      <c r="C9022" s="238"/>
      <c r="E9022" s="545"/>
      <c r="F9022" s="546"/>
      <c r="G9022" s="234"/>
      <c r="H9022" s="238"/>
      <c r="I9022" s="237"/>
    </row>
    <row r="9023" spans="1:9" s="232" customFormat="1" ht="17" customHeight="1">
      <c r="A9023" s="234"/>
      <c r="B9023" s="233"/>
      <c r="C9023" s="238"/>
      <c r="E9023" s="545"/>
      <c r="F9023" s="546"/>
      <c r="G9023" s="234"/>
      <c r="H9023" s="238"/>
      <c r="I9023" s="237"/>
    </row>
    <row r="9024" spans="1:9" s="232" customFormat="1" ht="17" customHeight="1">
      <c r="A9024" s="234"/>
      <c r="B9024" s="233"/>
      <c r="C9024" s="238"/>
      <c r="E9024" s="545"/>
      <c r="F9024" s="546"/>
      <c r="G9024" s="234"/>
      <c r="H9024" s="238"/>
      <c r="I9024" s="237"/>
    </row>
    <row r="9025" spans="1:9" s="232" customFormat="1" ht="17" customHeight="1">
      <c r="A9025" s="234"/>
      <c r="B9025" s="233"/>
      <c r="C9025" s="238"/>
      <c r="E9025" s="545"/>
      <c r="F9025" s="546"/>
      <c r="G9025" s="234"/>
      <c r="H9025" s="238"/>
      <c r="I9025" s="237"/>
    </row>
    <row r="9026" spans="1:9" s="232" customFormat="1" ht="17" customHeight="1">
      <c r="A9026" s="234"/>
      <c r="B9026" s="233"/>
      <c r="C9026" s="238"/>
      <c r="E9026" s="545"/>
      <c r="F9026" s="546"/>
      <c r="G9026" s="234"/>
      <c r="H9026" s="238"/>
      <c r="I9026" s="237"/>
    </row>
    <row r="9027" spans="1:9" s="232" customFormat="1" ht="17" customHeight="1">
      <c r="A9027" s="234"/>
      <c r="B9027" s="233"/>
      <c r="C9027" s="238"/>
      <c r="E9027" s="545"/>
      <c r="F9027" s="546"/>
      <c r="G9027" s="234"/>
      <c r="H9027" s="238"/>
      <c r="I9027" s="237"/>
    </row>
    <row r="9028" spans="1:9" s="232" customFormat="1" ht="17" customHeight="1">
      <c r="A9028" s="234"/>
      <c r="B9028" s="233"/>
      <c r="C9028" s="238"/>
      <c r="E9028" s="545"/>
      <c r="F9028" s="546"/>
      <c r="G9028" s="234"/>
      <c r="H9028" s="238"/>
      <c r="I9028" s="237"/>
    </row>
    <row r="9029" spans="1:9" s="232" customFormat="1" ht="17" customHeight="1">
      <c r="A9029" s="234"/>
      <c r="B9029" s="233"/>
      <c r="C9029" s="238"/>
      <c r="E9029" s="545"/>
      <c r="F9029" s="546"/>
      <c r="G9029" s="234"/>
      <c r="H9029" s="238"/>
      <c r="I9029" s="237"/>
    </row>
    <row r="9030" spans="1:9" s="232" customFormat="1" ht="17" customHeight="1">
      <c r="A9030" s="234"/>
      <c r="B9030" s="233"/>
      <c r="C9030" s="238"/>
      <c r="E9030" s="545"/>
      <c r="F9030" s="546"/>
      <c r="G9030" s="234"/>
      <c r="H9030" s="238"/>
      <c r="I9030" s="237"/>
    </row>
    <row r="9031" spans="1:9" s="232" customFormat="1" ht="17" customHeight="1">
      <c r="A9031" s="234"/>
      <c r="B9031" s="233"/>
      <c r="C9031" s="238"/>
      <c r="E9031" s="545"/>
      <c r="F9031" s="546"/>
      <c r="G9031" s="234"/>
      <c r="H9031" s="238"/>
      <c r="I9031" s="237"/>
    </row>
    <row r="9032" spans="1:9" s="232" customFormat="1" ht="17" customHeight="1">
      <c r="A9032" s="234"/>
      <c r="B9032" s="233"/>
      <c r="C9032" s="238"/>
      <c r="E9032" s="545"/>
      <c r="F9032" s="546"/>
      <c r="G9032" s="234"/>
      <c r="H9032" s="238"/>
      <c r="I9032" s="237"/>
    </row>
    <row r="9033" spans="1:9" s="232" customFormat="1" ht="17" customHeight="1">
      <c r="A9033" s="234"/>
      <c r="B9033" s="233"/>
      <c r="C9033" s="238"/>
      <c r="E9033" s="545"/>
      <c r="F9033" s="546"/>
      <c r="G9033" s="234"/>
      <c r="H9033" s="238"/>
      <c r="I9033" s="237"/>
    </row>
    <row r="9034" spans="1:9" s="232" customFormat="1" ht="17" customHeight="1">
      <c r="A9034" s="234"/>
      <c r="B9034" s="233"/>
      <c r="C9034" s="238"/>
      <c r="E9034" s="545"/>
      <c r="F9034" s="546"/>
      <c r="G9034" s="234"/>
      <c r="H9034" s="238"/>
      <c r="I9034" s="237"/>
    </row>
    <row r="9035" spans="1:9" s="232" customFormat="1" ht="17" customHeight="1">
      <c r="A9035" s="234"/>
      <c r="B9035" s="233"/>
      <c r="C9035" s="238"/>
      <c r="E9035" s="545"/>
      <c r="F9035" s="546"/>
      <c r="G9035" s="234"/>
      <c r="H9035" s="238"/>
      <c r="I9035" s="237"/>
    </row>
    <row r="9036" spans="1:9" s="232" customFormat="1" ht="17" customHeight="1">
      <c r="A9036" s="234"/>
      <c r="B9036" s="233"/>
      <c r="C9036" s="238"/>
      <c r="E9036" s="545"/>
      <c r="F9036" s="546"/>
      <c r="G9036" s="234"/>
      <c r="H9036" s="238"/>
      <c r="I9036" s="237"/>
    </row>
    <row r="9037" spans="1:9" s="232" customFormat="1" ht="17" customHeight="1">
      <c r="A9037" s="234"/>
      <c r="B9037" s="233"/>
      <c r="C9037" s="238"/>
      <c r="E9037" s="545"/>
      <c r="F9037" s="546"/>
      <c r="G9037" s="234"/>
      <c r="H9037" s="238"/>
      <c r="I9037" s="237"/>
    </row>
    <row r="9038" spans="1:9" s="232" customFormat="1" ht="17" customHeight="1">
      <c r="A9038" s="234"/>
      <c r="B9038" s="233"/>
      <c r="C9038" s="238"/>
      <c r="E9038" s="545"/>
      <c r="F9038" s="546"/>
      <c r="G9038" s="234"/>
      <c r="H9038" s="238"/>
      <c r="I9038" s="237"/>
    </row>
    <row r="9039" spans="1:9" s="232" customFormat="1" ht="17" customHeight="1">
      <c r="A9039" s="234"/>
      <c r="B9039" s="233"/>
      <c r="C9039" s="238"/>
      <c r="E9039" s="545"/>
      <c r="F9039" s="546"/>
      <c r="G9039" s="234"/>
      <c r="H9039" s="238"/>
      <c r="I9039" s="237"/>
    </row>
    <row r="9040" spans="1:9" s="232" customFormat="1" ht="17" customHeight="1">
      <c r="A9040" s="234"/>
      <c r="B9040" s="233"/>
      <c r="C9040" s="238"/>
      <c r="E9040" s="545"/>
      <c r="F9040" s="546"/>
      <c r="G9040" s="234"/>
      <c r="H9040" s="238"/>
      <c r="I9040" s="237"/>
    </row>
    <row r="9041" spans="1:9" s="232" customFormat="1" ht="17" customHeight="1">
      <c r="A9041" s="234"/>
      <c r="B9041" s="233"/>
      <c r="C9041" s="238"/>
      <c r="E9041" s="545"/>
      <c r="F9041" s="546"/>
      <c r="G9041" s="234"/>
      <c r="H9041" s="238"/>
      <c r="I9041" s="237"/>
    </row>
    <row r="9042" spans="1:9" s="232" customFormat="1" ht="17" customHeight="1">
      <c r="A9042" s="234"/>
      <c r="B9042" s="233"/>
      <c r="C9042" s="238"/>
      <c r="E9042" s="545"/>
      <c r="F9042" s="546"/>
      <c r="G9042" s="234"/>
      <c r="H9042" s="238"/>
      <c r="I9042" s="237"/>
    </row>
    <row r="9043" spans="1:9" s="232" customFormat="1" ht="17" customHeight="1">
      <c r="A9043" s="234"/>
      <c r="B9043" s="233"/>
      <c r="C9043" s="238"/>
      <c r="E9043" s="545"/>
      <c r="F9043" s="546"/>
      <c r="G9043" s="234"/>
      <c r="H9043" s="238"/>
      <c r="I9043" s="237"/>
    </row>
    <row r="9044" spans="1:9" s="232" customFormat="1" ht="17" customHeight="1">
      <c r="A9044" s="234"/>
      <c r="B9044" s="233"/>
      <c r="C9044" s="238"/>
      <c r="E9044" s="545"/>
      <c r="F9044" s="546"/>
      <c r="G9044" s="234"/>
      <c r="H9044" s="238"/>
      <c r="I9044" s="237"/>
    </row>
    <row r="9045" spans="1:9" s="232" customFormat="1" ht="17" customHeight="1">
      <c r="A9045" s="234"/>
      <c r="B9045" s="233"/>
      <c r="C9045" s="238"/>
      <c r="E9045" s="545"/>
      <c r="F9045" s="546"/>
      <c r="G9045" s="234"/>
      <c r="H9045" s="238"/>
      <c r="I9045" s="237"/>
    </row>
    <row r="9046" spans="1:9" s="232" customFormat="1" ht="17" customHeight="1">
      <c r="A9046" s="234"/>
      <c r="B9046" s="233"/>
      <c r="C9046" s="238"/>
      <c r="E9046" s="545"/>
      <c r="F9046" s="546"/>
      <c r="G9046" s="234"/>
      <c r="H9046" s="238"/>
      <c r="I9046" s="237"/>
    </row>
    <row r="9047" spans="1:9" s="232" customFormat="1" ht="17" customHeight="1">
      <c r="A9047" s="234"/>
      <c r="B9047" s="233"/>
      <c r="C9047" s="238"/>
      <c r="E9047" s="545"/>
      <c r="F9047" s="546"/>
      <c r="G9047" s="234"/>
      <c r="H9047" s="238"/>
      <c r="I9047" s="237"/>
    </row>
    <row r="9048" spans="1:9" s="232" customFormat="1" ht="17" customHeight="1">
      <c r="A9048" s="234"/>
      <c r="B9048" s="233"/>
      <c r="C9048" s="238"/>
      <c r="E9048" s="545"/>
      <c r="F9048" s="546"/>
      <c r="G9048" s="234"/>
      <c r="H9048" s="238"/>
      <c r="I9048" s="237"/>
    </row>
    <row r="9049" spans="1:9" s="232" customFormat="1" ht="17" customHeight="1">
      <c r="A9049" s="234"/>
      <c r="B9049" s="233"/>
      <c r="C9049" s="238"/>
      <c r="E9049" s="545"/>
      <c r="F9049" s="546"/>
      <c r="G9049" s="234"/>
      <c r="H9049" s="238"/>
      <c r="I9049" s="237"/>
    </row>
    <row r="9050" spans="1:9" s="232" customFormat="1" ht="17" customHeight="1">
      <c r="A9050" s="234"/>
      <c r="B9050" s="233"/>
      <c r="C9050" s="238"/>
      <c r="E9050" s="545"/>
      <c r="F9050" s="546"/>
      <c r="G9050" s="234"/>
      <c r="H9050" s="238"/>
      <c r="I9050" s="237"/>
    </row>
    <row r="9051" spans="1:9" s="232" customFormat="1" ht="17" customHeight="1">
      <c r="A9051" s="234"/>
      <c r="B9051" s="233"/>
      <c r="C9051" s="238"/>
      <c r="E9051" s="545"/>
      <c r="F9051" s="546"/>
      <c r="G9051" s="234"/>
      <c r="H9051" s="238"/>
      <c r="I9051" s="237"/>
    </row>
    <row r="9052" spans="1:9" s="232" customFormat="1" ht="17" customHeight="1">
      <c r="A9052" s="234"/>
      <c r="B9052" s="233"/>
      <c r="C9052" s="238"/>
      <c r="E9052" s="545"/>
      <c r="F9052" s="546"/>
      <c r="G9052" s="234"/>
      <c r="H9052" s="238"/>
      <c r="I9052" s="237"/>
    </row>
    <row r="9053" spans="1:9" s="232" customFormat="1" ht="17" customHeight="1">
      <c r="A9053" s="234"/>
      <c r="B9053" s="233"/>
      <c r="C9053" s="238"/>
      <c r="E9053" s="545"/>
      <c r="F9053" s="546"/>
      <c r="G9053" s="234"/>
      <c r="H9053" s="238"/>
      <c r="I9053" s="237"/>
    </row>
    <row r="9054" spans="1:9" s="232" customFormat="1" ht="17" customHeight="1">
      <c r="A9054" s="234"/>
      <c r="B9054" s="233"/>
      <c r="C9054" s="238"/>
      <c r="E9054" s="545"/>
      <c r="F9054" s="546"/>
      <c r="G9054" s="234"/>
      <c r="H9054" s="238"/>
      <c r="I9054" s="237"/>
    </row>
    <row r="9055" spans="1:9" s="232" customFormat="1" ht="17" customHeight="1">
      <c r="A9055" s="234"/>
      <c r="B9055" s="233"/>
      <c r="C9055" s="238"/>
      <c r="E9055" s="545"/>
      <c r="F9055" s="546"/>
      <c r="G9055" s="234"/>
      <c r="H9055" s="238"/>
      <c r="I9055" s="237"/>
    </row>
    <row r="9056" spans="1:9" s="232" customFormat="1" ht="17" customHeight="1">
      <c r="A9056" s="234"/>
      <c r="B9056" s="233"/>
      <c r="C9056" s="238"/>
      <c r="E9056" s="545"/>
      <c r="F9056" s="546"/>
      <c r="G9056" s="234"/>
      <c r="H9056" s="238"/>
      <c r="I9056" s="237"/>
    </row>
    <row r="9057" spans="1:9" s="232" customFormat="1" ht="17" customHeight="1">
      <c r="A9057" s="234"/>
      <c r="B9057" s="233"/>
      <c r="C9057" s="238"/>
      <c r="E9057" s="545"/>
      <c r="F9057" s="546"/>
      <c r="G9057" s="234"/>
      <c r="H9057" s="238"/>
      <c r="I9057" s="237"/>
    </row>
    <row r="9058" spans="1:9" s="232" customFormat="1" ht="17" customHeight="1">
      <c r="A9058" s="234"/>
      <c r="B9058" s="233"/>
      <c r="C9058" s="238"/>
      <c r="E9058" s="545"/>
      <c r="F9058" s="546"/>
      <c r="G9058" s="234"/>
      <c r="H9058" s="238"/>
      <c r="I9058" s="237"/>
    </row>
    <row r="9059" spans="1:9" s="232" customFormat="1" ht="17" customHeight="1">
      <c r="A9059" s="234"/>
      <c r="B9059" s="233"/>
      <c r="C9059" s="238"/>
      <c r="E9059" s="545"/>
      <c r="F9059" s="546"/>
      <c r="G9059" s="234"/>
      <c r="H9059" s="238"/>
      <c r="I9059" s="237"/>
    </row>
    <row r="9060" spans="1:9" s="232" customFormat="1" ht="17" customHeight="1">
      <c r="A9060" s="234"/>
      <c r="B9060" s="233"/>
      <c r="C9060" s="238"/>
      <c r="E9060" s="545"/>
      <c r="F9060" s="546"/>
      <c r="G9060" s="234"/>
      <c r="H9060" s="238"/>
      <c r="I9060" s="237"/>
    </row>
    <row r="9061" spans="1:9" s="232" customFormat="1" ht="17" customHeight="1">
      <c r="A9061" s="234"/>
      <c r="B9061" s="233"/>
      <c r="C9061" s="238"/>
      <c r="E9061" s="545"/>
      <c r="F9061" s="546"/>
      <c r="G9061" s="234"/>
      <c r="H9061" s="238"/>
      <c r="I9061" s="237"/>
    </row>
    <row r="9062" spans="1:9" s="232" customFormat="1" ht="17" customHeight="1">
      <c r="A9062" s="234"/>
      <c r="B9062" s="233"/>
      <c r="C9062" s="238"/>
      <c r="E9062" s="545"/>
      <c r="F9062" s="546"/>
      <c r="G9062" s="234"/>
      <c r="H9062" s="238"/>
      <c r="I9062" s="237"/>
    </row>
    <row r="9063" spans="1:9" s="232" customFormat="1" ht="17" customHeight="1">
      <c r="A9063" s="234"/>
      <c r="B9063" s="233"/>
      <c r="C9063" s="238"/>
      <c r="E9063" s="545"/>
      <c r="F9063" s="546"/>
      <c r="G9063" s="234"/>
      <c r="H9063" s="238"/>
      <c r="I9063" s="237"/>
    </row>
    <row r="9064" spans="1:9" s="232" customFormat="1" ht="17" customHeight="1">
      <c r="A9064" s="234"/>
      <c r="B9064" s="233"/>
      <c r="C9064" s="238"/>
      <c r="E9064" s="545"/>
      <c r="F9064" s="546"/>
      <c r="G9064" s="234"/>
      <c r="H9064" s="238"/>
      <c r="I9064" s="237"/>
    </row>
    <row r="9065" spans="1:9" s="232" customFormat="1" ht="17" customHeight="1">
      <c r="A9065" s="234"/>
      <c r="B9065" s="233"/>
      <c r="C9065" s="238"/>
      <c r="E9065" s="545"/>
      <c r="F9065" s="546"/>
      <c r="G9065" s="234"/>
      <c r="H9065" s="238"/>
      <c r="I9065" s="237"/>
    </row>
    <row r="9066" spans="1:9" s="232" customFormat="1" ht="17" customHeight="1">
      <c r="A9066" s="234"/>
      <c r="B9066" s="233"/>
      <c r="C9066" s="238"/>
      <c r="E9066" s="545"/>
      <c r="F9066" s="546"/>
      <c r="G9066" s="234"/>
      <c r="H9066" s="238"/>
      <c r="I9066" s="237"/>
    </row>
    <row r="9067" spans="1:9" s="232" customFormat="1" ht="17" customHeight="1">
      <c r="A9067" s="234"/>
      <c r="B9067" s="233"/>
      <c r="C9067" s="238"/>
      <c r="E9067" s="545"/>
      <c r="F9067" s="546"/>
      <c r="G9067" s="234"/>
      <c r="H9067" s="238"/>
      <c r="I9067" s="237"/>
    </row>
    <row r="9068" spans="1:9" s="232" customFormat="1" ht="17" customHeight="1">
      <c r="A9068" s="234"/>
      <c r="B9068" s="233"/>
      <c r="C9068" s="238"/>
      <c r="E9068" s="545"/>
      <c r="F9068" s="546"/>
      <c r="G9068" s="234"/>
      <c r="H9068" s="238"/>
      <c r="I9068" s="237"/>
    </row>
    <row r="9069" spans="1:9" s="232" customFormat="1" ht="17" customHeight="1">
      <c r="A9069" s="234"/>
      <c r="B9069" s="233"/>
      <c r="C9069" s="238"/>
      <c r="E9069" s="545"/>
      <c r="F9069" s="546"/>
      <c r="G9069" s="234"/>
      <c r="H9069" s="238"/>
      <c r="I9069" s="237"/>
    </row>
    <row r="9070" spans="1:9" s="232" customFormat="1" ht="17" customHeight="1">
      <c r="A9070" s="234"/>
      <c r="B9070" s="233"/>
      <c r="C9070" s="238"/>
      <c r="E9070" s="545"/>
      <c r="F9070" s="546"/>
      <c r="G9070" s="234"/>
      <c r="H9070" s="238"/>
      <c r="I9070" s="237"/>
    </row>
    <row r="9071" spans="1:9" s="232" customFormat="1" ht="17" customHeight="1">
      <c r="A9071" s="234"/>
      <c r="B9071" s="233"/>
      <c r="C9071" s="238"/>
      <c r="E9071" s="545"/>
      <c r="F9071" s="546"/>
      <c r="G9071" s="234"/>
      <c r="H9071" s="238"/>
      <c r="I9071" s="237"/>
    </row>
    <row r="9072" spans="1:9" s="232" customFormat="1" ht="17" customHeight="1">
      <c r="A9072" s="234"/>
      <c r="B9072" s="233"/>
      <c r="C9072" s="238"/>
      <c r="E9072" s="545"/>
      <c r="F9072" s="546"/>
      <c r="G9072" s="234"/>
      <c r="H9072" s="238"/>
      <c r="I9072" s="237"/>
    </row>
    <row r="9073" spans="1:9" s="232" customFormat="1" ht="17" customHeight="1">
      <c r="A9073" s="234"/>
      <c r="B9073" s="233"/>
      <c r="C9073" s="238"/>
      <c r="E9073" s="545"/>
      <c r="F9073" s="546"/>
      <c r="G9073" s="234"/>
      <c r="H9073" s="238"/>
      <c r="I9073" s="237"/>
    </row>
    <row r="9074" spans="1:9" s="232" customFormat="1" ht="17" customHeight="1">
      <c r="A9074" s="234"/>
      <c r="B9074" s="233"/>
      <c r="C9074" s="238"/>
      <c r="E9074" s="545"/>
      <c r="F9074" s="546"/>
      <c r="G9074" s="234"/>
      <c r="H9074" s="238"/>
      <c r="I9074" s="237"/>
    </row>
    <row r="9075" spans="1:9" s="232" customFormat="1" ht="17" customHeight="1">
      <c r="A9075" s="234"/>
      <c r="B9075" s="233"/>
      <c r="C9075" s="238"/>
      <c r="E9075" s="545"/>
      <c r="F9075" s="546"/>
      <c r="G9075" s="234"/>
      <c r="H9075" s="238"/>
      <c r="I9075" s="237"/>
    </row>
    <row r="9076" spans="1:9" s="232" customFormat="1" ht="17" customHeight="1">
      <c r="A9076" s="234"/>
      <c r="B9076" s="233"/>
      <c r="C9076" s="238"/>
      <c r="E9076" s="545"/>
      <c r="F9076" s="546"/>
      <c r="G9076" s="234"/>
      <c r="H9076" s="238"/>
      <c r="I9076" s="237"/>
    </row>
    <row r="9077" spans="1:9" s="232" customFormat="1" ht="17" customHeight="1">
      <c r="A9077" s="234"/>
      <c r="B9077" s="233"/>
      <c r="C9077" s="238"/>
      <c r="E9077" s="545"/>
      <c r="F9077" s="546"/>
      <c r="G9077" s="234"/>
      <c r="H9077" s="238"/>
      <c r="I9077" s="237"/>
    </row>
    <row r="9078" spans="1:9" s="232" customFormat="1" ht="17" customHeight="1">
      <c r="A9078" s="234"/>
      <c r="B9078" s="233"/>
      <c r="C9078" s="238"/>
      <c r="E9078" s="545"/>
      <c r="F9078" s="546"/>
      <c r="G9078" s="234"/>
      <c r="H9078" s="238"/>
      <c r="I9078" s="237"/>
    </row>
    <row r="9079" spans="1:9" s="232" customFormat="1" ht="17" customHeight="1">
      <c r="A9079" s="234"/>
      <c r="B9079" s="233"/>
      <c r="C9079" s="238"/>
      <c r="E9079" s="545"/>
      <c r="F9079" s="546"/>
      <c r="G9079" s="234"/>
      <c r="H9079" s="238"/>
      <c r="I9079" s="237"/>
    </row>
    <row r="9080" spans="1:9" s="232" customFormat="1" ht="17" customHeight="1">
      <c r="A9080" s="234"/>
      <c r="B9080" s="233"/>
      <c r="C9080" s="238"/>
      <c r="E9080" s="545"/>
      <c r="F9080" s="546"/>
      <c r="G9080" s="234"/>
      <c r="H9080" s="238"/>
      <c r="I9080" s="237"/>
    </row>
    <row r="9081" spans="1:9" s="232" customFormat="1" ht="17" customHeight="1">
      <c r="A9081" s="234"/>
      <c r="B9081" s="233"/>
      <c r="C9081" s="238"/>
      <c r="E9081" s="545"/>
      <c r="F9081" s="546"/>
      <c r="G9081" s="234"/>
      <c r="H9081" s="238"/>
      <c r="I9081" s="237"/>
    </row>
    <row r="9082" spans="1:9" s="232" customFormat="1" ht="17" customHeight="1">
      <c r="A9082" s="234"/>
      <c r="B9082" s="233"/>
      <c r="C9082" s="238"/>
      <c r="E9082" s="545"/>
      <c r="F9082" s="546"/>
      <c r="G9082" s="234"/>
      <c r="H9082" s="238"/>
      <c r="I9082" s="237"/>
    </row>
    <row r="9083" spans="1:9" s="232" customFormat="1" ht="17" customHeight="1">
      <c r="A9083" s="234"/>
      <c r="B9083" s="233"/>
      <c r="C9083" s="238"/>
      <c r="E9083" s="545"/>
      <c r="F9083" s="546"/>
      <c r="G9083" s="234"/>
      <c r="H9083" s="238"/>
      <c r="I9083" s="237"/>
    </row>
    <row r="9084" spans="1:9" s="232" customFormat="1" ht="17" customHeight="1">
      <c r="A9084" s="234"/>
      <c r="B9084" s="233"/>
      <c r="C9084" s="238"/>
      <c r="E9084" s="545"/>
      <c r="F9084" s="546"/>
      <c r="G9084" s="234"/>
      <c r="H9084" s="238"/>
      <c r="I9084" s="237"/>
    </row>
    <row r="9085" spans="1:9" s="232" customFormat="1" ht="17" customHeight="1">
      <c r="A9085" s="234"/>
      <c r="B9085" s="233"/>
      <c r="C9085" s="238"/>
      <c r="E9085" s="545"/>
      <c r="F9085" s="546"/>
      <c r="G9085" s="234"/>
      <c r="H9085" s="238"/>
      <c r="I9085" s="237"/>
    </row>
    <row r="9086" spans="1:9" s="232" customFormat="1" ht="17" customHeight="1">
      <c r="A9086" s="234"/>
      <c r="B9086" s="233"/>
      <c r="C9086" s="238"/>
      <c r="E9086" s="545"/>
      <c r="F9086" s="546"/>
      <c r="G9086" s="234"/>
      <c r="H9086" s="238"/>
      <c r="I9086" s="237"/>
    </row>
    <row r="9087" spans="1:9" s="232" customFormat="1" ht="17" customHeight="1">
      <c r="A9087" s="234"/>
      <c r="B9087" s="233"/>
      <c r="C9087" s="238"/>
      <c r="E9087" s="545"/>
      <c r="F9087" s="546"/>
      <c r="G9087" s="234"/>
      <c r="H9087" s="238"/>
      <c r="I9087" s="237"/>
    </row>
    <row r="9088" spans="1:9" s="232" customFormat="1" ht="17" customHeight="1">
      <c r="A9088" s="234"/>
      <c r="B9088" s="233"/>
      <c r="C9088" s="238"/>
      <c r="E9088" s="545"/>
      <c r="F9088" s="546"/>
      <c r="G9088" s="234"/>
      <c r="H9088" s="238"/>
      <c r="I9088" s="237"/>
    </row>
    <row r="9089" spans="1:9" s="232" customFormat="1" ht="17" customHeight="1">
      <c r="A9089" s="234"/>
      <c r="B9089" s="233"/>
      <c r="C9089" s="238"/>
      <c r="E9089" s="545"/>
      <c r="F9089" s="546"/>
      <c r="G9089" s="234"/>
      <c r="H9089" s="238"/>
      <c r="I9089" s="237"/>
    </row>
    <row r="9090" spans="1:9" s="232" customFormat="1" ht="17" customHeight="1">
      <c r="A9090" s="234"/>
      <c r="B9090" s="233"/>
      <c r="C9090" s="238"/>
      <c r="E9090" s="545"/>
      <c r="F9090" s="546"/>
      <c r="G9090" s="234"/>
      <c r="H9090" s="238"/>
      <c r="I9090" s="237"/>
    </row>
    <row r="9091" spans="1:9" s="232" customFormat="1" ht="17" customHeight="1">
      <c r="A9091" s="234"/>
      <c r="B9091" s="233"/>
      <c r="C9091" s="238"/>
      <c r="E9091" s="545"/>
      <c r="F9091" s="546"/>
      <c r="G9091" s="234"/>
      <c r="H9091" s="238"/>
      <c r="I9091" s="237"/>
    </row>
    <row r="9092" spans="1:9" s="232" customFormat="1" ht="17" customHeight="1">
      <c r="A9092" s="234"/>
      <c r="B9092" s="233"/>
      <c r="C9092" s="238"/>
      <c r="E9092" s="545"/>
      <c r="F9092" s="546"/>
      <c r="G9092" s="234"/>
      <c r="H9092" s="238"/>
      <c r="I9092" s="237"/>
    </row>
    <row r="9093" spans="1:9" s="232" customFormat="1" ht="17" customHeight="1">
      <c r="A9093" s="234"/>
      <c r="B9093" s="233"/>
      <c r="C9093" s="238"/>
      <c r="E9093" s="545"/>
      <c r="F9093" s="546"/>
      <c r="G9093" s="234"/>
      <c r="H9093" s="238"/>
      <c r="I9093" s="237"/>
    </row>
    <row r="9094" spans="1:9" s="232" customFormat="1" ht="17" customHeight="1">
      <c r="A9094" s="234"/>
      <c r="B9094" s="233"/>
      <c r="C9094" s="238"/>
      <c r="E9094" s="545"/>
      <c r="F9094" s="546"/>
      <c r="G9094" s="234"/>
      <c r="H9094" s="238"/>
      <c r="I9094" s="237"/>
    </row>
    <row r="9095" spans="1:9" s="232" customFormat="1" ht="17" customHeight="1">
      <c r="A9095" s="234"/>
      <c r="B9095" s="233"/>
      <c r="C9095" s="238"/>
      <c r="E9095" s="545"/>
      <c r="F9095" s="546"/>
      <c r="G9095" s="234"/>
      <c r="H9095" s="238"/>
      <c r="I9095" s="237"/>
    </row>
    <row r="9096" spans="1:9" s="232" customFormat="1" ht="17" customHeight="1">
      <c r="A9096" s="234"/>
      <c r="B9096" s="233"/>
      <c r="C9096" s="238"/>
      <c r="E9096" s="545"/>
      <c r="F9096" s="546"/>
      <c r="G9096" s="234"/>
      <c r="H9096" s="238"/>
      <c r="I9096" s="237"/>
    </row>
    <row r="9097" spans="1:9" s="232" customFormat="1" ht="17" customHeight="1">
      <c r="A9097" s="234"/>
      <c r="B9097" s="233"/>
      <c r="C9097" s="238"/>
      <c r="E9097" s="545"/>
      <c r="F9097" s="546"/>
      <c r="G9097" s="234"/>
      <c r="H9097" s="238"/>
      <c r="I9097" s="237"/>
    </row>
    <row r="9098" spans="1:9" s="232" customFormat="1" ht="17" customHeight="1">
      <c r="A9098" s="234"/>
      <c r="B9098" s="233"/>
      <c r="C9098" s="238"/>
      <c r="E9098" s="545"/>
      <c r="F9098" s="546"/>
      <c r="G9098" s="234"/>
      <c r="H9098" s="238"/>
      <c r="I9098" s="237"/>
    </row>
    <row r="9099" spans="1:9" s="232" customFormat="1" ht="17" customHeight="1">
      <c r="A9099" s="234"/>
      <c r="B9099" s="233"/>
      <c r="C9099" s="238"/>
      <c r="E9099" s="545"/>
      <c r="F9099" s="546"/>
      <c r="G9099" s="234"/>
      <c r="H9099" s="238"/>
      <c r="I9099" s="237"/>
    </row>
    <row r="9100" spans="1:9" s="232" customFormat="1" ht="17" customHeight="1">
      <c r="A9100" s="234"/>
      <c r="B9100" s="233"/>
      <c r="C9100" s="238"/>
      <c r="E9100" s="545"/>
      <c r="F9100" s="546"/>
      <c r="G9100" s="234"/>
      <c r="H9100" s="238"/>
      <c r="I9100" s="237"/>
    </row>
    <row r="9101" spans="1:9" s="232" customFormat="1" ht="17" customHeight="1">
      <c r="A9101" s="234"/>
      <c r="B9101" s="233"/>
      <c r="C9101" s="238"/>
      <c r="E9101" s="545"/>
      <c r="F9101" s="546"/>
      <c r="G9101" s="234"/>
      <c r="H9101" s="238"/>
      <c r="I9101" s="237"/>
    </row>
    <row r="9102" spans="1:9" s="232" customFormat="1" ht="17" customHeight="1">
      <c r="A9102" s="234"/>
      <c r="B9102" s="233"/>
      <c r="C9102" s="238"/>
      <c r="E9102" s="545"/>
      <c r="F9102" s="546"/>
      <c r="G9102" s="234"/>
      <c r="H9102" s="238"/>
      <c r="I9102" s="237"/>
    </row>
    <row r="9103" spans="1:9" s="232" customFormat="1" ht="17" customHeight="1">
      <c r="A9103" s="234"/>
      <c r="B9103" s="233"/>
      <c r="C9103" s="238"/>
      <c r="E9103" s="545"/>
      <c r="F9103" s="546"/>
      <c r="G9103" s="234"/>
      <c r="H9103" s="238"/>
      <c r="I9103" s="237"/>
    </row>
    <row r="9104" spans="1:9" s="232" customFormat="1" ht="17" customHeight="1">
      <c r="A9104" s="234"/>
      <c r="B9104" s="233"/>
      <c r="C9104" s="238"/>
      <c r="E9104" s="545"/>
      <c r="F9104" s="546"/>
      <c r="G9104" s="234"/>
      <c r="H9104" s="238"/>
      <c r="I9104" s="237"/>
    </row>
    <row r="9105" spans="1:9" s="232" customFormat="1" ht="17" customHeight="1">
      <c r="A9105" s="234"/>
      <c r="B9105" s="233"/>
      <c r="C9105" s="238"/>
      <c r="E9105" s="545"/>
      <c r="F9105" s="546"/>
      <c r="G9105" s="234"/>
      <c r="H9105" s="238"/>
      <c r="I9105" s="237"/>
    </row>
    <row r="9106" spans="1:9" s="232" customFormat="1" ht="17" customHeight="1">
      <c r="A9106" s="234"/>
      <c r="B9106" s="233"/>
      <c r="C9106" s="238"/>
      <c r="E9106" s="545"/>
      <c r="F9106" s="546"/>
      <c r="G9106" s="234"/>
      <c r="H9106" s="238"/>
      <c r="I9106" s="237"/>
    </row>
    <row r="9107" spans="1:9" s="232" customFormat="1" ht="17" customHeight="1">
      <c r="A9107" s="234"/>
      <c r="B9107" s="233"/>
      <c r="C9107" s="238"/>
      <c r="E9107" s="545"/>
      <c r="F9107" s="546"/>
      <c r="G9107" s="234"/>
      <c r="H9107" s="238"/>
      <c r="I9107" s="237"/>
    </row>
    <row r="9108" spans="1:9" s="232" customFormat="1" ht="17" customHeight="1">
      <c r="A9108" s="234"/>
      <c r="B9108" s="233"/>
      <c r="C9108" s="238"/>
      <c r="E9108" s="545"/>
      <c r="F9108" s="546"/>
      <c r="G9108" s="234"/>
      <c r="H9108" s="238"/>
      <c r="I9108" s="237"/>
    </row>
    <row r="9109" spans="1:9" s="232" customFormat="1" ht="17" customHeight="1">
      <c r="A9109" s="234"/>
      <c r="B9109" s="233"/>
      <c r="C9109" s="238"/>
      <c r="E9109" s="545"/>
      <c r="F9109" s="546"/>
      <c r="G9109" s="234"/>
      <c r="H9109" s="238"/>
      <c r="I9109" s="237"/>
    </row>
    <row r="9110" spans="1:9" s="232" customFormat="1" ht="17" customHeight="1">
      <c r="A9110" s="234"/>
      <c r="B9110" s="233"/>
      <c r="C9110" s="238"/>
      <c r="E9110" s="545"/>
      <c r="F9110" s="546"/>
      <c r="G9110" s="234"/>
      <c r="H9110" s="238"/>
      <c r="I9110" s="237"/>
    </row>
    <row r="9111" spans="1:9" s="232" customFormat="1" ht="17" customHeight="1">
      <c r="A9111" s="234"/>
      <c r="B9111" s="233"/>
      <c r="C9111" s="238"/>
      <c r="E9111" s="545"/>
      <c r="F9111" s="546"/>
      <c r="G9111" s="234"/>
      <c r="H9111" s="238"/>
      <c r="I9111" s="237"/>
    </row>
    <row r="9112" spans="1:9" s="232" customFormat="1" ht="17" customHeight="1">
      <c r="A9112" s="234"/>
      <c r="B9112" s="233"/>
      <c r="C9112" s="238"/>
      <c r="E9112" s="545"/>
      <c r="F9112" s="546"/>
      <c r="G9112" s="234"/>
      <c r="H9112" s="238"/>
      <c r="I9112" s="237"/>
    </row>
    <row r="9113" spans="1:9" s="232" customFormat="1" ht="17" customHeight="1">
      <c r="A9113" s="234"/>
      <c r="B9113" s="233"/>
      <c r="C9113" s="238"/>
      <c r="E9113" s="545"/>
      <c r="F9113" s="546"/>
      <c r="G9113" s="234"/>
      <c r="H9113" s="238"/>
      <c r="I9113" s="237"/>
    </row>
    <row r="9114" spans="1:9" s="232" customFormat="1" ht="17" customHeight="1">
      <c r="A9114" s="234"/>
      <c r="B9114" s="233"/>
      <c r="C9114" s="238"/>
      <c r="E9114" s="545"/>
      <c r="F9114" s="546"/>
      <c r="G9114" s="234"/>
      <c r="H9114" s="238"/>
      <c r="I9114" s="237"/>
    </row>
    <row r="9115" spans="1:9" s="232" customFormat="1" ht="17" customHeight="1">
      <c r="A9115" s="234"/>
      <c r="B9115" s="233"/>
      <c r="C9115" s="238"/>
      <c r="E9115" s="545"/>
      <c r="F9115" s="546"/>
      <c r="G9115" s="234"/>
      <c r="H9115" s="238"/>
      <c r="I9115" s="237"/>
    </row>
    <row r="9116" spans="1:9" s="232" customFormat="1" ht="17" customHeight="1">
      <c r="A9116" s="234"/>
      <c r="B9116" s="233"/>
      <c r="C9116" s="238"/>
      <c r="E9116" s="545"/>
      <c r="F9116" s="546"/>
      <c r="G9116" s="234"/>
      <c r="H9116" s="238"/>
      <c r="I9116" s="237"/>
    </row>
    <row r="9117" spans="1:9" s="232" customFormat="1" ht="17" customHeight="1">
      <c r="A9117" s="234"/>
      <c r="B9117" s="233"/>
      <c r="C9117" s="238"/>
      <c r="E9117" s="545"/>
      <c r="F9117" s="546"/>
      <c r="G9117" s="234"/>
      <c r="H9117" s="238"/>
      <c r="I9117" s="237"/>
    </row>
    <row r="9118" spans="1:9" s="232" customFormat="1" ht="17" customHeight="1">
      <c r="A9118" s="234"/>
      <c r="B9118" s="233"/>
      <c r="C9118" s="238"/>
      <c r="E9118" s="545"/>
      <c r="F9118" s="546"/>
      <c r="G9118" s="234"/>
      <c r="H9118" s="238"/>
      <c r="I9118" s="237"/>
    </row>
    <row r="9119" spans="1:9" s="232" customFormat="1" ht="17" customHeight="1">
      <c r="A9119" s="234"/>
      <c r="B9119" s="233"/>
      <c r="C9119" s="238"/>
      <c r="E9119" s="545"/>
      <c r="F9119" s="546"/>
      <c r="G9119" s="234"/>
      <c r="H9119" s="238"/>
      <c r="I9119" s="237"/>
    </row>
    <row r="9120" spans="1:9" s="232" customFormat="1" ht="17" customHeight="1">
      <c r="A9120" s="234"/>
      <c r="B9120" s="233"/>
      <c r="C9120" s="238"/>
      <c r="E9120" s="545"/>
      <c r="F9120" s="546"/>
      <c r="G9120" s="234"/>
      <c r="H9120" s="238"/>
      <c r="I9120" s="237"/>
    </row>
    <row r="9121" spans="1:9" s="232" customFormat="1" ht="17" customHeight="1">
      <c r="A9121" s="234"/>
      <c r="B9121" s="233"/>
      <c r="C9121" s="238"/>
      <c r="E9121" s="545"/>
      <c r="F9121" s="546"/>
      <c r="G9121" s="234"/>
      <c r="H9121" s="238"/>
      <c r="I9121" s="237"/>
    </row>
    <row r="9122" spans="1:9" s="232" customFormat="1" ht="17" customHeight="1">
      <c r="A9122" s="234"/>
      <c r="B9122" s="233"/>
      <c r="C9122" s="238"/>
      <c r="E9122" s="545"/>
      <c r="F9122" s="546"/>
      <c r="G9122" s="234"/>
      <c r="H9122" s="238"/>
      <c r="I9122" s="237"/>
    </row>
    <row r="9123" spans="1:9" s="232" customFormat="1" ht="17" customHeight="1">
      <c r="A9123" s="234"/>
      <c r="B9123" s="233"/>
      <c r="C9123" s="238"/>
      <c r="E9123" s="545"/>
      <c r="F9123" s="546"/>
      <c r="G9123" s="234"/>
      <c r="H9123" s="238"/>
      <c r="I9123" s="237"/>
    </row>
    <row r="9124" spans="1:9" s="232" customFormat="1" ht="17" customHeight="1">
      <c r="A9124" s="234"/>
      <c r="B9124" s="233"/>
      <c r="C9124" s="238"/>
      <c r="E9124" s="545"/>
      <c r="F9124" s="546"/>
      <c r="G9124" s="234"/>
      <c r="H9124" s="238"/>
      <c r="I9124" s="237"/>
    </row>
    <row r="9125" spans="1:9" s="232" customFormat="1" ht="17" customHeight="1">
      <c r="A9125" s="234"/>
      <c r="B9125" s="233"/>
      <c r="C9125" s="238"/>
      <c r="E9125" s="545"/>
      <c r="F9125" s="546"/>
      <c r="G9125" s="234"/>
      <c r="H9125" s="238"/>
      <c r="I9125" s="237"/>
    </row>
    <row r="9126" spans="1:9" s="232" customFormat="1" ht="17" customHeight="1">
      <c r="A9126" s="234"/>
      <c r="B9126" s="233"/>
      <c r="C9126" s="238"/>
      <c r="E9126" s="545"/>
      <c r="F9126" s="546"/>
      <c r="G9126" s="234"/>
      <c r="H9126" s="238"/>
      <c r="I9126" s="237"/>
    </row>
    <row r="9127" spans="1:9" s="232" customFormat="1" ht="17" customHeight="1">
      <c r="A9127" s="234"/>
      <c r="B9127" s="233"/>
      <c r="C9127" s="238"/>
      <c r="E9127" s="545"/>
      <c r="F9127" s="546"/>
      <c r="G9127" s="234"/>
      <c r="H9127" s="238"/>
      <c r="I9127" s="237"/>
    </row>
    <row r="9128" spans="1:9" s="232" customFormat="1" ht="17" customHeight="1">
      <c r="A9128" s="234"/>
      <c r="B9128" s="233"/>
      <c r="C9128" s="238"/>
      <c r="E9128" s="545"/>
      <c r="F9128" s="546"/>
      <c r="G9128" s="234"/>
      <c r="H9128" s="238"/>
      <c r="I9128" s="237"/>
    </row>
    <row r="9129" spans="1:9" s="232" customFormat="1" ht="17" customHeight="1">
      <c r="A9129" s="234"/>
      <c r="B9129" s="233"/>
      <c r="C9129" s="238"/>
      <c r="E9129" s="545"/>
      <c r="F9129" s="546"/>
      <c r="G9129" s="234"/>
      <c r="H9129" s="238"/>
      <c r="I9129" s="237"/>
    </row>
    <row r="9130" spans="1:9" s="232" customFormat="1" ht="17" customHeight="1">
      <c r="A9130" s="234"/>
      <c r="B9130" s="233"/>
      <c r="C9130" s="238"/>
      <c r="E9130" s="545"/>
      <c r="F9130" s="546"/>
      <c r="G9130" s="234"/>
      <c r="H9130" s="238"/>
      <c r="I9130" s="237"/>
    </row>
    <row r="9131" spans="1:9" s="232" customFormat="1" ht="17" customHeight="1">
      <c r="A9131" s="234"/>
      <c r="B9131" s="233"/>
      <c r="C9131" s="238"/>
      <c r="E9131" s="545"/>
      <c r="F9131" s="546"/>
      <c r="G9131" s="234"/>
      <c r="H9131" s="238"/>
      <c r="I9131" s="237"/>
    </row>
    <row r="9132" spans="1:9" s="232" customFormat="1" ht="17" customHeight="1">
      <c r="A9132" s="234"/>
      <c r="B9132" s="233"/>
      <c r="C9132" s="238"/>
      <c r="E9132" s="545"/>
      <c r="F9132" s="546"/>
      <c r="G9132" s="234"/>
      <c r="H9132" s="238"/>
      <c r="I9132" s="237"/>
    </row>
    <row r="9133" spans="1:9" s="232" customFormat="1" ht="17" customHeight="1">
      <c r="A9133" s="234"/>
      <c r="B9133" s="233"/>
      <c r="C9133" s="238"/>
      <c r="E9133" s="545"/>
      <c r="F9133" s="546"/>
      <c r="G9133" s="234"/>
      <c r="H9133" s="238"/>
      <c r="I9133" s="237"/>
    </row>
    <row r="9134" spans="1:9" s="232" customFormat="1" ht="17" customHeight="1">
      <c r="A9134" s="234"/>
      <c r="B9134" s="233"/>
      <c r="C9134" s="238"/>
      <c r="E9134" s="545"/>
      <c r="F9134" s="546"/>
      <c r="G9134" s="234"/>
      <c r="H9134" s="238"/>
      <c r="I9134" s="237"/>
    </row>
    <row r="9135" spans="1:9" s="232" customFormat="1" ht="17" customHeight="1">
      <c r="A9135" s="234"/>
      <c r="B9135" s="233"/>
      <c r="C9135" s="238"/>
      <c r="E9135" s="545"/>
      <c r="F9135" s="546"/>
      <c r="G9135" s="234"/>
      <c r="H9135" s="238"/>
      <c r="I9135" s="237"/>
    </row>
    <row r="9136" spans="1:9" s="232" customFormat="1" ht="17" customHeight="1">
      <c r="A9136" s="234"/>
      <c r="B9136" s="233"/>
      <c r="C9136" s="238"/>
      <c r="E9136" s="545"/>
      <c r="F9136" s="546"/>
      <c r="G9136" s="234"/>
      <c r="H9136" s="238"/>
      <c r="I9136" s="237"/>
    </row>
    <row r="9137" spans="1:9" s="232" customFormat="1" ht="17" customHeight="1">
      <c r="A9137" s="234"/>
      <c r="B9137" s="233"/>
      <c r="C9137" s="238"/>
      <c r="E9137" s="545"/>
      <c r="F9137" s="546"/>
      <c r="G9137" s="234"/>
      <c r="H9137" s="238"/>
      <c r="I9137" s="237"/>
    </row>
    <row r="9138" spans="1:9" s="232" customFormat="1" ht="17" customHeight="1">
      <c r="A9138" s="234"/>
      <c r="B9138" s="233"/>
      <c r="C9138" s="238"/>
      <c r="E9138" s="545"/>
      <c r="F9138" s="546"/>
      <c r="G9138" s="234"/>
      <c r="H9138" s="238"/>
      <c r="I9138" s="237"/>
    </row>
    <row r="9139" spans="1:9" s="232" customFormat="1" ht="17" customHeight="1">
      <c r="A9139" s="234"/>
      <c r="B9139" s="233"/>
      <c r="C9139" s="238"/>
      <c r="E9139" s="545"/>
      <c r="F9139" s="546"/>
      <c r="G9139" s="234"/>
      <c r="H9139" s="238"/>
      <c r="I9139" s="237"/>
    </row>
    <row r="9140" spans="1:9" s="232" customFormat="1" ht="17" customHeight="1">
      <c r="A9140" s="234"/>
      <c r="B9140" s="233"/>
      <c r="C9140" s="238"/>
      <c r="E9140" s="545"/>
      <c r="F9140" s="546"/>
      <c r="G9140" s="234"/>
      <c r="H9140" s="238"/>
      <c r="I9140" s="237"/>
    </row>
    <row r="9141" spans="1:9" s="232" customFormat="1" ht="17" customHeight="1">
      <c r="A9141" s="234"/>
      <c r="B9141" s="233"/>
      <c r="C9141" s="238"/>
      <c r="E9141" s="545"/>
      <c r="F9141" s="546"/>
      <c r="G9141" s="234"/>
      <c r="H9141" s="238"/>
      <c r="I9141" s="237"/>
    </row>
    <row r="9142" spans="1:9" s="232" customFormat="1" ht="17" customHeight="1">
      <c r="A9142" s="234"/>
      <c r="B9142" s="233"/>
      <c r="C9142" s="238"/>
      <c r="E9142" s="545"/>
      <c r="F9142" s="546"/>
      <c r="G9142" s="234"/>
      <c r="H9142" s="238"/>
      <c r="I9142" s="237"/>
    </row>
    <row r="9143" spans="1:9" s="232" customFormat="1" ht="17" customHeight="1">
      <c r="A9143" s="234"/>
      <c r="B9143" s="233"/>
      <c r="C9143" s="238"/>
      <c r="E9143" s="545"/>
      <c r="F9143" s="546"/>
      <c r="G9143" s="234"/>
      <c r="H9143" s="238"/>
      <c r="I9143" s="237"/>
    </row>
    <row r="9144" spans="1:9" s="232" customFormat="1" ht="17" customHeight="1">
      <c r="A9144" s="234"/>
      <c r="B9144" s="233"/>
      <c r="C9144" s="238"/>
      <c r="E9144" s="545"/>
      <c r="F9144" s="546"/>
      <c r="G9144" s="234"/>
      <c r="H9144" s="238"/>
      <c r="I9144" s="237"/>
    </row>
    <row r="9145" spans="1:9" s="232" customFormat="1" ht="17" customHeight="1">
      <c r="A9145" s="234"/>
      <c r="B9145" s="233"/>
      <c r="C9145" s="238"/>
      <c r="E9145" s="545"/>
      <c r="F9145" s="546"/>
      <c r="G9145" s="234"/>
      <c r="H9145" s="238"/>
      <c r="I9145" s="237"/>
    </row>
    <row r="9146" spans="1:9" s="232" customFormat="1" ht="17" customHeight="1">
      <c r="A9146" s="234"/>
      <c r="B9146" s="233"/>
      <c r="C9146" s="238"/>
      <c r="E9146" s="545"/>
      <c r="F9146" s="546"/>
      <c r="G9146" s="234"/>
      <c r="H9146" s="238"/>
      <c r="I9146" s="237"/>
    </row>
    <row r="9147" spans="1:9" s="232" customFormat="1" ht="17" customHeight="1">
      <c r="A9147" s="234"/>
      <c r="B9147" s="233"/>
      <c r="C9147" s="238"/>
      <c r="E9147" s="545"/>
      <c r="F9147" s="546"/>
      <c r="G9147" s="234"/>
      <c r="H9147" s="238"/>
      <c r="I9147" s="237"/>
    </row>
    <row r="9148" spans="1:9" s="232" customFormat="1" ht="17" customHeight="1">
      <c r="A9148" s="234"/>
      <c r="B9148" s="233"/>
      <c r="C9148" s="238"/>
      <c r="E9148" s="545"/>
      <c r="F9148" s="546"/>
      <c r="G9148" s="234"/>
      <c r="H9148" s="238"/>
      <c r="I9148" s="237"/>
    </row>
    <row r="9149" spans="1:9" s="232" customFormat="1" ht="17" customHeight="1">
      <c r="A9149" s="234"/>
      <c r="B9149" s="233"/>
      <c r="C9149" s="238"/>
      <c r="E9149" s="545"/>
      <c r="F9149" s="546"/>
      <c r="G9149" s="234"/>
      <c r="H9149" s="238"/>
      <c r="I9149" s="237"/>
    </row>
    <row r="9150" spans="1:9" s="232" customFormat="1" ht="17" customHeight="1">
      <c r="A9150" s="234"/>
      <c r="B9150" s="233"/>
      <c r="C9150" s="238"/>
      <c r="E9150" s="545"/>
      <c r="F9150" s="546"/>
      <c r="G9150" s="234"/>
      <c r="H9150" s="238"/>
      <c r="I9150" s="237"/>
    </row>
    <row r="9151" spans="1:9" s="232" customFormat="1" ht="17" customHeight="1">
      <c r="A9151" s="234"/>
      <c r="B9151" s="233"/>
      <c r="C9151" s="238"/>
      <c r="E9151" s="545"/>
      <c r="F9151" s="546"/>
      <c r="G9151" s="234"/>
      <c r="H9151" s="238"/>
      <c r="I9151" s="237"/>
    </row>
    <row r="9152" spans="1:9" s="232" customFormat="1" ht="17" customHeight="1">
      <c r="A9152" s="234"/>
      <c r="B9152" s="233"/>
      <c r="C9152" s="238"/>
      <c r="E9152" s="545"/>
      <c r="F9152" s="546"/>
      <c r="G9152" s="234"/>
      <c r="H9152" s="238"/>
      <c r="I9152" s="237"/>
    </row>
    <row r="9153" spans="1:9" s="232" customFormat="1" ht="17" customHeight="1">
      <c r="A9153" s="234"/>
      <c r="B9153" s="233"/>
      <c r="C9153" s="238"/>
      <c r="E9153" s="545"/>
      <c r="F9153" s="546"/>
      <c r="G9153" s="234"/>
      <c r="H9153" s="238"/>
      <c r="I9153" s="237"/>
    </row>
    <row r="9154" spans="1:9" s="232" customFormat="1" ht="17" customHeight="1">
      <c r="A9154" s="234"/>
      <c r="B9154" s="233"/>
      <c r="C9154" s="238"/>
      <c r="E9154" s="545"/>
      <c r="F9154" s="546"/>
      <c r="G9154" s="234"/>
      <c r="H9154" s="238"/>
      <c r="I9154" s="237"/>
    </row>
    <row r="9155" spans="1:9" s="232" customFormat="1" ht="17" customHeight="1">
      <c r="A9155" s="234"/>
      <c r="B9155" s="233"/>
      <c r="C9155" s="238"/>
      <c r="E9155" s="545"/>
      <c r="F9155" s="546"/>
      <c r="G9155" s="234"/>
      <c r="H9155" s="238"/>
      <c r="I9155" s="237"/>
    </row>
    <row r="9156" spans="1:9" s="232" customFormat="1" ht="17" customHeight="1">
      <c r="A9156" s="234"/>
      <c r="B9156" s="233"/>
      <c r="C9156" s="238"/>
      <c r="E9156" s="545"/>
      <c r="F9156" s="546"/>
      <c r="G9156" s="234"/>
      <c r="H9156" s="238"/>
      <c r="I9156" s="237"/>
    </row>
    <row r="9157" spans="1:9" s="232" customFormat="1" ht="17" customHeight="1">
      <c r="A9157" s="234"/>
      <c r="B9157" s="233"/>
      <c r="C9157" s="238"/>
      <c r="E9157" s="545"/>
      <c r="F9157" s="546"/>
      <c r="G9157" s="234"/>
      <c r="H9157" s="238"/>
      <c r="I9157" s="237"/>
    </row>
    <row r="9158" spans="1:9" s="232" customFormat="1" ht="17" customHeight="1">
      <c r="A9158" s="234"/>
      <c r="B9158" s="233"/>
      <c r="C9158" s="238"/>
      <c r="E9158" s="545"/>
      <c r="F9158" s="546"/>
      <c r="G9158" s="234"/>
      <c r="H9158" s="238"/>
      <c r="I9158" s="237"/>
    </row>
    <row r="9159" spans="1:9" s="232" customFormat="1" ht="17" customHeight="1">
      <c r="A9159" s="234"/>
      <c r="B9159" s="233"/>
      <c r="C9159" s="238"/>
      <c r="E9159" s="545"/>
      <c r="F9159" s="546"/>
      <c r="G9159" s="234"/>
      <c r="H9159" s="238"/>
      <c r="I9159" s="237"/>
    </row>
    <row r="9160" spans="1:9" s="232" customFormat="1" ht="17" customHeight="1">
      <c r="A9160" s="234"/>
      <c r="B9160" s="233"/>
      <c r="C9160" s="238"/>
      <c r="E9160" s="545"/>
      <c r="F9160" s="546"/>
      <c r="G9160" s="234"/>
      <c r="H9160" s="238"/>
      <c r="I9160" s="237"/>
    </row>
    <row r="9161" spans="1:9" s="232" customFormat="1" ht="17" customHeight="1">
      <c r="A9161" s="234"/>
      <c r="B9161" s="233"/>
      <c r="C9161" s="238"/>
      <c r="E9161" s="545"/>
      <c r="F9161" s="546"/>
      <c r="G9161" s="234"/>
      <c r="H9161" s="238"/>
      <c r="I9161" s="237"/>
    </row>
    <row r="9162" spans="1:9" s="232" customFormat="1" ht="17" customHeight="1">
      <c r="A9162" s="234"/>
      <c r="B9162" s="233"/>
      <c r="C9162" s="238"/>
      <c r="E9162" s="545"/>
      <c r="F9162" s="546"/>
      <c r="G9162" s="234"/>
      <c r="H9162" s="238"/>
      <c r="I9162" s="237"/>
    </row>
    <row r="9163" spans="1:9" s="232" customFormat="1" ht="17" customHeight="1">
      <c r="A9163" s="234"/>
      <c r="B9163" s="233"/>
      <c r="C9163" s="238"/>
      <c r="E9163" s="545"/>
      <c r="F9163" s="546"/>
      <c r="G9163" s="234"/>
      <c r="H9163" s="238"/>
      <c r="I9163" s="237"/>
    </row>
    <row r="9164" spans="1:9" s="232" customFormat="1" ht="17" customHeight="1">
      <c r="A9164" s="234"/>
      <c r="B9164" s="233"/>
      <c r="C9164" s="238"/>
      <c r="E9164" s="545"/>
      <c r="F9164" s="546"/>
      <c r="G9164" s="234"/>
      <c r="H9164" s="238"/>
      <c r="I9164" s="237"/>
    </row>
    <row r="9165" spans="1:9" s="232" customFormat="1" ht="17" customHeight="1">
      <c r="A9165" s="234"/>
      <c r="B9165" s="233"/>
      <c r="C9165" s="238"/>
      <c r="E9165" s="545"/>
      <c r="F9165" s="546"/>
      <c r="G9165" s="234"/>
      <c r="H9165" s="238"/>
      <c r="I9165" s="237"/>
    </row>
    <row r="9166" spans="1:9" s="232" customFormat="1" ht="17" customHeight="1">
      <c r="A9166" s="234"/>
      <c r="B9166" s="233"/>
      <c r="C9166" s="238"/>
      <c r="E9166" s="545"/>
      <c r="F9166" s="546"/>
      <c r="G9166" s="234"/>
      <c r="H9166" s="238"/>
      <c r="I9166" s="237"/>
    </row>
    <row r="9167" spans="1:9" s="232" customFormat="1" ht="17" customHeight="1">
      <c r="A9167" s="234"/>
      <c r="B9167" s="233"/>
      <c r="C9167" s="238"/>
      <c r="E9167" s="545"/>
      <c r="F9167" s="546"/>
      <c r="G9167" s="234"/>
      <c r="H9167" s="238"/>
      <c r="I9167" s="237"/>
    </row>
    <row r="9168" spans="1:9" s="232" customFormat="1" ht="17" customHeight="1">
      <c r="A9168" s="234"/>
      <c r="B9168" s="233"/>
      <c r="C9168" s="238"/>
      <c r="E9168" s="545"/>
      <c r="F9168" s="546"/>
      <c r="G9168" s="234"/>
      <c r="H9168" s="238"/>
      <c r="I9168" s="237"/>
    </row>
    <row r="9169" spans="1:9" s="232" customFormat="1" ht="17" customHeight="1">
      <c r="A9169" s="234"/>
      <c r="B9169" s="233"/>
      <c r="C9169" s="238"/>
      <c r="E9169" s="545"/>
      <c r="F9169" s="546"/>
      <c r="G9169" s="234"/>
      <c r="H9169" s="238"/>
      <c r="I9169" s="237"/>
    </row>
    <row r="9170" spans="1:9" s="232" customFormat="1" ht="17" customHeight="1">
      <c r="A9170" s="234"/>
      <c r="B9170" s="233"/>
      <c r="C9170" s="238"/>
      <c r="E9170" s="545"/>
      <c r="F9170" s="546"/>
      <c r="G9170" s="234"/>
      <c r="H9170" s="238"/>
      <c r="I9170" s="237"/>
    </row>
    <row r="9171" spans="1:9" s="232" customFormat="1" ht="17" customHeight="1">
      <c r="A9171" s="234"/>
      <c r="B9171" s="233"/>
      <c r="C9171" s="238"/>
      <c r="E9171" s="545"/>
      <c r="F9171" s="546"/>
      <c r="G9171" s="234"/>
      <c r="H9171" s="238"/>
      <c r="I9171" s="237"/>
    </row>
    <row r="9172" spans="1:9" s="232" customFormat="1" ht="17" customHeight="1">
      <c r="A9172" s="234"/>
      <c r="B9172" s="233"/>
      <c r="C9172" s="238"/>
      <c r="E9172" s="545"/>
      <c r="F9172" s="546"/>
      <c r="G9172" s="234"/>
      <c r="H9172" s="238"/>
      <c r="I9172" s="237"/>
    </row>
    <row r="9173" spans="1:9" s="232" customFormat="1" ht="17" customHeight="1">
      <c r="A9173" s="234"/>
      <c r="B9173" s="233"/>
      <c r="C9173" s="238"/>
      <c r="E9173" s="545"/>
      <c r="F9173" s="546"/>
      <c r="G9173" s="234"/>
      <c r="H9173" s="238"/>
      <c r="I9173" s="237"/>
    </row>
    <row r="9174" spans="1:9" s="232" customFormat="1" ht="17" customHeight="1">
      <c r="A9174" s="234"/>
      <c r="B9174" s="233"/>
      <c r="C9174" s="238"/>
      <c r="E9174" s="545"/>
      <c r="F9174" s="546"/>
      <c r="G9174" s="234"/>
      <c r="H9174" s="238"/>
      <c r="I9174" s="237"/>
    </row>
    <row r="9175" spans="1:9" s="232" customFormat="1" ht="17" customHeight="1">
      <c r="A9175" s="234"/>
      <c r="B9175" s="233"/>
      <c r="C9175" s="238"/>
      <c r="E9175" s="545"/>
      <c r="F9175" s="546"/>
      <c r="G9175" s="234"/>
      <c r="H9175" s="238"/>
      <c r="I9175" s="237"/>
    </row>
    <row r="9176" spans="1:9" s="232" customFormat="1" ht="17" customHeight="1">
      <c r="A9176" s="234"/>
      <c r="B9176" s="233"/>
      <c r="C9176" s="238"/>
      <c r="E9176" s="545"/>
      <c r="F9176" s="546"/>
      <c r="G9176" s="234"/>
      <c r="H9176" s="238"/>
      <c r="I9176" s="237"/>
    </row>
    <row r="9177" spans="1:9" s="232" customFormat="1" ht="17" customHeight="1">
      <c r="A9177" s="234"/>
      <c r="B9177" s="233"/>
      <c r="C9177" s="238"/>
      <c r="E9177" s="545"/>
      <c r="F9177" s="546"/>
      <c r="G9177" s="234"/>
      <c r="H9177" s="238"/>
      <c r="I9177" s="237"/>
    </row>
    <row r="9178" spans="1:9" s="232" customFormat="1" ht="17" customHeight="1">
      <c r="A9178" s="234"/>
      <c r="B9178" s="233"/>
      <c r="C9178" s="238"/>
      <c r="E9178" s="545"/>
      <c r="F9178" s="546"/>
      <c r="G9178" s="234"/>
      <c r="H9178" s="238"/>
      <c r="I9178" s="237"/>
    </row>
    <row r="9179" spans="1:9" s="232" customFormat="1" ht="17" customHeight="1">
      <c r="A9179" s="234"/>
      <c r="B9179" s="233"/>
      <c r="C9179" s="238"/>
      <c r="E9179" s="545"/>
      <c r="F9179" s="546"/>
      <c r="G9179" s="234"/>
      <c r="H9179" s="238"/>
      <c r="I9179" s="237"/>
    </row>
    <row r="9180" spans="1:9" s="232" customFormat="1" ht="17" customHeight="1">
      <c r="A9180" s="234"/>
      <c r="B9180" s="233"/>
      <c r="C9180" s="238"/>
      <c r="E9180" s="545"/>
      <c r="F9180" s="546"/>
      <c r="G9180" s="234"/>
      <c r="H9180" s="238"/>
      <c r="I9180" s="237"/>
    </row>
    <row r="9181" spans="1:9" s="232" customFormat="1" ht="17" customHeight="1">
      <c r="A9181" s="234"/>
      <c r="B9181" s="233"/>
      <c r="C9181" s="238"/>
      <c r="E9181" s="545"/>
      <c r="F9181" s="546"/>
      <c r="G9181" s="234"/>
      <c r="H9181" s="238"/>
      <c r="I9181" s="237"/>
    </row>
    <row r="9182" spans="1:9" s="232" customFormat="1" ht="17" customHeight="1">
      <c r="A9182" s="234"/>
      <c r="B9182" s="233"/>
      <c r="C9182" s="238"/>
      <c r="E9182" s="545"/>
      <c r="F9182" s="546"/>
      <c r="G9182" s="234"/>
      <c r="H9182" s="238"/>
      <c r="I9182" s="237"/>
    </row>
    <row r="9183" spans="1:9" s="232" customFormat="1" ht="17" customHeight="1">
      <c r="A9183" s="234"/>
      <c r="B9183" s="233"/>
      <c r="C9183" s="238"/>
      <c r="E9183" s="545"/>
      <c r="F9183" s="546"/>
      <c r="G9183" s="234"/>
      <c r="H9183" s="238"/>
      <c r="I9183" s="237"/>
    </row>
    <row r="9184" spans="1:9" s="232" customFormat="1" ht="17" customHeight="1">
      <c r="A9184" s="234"/>
      <c r="B9184" s="233"/>
      <c r="C9184" s="238"/>
      <c r="E9184" s="545"/>
      <c r="F9184" s="546"/>
      <c r="G9184" s="234"/>
      <c r="H9184" s="238"/>
      <c r="I9184" s="237"/>
    </row>
    <row r="9185" spans="1:9" s="232" customFormat="1" ht="17" customHeight="1">
      <c r="A9185" s="234"/>
      <c r="B9185" s="233"/>
      <c r="C9185" s="238"/>
      <c r="E9185" s="545"/>
      <c r="F9185" s="546"/>
      <c r="G9185" s="234"/>
      <c r="H9185" s="238"/>
      <c r="I9185" s="237"/>
    </row>
    <row r="9186" spans="1:9" s="232" customFormat="1" ht="17" customHeight="1">
      <c r="A9186" s="234"/>
      <c r="B9186" s="233"/>
      <c r="C9186" s="238"/>
      <c r="E9186" s="545"/>
      <c r="F9186" s="546"/>
      <c r="G9186" s="234"/>
      <c r="H9186" s="238"/>
      <c r="I9186" s="237"/>
    </row>
    <row r="9187" spans="1:9" s="232" customFormat="1" ht="17" customHeight="1">
      <c r="A9187" s="234"/>
      <c r="B9187" s="233"/>
      <c r="C9187" s="238"/>
      <c r="E9187" s="545"/>
      <c r="F9187" s="546"/>
      <c r="G9187" s="234"/>
      <c r="H9187" s="238"/>
      <c r="I9187" s="237"/>
    </row>
    <row r="9188" spans="1:9" s="232" customFormat="1" ht="17" customHeight="1">
      <c r="A9188" s="234"/>
      <c r="B9188" s="233"/>
      <c r="C9188" s="238"/>
      <c r="E9188" s="545"/>
      <c r="F9188" s="546"/>
      <c r="G9188" s="234"/>
      <c r="H9188" s="238"/>
      <c r="I9188" s="237"/>
    </row>
    <row r="9189" spans="1:9" s="232" customFormat="1" ht="17" customHeight="1">
      <c r="A9189" s="234"/>
      <c r="B9189" s="233"/>
      <c r="C9189" s="238"/>
      <c r="E9189" s="545"/>
      <c r="F9189" s="546"/>
      <c r="G9189" s="234"/>
      <c r="H9189" s="238"/>
      <c r="I9189" s="237"/>
    </row>
    <row r="9190" spans="1:9" s="232" customFormat="1" ht="17" customHeight="1">
      <c r="A9190" s="234"/>
      <c r="B9190" s="233"/>
      <c r="C9190" s="238"/>
      <c r="E9190" s="545"/>
      <c r="F9190" s="546"/>
      <c r="G9190" s="234"/>
      <c r="H9190" s="238"/>
      <c r="I9190" s="237"/>
    </row>
    <row r="9191" spans="1:9" s="232" customFormat="1" ht="17" customHeight="1">
      <c r="A9191" s="234"/>
      <c r="B9191" s="233"/>
      <c r="C9191" s="238"/>
      <c r="E9191" s="545"/>
      <c r="F9191" s="546"/>
      <c r="G9191" s="234"/>
      <c r="H9191" s="238"/>
      <c r="I9191" s="237"/>
    </row>
    <row r="9192" spans="1:9" s="232" customFormat="1" ht="17" customHeight="1">
      <c r="A9192" s="234"/>
      <c r="B9192" s="233"/>
      <c r="C9192" s="238"/>
      <c r="E9192" s="545"/>
      <c r="F9192" s="546"/>
      <c r="G9192" s="234"/>
      <c r="H9192" s="238"/>
      <c r="I9192" s="237"/>
    </row>
    <row r="9193" spans="1:9" s="232" customFormat="1" ht="17" customHeight="1">
      <c r="A9193" s="234"/>
      <c r="B9193" s="233"/>
      <c r="C9193" s="238"/>
      <c r="E9193" s="545"/>
      <c r="F9193" s="546"/>
      <c r="G9193" s="234"/>
      <c r="H9193" s="238"/>
      <c r="I9193" s="237"/>
    </row>
    <row r="9194" spans="1:9" s="232" customFormat="1" ht="17" customHeight="1">
      <c r="A9194" s="234"/>
      <c r="B9194" s="233"/>
      <c r="C9194" s="238"/>
      <c r="E9194" s="545"/>
      <c r="F9194" s="546"/>
      <c r="G9194" s="234"/>
      <c r="H9194" s="238"/>
      <c r="I9194" s="237"/>
    </row>
    <row r="9195" spans="1:9" s="232" customFormat="1" ht="17" customHeight="1">
      <c r="A9195" s="234"/>
      <c r="B9195" s="233"/>
      <c r="C9195" s="238"/>
      <c r="E9195" s="545"/>
      <c r="F9195" s="546"/>
      <c r="G9195" s="234"/>
      <c r="H9195" s="238"/>
      <c r="I9195" s="237"/>
    </row>
    <row r="9196" spans="1:9" s="232" customFormat="1" ht="17" customHeight="1">
      <c r="A9196" s="234"/>
      <c r="B9196" s="233"/>
      <c r="C9196" s="238"/>
      <c r="E9196" s="545"/>
      <c r="F9196" s="546"/>
      <c r="G9196" s="234"/>
      <c r="H9196" s="238"/>
      <c r="I9196" s="237"/>
    </row>
    <row r="9197" spans="1:9" s="232" customFormat="1" ht="17" customHeight="1">
      <c r="A9197" s="234"/>
      <c r="B9197" s="233"/>
      <c r="C9197" s="238"/>
      <c r="E9197" s="545"/>
      <c r="F9197" s="546"/>
      <c r="G9197" s="234"/>
      <c r="H9197" s="238"/>
      <c r="I9197" s="237"/>
    </row>
    <row r="9198" spans="1:9" s="232" customFormat="1" ht="17" customHeight="1">
      <c r="A9198" s="234"/>
      <c r="B9198" s="233"/>
      <c r="C9198" s="238"/>
      <c r="E9198" s="545"/>
      <c r="F9198" s="546"/>
      <c r="G9198" s="234"/>
      <c r="H9198" s="238"/>
      <c r="I9198" s="237"/>
    </row>
    <row r="9199" spans="1:9" s="232" customFormat="1" ht="17" customHeight="1">
      <c r="A9199" s="234"/>
      <c r="B9199" s="233"/>
      <c r="C9199" s="238"/>
      <c r="E9199" s="545"/>
      <c r="F9199" s="546"/>
      <c r="G9199" s="234"/>
      <c r="H9199" s="238"/>
      <c r="I9199" s="237"/>
    </row>
    <row r="9200" spans="1:9" s="232" customFormat="1" ht="17" customHeight="1">
      <c r="A9200" s="234"/>
      <c r="B9200" s="233"/>
      <c r="C9200" s="238"/>
      <c r="E9200" s="545"/>
      <c r="F9200" s="546"/>
      <c r="G9200" s="234"/>
      <c r="H9200" s="238"/>
      <c r="I9200" s="237"/>
    </row>
    <row r="9201" spans="1:9" s="232" customFormat="1" ht="17" customHeight="1">
      <c r="A9201" s="234"/>
      <c r="B9201" s="233"/>
      <c r="C9201" s="238"/>
      <c r="E9201" s="545"/>
      <c r="F9201" s="546"/>
      <c r="G9201" s="234"/>
      <c r="H9201" s="238"/>
      <c r="I9201" s="237"/>
    </row>
    <row r="9202" spans="1:9" s="232" customFormat="1" ht="17" customHeight="1">
      <c r="A9202" s="234"/>
      <c r="B9202" s="233"/>
      <c r="C9202" s="238"/>
      <c r="E9202" s="545"/>
      <c r="F9202" s="546"/>
      <c r="G9202" s="234"/>
      <c r="H9202" s="238"/>
      <c r="I9202" s="237"/>
    </row>
    <row r="9203" spans="1:9" s="232" customFormat="1" ht="17" customHeight="1">
      <c r="A9203" s="234"/>
      <c r="B9203" s="233"/>
      <c r="C9203" s="238"/>
      <c r="E9203" s="545"/>
      <c r="F9203" s="546"/>
      <c r="G9203" s="234"/>
      <c r="H9203" s="238"/>
      <c r="I9203" s="237"/>
    </row>
    <row r="9204" spans="1:9" s="232" customFormat="1" ht="17" customHeight="1">
      <c r="A9204" s="234"/>
      <c r="B9204" s="233"/>
      <c r="C9204" s="238"/>
      <c r="E9204" s="545"/>
      <c r="F9204" s="546"/>
      <c r="G9204" s="234"/>
      <c r="H9204" s="238"/>
      <c r="I9204" s="237"/>
    </row>
    <row r="9205" spans="1:9" s="232" customFormat="1" ht="17" customHeight="1">
      <c r="A9205" s="234"/>
      <c r="B9205" s="233"/>
      <c r="C9205" s="238"/>
      <c r="E9205" s="545"/>
      <c r="F9205" s="546"/>
      <c r="G9205" s="234"/>
      <c r="H9205" s="238"/>
      <c r="I9205" s="237"/>
    </row>
    <row r="9206" spans="1:9" s="232" customFormat="1" ht="17" customHeight="1">
      <c r="A9206" s="234"/>
      <c r="B9206" s="233"/>
      <c r="C9206" s="238"/>
      <c r="E9206" s="545"/>
      <c r="F9206" s="546"/>
      <c r="G9206" s="234"/>
      <c r="H9206" s="238"/>
      <c r="I9206" s="237"/>
    </row>
    <row r="9207" spans="1:9" s="232" customFormat="1" ht="17" customHeight="1">
      <c r="A9207" s="234"/>
      <c r="B9207" s="233"/>
      <c r="C9207" s="238"/>
      <c r="E9207" s="545"/>
      <c r="F9207" s="546"/>
      <c r="G9207" s="234"/>
      <c r="H9207" s="238"/>
      <c r="I9207" s="237"/>
    </row>
    <row r="9208" spans="1:9" s="232" customFormat="1" ht="17" customHeight="1">
      <c r="A9208" s="234"/>
      <c r="B9208" s="233"/>
      <c r="C9208" s="238"/>
      <c r="E9208" s="545"/>
      <c r="F9208" s="546"/>
      <c r="G9208" s="234"/>
      <c r="H9208" s="238"/>
      <c r="I9208" s="237"/>
    </row>
    <row r="9209" spans="1:9" s="232" customFormat="1" ht="17" customHeight="1">
      <c r="A9209" s="234"/>
      <c r="B9209" s="233"/>
      <c r="C9209" s="238"/>
      <c r="E9209" s="545"/>
      <c r="F9209" s="546"/>
      <c r="G9209" s="234"/>
      <c r="H9209" s="238"/>
      <c r="I9209" s="237"/>
    </row>
    <row r="9210" spans="1:9" s="232" customFormat="1" ht="17" customHeight="1">
      <c r="A9210" s="234"/>
      <c r="B9210" s="233"/>
      <c r="C9210" s="238"/>
      <c r="E9210" s="545"/>
      <c r="F9210" s="546"/>
      <c r="G9210" s="234"/>
      <c r="H9210" s="238"/>
      <c r="I9210" s="237"/>
    </row>
    <row r="9211" spans="1:9" s="232" customFormat="1" ht="17" customHeight="1">
      <c r="A9211" s="234"/>
      <c r="B9211" s="233"/>
      <c r="C9211" s="238"/>
      <c r="E9211" s="545"/>
      <c r="F9211" s="546"/>
      <c r="G9211" s="234"/>
      <c r="H9211" s="238"/>
      <c r="I9211" s="237"/>
    </row>
    <row r="9212" spans="1:9" s="232" customFormat="1" ht="17" customHeight="1">
      <c r="A9212" s="234"/>
      <c r="B9212" s="233"/>
      <c r="C9212" s="238"/>
      <c r="E9212" s="545"/>
      <c r="F9212" s="546"/>
      <c r="G9212" s="234"/>
      <c r="H9212" s="238"/>
      <c r="I9212" s="237"/>
    </row>
    <row r="9213" spans="1:9" s="232" customFormat="1" ht="17" customHeight="1">
      <c r="A9213" s="234"/>
      <c r="B9213" s="233"/>
      <c r="C9213" s="238"/>
      <c r="E9213" s="545"/>
      <c r="F9213" s="546"/>
      <c r="G9213" s="234"/>
      <c r="H9213" s="238"/>
      <c r="I9213" s="237"/>
    </row>
    <row r="9214" spans="1:9" s="232" customFormat="1" ht="17" customHeight="1">
      <c r="A9214" s="234"/>
      <c r="B9214" s="233"/>
      <c r="C9214" s="238"/>
      <c r="E9214" s="545"/>
      <c r="F9214" s="546"/>
      <c r="G9214" s="234"/>
      <c r="H9214" s="238"/>
      <c r="I9214" s="237"/>
    </row>
    <row r="9215" spans="1:9" s="232" customFormat="1" ht="17" customHeight="1">
      <c r="A9215" s="234"/>
      <c r="B9215" s="233"/>
      <c r="C9215" s="238"/>
      <c r="E9215" s="545"/>
      <c r="F9215" s="546"/>
      <c r="G9215" s="234"/>
      <c r="H9215" s="238"/>
      <c r="I9215" s="237"/>
    </row>
    <row r="9216" spans="1:9" s="232" customFormat="1" ht="17" customHeight="1">
      <c r="A9216" s="234"/>
      <c r="B9216" s="233"/>
      <c r="C9216" s="238"/>
      <c r="E9216" s="545"/>
      <c r="F9216" s="546"/>
      <c r="G9216" s="234"/>
      <c r="H9216" s="238"/>
      <c r="I9216" s="237"/>
    </row>
    <row r="9217" spans="1:9" s="232" customFormat="1" ht="17" customHeight="1">
      <c r="A9217" s="234"/>
      <c r="B9217" s="233"/>
      <c r="C9217" s="238"/>
      <c r="E9217" s="545"/>
      <c r="F9217" s="546"/>
      <c r="G9217" s="234"/>
      <c r="H9217" s="238"/>
      <c r="I9217" s="237"/>
    </row>
    <row r="9218" spans="1:9" s="232" customFormat="1" ht="17" customHeight="1">
      <c r="A9218" s="234"/>
      <c r="B9218" s="233"/>
      <c r="C9218" s="238"/>
      <c r="E9218" s="545"/>
      <c r="F9218" s="546"/>
      <c r="G9218" s="234"/>
      <c r="H9218" s="238"/>
      <c r="I9218" s="237"/>
    </row>
    <row r="9219" spans="1:9" s="232" customFormat="1" ht="17" customHeight="1">
      <c r="A9219" s="234"/>
      <c r="B9219" s="233"/>
      <c r="C9219" s="238"/>
      <c r="E9219" s="545"/>
      <c r="F9219" s="546"/>
      <c r="G9219" s="234"/>
      <c r="H9219" s="238"/>
      <c r="I9219" s="237"/>
    </row>
    <row r="9220" spans="1:9" s="232" customFormat="1" ht="17" customHeight="1">
      <c r="A9220" s="234"/>
      <c r="B9220" s="233"/>
      <c r="C9220" s="238"/>
      <c r="E9220" s="545"/>
      <c r="F9220" s="546"/>
      <c r="G9220" s="234"/>
      <c r="H9220" s="238"/>
      <c r="I9220" s="237"/>
    </row>
    <row r="9221" spans="1:9" s="232" customFormat="1" ht="17" customHeight="1">
      <c r="A9221" s="234"/>
      <c r="B9221" s="233"/>
      <c r="C9221" s="238"/>
      <c r="E9221" s="545"/>
      <c r="F9221" s="546"/>
      <c r="G9221" s="234"/>
      <c r="H9221" s="238"/>
      <c r="I9221" s="237"/>
    </row>
    <row r="9222" spans="1:9" s="232" customFormat="1" ht="17" customHeight="1">
      <c r="A9222" s="234"/>
      <c r="B9222" s="233"/>
      <c r="C9222" s="238"/>
      <c r="E9222" s="545"/>
      <c r="F9222" s="546"/>
      <c r="G9222" s="234"/>
      <c r="H9222" s="238"/>
      <c r="I9222" s="237"/>
    </row>
    <row r="9223" spans="1:9" s="232" customFormat="1" ht="17" customHeight="1">
      <c r="A9223" s="234"/>
      <c r="B9223" s="233"/>
      <c r="C9223" s="238"/>
      <c r="E9223" s="545"/>
      <c r="F9223" s="546"/>
      <c r="G9223" s="234"/>
      <c r="H9223" s="238"/>
      <c r="I9223" s="237"/>
    </row>
    <row r="9224" spans="1:9" s="232" customFormat="1" ht="17" customHeight="1">
      <c r="A9224" s="234"/>
      <c r="B9224" s="233"/>
      <c r="C9224" s="238"/>
      <c r="E9224" s="545"/>
      <c r="F9224" s="546"/>
      <c r="G9224" s="234"/>
      <c r="H9224" s="238"/>
      <c r="I9224" s="237"/>
    </row>
    <row r="9225" spans="1:9" s="232" customFormat="1" ht="17" customHeight="1">
      <c r="A9225" s="234"/>
      <c r="B9225" s="233"/>
      <c r="C9225" s="238"/>
      <c r="E9225" s="545"/>
      <c r="F9225" s="546"/>
      <c r="G9225" s="234"/>
      <c r="H9225" s="238"/>
      <c r="I9225" s="237"/>
    </row>
    <row r="9226" spans="1:9" s="232" customFormat="1" ht="17" customHeight="1">
      <c r="A9226" s="234"/>
      <c r="B9226" s="233"/>
      <c r="C9226" s="238"/>
      <c r="E9226" s="545"/>
      <c r="F9226" s="546"/>
      <c r="G9226" s="234"/>
      <c r="H9226" s="238"/>
      <c r="I9226" s="237"/>
    </row>
    <row r="9227" spans="1:9" s="232" customFormat="1" ht="17" customHeight="1">
      <c r="A9227" s="234"/>
      <c r="B9227" s="233"/>
      <c r="C9227" s="238"/>
      <c r="E9227" s="545"/>
      <c r="F9227" s="546"/>
      <c r="G9227" s="234"/>
      <c r="H9227" s="238"/>
      <c r="I9227" s="237"/>
    </row>
    <row r="9228" spans="1:9" s="232" customFormat="1" ht="17" customHeight="1">
      <c r="A9228" s="234"/>
      <c r="B9228" s="233"/>
      <c r="C9228" s="238"/>
      <c r="E9228" s="545"/>
      <c r="F9228" s="546"/>
      <c r="G9228" s="234"/>
      <c r="H9228" s="238"/>
      <c r="I9228" s="237"/>
    </row>
    <row r="9229" spans="1:9" s="232" customFormat="1" ht="17" customHeight="1">
      <c r="A9229" s="234"/>
      <c r="B9229" s="233"/>
      <c r="C9229" s="238"/>
      <c r="E9229" s="545"/>
      <c r="F9229" s="546"/>
      <c r="G9229" s="234"/>
      <c r="H9229" s="238"/>
      <c r="I9229" s="237"/>
    </row>
    <row r="9230" spans="1:9" s="232" customFormat="1" ht="17" customHeight="1">
      <c r="A9230" s="234"/>
      <c r="B9230" s="233"/>
      <c r="C9230" s="238"/>
      <c r="E9230" s="545"/>
      <c r="F9230" s="546"/>
      <c r="G9230" s="234"/>
      <c r="H9230" s="238"/>
      <c r="I9230" s="237"/>
    </row>
    <row r="9231" spans="1:9" s="232" customFormat="1" ht="17" customHeight="1">
      <c r="A9231" s="234"/>
      <c r="B9231" s="233"/>
      <c r="C9231" s="238"/>
      <c r="E9231" s="545"/>
      <c r="F9231" s="546"/>
      <c r="G9231" s="234"/>
      <c r="H9231" s="238"/>
      <c r="I9231" s="237"/>
    </row>
    <row r="9232" spans="1:9" s="232" customFormat="1" ht="17" customHeight="1">
      <c r="A9232" s="234"/>
      <c r="B9232" s="233"/>
      <c r="C9232" s="238"/>
      <c r="E9232" s="545"/>
      <c r="F9232" s="546"/>
      <c r="G9232" s="234"/>
      <c r="H9232" s="238"/>
      <c r="I9232" s="237"/>
    </row>
    <row r="9233" spans="1:9" s="232" customFormat="1" ht="17" customHeight="1">
      <c r="A9233" s="234"/>
      <c r="B9233" s="233"/>
      <c r="C9233" s="238"/>
      <c r="E9233" s="545"/>
      <c r="F9233" s="546"/>
      <c r="G9233" s="234"/>
      <c r="H9233" s="238"/>
      <c r="I9233" s="237"/>
    </row>
    <row r="9234" spans="1:9" s="232" customFormat="1" ht="17" customHeight="1">
      <c r="A9234" s="234"/>
      <c r="B9234" s="233"/>
      <c r="C9234" s="238"/>
      <c r="E9234" s="545"/>
      <c r="F9234" s="546"/>
      <c r="G9234" s="234"/>
      <c r="H9234" s="238"/>
      <c r="I9234" s="237"/>
    </row>
    <row r="9235" spans="1:9" s="232" customFormat="1" ht="17" customHeight="1">
      <c r="A9235" s="234"/>
      <c r="B9235" s="233"/>
      <c r="C9235" s="238"/>
      <c r="E9235" s="545"/>
      <c r="F9235" s="546"/>
      <c r="G9235" s="234"/>
      <c r="H9235" s="238"/>
      <c r="I9235" s="237"/>
    </row>
    <row r="9236" spans="1:9" s="232" customFormat="1" ht="17" customHeight="1">
      <c r="A9236" s="234"/>
      <c r="B9236" s="233"/>
      <c r="C9236" s="238"/>
      <c r="E9236" s="545"/>
      <c r="F9236" s="546"/>
      <c r="G9236" s="234"/>
      <c r="H9236" s="238"/>
      <c r="I9236" s="237"/>
    </row>
    <row r="9237" spans="1:9" s="232" customFormat="1" ht="17" customHeight="1">
      <c r="A9237" s="234"/>
      <c r="B9237" s="233"/>
      <c r="C9237" s="238"/>
      <c r="E9237" s="545"/>
      <c r="F9237" s="546"/>
      <c r="G9237" s="234"/>
      <c r="H9237" s="238"/>
      <c r="I9237" s="237"/>
    </row>
    <row r="9238" spans="1:9" s="232" customFormat="1" ht="17" customHeight="1">
      <c r="A9238" s="234"/>
      <c r="B9238" s="233"/>
      <c r="C9238" s="238"/>
      <c r="E9238" s="545"/>
      <c r="F9238" s="546"/>
      <c r="G9238" s="234"/>
      <c r="H9238" s="238"/>
      <c r="I9238" s="237"/>
    </row>
    <row r="9239" spans="1:9" s="232" customFormat="1" ht="17" customHeight="1">
      <c r="A9239" s="234"/>
      <c r="B9239" s="233"/>
      <c r="C9239" s="238"/>
      <c r="E9239" s="545"/>
      <c r="F9239" s="546"/>
      <c r="G9239" s="234"/>
      <c r="H9239" s="238"/>
      <c r="I9239" s="237"/>
    </row>
    <row r="9240" spans="1:9" s="232" customFormat="1" ht="17" customHeight="1">
      <c r="A9240" s="234"/>
      <c r="B9240" s="233"/>
      <c r="C9240" s="238"/>
      <c r="E9240" s="545"/>
      <c r="F9240" s="546"/>
      <c r="G9240" s="234"/>
      <c r="H9240" s="238"/>
      <c r="I9240" s="237"/>
    </row>
    <row r="9241" spans="1:9" s="232" customFormat="1" ht="17" customHeight="1">
      <c r="A9241" s="234"/>
      <c r="B9241" s="233"/>
      <c r="C9241" s="238"/>
      <c r="E9241" s="545"/>
      <c r="F9241" s="546"/>
      <c r="G9241" s="234"/>
      <c r="H9241" s="238"/>
      <c r="I9241" s="237"/>
    </row>
    <row r="9242" spans="1:9" s="232" customFormat="1" ht="17" customHeight="1">
      <c r="A9242" s="234"/>
      <c r="B9242" s="233"/>
      <c r="C9242" s="238"/>
      <c r="E9242" s="545"/>
      <c r="F9242" s="546"/>
      <c r="G9242" s="234"/>
      <c r="H9242" s="238"/>
      <c r="I9242" s="237"/>
    </row>
    <row r="9243" spans="1:9" s="232" customFormat="1" ht="17" customHeight="1">
      <c r="A9243" s="234"/>
      <c r="B9243" s="233"/>
      <c r="C9243" s="238"/>
      <c r="E9243" s="545"/>
      <c r="F9243" s="546"/>
      <c r="G9243" s="234"/>
      <c r="H9243" s="238"/>
      <c r="I9243" s="237"/>
    </row>
    <row r="9244" spans="1:9" s="232" customFormat="1" ht="17" customHeight="1">
      <c r="A9244" s="234"/>
      <c r="B9244" s="233"/>
      <c r="C9244" s="238"/>
      <c r="E9244" s="545"/>
      <c r="F9244" s="546"/>
      <c r="G9244" s="234"/>
      <c r="H9244" s="238"/>
      <c r="I9244" s="237"/>
    </row>
    <row r="9245" spans="1:9" s="232" customFormat="1" ht="17" customHeight="1">
      <c r="A9245" s="234"/>
      <c r="B9245" s="233"/>
      <c r="C9245" s="238"/>
      <c r="E9245" s="545"/>
      <c r="F9245" s="546"/>
      <c r="G9245" s="234"/>
      <c r="H9245" s="238"/>
      <c r="I9245" s="237"/>
    </row>
    <row r="9246" spans="1:9" s="232" customFormat="1" ht="17" customHeight="1">
      <c r="A9246" s="234"/>
      <c r="B9246" s="233"/>
      <c r="C9246" s="238"/>
      <c r="E9246" s="545"/>
      <c r="F9246" s="546"/>
      <c r="G9246" s="234"/>
      <c r="H9246" s="238"/>
      <c r="I9246" s="237"/>
    </row>
    <row r="9247" spans="1:9" s="232" customFormat="1" ht="17" customHeight="1">
      <c r="A9247" s="234"/>
      <c r="B9247" s="233"/>
      <c r="C9247" s="238"/>
      <c r="E9247" s="545"/>
      <c r="F9247" s="546"/>
      <c r="G9247" s="234"/>
      <c r="H9247" s="238"/>
      <c r="I9247" s="237"/>
    </row>
    <row r="9248" spans="1:9" s="232" customFormat="1" ht="17" customHeight="1">
      <c r="A9248" s="234"/>
      <c r="B9248" s="233"/>
      <c r="C9248" s="238"/>
      <c r="E9248" s="545"/>
      <c r="F9248" s="546"/>
      <c r="G9248" s="234"/>
      <c r="H9248" s="238"/>
      <c r="I9248" s="237"/>
    </row>
    <row r="9249" spans="1:9" s="232" customFormat="1" ht="17" customHeight="1">
      <c r="A9249" s="234"/>
      <c r="B9249" s="233"/>
      <c r="C9249" s="238"/>
      <c r="E9249" s="545"/>
      <c r="F9249" s="546"/>
      <c r="G9249" s="234"/>
      <c r="H9249" s="238"/>
      <c r="I9249" s="237"/>
    </row>
    <row r="9250" spans="1:9" s="232" customFormat="1" ht="17" customHeight="1">
      <c r="A9250" s="234"/>
      <c r="B9250" s="233"/>
      <c r="C9250" s="238"/>
      <c r="E9250" s="545"/>
      <c r="F9250" s="546"/>
      <c r="G9250" s="234"/>
      <c r="H9250" s="238"/>
      <c r="I9250" s="237"/>
    </row>
    <row r="9251" spans="1:9" s="232" customFormat="1" ht="17" customHeight="1">
      <c r="A9251" s="234"/>
      <c r="B9251" s="233"/>
      <c r="C9251" s="238"/>
      <c r="E9251" s="545"/>
      <c r="F9251" s="546"/>
      <c r="G9251" s="234"/>
      <c r="H9251" s="238"/>
      <c r="I9251" s="237"/>
    </row>
    <row r="9252" spans="1:9" s="232" customFormat="1" ht="17" customHeight="1">
      <c r="A9252" s="234"/>
      <c r="B9252" s="233"/>
      <c r="C9252" s="238"/>
      <c r="E9252" s="545"/>
      <c r="F9252" s="546"/>
      <c r="G9252" s="234"/>
      <c r="H9252" s="238"/>
      <c r="I9252" s="237"/>
    </row>
    <row r="9253" spans="1:9" s="232" customFormat="1" ht="17" customHeight="1">
      <c r="A9253" s="234"/>
      <c r="B9253" s="233"/>
      <c r="C9253" s="238"/>
      <c r="E9253" s="545"/>
      <c r="F9253" s="546"/>
      <c r="G9253" s="234"/>
      <c r="H9253" s="238"/>
      <c r="I9253" s="237"/>
    </row>
    <row r="9254" spans="1:9" s="232" customFormat="1" ht="17" customHeight="1">
      <c r="A9254" s="234"/>
      <c r="B9254" s="233"/>
      <c r="C9254" s="238"/>
      <c r="E9254" s="545"/>
      <c r="F9254" s="546"/>
      <c r="G9254" s="234"/>
      <c r="H9254" s="238"/>
      <c r="I9254" s="237"/>
    </row>
    <row r="9255" spans="1:9" s="232" customFormat="1" ht="17" customHeight="1">
      <c r="A9255" s="234"/>
      <c r="B9255" s="233"/>
      <c r="C9255" s="238"/>
      <c r="E9255" s="545"/>
      <c r="F9255" s="546"/>
      <c r="G9255" s="234"/>
      <c r="H9255" s="238"/>
      <c r="I9255" s="237"/>
    </row>
    <row r="9256" spans="1:9" s="232" customFormat="1" ht="17" customHeight="1">
      <c r="A9256" s="234"/>
      <c r="B9256" s="233"/>
      <c r="C9256" s="238"/>
      <c r="E9256" s="545"/>
      <c r="F9256" s="546"/>
      <c r="G9256" s="234"/>
      <c r="H9256" s="238"/>
      <c r="I9256" s="237"/>
    </row>
    <row r="9257" spans="1:9" s="232" customFormat="1" ht="17" customHeight="1">
      <c r="A9257" s="234"/>
      <c r="B9257" s="233"/>
      <c r="C9257" s="238"/>
      <c r="E9257" s="545"/>
      <c r="F9257" s="546"/>
      <c r="G9257" s="234"/>
      <c r="H9257" s="238"/>
      <c r="I9257" s="237"/>
    </row>
    <row r="9258" spans="1:9" s="232" customFormat="1" ht="17" customHeight="1">
      <c r="A9258" s="234"/>
      <c r="B9258" s="233"/>
      <c r="C9258" s="238"/>
      <c r="E9258" s="545"/>
      <c r="F9258" s="546"/>
      <c r="G9258" s="234"/>
      <c r="H9258" s="238"/>
      <c r="I9258" s="237"/>
    </row>
    <row r="9259" spans="1:9" s="232" customFormat="1" ht="17" customHeight="1">
      <c r="A9259" s="234"/>
      <c r="B9259" s="233"/>
      <c r="C9259" s="238"/>
      <c r="E9259" s="545"/>
      <c r="F9259" s="546"/>
      <c r="G9259" s="234"/>
      <c r="H9259" s="238"/>
      <c r="I9259" s="237"/>
    </row>
    <row r="9260" spans="1:9" s="232" customFormat="1" ht="17" customHeight="1">
      <c r="A9260" s="234"/>
      <c r="B9260" s="233"/>
      <c r="C9260" s="238"/>
      <c r="E9260" s="545"/>
      <c r="F9260" s="546"/>
      <c r="G9260" s="234"/>
      <c r="H9260" s="238"/>
      <c r="I9260" s="237"/>
    </row>
    <row r="9261" spans="1:9" s="232" customFormat="1" ht="17" customHeight="1">
      <c r="A9261" s="234"/>
      <c r="B9261" s="233"/>
      <c r="C9261" s="238"/>
      <c r="E9261" s="545"/>
      <c r="F9261" s="546"/>
      <c r="G9261" s="234"/>
      <c r="H9261" s="238"/>
      <c r="I9261" s="237"/>
    </row>
    <row r="9262" spans="1:9" s="232" customFormat="1" ht="17" customHeight="1">
      <c r="A9262" s="234"/>
      <c r="B9262" s="233"/>
      <c r="C9262" s="238"/>
      <c r="E9262" s="545"/>
      <c r="F9262" s="546"/>
      <c r="G9262" s="234"/>
      <c r="H9262" s="238"/>
      <c r="I9262" s="237"/>
    </row>
    <row r="9263" spans="1:9" s="232" customFormat="1" ht="17" customHeight="1">
      <c r="A9263" s="234"/>
      <c r="B9263" s="233"/>
      <c r="C9263" s="238"/>
      <c r="E9263" s="545"/>
      <c r="F9263" s="546"/>
      <c r="G9263" s="234"/>
      <c r="H9263" s="238"/>
      <c r="I9263" s="237"/>
    </row>
    <row r="9264" spans="1:9" s="232" customFormat="1" ht="17" customHeight="1">
      <c r="A9264" s="234"/>
      <c r="B9264" s="233"/>
      <c r="C9264" s="238"/>
      <c r="E9264" s="545"/>
      <c r="F9264" s="546"/>
      <c r="G9264" s="234"/>
      <c r="H9264" s="238"/>
      <c r="I9264" s="237"/>
    </row>
    <row r="9265" spans="1:9" s="232" customFormat="1" ht="17" customHeight="1">
      <c r="A9265" s="234"/>
      <c r="B9265" s="233"/>
      <c r="C9265" s="238"/>
      <c r="E9265" s="545"/>
      <c r="F9265" s="546"/>
      <c r="G9265" s="234"/>
      <c r="H9265" s="238"/>
      <c r="I9265" s="237"/>
    </row>
    <row r="9266" spans="1:9" s="232" customFormat="1" ht="17" customHeight="1">
      <c r="A9266" s="234"/>
      <c r="B9266" s="233"/>
      <c r="C9266" s="238"/>
      <c r="E9266" s="545"/>
      <c r="F9266" s="546"/>
      <c r="G9266" s="234"/>
      <c r="H9266" s="238"/>
      <c r="I9266" s="237"/>
    </row>
    <row r="9267" spans="1:9" s="232" customFormat="1" ht="17" customHeight="1">
      <c r="A9267" s="234"/>
      <c r="B9267" s="233"/>
      <c r="C9267" s="238"/>
      <c r="E9267" s="545"/>
      <c r="F9267" s="546"/>
      <c r="G9267" s="234"/>
      <c r="H9267" s="238"/>
      <c r="I9267" s="237"/>
    </row>
    <row r="9268" spans="1:9" s="232" customFormat="1" ht="17" customHeight="1">
      <c r="A9268" s="234"/>
      <c r="B9268" s="233"/>
      <c r="C9268" s="238"/>
      <c r="E9268" s="545"/>
      <c r="F9268" s="546"/>
      <c r="G9268" s="234"/>
      <c r="H9268" s="238"/>
      <c r="I9268" s="237"/>
    </row>
    <row r="9269" spans="1:9" s="232" customFormat="1" ht="17" customHeight="1">
      <c r="A9269" s="234"/>
      <c r="B9269" s="233"/>
      <c r="C9269" s="238"/>
      <c r="E9269" s="545"/>
      <c r="F9269" s="546"/>
      <c r="G9269" s="234"/>
      <c r="H9269" s="238"/>
      <c r="I9269" s="237"/>
    </row>
    <row r="9270" spans="1:9" s="232" customFormat="1" ht="17" customHeight="1">
      <c r="A9270" s="234"/>
      <c r="B9270" s="233"/>
      <c r="C9270" s="238"/>
      <c r="E9270" s="545"/>
      <c r="F9270" s="546"/>
      <c r="G9270" s="234"/>
      <c r="H9270" s="238"/>
      <c r="I9270" s="237"/>
    </row>
    <row r="9271" spans="1:9" s="232" customFormat="1" ht="17" customHeight="1">
      <c r="A9271" s="234"/>
      <c r="B9271" s="233"/>
      <c r="C9271" s="238"/>
      <c r="E9271" s="545"/>
      <c r="F9271" s="546"/>
      <c r="G9271" s="234"/>
      <c r="H9271" s="238"/>
      <c r="I9271" s="237"/>
    </row>
    <row r="9272" spans="1:9" s="232" customFormat="1" ht="17" customHeight="1">
      <c r="A9272" s="234"/>
      <c r="B9272" s="233"/>
      <c r="C9272" s="238"/>
      <c r="E9272" s="545"/>
      <c r="F9272" s="546"/>
      <c r="G9272" s="234"/>
      <c r="H9272" s="238"/>
      <c r="I9272" s="237"/>
    </row>
    <row r="9273" spans="1:9" s="232" customFormat="1" ht="17" customHeight="1">
      <c r="A9273" s="234"/>
      <c r="B9273" s="233"/>
      <c r="C9273" s="238"/>
      <c r="E9273" s="545"/>
      <c r="F9273" s="546"/>
      <c r="G9273" s="234"/>
      <c r="H9273" s="238"/>
      <c r="I9273" s="237"/>
    </row>
    <row r="9274" spans="1:9" s="232" customFormat="1" ht="17" customHeight="1">
      <c r="A9274" s="234"/>
      <c r="B9274" s="233"/>
      <c r="C9274" s="238"/>
      <c r="E9274" s="545"/>
      <c r="F9274" s="546"/>
      <c r="G9274" s="234"/>
      <c r="H9274" s="238"/>
      <c r="I9274" s="237"/>
    </row>
    <row r="9275" spans="1:9" s="232" customFormat="1" ht="17" customHeight="1">
      <c r="A9275" s="234"/>
      <c r="B9275" s="233"/>
      <c r="C9275" s="238"/>
      <c r="E9275" s="545"/>
      <c r="F9275" s="546"/>
      <c r="G9275" s="234"/>
      <c r="H9275" s="238"/>
      <c r="I9275" s="237"/>
    </row>
    <row r="9276" spans="1:9" s="232" customFormat="1" ht="17" customHeight="1">
      <c r="A9276" s="234"/>
      <c r="B9276" s="233"/>
      <c r="C9276" s="238"/>
      <c r="E9276" s="545"/>
      <c r="F9276" s="546"/>
      <c r="G9276" s="234"/>
      <c r="H9276" s="238"/>
      <c r="I9276" s="237"/>
    </row>
    <row r="9277" spans="1:9" s="232" customFormat="1" ht="17" customHeight="1">
      <c r="A9277" s="234"/>
      <c r="B9277" s="233"/>
      <c r="C9277" s="238"/>
      <c r="E9277" s="545"/>
      <c r="F9277" s="546"/>
      <c r="G9277" s="234"/>
      <c r="H9277" s="238"/>
      <c r="I9277" s="237"/>
    </row>
    <row r="9278" spans="1:9" s="232" customFormat="1" ht="17" customHeight="1">
      <c r="A9278" s="234"/>
      <c r="B9278" s="233"/>
      <c r="C9278" s="238"/>
      <c r="E9278" s="545"/>
      <c r="F9278" s="546"/>
      <c r="G9278" s="234"/>
      <c r="H9278" s="238"/>
      <c r="I9278" s="237"/>
    </row>
    <row r="9279" spans="1:9" s="232" customFormat="1" ht="17" customHeight="1">
      <c r="A9279" s="234"/>
      <c r="B9279" s="233"/>
      <c r="C9279" s="238"/>
      <c r="E9279" s="545"/>
      <c r="F9279" s="546"/>
      <c r="G9279" s="234"/>
      <c r="H9279" s="238"/>
      <c r="I9279" s="237"/>
    </row>
    <row r="9280" spans="1:9" s="232" customFormat="1" ht="17" customHeight="1">
      <c r="A9280" s="234"/>
      <c r="B9280" s="233"/>
      <c r="C9280" s="238"/>
      <c r="E9280" s="545"/>
      <c r="F9280" s="546"/>
      <c r="G9280" s="234"/>
      <c r="H9280" s="238"/>
      <c r="I9280" s="237"/>
    </row>
    <row r="9281" spans="1:9" s="232" customFormat="1" ht="17" customHeight="1">
      <c r="A9281" s="234"/>
      <c r="B9281" s="233"/>
      <c r="C9281" s="238"/>
      <c r="E9281" s="545"/>
      <c r="F9281" s="546"/>
      <c r="G9281" s="234"/>
      <c r="H9281" s="238"/>
      <c r="I9281" s="237"/>
    </row>
    <row r="9282" spans="1:9" s="232" customFormat="1" ht="17" customHeight="1">
      <c r="A9282" s="234"/>
      <c r="B9282" s="233"/>
      <c r="C9282" s="238"/>
      <c r="E9282" s="545"/>
      <c r="F9282" s="546"/>
      <c r="G9282" s="234"/>
      <c r="H9282" s="238"/>
      <c r="I9282" s="237"/>
    </row>
    <row r="9283" spans="1:9" s="232" customFormat="1" ht="17" customHeight="1">
      <c r="A9283" s="234"/>
      <c r="B9283" s="233"/>
      <c r="C9283" s="238"/>
      <c r="E9283" s="545"/>
      <c r="F9283" s="546"/>
      <c r="G9283" s="234"/>
      <c r="H9283" s="238"/>
      <c r="I9283" s="237"/>
    </row>
    <row r="9284" spans="1:9" s="232" customFormat="1" ht="17" customHeight="1">
      <c r="A9284" s="234"/>
      <c r="B9284" s="233"/>
      <c r="C9284" s="238"/>
      <c r="E9284" s="545"/>
      <c r="F9284" s="546"/>
      <c r="G9284" s="234"/>
      <c r="H9284" s="238"/>
      <c r="I9284" s="237"/>
    </row>
    <row r="9285" spans="1:9" s="232" customFormat="1" ht="17" customHeight="1">
      <c r="A9285" s="234"/>
      <c r="B9285" s="233"/>
      <c r="C9285" s="238"/>
      <c r="E9285" s="545"/>
      <c r="F9285" s="546"/>
      <c r="G9285" s="234"/>
      <c r="H9285" s="238"/>
      <c r="I9285" s="237"/>
    </row>
    <row r="9286" spans="1:9" s="232" customFormat="1" ht="17" customHeight="1">
      <c r="A9286" s="234"/>
      <c r="B9286" s="233"/>
      <c r="C9286" s="238"/>
      <c r="E9286" s="545"/>
      <c r="F9286" s="546"/>
      <c r="G9286" s="234"/>
      <c r="H9286" s="238"/>
      <c r="I9286" s="237"/>
    </row>
    <row r="9287" spans="1:9" s="232" customFormat="1" ht="17" customHeight="1">
      <c r="A9287" s="234"/>
      <c r="B9287" s="233"/>
      <c r="C9287" s="238"/>
      <c r="E9287" s="545"/>
      <c r="F9287" s="546"/>
      <c r="G9287" s="234"/>
      <c r="H9287" s="238"/>
      <c r="I9287" s="237"/>
    </row>
    <row r="9288" spans="1:9" s="232" customFormat="1" ht="17" customHeight="1">
      <c r="A9288" s="234"/>
      <c r="B9288" s="233"/>
      <c r="C9288" s="238"/>
      <c r="E9288" s="545"/>
      <c r="F9288" s="546"/>
      <c r="G9288" s="234"/>
      <c r="H9288" s="238"/>
      <c r="I9288" s="237"/>
    </row>
    <row r="9289" spans="1:9" s="232" customFormat="1" ht="17" customHeight="1">
      <c r="A9289" s="234"/>
      <c r="B9289" s="233"/>
      <c r="C9289" s="238"/>
      <c r="E9289" s="545"/>
      <c r="F9289" s="546"/>
      <c r="G9289" s="234"/>
      <c r="H9289" s="238"/>
      <c r="I9289" s="237"/>
    </row>
    <row r="9290" spans="1:9" s="232" customFormat="1" ht="17" customHeight="1">
      <c r="A9290" s="234"/>
      <c r="B9290" s="233"/>
      <c r="C9290" s="238"/>
      <c r="E9290" s="545"/>
      <c r="F9290" s="546"/>
      <c r="G9290" s="234"/>
      <c r="H9290" s="238"/>
      <c r="I9290" s="237"/>
    </row>
    <row r="9291" spans="1:9" s="232" customFormat="1" ht="17" customHeight="1">
      <c r="A9291" s="234"/>
      <c r="B9291" s="233"/>
      <c r="C9291" s="238"/>
      <c r="E9291" s="545"/>
      <c r="F9291" s="546"/>
      <c r="G9291" s="234"/>
      <c r="H9291" s="238"/>
      <c r="I9291" s="237"/>
    </row>
    <row r="9292" spans="1:9" s="232" customFormat="1" ht="17" customHeight="1">
      <c r="A9292" s="234"/>
      <c r="B9292" s="233"/>
      <c r="C9292" s="238"/>
      <c r="E9292" s="545"/>
      <c r="F9292" s="546"/>
      <c r="G9292" s="234"/>
      <c r="H9292" s="238"/>
      <c r="I9292" s="237"/>
    </row>
    <row r="9293" spans="1:9" s="232" customFormat="1" ht="17" customHeight="1">
      <c r="A9293" s="234"/>
      <c r="B9293" s="233"/>
      <c r="C9293" s="238"/>
      <c r="E9293" s="545"/>
      <c r="F9293" s="546"/>
      <c r="G9293" s="234"/>
      <c r="H9293" s="238"/>
      <c r="I9293" s="237"/>
    </row>
    <row r="9294" spans="1:9" s="232" customFormat="1" ht="17" customHeight="1">
      <c r="A9294" s="234"/>
      <c r="B9294" s="233"/>
      <c r="C9294" s="238"/>
      <c r="E9294" s="545"/>
      <c r="F9294" s="546"/>
      <c r="G9294" s="234"/>
      <c r="H9294" s="238"/>
      <c r="I9294" s="237"/>
    </row>
    <row r="9295" spans="1:9" s="232" customFormat="1" ht="17" customHeight="1">
      <c r="A9295" s="234"/>
      <c r="B9295" s="233"/>
      <c r="C9295" s="238"/>
      <c r="E9295" s="545"/>
      <c r="F9295" s="546"/>
      <c r="G9295" s="234"/>
      <c r="H9295" s="238"/>
      <c r="I9295" s="237"/>
    </row>
    <row r="9296" spans="1:9" s="232" customFormat="1" ht="17" customHeight="1">
      <c r="A9296" s="234"/>
      <c r="B9296" s="233"/>
      <c r="C9296" s="238"/>
      <c r="E9296" s="545"/>
      <c r="F9296" s="546"/>
      <c r="G9296" s="234"/>
      <c r="H9296" s="238"/>
      <c r="I9296" s="237"/>
    </row>
    <row r="9297" spans="1:9" s="232" customFormat="1" ht="17" customHeight="1">
      <c r="A9297" s="234"/>
      <c r="B9297" s="233"/>
      <c r="C9297" s="238"/>
      <c r="E9297" s="545"/>
      <c r="F9297" s="546"/>
      <c r="G9297" s="234"/>
      <c r="H9297" s="238"/>
      <c r="I9297" s="237"/>
    </row>
    <row r="9298" spans="1:9" s="232" customFormat="1" ht="17" customHeight="1">
      <c r="A9298" s="234"/>
      <c r="B9298" s="233"/>
      <c r="C9298" s="238"/>
      <c r="E9298" s="545"/>
      <c r="F9298" s="546"/>
      <c r="G9298" s="234"/>
      <c r="H9298" s="238"/>
      <c r="I9298" s="237"/>
    </row>
    <row r="9299" spans="1:9" s="232" customFormat="1" ht="17" customHeight="1">
      <c r="A9299" s="234"/>
      <c r="B9299" s="233"/>
      <c r="C9299" s="238"/>
      <c r="E9299" s="545"/>
      <c r="F9299" s="546"/>
      <c r="G9299" s="234"/>
      <c r="H9299" s="238"/>
      <c r="I9299" s="237"/>
    </row>
    <row r="9300" spans="1:9" s="232" customFormat="1" ht="17" customHeight="1">
      <c r="A9300" s="234"/>
      <c r="B9300" s="233"/>
      <c r="C9300" s="238"/>
      <c r="E9300" s="545"/>
      <c r="F9300" s="546"/>
      <c r="G9300" s="234"/>
      <c r="H9300" s="238"/>
      <c r="I9300" s="237"/>
    </row>
    <row r="9301" spans="1:9" s="232" customFormat="1" ht="17" customHeight="1">
      <c r="A9301" s="234"/>
      <c r="B9301" s="233"/>
      <c r="C9301" s="238"/>
      <c r="E9301" s="545"/>
      <c r="F9301" s="546"/>
      <c r="G9301" s="234"/>
      <c r="H9301" s="238"/>
      <c r="I9301" s="237"/>
    </row>
    <row r="9302" spans="1:9" s="232" customFormat="1" ht="17" customHeight="1">
      <c r="A9302" s="234"/>
      <c r="B9302" s="233"/>
      <c r="C9302" s="238"/>
      <c r="E9302" s="545"/>
      <c r="F9302" s="546"/>
      <c r="G9302" s="234"/>
      <c r="H9302" s="238"/>
      <c r="I9302" s="237"/>
    </row>
    <row r="9303" spans="1:9" s="232" customFormat="1" ht="17" customHeight="1">
      <c r="A9303" s="234"/>
      <c r="B9303" s="233"/>
      <c r="C9303" s="238"/>
      <c r="E9303" s="545"/>
      <c r="F9303" s="546"/>
      <c r="G9303" s="234"/>
      <c r="H9303" s="238"/>
      <c r="I9303" s="237"/>
    </row>
    <row r="9304" spans="1:9" s="232" customFormat="1" ht="17" customHeight="1">
      <c r="A9304" s="234"/>
      <c r="B9304" s="233"/>
      <c r="C9304" s="238"/>
      <c r="E9304" s="545"/>
      <c r="F9304" s="546"/>
      <c r="G9304" s="234"/>
      <c r="H9304" s="238"/>
      <c r="I9304" s="237"/>
    </row>
    <row r="9305" spans="1:9" s="232" customFormat="1" ht="17" customHeight="1">
      <c r="A9305" s="234"/>
      <c r="B9305" s="233"/>
      <c r="C9305" s="238"/>
      <c r="E9305" s="545"/>
      <c r="F9305" s="546"/>
      <c r="G9305" s="234"/>
      <c r="H9305" s="238"/>
      <c r="I9305" s="237"/>
    </row>
    <row r="9306" spans="1:9" s="232" customFormat="1" ht="17" customHeight="1">
      <c r="A9306" s="234"/>
      <c r="B9306" s="233"/>
      <c r="C9306" s="238"/>
      <c r="E9306" s="545"/>
      <c r="F9306" s="546"/>
      <c r="G9306" s="234"/>
      <c r="H9306" s="238"/>
      <c r="I9306" s="237"/>
    </row>
    <row r="9307" spans="1:9" s="232" customFormat="1" ht="17" customHeight="1">
      <c r="A9307" s="234"/>
      <c r="B9307" s="233"/>
      <c r="C9307" s="238"/>
      <c r="E9307" s="545"/>
      <c r="F9307" s="546"/>
      <c r="G9307" s="234"/>
      <c r="H9307" s="238"/>
      <c r="I9307" s="237"/>
    </row>
    <row r="9308" spans="1:9" s="232" customFormat="1" ht="17" customHeight="1">
      <c r="A9308" s="234"/>
      <c r="B9308" s="233"/>
      <c r="C9308" s="238"/>
      <c r="E9308" s="545"/>
      <c r="F9308" s="546"/>
      <c r="G9308" s="234"/>
      <c r="H9308" s="238"/>
      <c r="I9308" s="237"/>
    </row>
    <row r="9309" spans="1:9" s="232" customFormat="1" ht="17" customHeight="1">
      <c r="A9309" s="234"/>
      <c r="B9309" s="233"/>
      <c r="C9309" s="238"/>
      <c r="E9309" s="545"/>
      <c r="F9309" s="546"/>
      <c r="G9309" s="234"/>
      <c r="H9309" s="238"/>
      <c r="I9309" s="237"/>
    </row>
    <row r="9310" spans="1:9" s="232" customFormat="1" ht="17" customHeight="1">
      <c r="A9310" s="234"/>
      <c r="B9310" s="233"/>
      <c r="C9310" s="238"/>
      <c r="E9310" s="545"/>
      <c r="F9310" s="546"/>
      <c r="G9310" s="234"/>
      <c r="H9310" s="238"/>
      <c r="I9310" s="237"/>
    </row>
    <row r="9311" spans="1:9" s="232" customFormat="1" ht="17" customHeight="1">
      <c r="A9311" s="234"/>
      <c r="B9311" s="233"/>
      <c r="C9311" s="238"/>
      <c r="E9311" s="545"/>
      <c r="F9311" s="546"/>
      <c r="G9311" s="234"/>
      <c r="H9311" s="238"/>
      <c r="I9311" s="237"/>
    </row>
    <row r="9312" spans="1:9" s="232" customFormat="1" ht="17" customHeight="1">
      <c r="A9312" s="234"/>
      <c r="B9312" s="233"/>
      <c r="C9312" s="238"/>
      <c r="E9312" s="545"/>
      <c r="F9312" s="546"/>
      <c r="G9312" s="234"/>
      <c r="H9312" s="238"/>
      <c r="I9312" s="237"/>
    </row>
    <row r="9313" spans="1:9" s="232" customFormat="1" ht="17" customHeight="1">
      <c r="A9313" s="234"/>
      <c r="B9313" s="233"/>
      <c r="C9313" s="238"/>
      <c r="E9313" s="545"/>
      <c r="F9313" s="546"/>
      <c r="G9313" s="234"/>
      <c r="H9313" s="238"/>
      <c r="I9313" s="237"/>
    </row>
    <row r="9314" spans="1:9" s="232" customFormat="1" ht="17" customHeight="1">
      <c r="A9314" s="234"/>
      <c r="B9314" s="233"/>
      <c r="C9314" s="238"/>
      <c r="E9314" s="545"/>
      <c r="F9314" s="546"/>
      <c r="G9314" s="234"/>
      <c r="H9314" s="238"/>
      <c r="I9314" s="237"/>
    </row>
    <row r="9315" spans="1:9" s="232" customFormat="1" ht="17" customHeight="1">
      <c r="A9315" s="234"/>
      <c r="B9315" s="233"/>
      <c r="C9315" s="238"/>
      <c r="E9315" s="545"/>
      <c r="F9315" s="546"/>
      <c r="G9315" s="234"/>
      <c r="H9315" s="238"/>
      <c r="I9315" s="237"/>
    </row>
    <row r="9316" spans="1:9" s="232" customFormat="1" ht="17" customHeight="1">
      <c r="A9316" s="234"/>
      <c r="B9316" s="233"/>
      <c r="C9316" s="238"/>
      <c r="E9316" s="545"/>
      <c r="F9316" s="546"/>
      <c r="G9316" s="234"/>
      <c r="H9316" s="238"/>
      <c r="I9316" s="237"/>
    </row>
    <row r="9317" spans="1:9" s="232" customFormat="1" ht="17" customHeight="1">
      <c r="A9317" s="234"/>
      <c r="B9317" s="233"/>
      <c r="C9317" s="238"/>
      <c r="E9317" s="545"/>
      <c r="F9317" s="546"/>
      <c r="G9317" s="234"/>
      <c r="H9317" s="238"/>
      <c r="I9317" s="237"/>
    </row>
    <row r="9318" spans="1:9" s="232" customFormat="1" ht="17" customHeight="1">
      <c r="A9318" s="234"/>
      <c r="B9318" s="233"/>
      <c r="C9318" s="238"/>
      <c r="E9318" s="545"/>
      <c r="F9318" s="546"/>
      <c r="G9318" s="234"/>
      <c r="H9318" s="238"/>
      <c r="I9318" s="237"/>
    </row>
    <row r="9319" spans="1:9" s="232" customFormat="1" ht="17" customHeight="1">
      <c r="A9319" s="234"/>
      <c r="B9319" s="233"/>
      <c r="C9319" s="238"/>
      <c r="E9319" s="545"/>
      <c r="F9319" s="546"/>
      <c r="G9319" s="234"/>
      <c r="H9319" s="238"/>
      <c r="I9319" s="237"/>
    </row>
    <row r="9320" spans="1:9" s="232" customFormat="1" ht="17" customHeight="1">
      <c r="A9320" s="234"/>
      <c r="B9320" s="233"/>
      <c r="C9320" s="238"/>
      <c r="E9320" s="545"/>
      <c r="F9320" s="546"/>
      <c r="G9320" s="234"/>
      <c r="H9320" s="238"/>
      <c r="I9320" s="237"/>
    </row>
    <row r="9321" spans="1:9" s="232" customFormat="1" ht="17" customHeight="1">
      <c r="A9321" s="234"/>
      <c r="B9321" s="233"/>
      <c r="C9321" s="238"/>
      <c r="E9321" s="545"/>
      <c r="F9321" s="546"/>
      <c r="G9321" s="234"/>
      <c r="H9321" s="238"/>
      <c r="I9321" s="237"/>
    </row>
    <row r="9322" spans="1:9" s="232" customFormat="1" ht="17" customHeight="1">
      <c r="A9322" s="234"/>
      <c r="B9322" s="233"/>
      <c r="C9322" s="238"/>
      <c r="E9322" s="545"/>
      <c r="F9322" s="546"/>
      <c r="G9322" s="234"/>
      <c r="H9322" s="238"/>
      <c r="I9322" s="237"/>
    </row>
    <row r="9323" spans="1:9" s="232" customFormat="1" ht="17" customHeight="1">
      <c r="A9323" s="234"/>
      <c r="B9323" s="233"/>
      <c r="C9323" s="238"/>
      <c r="E9323" s="545"/>
      <c r="F9323" s="546"/>
      <c r="G9323" s="234"/>
      <c r="H9323" s="238"/>
      <c r="I9323" s="237"/>
    </row>
    <row r="9324" spans="1:9" s="232" customFormat="1" ht="17" customHeight="1">
      <c r="A9324" s="234"/>
      <c r="B9324" s="233"/>
      <c r="C9324" s="238"/>
      <c r="E9324" s="545"/>
      <c r="F9324" s="546"/>
      <c r="G9324" s="234"/>
      <c r="H9324" s="238"/>
      <c r="I9324" s="237"/>
    </row>
    <row r="9325" spans="1:9" s="232" customFormat="1" ht="17" customHeight="1">
      <c r="A9325" s="234"/>
      <c r="B9325" s="233"/>
      <c r="C9325" s="238"/>
      <c r="E9325" s="545"/>
      <c r="F9325" s="546"/>
      <c r="G9325" s="234"/>
      <c r="H9325" s="238"/>
      <c r="I9325" s="237"/>
    </row>
    <row r="9326" spans="1:9" s="232" customFormat="1" ht="17" customHeight="1">
      <c r="A9326" s="234"/>
      <c r="B9326" s="233"/>
      <c r="C9326" s="238"/>
      <c r="E9326" s="545"/>
      <c r="F9326" s="546"/>
      <c r="G9326" s="234"/>
      <c r="H9326" s="238"/>
      <c r="I9326" s="237"/>
    </row>
    <row r="9327" spans="1:9" s="232" customFormat="1" ht="17" customHeight="1">
      <c r="A9327" s="234"/>
      <c r="B9327" s="233"/>
      <c r="C9327" s="238"/>
      <c r="E9327" s="545"/>
      <c r="F9327" s="546"/>
      <c r="G9327" s="234"/>
      <c r="H9327" s="238"/>
      <c r="I9327" s="237"/>
    </row>
    <row r="9328" spans="1:9" s="232" customFormat="1" ht="17" customHeight="1">
      <c r="A9328" s="234"/>
      <c r="B9328" s="233"/>
      <c r="C9328" s="238"/>
      <c r="E9328" s="545"/>
      <c r="F9328" s="546"/>
      <c r="G9328" s="234"/>
      <c r="H9328" s="238"/>
      <c r="I9328" s="237"/>
    </row>
    <row r="9329" spans="1:9" s="232" customFormat="1" ht="17" customHeight="1">
      <c r="A9329" s="234"/>
      <c r="B9329" s="233"/>
      <c r="C9329" s="238"/>
      <c r="E9329" s="545"/>
      <c r="F9329" s="546"/>
      <c r="G9329" s="234"/>
      <c r="H9329" s="238"/>
      <c r="I9329" s="237"/>
    </row>
    <row r="9330" spans="1:9" s="232" customFormat="1" ht="17" customHeight="1">
      <c r="A9330" s="234"/>
      <c r="B9330" s="233"/>
      <c r="C9330" s="238"/>
      <c r="E9330" s="545"/>
      <c r="F9330" s="546"/>
      <c r="G9330" s="234"/>
      <c r="H9330" s="238"/>
      <c r="I9330" s="237"/>
    </row>
    <row r="9331" spans="1:9" s="232" customFormat="1" ht="17" customHeight="1">
      <c r="A9331" s="234"/>
      <c r="B9331" s="233"/>
      <c r="C9331" s="238"/>
      <c r="E9331" s="545"/>
      <c r="F9331" s="546"/>
      <c r="G9331" s="234"/>
      <c r="H9331" s="238"/>
      <c r="I9331" s="237"/>
    </row>
    <row r="9332" spans="1:9" s="232" customFormat="1" ht="17" customHeight="1">
      <c r="A9332" s="234"/>
      <c r="B9332" s="233"/>
      <c r="C9332" s="238"/>
      <c r="E9332" s="545"/>
      <c r="F9332" s="546"/>
      <c r="G9332" s="234"/>
      <c r="H9332" s="238"/>
      <c r="I9332" s="237"/>
    </row>
    <row r="9333" spans="1:9" s="232" customFormat="1" ht="17" customHeight="1">
      <c r="A9333" s="234"/>
      <c r="B9333" s="233"/>
      <c r="C9333" s="238"/>
      <c r="E9333" s="545"/>
      <c r="F9333" s="546"/>
      <c r="G9333" s="234"/>
      <c r="H9333" s="238"/>
      <c r="I9333" s="237"/>
    </row>
    <row r="9334" spans="1:9" s="232" customFormat="1" ht="17" customHeight="1">
      <c r="A9334" s="234"/>
      <c r="B9334" s="233"/>
      <c r="C9334" s="238"/>
      <c r="E9334" s="545"/>
      <c r="F9334" s="546"/>
      <c r="G9334" s="234"/>
      <c r="H9334" s="238"/>
      <c r="I9334" s="237"/>
    </row>
    <row r="9335" spans="1:9" s="232" customFormat="1" ht="17" customHeight="1">
      <c r="A9335" s="234"/>
      <c r="B9335" s="233"/>
      <c r="C9335" s="238"/>
      <c r="E9335" s="545"/>
      <c r="F9335" s="546"/>
      <c r="G9335" s="234"/>
      <c r="H9335" s="238"/>
      <c r="I9335" s="237"/>
    </row>
    <row r="9336" spans="1:9" s="232" customFormat="1" ht="17" customHeight="1">
      <c r="A9336" s="234"/>
      <c r="B9336" s="233"/>
      <c r="C9336" s="238"/>
      <c r="E9336" s="545"/>
      <c r="F9336" s="546"/>
      <c r="G9336" s="234"/>
      <c r="H9336" s="238"/>
      <c r="I9336" s="237"/>
    </row>
    <row r="9337" spans="1:9" s="232" customFormat="1" ht="17" customHeight="1">
      <c r="A9337" s="234"/>
      <c r="B9337" s="233"/>
      <c r="C9337" s="238"/>
      <c r="E9337" s="545"/>
      <c r="F9337" s="546"/>
      <c r="G9337" s="234"/>
      <c r="H9337" s="238"/>
      <c r="I9337" s="237"/>
    </row>
    <row r="9338" spans="1:9" s="232" customFormat="1" ht="17" customHeight="1">
      <c r="A9338" s="234"/>
      <c r="B9338" s="233"/>
      <c r="C9338" s="238"/>
      <c r="E9338" s="545"/>
      <c r="F9338" s="546"/>
      <c r="G9338" s="234"/>
      <c r="H9338" s="238"/>
      <c r="I9338" s="237"/>
    </row>
    <row r="9339" spans="1:9" s="232" customFormat="1" ht="17" customHeight="1">
      <c r="A9339" s="234"/>
      <c r="B9339" s="233"/>
      <c r="C9339" s="238"/>
      <c r="E9339" s="545"/>
      <c r="F9339" s="546"/>
      <c r="G9339" s="234"/>
      <c r="H9339" s="238"/>
      <c r="I9339" s="237"/>
    </row>
    <row r="9340" spans="1:9" s="232" customFormat="1" ht="17" customHeight="1">
      <c r="A9340" s="234"/>
      <c r="B9340" s="233"/>
      <c r="C9340" s="238"/>
      <c r="E9340" s="545"/>
      <c r="F9340" s="546"/>
      <c r="G9340" s="234"/>
      <c r="H9340" s="238"/>
      <c r="I9340" s="237"/>
    </row>
    <row r="9341" spans="1:9" s="232" customFormat="1" ht="17" customHeight="1">
      <c r="A9341" s="234"/>
      <c r="B9341" s="233"/>
      <c r="C9341" s="238"/>
      <c r="E9341" s="545"/>
      <c r="F9341" s="546"/>
      <c r="G9341" s="234"/>
      <c r="H9341" s="238"/>
      <c r="I9341" s="237"/>
    </row>
    <row r="9342" spans="1:9" s="232" customFormat="1" ht="17" customHeight="1">
      <c r="A9342" s="234"/>
      <c r="B9342" s="233"/>
      <c r="C9342" s="238"/>
      <c r="E9342" s="545"/>
      <c r="F9342" s="546"/>
      <c r="G9342" s="234"/>
      <c r="H9342" s="238"/>
      <c r="I9342" s="237"/>
    </row>
    <row r="9343" spans="1:9" s="232" customFormat="1" ht="17" customHeight="1">
      <c r="A9343" s="234"/>
      <c r="B9343" s="233"/>
      <c r="C9343" s="238"/>
      <c r="E9343" s="545"/>
      <c r="F9343" s="546"/>
      <c r="G9343" s="234"/>
      <c r="H9343" s="238"/>
      <c r="I9343" s="237"/>
    </row>
    <row r="9344" spans="1:9" s="232" customFormat="1" ht="17" customHeight="1">
      <c r="A9344" s="234"/>
      <c r="B9344" s="233"/>
      <c r="C9344" s="238"/>
      <c r="E9344" s="545"/>
      <c r="F9344" s="546"/>
      <c r="G9344" s="234"/>
      <c r="H9344" s="238"/>
      <c r="I9344" s="237"/>
    </row>
    <row r="9345" spans="1:9" s="232" customFormat="1" ht="17" customHeight="1">
      <c r="A9345" s="234"/>
      <c r="B9345" s="233"/>
      <c r="C9345" s="238"/>
      <c r="E9345" s="545"/>
      <c r="F9345" s="546"/>
      <c r="G9345" s="234"/>
      <c r="H9345" s="238"/>
      <c r="I9345" s="237"/>
    </row>
    <row r="9346" spans="1:9" s="232" customFormat="1" ht="17" customHeight="1">
      <c r="A9346" s="234"/>
      <c r="B9346" s="233"/>
      <c r="C9346" s="238"/>
      <c r="E9346" s="545"/>
      <c r="F9346" s="546"/>
      <c r="G9346" s="234"/>
      <c r="H9346" s="238"/>
      <c r="I9346" s="237"/>
    </row>
    <row r="9347" spans="1:9" s="232" customFormat="1" ht="17" customHeight="1">
      <c r="A9347" s="234"/>
      <c r="B9347" s="233"/>
      <c r="C9347" s="238"/>
      <c r="E9347" s="545"/>
      <c r="F9347" s="546"/>
      <c r="G9347" s="234"/>
      <c r="H9347" s="238"/>
      <c r="I9347" s="237"/>
    </row>
    <row r="9348" spans="1:9" s="232" customFormat="1" ht="17" customHeight="1">
      <c r="A9348" s="234"/>
      <c r="B9348" s="233"/>
      <c r="C9348" s="238"/>
      <c r="E9348" s="545"/>
      <c r="F9348" s="546"/>
      <c r="G9348" s="234"/>
      <c r="H9348" s="238"/>
      <c r="I9348" s="237"/>
    </row>
    <row r="9349" spans="1:9" s="232" customFormat="1" ht="17" customHeight="1">
      <c r="A9349" s="234"/>
      <c r="B9349" s="233"/>
      <c r="C9349" s="238"/>
      <c r="E9349" s="545"/>
      <c r="F9349" s="546"/>
      <c r="G9349" s="234"/>
      <c r="H9349" s="238"/>
      <c r="I9349" s="237"/>
    </row>
    <row r="9350" spans="1:9" s="232" customFormat="1" ht="17" customHeight="1">
      <c r="A9350" s="234"/>
      <c r="B9350" s="233"/>
      <c r="C9350" s="238"/>
      <c r="E9350" s="545"/>
      <c r="F9350" s="546"/>
      <c r="G9350" s="234"/>
      <c r="H9350" s="238"/>
      <c r="I9350" s="237"/>
    </row>
    <row r="9351" spans="1:9" s="232" customFormat="1" ht="17" customHeight="1">
      <c r="A9351" s="234"/>
      <c r="B9351" s="233"/>
      <c r="C9351" s="238"/>
      <c r="E9351" s="545"/>
      <c r="F9351" s="546"/>
      <c r="G9351" s="234"/>
      <c r="H9351" s="238"/>
      <c r="I9351" s="237"/>
    </row>
    <row r="9352" spans="1:9" s="232" customFormat="1" ht="17" customHeight="1">
      <c r="A9352" s="234"/>
      <c r="B9352" s="233"/>
      <c r="C9352" s="238"/>
      <c r="E9352" s="545"/>
      <c r="F9352" s="546"/>
      <c r="G9352" s="234"/>
      <c r="H9352" s="238"/>
      <c r="I9352" s="237"/>
    </row>
    <row r="9353" spans="1:9" s="232" customFormat="1" ht="17" customHeight="1">
      <c r="A9353" s="234"/>
      <c r="B9353" s="233"/>
      <c r="C9353" s="238"/>
      <c r="E9353" s="545"/>
      <c r="F9353" s="546"/>
      <c r="G9353" s="234"/>
      <c r="H9353" s="238"/>
      <c r="I9353" s="237"/>
    </row>
    <row r="9354" spans="1:9" s="232" customFormat="1" ht="17" customHeight="1">
      <c r="A9354" s="234"/>
      <c r="B9354" s="233"/>
      <c r="C9354" s="238"/>
      <c r="E9354" s="545"/>
      <c r="F9354" s="546"/>
      <c r="G9354" s="234"/>
      <c r="H9354" s="238"/>
      <c r="I9354" s="237"/>
    </row>
    <row r="9355" spans="1:9" s="232" customFormat="1" ht="17" customHeight="1">
      <c r="A9355" s="234"/>
      <c r="B9355" s="233"/>
      <c r="C9355" s="238"/>
      <c r="E9355" s="545"/>
      <c r="F9355" s="546"/>
      <c r="G9355" s="234"/>
      <c r="H9355" s="238"/>
      <c r="I9355" s="237"/>
    </row>
    <row r="9356" spans="1:9" s="232" customFormat="1" ht="17" customHeight="1">
      <c r="A9356" s="234"/>
      <c r="B9356" s="233"/>
      <c r="C9356" s="238"/>
      <c r="E9356" s="545"/>
      <c r="F9356" s="546"/>
      <c r="G9356" s="234"/>
      <c r="H9356" s="238"/>
      <c r="I9356" s="237"/>
    </row>
    <row r="9357" spans="1:9" s="232" customFormat="1" ht="17" customHeight="1">
      <c r="A9357" s="234"/>
      <c r="B9357" s="233"/>
      <c r="C9357" s="238"/>
      <c r="E9357" s="545"/>
      <c r="F9357" s="546"/>
      <c r="G9357" s="234"/>
      <c r="H9357" s="238"/>
      <c r="I9357" s="237"/>
    </row>
    <row r="9358" spans="1:9" s="232" customFormat="1" ht="17" customHeight="1">
      <c r="A9358" s="234"/>
      <c r="B9358" s="233"/>
      <c r="C9358" s="238"/>
      <c r="E9358" s="545"/>
      <c r="F9358" s="546"/>
      <c r="G9358" s="234"/>
      <c r="H9358" s="238"/>
      <c r="I9358" s="237"/>
    </row>
    <row r="9359" spans="1:9" s="232" customFormat="1" ht="17" customHeight="1">
      <c r="A9359" s="234"/>
      <c r="B9359" s="233"/>
      <c r="C9359" s="238"/>
      <c r="E9359" s="545"/>
      <c r="F9359" s="546"/>
      <c r="G9359" s="234"/>
      <c r="H9359" s="238"/>
      <c r="I9359" s="237"/>
    </row>
    <row r="9360" spans="1:9" s="232" customFormat="1" ht="17" customHeight="1">
      <c r="A9360" s="234"/>
      <c r="B9360" s="233"/>
      <c r="C9360" s="238"/>
      <c r="E9360" s="545"/>
      <c r="F9360" s="546"/>
      <c r="G9360" s="234"/>
      <c r="H9360" s="238"/>
      <c r="I9360" s="237"/>
    </row>
    <row r="9361" spans="1:9" s="232" customFormat="1" ht="17" customHeight="1">
      <c r="A9361" s="234"/>
      <c r="B9361" s="233"/>
      <c r="C9361" s="238"/>
      <c r="E9361" s="545"/>
      <c r="F9361" s="546"/>
      <c r="G9361" s="234"/>
      <c r="H9361" s="238"/>
      <c r="I9361" s="237"/>
    </row>
    <row r="9362" spans="1:9" s="232" customFormat="1" ht="17" customHeight="1">
      <c r="A9362" s="234"/>
      <c r="B9362" s="233"/>
      <c r="C9362" s="238"/>
      <c r="E9362" s="545"/>
      <c r="F9362" s="546"/>
      <c r="G9362" s="234"/>
      <c r="H9362" s="238"/>
      <c r="I9362" s="237"/>
    </row>
    <row r="9363" spans="1:9" s="232" customFormat="1" ht="17" customHeight="1">
      <c r="A9363" s="234"/>
      <c r="B9363" s="233"/>
      <c r="C9363" s="238"/>
      <c r="E9363" s="545"/>
      <c r="F9363" s="546"/>
      <c r="G9363" s="234"/>
      <c r="H9363" s="238"/>
      <c r="I9363" s="237"/>
    </row>
    <row r="9364" spans="1:9" s="232" customFormat="1" ht="17" customHeight="1">
      <c r="A9364" s="234"/>
      <c r="B9364" s="233"/>
      <c r="C9364" s="238"/>
      <c r="E9364" s="545"/>
      <c r="F9364" s="546"/>
      <c r="G9364" s="234"/>
      <c r="H9364" s="238"/>
      <c r="I9364" s="237"/>
    </row>
    <row r="9365" spans="1:9" s="232" customFormat="1" ht="17" customHeight="1">
      <c r="A9365" s="234"/>
      <c r="B9365" s="233"/>
      <c r="C9365" s="238"/>
      <c r="E9365" s="545"/>
      <c r="F9365" s="546"/>
      <c r="G9365" s="234"/>
      <c r="H9365" s="238"/>
      <c r="I9365" s="237"/>
    </row>
    <row r="9366" spans="1:9" s="232" customFormat="1" ht="17" customHeight="1">
      <c r="A9366" s="234"/>
      <c r="B9366" s="233"/>
      <c r="C9366" s="238"/>
      <c r="E9366" s="545"/>
      <c r="F9366" s="546"/>
      <c r="G9366" s="234"/>
      <c r="H9366" s="238"/>
      <c r="I9366" s="237"/>
    </row>
    <row r="9367" spans="1:9" s="232" customFormat="1" ht="17" customHeight="1">
      <c r="A9367" s="234"/>
      <c r="B9367" s="233"/>
      <c r="C9367" s="238"/>
      <c r="E9367" s="545"/>
      <c r="F9367" s="546"/>
      <c r="G9367" s="234"/>
      <c r="H9367" s="238"/>
      <c r="I9367" s="237"/>
    </row>
    <row r="9368" spans="1:9" s="232" customFormat="1" ht="17" customHeight="1">
      <c r="A9368" s="234"/>
      <c r="B9368" s="233"/>
      <c r="C9368" s="238"/>
      <c r="E9368" s="545"/>
      <c r="F9368" s="546"/>
      <c r="G9368" s="234"/>
      <c r="H9368" s="238"/>
      <c r="I9368" s="237"/>
    </row>
    <row r="9369" spans="1:9" s="232" customFormat="1" ht="17" customHeight="1">
      <c r="A9369" s="234"/>
      <c r="B9369" s="233"/>
      <c r="C9369" s="238"/>
      <c r="E9369" s="545"/>
      <c r="F9369" s="546"/>
      <c r="G9369" s="234"/>
      <c r="H9369" s="238"/>
      <c r="I9369" s="237"/>
    </row>
    <row r="9370" spans="1:9" s="232" customFormat="1" ht="17" customHeight="1">
      <c r="A9370" s="234"/>
      <c r="B9370" s="233"/>
      <c r="C9370" s="238"/>
      <c r="E9370" s="545"/>
      <c r="F9370" s="546"/>
      <c r="G9370" s="234"/>
      <c r="H9370" s="238"/>
      <c r="I9370" s="237"/>
    </row>
    <row r="9371" spans="1:9" s="232" customFormat="1" ht="17" customHeight="1">
      <c r="A9371" s="234"/>
      <c r="B9371" s="233"/>
      <c r="C9371" s="238"/>
      <c r="E9371" s="545"/>
      <c r="F9371" s="546"/>
      <c r="G9371" s="234"/>
      <c r="H9371" s="238"/>
      <c r="I9371" s="237"/>
    </row>
    <row r="9372" spans="1:9" s="232" customFormat="1" ht="17" customHeight="1">
      <c r="A9372" s="234"/>
      <c r="B9372" s="233"/>
      <c r="C9372" s="238"/>
      <c r="E9372" s="545"/>
      <c r="F9372" s="546"/>
      <c r="G9372" s="234"/>
      <c r="H9372" s="238"/>
      <c r="I9372" s="237"/>
    </row>
    <row r="9373" spans="1:9" s="232" customFormat="1" ht="17" customHeight="1">
      <c r="A9373" s="234"/>
      <c r="B9373" s="233"/>
      <c r="C9373" s="238"/>
      <c r="E9373" s="545"/>
      <c r="F9373" s="546"/>
      <c r="G9373" s="234"/>
      <c r="H9373" s="238"/>
      <c r="I9373" s="237"/>
    </row>
    <row r="9374" spans="1:9" s="232" customFormat="1" ht="17" customHeight="1">
      <c r="A9374" s="234"/>
      <c r="B9374" s="233"/>
      <c r="C9374" s="238"/>
      <c r="E9374" s="545"/>
      <c r="F9374" s="546"/>
      <c r="G9374" s="234"/>
      <c r="H9374" s="238"/>
      <c r="I9374" s="237"/>
    </row>
    <row r="9375" spans="1:9" s="232" customFormat="1" ht="17" customHeight="1">
      <c r="A9375" s="234"/>
      <c r="B9375" s="233"/>
      <c r="C9375" s="238"/>
      <c r="E9375" s="545"/>
      <c r="F9375" s="546"/>
      <c r="G9375" s="234"/>
      <c r="H9375" s="238"/>
      <c r="I9375" s="237"/>
    </row>
    <row r="9376" spans="1:9" s="232" customFormat="1" ht="17" customHeight="1">
      <c r="A9376" s="234"/>
      <c r="B9376" s="233"/>
      <c r="C9376" s="238"/>
      <c r="E9376" s="545"/>
      <c r="F9376" s="546"/>
      <c r="G9376" s="234"/>
      <c r="H9376" s="238"/>
      <c r="I9376" s="237"/>
    </row>
    <row r="9377" spans="1:9" s="232" customFormat="1" ht="17" customHeight="1">
      <c r="A9377" s="234"/>
      <c r="B9377" s="233"/>
      <c r="C9377" s="238"/>
      <c r="E9377" s="545"/>
      <c r="F9377" s="546"/>
      <c r="G9377" s="234"/>
      <c r="H9377" s="238"/>
      <c r="I9377" s="237"/>
    </row>
    <row r="9378" spans="1:9" s="232" customFormat="1" ht="17" customHeight="1">
      <c r="A9378" s="234"/>
      <c r="B9378" s="233"/>
      <c r="C9378" s="238"/>
      <c r="E9378" s="545"/>
      <c r="F9378" s="546"/>
      <c r="G9378" s="234"/>
      <c r="H9378" s="238"/>
      <c r="I9378" s="237"/>
    </row>
    <row r="9379" spans="1:9" s="232" customFormat="1" ht="17" customHeight="1">
      <c r="A9379" s="234"/>
      <c r="B9379" s="233"/>
      <c r="C9379" s="238"/>
      <c r="E9379" s="545"/>
      <c r="F9379" s="546"/>
      <c r="G9379" s="234"/>
      <c r="H9379" s="238"/>
      <c r="I9379" s="237"/>
    </row>
    <row r="9380" spans="1:9" s="232" customFormat="1" ht="17" customHeight="1">
      <c r="A9380" s="234"/>
      <c r="B9380" s="233"/>
      <c r="C9380" s="238"/>
      <c r="E9380" s="545"/>
      <c r="F9380" s="546"/>
      <c r="G9380" s="234"/>
      <c r="H9380" s="238"/>
      <c r="I9380" s="237"/>
    </row>
    <row r="9381" spans="1:9" s="232" customFormat="1" ht="17" customHeight="1">
      <c r="A9381" s="234"/>
      <c r="B9381" s="233"/>
      <c r="C9381" s="238"/>
      <c r="E9381" s="545"/>
      <c r="F9381" s="546"/>
      <c r="G9381" s="234"/>
      <c r="H9381" s="238"/>
      <c r="I9381" s="237"/>
    </row>
    <row r="9382" spans="1:9" s="232" customFormat="1" ht="17" customHeight="1">
      <c r="A9382" s="234"/>
      <c r="B9382" s="233"/>
      <c r="C9382" s="238"/>
      <c r="E9382" s="545"/>
      <c r="F9382" s="546"/>
      <c r="G9382" s="234"/>
      <c r="H9382" s="238"/>
      <c r="I9382" s="237"/>
    </row>
    <row r="9383" spans="1:9" s="232" customFormat="1" ht="17" customHeight="1">
      <c r="A9383" s="234"/>
      <c r="B9383" s="233"/>
      <c r="C9383" s="238"/>
      <c r="E9383" s="545"/>
      <c r="F9383" s="546"/>
      <c r="G9383" s="234"/>
      <c r="H9383" s="238"/>
      <c r="I9383" s="237"/>
    </row>
    <row r="9384" spans="1:9" s="232" customFormat="1" ht="17" customHeight="1">
      <c r="A9384" s="234"/>
      <c r="B9384" s="233"/>
      <c r="C9384" s="238"/>
      <c r="E9384" s="545"/>
      <c r="F9384" s="546"/>
      <c r="G9384" s="234"/>
      <c r="H9384" s="238"/>
      <c r="I9384" s="237"/>
    </row>
    <row r="9385" spans="1:9" s="232" customFormat="1" ht="17" customHeight="1">
      <c r="A9385" s="234"/>
      <c r="B9385" s="233"/>
      <c r="C9385" s="238"/>
      <c r="E9385" s="545"/>
      <c r="F9385" s="546"/>
      <c r="G9385" s="234"/>
      <c r="H9385" s="238"/>
      <c r="I9385" s="237"/>
    </row>
    <row r="9386" spans="1:9" s="232" customFormat="1" ht="17" customHeight="1">
      <c r="A9386" s="234"/>
      <c r="B9386" s="233"/>
      <c r="C9386" s="238"/>
      <c r="E9386" s="545"/>
      <c r="F9386" s="546"/>
      <c r="G9386" s="234"/>
      <c r="H9386" s="238"/>
      <c r="I9386" s="237"/>
    </row>
    <row r="9387" spans="1:9" s="232" customFormat="1" ht="17" customHeight="1">
      <c r="A9387" s="234"/>
      <c r="B9387" s="233"/>
      <c r="C9387" s="238"/>
      <c r="E9387" s="545"/>
      <c r="F9387" s="546"/>
      <c r="G9387" s="234"/>
      <c r="H9387" s="238"/>
      <c r="I9387" s="237"/>
    </row>
    <row r="9388" spans="1:9" s="232" customFormat="1" ht="17" customHeight="1">
      <c r="A9388" s="234"/>
      <c r="B9388" s="233"/>
      <c r="C9388" s="238"/>
      <c r="E9388" s="545"/>
      <c r="F9388" s="546"/>
      <c r="G9388" s="234"/>
      <c r="H9388" s="238"/>
      <c r="I9388" s="237"/>
    </row>
    <row r="9389" spans="1:9" s="232" customFormat="1" ht="17" customHeight="1">
      <c r="A9389" s="234"/>
      <c r="B9389" s="233"/>
      <c r="C9389" s="238"/>
      <c r="E9389" s="545"/>
      <c r="F9389" s="546"/>
      <c r="G9389" s="234"/>
      <c r="H9389" s="238"/>
      <c r="I9389" s="237"/>
    </row>
    <row r="9390" spans="1:9" s="232" customFormat="1" ht="17" customHeight="1">
      <c r="A9390" s="234"/>
      <c r="B9390" s="233"/>
      <c r="C9390" s="238"/>
      <c r="E9390" s="545"/>
      <c r="F9390" s="546"/>
      <c r="G9390" s="234"/>
      <c r="H9390" s="238"/>
      <c r="I9390" s="237"/>
    </row>
    <row r="9391" spans="1:9" s="232" customFormat="1" ht="17" customHeight="1">
      <c r="A9391" s="234"/>
      <c r="B9391" s="233"/>
      <c r="C9391" s="238"/>
      <c r="E9391" s="545"/>
      <c r="F9391" s="546"/>
      <c r="G9391" s="234"/>
      <c r="H9391" s="238"/>
      <c r="I9391" s="237"/>
    </row>
    <row r="9392" spans="1:9" s="232" customFormat="1" ht="17" customHeight="1">
      <c r="A9392" s="234"/>
      <c r="B9392" s="233"/>
      <c r="C9392" s="238"/>
      <c r="E9392" s="545"/>
      <c r="F9392" s="546"/>
      <c r="G9392" s="234"/>
      <c r="H9392" s="238"/>
      <c r="I9392" s="237"/>
    </row>
    <row r="9393" spans="1:9" s="232" customFormat="1" ht="17" customHeight="1">
      <c r="A9393" s="234"/>
      <c r="B9393" s="233"/>
      <c r="C9393" s="238"/>
      <c r="E9393" s="545"/>
      <c r="F9393" s="546"/>
      <c r="G9393" s="234"/>
      <c r="H9393" s="238"/>
      <c r="I9393" s="237"/>
    </row>
    <row r="9394" spans="1:9" s="232" customFormat="1" ht="17" customHeight="1">
      <c r="A9394" s="234"/>
      <c r="B9394" s="233"/>
      <c r="C9394" s="238"/>
      <c r="E9394" s="545"/>
      <c r="F9394" s="546"/>
      <c r="G9394" s="234"/>
      <c r="H9394" s="238"/>
      <c r="I9394" s="237"/>
    </row>
    <row r="9395" spans="1:9" s="232" customFormat="1" ht="17" customHeight="1">
      <c r="A9395" s="234"/>
      <c r="B9395" s="233"/>
      <c r="C9395" s="238"/>
      <c r="E9395" s="545"/>
      <c r="F9395" s="546"/>
      <c r="G9395" s="234"/>
      <c r="H9395" s="238"/>
      <c r="I9395" s="237"/>
    </row>
    <row r="9396" spans="1:9" s="232" customFormat="1" ht="17" customHeight="1">
      <c r="A9396" s="234"/>
      <c r="B9396" s="233"/>
      <c r="C9396" s="238"/>
      <c r="E9396" s="545"/>
      <c r="F9396" s="546"/>
      <c r="G9396" s="234"/>
      <c r="H9396" s="238"/>
      <c r="I9396" s="237"/>
    </row>
    <row r="9397" spans="1:9" s="232" customFormat="1" ht="17" customHeight="1">
      <c r="A9397" s="234"/>
      <c r="B9397" s="233"/>
      <c r="C9397" s="238"/>
      <c r="E9397" s="545"/>
      <c r="F9397" s="546"/>
      <c r="G9397" s="234"/>
      <c r="H9397" s="238"/>
      <c r="I9397" s="237"/>
    </row>
    <row r="9398" spans="1:9" s="232" customFormat="1" ht="17" customHeight="1">
      <c r="A9398" s="234"/>
      <c r="B9398" s="233"/>
      <c r="C9398" s="238"/>
      <c r="E9398" s="545"/>
      <c r="F9398" s="546"/>
      <c r="G9398" s="234"/>
      <c r="H9398" s="238"/>
      <c r="I9398" s="237"/>
    </row>
    <row r="9399" spans="1:9" s="232" customFormat="1" ht="17" customHeight="1">
      <c r="A9399" s="234"/>
      <c r="B9399" s="233"/>
      <c r="C9399" s="238"/>
      <c r="E9399" s="545"/>
      <c r="F9399" s="546"/>
      <c r="G9399" s="234"/>
      <c r="H9399" s="238"/>
      <c r="I9399" s="237"/>
    </row>
    <row r="9400" spans="1:9" s="232" customFormat="1" ht="17" customHeight="1">
      <c r="A9400" s="234"/>
      <c r="B9400" s="233"/>
      <c r="C9400" s="238"/>
      <c r="E9400" s="545"/>
      <c r="F9400" s="546"/>
      <c r="G9400" s="234"/>
      <c r="H9400" s="238"/>
      <c r="I9400" s="237"/>
    </row>
    <row r="9401" spans="1:9" s="232" customFormat="1" ht="17" customHeight="1">
      <c r="A9401" s="234"/>
      <c r="B9401" s="233"/>
      <c r="C9401" s="238"/>
      <c r="E9401" s="545"/>
      <c r="F9401" s="546"/>
      <c r="G9401" s="234"/>
      <c r="H9401" s="238"/>
      <c r="I9401" s="237"/>
    </row>
    <row r="9402" spans="1:9" s="232" customFormat="1" ht="17" customHeight="1">
      <c r="A9402" s="234"/>
      <c r="B9402" s="233"/>
      <c r="C9402" s="238"/>
      <c r="E9402" s="545"/>
      <c r="F9402" s="546"/>
      <c r="G9402" s="234"/>
      <c r="H9402" s="238"/>
      <c r="I9402" s="237"/>
    </row>
    <row r="9403" spans="1:9" s="232" customFormat="1" ht="17" customHeight="1">
      <c r="A9403" s="234"/>
      <c r="B9403" s="233"/>
      <c r="C9403" s="238"/>
      <c r="E9403" s="545"/>
      <c r="F9403" s="546"/>
      <c r="G9403" s="234"/>
      <c r="H9403" s="238"/>
      <c r="I9403" s="237"/>
    </row>
    <row r="9404" spans="1:9" s="232" customFormat="1" ht="17" customHeight="1">
      <c r="A9404" s="234"/>
      <c r="B9404" s="233"/>
      <c r="C9404" s="238"/>
      <c r="E9404" s="545"/>
      <c r="F9404" s="546"/>
      <c r="G9404" s="234"/>
      <c r="H9404" s="238"/>
      <c r="I9404" s="237"/>
    </row>
    <row r="9405" spans="1:9" s="232" customFormat="1" ht="17" customHeight="1">
      <c r="A9405" s="234"/>
      <c r="B9405" s="233"/>
      <c r="C9405" s="238"/>
      <c r="E9405" s="545"/>
      <c r="F9405" s="546"/>
      <c r="G9405" s="234"/>
      <c r="H9405" s="238"/>
      <c r="I9405" s="237"/>
    </row>
    <row r="9406" spans="1:9" s="232" customFormat="1" ht="17" customHeight="1">
      <c r="A9406" s="234"/>
      <c r="B9406" s="233"/>
      <c r="C9406" s="238"/>
      <c r="E9406" s="545"/>
      <c r="F9406" s="546"/>
      <c r="G9406" s="234"/>
      <c r="H9406" s="238"/>
      <c r="I9406" s="237"/>
    </row>
    <row r="9407" spans="1:9" s="232" customFormat="1" ht="17" customHeight="1">
      <c r="A9407" s="234"/>
      <c r="B9407" s="233"/>
      <c r="C9407" s="238"/>
      <c r="E9407" s="545"/>
      <c r="F9407" s="546"/>
      <c r="G9407" s="234"/>
      <c r="H9407" s="238"/>
      <c r="I9407" s="237"/>
    </row>
    <row r="9408" spans="1:9" s="232" customFormat="1" ht="17" customHeight="1">
      <c r="A9408" s="234"/>
      <c r="B9408" s="233"/>
      <c r="C9408" s="238"/>
      <c r="E9408" s="545"/>
      <c r="F9408" s="546"/>
      <c r="G9408" s="234"/>
      <c r="H9408" s="238"/>
      <c r="I9408" s="237"/>
    </row>
    <row r="9409" spans="1:9" s="232" customFormat="1" ht="17" customHeight="1">
      <c r="A9409" s="234"/>
      <c r="B9409" s="233"/>
      <c r="C9409" s="238"/>
      <c r="E9409" s="545"/>
      <c r="F9409" s="546"/>
      <c r="G9409" s="234"/>
      <c r="H9409" s="238"/>
      <c r="I9409" s="237"/>
    </row>
    <row r="9410" spans="1:9" s="232" customFormat="1" ht="17" customHeight="1">
      <c r="A9410" s="234"/>
      <c r="B9410" s="233"/>
      <c r="C9410" s="238"/>
      <c r="E9410" s="545"/>
      <c r="F9410" s="546"/>
      <c r="G9410" s="234"/>
      <c r="H9410" s="238"/>
      <c r="I9410" s="237"/>
    </row>
    <row r="9411" spans="1:9" s="232" customFormat="1" ht="17" customHeight="1">
      <c r="A9411" s="234"/>
      <c r="B9411" s="233"/>
      <c r="C9411" s="238"/>
      <c r="E9411" s="545"/>
      <c r="F9411" s="546"/>
      <c r="G9411" s="234"/>
      <c r="H9411" s="238"/>
      <c r="I9411" s="237"/>
    </row>
    <row r="9412" spans="1:9" s="232" customFormat="1" ht="17" customHeight="1">
      <c r="A9412" s="234"/>
      <c r="B9412" s="233"/>
      <c r="C9412" s="238"/>
      <c r="E9412" s="545"/>
      <c r="F9412" s="546"/>
      <c r="G9412" s="234"/>
      <c r="H9412" s="238"/>
      <c r="I9412" s="237"/>
    </row>
    <row r="9413" spans="1:9" s="232" customFormat="1" ht="17" customHeight="1">
      <c r="A9413" s="234"/>
      <c r="B9413" s="233"/>
      <c r="C9413" s="238"/>
      <c r="E9413" s="545"/>
      <c r="F9413" s="546"/>
      <c r="G9413" s="234"/>
      <c r="H9413" s="238"/>
      <c r="I9413" s="237"/>
    </row>
    <row r="9414" spans="1:9" s="232" customFormat="1" ht="17" customHeight="1">
      <c r="A9414" s="234"/>
      <c r="B9414" s="233"/>
      <c r="C9414" s="238"/>
      <c r="E9414" s="545"/>
      <c r="F9414" s="546"/>
      <c r="G9414" s="234"/>
      <c r="H9414" s="238"/>
      <c r="I9414" s="237"/>
    </row>
    <row r="9415" spans="1:9" s="232" customFormat="1" ht="17" customHeight="1">
      <c r="A9415" s="234"/>
      <c r="B9415" s="233"/>
      <c r="C9415" s="238"/>
      <c r="E9415" s="545"/>
      <c r="F9415" s="546"/>
      <c r="G9415" s="234"/>
      <c r="H9415" s="238"/>
      <c r="I9415" s="237"/>
    </row>
    <row r="9416" spans="1:9" s="232" customFormat="1" ht="17" customHeight="1">
      <c r="A9416" s="234"/>
      <c r="B9416" s="233"/>
      <c r="C9416" s="238"/>
      <c r="E9416" s="545"/>
      <c r="F9416" s="546"/>
      <c r="G9416" s="234"/>
      <c r="H9416" s="238"/>
      <c r="I9416" s="237"/>
    </row>
    <row r="9417" spans="1:9" s="232" customFormat="1" ht="17" customHeight="1">
      <c r="A9417" s="234"/>
      <c r="B9417" s="233"/>
      <c r="C9417" s="238"/>
      <c r="E9417" s="545"/>
      <c r="F9417" s="546"/>
      <c r="G9417" s="234"/>
      <c r="H9417" s="238"/>
      <c r="I9417" s="237"/>
    </row>
    <row r="9418" spans="1:9" s="232" customFormat="1" ht="17" customHeight="1">
      <c r="A9418" s="234"/>
      <c r="B9418" s="233"/>
      <c r="C9418" s="238"/>
      <c r="E9418" s="545"/>
      <c r="F9418" s="546"/>
      <c r="G9418" s="234"/>
      <c r="H9418" s="238"/>
      <c r="I9418" s="237"/>
    </row>
    <row r="9419" spans="1:9" s="232" customFormat="1" ht="17" customHeight="1">
      <c r="A9419" s="234"/>
      <c r="B9419" s="233"/>
      <c r="C9419" s="238"/>
      <c r="E9419" s="545"/>
      <c r="F9419" s="546"/>
      <c r="G9419" s="234"/>
      <c r="H9419" s="238"/>
      <c r="I9419" s="237"/>
    </row>
    <row r="9420" spans="1:9" s="232" customFormat="1" ht="17" customHeight="1">
      <c r="A9420" s="234"/>
      <c r="B9420" s="233"/>
      <c r="C9420" s="238"/>
      <c r="E9420" s="545"/>
      <c r="F9420" s="546"/>
      <c r="G9420" s="234"/>
      <c r="H9420" s="238"/>
      <c r="I9420" s="237"/>
    </row>
    <row r="9421" spans="1:9" s="232" customFormat="1" ht="17" customHeight="1">
      <c r="A9421" s="234"/>
      <c r="B9421" s="233"/>
      <c r="C9421" s="238"/>
      <c r="E9421" s="545"/>
      <c r="F9421" s="546"/>
      <c r="G9421" s="234"/>
      <c r="H9421" s="238"/>
      <c r="I9421" s="237"/>
    </row>
    <row r="9422" spans="1:9" s="232" customFormat="1" ht="17" customHeight="1">
      <c r="A9422" s="234"/>
      <c r="B9422" s="233"/>
      <c r="C9422" s="238"/>
      <c r="E9422" s="545"/>
      <c r="F9422" s="546"/>
      <c r="G9422" s="234"/>
      <c r="H9422" s="238"/>
      <c r="I9422" s="237"/>
    </row>
    <row r="9423" spans="1:9" s="232" customFormat="1" ht="17" customHeight="1">
      <c r="A9423" s="234"/>
      <c r="B9423" s="233"/>
      <c r="C9423" s="238"/>
      <c r="E9423" s="545"/>
      <c r="F9423" s="546"/>
      <c r="G9423" s="234"/>
      <c r="H9423" s="238"/>
      <c r="I9423" s="237"/>
    </row>
    <row r="9424" spans="1:9" s="232" customFormat="1" ht="17" customHeight="1">
      <c r="A9424" s="234"/>
      <c r="B9424" s="233"/>
      <c r="C9424" s="238"/>
      <c r="E9424" s="545"/>
      <c r="F9424" s="546"/>
      <c r="G9424" s="234"/>
      <c r="H9424" s="238"/>
      <c r="I9424" s="237"/>
    </row>
    <row r="9425" spans="1:9" s="232" customFormat="1" ht="17" customHeight="1">
      <c r="A9425" s="234"/>
      <c r="B9425" s="233"/>
      <c r="C9425" s="238"/>
      <c r="E9425" s="545"/>
      <c r="F9425" s="546"/>
      <c r="G9425" s="234"/>
      <c r="H9425" s="238"/>
      <c r="I9425" s="237"/>
    </row>
    <row r="9426" spans="1:9" s="232" customFormat="1" ht="17" customHeight="1">
      <c r="A9426" s="234"/>
      <c r="B9426" s="233"/>
      <c r="C9426" s="238"/>
      <c r="E9426" s="545"/>
      <c r="F9426" s="546"/>
      <c r="G9426" s="234"/>
      <c r="H9426" s="238"/>
      <c r="I9426" s="237"/>
    </row>
    <row r="9427" spans="1:9" s="232" customFormat="1" ht="17" customHeight="1">
      <c r="A9427" s="234"/>
      <c r="B9427" s="233"/>
      <c r="C9427" s="238"/>
      <c r="E9427" s="545"/>
      <c r="F9427" s="546"/>
      <c r="G9427" s="234"/>
      <c r="H9427" s="238"/>
      <c r="I9427" s="237"/>
    </row>
    <row r="9428" spans="1:9" s="232" customFormat="1" ht="17" customHeight="1">
      <c r="A9428" s="234"/>
      <c r="B9428" s="233"/>
      <c r="C9428" s="238"/>
      <c r="E9428" s="545"/>
      <c r="F9428" s="546"/>
      <c r="G9428" s="234"/>
      <c r="H9428" s="238"/>
      <c r="I9428" s="237"/>
    </row>
    <row r="9429" spans="1:9" s="232" customFormat="1" ht="17" customHeight="1">
      <c r="A9429" s="234"/>
      <c r="B9429" s="233"/>
      <c r="C9429" s="238"/>
      <c r="E9429" s="545"/>
      <c r="F9429" s="546"/>
      <c r="G9429" s="234"/>
      <c r="H9429" s="238"/>
      <c r="I9429" s="237"/>
    </row>
    <row r="9430" spans="1:9" s="232" customFormat="1" ht="17" customHeight="1">
      <c r="A9430" s="234"/>
      <c r="B9430" s="233"/>
      <c r="C9430" s="238"/>
      <c r="E9430" s="545"/>
      <c r="F9430" s="546"/>
      <c r="G9430" s="234"/>
      <c r="H9430" s="238"/>
      <c r="I9430" s="237"/>
    </row>
    <row r="9431" spans="1:9" s="232" customFormat="1" ht="17" customHeight="1">
      <c r="A9431" s="234"/>
      <c r="B9431" s="233"/>
      <c r="C9431" s="238"/>
      <c r="E9431" s="545"/>
      <c r="F9431" s="546"/>
      <c r="G9431" s="234"/>
      <c r="H9431" s="238"/>
      <c r="I9431" s="237"/>
    </row>
    <row r="9432" spans="1:9" s="232" customFormat="1" ht="17" customHeight="1">
      <c r="A9432" s="234"/>
      <c r="B9432" s="233"/>
      <c r="C9432" s="238"/>
      <c r="E9432" s="545"/>
      <c r="F9432" s="546"/>
      <c r="G9432" s="234"/>
      <c r="H9432" s="238"/>
      <c r="I9432" s="237"/>
    </row>
    <row r="9433" spans="1:9" s="232" customFormat="1" ht="17" customHeight="1">
      <c r="A9433" s="234"/>
      <c r="B9433" s="233"/>
      <c r="C9433" s="238"/>
      <c r="E9433" s="545"/>
      <c r="F9433" s="546"/>
      <c r="G9433" s="234"/>
      <c r="H9433" s="238"/>
      <c r="I9433" s="237"/>
    </row>
    <row r="9434" spans="1:9" s="232" customFormat="1" ht="17" customHeight="1">
      <c r="A9434" s="234"/>
      <c r="B9434" s="233"/>
      <c r="C9434" s="238"/>
      <c r="E9434" s="545"/>
      <c r="F9434" s="546"/>
      <c r="G9434" s="234"/>
      <c r="H9434" s="238"/>
      <c r="I9434" s="237"/>
    </row>
    <row r="9435" spans="1:9" s="232" customFormat="1" ht="17" customHeight="1">
      <c r="A9435" s="234"/>
      <c r="B9435" s="233"/>
      <c r="C9435" s="238"/>
      <c r="E9435" s="545"/>
      <c r="F9435" s="546"/>
      <c r="G9435" s="234"/>
      <c r="H9435" s="238"/>
      <c r="I9435" s="237"/>
    </row>
    <row r="9436" spans="1:9" s="232" customFormat="1" ht="17" customHeight="1">
      <c r="A9436" s="234"/>
      <c r="B9436" s="233"/>
      <c r="C9436" s="238"/>
      <c r="E9436" s="545"/>
      <c r="F9436" s="546"/>
      <c r="G9436" s="234"/>
      <c r="H9436" s="238"/>
      <c r="I9436" s="237"/>
    </row>
    <row r="9437" spans="1:9" s="232" customFormat="1" ht="17" customHeight="1">
      <c r="A9437" s="234"/>
      <c r="B9437" s="233"/>
      <c r="C9437" s="238"/>
      <c r="E9437" s="545"/>
      <c r="F9437" s="546"/>
      <c r="G9437" s="234"/>
      <c r="H9437" s="238"/>
      <c r="I9437" s="237"/>
    </row>
    <row r="9438" spans="1:9" s="232" customFormat="1" ht="17" customHeight="1">
      <c r="A9438" s="234"/>
      <c r="B9438" s="233"/>
      <c r="C9438" s="238"/>
      <c r="E9438" s="545"/>
      <c r="F9438" s="546"/>
      <c r="G9438" s="234"/>
      <c r="H9438" s="238"/>
      <c r="I9438" s="237"/>
    </row>
    <row r="9439" spans="1:9" s="232" customFormat="1" ht="17" customHeight="1">
      <c r="A9439" s="234"/>
      <c r="B9439" s="233"/>
      <c r="C9439" s="238"/>
      <c r="E9439" s="545"/>
      <c r="F9439" s="546"/>
      <c r="G9439" s="234"/>
      <c r="H9439" s="238"/>
      <c r="I9439" s="237"/>
    </row>
    <row r="9440" spans="1:9" s="232" customFormat="1" ht="17" customHeight="1">
      <c r="A9440" s="234"/>
      <c r="B9440" s="233"/>
      <c r="C9440" s="238"/>
      <c r="E9440" s="545"/>
      <c r="F9440" s="546"/>
      <c r="G9440" s="234"/>
      <c r="H9440" s="238"/>
      <c r="I9440" s="237"/>
    </row>
    <row r="9441" spans="1:9" s="232" customFormat="1" ht="17" customHeight="1">
      <c r="A9441" s="234"/>
      <c r="B9441" s="233"/>
      <c r="C9441" s="238"/>
      <c r="E9441" s="545"/>
      <c r="F9441" s="546"/>
      <c r="G9441" s="234"/>
      <c r="H9441" s="238"/>
      <c r="I9441" s="237"/>
    </row>
    <row r="9442" spans="1:9" s="232" customFormat="1" ht="17" customHeight="1">
      <c r="A9442" s="234"/>
      <c r="B9442" s="233"/>
      <c r="C9442" s="238"/>
      <c r="E9442" s="545"/>
      <c r="F9442" s="546"/>
      <c r="G9442" s="234"/>
      <c r="H9442" s="238"/>
      <c r="I9442" s="237"/>
    </row>
    <row r="9443" spans="1:9" s="232" customFormat="1" ht="17" customHeight="1">
      <c r="A9443" s="234"/>
      <c r="B9443" s="233"/>
      <c r="C9443" s="238"/>
      <c r="E9443" s="545"/>
      <c r="F9443" s="546"/>
      <c r="G9443" s="234"/>
      <c r="H9443" s="238"/>
      <c r="I9443" s="237"/>
    </row>
    <row r="9444" spans="1:9" s="232" customFormat="1" ht="17" customHeight="1">
      <c r="A9444" s="234"/>
      <c r="B9444" s="233"/>
      <c r="C9444" s="238"/>
      <c r="E9444" s="545"/>
      <c r="F9444" s="546"/>
      <c r="G9444" s="234"/>
      <c r="H9444" s="238"/>
      <c r="I9444" s="237"/>
    </row>
    <row r="9445" spans="1:9" s="232" customFormat="1" ht="17" customHeight="1">
      <c r="A9445" s="234"/>
      <c r="B9445" s="233"/>
      <c r="C9445" s="238"/>
      <c r="E9445" s="545"/>
      <c r="F9445" s="546"/>
      <c r="G9445" s="234"/>
      <c r="H9445" s="238"/>
      <c r="I9445" s="237"/>
    </row>
    <row r="9446" spans="1:9" s="232" customFormat="1" ht="17" customHeight="1">
      <c r="A9446" s="234"/>
      <c r="B9446" s="233"/>
      <c r="C9446" s="238"/>
      <c r="E9446" s="545"/>
      <c r="F9446" s="546"/>
      <c r="G9446" s="234"/>
      <c r="H9446" s="238"/>
      <c r="I9446" s="237"/>
    </row>
    <row r="9447" spans="1:9" s="232" customFormat="1" ht="17" customHeight="1">
      <c r="A9447" s="234"/>
      <c r="B9447" s="233"/>
      <c r="C9447" s="238"/>
      <c r="E9447" s="545"/>
      <c r="F9447" s="546"/>
      <c r="G9447" s="234"/>
      <c r="H9447" s="238"/>
      <c r="I9447" s="237"/>
    </row>
    <row r="9448" spans="1:9" s="232" customFormat="1" ht="17" customHeight="1">
      <c r="A9448" s="234"/>
      <c r="B9448" s="233"/>
      <c r="C9448" s="238"/>
      <c r="E9448" s="545"/>
      <c r="F9448" s="546"/>
      <c r="G9448" s="234"/>
      <c r="H9448" s="238"/>
      <c r="I9448" s="237"/>
    </row>
    <row r="9449" spans="1:9" s="232" customFormat="1" ht="17" customHeight="1">
      <c r="A9449" s="234"/>
      <c r="B9449" s="233"/>
      <c r="C9449" s="238"/>
      <c r="E9449" s="545"/>
      <c r="F9449" s="546"/>
      <c r="G9449" s="234"/>
      <c r="H9449" s="238"/>
      <c r="I9449" s="237"/>
    </row>
    <row r="9450" spans="1:9" s="232" customFormat="1" ht="17" customHeight="1">
      <c r="A9450" s="234"/>
      <c r="B9450" s="233"/>
      <c r="C9450" s="238"/>
      <c r="E9450" s="545"/>
      <c r="F9450" s="546"/>
      <c r="G9450" s="234"/>
      <c r="H9450" s="238"/>
      <c r="I9450" s="237"/>
    </row>
    <row r="9451" spans="1:9" s="232" customFormat="1" ht="17" customHeight="1">
      <c r="A9451" s="234"/>
      <c r="B9451" s="233"/>
      <c r="C9451" s="238"/>
      <c r="E9451" s="545"/>
      <c r="F9451" s="546"/>
      <c r="G9451" s="234"/>
      <c r="H9451" s="238"/>
      <c r="I9451" s="237"/>
    </row>
    <row r="9452" spans="1:9" s="232" customFormat="1" ht="17" customHeight="1">
      <c r="A9452" s="234"/>
      <c r="B9452" s="233"/>
      <c r="C9452" s="238"/>
      <c r="E9452" s="545"/>
      <c r="F9452" s="546"/>
      <c r="G9452" s="234"/>
      <c r="H9452" s="238"/>
      <c r="I9452" s="237"/>
    </row>
    <row r="9453" spans="1:9" s="232" customFormat="1" ht="17" customHeight="1">
      <c r="A9453" s="234"/>
      <c r="B9453" s="233"/>
      <c r="C9453" s="238"/>
      <c r="E9453" s="545"/>
      <c r="F9453" s="546"/>
      <c r="G9453" s="234"/>
      <c r="H9453" s="238"/>
      <c r="I9453" s="237"/>
    </row>
    <row r="9454" spans="1:9" s="232" customFormat="1" ht="17" customHeight="1">
      <c r="A9454" s="234"/>
      <c r="B9454" s="233"/>
      <c r="C9454" s="238"/>
      <c r="E9454" s="545"/>
      <c r="F9454" s="546"/>
      <c r="G9454" s="234"/>
      <c r="H9454" s="238"/>
      <c r="I9454" s="237"/>
    </row>
    <row r="9455" spans="1:9" s="232" customFormat="1" ht="17" customHeight="1">
      <c r="A9455" s="234"/>
      <c r="B9455" s="233"/>
      <c r="C9455" s="238"/>
      <c r="E9455" s="545"/>
      <c r="F9455" s="546"/>
      <c r="G9455" s="234"/>
      <c r="H9455" s="238"/>
      <c r="I9455" s="237"/>
    </row>
    <row r="9456" spans="1:9" s="232" customFormat="1" ht="17" customHeight="1">
      <c r="A9456" s="234"/>
      <c r="B9456" s="233"/>
      <c r="C9456" s="238"/>
      <c r="E9456" s="545"/>
      <c r="F9456" s="546"/>
      <c r="G9456" s="234"/>
      <c r="H9456" s="238"/>
      <c r="I9456" s="237"/>
    </row>
    <row r="9457" spans="1:9" s="232" customFormat="1" ht="17" customHeight="1">
      <c r="A9457" s="234"/>
      <c r="B9457" s="233"/>
      <c r="C9457" s="238"/>
      <c r="E9457" s="545"/>
      <c r="F9457" s="546"/>
      <c r="G9457" s="234"/>
      <c r="H9457" s="238"/>
      <c r="I9457" s="237"/>
    </row>
    <row r="9458" spans="1:9" s="232" customFormat="1" ht="17" customHeight="1">
      <c r="A9458" s="234"/>
      <c r="B9458" s="233"/>
      <c r="C9458" s="238"/>
      <c r="E9458" s="545"/>
      <c r="F9458" s="546"/>
      <c r="G9458" s="234"/>
      <c r="H9458" s="238"/>
      <c r="I9458" s="237"/>
    </row>
    <row r="9459" spans="1:9" s="232" customFormat="1" ht="17" customHeight="1">
      <c r="A9459" s="234"/>
      <c r="B9459" s="233"/>
      <c r="C9459" s="238"/>
      <c r="E9459" s="545"/>
      <c r="F9459" s="546"/>
      <c r="G9459" s="234"/>
      <c r="H9459" s="238"/>
      <c r="I9459" s="237"/>
    </row>
    <row r="9460" spans="1:9" s="232" customFormat="1" ht="17" customHeight="1">
      <c r="A9460" s="234"/>
      <c r="B9460" s="233"/>
      <c r="C9460" s="238"/>
      <c r="E9460" s="545"/>
      <c r="F9460" s="546"/>
      <c r="G9460" s="234"/>
      <c r="H9460" s="238"/>
      <c r="I9460" s="237"/>
    </row>
    <row r="9461" spans="1:9" s="232" customFormat="1" ht="17" customHeight="1">
      <c r="A9461" s="234"/>
      <c r="B9461" s="233"/>
      <c r="C9461" s="238"/>
      <c r="E9461" s="545"/>
      <c r="F9461" s="546"/>
      <c r="G9461" s="234"/>
      <c r="H9461" s="238"/>
      <c r="I9461" s="237"/>
    </row>
    <row r="9462" spans="1:9" s="232" customFormat="1" ht="17" customHeight="1">
      <c r="A9462" s="234"/>
      <c r="B9462" s="233"/>
      <c r="C9462" s="238"/>
      <c r="E9462" s="545"/>
      <c r="F9462" s="546"/>
      <c r="G9462" s="234"/>
      <c r="H9462" s="238"/>
      <c r="I9462" s="237"/>
    </row>
    <row r="9463" spans="1:9" s="232" customFormat="1" ht="17" customHeight="1">
      <c r="A9463" s="234"/>
      <c r="B9463" s="233"/>
      <c r="C9463" s="238"/>
      <c r="E9463" s="545"/>
      <c r="F9463" s="546"/>
      <c r="G9463" s="234"/>
      <c r="H9463" s="238"/>
      <c r="I9463" s="237"/>
    </row>
    <row r="9464" spans="1:9" s="232" customFormat="1" ht="17" customHeight="1">
      <c r="A9464" s="234"/>
      <c r="B9464" s="233"/>
      <c r="C9464" s="238"/>
      <c r="E9464" s="545"/>
      <c r="F9464" s="546"/>
      <c r="G9464" s="234"/>
      <c r="H9464" s="238"/>
      <c r="I9464" s="237"/>
    </row>
    <row r="9465" spans="1:9" s="232" customFormat="1" ht="17" customHeight="1">
      <c r="A9465" s="234"/>
      <c r="B9465" s="233"/>
      <c r="C9465" s="238"/>
      <c r="E9465" s="545"/>
      <c r="F9465" s="546"/>
      <c r="G9465" s="234"/>
      <c r="H9465" s="238"/>
      <c r="I9465" s="237"/>
    </row>
    <row r="9466" spans="1:9" s="232" customFormat="1" ht="17" customHeight="1">
      <c r="A9466" s="234"/>
      <c r="B9466" s="233"/>
      <c r="C9466" s="238"/>
      <c r="E9466" s="545"/>
      <c r="F9466" s="546"/>
      <c r="G9466" s="234"/>
      <c r="H9466" s="238"/>
      <c r="I9466" s="237"/>
    </row>
    <row r="9467" spans="1:9" s="232" customFormat="1" ht="17" customHeight="1">
      <c r="A9467" s="234"/>
      <c r="B9467" s="233"/>
      <c r="C9467" s="238"/>
      <c r="E9467" s="545"/>
      <c r="F9467" s="546"/>
      <c r="G9467" s="234"/>
      <c r="H9467" s="238"/>
      <c r="I9467" s="237"/>
    </row>
    <row r="9468" spans="1:9" s="232" customFormat="1" ht="17" customHeight="1">
      <c r="A9468" s="234"/>
      <c r="B9468" s="233"/>
      <c r="C9468" s="238"/>
      <c r="E9468" s="545"/>
      <c r="F9468" s="546"/>
      <c r="G9468" s="234"/>
      <c r="H9468" s="238"/>
      <c r="I9468" s="237"/>
    </row>
    <row r="9469" spans="1:9" s="232" customFormat="1" ht="17" customHeight="1">
      <c r="A9469" s="234"/>
      <c r="B9469" s="233"/>
      <c r="C9469" s="238"/>
      <c r="E9469" s="545"/>
      <c r="F9469" s="546"/>
      <c r="G9469" s="234"/>
      <c r="H9469" s="238"/>
      <c r="I9469" s="237"/>
    </row>
    <row r="9470" spans="1:9" s="232" customFormat="1" ht="17" customHeight="1">
      <c r="A9470" s="234"/>
      <c r="B9470" s="233"/>
      <c r="C9470" s="238"/>
      <c r="E9470" s="545"/>
      <c r="F9470" s="546"/>
      <c r="G9470" s="234"/>
      <c r="H9470" s="238"/>
      <c r="I9470" s="237"/>
    </row>
    <row r="9471" spans="1:9" s="232" customFormat="1" ht="17" customHeight="1">
      <c r="A9471" s="234"/>
      <c r="B9471" s="233"/>
      <c r="C9471" s="238"/>
      <c r="E9471" s="545"/>
      <c r="F9471" s="546"/>
      <c r="G9471" s="234"/>
      <c r="H9471" s="238"/>
      <c r="I9471" s="237"/>
    </row>
    <row r="9472" spans="1:9" s="232" customFormat="1" ht="17" customHeight="1">
      <c r="A9472" s="234"/>
      <c r="B9472" s="233"/>
      <c r="C9472" s="238"/>
      <c r="E9472" s="545"/>
      <c r="F9472" s="546"/>
      <c r="G9472" s="234"/>
      <c r="H9472" s="238"/>
      <c r="I9472" s="237"/>
    </row>
    <row r="9473" spans="1:9" s="232" customFormat="1" ht="17" customHeight="1">
      <c r="A9473" s="234"/>
      <c r="B9473" s="233"/>
      <c r="C9473" s="238"/>
      <c r="E9473" s="545"/>
      <c r="F9473" s="546"/>
      <c r="G9473" s="234"/>
      <c r="H9473" s="238"/>
      <c r="I9473" s="237"/>
    </row>
    <row r="9474" spans="1:9" s="232" customFormat="1" ht="17" customHeight="1">
      <c r="A9474" s="234"/>
      <c r="B9474" s="233"/>
      <c r="C9474" s="238"/>
      <c r="E9474" s="545"/>
      <c r="F9474" s="546"/>
      <c r="G9474" s="234"/>
      <c r="H9474" s="238"/>
      <c r="I9474" s="237"/>
    </row>
    <row r="9475" spans="1:9" s="232" customFormat="1" ht="17" customHeight="1">
      <c r="A9475" s="234"/>
      <c r="B9475" s="233"/>
      <c r="C9475" s="238"/>
      <c r="E9475" s="545"/>
      <c r="F9475" s="546"/>
      <c r="G9475" s="234"/>
      <c r="H9475" s="238"/>
      <c r="I9475" s="237"/>
    </row>
    <row r="9476" spans="1:9" s="232" customFormat="1" ht="17" customHeight="1">
      <c r="A9476" s="234"/>
      <c r="B9476" s="233"/>
      <c r="C9476" s="238"/>
      <c r="E9476" s="545"/>
      <c r="F9476" s="546"/>
      <c r="G9476" s="234"/>
      <c r="H9476" s="238"/>
      <c r="I9476" s="237"/>
    </row>
    <row r="9477" spans="1:9" s="232" customFormat="1" ht="17" customHeight="1">
      <c r="A9477" s="234"/>
      <c r="B9477" s="233"/>
      <c r="C9477" s="238"/>
      <c r="E9477" s="545"/>
      <c r="F9477" s="546"/>
      <c r="G9477" s="234"/>
      <c r="H9477" s="238"/>
      <c r="I9477" s="237"/>
    </row>
    <row r="9478" spans="1:9" s="232" customFormat="1" ht="17" customHeight="1">
      <c r="A9478" s="234"/>
      <c r="B9478" s="233"/>
      <c r="C9478" s="238"/>
      <c r="E9478" s="545"/>
      <c r="F9478" s="546"/>
      <c r="G9478" s="234"/>
      <c r="H9478" s="238"/>
      <c r="I9478" s="237"/>
    </row>
    <row r="9479" spans="1:9" s="232" customFormat="1" ht="17" customHeight="1">
      <c r="A9479" s="234"/>
      <c r="B9479" s="233"/>
      <c r="C9479" s="238"/>
      <c r="E9479" s="545"/>
      <c r="F9479" s="546"/>
      <c r="G9479" s="234"/>
      <c r="H9479" s="238"/>
      <c r="I9479" s="237"/>
    </row>
    <row r="9480" spans="1:9" s="232" customFormat="1" ht="17" customHeight="1">
      <c r="A9480" s="234"/>
      <c r="B9480" s="233"/>
      <c r="C9480" s="238"/>
      <c r="E9480" s="545"/>
      <c r="F9480" s="546"/>
      <c r="G9480" s="234"/>
      <c r="H9480" s="238"/>
      <c r="I9480" s="237"/>
    </row>
    <row r="9481" spans="1:9" s="232" customFormat="1" ht="17" customHeight="1">
      <c r="A9481" s="234"/>
      <c r="B9481" s="233"/>
      <c r="C9481" s="238"/>
      <c r="E9481" s="545"/>
      <c r="F9481" s="546"/>
      <c r="G9481" s="234"/>
      <c r="H9481" s="238"/>
      <c r="I9481" s="237"/>
    </row>
    <row r="9482" spans="1:9" s="232" customFormat="1" ht="17" customHeight="1">
      <c r="A9482" s="234"/>
      <c r="B9482" s="233"/>
      <c r="C9482" s="238"/>
      <c r="E9482" s="545"/>
      <c r="F9482" s="546"/>
      <c r="G9482" s="234"/>
      <c r="H9482" s="238"/>
      <c r="I9482" s="237"/>
    </row>
    <row r="9483" spans="1:9" s="232" customFormat="1" ht="17" customHeight="1">
      <c r="A9483" s="234"/>
      <c r="B9483" s="233"/>
      <c r="C9483" s="238"/>
      <c r="E9483" s="545"/>
      <c r="F9483" s="546"/>
      <c r="G9483" s="234"/>
      <c r="H9483" s="238"/>
      <c r="I9483" s="237"/>
    </row>
    <row r="9484" spans="1:9" s="232" customFormat="1" ht="17" customHeight="1">
      <c r="A9484" s="234"/>
      <c r="B9484" s="233"/>
      <c r="C9484" s="238"/>
      <c r="E9484" s="545"/>
      <c r="F9484" s="546"/>
      <c r="G9484" s="234"/>
      <c r="H9484" s="238"/>
      <c r="I9484" s="237"/>
    </row>
    <row r="9485" spans="1:9" s="232" customFormat="1" ht="17" customHeight="1">
      <c r="A9485" s="234"/>
      <c r="B9485" s="233"/>
      <c r="C9485" s="238"/>
      <c r="E9485" s="545"/>
      <c r="F9485" s="546"/>
      <c r="G9485" s="234"/>
      <c r="H9485" s="238"/>
      <c r="I9485" s="237"/>
    </row>
    <row r="9486" spans="1:9" s="232" customFormat="1" ht="17" customHeight="1">
      <c r="A9486" s="234"/>
      <c r="B9486" s="233"/>
      <c r="C9486" s="238"/>
      <c r="E9486" s="545"/>
      <c r="F9486" s="546"/>
      <c r="G9486" s="234"/>
      <c r="H9486" s="238"/>
      <c r="I9486" s="237"/>
    </row>
    <row r="9487" spans="1:9" s="232" customFormat="1" ht="17" customHeight="1">
      <c r="A9487" s="234"/>
      <c r="B9487" s="233"/>
      <c r="C9487" s="238"/>
      <c r="E9487" s="545"/>
      <c r="F9487" s="546"/>
      <c r="G9487" s="234"/>
      <c r="H9487" s="238"/>
      <c r="I9487" s="237"/>
    </row>
    <row r="9488" spans="1:9" s="232" customFormat="1" ht="17" customHeight="1">
      <c r="A9488" s="234"/>
      <c r="B9488" s="233"/>
      <c r="C9488" s="238"/>
      <c r="E9488" s="545"/>
      <c r="F9488" s="546"/>
      <c r="G9488" s="234"/>
      <c r="H9488" s="238"/>
      <c r="I9488" s="237"/>
    </row>
    <row r="9489" spans="1:9" s="232" customFormat="1" ht="17" customHeight="1">
      <c r="A9489" s="234"/>
      <c r="B9489" s="233"/>
      <c r="C9489" s="238"/>
      <c r="E9489" s="545"/>
      <c r="F9489" s="546"/>
      <c r="G9489" s="234"/>
      <c r="H9489" s="238"/>
      <c r="I9489" s="237"/>
    </row>
    <row r="9490" spans="1:9" s="232" customFormat="1" ht="17" customHeight="1">
      <c r="A9490" s="234"/>
      <c r="B9490" s="233"/>
      <c r="C9490" s="238"/>
      <c r="E9490" s="545"/>
      <c r="F9490" s="546"/>
      <c r="G9490" s="234"/>
      <c r="H9490" s="238"/>
      <c r="I9490" s="237"/>
    </row>
    <row r="9491" spans="1:9" s="232" customFormat="1" ht="17" customHeight="1">
      <c r="A9491" s="234"/>
      <c r="B9491" s="233"/>
      <c r="C9491" s="238"/>
      <c r="E9491" s="545"/>
      <c r="F9491" s="546"/>
      <c r="G9491" s="234"/>
      <c r="H9491" s="238"/>
      <c r="I9491" s="237"/>
    </row>
    <row r="9492" spans="1:9" s="232" customFormat="1" ht="17" customHeight="1">
      <c r="A9492" s="234"/>
      <c r="B9492" s="233"/>
      <c r="C9492" s="238"/>
      <c r="E9492" s="545"/>
      <c r="F9492" s="546"/>
      <c r="G9492" s="234"/>
      <c r="H9492" s="238"/>
      <c r="I9492" s="237"/>
    </row>
    <row r="9493" spans="1:9" s="232" customFormat="1" ht="17" customHeight="1">
      <c r="A9493" s="234"/>
      <c r="B9493" s="233"/>
      <c r="C9493" s="238"/>
      <c r="E9493" s="545"/>
      <c r="F9493" s="546"/>
      <c r="G9493" s="234"/>
      <c r="H9493" s="238"/>
      <c r="I9493" s="237"/>
    </row>
    <row r="9494" spans="1:9" s="232" customFormat="1" ht="17" customHeight="1">
      <c r="A9494" s="234"/>
      <c r="B9494" s="233"/>
      <c r="C9494" s="238"/>
      <c r="E9494" s="545"/>
      <c r="F9494" s="546"/>
      <c r="G9494" s="234"/>
      <c r="H9494" s="238"/>
      <c r="I9494" s="237"/>
    </row>
    <row r="9495" spans="1:9" s="232" customFormat="1" ht="17" customHeight="1">
      <c r="A9495" s="234"/>
      <c r="B9495" s="233"/>
      <c r="C9495" s="238"/>
      <c r="E9495" s="545"/>
      <c r="F9495" s="546"/>
      <c r="G9495" s="234"/>
      <c r="H9495" s="238"/>
      <c r="I9495" s="237"/>
    </row>
    <row r="9496" spans="1:9" s="232" customFormat="1" ht="17" customHeight="1">
      <c r="A9496" s="234"/>
      <c r="B9496" s="233"/>
      <c r="C9496" s="238"/>
      <c r="E9496" s="545"/>
      <c r="F9496" s="546"/>
      <c r="G9496" s="234"/>
      <c r="H9496" s="238"/>
      <c r="I9496" s="237"/>
    </row>
    <row r="9497" spans="1:9" s="232" customFormat="1" ht="17" customHeight="1">
      <c r="A9497" s="234"/>
      <c r="B9497" s="233"/>
      <c r="C9497" s="238"/>
      <c r="E9497" s="545"/>
      <c r="F9497" s="546"/>
      <c r="G9497" s="234"/>
      <c r="H9497" s="238"/>
      <c r="I9497" s="237"/>
    </row>
    <row r="9498" spans="1:9" s="232" customFormat="1" ht="17" customHeight="1">
      <c r="A9498" s="234"/>
      <c r="B9498" s="233"/>
      <c r="C9498" s="238"/>
      <c r="E9498" s="545"/>
      <c r="F9498" s="546"/>
      <c r="G9498" s="234"/>
      <c r="H9498" s="238"/>
      <c r="I9498" s="237"/>
    </row>
    <row r="9499" spans="1:9" s="232" customFormat="1" ht="17" customHeight="1">
      <c r="A9499" s="234"/>
      <c r="B9499" s="233"/>
      <c r="C9499" s="238"/>
      <c r="E9499" s="545"/>
      <c r="F9499" s="546"/>
      <c r="G9499" s="234"/>
      <c r="H9499" s="238"/>
      <c r="I9499" s="237"/>
    </row>
    <row r="9500" spans="1:9" s="232" customFormat="1" ht="17" customHeight="1">
      <c r="A9500" s="234"/>
      <c r="B9500" s="233"/>
      <c r="C9500" s="238"/>
      <c r="E9500" s="545"/>
      <c r="F9500" s="546"/>
      <c r="G9500" s="234"/>
      <c r="H9500" s="238"/>
      <c r="I9500" s="237"/>
    </row>
    <row r="9501" spans="1:9" s="232" customFormat="1" ht="17" customHeight="1">
      <c r="A9501" s="234"/>
      <c r="B9501" s="233"/>
      <c r="C9501" s="238"/>
      <c r="E9501" s="545"/>
      <c r="F9501" s="546"/>
      <c r="G9501" s="234"/>
      <c r="H9501" s="238"/>
      <c r="I9501" s="237"/>
    </row>
    <row r="9502" spans="1:9" s="232" customFormat="1" ht="17" customHeight="1">
      <c r="A9502" s="234"/>
      <c r="B9502" s="233"/>
      <c r="C9502" s="238"/>
      <c r="E9502" s="545"/>
      <c r="F9502" s="546"/>
      <c r="G9502" s="234"/>
      <c r="H9502" s="238"/>
      <c r="I9502" s="237"/>
    </row>
    <row r="9503" spans="1:9" s="232" customFormat="1" ht="17" customHeight="1">
      <c r="A9503" s="234"/>
      <c r="B9503" s="233"/>
      <c r="C9503" s="238"/>
      <c r="E9503" s="545"/>
      <c r="F9503" s="546"/>
      <c r="G9503" s="234"/>
      <c r="H9503" s="238"/>
      <c r="I9503" s="237"/>
    </row>
    <row r="9504" spans="1:9" s="232" customFormat="1" ht="17" customHeight="1">
      <c r="A9504" s="234"/>
      <c r="B9504" s="233"/>
      <c r="C9504" s="238"/>
      <c r="E9504" s="545"/>
      <c r="F9504" s="546"/>
      <c r="G9504" s="234"/>
      <c r="H9504" s="238"/>
      <c r="I9504" s="237"/>
    </row>
    <row r="9505" spans="1:9" s="232" customFormat="1" ht="17" customHeight="1">
      <c r="A9505" s="234"/>
      <c r="B9505" s="233"/>
      <c r="C9505" s="238"/>
      <c r="E9505" s="545"/>
      <c r="F9505" s="546"/>
      <c r="G9505" s="234"/>
      <c r="H9505" s="238"/>
      <c r="I9505" s="237"/>
    </row>
    <row r="9506" spans="1:9" s="232" customFormat="1" ht="17" customHeight="1">
      <c r="A9506" s="234"/>
      <c r="B9506" s="233"/>
      <c r="C9506" s="238"/>
      <c r="E9506" s="545"/>
      <c r="F9506" s="546"/>
      <c r="G9506" s="234"/>
      <c r="H9506" s="238"/>
      <c r="I9506" s="237"/>
    </row>
    <row r="9507" spans="1:9" s="232" customFormat="1" ht="17" customHeight="1">
      <c r="A9507" s="234"/>
      <c r="B9507" s="233"/>
      <c r="C9507" s="238"/>
      <c r="E9507" s="545"/>
      <c r="F9507" s="546"/>
      <c r="G9507" s="234"/>
      <c r="H9507" s="238"/>
      <c r="I9507" s="237"/>
    </row>
    <row r="9508" spans="1:9" s="232" customFormat="1" ht="17" customHeight="1">
      <c r="A9508" s="234"/>
      <c r="B9508" s="233"/>
      <c r="C9508" s="238"/>
      <c r="E9508" s="545"/>
      <c r="F9508" s="546"/>
      <c r="G9508" s="234"/>
      <c r="H9508" s="238"/>
      <c r="I9508" s="237"/>
    </row>
    <row r="9509" spans="1:9" s="232" customFormat="1" ht="17" customHeight="1">
      <c r="A9509" s="234"/>
      <c r="B9509" s="233"/>
      <c r="C9509" s="238"/>
      <c r="E9509" s="545"/>
      <c r="F9509" s="546"/>
      <c r="G9509" s="234"/>
      <c r="H9509" s="238"/>
      <c r="I9509" s="237"/>
    </row>
    <row r="9510" spans="1:9" s="232" customFormat="1" ht="17" customHeight="1">
      <c r="A9510" s="234"/>
      <c r="B9510" s="233"/>
      <c r="C9510" s="238"/>
      <c r="E9510" s="545"/>
      <c r="F9510" s="546"/>
      <c r="G9510" s="234"/>
      <c r="H9510" s="238"/>
      <c r="I9510" s="237"/>
    </row>
    <row r="9511" spans="1:9" s="232" customFormat="1" ht="17" customHeight="1">
      <c r="A9511" s="234"/>
      <c r="B9511" s="233"/>
      <c r="C9511" s="238"/>
      <c r="E9511" s="545"/>
      <c r="F9511" s="546"/>
      <c r="G9511" s="234"/>
      <c r="H9511" s="238"/>
      <c r="I9511" s="237"/>
    </row>
    <row r="9512" spans="1:9" s="232" customFormat="1" ht="17" customHeight="1">
      <c r="A9512" s="234"/>
      <c r="B9512" s="233"/>
      <c r="C9512" s="238"/>
      <c r="E9512" s="545"/>
      <c r="F9512" s="546"/>
      <c r="G9512" s="234"/>
      <c r="H9512" s="238"/>
      <c r="I9512" s="237"/>
    </row>
    <row r="9513" spans="1:9" s="232" customFormat="1" ht="17" customHeight="1">
      <c r="A9513" s="234"/>
      <c r="B9513" s="233"/>
      <c r="C9513" s="238"/>
      <c r="E9513" s="545"/>
      <c r="F9513" s="546"/>
      <c r="G9513" s="234"/>
      <c r="H9513" s="238"/>
      <c r="I9513" s="237"/>
    </row>
    <row r="9514" spans="1:9" s="232" customFormat="1" ht="17" customHeight="1">
      <c r="A9514" s="234"/>
      <c r="B9514" s="233"/>
      <c r="C9514" s="238"/>
      <c r="E9514" s="545"/>
      <c r="F9514" s="546"/>
      <c r="G9514" s="234"/>
      <c r="H9514" s="238"/>
      <c r="I9514" s="237"/>
    </row>
    <row r="9515" spans="1:9" s="232" customFormat="1" ht="17" customHeight="1">
      <c r="A9515" s="234"/>
      <c r="B9515" s="233"/>
      <c r="C9515" s="238"/>
      <c r="E9515" s="545"/>
      <c r="F9515" s="546"/>
      <c r="G9515" s="234"/>
      <c r="H9515" s="238"/>
      <c r="I9515" s="237"/>
    </row>
    <row r="9516" spans="1:9" s="232" customFormat="1" ht="17" customHeight="1">
      <c r="A9516" s="234"/>
      <c r="B9516" s="233"/>
      <c r="C9516" s="238"/>
      <c r="E9516" s="545"/>
      <c r="F9516" s="546"/>
      <c r="G9516" s="234"/>
      <c r="H9516" s="238"/>
      <c r="I9516" s="237"/>
    </row>
    <row r="9517" spans="1:9" s="232" customFormat="1" ht="17" customHeight="1">
      <c r="A9517" s="234"/>
      <c r="B9517" s="233"/>
      <c r="C9517" s="238"/>
      <c r="E9517" s="545"/>
      <c r="F9517" s="546"/>
      <c r="G9517" s="234"/>
      <c r="H9517" s="238"/>
      <c r="I9517" s="237"/>
    </row>
    <row r="9518" spans="1:9" s="232" customFormat="1" ht="17" customHeight="1">
      <c r="A9518" s="234"/>
      <c r="B9518" s="233"/>
      <c r="C9518" s="238"/>
      <c r="E9518" s="545"/>
      <c r="F9518" s="546"/>
      <c r="G9518" s="234"/>
      <c r="H9518" s="238"/>
      <c r="I9518" s="237"/>
    </row>
    <row r="9519" spans="1:9" s="232" customFormat="1" ht="17" customHeight="1">
      <c r="A9519" s="234"/>
      <c r="B9519" s="233"/>
      <c r="C9519" s="238"/>
      <c r="E9519" s="545"/>
      <c r="F9519" s="546"/>
      <c r="G9519" s="234"/>
      <c r="H9519" s="238"/>
      <c r="I9519" s="237"/>
    </row>
    <row r="9520" spans="1:9" s="232" customFormat="1" ht="17" customHeight="1">
      <c r="A9520" s="234"/>
      <c r="B9520" s="233"/>
      <c r="C9520" s="238"/>
      <c r="E9520" s="545"/>
      <c r="F9520" s="546"/>
      <c r="G9520" s="234"/>
      <c r="H9520" s="238"/>
      <c r="I9520" s="237"/>
    </row>
    <row r="9521" spans="1:9" s="232" customFormat="1" ht="17" customHeight="1">
      <c r="A9521" s="234"/>
      <c r="B9521" s="233"/>
      <c r="C9521" s="238"/>
      <c r="E9521" s="545"/>
      <c r="F9521" s="546"/>
      <c r="G9521" s="234"/>
      <c r="H9521" s="238"/>
      <c r="I9521" s="237"/>
    </row>
    <row r="9522" spans="1:9" s="232" customFormat="1" ht="17" customHeight="1">
      <c r="A9522" s="234"/>
      <c r="B9522" s="233"/>
      <c r="C9522" s="238"/>
      <c r="E9522" s="545"/>
      <c r="F9522" s="546"/>
      <c r="G9522" s="234"/>
      <c r="H9522" s="238"/>
      <c r="I9522" s="237"/>
    </row>
    <row r="9523" spans="1:9" s="232" customFormat="1" ht="17" customHeight="1">
      <c r="A9523" s="234"/>
      <c r="B9523" s="233"/>
      <c r="C9523" s="238"/>
      <c r="E9523" s="545"/>
      <c r="F9523" s="546"/>
      <c r="G9523" s="234"/>
      <c r="H9523" s="238"/>
      <c r="I9523" s="237"/>
    </row>
    <row r="9524" spans="1:9" s="232" customFormat="1" ht="17" customHeight="1">
      <c r="A9524" s="234"/>
      <c r="B9524" s="233"/>
      <c r="C9524" s="238"/>
      <c r="E9524" s="545"/>
      <c r="F9524" s="546"/>
      <c r="G9524" s="234"/>
      <c r="H9524" s="238"/>
      <c r="I9524" s="237"/>
    </row>
    <row r="9525" spans="1:9" s="232" customFormat="1" ht="17" customHeight="1">
      <c r="A9525" s="234"/>
      <c r="B9525" s="233"/>
      <c r="C9525" s="238"/>
      <c r="E9525" s="545"/>
      <c r="F9525" s="546"/>
      <c r="G9525" s="234"/>
      <c r="H9525" s="238"/>
      <c r="I9525" s="237"/>
    </row>
    <row r="9526" spans="1:9" s="232" customFormat="1" ht="17" customHeight="1">
      <c r="A9526" s="234"/>
      <c r="B9526" s="233"/>
      <c r="C9526" s="238"/>
      <c r="E9526" s="545"/>
      <c r="F9526" s="546"/>
      <c r="G9526" s="234"/>
      <c r="H9526" s="238"/>
      <c r="I9526" s="237"/>
    </row>
    <row r="9527" spans="1:9" s="232" customFormat="1" ht="17" customHeight="1">
      <c r="A9527" s="234"/>
      <c r="B9527" s="233"/>
      <c r="C9527" s="238"/>
      <c r="E9527" s="545"/>
      <c r="F9527" s="546"/>
      <c r="G9527" s="234"/>
      <c r="H9527" s="238"/>
      <c r="I9527" s="237"/>
    </row>
    <row r="9528" spans="1:9" s="232" customFormat="1" ht="17" customHeight="1">
      <c r="A9528" s="234"/>
      <c r="B9528" s="233"/>
      <c r="C9528" s="238"/>
      <c r="E9528" s="545"/>
      <c r="F9528" s="546"/>
      <c r="G9528" s="234"/>
      <c r="H9528" s="238"/>
      <c r="I9528" s="237"/>
    </row>
    <row r="9529" spans="1:9" s="232" customFormat="1" ht="17" customHeight="1">
      <c r="A9529" s="234"/>
      <c r="B9529" s="233"/>
      <c r="C9529" s="238"/>
      <c r="E9529" s="545"/>
      <c r="F9529" s="546"/>
      <c r="G9529" s="234"/>
      <c r="H9529" s="238"/>
      <c r="I9529" s="237"/>
    </row>
    <row r="9530" spans="1:9" s="232" customFormat="1" ht="17" customHeight="1">
      <c r="A9530" s="234"/>
      <c r="B9530" s="233"/>
      <c r="C9530" s="238"/>
      <c r="E9530" s="545"/>
      <c r="F9530" s="546"/>
      <c r="G9530" s="234"/>
      <c r="H9530" s="238"/>
      <c r="I9530" s="237"/>
    </row>
    <row r="9531" spans="1:9" s="232" customFormat="1" ht="17" customHeight="1">
      <c r="A9531" s="234"/>
      <c r="B9531" s="233"/>
      <c r="C9531" s="238"/>
      <c r="E9531" s="545"/>
      <c r="F9531" s="546"/>
      <c r="G9531" s="234"/>
      <c r="H9531" s="238"/>
      <c r="I9531" s="237"/>
    </row>
    <row r="9532" spans="1:9" s="232" customFormat="1" ht="17" customHeight="1">
      <c r="A9532" s="234"/>
      <c r="B9532" s="233"/>
      <c r="C9532" s="238"/>
      <c r="E9532" s="545"/>
      <c r="F9532" s="546"/>
      <c r="G9532" s="234"/>
      <c r="H9532" s="238"/>
      <c r="I9532" s="237"/>
    </row>
    <row r="9533" spans="1:9" s="232" customFormat="1" ht="17" customHeight="1">
      <c r="A9533" s="234"/>
      <c r="B9533" s="233"/>
      <c r="C9533" s="238"/>
      <c r="E9533" s="545"/>
      <c r="F9533" s="546"/>
      <c r="G9533" s="234"/>
      <c r="H9533" s="238"/>
      <c r="I9533" s="237"/>
    </row>
    <row r="9534" spans="1:9" s="232" customFormat="1" ht="17" customHeight="1">
      <c r="A9534" s="234"/>
      <c r="B9534" s="233"/>
      <c r="C9534" s="238"/>
      <c r="E9534" s="545"/>
      <c r="F9534" s="546"/>
      <c r="G9534" s="234"/>
      <c r="H9534" s="238"/>
      <c r="I9534" s="237"/>
    </row>
    <row r="9535" spans="1:9" s="232" customFormat="1" ht="17" customHeight="1">
      <c r="A9535" s="234"/>
      <c r="B9535" s="233"/>
      <c r="C9535" s="238"/>
      <c r="E9535" s="545"/>
      <c r="F9535" s="546"/>
      <c r="G9535" s="234"/>
      <c r="H9535" s="238"/>
      <c r="I9535" s="237"/>
    </row>
    <row r="9536" spans="1:9" s="232" customFormat="1" ht="17" customHeight="1">
      <c r="A9536" s="234"/>
      <c r="B9536" s="233"/>
      <c r="C9536" s="238"/>
      <c r="E9536" s="545"/>
      <c r="F9536" s="546"/>
      <c r="G9536" s="234"/>
      <c r="H9536" s="238"/>
      <c r="I9536" s="237"/>
    </row>
    <row r="9537" spans="1:9" s="232" customFormat="1" ht="17" customHeight="1">
      <c r="A9537" s="234"/>
      <c r="B9537" s="233"/>
      <c r="C9537" s="238"/>
      <c r="E9537" s="545"/>
      <c r="F9537" s="546"/>
      <c r="G9537" s="234"/>
      <c r="H9537" s="238"/>
      <c r="I9537" s="237"/>
    </row>
    <row r="9538" spans="1:9" s="232" customFormat="1" ht="17" customHeight="1">
      <c r="A9538" s="234"/>
      <c r="B9538" s="233"/>
      <c r="C9538" s="238"/>
      <c r="E9538" s="545"/>
      <c r="F9538" s="546"/>
      <c r="G9538" s="234"/>
      <c r="H9538" s="238"/>
      <c r="I9538" s="237"/>
    </row>
    <row r="9539" spans="1:9" s="232" customFormat="1" ht="17" customHeight="1">
      <c r="A9539" s="234"/>
      <c r="B9539" s="233"/>
      <c r="C9539" s="238"/>
      <c r="E9539" s="545"/>
      <c r="F9539" s="546"/>
      <c r="G9539" s="234"/>
      <c r="H9539" s="238"/>
      <c r="I9539" s="237"/>
    </row>
    <row r="9540" spans="1:9" s="232" customFormat="1" ht="17" customHeight="1">
      <c r="A9540" s="234"/>
      <c r="B9540" s="233"/>
      <c r="C9540" s="238"/>
      <c r="E9540" s="545"/>
      <c r="F9540" s="546"/>
      <c r="G9540" s="234"/>
      <c r="H9540" s="238"/>
      <c r="I9540" s="237"/>
    </row>
    <row r="9541" spans="1:9" s="232" customFormat="1" ht="17" customHeight="1">
      <c r="A9541" s="234"/>
      <c r="B9541" s="233"/>
      <c r="C9541" s="238"/>
      <c r="E9541" s="545"/>
      <c r="F9541" s="546"/>
      <c r="G9541" s="234"/>
      <c r="H9541" s="238"/>
      <c r="I9541" s="237"/>
    </row>
    <row r="9542" spans="1:9" s="232" customFormat="1" ht="17" customHeight="1">
      <c r="A9542" s="234"/>
      <c r="B9542" s="233"/>
      <c r="C9542" s="238"/>
      <c r="E9542" s="545"/>
      <c r="F9542" s="546"/>
      <c r="G9542" s="234"/>
      <c r="H9542" s="238"/>
      <c r="I9542" s="237"/>
    </row>
    <row r="9543" spans="1:9" s="232" customFormat="1" ht="17" customHeight="1">
      <c r="A9543" s="234"/>
      <c r="B9543" s="233"/>
      <c r="C9543" s="238"/>
      <c r="E9543" s="545"/>
      <c r="F9543" s="546"/>
      <c r="G9543" s="234"/>
      <c r="H9543" s="238"/>
      <c r="I9543" s="237"/>
    </row>
    <row r="9544" spans="1:9" s="232" customFormat="1" ht="17" customHeight="1">
      <c r="A9544" s="234"/>
      <c r="B9544" s="233"/>
      <c r="C9544" s="238"/>
      <c r="E9544" s="545"/>
      <c r="F9544" s="546"/>
      <c r="G9544" s="234"/>
      <c r="H9544" s="238"/>
      <c r="I9544" s="237"/>
    </row>
    <row r="9545" spans="1:9" s="232" customFormat="1" ht="17" customHeight="1">
      <c r="A9545" s="234"/>
      <c r="B9545" s="233"/>
      <c r="C9545" s="238"/>
      <c r="E9545" s="545"/>
      <c r="F9545" s="546"/>
      <c r="G9545" s="234"/>
      <c r="H9545" s="238"/>
      <c r="I9545" s="237"/>
    </row>
    <row r="9546" spans="1:9" s="232" customFormat="1" ht="17" customHeight="1">
      <c r="A9546" s="234"/>
      <c r="B9546" s="233"/>
      <c r="C9546" s="238"/>
      <c r="E9546" s="545"/>
      <c r="F9546" s="546"/>
      <c r="G9546" s="234"/>
      <c r="H9546" s="238"/>
      <c r="I9546" s="237"/>
    </row>
    <row r="9547" spans="1:9" s="232" customFormat="1" ht="17" customHeight="1">
      <c r="A9547" s="234"/>
      <c r="B9547" s="233"/>
      <c r="C9547" s="238"/>
      <c r="E9547" s="545"/>
      <c r="F9547" s="546"/>
      <c r="G9547" s="234"/>
      <c r="H9547" s="238"/>
      <c r="I9547" s="237"/>
    </row>
    <row r="9548" spans="1:9" s="232" customFormat="1" ht="17" customHeight="1">
      <c r="A9548" s="234"/>
      <c r="B9548" s="233"/>
      <c r="C9548" s="238"/>
      <c r="E9548" s="545"/>
      <c r="F9548" s="546"/>
      <c r="G9548" s="234"/>
      <c r="H9548" s="238"/>
      <c r="I9548" s="237"/>
    </row>
    <row r="9549" spans="1:9" s="232" customFormat="1" ht="17" customHeight="1">
      <c r="A9549" s="234"/>
      <c r="B9549" s="233"/>
      <c r="C9549" s="238"/>
      <c r="E9549" s="545"/>
      <c r="F9549" s="546"/>
      <c r="G9549" s="234"/>
      <c r="H9549" s="238"/>
      <c r="I9549" s="237"/>
    </row>
    <row r="9550" spans="1:9" s="232" customFormat="1" ht="17" customHeight="1">
      <c r="A9550" s="234"/>
      <c r="B9550" s="233"/>
      <c r="C9550" s="238"/>
      <c r="E9550" s="545"/>
      <c r="F9550" s="546"/>
      <c r="G9550" s="234"/>
      <c r="H9550" s="238"/>
      <c r="I9550" s="237"/>
    </row>
    <row r="9551" spans="1:9" s="232" customFormat="1" ht="17" customHeight="1">
      <c r="A9551" s="234"/>
      <c r="B9551" s="233"/>
      <c r="C9551" s="238"/>
      <c r="E9551" s="545"/>
      <c r="F9551" s="546"/>
      <c r="G9551" s="234"/>
      <c r="H9551" s="238"/>
      <c r="I9551" s="237"/>
    </row>
    <row r="9552" spans="1:9" s="232" customFormat="1" ht="17" customHeight="1">
      <c r="A9552" s="234"/>
      <c r="B9552" s="233"/>
      <c r="C9552" s="238"/>
      <c r="E9552" s="545"/>
      <c r="F9552" s="546"/>
      <c r="G9552" s="234"/>
      <c r="H9552" s="238"/>
      <c r="I9552" s="237"/>
    </row>
    <row r="9553" spans="1:9" s="232" customFormat="1" ht="17" customHeight="1">
      <c r="A9553" s="234"/>
      <c r="B9553" s="233"/>
      <c r="C9553" s="238"/>
      <c r="E9553" s="545"/>
      <c r="F9553" s="546"/>
      <c r="G9553" s="234"/>
      <c r="H9553" s="238"/>
      <c r="I9553" s="237"/>
    </row>
    <row r="9554" spans="1:9" s="232" customFormat="1" ht="17" customHeight="1">
      <c r="A9554" s="234"/>
      <c r="B9554" s="233"/>
      <c r="C9554" s="238"/>
      <c r="E9554" s="545"/>
      <c r="F9554" s="546"/>
      <c r="G9554" s="234"/>
      <c r="H9554" s="238"/>
      <c r="I9554" s="237"/>
    </row>
    <row r="9555" spans="1:9" s="232" customFormat="1" ht="17" customHeight="1">
      <c r="A9555" s="234"/>
      <c r="B9555" s="233"/>
      <c r="C9555" s="238"/>
      <c r="E9555" s="545"/>
      <c r="F9555" s="546"/>
      <c r="G9555" s="234"/>
      <c r="H9555" s="238"/>
      <c r="I9555" s="237"/>
    </row>
    <row r="9556" spans="1:9" s="232" customFormat="1" ht="17" customHeight="1">
      <c r="A9556" s="234"/>
      <c r="B9556" s="233"/>
      <c r="C9556" s="238"/>
      <c r="E9556" s="545"/>
      <c r="F9556" s="546"/>
      <c r="G9556" s="234"/>
      <c r="H9556" s="238"/>
      <c r="I9556" s="237"/>
    </row>
    <row r="9557" spans="1:9" s="232" customFormat="1" ht="17" customHeight="1">
      <c r="A9557" s="234"/>
      <c r="B9557" s="233"/>
      <c r="C9557" s="238"/>
      <c r="E9557" s="545"/>
      <c r="F9557" s="546"/>
      <c r="G9557" s="234"/>
      <c r="H9557" s="238"/>
      <c r="I9557" s="237"/>
    </row>
    <row r="9558" spans="1:9" s="232" customFormat="1" ht="17" customHeight="1">
      <c r="A9558" s="234"/>
      <c r="B9558" s="233"/>
      <c r="C9558" s="238"/>
      <c r="E9558" s="545"/>
      <c r="F9558" s="546"/>
      <c r="G9558" s="234"/>
      <c r="H9558" s="238"/>
      <c r="I9558" s="237"/>
    </row>
    <row r="9559" spans="1:9" s="232" customFormat="1" ht="17" customHeight="1">
      <c r="A9559" s="234"/>
      <c r="B9559" s="233"/>
      <c r="C9559" s="238"/>
      <c r="E9559" s="545"/>
      <c r="F9559" s="546"/>
      <c r="G9559" s="234"/>
      <c r="H9559" s="238"/>
      <c r="I9559" s="237"/>
    </row>
    <row r="9560" spans="1:9" s="232" customFormat="1" ht="17" customHeight="1">
      <c r="A9560" s="234"/>
      <c r="B9560" s="233"/>
      <c r="C9560" s="238"/>
      <c r="E9560" s="545"/>
      <c r="F9560" s="546"/>
      <c r="G9560" s="234"/>
      <c r="H9560" s="238"/>
      <c r="I9560" s="237"/>
    </row>
    <row r="9561" spans="1:9" s="232" customFormat="1" ht="17" customHeight="1">
      <c r="A9561" s="234"/>
      <c r="B9561" s="233"/>
      <c r="C9561" s="238"/>
      <c r="E9561" s="545"/>
      <c r="F9561" s="546"/>
      <c r="G9561" s="234"/>
      <c r="H9561" s="238"/>
      <c r="I9561" s="237"/>
    </row>
    <row r="9562" spans="1:9" s="232" customFormat="1" ht="17" customHeight="1">
      <c r="A9562" s="234"/>
      <c r="B9562" s="233"/>
      <c r="C9562" s="238"/>
      <c r="E9562" s="545"/>
      <c r="F9562" s="546"/>
      <c r="G9562" s="234"/>
      <c r="H9562" s="238"/>
      <c r="I9562" s="237"/>
    </row>
    <row r="9563" spans="1:9" s="232" customFormat="1" ht="17" customHeight="1">
      <c r="A9563" s="234"/>
      <c r="B9563" s="233"/>
      <c r="C9563" s="238"/>
      <c r="E9563" s="545"/>
      <c r="F9563" s="546"/>
      <c r="G9563" s="234"/>
      <c r="H9563" s="238"/>
      <c r="I9563" s="237"/>
    </row>
    <row r="9564" spans="1:9" s="232" customFormat="1" ht="17" customHeight="1">
      <c r="A9564" s="234"/>
      <c r="B9564" s="233"/>
      <c r="C9564" s="238"/>
      <c r="E9564" s="545"/>
      <c r="F9564" s="546"/>
      <c r="G9564" s="234"/>
      <c r="H9564" s="238"/>
      <c r="I9564" s="237"/>
    </row>
    <row r="9565" spans="1:9" s="232" customFormat="1" ht="17" customHeight="1">
      <c r="A9565" s="234"/>
      <c r="B9565" s="233"/>
      <c r="C9565" s="238"/>
      <c r="E9565" s="545"/>
      <c r="F9565" s="546"/>
      <c r="G9565" s="234"/>
      <c r="H9565" s="238"/>
      <c r="I9565" s="237"/>
    </row>
    <row r="9566" spans="1:9" s="232" customFormat="1" ht="17" customHeight="1">
      <c r="A9566" s="234"/>
      <c r="B9566" s="233"/>
      <c r="C9566" s="238"/>
      <c r="E9566" s="545"/>
      <c r="F9566" s="546"/>
      <c r="G9566" s="234"/>
      <c r="H9566" s="238"/>
      <c r="I9566" s="237"/>
    </row>
    <row r="9567" spans="1:9" s="232" customFormat="1" ht="17" customHeight="1">
      <c r="A9567" s="234"/>
      <c r="B9567" s="233"/>
      <c r="C9567" s="238"/>
      <c r="E9567" s="545"/>
      <c r="F9567" s="546"/>
      <c r="G9567" s="234"/>
      <c r="H9567" s="238"/>
      <c r="I9567" s="237"/>
    </row>
    <row r="9568" spans="1:9" s="232" customFormat="1" ht="17" customHeight="1">
      <c r="A9568" s="234"/>
      <c r="B9568" s="233"/>
      <c r="C9568" s="238"/>
      <c r="E9568" s="545"/>
      <c r="F9568" s="546"/>
      <c r="G9568" s="234"/>
      <c r="H9568" s="238"/>
      <c r="I9568" s="237"/>
    </row>
    <row r="9569" spans="1:9" s="232" customFormat="1" ht="17" customHeight="1">
      <c r="A9569" s="234"/>
      <c r="B9569" s="233"/>
      <c r="C9569" s="238"/>
      <c r="E9569" s="545"/>
      <c r="F9569" s="546"/>
      <c r="G9569" s="234"/>
      <c r="H9569" s="238"/>
      <c r="I9569" s="237"/>
    </row>
    <row r="9570" spans="1:9" s="232" customFormat="1" ht="17" customHeight="1">
      <c r="A9570" s="234"/>
      <c r="B9570" s="233"/>
      <c r="C9570" s="238"/>
      <c r="E9570" s="545"/>
      <c r="F9570" s="546"/>
      <c r="G9570" s="234"/>
      <c r="H9570" s="238"/>
      <c r="I9570" s="237"/>
    </row>
    <row r="9571" spans="1:9" s="232" customFormat="1" ht="17" customHeight="1">
      <c r="A9571" s="234"/>
      <c r="B9571" s="233"/>
      <c r="C9571" s="238"/>
      <c r="E9571" s="545"/>
      <c r="F9571" s="546"/>
      <c r="G9571" s="234"/>
      <c r="H9571" s="238"/>
      <c r="I9571" s="237"/>
    </row>
    <row r="9572" spans="1:9" s="232" customFormat="1" ht="17" customHeight="1">
      <c r="A9572" s="234"/>
      <c r="B9572" s="233"/>
      <c r="C9572" s="238"/>
      <c r="E9572" s="545"/>
      <c r="F9572" s="546"/>
      <c r="G9572" s="234"/>
      <c r="H9572" s="238"/>
      <c r="I9572" s="237"/>
    </row>
    <row r="9573" spans="1:9" s="232" customFormat="1" ht="17" customHeight="1">
      <c r="A9573" s="234"/>
      <c r="B9573" s="233"/>
      <c r="C9573" s="238"/>
      <c r="E9573" s="545"/>
      <c r="F9573" s="546"/>
      <c r="G9573" s="234"/>
      <c r="H9573" s="238"/>
      <c r="I9573" s="237"/>
    </row>
    <row r="9574" spans="1:9" s="232" customFormat="1" ht="17" customHeight="1">
      <c r="A9574" s="234"/>
      <c r="B9574" s="233"/>
      <c r="C9574" s="238"/>
      <c r="E9574" s="545"/>
      <c r="F9574" s="546"/>
      <c r="G9574" s="234"/>
      <c r="H9574" s="238"/>
      <c r="I9574" s="237"/>
    </row>
    <row r="9575" spans="1:9" s="232" customFormat="1" ht="17" customHeight="1">
      <c r="A9575" s="234"/>
      <c r="B9575" s="233"/>
      <c r="C9575" s="238"/>
      <c r="E9575" s="545"/>
      <c r="F9575" s="546"/>
      <c r="G9575" s="234"/>
      <c r="H9575" s="238"/>
      <c r="I9575" s="237"/>
    </row>
    <row r="9576" spans="1:9" s="232" customFormat="1" ht="17" customHeight="1">
      <c r="A9576" s="234"/>
      <c r="B9576" s="233"/>
      <c r="C9576" s="238"/>
      <c r="E9576" s="545"/>
      <c r="F9576" s="546"/>
      <c r="G9576" s="234"/>
      <c r="H9576" s="238"/>
      <c r="I9576" s="237"/>
    </row>
    <row r="9577" spans="1:9" s="232" customFormat="1" ht="17" customHeight="1">
      <c r="A9577" s="234"/>
      <c r="B9577" s="233"/>
      <c r="C9577" s="238"/>
      <c r="E9577" s="545"/>
      <c r="F9577" s="546"/>
      <c r="G9577" s="234"/>
      <c r="H9577" s="238"/>
      <c r="I9577" s="237"/>
    </row>
    <row r="9578" spans="1:9" s="232" customFormat="1" ht="17" customHeight="1">
      <c r="A9578" s="234"/>
      <c r="B9578" s="233"/>
      <c r="C9578" s="238"/>
      <c r="E9578" s="545"/>
      <c r="F9578" s="546"/>
      <c r="G9578" s="234"/>
      <c r="H9578" s="238"/>
      <c r="I9578" s="237"/>
    </row>
    <row r="9579" spans="1:9" s="232" customFormat="1" ht="17" customHeight="1">
      <c r="A9579" s="234"/>
      <c r="B9579" s="233"/>
      <c r="C9579" s="238"/>
      <c r="E9579" s="545"/>
      <c r="F9579" s="546"/>
      <c r="G9579" s="234"/>
      <c r="H9579" s="238"/>
      <c r="I9579" s="237"/>
    </row>
    <row r="9580" spans="1:9" s="232" customFormat="1" ht="17" customHeight="1">
      <c r="A9580" s="234"/>
      <c r="B9580" s="233"/>
      <c r="C9580" s="238"/>
      <c r="E9580" s="545"/>
      <c r="F9580" s="546"/>
      <c r="G9580" s="234"/>
      <c r="H9580" s="238"/>
      <c r="I9580" s="237"/>
    </row>
    <row r="9581" spans="1:9" s="232" customFormat="1" ht="17" customHeight="1">
      <c r="A9581" s="234"/>
      <c r="B9581" s="233"/>
      <c r="C9581" s="238"/>
      <c r="E9581" s="545"/>
      <c r="F9581" s="546"/>
      <c r="G9581" s="234"/>
      <c r="H9581" s="238"/>
      <c r="I9581" s="237"/>
    </row>
    <row r="9582" spans="1:9" s="232" customFormat="1" ht="17" customHeight="1">
      <c r="A9582" s="234"/>
      <c r="B9582" s="233"/>
      <c r="C9582" s="238"/>
      <c r="E9582" s="545"/>
      <c r="F9582" s="546"/>
      <c r="G9582" s="234"/>
      <c r="H9582" s="238"/>
      <c r="I9582" s="237"/>
    </row>
    <row r="9583" spans="1:9" s="232" customFormat="1" ht="17" customHeight="1">
      <c r="A9583" s="234"/>
      <c r="B9583" s="233"/>
      <c r="C9583" s="238"/>
      <c r="E9583" s="545"/>
      <c r="F9583" s="546"/>
      <c r="G9583" s="234"/>
      <c r="H9583" s="238"/>
      <c r="I9583" s="237"/>
    </row>
    <row r="9584" spans="1:9" s="232" customFormat="1" ht="17" customHeight="1">
      <c r="A9584" s="234"/>
      <c r="B9584" s="233"/>
      <c r="C9584" s="238"/>
      <c r="E9584" s="545"/>
      <c r="F9584" s="546"/>
      <c r="G9584" s="234"/>
      <c r="H9584" s="238"/>
      <c r="I9584" s="237"/>
    </row>
    <row r="9585" spans="1:9" s="232" customFormat="1" ht="17" customHeight="1">
      <c r="A9585" s="234"/>
      <c r="B9585" s="233"/>
      <c r="C9585" s="238"/>
      <c r="E9585" s="545"/>
      <c r="F9585" s="546"/>
      <c r="G9585" s="234"/>
      <c r="H9585" s="238"/>
      <c r="I9585" s="237"/>
    </row>
    <row r="9586" spans="1:9" s="232" customFormat="1" ht="17" customHeight="1">
      <c r="A9586" s="234"/>
      <c r="B9586" s="233"/>
      <c r="C9586" s="238"/>
      <c r="E9586" s="545"/>
      <c r="F9586" s="546"/>
      <c r="G9586" s="234"/>
      <c r="H9586" s="238"/>
      <c r="I9586" s="237"/>
    </row>
    <row r="9587" spans="1:9" s="232" customFormat="1" ht="17" customHeight="1">
      <c r="A9587" s="234"/>
      <c r="B9587" s="233"/>
      <c r="C9587" s="238"/>
      <c r="E9587" s="545"/>
      <c r="F9587" s="546"/>
      <c r="G9587" s="234"/>
      <c r="H9587" s="238"/>
      <c r="I9587" s="237"/>
    </row>
    <row r="9588" spans="1:9" s="232" customFormat="1" ht="17" customHeight="1">
      <c r="A9588" s="234"/>
      <c r="B9588" s="233"/>
      <c r="C9588" s="238"/>
      <c r="E9588" s="545"/>
      <c r="F9588" s="546"/>
      <c r="G9588" s="234"/>
      <c r="H9588" s="238"/>
      <c r="I9588" s="237"/>
    </row>
    <row r="9589" spans="1:9" s="232" customFormat="1" ht="17" customHeight="1">
      <c r="A9589" s="234"/>
      <c r="B9589" s="233"/>
      <c r="C9589" s="238"/>
      <c r="E9589" s="545"/>
      <c r="F9589" s="546"/>
      <c r="G9589" s="234"/>
      <c r="H9589" s="238"/>
      <c r="I9589" s="237"/>
    </row>
    <row r="9590" spans="1:9" s="232" customFormat="1" ht="17" customHeight="1">
      <c r="A9590" s="234"/>
      <c r="B9590" s="233"/>
      <c r="C9590" s="238"/>
      <c r="E9590" s="545"/>
      <c r="F9590" s="546"/>
      <c r="G9590" s="234"/>
      <c r="H9590" s="238"/>
      <c r="I9590" s="237"/>
    </row>
    <row r="9591" spans="1:9" s="232" customFormat="1" ht="17" customHeight="1">
      <c r="A9591" s="234"/>
      <c r="B9591" s="233"/>
      <c r="C9591" s="238"/>
      <c r="E9591" s="545"/>
      <c r="F9591" s="546"/>
      <c r="G9591" s="234"/>
      <c r="H9591" s="238"/>
      <c r="I9591" s="237"/>
    </row>
    <row r="9592" spans="1:9" s="232" customFormat="1" ht="17" customHeight="1">
      <c r="A9592" s="234"/>
      <c r="B9592" s="233"/>
      <c r="C9592" s="238"/>
      <c r="E9592" s="545"/>
      <c r="F9592" s="546"/>
      <c r="G9592" s="234"/>
      <c r="H9592" s="238"/>
      <c r="I9592" s="237"/>
    </row>
    <row r="9593" spans="1:9" s="232" customFormat="1" ht="17" customHeight="1">
      <c r="A9593" s="234"/>
      <c r="B9593" s="233"/>
      <c r="C9593" s="238"/>
      <c r="E9593" s="545"/>
      <c r="F9593" s="546"/>
      <c r="G9593" s="234"/>
      <c r="H9593" s="238"/>
      <c r="I9593" s="237"/>
    </row>
    <row r="9594" spans="1:9" s="232" customFormat="1" ht="17" customHeight="1">
      <c r="A9594" s="234"/>
      <c r="B9594" s="233"/>
      <c r="C9594" s="238"/>
      <c r="E9594" s="545"/>
      <c r="F9594" s="546"/>
      <c r="G9594" s="234"/>
      <c r="H9594" s="238"/>
      <c r="I9594" s="237"/>
    </row>
    <row r="9595" spans="1:9" s="232" customFormat="1" ht="17" customHeight="1">
      <c r="A9595" s="234"/>
      <c r="B9595" s="233"/>
      <c r="C9595" s="238"/>
      <c r="E9595" s="545"/>
      <c r="F9595" s="546"/>
      <c r="G9595" s="234"/>
      <c r="H9595" s="238"/>
      <c r="I9595" s="237"/>
    </row>
    <row r="9596" spans="1:9" s="232" customFormat="1" ht="17" customHeight="1">
      <c r="A9596" s="234"/>
      <c r="B9596" s="233"/>
      <c r="C9596" s="238"/>
      <c r="E9596" s="545"/>
      <c r="F9596" s="546"/>
      <c r="G9596" s="234"/>
      <c r="H9596" s="238"/>
      <c r="I9596" s="237"/>
    </row>
    <row r="9597" spans="1:9" s="232" customFormat="1" ht="17" customHeight="1">
      <c r="A9597" s="234"/>
      <c r="B9597" s="233"/>
      <c r="C9597" s="238"/>
      <c r="E9597" s="545"/>
      <c r="F9597" s="546"/>
      <c r="G9597" s="234"/>
      <c r="H9597" s="238"/>
      <c r="I9597" s="237"/>
    </row>
    <row r="9598" spans="1:9" s="232" customFormat="1" ht="17" customHeight="1">
      <c r="A9598" s="234"/>
      <c r="B9598" s="233"/>
      <c r="C9598" s="238"/>
      <c r="E9598" s="545"/>
      <c r="F9598" s="546"/>
      <c r="G9598" s="234"/>
      <c r="H9598" s="238"/>
      <c r="I9598" s="237"/>
    </row>
    <row r="9599" spans="1:9" s="232" customFormat="1" ht="17" customHeight="1">
      <c r="A9599" s="234"/>
      <c r="B9599" s="233"/>
      <c r="C9599" s="238"/>
      <c r="E9599" s="545"/>
      <c r="F9599" s="546"/>
      <c r="G9599" s="234"/>
      <c r="H9599" s="238"/>
      <c r="I9599" s="237"/>
    </row>
    <row r="9600" spans="1:9" s="232" customFormat="1" ht="17" customHeight="1">
      <c r="A9600" s="234"/>
      <c r="B9600" s="233"/>
      <c r="C9600" s="238"/>
      <c r="E9600" s="545"/>
      <c r="F9600" s="546"/>
      <c r="G9600" s="234"/>
      <c r="H9600" s="238"/>
      <c r="I9600" s="237"/>
    </row>
    <row r="9601" spans="1:9" s="232" customFormat="1" ht="17" customHeight="1">
      <c r="A9601" s="234"/>
      <c r="B9601" s="233"/>
      <c r="C9601" s="238"/>
      <c r="E9601" s="545"/>
      <c r="F9601" s="546"/>
      <c r="G9601" s="234"/>
      <c r="H9601" s="238"/>
      <c r="I9601" s="237"/>
    </row>
    <row r="9602" spans="1:9" s="232" customFormat="1" ht="17" customHeight="1">
      <c r="A9602" s="234"/>
      <c r="B9602" s="233"/>
      <c r="C9602" s="238"/>
      <c r="E9602" s="545"/>
      <c r="F9602" s="546"/>
      <c r="G9602" s="234"/>
      <c r="H9602" s="238"/>
      <c r="I9602" s="237"/>
    </row>
    <row r="9603" spans="1:9" s="232" customFormat="1" ht="17" customHeight="1">
      <c r="A9603" s="234"/>
      <c r="B9603" s="233"/>
      <c r="C9603" s="238"/>
      <c r="E9603" s="545"/>
      <c r="F9603" s="546"/>
      <c r="G9603" s="234"/>
      <c r="H9603" s="238"/>
      <c r="I9603" s="237"/>
    </row>
    <row r="9604" spans="1:9" s="232" customFormat="1" ht="17" customHeight="1">
      <c r="A9604" s="234"/>
      <c r="B9604" s="233"/>
      <c r="C9604" s="238"/>
      <c r="E9604" s="545"/>
      <c r="F9604" s="546"/>
      <c r="G9604" s="234"/>
      <c r="H9604" s="238"/>
      <c r="I9604" s="237"/>
    </row>
    <row r="9605" spans="1:9" s="232" customFormat="1" ht="17" customHeight="1">
      <c r="A9605" s="234"/>
      <c r="B9605" s="233"/>
      <c r="C9605" s="238"/>
      <c r="E9605" s="545"/>
      <c r="F9605" s="546"/>
      <c r="G9605" s="234"/>
      <c r="H9605" s="238"/>
      <c r="I9605" s="237"/>
    </row>
    <row r="9606" spans="1:9" s="232" customFormat="1" ht="17" customHeight="1">
      <c r="A9606" s="234"/>
      <c r="B9606" s="233"/>
      <c r="C9606" s="238"/>
      <c r="E9606" s="545"/>
      <c r="F9606" s="546"/>
      <c r="G9606" s="234"/>
      <c r="H9606" s="238"/>
      <c r="I9606" s="237"/>
    </row>
    <row r="9607" spans="1:9" s="232" customFormat="1" ht="17" customHeight="1">
      <c r="A9607" s="234"/>
      <c r="B9607" s="233"/>
      <c r="C9607" s="238"/>
      <c r="E9607" s="545"/>
      <c r="F9607" s="546"/>
      <c r="G9607" s="234"/>
      <c r="H9607" s="238"/>
      <c r="I9607" s="237"/>
    </row>
    <row r="9608" spans="1:9" s="232" customFormat="1" ht="17" customHeight="1">
      <c r="A9608" s="234"/>
      <c r="B9608" s="233"/>
      <c r="C9608" s="238"/>
      <c r="E9608" s="545"/>
      <c r="F9608" s="546"/>
      <c r="G9608" s="234"/>
      <c r="H9608" s="238"/>
      <c r="I9608" s="237"/>
    </row>
    <row r="9609" spans="1:9" s="232" customFormat="1" ht="17" customHeight="1">
      <c r="A9609" s="234"/>
      <c r="B9609" s="233"/>
      <c r="C9609" s="238"/>
      <c r="E9609" s="545"/>
      <c r="F9609" s="546"/>
      <c r="G9609" s="234"/>
      <c r="H9609" s="238"/>
      <c r="I9609" s="237"/>
    </row>
    <row r="9610" spans="1:9" s="232" customFormat="1" ht="17" customHeight="1">
      <c r="A9610" s="234"/>
      <c r="B9610" s="233"/>
      <c r="C9610" s="238"/>
      <c r="E9610" s="545"/>
      <c r="F9610" s="546"/>
      <c r="G9610" s="234"/>
      <c r="H9610" s="238"/>
      <c r="I9610" s="237"/>
    </row>
    <row r="9611" spans="1:9" s="232" customFormat="1" ht="17" customHeight="1">
      <c r="A9611" s="234"/>
      <c r="B9611" s="233"/>
      <c r="C9611" s="238"/>
      <c r="E9611" s="545"/>
      <c r="F9611" s="546"/>
      <c r="G9611" s="234"/>
      <c r="H9611" s="238"/>
      <c r="I9611" s="237"/>
    </row>
    <row r="9612" spans="1:9" s="232" customFormat="1" ht="17" customHeight="1">
      <c r="A9612" s="234"/>
      <c r="B9612" s="233"/>
      <c r="C9612" s="238"/>
      <c r="E9612" s="545"/>
      <c r="F9612" s="546"/>
      <c r="G9612" s="234"/>
      <c r="H9612" s="238"/>
      <c r="I9612" s="237"/>
    </row>
    <row r="9613" spans="1:9" s="232" customFormat="1" ht="17" customHeight="1">
      <c r="A9613" s="234"/>
      <c r="B9613" s="233"/>
      <c r="C9613" s="238"/>
      <c r="E9613" s="545"/>
      <c r="F9613" s="546"/>
      <c r="G9613" s="234"/>
      <c r="H9613" s="238"/>
      <c r="I9613" s="237"/>
    </row>
    <row r="9614" spans="1:9" s="232" customFormat="1" ht="17" customHeight="1">
      <c r="A9614" s="234"/>
      <c r="B9614" s="233"/>
      <c r="C9614" s="238"/>
      <c r="E9614" s="545"/>
      <c r="F9614" s="546"/>
      <c r="G9614" s="234"/>
      <c r="H9614" s="238"/>
      <c r="I9614" s="237"/>
    </row>
    <row r="9615" spans="1:9" s="232" customFormat="1" ht="17" customHeight="1">
      <c r="A9615" s="234"/>
      <c r="B9615" s="233"/>
      <c r="C9615" s="238"/>
      <c r="E9615" s="545"/>
      <c r="F9615" s="546"/>
      <c r="G9615" s="234"/>
      <c r="H9615" s="238"/>
      <c r="I9615" s="237"/>
    </row>
    <row r="9616" spans="1:9" s="232" customFormat="1" ht="17" customHeight="1">
      <c r="A9616" s="234"/>
      <c r="B9616" s="233"/>
      <c r="C9616" s="238"/>
      <c r="E9616" s="545"/>
      <c r="F9616" s="546"/>
      <c r="G9616" s="234"/>
      <c r="H9616" s="238"/>
      <c r="I9616" s="237"/>
    </row>
    <row r="9617" spans="1:9" s="232" customFormat="1" ht="17" customHeight="1">
      <c r="A9617" s="234"/>
      <c r="B9617" s="233"/>
      <c r="C9617" s="238"/>
      <c r="E9617" s="545"/>
      <c r="F9617" s="546"/>
      <c r="G9617" s="234"/>
      <c r="H9617" s="238"/>
      <c r="I9617" s="237"/>
    </row>
    <row r="9618" spans="1:9" s="232" customFormat="1" ht="17" customHeight="1">
      <c r="A9618" s="234"/>
      <c r="B9618" s="233"/>
      <c r="C9618" s="238"/>
      <c r="E9618" s="545"/>
      <c r="F9618" s="546"/>
      <c r="G9618" s="234"/>
      <c r="H9618" s="238"/>
      <c r="I9618" s="237"/>
    </row>
    <row r="9619" spans="1:9" s="232" customFormat="1" ht="17" customHeight="1">
      <c r="A9619" s="234"/>
      <c r="B9619" s="233"/>
      <c r="C9619" s="238"/>
      <c r="E9619" s="545"/>
      <c r="F9619" s="546"/>
      <c r="G9619" s="234"/>
      <c r="H9619" s="238"/>
      <c r="I9619" s="237"/>
    </row>
    <row r="9620" spans="1:9" s="232" customFormat="1" ht="17" customHeight="1">
      <c r="A9620" s="234"/>
      <c r="B9620" s="233"/>
      <c r="C9620" s="238"/>
      <c r="E9620" s="545"/>
      <c r="F9620" s="546"/>
      <c r="G9620" s="234"/>
      <c r="H9620" s="238"/>
      <c r="I9620" s="237"/>
    </row>
    <row r="9621" spans="1:9" s="232" customFormat="1" ht="17" customHeight="1">
      <c r="A9621" s="234"/>
      <c r="B9621" s="233"/>
      <c r="C9621" s="238"/>
      <c r="E9621" s="545"/>
      <c r="F9621" s="546"/>
      <c r="G9621" s="234"/>
      <c r="H9621" s="238"/>
      <c r="I9621" s="237"/>
    </row>
    <row r="9622" spans="1:9" s="232" customFormat="1" ht="17" customHeight="1">
      <c r="A9622" s="234"/>
      <c r="B9622" s="233"/>
      <c r="C9622" s="238"/>
      <c r="E9622" s="545"/>
      <c r="F9622" s="546"/>
      <c r="G9622" s="234"/>
      <c r="H9622" s="238"/>
      <c r="I9622" s="237"/>
    </row>
    <row r="9623" spans="1:9" s="232" customFormat="1" ht="17" customHeight="1">
      <c r="A9623" s="234"/>
      <c r="B9623" s="233"/>
      <c r="C9623" s="238"/>
      <c r="E9623" s="545"/>
      <c r="F9623" s="546"/>
      <c r="G9623" s="234"/>
      <c r="H9623" s="238"/>
      <c r="I9623" s="237"/>
    </row>
    <row r="9624" spans="1:9" s="232" customFormat="1" ht="17" customHeight="1">
      <c r="A9624" s="234"/>
      <c r="B9624" s="233"/>
      <c r="C9624" s="238"/>
      <c r="E9624" s="545"/>
      <c r="F9624" s="546"/>
      <c r="G9624" s="234"/>
      <c r="H9624" s="238"/>
      <c r="I9624" s="237"/>
    </row>
    <row r="9625" spans="1:9" s="232" customFormat="1" ht="17" customHeight="1">
      <c r="A9625" s="234"/>
      <c r="B9625" s="233"/>
      <c r="C9625" s="238"/>
      <c r="E9625" s="545"/>
      <c r="F9625" s="546"/>
      <c r="G9625" s="234"/>
      <c r="H9625" s="238"/>
      <c r="I9625" s="237"/>
    </row>
    <row r="9626" spans="1:9" s="232" customFormat="1" ht="17" customHeight="1">
      <c r="A9626" s="234"/>
      <c r="B9626" s="233"/>
      <c r="C9626" s="238"/>
      <c r="E9626" s="545"/>
      <c r="F9626" s="546"/>
      <c r="G9626" s="234"/>
      <c r="H9626" s="238"/>
      <c r="I9626" s="237"/>
    </row>
    <row r="9627" spans="1:9" s="232" customFormat="1" ht="17" customHeight="1">
      <c r="A9627" s="234"/>
      <c r="B9627" s="233"/>
      <c r="C9627" s="238"/>
      <c r="E9627" s="545"/>
      <c r="F9627" s="546"/>
      <c r="G9627" s="234"/>
      <c r="H9627" s="238"/>
      <c r="I9627" s="237"/>
    </row>
    <row r="9628" spans="1:9" s="232" customFormat="1" ht="17" customHeight="1">
      <c r="A9628" s="234"/>
      <c r="B9628" s="233"/>
      <c r="C9628" s="238"/>
      <c r="E9628" s="545"/>
      <c r="F9628" s="546"/>
      <c r="G9628" s="234"/>
      <c r="H9628" s="238"/>
      <c r="I9628" s="237"/>
    </row>
    <row r="9629" spans="1:9" s="232" customFormat="1" ht="17" customHeight="1">
      <c r="A9629" s="234"/>
      <c r="B9629" s="233"/>
      <c r="C9629" s="238"/>
      <c r="E9629" s="545"/>
      <c r="F9629" s="546"/>
      <c r="G9629" s="234"/>
      <c r="H9629" s="238"/>
      <c r="I9629" s="237"/>
    </row>
    <row r="9630" spans="1:9" s="232" customFormat="1" ht="17" customHeight="1">
      <c r="A9630" s="234"/>
      <c r="B9630" s="233"/>
      <c r="C9630" s="238"/>
      <c r="E9630" s="545"/>
      <c r="F9630" s="546"/>
      <c r="G9630" s="234"/>
      <c r="H9630" s="238"/>
      <c r="I9630" s="237"/>
    </row>
    <row r="9631" spans="1:9" s="232" customFormat="1" ht="17" customHeight="1">
      <c r="A9631" s="234"/>
      <c r="B9631" s="233"/>
      <c r="C9631" s="238"/>
      <c r="E9631" s="545"/>
      <c r="F9631" s="546"/>
      <c r="G9631" s="234"/>
      <c r="H9631" s="238"/>
      <c r="I9631" s="237"/>
    </row>
    <row r="9632" spans="1:9" s="232" customFormat="1" ht="17" customHeight="1">
      <c r="A9632" s="234"/>
      <c r="B9632" s="233"/>
      <c r="C9632" s="238"/>
      <c r="E9632" s="545"/>
      <c r="F9632" s="546"/>
      <c r="G9632" s="234"/>
      <c r="H9632" s="238"/>
      <c r="I9632" s="237"/>
    </row>
    <row r="9633" spans="1:9" s="232" customFormat="1" ht="17" customHeight="1">
      <c r="A9633" s="234"/>
      <c r="B9633" s="233"/>
      <c r="C9633" s="238"/>
      <c r="E9633" s="545"/>
      <c r="F9633" s="546"/>
      <c r="G9633" s="234"/>
      <c r="H9633" s="238"/>
      <c r="I9633" s="237"/>
    </row>
    <row r="9634" spans="1:9" s="232" customFormat="1" ht="17" customHeight="1">
      <c r="A9634" s="234"/>
      <c r="B9634" s="233"/>
      <c r="C9634" s="238"/>
      <c r="E9634" s="545"/>
      <c r="F9634" s="546"/>
      <c r="G9634" s="234"/>
      <c r="H9634" s="238"/>
      <c r="I9634" s="237"/>
    </row>
    <row r="9635" spans="1:9" s="232" customFormat="1" ht="17" customHeight="1">
      <c r="A9635" s="234"/>
      <c r="B9635" s="233"/>
      <c r="C9635" s="238"/>
      <c r="E9635" s="545"/>
      <c r="F9635" s="546"/>
      <c r="G9635" s="234"/>
      <c r="H9635" s="238"/>
      <c r="I9635" s="237"/>
    </row>
    <row r="9636" spans="1:9" s="232" customFormat="1" ht="17" customHeight="1">
      <c r="A9636" s="234"/>
      <c r="B9636" s="233"/>
      <c r="C9636" s="238"/>
      <c r="E9636" s="545"/>
      <c r="F9636" s="546"/>
      <c r="G9636" s="234"/>
      <c r="H9636" s="238"/>
      <c r="I9636" s="237"/>
    </row>
    <row r="9637" spans="1:9" s="232" customFormat="1" ht="17" customHeight="1">
      <c r="A9637" s="234"/>
      <c r="B9637" s="233"/>
      <c r="C9637" s="238"/>
      <c r="E9637" s="545"/>
      <c r="F9637" s="546"/>
      <c r="G9637" s="234"/>
      <c r="H9637" s="238"/>
      <c r="I9637" s="237"/>
    </row>
    <row r="9638" spans="1:9" s="232" customFormat="1" ht="17" customHeight="1">
      <c r="A9638" s="234"/>
      <c r="B9638" s="233"/>
      <c r="C9638" s="238"/>
      <c r="E9638" s="545"/>
      <c r="F9638" s="546"/>
      <c r="G9638" s="234"/>
      <c r="H9638" s="238"/>
      <c r="I9638" s="237"/>
    </row>
    <row r="9639" spans="1:9" s="232" customFormat="1" ht="17" customHeight="1">
      <c r="A9639" s="234"/>
      <c r="B9639" s="233"/>
      <c r="C9639" s="238"/>
      <c r="E9639" s="545"/>
      <c r="F9639" s="546"/>
      <c r="G9639" s="234"/>
      <c r="H9639" s="238"/>
      <c r="I9639" s="237"/>
    </row>
    <row r="9640" spans="1:9" s="232" customFormat="1" ht="17" customHeight="1">
      <c r="A9640" s="234"/>
      <c r="B9640" s="233"/>
      <c r="C9640" s="238"/>
      <c r="E9640" s="545"/>
      <c r="F9640" s="546"/>
      <c r="G9640" s="234"/>
      <c r="H9640" s="238"/>
      <c r="I9640" s="237"/>
    </row>
    <row r="9641" spans="1:9" s="232" customFormat="1" ht="17" customHeight="1">
      <c r="A9641" s="234"/>
      <c r="B9641" s="233"/>
      <c r="C9641" s="238"/>
      <c r="E9641" s="545"/>
      <c r="F9641" s="546"/>
      <c r="G9641" s="234"/>
      <c r="H9641" s="238"/>
      <c r="I9641" s="237"/>
    </row>
    <row r="9642" spans="1:9" s="232" customFormat="1" ht="17" customHeight="1">
      <c r="A9642" s="234"/>
      <c r="B9642" s="233"/>
      <c r="C9642" s="238"/>
      <c r="E9642" s="545"/>
      <c r="F9642" s="546"/>
      <c r="G9642" s="234"/>
      <c r="H9642" s="238"/>
      <c r="I9642" s="237"/>
    </row>
    <row r="9643" spans="1:9" s="232" customFormat="1" ht="17" customHeight="1">
      <c r="A9643" s="234"/>
      <c r="B9643" s="233"/>
      <c r="C9643" s="238"/>
      <c r="E9643" s="545"/>
      <c r="F9643" s="546"/>
      <c r="G9643" s="234"/>
      <c r="H9643" s="238"/>
      <c r="I9643" s="237"/>
    </row>
    <row r="9644" spans="1:9" s="232" customFormat="1" ht="17" customHeight="1">
      <c r="A9644" s="234"/>
      <c r="B9644" s="233"/>
      <c r="C9644" s="238"/>
      <c r="E9644" s="545"/>
      <c r="F9644" s="546"/>
      <c r="G9644" s="234"/>
      <c r="H9644" s="238"/>
      <c r="I9644" s="237"/>
    </row>
    <row r="9645" spans="1:9" s="232" customFormat="1" ht="17" customHeight="1">
      <c r="A9645" s="234"/>
      <c r="B9645" s="233"/>
      <c r="C9645" s="238"/>
      <c r="E9645" s="545"/>
      <c r="F9645" s="546"/>
      <c r="G9645" s="234"/>
      <c r="H9645" s="238"/>
      <c r="I9645" s="237"/>
    </row>
    <row r="9646" spans="1:9" s="232" customFormat="1" ht="17" customHeight="1">
      <c r="A9646" s="234"/>
      <c r="B9646" s="233"/>
      <c r="C9646" s="238"/>
      <c r="E9646" s="545"/>
      <c r="F9646" s="546"/>
      <c r="G9646" s="234"/>
      <c r="H9646" s="238"/>
      <c r="I9646" s="237"/>
    </row>
    <row r="9647" spans="1:9" s="232" customFormat="1" ht="17" customHeight="1">
      <c r="A9647" s="234"/>
      <c r="B9647" s="233"/>
      <c r="C9647" s="238"/>
      <c r="E9647" s="545"/>
      <c r="F9647" s="546"/>
      <c r="G9647" s="234"/>
      <c r="H9647" s="238"/>
      <c r="I9647" s="237"/>
    </row>
    <row r="9648" spans="1:9" s="232" customFormat="1" ht="17" customHeight="1">
      <c r="A9648" s="234"/>
      <c r="B9648" s="233"/>
      <c r="C9648" s="238"/>
      <c r="E9648" s="545"/>
      <c r="F9648" s="546"/>
      <c r="G9648" s="234"/>
      <c r="H9648" s="238"/>
      <c r="I9648" s="237"/>
    </row>
    <row r="9649" spans="1:9" s="232" customFormat="1" ht="17" customHeight="1">
      <c r="A9649" s="234"/>
      <c r="B9649" s="233"/>
      <c r="C9649" s="238"/>
      <c r="E9649" s="545"/>
      <c r="F9649" s="546"/>
      <c r="G9649" s="234"/>
      <c r="H9649" s="238"/>
      <c r="I9649" s="237"/>
    </row>
    <row r="9650" spans="1:9" s="232" customFormat="1" ht="17" customHeight="1">
      <c r="A9650" s="234"/>
      <c r="B9650" s="233"/>
      <c r="C9650" s="238"/>
      <c r="E9650" s="545"/>
      <c r="F9650" s="546"/>
      <c r="G9650" s="234"/>
      <c r="H9650" s="238"/>
      <c r="I9650" s="237"/>
    </row>
    <row r="9651" spans="1:9" s="232" customFormat="1" ht="17" customHeight="1">
      <c r="A9651" s="234"/>
      <c r="B9651" s="233"/>
      <c r="C9651" s="238"/>
      <c r="E9651" s="545"/>
      <c r="F9651" s="546"/>
      <c r="G9651" s="234"/>
      <c r="H9651" s="238"/>
      <c r="I9651" s="237"/>
    </row>
    <row r="9652" spans="1:9" s="232" customFormat="1" ht="17" customHeight="1">
      <c r="A9652" s="234"/>
      <c r="B9652" s="233"/>
      <c r="C9652" s="238"/>
      <c r="E9652" s="545"/>
      <c r="F9652" s="546"/>
      <c r="G9652" s="234"/>
      <c r="H9652" s="238"/>
      <c r="I9652" s="237"/>
    </row>
    <row r="9653" spans="1:9" s="232" customFormat="1" ht="17" customHeight="1">
      <c r="A9653" s="234"/>
      <c r="B9653" s="233"/>
      <c r="C9653" s="238"/>
      <c r="E9653" s="545"/>
      <c r="F9653" s="546"/>
      <c r="G9653" s="234"/>
      <c r="H9653" s="238"/>
      <c r="I9653" s="237"/>
    </row>
    <row r="9654" spans="1:9" s="232" customFormat="1" ht="17" customHeight="1">
      <c r="A9654" s="234"/>
      <c r="B9654" s="233"/>
      <c r="C9654" s="238"/>
      <c r="E9654" s="545"/>
      <c r="F9654" s="546"/>
      <c r="G9654" s="234"/>
      <c r="H9654" s="238"/>
      <c r="I9654" s="237"/>
    </row>
    <row r="9655" spans="1:9" s="232" customFormat="1" ht="17" customHeight="1">
      <c r="A9655" s="234"/>
      <c r="B9655" s="233"/>
      <c r="C9655" s="238"/>
      <c r="E9655" s="545"/>
      <c r="F9655" s="546"/>
      <c r="G9655" s="234"/>
      <c r="H9655" s="238"/>
      <c r="I9655" s="237"/>
    </row>
    <row r="9656" spans="1:9" s="232" customFormat="1" ht="17" customHeight="1">
      <c r="A9656" s="234"/>
      <c r="B9656" s="233"/>
      <c r="C9656" s="238"/>
      <c r="E9656" s="545"/>
      <c r="F9656" s="546"/>
      <c r="G9656" s="234"/>
      <c r="H9656" s="238"/>
      <c r="I9656" s="237"/>
    </row>
    <row r="9657" spans="1:9" s="232" customFormat="1" ht="17" customHeight="1">
      <c r="A9657" s="234"/>
      <c r="B9657" s="233"/>
      <c r="C9657" s="238"/>
      <c r="E9657" s="545"/>
      <c r="F9657" s="546"/>
      <c r="G9657" s="234"/>
      <c r="H9657" s="238"/>
      <c r="I9657" s="237"/>
    </row>
    <row r="9658" spans="1:9" s="232" customFormat="1" ht="17" customHeight="1">
      <c r="A9658" s="234"/>
      <c r="B9658" s="233"/>
      <c r="C9658" s="238"/>
      <c r="E9658" s="545"/>
      <c r="F9658" s="546"/>
      <c r="G9658" s="234"/>
      <c r="H9658" s="238"/>
      <c r="I9658" s="237"/>
    </row>
    <row r="9659" spans="1:9" s="232" customFormat="1" ht="17" customHeight="1">
      <c r="A9659" s="234"/>
      <c r="B9659" s="233"/>
      <c r="C9659" s="238"/>
      <c r="E9659" s="545"/>
      <c r="F9659" s="546"/>
      <c r="G9659" s="234"/>
      <c r="H9659" s="238"/>
      <c r="I9659" s="237"/>
    </row>
    <row r="9660" spans="1:9" s="232" customFormat="1" ht="17" customHeight="1">
      <c r="A9660" s="234"/>
      <c r="B9660" s="233"/>
      <c r="C9660" s="238"/>
      <c r="E9660" s="545"/>
      <c r="F9660" s="546"/>
      <c r="G9660" s="234"/>
      <c r="H9660" s="238"/>
      <c r="I9660" s="237"/>
    </row>
    <row r="9661" spans="1:9" s="232" customFormat="1" ht="17" customHeight="1">
      <c r="A9661" s="234"/>
      <c r="B9661" s="233"/>
      <c r="C9661" s="238"/>
      <c r="E9661" s="545"/>
      <c r="F9661" s="546"/>
      <c r="G9661" s="234"/>
      <c r="H9661" s="238"/>
      <c r="I9661" s="237"/>
    </row>
    <row r="9662" spans="1:9" s="232" customFormat="1" ht="17" customHeight="1">
      <c r="A9662" s="234"/>
      <c r="B9662" s="233"/>
      <c r="C9662" s="238"/>
      <c r="E9662" s="545"/>
      <c r="F9662" s="546"/>
      <c r="G9662" s="234"/>
      <c r="H9662" s="238"/>
      <c r="I9662" s="237"/>
    </row>
    <row r="9663" spans="1:9" s="232" customFormat="1" ht="17" customHeight="1">
      <c r="A9663" s="234"/>
      <c r="B9663" s="233"/>
      <c r="C9663" s="238"/>
      <c r="E9663" s="545"/>
      <c r="F9663" s="546"/>
      <c r="G9663" s="234"/>
      <c r="H9663" s="238"/>
      <c r="I9663" s="237"/>
    </row>
    <row r="9664" spans="1:9" s="232" customFormat="1" ht="17" customHeight="1">
      <c r="A9664" s="234"/>
      <c r="B9664" s="233"/>
      <c r="C9664" s="238"/>
      <c r="E9664" s="545"/>
      <c r="F9664" s="546"/>
      <c r="G9664" s="234"/>
      <c r="H9664" s="238"/>
      <c r="I9664" s="237"/>
    </row>
    <row r="9665" spans="1:9" s="232" customFormat="1" ht="17" customHeight="1">
      <c r="A9665" s="234"/>
      <c r="B9665" s="233"/>
      <c r="C9665" s="238"/>
      <c r="E9665" s="545"/>
      <c r="F9665" s="546"/>
      <c r="G9665" s="234"/>
      <c r="H9665" s="238"/>
      <c r="I9665" s="237"/>
    </row>
    <row r="9666" spans="1:9" s="232" customFormat="1" ht="17" customHeight="1">
      <c r="A9666" s="234"/>
      <c r="B9666" s="233"/>
      <c r="C9666" s="238"/>
      <c r="E9666" s="545"/>
      <c r="F9666" s="546"/>
      <c r="G9666" s="234"/>
      <c r="H9666" s="238"/>
      <c r="I9666" s="237"/>
    </row>
    <row r="9667" spans="1:9" s="232" customFormat="1" ht="17" customHeight="1">
      <c r="A9667" s="234"/>
      <c r="B9667" s="233"/>
      <c r="C9667" s="238"/>
      <c r="E9667" s="545"/>
      <c r="F9667" s="546"/>
      <c r="G9667" s="234"/>
      <c r="H9667" s="238"/>
      <c r="I9667" s="237"/>
    </row>
    <row r="9668" spans="1:9" s="232" customFormat="1" ht="17" customHeight="1">
      <c r="A9668" s="234"/>
      <c r="B9668" s="233"/>
      <c r="C9668" s="238"/>
      <c r="E9668" s="545"/>
      <c r="F9668" s="546"/>
      <c r="G9668" s="234"/>
      <c r="H9668" s="238"/>
      <c r="I9668" s="237"/>
    </row>
    <row r="9669" spans="1:9" s="232" customFormat="1" ht="17" customHeight="1">
      <c r="A9669" s="234"/>
      <c r="B9669" s="233"/>
      <c r="C9669" s="238"/>
      <c r="E9669" s="545"/>
      <c r="F9669" s="546"/>
      <c r="G9669" s="234"/>
      <c r="H9669" s="238"/>
      <c r="I9669" s="237"/>
    </row>
    <row r="9670" spans="1:9" s="232" customFormat="1" ht="17" customHeight="1">
      <c r="A9670" s="234"/>
      <c r="B9670" s="233"/>
      <c r="C9670" s="238"/>
      <c r="E9670" s="545"/>
      <c r="F9670" s="546"/>
      <c r="G9670" s="234"/>
      <c r="H9670" s="238"/>
      <c r="I9670" s="237"/>
    </row>
    <row r="9671" spans="1:9" s="232" customFormat="1" ht="17" customHeight="1">
      <c r="A9671" s="234"/>
      <c r="B9671" s="233"/>
      <c r="C9671" s="238"/>
      <c r="E9671" s="545"/>
      <c r="F9671" s="546"/>
      <c r="G9671" s="234"/>
      <c r="H9671" s="238"/>
      <c r="I9671" s="237"/>
    </row>
    <row r="9672" spans="1:9" s="232" customFormat="1" ht="17" customHeight="1">
      <c r="A9672" s="234"/>
      <c r="B9672" s="233"/>
      <c r="C9672" s="238"/>
      <c r="E9672" s="545"/>
      <c r="F9672" s="546"/>
      <c r="G9672" s="234"/>
      <c r="H9672" s="238"/>
      <c r="I9672" s="237"/>
    </row>
    <row r="9673" spans="1:9" s="232" customFormat="1" ht="17" customHeight="1">
      <c r="A9673" s="234"/>
      <c r="B9673" s="233"/>
      <c r="C9673" s="238"/>
      <c r="E9673" s="545"/>
      <c r="F9673" s="546"/>
      <c r="G9673" s="234"/>
      <c r="H9673" s="238"/>
      <c r="I9673" s="237"/>
    </row>
    <row r="9674" spans="1:9" s="232" customFormat="1" ht="17" customHeight="1">
      <c r="A9674" s="234"/>
      <c r="B9674" s="233"/>
      <c r="C9674" s="238"/>
      <c r="E9674" s="545"/>
      <c r="F9674" s="546"/>
      <c r="G9674" s="234"/>
      <c r="H9674" s="238"/>
      <c r="I9674" s="237"/>
    </row>
    <row r="9675" spans="1:9" s="232" customFormat="1" ht="17" customHeight="1">
      <c r="A9675" s="234"/>
      <c r="B9675" s="233"/>
      <c r="C9675" s="238"/>
      <c r="E9675" s="545"/>
      <c r="F9675" s="546"/>
      <c r="G9675" s="234"/>
      <c r="H9675" s="238"/>
      <c r="I9675" s="237"/>
    </row>
    <row r="9676" spans="1:9" s="232" customFormat="1" ht="17" customHeight="1">
      <c r="A9676" s="234"/>
      <c r="B9676" s="233"/>
      <c r="C9676" s="238"/>
      <c r="E9676" s="545"/>
      <c r="F9676" s="546"/>
      <c r="G9676" s="234"/>
      <c r="H9676" s="238"/>
      <c r="I9676" s="237"/>
    </row>
    <row r="9677" spans="1:9" s="232" customFormat="1" ht="17" customHeight="1">
      <c r="A9677" s="234"/>
      <c r="B9677" s="233"/>
      <c r="C9677" s="238"/>
      <c r="E9677" s="545"/>
      <c r="F9677" s="546"/>
      <c r="G9677" s="234"/>
      <c r="H9677" s="238"/>
      <c r="I9677" s="237"/>
    </row>
    <row r="9678" spans="1:9" s="232" customFormat="1" ht="17" customHeight="1">
      <c r="A9678" s="234"/>
      <c r="B9678" s="233"/>
      <c r="C9678" s="238"/>
      <c r="E9678" s="545"/>
      <c r="F9678" s="546"/>
      <c r="G9678" s="234"/>
      <c r="H9678" s="238"/>
      <c r="I9678" s="237"/>
    </row>
    <row r="9679" spans="1:9" s="232" customFormat="1" ht="17" customHeight="1">
      <c r="A9679" s="234"/>
      <c r="B9679" s="233"/>
      <c r="C9679" s="238"/>
      <c r="E9679" s="545"/>
      <c r="F9679" s="546"/>
      <c r="G9679" s="234"/>
      <c r="H9679" s="238"/>
      <c r="I9679" s="237"/>
    </row>
    <row r="9680" spans="1:9" s="232" customFormat="1" ht="17" customHeight="1">
      <c r="A9680" s="234"/>
      <c r="B9680" s="233"/>
      <c r="C9680" s="238"/>
      <c r="E9680" s="545"/>
      <c r="F9680" s="546"/>
      <c r="G9680" s="234"/>
      <c r="H9680" s="238"/>
      <c r="I9680" s="237"/>
    </row>
    <row r="9681" spans="1:9" s="232" customFormat="1" ht="17" customHeight="1">
      <c r="A9681" s="234"/>
      <c r="B9681" s="233"/>
      <c r="C9681" s="238"/>
      <c r="E9681" s="545"/>
      <c r="F9681" s="546"/>
      <c r="G9681" s="234"/>
      <c r="H9681" s="238"/>
      <c r="I9681" s="237"/>
    </row>
    <row r="9682" spans="1:9" s="232" customFormat="1" ht="17" customHeight="1">
      <c r="A9682" s="234"/>
      <c r="B9682" s="233"/>
      <c r="C9682" s="238"/>
      <c r="E9682" s="545"/>
      <c r="F9682" s="546"/>
      <c r="G9682" s="234"/>
      <c r="H9682" s="238"/>
      <c r="I9682" s="237"/>
    </row>
    <row r="9683" spans="1:9" s="232" customFormat="1" ht="17" customHeight="1">
      <c r="A9683" s="234"/>
      <c r="B9683" s="233"/>
      <c r="C9683" s="238"/>
      <c r="E9683" s="545"/>
      <c r="F9683" s="546"/>
      <c r="G9683" s="234"/>
      <c r="H9683" s="238"/>
      <c r="I9683" s="237"/>
    </row>
    <row r="9684" spans="1:9" s="232" customFormat="1" ht="17" customHeight="1">
      <c r="A9684" s="234"/>
      <c r="B9684" s="233"/>
      <c r="C9684" s="238"/>
      <c r="E9684" s="545"/>
      <c r="F9684" s="546"/>
      <c r="G9684" s="234"/>
      <c r="H9684" s="238"/>
      <c r="I9684" s="237"/>
    </row>
    <row r="9685" spans="1:9" s="232" customFormat="1" ht="17" customHeight="1">
      <c r="A9685" s="234"/>
      <c r="B9685" s="233"/>
      <c r="C9685" s="238"/>
      <c r="E9685" s="545"/>
      <c r="F9685" s="546"/>
      <c r="G9685" s="234"/>
      <c r="H9685" s="238"/>
      <c r="I9685" s="237"/>
    </row>
    <row r="9686" spans="1:9" s="232" customFormat="1" ht="17" customHeight="1">
      <c r="A9686" s="234"/>
      <c r="B9686" s="233"/>
      <c r="C9686" s="238"/>
      <c r="E9686" s="545"/>
      <c r="F9686" s="546"/>
      <c r="G9686" s="234"/>
      <c r="H9686" s="238"/>
      <c r="I9686" s="237"/>
    </row>
    <row r="9687" spans="1:9" s="232" customFormat="1" ht="17" customHeight="1">
      <c r="A9687" s="234"/>
      <c r="B9687" s="233"/>
      <c r="C9687" s="238"/>
      <c r="E9687" s="545"/>
      <c r="F9687" s="546"/>
      <c r="G9687" s="234"/>
      <c r="H9687" s="238"/>
      <c r="I9687" s="237"/>
    </row>
    <row r="9688" spans="1:9" s="232" customFormat="1" ht="17" customHeight="1">
      <c r="A9688" s="234"/>
      <c r="B9688" s="233"/>
      <c r="C9688" s="238"/>
      <c r="E9688" s="545"/>
      <c r="F9688" s="546"/>
      <c r="G9688" s="234"/>
      <c r="H9688" s="238"/>
      <c r="I9688" s="237"/>
    </row>
    <row r="9689" spans="1:9" s="232" customFormat="1" ht="17" customHeight="1">
      <c r="A9689" s="234"/>
      <c r="B9689" s="233"/>
      <c r="C9689" s="238"/>
      <c r="E9689" s="545"/>
      <c r="F9689" s="546"/>
      <c r="G9689" s="234"/>
      <c r="H9689" s="238"/>
      <c r="I9689" s="237"/>
    </row>
    <row r="9690" spans="1:9" s="232" customFormat="1" ht="17" customHeight="1">
      <c r="A9690" s="234"/>
      <c r="B9690" s="233"/>
      <c r="C9690" s="238"/>
      <c r="E9690" s="545"/>
      <c r="F9690" s="546"/>
      <c r="G9690" s="234"/>
      <c r="H9690" s="238"/>
      <c r="I9690" s="237"/>
    </row>
    <row r="9691" spans="1:9" s="232" customFormat="1" ht="17" customHeight="1">
      <c r="A9691" s="234"/>
      <c r="B9691" s="233"/>
      <c r="C9691" s="238"/>
      <c r="E9691" s="545"/>
      <c r="F9691" s="546"/>
      <c r="G9691" s="234"/>
      <c r="H9691" s="238"/>
      <c r="I9691" s="237"/>
    </row>
    <row r="9692" spans="1:9" s="232" customFormat="1" ht="17" customHeight="1">
      <c r="A9692" s="234"/>
      <c r="B9692" s="233"/>
      <c r="C9692" s="238"/>
      <c r="E9692" s="545"/>
      <c r="F9692" s="546"/>
      <c r="G9692" s="234"/>
      <c r="H9692" s="238"/>
      <c r="I9692" s="237"/>
    </row>
    <row r="9693" spans="1:9" s="232" customFormat="1" ht="17" customHeight="1">
      <c r="A9693" s="234"/>
      <c r="B9693" s="233"/>
      <c r="C9693" s="238"/>
      <c r="E9693" s="545"/>
      <c r="F9693" s="546"/>
      <c r="G9693" s="234"/>
      <c r="H9693" s="238"/>
      <c r="I9693" s="237"/>
    </row>
    <row r="9694" spans="1:9" s="232" customFormat="1" ht="17" customHeight="1">
      <c r="A9694" s="234"/>
      <c r="B9694" s="233"/>
      <c r="C9694" s="238"/>
      <c r="E9694" s="545"/>
      <c r="F9694" s="546"/>
      <c r="G9694" s="234"/>
      <c r="H9694" s="238"/>
      <c r="I9694" s="237"/>
    </row>
    <row r="9695" spans="1:9" s="232" customFormat="1" ht="17" customHeight="1">
      <c r="A9695" s="234"/>
      <c r="B9695" s="233"/>
      <c r="C9695" s="238"/>
      <c r="E9695" s="545"/>
      <c r="F9695" s="546"/>
      <c r="G9695" s="234"/>
      <c r="H9695" s="238"/>
      <c r="I9695" s="237"/>
    </row>
    <row r="9696" spans="1:9" s="232" customFormat="1" ht="17" customHeight="1">
      <c r="A9696" s="234"/>
      <c r="B9696" s="233"/>
      <c r="C9696" s="238"/>
      <c r="E9696" s="545"/>
      <c r="F9696" s="546"/>
      <c r="G9696" s="234"/>
      <c r="H9696" s="238"/>
      <c r="I9696" s="237"/>
    </row>
    <row r="9697" spans="1:9" s="232" customFormat="1" ht="17" customHeight="1">
      <c r="A9697" s="234"/>
      <c r="B9697" s="233"/>
      <c r="C9697" s="238"/>
      <c r="E9697" s="545"/>
      <c r="F9697" s="546"/>
      <c r="G9697" s="234"/>
      <c r="H9697" s="238"/>
      <c r="I9697" s="237"/>
    </row>
    <row r="9698" spans="1:9" s="232" customFormat="1" ht="17" customHeight="1">
      <c r="A9698" s="234"/>
      <c r="B9698" s="233"/>
      <c r="C9698" s="238"/>
      <c r="E9698" s="545"/>
      <c r="F9698" s="546"/>
      <c r="G9698" s="234"/>
      <c r="H9698" s="238"/>
      <c r="I9698" s="237"/>
    </row>
    <row r="9699" spans="1:9" s="232" customFormat="1" ht="17" customHeight="1">
      <c r="A9699" s="234"/>
      <c r="B9699" s="233"/>
      <c r="C9699" s="238"/>
      <c r="E9699" s="545"/>
      <c r="F9699" s="546"/>
      <c r="G9699" s="234"/>
      <c r="H9699" s="238"/>
      <c r="I9699" s="237"/>
    </row>
    <row r="9700" spans="1:9" s="232" customFormat="1" ht="17" customHeight="1">
      <c r="A9700" s="234"/>
      <c r="B9700" s="233"/>
      <c r="C9700" s="238"/>
      <c r="E9700" s="545"/>
      <c r="F9700" s="546"/>
      <c r="G9700" s="234"/>
      <c r="H9700" s="238"/>
      <c r="I9700" s="237"/>
    </row>
    <row r="9701" spans="1:9" s="232" customFormat="1" ht="17" customHeight="1">
      <c r="A9701" s="234"/>
      <c r="B9701" s="233"/>
      <c r="C9701" s="238"/>
      <c r="E9701" s="545"/>
      <c r="F9701" s="546"/>
      <c r="G9701" s="234"/>
      <c r="H9701" s="238"/>
      <c r="I9701" s="237"/>
    </row>
    <row r="9702" spans="1:9" s="232" customFormat="1" ht="17" customHeight="1">
      <c r="A9702" s="234"/>
      <c r="B9702" s="233"/>
      <c r="C9702" s="238"/>
      <c r="E9702" s="545"/>
      <c r="F9702" s="546"/>
      <c r="G9702" s="234"/>
      <c r="H9702" s="238"/>
      <c r="I9702" s="237"/>
    </row>
    <row r="9703" spans="1:9" s="232" customFormat="1" ht="17" customHeight="1">
      <c r="A9703" s="234"/>
      <c r="B9703" s="233"/>
      <c r="C9703" s="238"/>
      <c r="E9703" s="545"/>
      <c r="F9703" s="546"/>
      <c r="G9703" s="234"/>
      <c r="H9703" s="238"/>
      <c r="I9703" s="237"/>
    </row>
    <row r="9704" spans="1:9" s="232" customFormat="1" ht="17" customHeight="1">
      <c r="A9704" s="234"/>
      <c r="B9704" s="233"/>
      <c r="C9704" s="238"/>
      <c r="E9704" s="545"/>
      <c r="F9704" s="546"/>
      <c r="G9704" s="234"/>
      <c r="H9704" s="238"/>
      <c r="I9704" s="237"/>
    </row>
    <row r="9705" spans="1:9" s="232" customFormat="1" ht="17" customHeight="1">
      <c r="A9705" s="234"/>
      <c r="B9705" s="233"/>
      <c r="C9705" s="238"/>
      <c r="E9705" s="545"/>
      <c r="F9705" s="546"/>
      <c r="G9705" s="234"/>
      <c r="H9705" s="238"/>
      <c r="I9705" s="237"/>
    </row>
    <row r="9706" spans="1:9" s="232" customFormat="1" ht="17" customHeight="1">
      <c r="A9706" s="234"/>
      <c r="B9706" s="233"/>
      <c r="C9706" s="238"/>
      <c r="E9706" s="545"/>
      <c r="F9706" s="546"/>
      <c r="G9706" s="234"/>
      <c r="H9706" s="238"/>
      <c r="I9706" s="237"/>
    </row>
    <row r="9707" spans="1:9" s="232" customFormat="1" ht="17" customHeight="1">
      <c r="A9707" s="234"/>
      <c r="B9707" s="233"/>
      <c r="C9707" s="238"/>
      <c r="E9707" s="545"/>
      <c r="F9707" s="546"/>
      <c r="G9707" s="234"/>
      <c r="H9707" s="238"/>
      <c r="I9707" s="237"/>
    </row>
    <row r="9708" spans="1:9" s="232" customFormat="1" ht="17" customHeight="1">
      <c r="A9708" s="234"/>
      <c r="B9708" s="233"/>
      <c r="C9708" s="238"/>
      <c r="E9708" s="545"/>
      <c r="F9708" s="546"/>
      <c r="G9708" s="234"/>
      <c r="H9708" s="238"/>
      <c r="I9708" s="237"/>
    </row>
    <row r="9709" spans="1:9" s="232" customFormat="1" ht="17" customHeight="1">
      <c r="A9709" s="234"/>
      <c r="B9709" s="233"/>
      <c r="C9709" s="238"/>
      <c r="E9709" s="545"/>
      <c r="F9709" s="546"/>
      <c r="G9709" s="234"/>
      <c r="H9709" s="238"/>
      <c r="I9709" s="237"/>
    </row>
    <row r="9710" spans="1:9" s="232" customFormat="1" ht="17" customHeight="1">
      <c r="A9710" s="234"/>
      <c r="B9710" s="233"/>
      <c r="C9710" s="238"/>
      <c r="E9710" s="545"/>
      <c r="F9710" s="546"/>
      <c r="G9710" s="234"/>
      <c r="H9710" s="238"/>
      <c r="I9710" s="237"/>
    </row>
    <row r="9711" spans="1:9" s="232" customFormat="1" ht="17" customHeight="1">
      <c r="A9711" s="234"/>
      <c r="B9711" s="233"/>
      <c r="C9711" s="238"/>
      <c r="E9711" s="545"/>
      <c r="F9711" s="546"/>
      <c r="G9711" s="234"/>
      <c r="H9711" s="238"/>
      <c r="I9711" s="237"/>
    </row>
    <row r="9712" spans="1:9" s="232" customFormat="1" ht="17" customHeight="1">
      <c r="A9712" s="234"/>
      <c r="B9712" s="233"/>
      <c r="C9712" s="238"/>
      <c r="E9712" s="545"/>
      <c r="F9712" s="546"/>
      <c r="G9712" s="234"/>
      <c r="H9712" s="238"/>
      <c r="I9712" s="237"/>
    </row>
    <row r="9713" spans="1:9" s="232" customFormat="1" ht="17" customHeight="1">
      <c r="A9713" s="234"/>
      <c r="B9713" s="233"/>
      <c r="C9713" s="238"/>
      <c r="E9713" s="545"/>
      <c r="F9713" s="546"/>
      <c r="G9713" s="234"/>
      <c r="H9713" s="238"/>
      <c r="I9713" s="237"/>
    </row>
    <row r="9714" spans="1:9" s="232" customFormat="1" ht="17" customHeight="1">
      <c r="A9714" s="234"/>
      <c r="B9714" s="233"/>
      <c r="C9714" s="238"/>
      <c r="E9714" s="545"/>
      <c r="F9714" s="546"/>
      <c r="G9714" s="234"/>
      <c r="H9714" s="238"/>
      <c r="I9714" s="237"/>
    </row>
    <row r="9715" spans="1:9" s="232" customFormat="1" ht="17" customHeight="1">
      <c r="A9715" s="234"/>
      <c r="B9715" s="233"/>
      <c r="C9715" s="238"/>
      <c r="E9715" s="545"/>
      <c r="F9715" s="546"/>
      <c r="G9715" s="234"/>
      <c r="H9715" s="238"/>
      <c r="I9715" s="237"/>
    </row>
    <row r="9716" spans="1:9" s="232" customFormat="1" ht="17" customHeight="1">
      <c r="A9716" s="234"/>
      <c r="B9716" s="233"/>
      <c r="C9716" s="238"/>
      <c r="E9716" s="545"/>
      <c r="F9716" s="546"/>
      <c r="G9716" s="234"/>
      <c r="H9716" s="238"/>
      <c r="I9716" s="237"/>
    </row>
    <row r="9717" spans="1:9" s="232" customFormat="1" ht="17" customHeight="1">
      <c r="A9717" s="234"/>
      <c r="B9717" s="233"/>
      <c r="C9717" s="238"/>
      <c r="E9717" s="545"/>
      <c r="F9717" s="546"/>
      <c r="G9717" s="234"/>
      <c r="H9717" s="238"/>
      <c r="I9717" s="237"/>
    </row>
    <row r="9718" spans="1:9" s="232" customFormat="1" ht="17" customHeight="1">
      <c r="A9718" s="234"/>
      <c r="B9718" s="233"/>
      <c r="C9718" s="238"/>
      <c r="E9718" s="545"/>
      <c r="F9718" s="546"/>
      <c r="G9718" s="234"/>
      <c r="H9718" s="238"/>
      <c r="I9718" s="237"/>
    </row>
    <row r="9719" spans="1:9" s="232" customFormat="1" ht="17" customHeight="1">
      <c r="A9719" s="234"/>
      <c r="B9719" s="233"/>
      <c r="C9719" s="238"/>
      <c r="E9719" s="545"/>
      <c r="F9719" s="546"/>
      <c r="G9719" s="234"/>
      <c r="H9719" s="238"/>
      <c r="I9719" s="237"/>
    </row>
    <row r="9720" spans="1:9" s="232" customFormat="1" ht="17" customHeight="1">
      <c r="A9720" s="234"/>
      <c r="B9720" s="233"/>
      <c r="C9720" s="238"/>
      <c r="E9720" s="545"/>
      <c r="F9720" s="546"/>
      <c r="G9720" s="234"/>
      <c r="H9720" s="238"/>
      <c r="I9720" s="237"/>
    </row>
    <row r="9721" spans="1:9" s="232" customFormat="1" ht="17" customHeight="1">
      <c r="A9721" s="234"/>
      <c r="B9721" s="233"/>
      <c r="C9721" s="238"/>
      <c r="E9721" s="545"/>
      <c r="F9721" s="546"/>
      <c r="G9721" s="234"/>
      <c r="H9721" s="238"/>
      <c r="I9721" s="237"/>
    </row>
    <row r="9722" spans="1:9" s="232" customFormat="1" ht="17" customHeight="1">
      <c r="A9722" s="234"/>
      <c r="B9722" s="233"/>
      <c r="C9722" s="238"/>
      <c r="E9722" s="545"/>
      <c r="F9722" s="546"/>
      <c r="G9722" s="234"/>
      <c r="H9722" s="238"/>
      <c r="I9722" s="237"/>
    </row>
    <row r="9723" spans="1:9" s="232" customFormat="1" ht="17" customHeight="1">
      <c r="A9723" s="234"/>
      <c r="B9723" s="233"/>
      <c r="C9723" s="238"/>
      <c r="E9723" s="545"/>
      <c r="F9723" s="546"/>
      <c r="G9723" s="234"/>
      <c r="H9723" s="238"/>
      <c r="I9723" s="237"/>
    </row>
    <row r="9724" spans="1:9" s="232" customFormat="1" ht="17" customHeight="1">
      <c r="A9724" s="234"/>
      <c r="B9724" s="233"/>
      <c r="C9724" s="238"/>
      <c r="E9724" s="545"/>
      <c r="F9724" s="546"/>
      <c r="G9724" s="234"/>
      <c r="H9724" s="238"/>
      <c r="I9724" s="237"/>
    </row>
    <row r="9725" spans="1:9" s="232" customFormat="1" ht="17" customHeight="1">
      <c r="A9725" s="234"/>
      <c r="B9725" s="233"/>
      <c r="C9725" s="238"/>
      <c r="E9725" s="545"/>
      <c r="F9725" s="546"/>
      <c r="G9725" s="234"/>
      <c r="H9725" s="238"/>
      <c r="I9725" s="237"/>
    </row>
    <row r="9726" spans="1:9" s="232" customFormat="1" ht="17" customHeight="1">
      <c r="A9726" s="234"/>
      <c r="B9726" s="233"/>
      <c r="C9726" s="238"/>
      <c r="E9726" s="545"/>
      <c r="F9726" s="546"/>
      <c r="G9726" s="234"/>
      <c r="H9726" s="238"/>
      <c r="I9726" s="237"/>
    </row>
    <row r="9727" spans="1:9" s="232" customFormat="1" ht="17" customHeight="1">
      <c r="A9727" s="234"/>
      <c r="B9727" s="233"/>
      <c r="C9727" s="238"/>
      <c r="E9727" s="545"/>
      <c r="F9727" s="546"/>
      <c r="G9727" s="234"/>
      <c r="H9727" s="238"/>
      <c r="I9727" s="237"/>
    </row>
    <row r="9728" spans="1:9" s="232" customFormat="1" ht="17" customHeight="1">
      <c r="A9728" s="234"/>
      <c r="B9728" s="233"/>
      <c r="C9728" s="238"/>
      <c r="E9728" s="545"/>
      <c r="F9728" s="546"/>
      <c r="G9728" s="234"/>
      <c r="H9728" s="238"/>
      <c r="I9728" s="237"/>
    </row>
    <row r="9729" spans="1:9" s="232" customFormat="1" ht="17" customHeight="1">
      <c r="A9729" s="234"/>
      <c r="B9729" s="233"/>
      <c r="C9729" s="238"/>
      <c r="E9729" s="545"/>
      <c r="F9729" s="546"/>
      <c r="G9729" s="234"/>
      <c r="H9729" s="238"/>
      <c r="I9729" s="237"/>
    </row>
    <row r="9730" spans="1:9" s="232" customFormat="1" ht="17" customHeight="1">
      <c r="A9730" s="234"/>
      <c r="B9730" s="233"/>
      <c r="C9730" s="238"/>
      <c r="E9730" s="545"/>
      <c r="F9730" s="546"/>
      <c r="G9730" s="234"/>
      <c r="H9730" s="238"/>
      <c r="I9730" s="237"/>
    </row>
    <row r="9731" spans="1:9" s="232" customFormat="1" ht="17" customHeight="1">
      <c r="A9731" s="234"/>
      <c r="B9731" s="233"/>
      <c r="C9731" s="238"/>
      <c r="E9731" s="545"/>
      <c r="F9731" s="546"/>
      <c r="G9731" s="234"/>
      <c r="H9731" s="238"/>
      <c r="I9731" s="237"/>
    </row>
    <row r="9732" spans="1:9" s="232" customFormat="1" ht="17" customHeight="1">
      <c r="A9732" s="234"/>
      <c r="B9732" s="233"/>
      <c r="C9732" s="238"/>
      <c r="E9732" s="545"/>
      <c r="F9732" s="546"/>
      <c r="G9732" s="234"/>
      <c r="H9732" s="238"/>
      <c r="I9732" s="237"/>
    </row>
    <row r="9733" spans="1:9" s="232" customFormat="1" ht="17" customHeight="1">
      <c r="A9733" s="234"/>
      <c r="B9733" s="233"/>
      <c r="C9733" s="238"/>
      <c r="E9733" s="545"/>
      <c r="F9733" s="546"/>
      <c r="G9733" s="234"/>
      <c r="H9733" s="238"/>
      <c r="I9733" s="237"/>
    </row>
    <row r="9734" spans="1:9" s="232" customFormat="1" ht="17" customHeight="1">
      <c r="A9734" s="234"/>
      <c r="B9734" s="233"/>
      <c r="C9734" s="238"/>
      <c r="E9734" s="545"/>
      <c r="F9734" s="546"/>
      <c r="G9734" s="234"/>
      <c r="H9734" s="238"/>
      <c r="I9734" s="237"/>
    </row>
    <row r="9735" spans="1:9" s="232" customFormat="1" ht="17" customHeight="1">
      <c r="A9735" s="234"/>
      <c r="B9735" s="233"/>
      <c r="C9735" s="238"/>
      <c r="E9735" s="545"/>
      <c r="F9735" s="546"/>
      <c r="G9735" s="234"/>
      <c r="H9735" s="238"/>
      <c r="I9735" s="237"/>
    </row>
    <row r="9736" spans="1:9" s="232" customFormat="1" ht="17" customHeight="1">
      <c r="A9736" s="234"/>
      <c r="B9736" s="233"/>
      <c r="C9736" s="238"/>
      <c r="E9736" s="545"/>
      <c r="F9736" s="546"/>
      <c r="G9736" s="234"/>
      <c r="H9736" s="238"/>
      <c r="I9736" s="237"/>
    </row>
    <row r="9737" spans="1:9" s="232" customFormat="1" ht="17" customHeight="1">
      <c r="A9737" s="234"/>
      <c r="B9737" s="233"/>
      <c r="C9737" s="238"/>
      <c r="E9737" s="545"/>
      <c r="F9737" s="546"/>
      <c r="G9737" s="234"/>
      <c r="H9737" s="238"/>
      <c r="I9737" s="237"/>
    </row>
    <row r="9738" spans="1:9" s="232" customFormat="1" ht="17" customHeight="1">
      <c r="A9738" s="234"/>
      <c r="B9738" s="233"/>
      <c r="C9738" s="238"/>
      <c r="E9738" s="545"/>
      <c r="F9738" s="546"/>
      <c r="G9738" s="234"/>
      <c r="H9738" s="238"/>
      <c r="I9738" s="237"/>
    </row>
    <row r="9739" spans="1:9" s="232" customFormat="1" ht="17" customHeight="1">
      <c r="A9739" s="234"/>
      <c r="B9739" s="233"/>
      <c r="C9739" s="238"/>
      <c r="E9739" s="545"/>
      <c r="F9739" s="546"/>
      <c r="G9739" s="234"/>
      <c r="H9739" s="238"/>
      <c r="I9739" s="237"/>
    </row>
    <row r="9740" spans="1:9" s="232" customFormat="1" ht="17" customHeight="1">
      <c r="A9740" s="234"/>
      <c r="B9740" s="233"/>
      <c r="C9740" s="238"/>
      <c r="E9740" s="545"/>
      <c r="F9740" s="546"/>
      <c r="G9740" s="234"/>
      <c r="H9740" s="238"/>
      <c r="I9740" s="237"/>
    </row>
    <row r="9741" spans="1:9" s="232" customFormat="1" ht="17" customHeight="1">
      <c r="A9741" s="234"/>
      <c r="B9741" s="233"/>
      <c r="C9741" s="238"/>
      <c r="E9741" s="545"/>
      <c r="F9741" s="546"/>
      <c r="G9741" s="234"/>
      <c r="H9741" s="238"/>
      <c r="I9741" s="237"/>
    </row>
    <row r="9742" spans="1:9" s="232" customFormat="1" ht="17" customHeight="1">
      <c r="A9742" s="234"/>
      <c r="B9742" s="233"/>
      <c r="C9742" s="238"/>
      <c r="E9742" s="545"/>
      <c r="F9742" s="546"/>
      <c r="G9742" s="234"/>
      <c r="H9742" s="238"/>
      <c r="I9742" s="237"/>
    </row>
    <row r="9743" spans="1:9" s="232" customFormat="1" ht="17" customHeight="1">
      <c r="A9743" s="234"/>
      <c r="B9743" s="233"/>
      <c r="C9743" s="238"/>
      <c r="E9743" s="545"/>
      <c r="F9743" s="546"/>
      <c r="G9743" s="234"/>
      <c r="H9743" s="238"/>
      <c r="I9743" s="237"/>
    </row>
    <row r="9744" spans="1:9" s="232" customFormat="1" ht="17" customHeight="1">
      <c r="A9744" s="234"/>
      <c r="B9744" s="233"/>
      <c r="C9744" s="238"/>
      <c r="E9744" s="545"/>
      <c r="F9744" s="546"/>
      <c r="G9744" s="234"/>
      <c r="H9744" s="238"/>
      <c r="I9744" s="237"/>
    </row>
    <row r="9745" spans="1:9" s="232" customFormat="1" ht="17" customHeight="1">
      <c r="A9745" s="234"/>
      <c r="B9745" s="233"/>
      <c r="C9745" s="238"/>
      <c r="E9745" s="545"/>
      <c r="F9745" s="546"/>
      <c r="G9745" s="234"/>
      <c r="H9745" s="238"/>
      <c r="I9745" s="237"/>
    </row>
    <row r="9746" spans="1:9" s="232" customFormat="1" ht="17" customHeight="1">
      <c r="A9746" s="234"/>
      <c r="B9746" s="233"/>
      <c r="C9746" s="238"/>
      <c r="E9746" s="545"/>
      <c r="F9746" s="546"/>
      <c r="G9746" s="234"/>
      <c r="H9746" s="238"/>
      <c r="I9746" s="237"/>
    </row>
    <row r="9747" spans="1:9" s="232" customFormat="1" ht="17" customHeight="1">
      <c r="A9747" s="234"/>
      <c r="B9747" s="233"/>
      <c r="C9747" s="238"/>
      <c r="E9747" s="545"/>
      <c r="F9747" s="546"/>
      <c r="G9747" s="234"/>
      <c r="H9747" s="238"/>
      <c r="I9747" s="237"/>
    </row>
    <row r="9748" spans="1:9" s="232" customFormat="1" ht="17" customHeight="1">
      <c r="A9748" s="234"/>
      <c r="B9748" s="233"/>
      <c r="C9748" s="238"/>
      <c r="E9748" s="545"/>
      <c r="F9748" s="546"/>
      <c r="G9748" s="234"/>
      <c r="H9748" s="238"/>
      <c r="I9748" s="237"/>
    </row>
    <row r="9749" spans="1:9" s="232" customFormat="1" ht="17" customHeight="1">
      <c r="A9749" s="234"/>
      <c r="B9749" s="233"/>
      <c r="C9749" s="238"/>
      <c r="E9749" s="545"/>
      <c r="F9749" s="546"/>
      <c r="G9749" s="234"/>
      <c r="H9749" s="238"/>
      <c r="I9749" s="237"/>
    </row>
    <row r="9750" spans="1:9" s="232" customFormat="1" ht="17" customHeight="1">
      <c r="A9750" s="234"/>
      <c r="B9750" s="233"/>
      <c r="C9750" s="238"/>
      <c r="E9750" s="545"/>
      <c r="F9750" s="546"/>
      <c r="G9750" s="234"/>
      <c r="H9750" s="238"/>
      <c r="I9750" s="237"/>
    </row>
    <row r="9751" spans="1:9" s="232" customFormat="1" ht="17" customHeight="1">
      <c r="A9751" s="234"/>
      <c r="B9751" s="233"/>
      <c r="C9751" s="238"/>
      <c r="E9751" s="545"/>
      <c r="F9751" s="546"/>
      <c r="G9751" s="234"/>
      <c r="H9751" s="238"/>
      <c r="I9751" s="237"/>
    </row>
    <row r="9752" spans="1:9" s="232" customFormat="1" ht="17" customHeight="1">
      <c r="A9752" s="234"/>
      <c r="B9752" s="233"/>
      <c r="C9752" s="238"/>
      <c r="E9752" s="545"/>
      <c r="F9752" s="546"/>
      <c r="G9752" s="234"/>
      <c r="H9752" s="238"/>
      <c r="I9752" s="237"/>
    </row>
    <row r="9753" spans="1:9" s="232" customFormat="1" ht="17" customHeight="1">
      <c r="A9753" s="234"/>
      <c r="B9753" s="233"/>
      <c r="C9753" s="238"/>
      <c r="E9753" s="545"/>
      <c r="F9753" s="546"/>
      <c r="G9753" s="234"/>
      <c r="H9753" s="238"/>
      <c r="I9753" s="237"/>
    </row>
    <row r="9754" spans="1:9" s="232" customFormat="1" ht="17" customHeight="1">
      <c r="A9754" s="234"/>
      <c r="B9754" s="233"/>
      <c r="C9754" s="238"/>
      <c r="E9754" s="545"/>
      <c r="F9754" s="546"/>
      <c r="G9754" s="234"/>
      <c r="H9754" s="238"/>
      <c r="I9754" s="237"/>
    </row>
    <row r="9755" spans="1:9" s="232" customFormat="1" ht="17" customHeight="1">
      <c r="A9755" s="234"/>
      <c r="B9755" s="233"/>
      <c r="C9755" s="238"/>
      <c r="E9755" s="545"/>
      <c r="F9755" s="546"/>
      <c r="G9755" s="234"/>
      <c r="H9755" s="238"/>
      <c r="I9755" s="237"/>
    </row>
    <row r="9756" spans="1:9" s="232" customFormat="1" ht="17" customHeight="1">
      <c r="A9756" s="234"/>
      <c r="B9756" s="233"/>
      <c r="C9756" s="238"/>
      <c r="E9756" s="545"/>
      <c r="F9756" s="546"/>
      <c r="G9756" s="234"/>
      <c r="H9756" s="238"/>
      <c r="I9756" s="237"/>
    </row>
    <row r="9757" spans="1:9" s="232" customFormat="1" ht="17" customHeight="1">
      <c r="A9757" s="234"/>
      <c r="B9757" s="233"/>
      <c r="C9757" s="238"/>
      <c r="E9757" s="545"/>
      <c r="F9757" s="546"/>
      <c r="G9757" s="234"/>
      <c r="H9757" s="238"/>
      <c r="I9757" s="237"/>
    </row>
    <row r="9758" spans="1:9" s="232" customFormat="1" ht="17" customHeight="1">
      <c r="A9758" s="234"/>
      <c r="B9758" s="233"/>
      <c r="C9758" s="238"/>
      <c r="E9758" s="545"/>
      <c r="F9758" s="546"/>
      <c r="G9758" s="234"/>
      <c r="H9758" s="238"/>
      <c r="I9758" s="237"/>
    </row>
    <row r="9759" spans="1:9" s="232" customFormat="1" ht="17" customHeight="1">
      <c r="A9759" s="234"/>
      <c r="B9759" s="233"/>
      <c r="C9759" s="238"/>
      <c r="E9759" s="545"/>
      <c r="F9759" s="546"/>
      <c r="G9759" s="234"/>
      <c r="H9759" s="238"/>
      <c r="I9759" s="237"/>
    </row>
    <row r="9760" spans="1:9" s="232" customFormat="1" ht="17" customHeight="1">
      <c r="A9760" s="234"/>
      <c r="B9760" s="233"/>
      <c r="C9760" s="238"/>
      <c r="E9760" s="545"/>
      <c r="F9760" s="546"/>
      <c r="G9760" s="234"/>
      <c r="H9760" s="238"/>
      <c r="I9760" s="237"/>
    </row>
    <row r="9761" spans="1:9" s="232" customFormat="1" ht="17" customHeight="1">
      <c r="A9761" s="234"/>
      <c r="B9761" s="233"/>
      <c r="C9761" s="238"/>
      <c r="E9761" s="545"/>
      <c r="F9761" s="546"/>
      <c r="G9761" s="234"/>
      <c r="H9761" s="238"/>
      <c r="I9761" s="237"/>
    </row>
    <row r="9762" spans="1:9" s="232" customFormat="1" ht="17" customHeight="1">
      <c r="A9762" s="234"/>
      <c r="B9762" s="233"/>
      <c r="C9762" s="238"/>
      <c r="E9762" s="545"/>
      <c r="F9762" s="546"/>
      <c r="G9762" s="234"/>
      <c r="H9762" s="238"/>
      <c r="I9762" s="237"/>
    </row>
    <row r="9763" spans="1:9" s="232" customFormat="1" ht="17" customHeight="1">
      <c r="A9763" s="234"/>
      <c r="B9763" s="233"/>
      <c r="C9763" s="238"/>
      <c r="E9763" s="545"/>
      <c r="F9763" s="546"/>
      <c r="G9763" s="234"/>
      <c r="H9763" s="238"/>
      <c r="I9763" s="237"/>
    </row>
    <row r="9764" spans="1:9" s="232" customFormat="1" ht="17" customHeight="1">
      <c r="A9764" s="234"/>
      <c r="B9764" s="233"/>
      <c r="C9764" s="238"/>
      <c r="E9764" s="545"/>
      <c r="F9764" s="546"/>
      <c r="G9764" s="234"/>
      <c r="H9764" s="238"/>
      <c r="I9764" s="237"/>
    </row>
    <row r="9765" spans="1:9" s="232" customFormat="1" ht="17" customHeight="1">
      <c r="A9765" s="234"/>
      <c r="B9765" s="233"/>
      <c r="C9765" s="238"/>
      <c r="E9765" s="545"/>
      <c r="F9765" s="546"/>
      <c r="G9765" s="234"/>
      <c r="H9765" s="238"/>
      <c r="I9765" s="237"/>
    </row>
    <row r="9766" spans="1:9" s="232" customFormat="1" ht="17" customHeight="1">
      <c r="A9766" s="234"/>
      <c r="B9766" s="233"/>
      <c r="C9766" s="238"/>
      <c r="E9766" s="545"/>
      <c r="F9766" s="546"/>
      <c r="G9766" s="234"/>
      <c r="H9766" s="238"/>
      <c r="I9766" s="237"/>
    </row>
    <row r="9767" spans="1:9" s="232" customFormat="1" ht="17" customHeight="1">
      <c r="A9767" s="234"/>
      <c r="B9767" s="233"/>
      <c r="C9767" s="238"/>
      <c r="E9767" s="545"/>
      <c r="F9767" s="546"/>
      <c r="G9767" s="234"/>
      <c r="H9767" s="238"/>
      <c r="I9767" s="237"/>
    </row>
    <row r="9768" spans="1:9" s="232" customFormat="1" ht="17" customHeight="1">
      <c r="A9768" s="234"/>
      <c r="B9768" s="233"/>
      <c r="C9768" s="238"/>
      <c r="E9768" s="545"/>
      <c r="F9768" s="546"/>
      <c r="G9768" s="234"/>
      <c r="H9768" s="238"/>
      <c r="I9768" s="237"/>
    </row>
    <row r="9769" spans="1:9" s="232" customFormat="1" ht="17" customHeight="1">
      <c r="A9769" s="234"/>
      <c r="B9769" s="233"/>
      <c r="C9769" s="238"/>
      <c r="E9769" s="545"/>
      <c r="F9769" s="546"/>
      <c r="G9769" s="234"/>
      <c r="H9769" s="238"/>
      <c r="I9769" s="237"/>
    </row>
    <row r="9770" spans="1:9" s="232" customFormat="1" ht="17" customHeight="1">
      <c r="A9770" s="234"/>
      <c r="B9770" s="233"/>
      <c r="C9770" s="238"/>
      <c r="E9770" s="545"/>
      <c r="F9770" s="546"/>
      <c r="G9770" s="234"/>
      <c r="H9770" s="238"/>
      <c r="I9770" s="237"/>
    </row>
    <row r="9771" spans="1:9" s="232" customFormat="1" ht="17" customHeight="1">
      <c r="A9771" s="234"/>
      <c r="B9771" s="233"/>
      <c r="C9771" s="238"/>
      <c r="E9771" s="545"/>
      <c r="F9771" s="546"/>
      <c r="G9771" s="234"/>
      <c r="H9771" s="238"/>
      <c r="I9771" s="237"/>
    </row>
    <row r="9772" spans="1:9" s="232" customFormat="1" ht="17" customHeight="1">
      <c r="A9772" s="234"/>
      <c r="B9772" s="233"/>
      <c r="C9772" s="238"/>
      <c r="E9772" s="545"/>
      <c r="F9772" s="546"/>
      <c r="G9772" s="234"/>
      <c r="H9772" s="238"/>
      <c r="I9772" s="237"/>
    </row>
    <row r="9773" spans="1:9" s="232" customFormat="1" ht="17" customHeight="1">
      <c r="A9773" s="234"/>
      <c r="B9773" s="233"/>
      <c r="C9773" s="238"/>
      <c r="E9773" s="545"/>
      <c r="F9773" s="546"/>
      <c r="G9773" s="234"/>
      <c r="H9773" s="238"/>
      <c r="I9773" s="237"/>
    </row>
    <row r="9774" spans="1:9" s="232" customFormat="1" ht="17" customHeight="1">
      <c r="A9774" s="234"/>
      <c r="B9774" s="233"/>
      <c r="C9774" s="238"/>
      <c r="E9774" s="545"/>
      <c r="F9774" s="546"/>
      <c r="G9774" s="234"/>
      <c r="H9774" s="238"/>
      <c r="I9774" s="237"/>
    </row>
    <row r="9775" spans="1:9" s="232" customFormat="1" ht="17" customHeight="1">
      <c r="A9775" s="234"/>
      <c r="B9775" s="233"/>
      <c r="C9775" s="238"/>
      <c r="E9775" s="545"/>
      <c r="F9775" s="546"/>
      <c r="G9775" s="234"/>
      <c r="H9775" s="238"/>
      <c r="I9775" s="237"/>
    </row>
    <row r="9776" spans="1:9" s="232" customFormat="1" ht="17" customHeight="1">
      <c r="A9776" s="234"/>
      <c r="B9776" s="233"/>
      <c r="C9776" s="238"/>
      <c r="E9776" s="545"/>
      <c r="F9776" s="546"/>
      <c r="G9776" s="234"/>
      <c r="H9776" s="238"/>
      <c r="I9776" s="237"/>
    </row>
    <row r="9777" spans="1:9" s="232" customFormat="1" ht="17" customHeight="1">
      <c r="A9777" s="234"/>
      <c r="B9777" s="233"/>
      <c r="C9777" s="238"/>
      <c r="E9777" s="545"/>
      <c r="F9777" s="546"/>
      <c r="G9777" s="234"/>
      <c r="H9777" s="238"/>
      <c r="I9777" s="237"/>
    </row>
    <row r="9778" spans="1:9" s="232" customFormat="1" ht="17" customHeight="1">
      <c r="A9778" s="234"/>
      <c r="B9778" s="233"/>
      <c r="C9778" s="238"/>
      <c r="E9778" s="545"/>
      <c r="F9778" s="546"/>
      <c r="G9778" s="234"/>
      <c r="H9778" s="238"/>
      <c r="I9778" s="237"/>
    </row>
    <row r="9779" spans="1:9" s="232" customFormat="1" ht="17" customHeight="1">
      <c r="A9779" s="234"/>
      <c r="B9779" s="233"/>
      <c r="C9779" s="238"/>
      <c r="E9779" s="545"/>
      <c r="F9779" s="546"/>
      <c r="G9779" s="234"/>
      <c r="H9779" s="238"/>
      <c r="I9779" s="237"/>
    </row>
    <row r="9780" spans="1:9" s="232" customFormat="1" ht="17" customHeight="1">
      <c r="A9780" s="234"/>
      <c r="B9780" s="233"/>
      <c r="C9780" s="238"/>
      <c r="E9780" s="545"/>
      <c r="F9780" s="546"/>
      <c r="G9780" s="234"/>
      <c r="H9780" s="238"/>
      <c r="I9780" s="237"/>
    </row>
    <row r="9781" spans="1:9" s="232" customFormat="1" ht="17" customHeight="1">
      <c r="A9781" s="234"/>
      <c r="B9781" s="233"/>
      <c r="C9781" s="238"/>
      <c r="E9781" s="545"/>
      <c r="F9781" s="546"/>
      <c r="G9781" s="234"/>
      <c r="H9781" s="238"/>
      <c r="I9781" s="237"/>
    </row>
    <row r="9782" spans="1:9" s="232" customFormat="1" ht="17" customHeight="1">
      <c r="A9782" s="234"/>
      <c r="B9782" s="233"/>
      <c r="C9782" s="238"/>
      <c r="E9782" s="545"/>
      <c r="F9782" s="546"/>
      <c r="G9782" s="234"/>
      <c r="H9782" s="238"/>
      <c r="I9782" s="237"/>
    </row>
    <row r="9783" spans="1:9" s="232" customFormat="1" ht="17" customHeight="1">
      <c r="A9783" s="234"/>
      <c r="B9783" s="233"/>
      <c r="C9783" s="238"/>
      <c r="E9783" s="545"/>
      <c r="F9783" s="546"/>
      <c r="G9783" s="234"/>
      <c r="H9783" s="238"/>
      <c r="I9783" s="237"/>
    </row>
    <row r="9784" spans="1:9" s="232" customFormat="1" ht="17" customHeight="1">
      <c r="A9784" s="234"/>
      <c r="B9784" s="233"/>
      <c r="C9784" s="238"/>
      <c r="E9784" s="545"/>
      <c r="F9784" s="546"/>
      <c r="G9784" s="234"/>
      <c r="H9784" s="238"/>
      <c r="I9784" s="237"/>
    </row>
    <row r="9785" spans="1:9" s="232" customFormat="1" ht="17" customHeight="1">
      <c r="A9785" s="234"/>
      <c r="B9785" s="233"/>
      <c r="C9785" s="238"/>
      <c r="E9785" s="545"/>
      <c r="F9785" s="546"/>
      <c r="G9785" s="234"/>
      <c r="H9785" s="238"/>
      <c r="I9785" s="237"/>
    </row>
    <row r="9786" spans="1:9" s="232" customFormat="1" ht="17" customHeight="1">
      <c r="A9786" s="234"/>
      <c r="B9786" s="233"/>
      <c r="C9786" s="238"/>
      <c r="E9786" s="545"/>
      <c r="F9786" s="546"/>
      <c r="G9786" s="234"/>
      <c r="H9786" s="238"/>
      <c r="I9786" s="237"/>
    </row>
    <row r="9787" spans="1:9" s="232" customFormat="1" ht="17" customHeight="1">
      <c r="A9787" s="234"/>
      <c r="B9787" s="233"/>
      <c r="C9787" s="238"/>
      <c r="E9787" s="545"/>
      <c r="F9787" s="546"/>
      <c r="G9787" s="234"/>
      <c r="H9787" s="238"/>
      <c r="I9787" s="237"/>
    </row>
    <row r="9788" spans="1:9" s="232" customFormat="1" ht="17" customHeight="1">
      <c r="A9788" s="234"/>
      <c r="B9788" s="233"/>
      <c r="C9788" s="238"/>
      <c r="E9788" s="545"/>
      <c r="F9788" s="546"/>
      <c r="G9788" s="234"/>
      <c r="H9788" s="238"/>
      <c r="I9788" s="237"/>
    </row>
    <row r="9789" spans="1:9" s="232" customFormat="1" ht="17" customHeight="1">
      <c r="A9789" s="234"/>
      <c r="B9789" s="233"/>
      <c r="C9789" s="238"/>
      <c r="E9789" s="545"/>
      <c r="F9789" s="546"/>
      <c r="G9789" s="234"/>
      <c r="H9789" s="238"/>
      <c r="I9789" s="237"/>
    </row>
    <row r="9790" spans="1:9" s="232" customFormat="1" ht="17" customHeight="1">
      <c r="A9790" s="234"/>
      <c r="B9790" s="233"/>
      <c r="C9790" s="238"/>
      <c r="E9790" s="545"/>
      <c r="F9790" s="546"/>
      <c r="G9790" s="234"/>
      <c r="H9790" s="238"/>
      <c r="I9790" s="237"/>
    </row>
    <row r="9791" spans="1:9" s="232" customFormat="1" ht="17" customHeight="1">
      <c r="A9791" s="234"/>
      <c r="B9791" s="233"/>
      <c r="C9791" s="238"/>
      <c r="E9791" s="545"/>
      <c r="F9791" s="546"/>
      <c r="G9791" s="234"/>
      <c r="H9791" s="238"/>
      <c r="I9791" s="237"/>
    </row>
    <row r="9792" spans="1:9" s="232" customFormat="1" ht="17" customHeight="1">
      <c r="A9792" s="234"/>
      <c r="B9792" s="233"/>
      <c r="C9792" s="238"/>
      <c r="E9792" s="545"/>
      <c r="F9792" s="546"/>
      <c r="G9792" s="234"/>
      <c r="H9792" s="238"/>
      <c r="I9792" s="237"/>
    </row>
    <row r="9793" spans="1:9" s="232" customFormat="1" ht="17" customHeight="1">
      <c r="A9793" s="234"/>
      <c r="B9793" s="233"/>
      <c r="C9793" s="238"/>
      <c r="E9793" s="545"/>
      <c r="F9793" s="546"/>
      <c r="G9793" s="234"/>
      <c r="H9793" s="238"/>
      <c r="I9793" s="237"/>
    </row>
    <row r="9794" spans="1:9" s="232" customFormat="1" ht="17" customHeight="1">
      <c r="A9794" s="234"/>
      <c r="B9794" s="233"/>
      <c r="C9794" s="238"/>
      <c r="E9794" s="545"/>
      <c r="F9794" s="546"/>
      <c r="G9794" s="234"/>
      <c r="H9794" s="238"/>
      <c r="I9794" s="237"/>
    </row>
    <row r="9795" spans="1:9" s="232" customFormat="1" ht="17" customHeight="1">
      <c r="A9795" s="234"/>
      <c r="B9795" s="233"/>
      <c r="C9795" s="238"/>
      <c r="E9795" s="545"/>
      <c r="F9795" s="546"/>
      <c r="G9795" s="234"/>
      <c r="H9795" s="238"/>
      <c r="I9795" s="237"/>
    </row>
    <row r="9796" spans="1:9" s="232" customFormat="1" ht="17" customHeight="1">
      <c r="A9796" s="234"/>
      <c r="B9796" s="233"/>
      <c r="C9796" s="238"/>
      <c r="E9796" s="545"/>
      <c r="F9796" s="546"/>
      <c r="G9796" s="234"/>
      <c r="H9796" s="238"/>
      <c r="I9796" s="237"/>
    </row>
    <row r="9797" spans="1:9" s="232" customFormat="1" ht="17" customHeight="1">
      <c r="A9797" s="234"/>
      <c r="B9797" s="233"/>
      <c r="C9797" s="238"/>
      <c r="E9797" s="545"/>
      <c r="F9797" s="546"/>
      <c r="G9797" s="234"/>
      <c r="H9797" s="238"/>
      <c r="I9797" s="237"/>
    </row>
    <row r="9798" spans="1:9" s="232" customFormat="1" ht="17" customHeight="1">
      <c r="A9798" s="234"/>
      <c r="B9798" s="233"/>
      <c r="C9798" s="238"/>
      <c r="E9798" s="545"/>
      <c r="F9798" s="546"/>
      <c r="G9798" s="234"/>
      <c r="H9798" s="238"/>
      <c r="I9798" s="237"/>
    </row>
    <row r="9799" spans="1:9" s="232" customFormat="1" ht="17" customHeight="1">
      <c r="A9799" s="234"/>
      <c r="B9799" s="233"/>
      <c r="C9799" s="238"/>
      <c r="E9799" s="545"/>
      <c r="F9799" s="546"/>
      <c r="G9799" s="234"/>
      <c r="H9799" s="238"/>
      <c r="I9799" s="237"/>
    </row>
    <row r="9800" spans="1:9" s="232" customFormat="1" ht="17" customHeight="1">
      <c r="A9800" s="234"/>
      <c r="B9800" s="233"/>
      <c r="C9800" s="238"/>
      <c r="E9800" s="545"/>
      <c r="F9800" s="546"/>
      <c r="G9800" s="234"/>
      <c r="H9800" s="238"/>
      <c r="I9800" s="237"/>
    </row>
    <row r="9801" spans="1:9" s="232" customFormat="1" ht="17" customHeight="1">
      <c r="A9801" s="234"/>
      <c r="B9801" s="233"/>
      <c r="C9801" s="238"/>
      <c r="E9801" s="545"/>
      <c r="F9801" s="546"/>
      <c r="G9801" s="234"/>
      <c r="H9801" s="238"/>
      <c r="I9801" s="237"/>
    </row>
    <row r="9802" spans="1:9" s="232" customFormat="1" ht="17" customHeight="1">
      <c r="A9802" s="234"/>
      <c r="B9802" s="233"/>
      <c r="C9802" s="238"/>
      <c r="E9802" s="545"/>
      <c r="F9802" s="546"/>
      <c r="G9802" s="234"/>
      <c r="H9802" s="238"/>
      <c r="I9802" s="237"/>
    </row>
    <row r="9803" spans="1:9" s="232" customFormat="1" ht="17" customHeight="1">
      <c r="A9803" s="234"/>
      <c r="B9803" s="233"/>
      <c r="C9803" s="238"/>
      <c r="E9803" s="545"/>
      <c r="F9803" s="546"/>
      <c r="G9803" s="234"/>
      <c r="H9803" s="238"/>
      <c r="I9803" s="237"/>
    </row>
    <row r="9804" spans="1:9" s="232" customFormat="1" ht="17" customHeight="1">
      <c r="A9804" s="234"/>
      <c r="B9804" s="233"/>
      <c r="C9804" s="238"/>
      <c r="E9804" s="545"/>
      <c r="F9804" s="546"/>
      <c r="G9804" s="234"/>
      <c r="H9804" s="238"/>
      <c r="I9804" s="237"/>
    </row>
    <row r="9805" spans="1:9" s="232" customFormat="1" ht="17" customHeight="1">
      <c r="A9805" s="234"/>
      <c r="B9805" s="233"/>
      <c r="C9805" s="238"/>
      <c r="E9805" s="545"/>
      <c r="F9805" s="546"/>
      <c r="G9805" s="234"/>
      <c r="H9805" s="238"/>
      <c r="I9805" s="237"/>
    </row>
    <row r="9806" spans="1:9" s="232" customFormat="1" ht="17" customHeight="1">
      <c r="A9806" s="234"/>
      <c r="B9806" s="233"/>
      <c r="C9806" s="238"/>
      <c r="E9806" s="545"/>
      <c r="F9806" s="546"/>
      <c r="G9806" s="234"/>
      <c r="H9806" s="238"/>
      <c r="I9806" s="237"/>
    </row>
    <row r="9807" spans="1:9" s="232" customFormat="1" ht="17" customHeight="1">
      <c r="A9807" s="234"/>
      <c r="B9807" s="233"/>
      <c r="C9807" s="238"/>
      <c r="E9807" s="545"/>
      <c r="F9807" s="546"/>
      <c r="G9807" s="234"/>
      <c r="H9807" s="238"/>
      <c r="I9807" s="237"/>
    </row>
    <row r="9808" spans="1:9" s="232" customFormat="1" ht="17" customHeight="1">
      <c r="A9808" s="234"/>
      <c r="B9808" s="233"/>
      <c r="C9808" s="238"/>
      <c r="E9808" s="545"/>
      <c r="F9808" s="546"/>
      <c r="G9808" s="234"/>
      <c r="H9808" s="238"/>
      <c r="I9808" s="237"/>
    </row>
    <row r="9809" spans="1:9" s="232" customFormat="1" ht="17" customHeight="1">
      <c r="A9809" s="234"/>
      <c r="B9809" s="233"/>
      <c r="C9809" s="238"/>
      <c r="E9809" s="545"/>
      <c r="F9809" s="546"/>
      <c r="G9809" s="234"/>
      <c r="H9809" s="238"/>
      <c r="I9809" s="237"/>
    </row>
    <row r="9810" spans="1:9" s="232" customFormat="1" ht="17" customHeight="1">
      <c r="A9810" s="234"/>
      <c r="B9810" s="233"/>
      <c r="C9810" s="238"/>
      <c r="E9810" s="545"/>
      <c r="F9810" s="546"/>
      <c r="G9810" s="234"/>
      <c r="H9810" s="238"/>
      <c r="I9810" s="237"/>
    </row>
    <row r="9811" spans="1:9" s="232" customFormat="1" ht="17" customHeight="1">
      <c r="A9811" s="234"/>
      <c r="B9811" s="233"/>
      <c r="C9811" s="238"/>
      <c r="E9811" s="545"/>
      <c r="F9811" s="546"/>
      <c r="G9811" s="234"/>
      <c r="H9811" s="238"/>
      <c r="I9811" s="237"/>
    </row>
    <row r="9812" spans="1:9" s="232" customFormat="1" ht="17" customHeight="1">
      <c r="A9812" s="234"/>
      <c r="B9812" s="233"/>
      <c r="C9812" s="238"/>
      <c r="E9812" s="545"/>
      <c r="F9812" s="546"/>
      <c r="G9812" s="234"/>
      <c r="H9812" s="238"/>
      <c r="I9812" s="237"/>
    </row>
    <row r="9813" spans="1:9" s="232" customFormat="1" ht="17" customHeight="1">
      <c r="A9813" s="234"/>
      <c r="B9813" s="233"/>
      <c r="C9813" s="238"/>
      <c r="E9813" s="545"/>
      <c r="F9813" s="546"/>
      <c r="G9813" s="234"/>
      <c r="H9813" s="238"/>
      <c r="I9813" s="237"/>
    </row>
    <row r="9814" spans="1:9" s="232" customFormat="1" ht="17" customHeight="1">
      <c r="A9814" s="234"/>
      <c r="B9814" s="233"/>
      <c r="C9814" s="238"/>
      <c r="E9814" s="545"/>
      <c r="F9814" s="546"/>
      <c r="G9814" s="234"/>
      <c r="H9814" s="238"/>
      <c r="I9814" s="237"/>
    </row>
    <row r="9815" spans="1:9" s="232" customFormat="1" ht="17" customHeight="1">
      <c r="A9815" s="234"/>
      <c r="B9815" s="233"/>
      <c r="C9815" s="238"/>
      <c r="E9815" s="545"/>
      <c r="F9815" s="546"/>
      <c r="G9815" s="234"/>
      <c r="H9815" s="238"/>
      <c r="I9815" s="237"/>
    </row>
    <row r="9816" spans="1:9" s="232" customFormat="1" ht="17" customHeight="1">
      <c r="A9816" s="234"/>
      <c r="B9816" s="233"/>
      <c r="C9816" s="238"/>
      <c r="E9816" s="545"/>
      <c r="F9816" s="546"/>
      <c r="G9816" s="234"/>
      <c r="H9816" s="238"/>
      <c r="I9816" s="237"/>
    </row>
    <row r="9817" spans="1:9" s="232" customFormat="1" ht="17" customHeight="1">
      <c r="A9817" s="234"/>
      <c r="B9817" s="233"/>
      <c r="C9817" s="238"/>
      <c r="E9817" s="545"/>
      <c r="F9817" s="546"/>
      <c r="G9817" s="234"/>
      <c r="H9817" s="238"/>
      <c r="I9817" s="237"/>
    </row>
    <row r="9818" spans="1:9" s="232" customFormat="1" ht="17" customHeight="1">
      <c r="A9818" s="234"/>
      <c r="B9818" s="233"/>
      <c r="C9818" s="238"/>
      <c r="E9818" s="545"/>
      <c r="F9818" s="546"/>
      <c r="G9818" s="234"/>
      <c r="H9818" s="238"/>
      <c r="I9818" s="237"/>
    </row>
    <row r="9819" spans="1:9" s="232" customFormat="1" ht="17" customHeight="1">
      <c r="A9819" s="234"/>
      <c r="B9819" s="233"/>
      <c r="C9819" s="238"/>
      <c r="E9819" s="545"/>
      <c r="F9819" s="546"/>
      <c r="G9819" s="234"/>
      <c r="H9819" s="238"/>
      <c r="I9819" s="237"/>
    </row>
    <row r="9820" spans="1:9" s="232" customFormat="1" ht="17" customHeight="1">
      <c r="A9820" s="234"/>
      <c r="B9820" s="233"/>
      <c r="C9820" s="238"/>
      <c r="E9820" s="545"/>
      <c r="F9820" s="546"/>
      <c r="G9820" s="234"/>
      <c r="H9820" s="238"/>
      <c r="I9820" s="237"/>
    </row>
    <row r="9821" spans="1:9" s="232" customFormat="1" ht="17" customHeight="1">
      <c r="A9821" s="234"/>
      <c r="B9821" s="233"/>
      <c r="C9821" s="238"/>
      <c r="E9821" s="545"/>
      <c r="F9821" s="546"/>
      <c r="G9821" s="234"/>
      <c r="H9821" s="238"/>
      <c r="I9821" s="237"/>
    </row>
    <row r="9822" spans="1:9" s="232" customFormat="1" ht="17" customHeight="1">
      <c r="A9822" s="234"/>
      <c r="B9822" s="233"/>
      <c r="C9822" s="238"/>
      <c r="E9822" s="545"/>
      <c r="F9822" s="546"/>
      <c r="G9822" s="234"/>
      <c r="H9822" s="238"/>
      <c r="I9822" s="237"/>
    </row>
    <row r="9823" spans="1:9" s="232" customFormat="1" ht="17" customHeight="1">
      <c r="A9823" s="234"/>
      <c r="B9823" s="233"/>
      <c r="C9823" s="238"/>
      <c r="E9823" s="545"/>
      <c r="F9823" s="546"/>
      <c r="G9823" s="234"/>
      <c r="H9823" s="238"/>
      <c r="I9823" s="237"/>
    </row>
    <row r="9824" spans="1:9" s="232" customFormat="1" ht="17" customHeight="1">
      <c r="A9824" s="234"/>
      <c r="B9824" s="233"/>
      <c r="C9824" s="238"/>
      <c r="E9824" s="545"/>
      <c r="F9824" s="546"/>
      <c r="G9824" s="234"/>
      <c r="H9824" s="238"/>
      <c r="I9824" s="237"/>
    </row>
    <row r="9825" spans="1:9" s="232" customFormat="1" ht="17" customHeight="1">
      <c r="A9825" s="234"/>
      <c r="B9825" s="233"/>
      <c r="C9825" s="238"/>
      <c r="E9825" s="545"/>
      <c r="F9825" s="546"/>
      <c r="G9825" s="234"/>
      <c r="H9825" s="238"/>
      <c r="I9825" s="237"/>
    </row>
    <row r="9826" spans="1:9" s="232" customFormat="1" ht="17" customHeight="1">
      <c r="A9826" s="234"/>
      <c r="B9826" s="233"/>
      <c r="C9826" s="238"/>
      <c r="E9826" s="545"/>
      <c r="F9826" s="546"/>
      <c r="G9826" s="234"/>
      <c r="H9826" s="238"/>
      <c r="I9826" s="237"/>
    </row>
    <row r="9827" spans="1:9" s="232" customFormat="1" ht="17" customHeight="1">
      <c r="A9827" s="234"/>
      <c r="B9827" s="233"/>
      <c r="C9827" s="238"/>
      <c r="E9827" s="545"/>
      <c r="F9827" s="546"/>
      <c r="G9827" s="234"/>
      <c r="H9827" s="238"/>
      <c r="I9827" s="237"/>
    </row>
    <row r="9828" spans="1:9" s="232" customFormat="1" ht="17" customHeight="1">
      <c r="A9828" s="234"/>
      <c r="B9828" s="233"/>
      <c r="C9828" s="238"/>
      <c r="E9828" s="545"/>
      <c r="F9828" s="546"/>
      <c r="G9828" s="234"/>
      <c r="H9828" s="238"/>
      <c r="I9828" s="237"/>
    </row>
    <row r="9829" spans="1:9" s="232" customFormat="1" ht="17" customHeight="1">
      <c r="A9829" s="234"/>
      <c r="B9829" s="233"/>
      <c r="C9829" s="238"/>
      <c r="E9829" s="545"/>
      <c r="F9829" s="546"/>
      <c r="G9829" s="234"/>
      <c r="H9829" s="238"/>
      <c r="I9829" s="237"/>
    </row>
    <row r="9830" spans="1:9" s="232" customFormat="1" ht="17" customHeight="1">
      <c r="A9830" s="234"/>
      <c r="B9830" s="233"/>
      <c r="C9830" s="238"/>
      <c r="E9830" s="545"/>
      <c r="F9830" s="546"/>
      <c r="G9830" s="234"/>
      <c r="H9830" s="238"/>
      <c r="I9830" s="237"/>
    </row>
    <row r="9831" spans="1:9" s="232" customFormat="1" ht="17" customHeight="1">
      <c r="A9831" s="234"/>
      <c r="B9831" s="233"/>
      <c r="C9831" s="238"/>
      <c r="E9831" s="545"/>
      <c r="F9831" s="546"/>
      <c r="G9831" s="234"/>
      <c r="H9831" s="238"/>
      <c r="I9831" s="237"/>
    </row>
    <row r="9832" spans="1:9" s="232" customFormat="1" ht="17" customHeight="1">
      <c r="A9832" s="234"/>
      <c r="B9832" s="233"/>
      <c r="C9832" s="238"/>
      <c r="E9832" s="545"/>
      <c r="F9832" s="546"/>
      <c r="G9832" s="234"/>
      <c r="H9832" s="238"/>
      <c r="I9832" s="237"/>
    </row>
    <row r="9833" spans="1:9" s="232" customFormat="1" ht="17" customHeight="1">
      <c r="A9833" s="234"/>
      <c r="B9833" s="233"/>
      <c r="C9833" s="238"/>
      <c r="E9833" s="545"/>
      <c r="F9833" s="546"/>
      <c r="G9833" s="234"/>
      <c r="H9833" s="238"/>
      <c r="I9833" s="237"/>
    </row>
    <row r="9834" spans="1:9" s="232" customFormat="1" ht="17" customHeight="1">
      <c r="A9834" s="234"/>
      <c r="B9834" s="233"/>
      <c r="C9834" s="238"/>
      <c r="E9834" s="545"/>
      <c r="F9834" s="546"/>
      <c r="G9834" s="234"/>
      <c r="H9834" s="238"/>
      <c r="I9834" s="237"/>
    </row>
    <row r="9835" spans="1:9" s="232" customFormat="1" ht="17" customHeight="1">
      <c r="A9835" s="234"/>
      <c r="B9835" s="233"/>
      <c r="C9835" s="238"/>
      <c r="E9835" s="545"/>
      <c r="F9835" s="546"/>
      <c r="G9835" s="234"/>
      <c r="H9835" s="238"/>
      <c r="I9835" s="237"/>
    </row>
    <row r="9836" spans="1:9" s="232" customFormat="1" ht="17" customHeight="1">
      <c r="A9836" s="234"/>
      <c r="B9836" s="233"/>
      <c r="C9836" s="238"/>
      <c r="E9836" s="545"/>
      <c r="F9836" s="546"/>
      <c r="G9836" s="234"/>
      <c r="H9836" s="238"/>
      <c r="I9836" s="237"/>
    </row>
    <row r="9837" spans="1:9" s="232" customFormat="1" ht="17" customHeight="1">
      <c r="A9837" s="234"/>
      <c r="B9837" s="233"/>
      <c r="C9837" s="238"/>
      <c r="E9837" s="545"/>
      <c r="F9837" s="546"/>
      <c r="G9837" s="234"/>
      <c r="H9837" s="238"/>
      <c r="I9837" s="237"/>
    </row>
    <row r="9838" spans="1:9" s="232" customFormat="1" ht="17" customHeight="1">
      <c r="A9838" s="234"/>
      <c r="B9838" s="233"/>
      <c r="C9838" s="238"/>
      <c r="E9838" s="545"/>
      <c r="F9838" s="546"/>
      <c r="G9838" s="234"/>
      <c r="H9838" s="238"/>
      <c r="I9838" s="237"/>
    </row>
    <row r="9839" spans="1:9" s="232" customFormat="1" ht="17" customHeight="1">
      <c r="A9839" s="234"/>
      <c r="B9839" s="233"/>
      <c r="C9839" s="238"/>
      <c r="E9839" s="545"/>
      <c r="F9839" s="546"/>
      <c r="G9839" s="234"/>
      <c r="H9839" s="238"/>
      <c r="I9839" s="237"/>
    </row>
    <row r="9840" spans="1:9" s="232" customFormat="1" ht="17" customHeight="1">
      <c r="A9840" s="234"/>
      <c r="B9840" s="233"/>
      <c r="C9840" s="238"/>
      <c r="E9840" s="545"/>
      <c r="F9840" s="546"/>
      <c r="G9840" s="234"/>
      <c r="H9840" s="238"/>
      <c r="I9840" s="237"/>
    </row>
    <row r="9841" spans="1:9" s="232" customFormat="1" ht="17" customHeight="1">
      <c r="A9841" s="234"/>
      <c r="B9841" s="233"/>
      <c r="C9841" s="238"/>
      <c r="E9841" s="545"/>
      <c r="F9841" s="546"/>
      <c r="G9841" s="234"/>
      <c r="H9841" s="238"/>
      <c r="I9841" s="237"/>
    </row>
    <row r="9842" spans="1:9" s="232" customFormat="1" ht="17" customHeight="1">
      <c r="A9842" s="234"/>
      <c r="B9842" s="233"/>
      <c r="C9842" s="238"/>
      <c r="E9842" s="545"/>
      <c r="F9842" s="546"/>
      <c r="G9842" s="234"/>
      <c r="H9842" s="238"/>
      <c r="I9842" s="237"/>
    </row>
    <row r="9843" spans="1:9" s="232" customFormat="1" ht="17" customHeight="1">
      <c r="A9843" s="234"/>
      <c r="B9843" s="233"/>
      <c r="C9843" s="238"/>
      <c r="E9843" s="545"/>
      <c r="F9843" s="546"/>
      <c r="G9843" s="234"/>
      <c r="H9843" s="238"/>
      <c r="I9843" s="237"/>
    </row>
    <row r="9844" spans="1:9" s="232" customFormat="1" ht="17" customHeight="1">
      <c r="A9844" s="234"/>
      <c r="B9844" s="233"/>
      <c r="C9844" s="238"/>
      <c r="E9844" s="545"/>
      <c r="F9844" s="546"/>
      <c r="G9844" s="234"/>
      <c r="H9844" s="238"/>
      <c r="I9844" s="237"/>
    </row>
    <row r="9845" spans="1:9" s="232" customFormat="1" ht="17" customHeight="1">
      <c r="A9845" s="234"/>
      <c r="B9845" s="233"/>
      <c r="C9845" s="238"/>
      <c r="E9845" s="545"/>
      <c r="F9845" s="546"/>
      <c r="G9845" s="234"/>
      <c r="H9845" s="238"/>
      <c r="I9845" s="237"/>
    </row>
    <row r="9846" spans="1:9" s="232" customFormat="1" ht="17" customHeight="1">
      <c r="A9846" s="234"/>
      <c r="B9846" s="233"/>
      <c r="C9846" s="238"/>
      <c r="E9846" s="545"/>
      <c r="F9846" s="546"/>
      <c r="G9846" s="234"/>
      <c r="H9846" s="238"/>
      <c r="I9846" s="237"/>
    </row>
    <row r="9847" spans="1:9" s="232" customFormat="1" ht="17" customHeight="1">
      <c r="A9847" s="234"/>
      <c r="B9847" s="233"/>
      <c r="C9847" s="238"/>
      <c r="E9847" s="545"/>
      <c r="F9847" s="546"/>
      <c r="G9847" s="234"/>
      <c r="H9847" s="238"/>
      <c r="I9847" s="237"/>
    </row>
    <row r="9848" spans="1:9" s="232" customFormat="1" ht="17" customHeight="1">
      <c r="A9848" s="234"/>
      <c r="B9848" s="233"/>
      <c r="C9848" s="238"/>
      <c r="E9848" s="545"/>
      <c r="F9848" s="546"/>
      <c r="G9848" s="234"/>
      <c r="H9848" s="238"/>
      <c r="I9848" s="237"/>
    </row>
    <row r="9849" spans="1:9" s="232" customFormat="1" ht="17" customHeight="1">
      <c r="A9849" s="234"/>
      <c r="B9849" s="233"/>
      <c r="C9849" s="238"/>
      <c r="E9849" s="545"/>
      <c r="F9849" s="546"/>
      <c r="G9849" s="234"/>
      <c r="H9849" s="238"/>
      <c r="I9849" s="237"/>
    </row>
    <row r="9850" spans="1:9" s="232" customFormat="1" ht="17" customHeight="1">
      <c r="A9850" s="234"/>
      <c r="B9850" s="233"/>
      <c r="C9850" s="238"/>
      <c r="E9850" s="545"/>
      <c r="F9850" s="546"/>
      <c r="G9850" s="234"/>
      <c r="H9850" s="238"/>
      <c r="I9850" s="237"/>
    </row>
    <row r="9851" spans="1:9" s="232" customFormat="1" ht="17" customHeight="1">
      <c r="A9851" s="234"/>
      <c r="B9851" s="233"/>
      <c r="C9851" s="238"/>
      <c r="E9851" s="545"/>
      <c r="F9851" s="546"/>
      <c r="G9851" s="234"/>
      <c r="H9851" s="238"/>
      <c r="I9851" s="237"/>
    </row>
    <row r="9852" spans="1:9" s="232" customFormat="1" ht="17" customHeight="1">
      <c r="A9852" s="234"/>
      <c r="B9852" s="233"/>
      <c r="C9852" s="238"/>
      <c r="E9852" s="545"/>
      <c r="F9852" s="546"/>
      <c r="G9852" s="234"/>
      <c r="H9852" s="238"/>
      <c r="I9852" s="237"/>
    </row>
    <row r="9853" spans="1:9" s="232" customFormat="1" ht="17" customHeight="1">
      <c r="A9853" s="234"/>
      <c r="B9853" s="233"/>
      <c r="C9853" s="238"/>
      <c r="E9853" s="545"/>
      <c r="F9853" s="546"/>
      <c r="G9853" s="234"/>
      <c r="H9853" s="238"/>
      <c r="I9853" s="237"/>
    </row>
    <row r="9854" spans="1:9" s="232" customFormat="1" ht="17" customHeight="1">
      <c r="A9854" s="234"/>
      <c r="B9854" s="233"/>
      <c r="C9854" s="238"/>
      <c r="E9854" s="545"/>
      <c r="F9854" s="546"/>
      <c r="G9854" s="234"/>
      <c r="H9854" s="238"/>
      <c r="I9854" s="237"/>
    </row>
    <row r="9855" spans="1:9" s="232" customFormat="1" ht="17" customHeight="1">
      <c r="A9855" s="234"/>
      <c r="B9855" s="233"/>
      <c r="C9855" s="238"/>
      <c r="E9855" s="545"/>
      <c r="F9855" s="546"/>
      <c r="G9855" s="234"/>
      <c r="H9855" s="238"/>
      <c r="I9855" s="237"/>
    </row>
    <row r="9856" spans="1:9" s="232" customFormat="1" ht="17" customHeight="1">
      <c r="A9856" s="234"/>
      <c r="B9856" s="233"/>
      <c r="C9856" s="238"/>
      <c r="E9856" s="545"/>
      <c r="F9856" s="546"/>
      <c r="G9856" s="234"/>
      <c r="H9856" s="238"/>
      <c r="I9856" s="237"/>
    </row>
    <row r="9857" spans="1:9" s="232" customFormat="1" ht="17" customHeight="1">
      <c r="A9857" s="234"/>
      <c r="B9857" s="233"/>
      <c r="C9857" s="238"/>
      <c r="E9857" s="545"/>
      <c r="F9857" s="546"/>
      <c r="G9857" s="234"/>
      <c r="H9857" s="238"/>
      <c r="I9857" s="237"/>
    </row>
    <row r="9858" spans="1:9" s="232" customFormat="1" ht="17" customHeight="1">
      <c r="A9858" s="234"/>
      <c r="B9858" s="233"/>
      <c r="C9858" s="238"/>
      <c r="E9858" s="545"/>
      <c r="F9858" s="546"/>
      <c r="G9858" s="234"/>
      <c r="H9858" s="238"/>
      <c r="I9858" s="237"/>
    </row>
    <row r="9859" spans="1:9" s="232" customFormat="1" ht="17" customHeight="1">
      <c r="A9859" s="234"/>
      <c r="B9859" s="233"/>
      <c r="C9859" s="238"/>
      <c r="E9859" s="545"/>
      <c r="F9859" s="546"/>
      <c r="G9859" s="234"/>
      <c r="H9859" s="238"/>
      <c r="I9859" s="237"/>
    </row>
    <row r="9860" spans="1:9" s="232" customFormat="1" ht="17" customHeight="1">
      <c r="A9860" s="234"/>
      <c r="B9860" s="233"/>
      <c r="C9860" s="238"/>
      <c r="E9860" s="545"/>
      <c r="F9860" s="546"/>
      <c r="G9860" s="234"/>
      <c r="H9860" s="238"/>
      <c r="I9860" s="237"/>
    </row>
    <row r="9861" spans="1:9" s="232" customFormat="1" ht="17" customHeight="1">
      <c r="A9861" s="234"/>
      <c r="B9861" s="233"/>
      <c r="C9861" s="238"/>
      <c r="E9861" s="545"/>
      <c r="F9861" s="546"/>
      <c r="G9861" s="234"/>
      <c r="H9861" s="238"/>
      <c r="I9861" s="237"/>
    </row>
    <row r="9862" spans="1:9" s="232" customFormat="1" ht="17" customHeight="1">
      <c r="A9862" s="234"/>
      <c r="B9862" s="233"/>
      <c r="C9862" s="238"/>
      <c r="E9862" s="545"/>
      <c r="F9862" s="546"/>
      <c r="G9862" s="234"/>
      <c r="H9862" s="238"/>
      <c r="I9862" s="237"/>
    </row>
    <row r="9863" spans="1:9" s="232" customFormat="1" ht="17" customHeight="1">
      <c r="A9863" s="234"/>
      <c r="B9863" s="233"/>
      <c r="C9863" s="238"/>
      <c r="E9863" s="545"/>
      <c r="F9863" s="546"/>
      <c r="G9863" s="234"/>
      <c r="H9863" s="238"/>
      <c r="I9863" s="237"/>
    </row>
    <row r="9864" spans="1:9" s="232" customFormat="1" ht="17" customHeight="1">
      <c r="A9864" s="234"/>
      <c r="B9864" s="233"/>
      <c r="C9864" s="238"/>
      <c r="E9864" s="545"/>
      <c r="F9864" s="546"/>
      <c r="G9864" s="234"/>
      <c r="H9864" s="238"/>
      <c r="I9864" s="237"/>
    </row>
    <row r="9865" spans="1:9" s="232" customFormat="1" ht="17" customHeight="1">
      <c r="A9865" s="234"/>
      <c r="B9865" s="233"/>
      <c r="C9865" s="238"/>
      <c r="E9865" s="545"/>
      <c r="F9865" s="546"/>
      <c r="G9865" s="234"/>
      <c r="H9865" s="238"/>
      <c r="I9865" s="237"/>
    </row>
    <row r="9866" spans="1:9" s="232" customFormat="1" ht="17" customHeight="1">
      <c r="A9866" s="234"/>
      <c r="B9866" s="233"/>
      <c r="C9866" s="238"/>
      <c r="E9866" s="545"/>
      <c r="F9866" s="546"/>
      <c r="G9866" s="234"/>
      <c r="H9866" s="238"/>
      <c r="I9866" s="237"/>
    </row>
    <row r="9867" spans="1:9" s="232" customFormat="1" ht="17" customHeight="1">
      <c r="A9867" s="234"/>
      <c r="B9867" s="233"/>
      <c r="C9867" s="238"/>
      <c r="E9867" s="545"/>
      <c r="F9867" s="546"/>
      <c r="G9867" s="234"/>
      <c r="H9867" s="238"/>
      <c r="I9867" s="237"/>
    </row>
    <row r="9868" spans="1:9" s="232" customFormat="1" ht="17" customHeight="1">
      <c r="A9868" s="234"/>
      <c r="B9868" s="233"/>
      <c r="C9868" s="238"/>
      <c r="E9868" s="545"/>
      <c r="F9868" s="546"/>
      <c r="G9868" s="234"/>
      <c r="H9868" s="238"/>
      <c r="I9868" s="237"/>
    </row>
    <row r="9869" spans="1:9" s="232" customFormat="1" ht="17" customHeight="1">
      <c r="A9869" s="234"/>
      <c r="B9869" s="233"/>
      <c r="C9869" s="238"/>
      <c r="E9869" s="545"/>
      <c r="F9869" s="546"/>
      <c r="G9869" s="234"/>
      <c r="H9869" s="238"/>
      <c r="I9869" s="237"/>
    </row>
    <row r="9870" spans="1:9" s="232" customFormat="1" ht="17" customHeight="1">
      <c r="A9870" s="234"/>
      <c r="B9870" s="233"/>
      <c r="C9870" s="238"/>
      <c r="E9870" s="545"/>
      <c r="F9870" s="546"/>
      <c r="G9870" s="234"/>
      <c r="H9870" s="238"/>
      <c r="I9870" s="237"/>
    </row>
    <row r="9871" spans="1:9" s="232" customFormat="1" ht="17" customHeight="1">
      <c r="A9871" s="234"/>
      <c r="B9871" s="233"/>
      <c r="C9871" s="238"/>
      <c r="E9871" s="545"/>
      <c r="F9871" s="546"/>
      <c r="G9871" s="234"/>
      <c r="H9871" s="238"/>
      <c r="I9871" s="237"/>
    </row>
    <row r="9872" spans="1:9" s="232" customFormat="1" ht="17" customHeight="1">
      <c r="A9872" s="234"/>
      <c r="B9872" s="233"/>
      <c r="C9872" s="238"/>
      <c r="E9872" s="545"/>
      <c r="F9872" s="546"/>
      <c r="G9872" s="234"/>
      <c r="H9872" s="238"/>
      <c r="I9872" s="237"/>
    </row>
    <row r="9873" spans="1:9" s="232" customFormat="1" ht="17" customHeight="1">
      <c r="A9873" s="234"/>
      <c r="B9873" s="233"/>
      <c r="C9873" s="238"/>
      <c r="E9873" s="545"/>
      <c r="F9873" s="546"/>
      <c r="G9873" s="234"/>
      <c r="H9873" s="238"/>
      <c r="I9873" s="237"/>
    </row>
    <row r="9874" spans="1:9" s="232" customFormat="1" ht="17" customHeight="1">
      <c r="A9874" s="234"/>
      <c r="B9874" s="233"/>
      <c r="C9874" s="238"/>
      <c r="E9874" s="545"/>
      <c r="F9874" s="546"/>
      <c r="G9874" s="234"/>
      <c r="H9874" s="238"/>
      <c r="I9874" s="237"/>
    </row>
    <row r="9875" spans="1:9" s="232" customFormat="1" ht="17" customHeight="1">
      <c r="A9875" s="234"/>
      <c r="B9875" s="233"/>
      <c r="C9875" s="238"/>
      <c r="E9875" s="545"/>
      <c r="F9875" s="546"/>
      <c r="G9875" s="234"/>
      <c r="H9875" s="238"/>
      <c r="I9875" s="237"/>
    </row>
    <row r="9876" spans="1:9" s="232" customFormat="1" ht="17" customHeight="1">
      <c r="A9876" s="234"/>
      <c r="B9876" s="233"/>
      <c r="C9876" s="238"/>
      <c r="E9876" s="545"/>
      <c r="F9876" s="546"/>
      <c r="G9876" s="234"/>
      <c r="H9876" s="238"/>
      <c r="I9876" s="237"/>
    </row>
    <row r="9877" spans="1:9" s="232" customFormat="1" ht="17" customHeight="1">
      <c r="A9877" s="234"/>
      <c r="B9877" s="233"/>
      <c r="C9877" s="238"/>
      <c r="E9877" s="545"/>
      <c r="F9877" s="546"/>
      <c r="G9877" s="234"/>
      <c r="H9877" s="238"/>
      <c r="I9877" s="237"/>
    </row>
    <row r="9878" spans="1:9" s="232" customFormat="1" ht="17" customHeight="1">
      <c r="A9878" s="234"/>
      <c r="B9878" s="233"/>
      <c r="C9878" s="238"/>
      <c r="E9878" s="545"/>
      <c r="F9878" s="546"/>
      <c r="G9878" s="234"/>
      <c r="H9878" s="238"/>
      <c r="I9878" s="237"/>
    </row>
    <row r="9879" spans="1:9" s="232" customFormat="1" ht="17" customHeight="1">
      <c r="A9879" s="234"/>
      <c r="B9879" s="233"/>
      <c r="C9879" s="238"/>
      <c r="E9879" s="545"/>
      <c r="F9879" s="546"/>
      <c r="G9879" s="234"/>
      <c r="H9879" s="238"/>
      <c r="I9879" s="237"/>
    </row>
    <row r="9880" spans="1:9" s="232" customFormat="1" ht="17" customHeight="1">
      <c r="A9880" s="234"/>
      <c r="B9880" s="233"/>
      <c r="C9880" s="238"/>
      <c r="E9880" s="545"/>
      <c r="F9880" s="546"/>
      <c r="G9880" s="234"/>
      <c r="H9880" s="238"/>
      <c r="I9880" s="237"/>
    </row>
    <row r="9881" spans="1:9" s="232" customFormat="1" ht="17" customHeight="1">
      <c r="A9881" s="234"/>
      <c r="B9881" s="233"/>
      <c r="C9881" s="238"/>
      <c r="E9881" s="545"/>
      <c r="F9881" s="546"/>
      <c r="G9881" s="234"/>
      <c r="H9881" s="238"/>
      <c r="I9881" s="237"/>
    </row>
    <row r="9882" spans="1:9" s="232" customFormat="1" ht="17" customHeight="1">
      <c r="A9882" s="234"/>
      <c r="B9882" s="233"/>
      <c r="C9882" s="238"/>
      <c r="E9882" s="545"/>
      <c r="F9882" s="546"/>
      <c r="G9882" s="234"/>
      <c r="H9882" s="238"/>
      <c r="I9882" s="237"/>
    </row>
    <row r="9883" spans="1:9" s="232" customFormat="1" ht="17" customHeight="1">
      <c r="A9883" s="234"/>
      <c r="B9883" s="233"/>
      <c r="C9883" s="238"/>
      <c r="E9883" s="545"/>
      <c r="F9883" s="546"/>
      <c r="G9883" s="234"/>
      <c r="H9883" s="238"/>
      <c r="I9883" s="237"/>
    </row>
    <row r="9884" spans="1:9" s="232" customFormat="1" ht="17" customHeight="1">
      <c r="A9884" s="234"/>
      <c r="B9884" s="233"/>
      <c r="C9884" s="238"/>
      <c r="E9884" s="545"/>
      <c r="F9884" s="546"/>
      <c r="G9884" s="234"/>
      <c r="H9884" s="238"/>
      <c r="I9884" s="237"/>
    </row>
    <row r="9885" spans="1:9" s="232" customFormat="1" ht="17" customHeight="1">
      <c r="A9885" s="234"/>
      <c r="B9885" s="233"/>
      <c r="C9885" s="238"/>
      <c r="E9885" s="545"/>
      <c r="F9885" s="546"/>
      <c r="G9885" s="234"/>
      <c r="H9885" s="238"/>
      <c r="I9885" s="237"/>
    </row>
    <row r="9886" spans="1:9" s="232" customFormat="1" ht="17" customHeight="1">
      <c r="A9886" s="234"/>
      <c r="B9886" s="233"/>
      <c r="C9886" s="238"/>
      <c r="E9886" s="545"/>
      <c r="F9886" s="546"/>
      <c r="G9886" s="234"/>
      <c r="H9886" s="238"/>
      <c r="I9886" s="237"/>
    </row>
    <row r="9887" spans="1:9" s="232" customFormat="1" ht="17" customHeight="1">
      <c r="A9887" s="234"/>
      <c r="B9887" s="233"/>
      <c r="C9887" s="238"/>
      <c r="E9887" s="545"/>
      <c r="F9887" s="546"/>
      <c r="G9887" s="234"/>
      <c r="H9887" s="238"/>
      <c r="I9887" s="237"/>
    </row>
    <row r="9888" spans="1:9" s="232" customFormat="1" ht="17" customHeight="1">
      <c r="A9888" s="234"/>
      <c r="B9888" s="233"/>
      <c r="C9888" s="238"/>
      <c r="E9888" s="545"/>
      <c r="F9888" s="546"/>
      <c r="G9888" s="234"/>
      <c r="H9888" s="238"/>
      <c r="I9888" s="237"/>
    </row>
    <row r="9889" spans="1:9" s="232" customFormat="1" ht="17" customHeight="1">
      <c r="A9889" s="234"/>
      <c r="B9889" s="233"/>
      <c r="C9889" s="238"/>
      <c r="E9889" s="545"/>
      <c r="F9889" s="546"/>
      <c r="G9889" s="234"/>
      <c r="H9889" s="238"/>
      <c r="I9889" s="237"/>
    </row>
    <row r="9890" spans="1:9" s="232" customFormat="1" ht="17" customHeight="1">
      <c r="A9890" s="234"/>
      <c r="B9890" s="233"/>
      <c r="C9890" s="238"/>
      <c r="E9890" s="545"/>
      <c r="F9890" s="546"/>
      <c r="G9890" s="234"/>
      <c r="H9890" s="238"/>
      <c r="I9890" s="237"/>
    </row>
    <row r="9891" spans="1:9" s="232" customFormat="1" ht="17" customHeight="1">
      <c r="A9891" s="234"/>
      <c r="B9891" s="233"/>
      <c r="C9891" s="238"/>
      <c r="E9891" s="545"/>
      <c r="F9891" s="546"/>
      <c r="G9891" s="234"/>
      <c r="H9891" s="238"/>
      <c r="I9891" s="237"/>
    </row>
    <row r="9892" spans="1:9" s="232" customFormat="1" ht="17" customHeight="1">
      <c r="A9892" s="234"/>
      <c r="B9892" s="233"/>
      <c r="C9892" s="238"/>
      <c r="E9892" s="545"/>
      <c r="F9892" s="546"/>
      <c r="G9892" s="234"/>
      <c r="H9892" s="238"/>
      <c r="I9892" s="237"/>
    </row>
    <row r="9893" spans="1:9" s="232" customFormat="1" ht="17" customHeight="1">
      <c r="A9893" s="234"/>
      <c r="B9893" s="233"/>
      <c r="C9893" s="238"/>
      <c r="E9893" s="545"/>
      <c r="F9893" s="546"/>
      <c r="G9893" s="234"/>
      <c r="H9893" s="238"/>
      <c r="I9893" s="237"/>
    </row>
    <row r="9894" spans="1:9" s="232" customFormat="1" ht="17" customHeight="1">
      <c r="A9894" s="234"/>
      <c r="B9894" s="233"/>
      <c r="C9894" s="238"/>
      <c r="E9894" s="545"/>
      <c r="F9894" s="546"/>
      <c r="G9894" s="234"/>
      <c r="H9894" s="238"/>
      <c r="I9894" s="237"/>
    </row>
    <row r="9895" spans="1:9" s="232" customFormat="1" ht="17" customHeight="1">
      <c r="A9895" s="234"/>
      <c r="B9895" s="233"/>
      <c r="C9895" s="238"/>
      <c r="E9895" s="545"/>
      <c r="F9895" s="546"/>
      <c r="G9895" s="234"/>
      <c r="H9895" s="238"/>
      <c r="I9895" s="237"/>
    </row>
    <row r="9896" spans="1:9" s="232" customFormat="1" ht="17" customHeight="1">
      <c r="A9896" s="234"/>
      <c r="B9896" s="233"/>
      <c r="C9896" s="238"/>
      <c r="E9896" s="545"/>
      <c r="F9896" s="546"/>
      <c r="G9896" s="234"/>
      <c r="H9896" s="238"/>
      <c r="I9896" s="237"/>
    </row>
    <row r="9897" spans="1:9" s="232" customFormat="1" ht="17" customHeight="1">
      <c r="A9897" s="234"/>
      <c r="B9897" s="233"/>
      <c r="C9897" s="238"/>
      <c r="E9897" s="545"/>
      <c r="F9897" s="546"/>
      <c r="G9897" s="234"/>
      <c r="H9897" s="238"/>
      <c r="I9897" s="237"/>
    </row>
    <row r="9898" spans="1:9" s="232" customFormat="1" ht="17" customHeight="1">
      <c r="A9898" s="234"/>
      <c r="B9898" s="233"/>
      <c r="C9898" s="238"/>
      <c r="E9898" s="545"/>
      <c r="F9898" s="546"/>
      <c r="G9898" s="234"/>
      <c r="H9898" s="238"/>
      <c r="I9898" s="237"/>
    </row>
    <row r="9899" spans="1:9" s="232" customFormat="1" ht="17" customHeight="1">
      <c r="A9899" s="234"/>
      <c r="B9899" s="233"/>
      <c r="C9899" s="238"/>
      <c r="E9899" s="545"/>
      <c r="F9899" s="546"/>
      <c r="G9899" s="234"/>
      <c r="H9899" s="238"/>
      <c r="I9899" s="237"/>
    </row>
    <row r="9900" spans="1:9" s="232" customFormat="1" ht="17" customHeight="1">
      <c r="A9900" s="234"/>
      <c r="B9900" s="233"/>
      <c r="C9900" s="238"/>
      <c r="E9900" s="545"/>
      <c r="F9900" s="546"/>
      <c r="G9900" s="234"/>
      <c r="H9900" s="238"/>
      <c r="I9900" s="237"/>
    </row>
    <row r="9901" spans="1:9" s="232" customFormat="1" ht="17" customHeight="1">
      <c r="A9901" s="234"/>
      <c r="B9901" s="233"/>
      <c r="C9901" s="238"/>
      <c r="E9901" s="545"/>
      <c r="F9901" s="546"/>
      <c r="G9901" s="234"/>
      <c r="H9901" s="238"/>
      <c r="I9901" s="237"/>
    </row>
    <row r="9902" spans="1:9" s="232" customFormat="1" ht="17" customHeight="1">
      <c r="A9902" s="234"/>
      <c r="B9902" s="233"/>
      <c r="C9902" s="238"/>
      <c r="E9902" s="545"/>
      <c r="F9902" s="546"/>
      <c r="G9902" s="234"/>
      <c r="H9902" s="238"/>
      <c r="I9902" s="237"/>
    </row>
    <row r="9903" spans="1:9" s="232" customFormat="1" ht="17" customHeight="1">
      <c r="A9903" s="234"/>
      <c r="B9903" s="233"/>
      <c r="C9903" s="238"/>
      <c r="E9903" s="545"/>
      <c r="F9903" s="546"/>
      <c r="G9903" s="234"/>
      <c r="H9903" s="238"/>
      <c r="I9903" s="237"/>
    </row>
    <row r="9904" spans="1:9" s="232" customFormat="1" ht="17" customHeight="1">
      <c r="A9904" s="234"/>
      <c r="B9904" s="233"/>
      <c r="C9904" s="238"/>
      <c r="E9904" s="545"/>
      <c r="F9904" s="546"/>
      <c r="G9904" s="234"/>
      <c r="H9904" s="238"/>
      <c r="I9904" s="237"/>
    </row>
    <row r="9905" spans="1:9" s="232" customFormat="1" ht="17" customHeight="1">
      <c r="A9905" s="234"/>
      <c r="B9905" s="233"/>
      <c r="C9905" s="238"/>
      <c r="E9905" s="545"/>
      <c r="F9905" s="546"/>
      <c r="G9905" s="234"/>
      <c r="H9905" s="238"/>
      <c r="I9905" s="237"/>
    </row>
    <row r="9906" spans="1:9" s="232" customFormat="1" ht="17" customHeight="1">
      <c r="A9906" s="234"/>
      <c r="B9906" s="233"/>
      <c r="C9906" s="238"/>
      <c r="E9906" s="545"/>
      <c r="F9906" s="546"/>
      <c r="G9906" s="234"/>
      <c r="H9906" s="238"/>
      <c r="I9906" s="237"/>
    </row>
    <row r="9907" spans="1:9" s="232" customFormat="1" ht="17" customHeight="1">
      <c r="A9907" s="234"/>
      <c r="B9907" s="233"/>
      <c r="C9907" s="238"/>
      <c r="E9907" s="545"/>
      <c r="F9907" s="546"/>
      <c r="G9907" s="234"/>
      <c r="H9907" s="238"/>
      <c r="I9907" s="237"/>
    </row>
    <row r="9908" spans="1:9" s="232" customFormat="1" ht="17" customHeight="1">
      <c r="A9908" s="234"/>
      <c r="B9908" s="233"/>
      <c r="C9908" s="238"/>
      <c r="E9908" s="545"/>
      <c r="F9908" s="546"/>
      <c r="G9908" s="234"/>
      <c r="H9908" s="238"/>
      <c r="I9908" s="237"/>
    </row>
    <row r="9909" spans="1:9" s="232" customFormat="1" ht="17" customHeight="1">
      <c r="A9909" s="234"/>
      <c r="B9909" s="233"/>
      <c r="C9909" s="238"/>
      <c r="E9909" s="545"/>
      <c r="F9909" s="546"/>
      <c r="G9909" s="234"/>
      <c r="H9909" s="238"/>
      <c r="I9909" s="237"/>
    </row>
    <row r="9910" spans="1:9" s="232" customFormat="1" ht="17" customHeight="1">
      <c r="A9910" s="234"/>
      <c r="B9910" s="233"/>
      <c r="C9910" s="238"/>
      <c r="E9910" s="545"/>
      <c r="F9910" s="546"/>
      <c r="G9910" s="234"/>
      <c r="H9910" s="238"/>
      <c r="I9910" s="237"/>
    </row>
    <row r="9911" spans="1:9" s="232" customFormat="1" ht="17" customHeight="1">
      <c r="A9911" s="234"/>
      <c r="B9911" s="233"/>
      <c r="C9911" s="238"/>
      <c r="E9911" s="545"/>
      <c r="F9911" s="546"/>
      <c r="G9911" s="234"/>
      <c r="H9911" s="238"/>
      <c r="I9911" s="237"/>
    </row>
    <row r="9912" spans="1:9" s="232" customFormat="1" ht="17" customHeight="1">
      <c r="A9912" s="234"/>
      <c r="B9912" s="233"/>
      <c r="C9912" s="238"/>
      <c r="E9912" s="545"/>
      <c r="F9912" s="546"/>
      <c r="G9912" s="234"/>
      <c r="H9912" s="238"/>
      <c r="I9912" s="237"/>
    </row>
    <row r="9913" spans="1:9" s="232" customFormat="1" ht="17" customHeight="1">
      <c r="A9913" s="234"/>
      <c r="B9913" s="233"/>
      <c r="C9913" s="238"/>
      <c r="E9913" s="545"/>
      <c r="F9913" s="546"/>
      <c r="G9913" s="234"/>
      <c r="H9913" s="238"/>
      <c r="I9913" s="237"/>
    </row>
    <row r="9914" spans="1:9" s="232" customFormat="1" ht="17" customHeight="1">
      <c r="A9914" s="234"/>
      <c r="B9914" s="233"/>
      <c r="C9914" s="238"/>
      <c r="E9914" s="545"/>
      <c r="F9914" s="546"/>
      <c r="G9914" s="234"/>
      <c r="H9914" s="238"/>
      <c r="I9914" s="237"/>
    </row>
    <row r="9915" spans="1:9" s="232" customFormat="1" ht="17" customHeight="1">
      <c r="A9915" s="234"/>
      <c r="B9915" s="233"/>
      <c r="C9915" s="238"/>
      <c r="E9915" s="545"/>
      <c r="F9915" s="546"/>
      <c r="G9915" s="234"/>
      <c r="H9915" s="238"/>
      <c r="I9915" s="237"/>
    </row>
    <row r="9916" spans="1:9" s="232" customFormat="1" ht="17" customHeight="1">
      <c r="A9916" s="234"/>
      <c r="B9916" s="233"/>
      <c r="C9916" s="238"/>
      <c r="E9916" s="545"/>
      <c r="F9916" s="546"/>
      <c r="G9916" s="234"/>
      <c r="H9916" s="238"/>
      <c r="I9916" s="237"/>
    </row>
    <row r="9917" spans="1:9" s="232" customFormat="1" ht="17" customHeight="1">
      <c r="A9917" s="234"/>
      <c r="B9917" s="233"/>
      <c r="C9917" s="238"/>
      <c r="E9917" s="545"/>
      <c r="F9917" s="546"/>
      <c r="G9917" s="234"/>
      <c r="H9917" s="238"/>
      <c r="I9917" s="237"/>
    </row>
    <row r="9918" spans="1:9" s="232" customFormat="1" ht="17" customHeight="1">
      <c r="A9918" s="234"/>
      <c r="B9918" s="233"/>
      <c r="C9918" s="238"/>
      <c r="E9918" s="545"/>
      <c r="F9918" s="546"/>
      <c r="G9918" s="234"/>
      <c r="H9918" s="238"/>
      <c r="I9918" s="237"/>
    </row>
    <row r="9919" spans="1:9" s="232" customFormat="1" ht="17" customHeight="1">
      <c r="A9919" s="234"/>
      <c r="B9919" s="233"/>
      <c r="C9919" s="238"/>
      <c r="E9919" s="545"/>
      <c r="F9919" s="546"/>
      <c r="G9919" s="234"/>
      <c r="H9919" s="238"/>
      <c r="I9919" s="237"/>
    </row>
    <row r="9920" spans="1:9" s="232" customFormat="1" ht="17" customHeight="1">
      <c r="A9920" s="234"/>
      <c r="B9920" s="233"/>
      <c r="C9920" s="238"/>
      <c r="E9920" s="545"/>
      <c r="F9920" s="546"/>
      <c r="G9920" s="234"/>
      <c r="H9920" s="238"/>
      <c r="I9920" s="237"/>
    </row>
    <row r="9921" spans="1:9" s="232" customFormat="1" ht="17" customHeight="1">
      <c r="A9921" s="234"/>
      <c r="B9921" s="233"/>
      <c r="C9921" s="238"/>
      <c r="E9921" s="545"/>
      <c r="F9921" s="546"/>
      <c r="G9921" s="234"/>
      <c r="H9921" s="238"/>
      <c r="I9921" s="237"/>
    </row>
    <row r="9922" spans="1:9" s="232" customFormat="1" ht="17" customHeight="1">
      <c r="A9922" s="234"/>
      <c r="B9922" s="233"/>
      <c r="C9922" s="238"/>
      <c r="E9922" s="545"/>
      <c r="F9922" s="546"/>
      <c r="G9922" s="234"/>
      <c r="H9922" s="238"/>
      <c r="I9922" s="237"/>
    </row>
    <row r="9923" spans="1:9" s="232" customFormat="1" ht="17" customHeight="1">
      <c r="A9923" s="234"/>
      <c r="B9923" s="233"/>
      <c r="C9923" s="238"/>
      <c r="E9923" s="545"/>
      <c r="F9923" s="546"/>
      <c r="G9923" s="234"/>
      <c r="H9923" s="238"/>
      <c r="I9923" s="237"/>
    </row>
    <row r="9924" spans="1:9" s="232" customFormat="1" ht="17" customHeight="1">
      <c r="A9924" s="234"/>
      <c r="B9924" s="233"/>
      <c r="C9924" s="238"/>
      <c r="E9924" s="545"/>
      <c r="F9924" s="546"/>
      <c r="G9924" s="234"/>
      <c r="H9924" s="238"/>
      <c r="I9924" s="237"/>
    </row>
    <row r="9925" spans="1:9" s="232" customFormat="1" ht="17" customHeight="1">
      <c r="A9925" s="234"/>
      <c r="B9925" s="233"/>
      <c r="C9925" s="238"/>
      <c r="E9925" s="545"/>
      <c r="F9925" s="546"/>
      <c r="G9925" s="234"/>
      <c r="H9925" s="238"/>
      <c r="I9925" s="237"/>
    </row>
    <row r="9926" spans="1:9" s="232" customFormat="1" ht="17" customHeight="1">
      <c r="A9926" s="234"/>
      <c r="B9926" s="233"/>
      <c r="C9926" s="238"/>
      <c r="E9926" s="545"/>
      <c r="F9926" s="546"/>
      <c r="G9926" s="234"/>
      <c r="H9926" s="238"/>
      <c r="I9926" s="237"/>
    </row>
    <row r="9927" spans="1:9" s="232" customFormat="1" ht="17" customHeight="1">
      <c r="A9927" s="234"/>
      <c r="B9927" s="233"/>
      <c r="C9927" s="238"/>
      <c r="E9927" s="545"/>
      <c r="F9927" s="546"/>
      <c r="G9927" s="234"/>
      <c r="H9927" s="238"/>
      <c r="I9927" s="237"/>
    </row>
    <row r="9928" spans="1:9" s="232" customFormat="1" ht="17" customHeight="1">
      <c r="A9928" s="234"/>
      <c r="B9928" s="233"/>
      <c r="C9928" s="238"/>
      <c r="E9928" s="545"/>
      <c r="F9928" s="546"/>
      <c r="G9928" s="234"/>
      <c r="H9928" s="238"/>
      <c r="I9928" s="237"/>
    </row>
    <row r="9929" spans="1:9" s="232" customFormat="1" ht="17" customHeight="1">
      <c r="A9929" s="234"/>
      <c r="B9929" s="233"/>
      <c r="C9929" s="238"/>
      <c r="E9929" s="545"/>
      <c r="F9929" s="546"/>
      <c r="G9929" s="234"/>
      <c r="H9929" s="238"/>
      <c r="I9929" s="237"/>
    </row>
    <row r="9930" spans="1:9" s="232" customFormat="1" ht="17" customHeight="1">
      <c r="A9930" s="234"/>
      <c r="B9930" s="233"/>
      <c r="C9930" s="238"/>
      <c r="E9930" s="545"/>
      <c r="F9930" s="546"/>
      <c r="G9930" s="234"/>
      <c r="H9930" s="238"/>
      <c r="I9930" s="237"/>
    </row>
    <row r="9931" spans="1:9" s="232" customFormat="1" ht="17" customHeight="1">
      <c r="A9931" s="234"/>
      <c r="B9931" s="233"/>
      <c r="C9931" s="238"/>
      <c r="E9931" s="545"/>
      <c r="F9931" s="546"/>
      <c r="G9931" s="234"/>
      <c r="H9931" s="238"/>
      <c r="I9931" s="237"/>
    </row>
    <row r="9932" spans="1:9" s="232" customFormat="1" ht="17" customHeight="1">
      <c r="A9932" s="234"/>
      <c r="B9932" s="233"/>
      <c r="C9932" s="238"/>
      <c r="E9932" s="545"/>
      <c r="F9932" s="546"/>
      <c r="G9932" s="234"/>
      <c r="H9932" s="238"/>
      <c r="I9932" s="237"/>
    </row>
    <row r="9933" spans="1:9" s="232" customFormat="1" ht="17" customHeight="1">
      <c r="A9933" s="234"/>
      <c r="B9933" s="233"/>
      <c r="C9933" s="238"/>
      <c r="E9933" s="545"/>
      <c r="F9933" s="546"/>
      <c r="G9933" s="234"/>
      <c r="H9933" s="238"/>
      <c r="I9933" s="237"/>
    </row>
    <row r="9934" spans="1:9" s="232" customFormat="1" ht="17" customHeight="1">
      <c r="A9934" s="234"/>
      <c r="B9934" s="233"/>
      <c r="C9934" s="238"/>
      <c r="E9934" s="545"/>
      <c r="F9934" s="546"/>
      <c r="G9934" s="234"/>
      <c r="H9934" s="238"/>
      <c r="I9934" s="237"/>
    </row>
    <row r="9935" spans="1:9" s="232" customFormat="1" ht="17" customHeight="1">
      <c r="A9935" s="234"/>
      <c r="B9935" s="233"/>
      <c r="C9935" s="238"/>
      <c r="E9935" s="545"/>
      <c r="F9935" s="546"/>
      <c r="G9935" s="234"/>
      <c r="H9935" s="238"/>
      <c r="I9935" s="237"/>
    </row>
    <row r="9936" spans="1:9" s="232" customFormat="1" ht="17" customHeight="1">
      <c r="A9936" s="234"/>
      <c r="B9936" s="233"/>
      <c r="C9936" s="238"/>
      <c r="E9936" s="545"/>
      <c r="F9936" s="546"/>
      <c r="G9936" s="234"/>
      <c r="H9936" s="238"/>
      <c r="I9936" s="237"/>
    </row>
    <row r="9937" spans="1:9" s="232" customFormat="1" ht="17" customHeight="1">
      <c r="A9937" s="234"/>
      <c r="B9937" s="233"/>
      <c r="C9937" s="238"/>
      <c r="E9937" s="545"/>
      <c r="F9937" s="546"/>
      <c r="G9937" s="234"/>
      <c r="H9937" s="238"/>
      <c r="I9937" s="237"/>
    </row>
    <row r="9938" spans="1:9" s="232" customFormat="1" ht="17" customHeight="1">
      <c r="A9938" s="234"/>
      <c r="B9938" s="233"/>
      <c r="C9938" s="238"/>
      <c r="E9938" s="545"/>
      <c r="F9938" s="546"/>
      <c r="G9938" s="234"/>
      <c r="H9938" s="238"/>
      <c r="I9938" s="237"/>
    </row>
    <row r="9939" spans="1:9" s="232" customFormat="1" ht="17" customHeight="1">
      <c r="A9939" s="234"/>
      <c r="B9939" s="233"/>
      <c r="C9939" s="238"/>
      <c r="E9939" s="545"/>
      <c r="F9939" s="546"/>
      <c r="G9939" s="234"/>
      <c r="H9939" s="238"/>
      <c r="I9939" s="237"/>
    </row>
    <row r="9940" spans="1:9" s="232" customFormat="1" ht="17" customHeight="1">
      <c r="A9940" s="234"/>
      <c r="B9940" s="233"/>
      <c r="C9940" s="238"/>
      <c r="E9940" s="545"/>
      <c r="F9940" s="546"/>
      <c r="G9940" s="234"/>
      <c r="H9940" s="238"/>
      <c r="I9940" s="237"/>
    </row>
    <row r="9941" spans="1:9" s="232" customFormat="1" ht="17" customHeight="1">
      <c r="A9941" s="234"/>
      <c r="B9941" s="233"/>
      <c r="C9941" s="238"/>
      <c r="E9941" s="545"/>
      <c r="F9941" s="546"/>
      <c r="G9941" s="234"/>
      <c r="H9941" s="238"/>
      <c r="I9941" s="237"/>
    </row>
    <row r="9942" spans="1:9" s="232" customFormat="1" ht="17" customHeight="1">
      <c r="A9942" s="234"/>
      <c r="B9942" s="233"/>
      <c r="C9942" s="238"/>
      <c r="E9942" s="545"/>
      <c r="F9942" s="546"/>
      <c r="G9942" s="234"/>
      <c r="H9942" s="238"/>
      <c r="I9942" s="237"/>
    </row>
    <row r="9943" spans="1:9" s="232" customFormat="1" ht="17" customHeight="1">
      <c r="A9943" s="234"/>
      <c r="B9943" s="233"/>
      <c r="C9943" s="238"/>
      <c r="E9943" s="545"/>
      <c r="F9943" s="546"/>
      <c r="G9943" s="234"/>
      <c r="H9943" s="238"/>
      <c r="I9943" s="237"/>
    </row>
    <row r="9944" spans="1:9" s="232" customFormat="1" ht="17" customHeight="1">
      <c r="A9944" s="234"/>
      <c r="B9944" s="233"/>
      <c r="C9944" s="238"/>
      <c r="E9944" s="545"/>
      <c r="F9944" s="546"/>
      <c r="G9944" s="234"/>
      <c r="H9944" s="238"/>
      <c r="I9944" s="237"/>
    </row>
    <row r="9945" spans="1:9" s="232" customFormat="1" ht="17" customHeight="1">
      <c r="A9945" s="234"/>
      <c r="B9945" s="233"/>
      <c r="C9945" s="238"/>
      <c r="E9945" s="545"/>
      <c r="F9945" s="546"/>
      <c r="G9945" s="234"/>
      <c r="H9945" s="238"/>
      <c r="I9945" s="237"/>
    </row>
    <row r="9946" spans="1:9" s="232" customFormat="1" ht="17" customHeight="1">
      <c r="A9946" s="234"/>
      <c r="B9946" s="233"/>
      <c r="C9946" s="238"/>
      <c r="E9946" s="545"/>
      <c r="F9946" s="546"/>
      <c r="G9946" s="234"/>
      <c r="H9946" s="238"/>
      <c r="I9946" s="237"/>
    </row>
    <row r="9947" spans="1:9" s="232" customFormat="1" ht="17" customHeight="1">
      <c r="A9947" s="234"/>
      <c r="B9947" s="233"/>
      <c r="C9947" s="238"/>
      <c r="E9947" s="545"/>
      <c r="F9947" s="546"/>
      <c r="G9947" s="234"/>
      <c r="H9947" s="238"/>
      <c r="I9947" s="237"/>
    </row>
    <row r="9948" spans="1:9" s="232" customFormat="1" ht="17" customHeight="1">
      <c r="A9948" s="234"/>
      <c r="B9948" s="233"/>
      <c r="C9948" s="238"/>
      <c r="E9948" s="545"/>
      <c r="F9948" s="546"/>
      <c r="G9948" s="234"/>
      <c r="H9948" s="238"/>
      <c r="I9948" s="237"/>
    </row>
    <row r="9949" spans="1:9" s="232" customFormat="1" ht="17" customHeight="1">
      <c r="A9949" s="234"/>
      <c r="B9949" s="233"/>
      <c r="C9949" s="238"/>
      <c r="E9949" s="545"/>
      <c r="F9949" s="546"/>
      <c r="G9949" s="234"/>
      <c r="H9949" s="238"/>
      <c r="I9949" s="237"/>
    </row>
    <row r="9950" spans="1:9" s="232" customFormat="1" ht="17" customHeight="1">
      <c r="A9950" s="234"/>
      <c r="B9950" s="233"/>
      <c r="C9950" s="238"/>
      <c r="E9950" s="545"/>
      <c r="F9950" s="546"/>
      <c r="G9950" s="234"/>
      <c r="H9950" s="238"/>
      <c r="I9950" s="237"/>
    </row>
    <row r="9951" spans="1:9" s="232" customFormat="1" ht="17" customHeight="1">
      <c r="A9951" s="234"/>
      <c r="B9951" s="233"/>
      <c r="C9951" s="238"/>
      <c r="E9951" s="545"/>
      <c r="F9951" s="546"/>
      <c r="G9951" s="234"/>
      <c r="H9951" s="238"/>
      <c r="I9951" s="237"/>
    </row>
    <row r="9952" spans="1:9" s="232" customFormat="1" ht="17" customHeight="1">
      <c r="A9952" s="234"/>
      <c r="B9952" s="233"/>
      <c r="C9952" s="238"/>
      <c r="E9952" s="545"/>
      <c r="F9952" s="546"/>
      <c r="G9952" s="234"/>
      <c r="H9952" s="238"/>
      <c r="I9952" s="237"/>
    </row>
    <row r="9953" spans="1:9" s="232" customFormat="1" ht="17" customHeight="1">
      <c r="A9953" s="234"/>
      <c r="B9953" s="233"/>
      <c r="C9953" s="238"/>
      <c r="E9953" s="545"/>
      <c r="F9953" s="546"/>
      <c r="G9953" s="234"/>
      <c r="H9953" s="238"/>
      <c r="I9953" s="237"/>
    </row>
    <row r="9954" spans="1:9" s="232" customFormat="1" ht="17" customHeight="1">
      <c r="A9954" s="234"/>
      <c r="B9954" s="233"/>
      <c r="C9954" s="238"/>
      <c r="E9954" s="545"/>
      <c r="F9954" s="546"/>
      <c r="G9954" s="234"/>
      <c r="H9954" s="238"/>
      <c r="I9954" s="237"/>
    </row>
    <row r="9955" spans="1:9" s="232" customFormat="1" ht="17" customHeight="1">
      <c r="A9955" s="234"/>
      <c r="B9955" s="233"/>
      <c r="C9955" s="238"/>
      <c r="E9955" s="545"/>
      <c r="F9955" s="546"/>
      <c r="G9955" s="234"/>
      <c r="H9955" s="238"/>
      <c r="I9955" s="237"/>
    </row>
    <row r="9956" spans="1:9" s="232" customFormat="1" ht="17" customHeight="1">
      <c r="A9956" s="234"/>
      <c r="B9956" s="233"/>
      <c r="C9956" s="238"/>
      <c r="E9956" s="545"/>
      <c r="F9956" s="546"/>
      <c r="G9956" s="234"/>
      <c r="H9956" s="238"/>
      <c r="I9956" s="237"/>
    </row>
    <row r="9957" spans="1:9" s="232" customFormat="1" ht="17" customHeight="1">
      <c r="A9957" s="234"/>
      <c r="B9957" s="233"/>
      <c r="C9957" s="238"/>
      <c r="E9957" s="545"/>
      <c r="F9957" s="546"/>
      <c r="G9957" s="234"/>
      <c r="H9957" s="238"/>
      <c r="I9957" s="237"/>
    </row>
    <row r="9958" spans="1:9" s="232" customFormat="1" ht="17" customHeight="1">
      <c r="A9958" s="234"/>
      <c r="B9958" s="233"/>
      <c r="C9958" s="238"/>
      <c r="E9958" s="545"/>
      <c r="F9958" s="546"/>
      <c r="G9958" s="234"/>
      <c r="H9958" s="238"/>
      <c r="I9958" s="237"/>
    </row>
    <row r="9959" spans="1:9" s="232" customFormat="1" ht="17" customHeight="1">
      <c r="A9959" s="234"/>
      <c r="B9959" s="233"/>
      <c r="C9959" s="238"/>
      <c r="E9959" s="545"/>
      <c r="F9959" s="546"/>
      <c r="G9959" s="234"/>
      <c r="H9959" s="238"/>
      <c r="I9959" s="237"/>
    </row>
    <row r="9960" spans="1:9" s="232" customFormat="1" ht="17" customHeight="1">
      <c r="A9960" s="234"/>
      <c r="B9960" s="233"/>
      <c r="C9960" s="238"/>
      <c r="E9960" s="545"/>
      <c r="F9960" s="546"/>
      <c r="G9960" s="234"/>
      <c r="H9960" s="238"/>
      <c r="I9960" s="237"/>
    </row>
    <row r="9961" spans="1:9" s="232" customFormat="1" ht="17" customHeight="1">
      <c r="A9961" s="234"/>
      <c r="B9961" s="233"/>
      <c r="C9961" s="238"/>
      <c r="E9961" s="545"/>
      <c r="F9961" s="546"/>
      <c r="G9961" s="234"/>
      <c r="H9961" s="238"/>
      <c r="I9961" s="237"/>
    </row>
    <row r="9962" spans="1:9" s="232" customFormat="1" ht="17" customHeight="1">
      <c r="A9962" s="234"/>
      <c r="B9962" s="233"/>
      <c r="C9962" s="238"/>
      <c r="E9962" s="545"/>
      <c r="F9962" s="546"/>
      <c r="G9962" s="234"/>
      <c r="H9962" s="238"/>
      <c r="I9962" s="237"/>
    </row>
    <row r="9963" spans="1:9" s="232" customFormat="1" ht="17" customHeight="1">
      <c r="A9963" s="234"/>
      <c r="B9963" s="233"/>
      <c r="C9963" s="238"/>
      <c r="E9963" s="545"/>
      <c r="F9963" s="546"/>
      <c r="G9963" s="234"/>
      <c r="H9963" s="238"/>
      <c r="I9963" s="237"/>
    </row>
    <row r="9964" spans="1:9" s="232" customFormat="1" ht="17" customHeight="1">
      <c r="A9964" s="234"/>
      <c r="B9964" s="233"/>
      <c r="C9964" s="238"/>
      <c r="E9964" s="545"/>
      <c r="F9964" s="546"/>
      <c r="G9964" s="234"/>
      <c r="H9964" s="238"/>
      <c r="I9964" s="237"/>
    </row>
    <row r="9965" spans="1:9" s="232" customFormat="1" ht="17" customHeight="1">
      <c r="A9965" s="234"/>
      <c r="B9965" s="233"/>
      <c r="C9965" s="238"/>
      <c r="E9965" s="545"/>
      <c r="F9965" s="546"/>
      <c r="G9965" s="234"/>
      <c r="H9965" s="238"/>
      <c r="I9965" s="237"/>
    </row>
    <row r="9966" spans="1:9" s="232" customFormat="1" ht="17" customHeight="1">
      <c r="A9966" s="234"/>
      <c r="B9966" s="233"/>
      <c r="C9966" s="238"/>
      <c r="E9966" s="545"/>
      <c r="F9966" s="546"/>
      <c r="G9966" s="234"/>
      <c r="H9966" s="238"/>
      <c r="I9966" s="237"/>
    </row>
    <row r="9967" spans="1:9" s="232" customFormat="1" ht="17" customHeight="1">
      <c r="A9967" s="234"/>
      <c r="B9967" s="233"/>
      <c r="C9967" s="238"/>
      <c r="E9967" s="545"/>
      <c r="F9967" s="546"/>
      <c r="G9967" s="234"/>
      <c r="H9967" s="238"/>
      <c r="I9967" s="237"/>
    </row>
    <row r="9968" spans="1:9" s="232" customFormat="1" ht="17" customHeight="1">
      <c r="A9968" s="234"/>
      <c r="B9968" s="233"/>
      <c r="C9968" s="238"/>
      <c r="E9968" s="545"/>
      <c r="F9968" s="546"/>
      <c r="G9968" s="234"/>
      <c r="H9968" s="238"/>
      <c r="I9968" s="237"/>
    </row>
    <row r="9969" spans="1:9" s="232" customFormat="1" ht="17" customHeight="1">
      <c r="A9969" s="234"/>
      <c r="B9969" s="233"/>
      <c r="C9969" s="238"/>
      <c r="E9969" s="545"/>
      <c r="F9969" s="546"/>
      <c r="G9969" s="234"/>
      <c r="H9969" s="238"/>
      <c r="I9969" s="237"/>
    </row>
    <row r="9970" spans="1:9" s="232" customFormat="1" ht="17" customHeight="1">
      <c r="A9970" s="234"/>
      <c r="B9970" s="233"/>
      <c r="C9970" s="238"/>
      <c r="E9970" s="545"/>
      <c r="F9970" s="546"/>
      <c r="G9970" s="234"/>
      <c r="H9970" s="238"/>
      <c r="I9970" s="237"/>
    </row>
    <row r="9971" spans="1:9" s="232" customFormat="1" ht="17" customHeight="1">
      <c r="A9971" s="234"/>
      <c r="B9971" s="233"/>
      <c r="C9971" s="238"/>
      <c r="E9971" s="545"/>
      <c r="F9971" s="546"/>
      <c r="G9971" s="234"/>
      <c r="H9971" s="238"/>
      <c r="I9971" s="237"/>
    </row>
    <row r="9972" spans="1:9" s="232" customFormat="1" ht="17" customHeight="1">
      <c r="A9972" s="234"/>
      <c r="B9972" s="233"/>
      <c r="C9972" s="238"/>
      <c r="E9972" s="545"/>
      <c r="F9972" s="546"/>
      <c r="G9972" s="234"/>
      <c r="H9972" s="238"/>
      <c r="I9972" s="237"/>
    </row>
    <row r="9973" spans="1:9" s="232" customFormat="1" ht="17" customHeight="1">
      <c r="A9973" s="234"/>
      <c r="B9973" s="233"/>
      <c r="C9973" s="238"/>
      <c r="E9973" s="545"/>
      <c r="F9973" s="546"/>
      <c r="G9973" s="234"/>
      <c r="H9973" s="238"/>
      <c r="I9973" s="237"/>
    </row>
    <row r="9974" spans="1:9" s="232" customFormat="1" ht="17" customHeight="1">
      <c r="A9974" s="234"/>
      <c r="B9974" s="233"/>
      <c r="C9974" s="238"/>
      <c r="E9974" s="545"/>
      <c r="F9974" s="546"/>
      <c r="G9974" s="234"/>
      <c r="H9974" s="238"/>
      <c r="I9974" s="237"/>
    </row>
    <row r="9975" spans="1:9" s="232" customFormat="1" ht="17" customHeight="1">
      <c r="A9975" s="234"/>
      <c r="B9975" s="233"/>
      <c r="C9975" s="238"/>
      <c r="E9975" s="545"/>
      <c r="F9975" s="546"/>
      <c r="G9975" s="234"/>
      <c r="H9975" s="238"/>
      <c r="I9975" s="237"/>
    </row>
    <row r="9976" spans="1:9" s="232" customFormat="1" ht="17" customHeight="1">
      <c r="A9976" s="234"/>
      <c r="B9976" s="233"/>
      <c r="C9976" s="238"/>
      <c r="E9976" s="545"/>
      <c r="F9976" s="546"/>
      <c r="G9976" s="234"/>
      <c r="H9976" s="238"/>
      <c r="I9976" s="237"/>
    </row>
    <row r="9977" spans="1:9" s="232" customFormat="1" ht="17" customHeight="1">
      <c r="A9977" s="234"/>
      <c r="B9977" s="233"/>
      <c r="C9977" s="238"/>
      <c r="E9977" s="545"/>
      <c r="F9977" s="546"/>
      <c r="G9977" s="234"/>
      <c r="H9977" s="238"/>
      <c r="I9977" s="237"/>
    </row>
    <row r="9978" spans="1:9" s="232" customFormat="1" ht="17" customHeight="1">
      <c r="A9978" s="234"/>
      <c r="B9978" s="233"/>
      <c r="C9978" s="238"/>
      <c r="E9978" s="545"/>
      <c r="F9978" s="546"/>
      <c r="G9978" s="234"/>
      <c r="H9978" s="238"/>
      <c r="I9978" s="237"/>
    </row>
    <row r="9979" spans="1:9" s="232" customFormat="1" ht="17" customHeight="1">
      <c r="A9979" s="234"/>
      <c r="B9979" s="233"/>
      <c r="C9979" s="238"/>
      <c r="E9979" s="545"/>
      <c r="F9979" s="546"/>
      <c r="G9979" s="234"/>
      <c r="H9979" s="238"/>
      <c r="I9979" s="237"/>
    </row>
    <row r="9980" spans="1:9" s="232" customFormat="1" ht="17" customHeight="1">
      <c r="A9980" s="234"/>
      <c r="B9980" s="233"/>
      <c r="C9980" s="238"/>
      <c r="E9980" s="545"/>
      <c r="F9980" s="546"/>
      <c r="G9980" s="234"/>
      <c r="H9980" s="238"/>
      <c r="I9980" s="237"/>
    </row>
    <row r="9981" spans="1:9" s="232" customFormat="1" ht="17" customHeight="1">
      <c r="A9981" s="234"/>
      <c r="B9981" s="233"/>
      <c r="C9981" s="238"/>
      <c r="E9981" s="545"/>
      <c r="F9981" s="546"/>
      <c r="G9981" s="234"/>
      <c r="H9981" s="238"/>
      <c r="I9981" s="237"/>
    </row>
    <row r="9982" spans="1:9" s="232" customFormat="1" ht="17" customHeight="1">
      <c r="A9982" s="234"/>
      <c r="B9982" s="233"/>
      <c r="C9982" s="238"/>
      <c r="E9982" s="545"/>
      <c r="F9982" s="546"/>
      <c r="G9982" s="234"/>
      <c r="H9982" s="238"/>
      <c r="I9982" s="237"/>
    </row>
    <row r="9983" spans="1:9" s="232" customFormat="1" ht="17" customHeight="1">
      <c r="A9983" s="234"/>
      <c r="B9983" s="233"/>
      <c r="C9983" s="238"/>
      <c r="E9983" s="545"/>
      <c r="F9983" s="546"/>
      <c r="G9983" s="234"/>
      <c r="H9983" s="238"/>
      <c r="I9983" s="237"/>
    </row>
    <row r="9984" spans="1:9" s="232" customFormat="1" ht="17" customHeight="1">
      <c r="A9984" s="234"/>
      <c r="B9984" s="233"/>
      <c r="C9984" s="238"/>
      <c r="E9984" s="545"/>
      <c r="F9984" s="546"/>
      <c r="G9984" s="234"/>
      <c r="H9984" s="238"/>
      <c r="I9984" s="237"/>
    </row>
    <row r="9985" spans="1:9" s="232" customFormat="1" ht="17" customHeight="1">
      <c r="A9985" s="234"/>
      <c r="B9985" s="233"/>
      <c r="C9985" s="238"/>
      <c r="E9985" s="545"/>
      <c r="F9985" s="546"/>
      <c r="G9985" s="234"/>
      <c r="H9985" s="238"/>
      <c r="I9985" s="237"/>
    </row>
    <row r="9986" spans="1:9" s="232" customFormat="1" ht="17" customHeight="1">
      <c r="A9986" s="234"/>
      <c r="B9986" s="233"/>
      <c r="C9986" s="238"/>
      <c r="E9986" s="545"/>
      <c r="F9986" s="546"/>
      <c r="G9986" s="234"/>
      <c r="H9986" s="238"/>
      <c r="I9986" s="237"/>
    </row>
    <row r="9987" spans="1:9" s="232" customFormat="1" ht="17" customHeight="1">
      <c r="A9987" s="234"/>
      <c r="B9987" s="233"/>
      <c r="C9987" s="238"/>
      <c r="E9987" s="545"/>
      <c r="F9987" s="546"/>
      <c r="G9987" s="234"/>
      <c r="H9987" s="238"/>
      <c r="I9987" s="237"/>
    </row>
    <row r="9988" spans="1:9" s="232" customFormat="1" ht="17" customHeight="1">
      <c r="A9988" s="234"/>
      <c r="B9988" s="233"/>
      <c r="C9988" s="238"/>
      <c r="E9988" s="545"/>
      <c r="F9988" s="546"/>
      <c r="G9988" s="234"/>
      <c r="H9988" s="238"/>
      <c r="I9988" s="237"/>
    </row>
    <row r="9989" spans="1:9" s="232" customFormat="1" ht="17" customHeight="1">
      <c r="A9989" s="234"/>
      <c r="B9989" s="233"/>
      <c r="C9989" s="238"/>
      <c r="E9989" s="545"/>
      <c r="F9989" s="546"/>
      <c r="G9989" s="234"/>
      <c r="H9989" s="238"/>
      <c r="I9989" s="237"/>
    </row>
    <row r="9990" spans="1:9" s="232" customFormat="1" ht="17" customHeight="1">
      <c r="A9990" s="234"/>
      <c r="B9990" s="233"/>
      <c r="C9990" s="238"/>
      <c r="E9990" s="545"/>
      <c r="F9990" s="546"/>
      <c r="G9990" s="234"/>
      <c r="H9990" s="238"/>
      <c r="I9990" s="237"/>
    </row>
    <row r="9991" spans="1:9" s="232" customFormat="1" ht="17" customHeight="1">
      <c r="A9991" s="234"/>
      <c r="B9991" s="233"/>
      <c r="C9991" s="238"/>
      <c r="E9991" s="545"/>
      <c r="F9991" s="546"/>
      <c r="G9991" s="234"/>
      <c r="H9991" s="238"/>
      <c r="I9991" s="237"/>
    </row>
    <row r="9992" spans="1:9" s="232" customFormat="1" ht="17" customHeight="1">
      <c r="A9992" s="234"/>
      <c r="B9992" s="233"/>
      <c r="C9992" s="238"/>
      <c r="E9992" s="545"/>
      <c r="F9992" s="546"/>
      <c r="G9992" s="234"/>
      <c r="H9992" s="238"/>
      <c r="I9992" s="237"/>
    </row>
    <row r="9993" spans="1:9" s="232" customFormat="1" ht="17" customHeight="1">
      <c r="A9993" s="234"/>
      <c r="B9993" s="233"/>
      <c r="C9993" s="238"/>
      <c r="E9993" s="545"/>
      <c r="F9993" s="546"/>
      <c r="G9993" s="234"/>
      <c r="H9993" s="238"/>
      <c r="I9993" s="237"/>
    </row>
    <row r="9994" spans="1:9" s="232" customFormat="1" ht="17" customHeight="1">
      <c r="A9994" s="234"/>
      <c r="B9994" s="233"/>
      <c r="C9994" s="238"/>
      <c r="E9994" s="545"/>
      <c r="F9994" s="546"/>
      <c r="G9994" s="234"/>
      <c r="H9994" s="238"/>
      <c r="I9994" s="237"/>
    </row>
    <row r="9995" spans="1:9" s="232" customFormat="1" ht="17" customHeight="1">
      <c r="A9995" s="234"/>
      <c r="B9995" s="233"/>
      <c r="C9995" s="238"/>
      <c r="E9995" s="545"/>
      <c r="F9995" s="546"/>
      <c r="G9995" s="234"/>
      <c r="H9995" s="238"/>
      <c r="I9995" s="237"/>
    </row>
    <row r="9996" spans="1:9" s="232" customFormat="1" ht="17" customHeight="1">
      <c r="A9996" s="234"/>
      <c r="B9996" s="233"/>
      <c r="C9996" s="238"/>
      <c r="E9996" s="545"/>
      <c r="F9996" s="546"/>
      <c r="G9996" s="234"/>
      <c r="H9996" s="238"/>
      <c r="I9996" s="237"/>
    </row>
    <row r="9997" spans="1:9" s="232" customFormat="1" ht="17" customHeight="1">
      <c r="A9997" s="234"/>
      <c r="B9997" s="233"/>
      <c r="C9997" s="238"/>
      <c r="E9997" s="545"/>
      <c r="F9997" s="546"/>
      <c r="G9997" s="234"/>
      <c r="H9997" s="238"/>
      <c r="I9997" s="237"/>
    </row>
    <row r="9998" spans="1:9" s="232" customFormat="1" ht="17" customHeight="1">
      <c r="A9998" s="234"/>
      <c r="B9998" s="233"/>
      <c r="C9998" s="238"/>
      <c r="E9998" s="545"/>
      <c r="F9998" s="546"/>
      <c r="G9998" s="234"/>
      <c r="H9998" s="238"/>
      <c r="I9998" s="237"/>
    </row>
    <row r="9999" spans="1:9" s="232" customFormat="1" ht="17" customHeight="1">
      <c r="A9999" s="234"/>
      <c r="B9999" s="233"/>
      <c r="C9999" s="238"/>
      <c r="E9999" s="545"/>
      <c r="F9999" s="546"/>
      <c r="G9999" s="234"/>
      <c r="H9999" s="238"/>
      <c r="I9999" s="237"/>
    </row>
    <row r="10000" spans="1:9" s="232" customFormat="1" ht="17" customHeight="1">
      <c r="A10000" s="234"/>
      <c r="B10000" s="233"/>
      <c r="C10000" s="238"/>
      <c r="E10000" s="545"/>
      <c r="F10000" s="546"/>
      <c r="G10000" s="234"/>
      <c r="H10000" s="238"/>
      <c r="I10000" s="237"/>
    </row>
    <row r="10001" spans="1:9" s="232" customFormat="1" ht="17" customHeight="1">
      <c r="A10001" s="234"/>
      <c r="B10001" s="233"/>
      <c r="C10001" s="238"/>
      <c r="E10001" s="545"/>
      <c r="F10001" s="546"/>
      <c r="G10001" s="234"/>
      <c r="H10001" s="238"/>
      <c r="I10001" s="237"/>
    </row>
    <row r="10002" spans="1:9" s="232" customFormat="1" ht="17" customHeight="1">
      <c r="A10002" s="234"/>
      <c r="B10002" s="233"/>
      <c r="C10002" s="238"/>
      <c r="E10002" s="545"/>
      <c r="F10002" s="546"/>
      <c r="G10002" s="234"/>
      <c r="H10002" s="238"/>
      <c r="I10002" s="237"/>
    </row>
    <row r="10003" spans="1:9" s="232" customFormat="1" ht="17" customHeight="1">
      <c r="A10003" s="234"/>
      <c r="B10003" s="233"/>
      <c r="C10003" s="238"/>
      <c r="E10003" s="545"/>
      <c r="F10003" s="546"/>
      <c r="G10003" s="234"/>
      <c r="H10003" s="238"/>
      <c r="I10003" s="237"/>
    </row>
    <row r="10004" spans="1:9" s="232" customFormat="1" ht="17" customHeight="1">
      <c r="A10004" s="234"/>
      <c r="B10004" s="233"/>
      <c r="C10004" s="238"/>
      <c r="E10004" s="545"/>
      <c r="F10004" s="546"/>
      <c r="G10004" s="234"/>
      <c r="H10004" s="238"/>
      <c r="I10004" s="237"/>
    </row>
    <row r="10005" spans="1:9" s="232" customFormat="1" ht="17" customHeight="1">
      <c r="A10005" s="234"/>
      <c r="B10005" s="233"/>
      <c r="C10005" s="238"/>
      <c r="E10005" s="545"/>
      <c r="F10005" s="546"/>
      <c r="G10005" s="234"/>
      <c r="H10005" s="238"/>
      <c r="I10005" s="237"/>
    </row>
    <row r="10006" spans="1:9" s="232" customFormat="1" ht="17" customHeight="1">
      <c r="A10006" s="234"/>
      <c r="B10006" s="233"/>
      <c r="C10006" s="238"/>
      <c r="E10006" s="545"/>
      <c r="F10006" s="546"/>
      <c r="G10006" s="234"/>
      <c r="H10006" s="238"/>
      <c r="I10006" s="237"/>
    </row>
    <row r="10007" spans="1:9" s="232" customFormat="1" ht="17" customHeight="1">
      <c r="A10007" s="234"/>
      <c r="B10007" s="233"/>
      <c r="C10007" s="238"/>
      <c r="E10007" s="545"/>
      <c r="F10007" s="546"/>
      <c r="G10007" s="234"/>
      <c r="H10007" s="238"/>
      <c r="I10007" s="237"/>
    </row>
    <row r="10008" spans="1:9" s="232" customFormat="1" ht="17" customHeight="1">
      <c r="A10008" s="234"/>
      <c r="B10008" s="233"/>
      <c r="C10008" s="238"/>
      <c r="E10008" s="545"/>
      <c r="F10008" s="546"/>
      <c r="G10008" s="234"/>
      <c r="H10008" s="238"/>
      <c r="I10008" s="237"/>
    </row>
    <row r="10009" spans="1:9" s="232" customFormat="1" ht="17" customHeight="1">
      <c r="A10009" s="234"/>
      <c r="B10009" s="233"/>
      <c r="C10009" s="238"/>
      <c r="E10009" s="545"/>
      <c r="F10009" s="546"/>
      <c r="G10009" s="234"/>
      <c r="H10009" s="238"/>
      <c r="I10009" s="237"/>
    </row>
    <row r="10010" spans="1:9" s="232" customFormat="1" ht="17" customHeight="1">
      <c r="A10010" s="234"/>
      <c r="B10010" s="233"/>
      <c r="C10010" s="238"/>
      <c r="E10010" s="545"/>
      <c r="F10010" s="546"/>
      <c r="G10010" s="234"/>
      <c r="H10010" s="238"/>
      <c r="I10010" s="237"/>
    </row>
    <row r="10011" spans="1:9" s="232" customFormat="1" ht="17" customHeight="1">
      <c r="A10011" s="234"/>
      <c r="B10011" s="233"/>
      <c r="C10011" s="238"/>
      <c r="E10011" s="545"/>
      <c r="F10011" s="546"/>
      <c r="G10011" s="234"/>
      <c r="H10011" s="238"/>
      <c r="I10011" s="237"/>
    </row>
    <row r="10012" spans="1:9" s="232" customFormat="1" ht="17" customHeight="1">
      <c r="A10012" s="234"/>
      <c r="B10012" s="233"/>
      <c r="C10012" s="238"/>
      <c r="E10012" s="545"/>
      <c r="F10012" s="546"/>
      <c r="G10012" s="234"/>
      <c r="H10012" s="238"/>
      <c r="I10012" s="237"/>
    </row>
    <row r="10013" spans="1:9" s="232" customFormat="1" ht="17" customHeight="1">
      <c r="A10013" s="234"/>
      <c r="B10013" s="233"/>
      <c r="C10013" s="238"/>
      <c r="E10013" s="545"/>
      <c r="F10013" s="546"/>
      <c r="G10013" s="234"/>
      <c r="H10013" s="238"/>
      <c r="I10013" s="237"/>
    </row>
    <row r="10014" spans="1:9" s="232" customFormat="1" ht="17" customHeight="1">
      <c r="A10014" s="234"/>
      <c r="B10014" s="233"/>
      <c r="C10014" s="238"/>
      <c r="E10014" s="545"/>
      <c r="F10014" s="546"/>
      <c r="G10014" s="234"/>
      <c r="H10014" s="238"/>
      <c r="I10014" s="237"/>
    </row>
    <row r="10015" spans="1:9" s="232" customFormat="1" ht="17" customHeight="1">
      <c r="A10015" s="234"/>
      <c r="B10015" s="233"/>
      <c r="C10015" s="238"/>
      <c r="E10015" s="545"/>
      <c r="F10015" s="546"/>
      <c r="G10015" s="234"/>
      <c r="H10015" s="238"/>
      <c r="I10015" s="237"/>
    </row>
    <row r="10016" spans="1:9" s="232" customFormat="1" ht="17" customHeight="1">
      <c r="A10016" s="234"/>
      <c r="B10016" s="233"/>
      <c r="C10016" s="238"/>
      <c r="E10016" s="545"/>
      <c r="F10016" s="546"/>
      <c r="G10016" s="234"/>
      <c r="H10016" s="238"/>
      <c r="I10016" s="237"/>
    </row>
    <row r="10017" spans="1:9" s="232" customFormat="1" ht="17" customHeight="1">
      <c r="A10017" s="234"/>
      <c r="B10017" s="233"/>
      <c r="C10017" s="238"/>
      <c r="E10017" s="545"/>
      <c r="F10017" s="546"/>
      <c r="G10017" s="234"/>
      <c r="H10017" s="238"/>
      <c r="I10017" s="237"/>
    </row>
    <row r="10018" spans="1:9" s="232" customFormat="1" ht="17" customHeight="1">
      <c r="A10018" s="234"/>
      <c r="B10018" s="233"/>
      <c r="C10018" s="238"/>
      <c r="E10018" s="545"/>
      <c r="F10018" s="546"/>
      <c r="G10018" s="234"/>
      <c r="H10018" s="238"/>
      <c r="I10018" s="237"/>
    </row>
    <row r="10019" spans="1:9" s="232" customFormat="1" ht="17" customHeight="1">
      <c r="A10019" s="234"/>
      <c r="B10019" s="233"/>
      <c r="C10019" s="238"/>
      <c r="E10019" s="545"/>
      <c r="F10019" s="546"/>
      <c r="G10019" s="234"/>
      <c r="H10019" s="238"/>
      <c r="I10019" s="237"/>
    </row>
    <row r="10020" spans="1:9" s="232" customFormat="1" ht="17" customHeight="1">
      <c r="A10020" s="234"/>
      <c r="B10020" s="233"/>
      <c r="C10020" s="238"/>
      <c r="E10020" s="545"/>
      <c r="F10020" s="546"/>
      <c r="G10020" s="234"/>
      <c r="H10020" s="238"/>
      <c r="I10020" s="237"/>
    </row>
    <row r="10021" spans="1:9" s="232" customFormat="1" ht="17" customHeight="1">
      <c r="A10021" s="234"/>
      <c r="B10021" s="233"/>
      <c r="C10021" s="238"/>
      <c r="E10021" s="545"/>
      <c r="F10021" s="546"/>
      <c r="G10021" s="234"/>
      <c r="H10021" s="238"/>
      <c r="I10021" s="237"/>
    </row>
    <row r="10022" spans="1:9" s="232" customFormat="1" ht="17" customHeight="1">
      <c r="A10022" s="234"/>
      <c r="B10022" s="233"/>
      <c r="C10022" s="238"/>
      <c r="E10022" s="545"/>
      <c r="F10022" s="546"/>
      <c r="G10022" s="234"/>
      <c r="H10022" s="238"/>
      <c r="I10022" s="237"/>
    </row>
    <row r="10023" spans="1:9" s="232" customFormat="1" ht="17" customHeight="1">
      <c r="A10023" s="234"/>
      <c r="B10023" s="233"/>
      <c r="C10023" s="238"/>
      <c r="E10023" s="545"/>
      <c r="F10023" s="546"/>
      <c r="G10023" s="234"/>
      <c r="H10023" s="238"/>
      <c r="I10023" s="237"/>
    </row>
    <row r="10024" spans="1:9" s="232" customFormat="1" ht="17" customHeight="1">
      <c r="A10024" s="234"/>
      <c r="B10024" s="233"/>
      <c r="C10024" s="238"/>
      <c r="E10024" s="545"/>
      <c r="F10024" s="546"/>
      <c r="G10024" s="234"/>
      <c r="H10024" s="238"/>
      <c r="I10024" s="237"/>
    </row>
    <row r="10025" spans="1:9" s="232" customFormat="1" ht="17" customHeight="1">
      <c r="A10025" s="234"/>
      <c r="B10025" s="233"/>
      <c r="C10025" s="238"/>
      <c r="E10025" s="545"/>
      <c r="F10025" s="546"/>
      <c r="G10025" s="234"/>
      <c r="H10025" s="238"/>
      <c r="I10025" s="237"/>
    </row>
    <row r="10026" spans="1:9" s="232" customFormat="1" ht="17" customHeight="1">
      <c r="A10026" s="234"/>
      <c r="B10026" s="233"/>
      <c r="C10026" s="238"/>
      <c r="E10026" s="545"/>
      <c r="F10026" s="546"/>
      <c r="G10026" s="234"/>
      <c r="H10026" s="238"/>
      <c r="I10026" s="237"/>
    </row>
    <row r="10027" spans="1:9" s="232" customFormat="1" ht="17" customHeight="1">
      <c r="A10027" s="234"/>
      <c r="B10027" s="233"/>
      <c r="C10027" s="238"/>
      <c r="E10027" s="545"/>
      <c r="F10027" s="546"/>
      <c r="G10027" s="234"/>
      <c r="H10027" s="238"/>
      <c r="I10027" s="237"/>
    </row>
    <row r="10028" spans="1:9" s="232" customFormat="1" ht="17" customHeight="1">
      <c r="A10028" s="234"/>
      <c r="B10028" s="233"/>
      <c r="C10028" s="238"/>
      <c r="E10028" s="545"/>
      <c r="F10028" s="546"/>
      <c r="G10028" s="234"/>
      <c r="H10028" s="238"/>
      <c r="I10028" s="237"/>
    </row>
    <row r="10029" spans="1:9" s="232" customFormat="1" ht="17" customHeight="1">
      <c r="A10029" s="234"/>
      <c r="B10029" s="233"/>
      <c r="C10029" s="238"/>
      <c r="E10029" s="545"/>
      <c r="F10029" s="546"/>
      <c r="G10029" s="234"/>
      <c r="H10029" s="238"/>
      <c r="I10029" s="237"/>
    </row>
    <row r="10030" spans="1:9" s="232" customFormat="1" ht="17" customHeight="1">
      <c r="A10030" s="234"/>
      <c r="B10030" s="233"/>
      <c r="C10030" s="238"/>
      <c r="E10030" s="545"/>
      <c r="F10030" s="546"/>
      <c r="G10030" s="234"/>
      <c r="H10030" s="238"/>
      <c r="I10030" s="237"/>
    </row>
    <row r="10031" spans="1:9" s="232" customFormat="1" ht="17" customHeight="1">
      <c r="A10031" s="234"/>
      <c r="B10031" s="233"/>
      <c r="C10031" s="238"/>
      <c r="E10031" s="545"/>
      <c r="F10031" s="546"/>
      <c r="G10031" s="234"/>
      <c r="H10031" s="238"/>
      <c r="I10031" s="237"/>
    </row>
    <row r="10032" spans="1:9" s="232" customFormat="1" ht="17" customHeight="1">
      <c r="A10032" s="234"/>
      <c r="B10032" s="233"/>
      <c r="C10032" s="238"/>
      <c r="E10032" s="545"/>
      <c r="F10032" s="546"/>
      <c r="G10032" s="234"/>
      <c r="H10032" s="238"/>
      <c r="I10032" s="237"/>
    </row>
    <row r="10033" spans="1:9" s="232" customFormat="1" ht="17" customHeight="1">
      <c r="A10033" s="234"/>
      <c r="B10033" s="233"/>
      <c r="C10033" s="238"/>
      <c r="E10033" s="545"/>
      <c r="F10033" s="546"/>
      <c r="G10033" s="234"/>
      <c r="H10033" s="238"/>
      <c r="I10033" s="237"/>
    </row>
    <row r="10034" spans="1:9" s="232" customFormat="1" ht="17" customHeight="1">
      <c r="A10034" s="234"/>
      <c r="B10034" s="233"/>
      <c r="C10034" s="238"/>
      <c r="E10034" s="545"/>
      <c r="F10034" s="546"/>
      <c r="G10034" s="234"/>
      <c r="H10034" s="238"/>
      <c r="I10034" s="237"/>
    </row>
    <row r="10035" spans="1:9" s="232" customFormat="1" ht="17" customHeight="1">
      <c r="A10035" s="234"/>
      <c r="B10035" s="233"/>
      <c r="C10035" s="238"/>
      <c r="E10035" s="545"/>
      <c r="F10035" s="546"/>
      <c r="G10035" s="234"/>
      <c r="H10035" s="238"/>
      <c r="I10035" s="237"/>
    </row>
    <row r="10036" spans="1:9" s="232" customFormat="1" ht="17" customHeight="1">
      <c r="A10036" s="234"/>
      <c r="B10036" s="233"/>
      <c r="C10036" s="238"/>
      <c r="E10036" s="545"/>
      <c r="F10036" s="546"/>
      <c r="G10036" s="234"/>
      <c r="H10036" s="238"/>
      <c r="I10036" s="237"/>
    </row>
    <row r="10037" spans="1:9" s="232" customFormat="1" ht="17" customHeight="1">
      <c r="A10037" s="234"/>
      <c r="B10037" s="233"/>
      <c r="C10037" s="238"/>
      <c r="E10037" s="545"/>
      <c r="F10037" s="546"/>
      <c r="G10037" s="234"/>
      <c r="H10037" s="238"/>
      <c r="I10037" s="237"/>
    </row>
    <row r="10038" spans="1:9" s="232" customFormat="1" ht="17" customHeight="1">
      <c r="A10038" s="234"/>
      <c r="B10038" s="233"/>
      <c r="C10038" s="238"/>
      <c r="E10038" s="545"/>
      <c r="F10038" s="546"/>
      <c r="G10038" s="234"/>
      <c r="H10038" s="238"/>
      <c r="I10038" s="237"/>
    </row>
    <row r="10039" spans="1:9" s="232" customFormat="1" ht="17" customHeight="1">
      <c r="A10039" s="234"/>
      <c r="B10039" s="233"/>
      <c r="C10039" s="238"/>
      <c r="E10039" s="545"/>
      <c r="F10039" s="546"/>
      <c r="G10039" s="234"/>
      <c r="H10039" s="238"/>
      <c r="I10039" s="237"/>
    </row>
    <row r="10040" spans="1:9" s="232" customFormat="1" ht="17" customHeight="1">
      <c r="A10040" s="234"/>
      <c r="B10040" s="233"/>
      <c r="C10040" s="238"/>
      <c r="E10040" s="545"/>
      <c r="F10040" s="546"/>
      <c r="G10040" s="234"/>
      <c r="H10040" s="238"/>
      <c r="I10040" s="237"/>
    </row>
    <row r="10041" spans="1:9" s="232" customFormat="1" ht="17" customHeight="1">
      <c r="A10041" s="234"/>
      <c r="B10041" s="233"/>
      <c r="C10041" s="238"/>
      <c r="E10041" s="545"/>
      <c r="F10041" s="546"/>
      <c r="G10041" s="234"/>
      <c r="H10041" s="238"/>
      <c r="I10041" s="237"/>
    </row>
    <row r="10042" spans="1:9" s="232" customFormat="1" ht="17" customHeight="1">
      <c r="A10042" s="234"/>
      <c r="B10042" s="233"/>
      <c r="C10042" s="238"/>
      <c r="E10042" s="545"/>
      <c r="F10042" s="546"/>
      <c r="G10042" s="234"/>
      <c r="H10042" s="238"/>
      <c r="I10042" s="237"/>
    </row>
    <row r="10043" spans="1:9" s="232" customFormat="1" ht="17" customHeight="1">
      <c r="A10043" s="234"/>
      <c r="B10043" s="233"/>
      <c r="C10043" s="238"/>
      <c r="E10043" s="545"/>
      <c r="F10043" s="546"/>
      <c r="G10043" s="234"/>
      <c r="H10043" s="238"/>
      <c r="I10043" s="237"/>
    </row>
    <row r="10044" spans="1:9" s="232" customFormat="1" ht="17" customHeight="1">
      <c r="A10044" s="234"/>
      <c r="B10044" s="233"/>
      <c r="C10044" s="238"/>
      <c r="E10044" s="545"/>
      <c r="F10044" s="546"/>
      <c r="G10044" s="234"/>
      <c r="H10044" s="238"/>
      <c r="I10044" s="237"/>
    </row>
    <row r="10045" spans="1:9" s="232" customFormat="1" ht="17" customHeight="1">
      <c r="A10045" s="234"/>
      <c r="B10045" s="233"/>
      <c r="C10045" s="238"/>
      <c r="E10045" s="545"/>
      <c r="F10045" s="546"/>
      <c r="G10045" s="234"/>
      <c r="H10045" s="238"/>
      <c r="I10045" s="237"/>
    </row>
    <row r="10046" spans="1:9" s="232" customFormat="1" ht="17" customHeight="1">
      <c r="A10046" s="234"/>
      <c r="B10046" s="233"/>
      <c r="C10046" s="238"/>
      <c r="E10046" s="545"/>
      <c r="F10046" s="546"/>
      <c r="G10046" s="234"/>
      <c r="H10046" s="238"/>
      <c r="I10046" s="237"/>
    </row>
    <row r="10047" spans="1:9" s="232" customFormat="1" ht="17" customHeight="1">
      <c r="A10047" s="234"/>
      <c r="B10047" s="233"/>
      <c r="C10047" s="238"/>
      <c r="E10047" s="545"/>
      <c r="F10047" s="546"/>
      <c r="G10047" s="234"/>
      <c r="H10047" s="238"/>
      <c r="I10047" s="237"/>
    </row>
    <row r="10048" spans="1:9" s="232" customFormat="1" ht="17" customHeight="1">
      <c r="A10048" s="234"/>
      <c r="B10048" s="233"/>
      <c r="C10048" s="238"/>
      <c r="E10048" s="545"/>
      <c r="F10048" s="546"/>
      <c r="G10048" s="234"/>
      <c r="H10048" s="238"/>
      <c r="I10048" s="237"/>
    </row>
    <row r="10049" spans="1:9" s="232" customFormat="1" ht="17" customHeight="1">
      <c r="A10049" s="234"/>
      <c r="B10049" s="233"/>
      <c r="C10049" s="238"/>
      <c r="E10049" s="545"/>
      <c r="F10049" s="546"/>
      <c r="G10049" s="234"/>
      <c r="H10049" s="238"/>
      <c r="I10049" s="237"/>
    </row>
    <row r="10050" spans="1:9" s="232" customFormat="1" ht="17" customHeight="1">
      <c r="A10050" s="234"/>
      <c r="B10050" s="233"/>
      <c r="C10050" s="238"/>
      <c r="E10050" s="545"/>
      <c r="F10050" s="546"/>
      <c r="G10050" s="234"/>
      <c r="H10050" s="238"/>
      <c r="I10050" s="237"/>
    </row>
    <row r="10051" spans="1:9" s="232" customFormat="1" ht="17" customHeight="1">
      <c r="A10051" s="234"/>
      <c r="B10051" s="233"/>
      <c r="C10051" s="238"/>
      <c r="E10051" s="545"/>
      <c r="F10051" s="546"/>
      <c r="G10051" s="234"/>
      <c r="H10051" s="238"/>
      <c r="I10051" s="237"/>
    </row>
    <row r="10052" spans="1:9" s="232" customFormat="1" ht="17" customHeight="1">
      <c r="A10052" s="234"/>
      <c r="B10052" s="233"/>
      <c r="C10052" s="238"/>
      <c r="E10052" s="545"/>
      <c r="F10052" s="546"/>
      <c r="G10052" s="234"/>
      <c r="H10052" s="238"/>
      <c r="I10052" s="237"/>
    </row>
    <row r="10053" spans="1:9" s="232" customFormat="1" ht="17" customHeight="1">
      <c r="A10053" s="234"/>
      <c r="B10053" s="233"/>
      <c r="C10053" s="238"/>
      <c r="E10053" s="545"/>
      <c r="F10053" s="546"/>
      <c r="G10053" s="234"/>
      <c r="H10053" s="238"/>
      <c r="I10053" s="237"/>
    </row>
    <row r="10054" spans="1:9" s="232" customFormat="1" ht="17" customHeight="1">
      <c r="A10054" s="234"/>
      <c r="B10054" s="233"/>
      <c r="C10054" s="238"/>
      <c r="E10054" s="545"/>
      <c r="F10054" s="546"/>
      <c r="G10054" s="234"/>
      <c r="H10054" s="238"/>
      <c r="I10054" s="237"/>
    </row>
    <row r="10055" spans="1:9" s="232" customFormat="1" ht="17" customHeight="1">
      <c r="A10055" s="234"/>
      <c r="B10055" s="233"/>
      <c r="C10055" s="238"/>
      <c r="E10055" s="545"/>
      <c r="F10055" s="546"/>
      <c r="G10055" s="234"/>
      <c r="H10055" s="238"/>
      <c r="I10055" s="237"/>
    </row>
    <row r="10056" spans="1:9" s="232" customFormat="1" ht="17" customHeight="1">
      <c r="A10056" s="234"/>
      <c r="B10056" s="233"/>
      <c r="C10056" s="238"/>
      <c r="E10056" s="545"/>
      <c r="F10056" s="546"/>
      <c r="G10056" s="234"/>
      <c r="H10056" s="238"/>
      <c r="I10056" s="237"/>
    </row>
    <row r="10057" spans="1:9" s="232" customFormat="1" ht="17" customHeight="1">
      <c r="A10057" s="234"/>
      <c r="B10057" s="233"/>
      <c r="C10057" s="238"/>
      <c r="E10057" s="545"/>
      <c r="F10057" s="546"/>
      <c r="G10057" s="234"/>
      <c r="H10057" s="238"/>
      <c r="I10057" s="237"/>
    </row>
    <row r="10058" spans="1:9" s="232" customFormat="1" ht="17" customHeight="1">
      <c r="A10058" s="234"/>
      <c r="B10058" s="233"/>
      <c r="C10058" s="238"/>
      <c r="E10058" s="545"/>
      <c r="F10058" s="546"/>
      <c r="G10058" s="234"/>
      <c r="H10058" s="238"/>
      <c r="I10058" s="237"/>
    </row>
    <row r="10059" spans="1:9" s="232" customFormat="1" ht="17" customHeight="1">
      <c r="A10059" s="234"/>
      <c r="B10059" s="233"/>
      <c r="C10059" s="238"/>
      <c r="E10059" s="545"/>
      <c r="F10059" s="546"/>
      <c r="G10059" s="234"/>
      <c r="H10059" s="238"/>
      <c r="I10059" s="237"/>
    </row>
    <row r="10060" spans="1:9" s="232" customFormat="1" ht="17" customHeight="1">
      <c r="A10060" s="234"/>
      <c r="B10060" s="233"/>
      <c r="C10060" s="238"/>
      <c r="E10060" s="545"/>
      <c r="F10060" s="546"/>
      <c r="G10060" s="234"/>
      <c r="H10060" s="238"/>
      <c r="I10060" s="237"/>
    </row>
    <row r="10061" spans="1:9" s="232" customFormat="1" ht="17" customHeight="1">
      <c r="A10061" s="234"/>
      <c r="B10061" s="233"/>
      <c r="C10061" s="238"/>
      <c r="E10061" s="545"/>
      <c r="F10061" s="546"/>
      <c r="G10061" s="234"/>
      <c r="H10061" s="238"/>
      <c r="I10061" s="237"/>
    </row>
    <row r="10062" spans="1:9" s="232" customFormat="1" ht="17" customHeight="1">
      <c r="A10062" s="234"/>
      <c r="B10062" s="233"/>
      <c r="C10062" s="238"/>
      <c r="E10062" s="545"/>
      <c r="F10062" s="546"/>
      <c r="G10062" s="234"/>
      <c r="H10062" s="238"/>
      <c r="I10062" s="237"/>
    </row>
    <row r="10063" spans="1:9" s="232" customFormat="1" ht="17" customHeight="1">
      <c r="A10063" s="234"/>
      <c r="B10063" s="233"/>
      <c r="C10063" s="238"/>
      <c r="E10063" s="545"/>
      <c r="F10063" s="546"/>
      <c r="G10063" s="234"/>
      <c r="H10063" s="238"/>
      <c r="I10063" s="237"/>
    </row>
    <row r="10064" spans="1:9" s="232" customFormat="1" ht="17" customHeight="1">
      <c r="A10064" s="234"/>
      <c r="B10064" s="233"/>
      <c r="C10064" s="238"/>
      <c r="E10064" s="545"/>
      <c r="F10064" s="546"/>
      <c r="G10064" s="234"/>
      <c r="H10064" s="238"/>
      <c r="I10064" s="237"/>
    </row>
    <row r="10065" spans="1:9" s="232" customFormat="1" ht="17" customHeight="1">
      <c r="A10065" s="234"/>
      <c r="B10065" s="233"/>
      <c r="C10065" s="238"/>
      <c r="E10065" s="545"/>
      <c r="F10065" s="546"/>
      <c r="G10065" s="234"/>
      <c r="H10065" s="238"/>
      <c r="I10065" s="237"/>
    </row>
    <row r="10066" spans="1:9" s="232" customFormat="1" ht="17" customHeight="1">
      <c r="A10066" s="234"/>
      <c r="B10066" s="233"/>
      <c r="C10066" s="238"/>
      <c r="E10066" s="545"/>
      <c r="F10066" s="546"/>
      <c r="G10066" s="234"/>
      <c r="H10066" s="238"/>
      <c r="I10066" s="237"/>
    </row>
    <row r="10067" spans="1:9" s="232" customFormat="1" ht="17" customHeight="1">
      <c r="A10067" s="234"/>
      <c r="B10067" s="233"/>
      <c r="C10067" s="238"/>
      <c r="E10067" s="545"/>
      <c r="F10067" s="546"/>
      <c r="G10067" s="234"/>
      <c r="H10067" s="238"/>
      <c r="I10067" s="237"/>
    </row>
    <row r="10068" spans="1:9" s="232" customFormat="1" ht="17" customHeight="1">
      <c r="A10068" s="234"/>
      <c r="B10068" s="233"/>
      <c r="C10068" s="238"/>
      <c r="E10068" s="545"/>
      <c r="F10068" s="546"/>
      <c r="G10068" s="234"/>
      <c r="H10068" s="238"/>
      <c r="I10068" s="237"/>
    </row>
    <row r="10069" spans="1:9" s="232" customFormat="1" ht="17" customHeight="1">
      <c r="A10069" s="234"/>
      <c r="B10069" s="233"/>
      <c r="C10069" s="238"/>
      <c r="E10069" s="545"/>
      <c r="F10069" s="546"/>
      <c r="G10069" s="234"/>
      <c r="H10069" s="238"/>
      <c r="I10069" s="237"/>
    </row>
    <row r="10070" spans="1:9" s="232" customFormat="1" ht="17" customHeight="1">
      <c r="A10070" s="234"/>
      <c r="B10070" s="233"/>
      <c r="C10070" s="238"/>
      <c r="E10070" s="545"/>
      <c r="F10070" s="546"/>
      <c r="G10070" s="234"/>
      <c r="H10070" s="238"/>
      <c r="I10070" s="237"/>
    </row>
    <row r="10071" spans="1:9" s="232" customFormat="1" ht="17" customHeight="1">
      <c r="A10071" s="234"/>
      <c r="B10071" s="233"/>
      <c r="C10071" s="238"/>
      <c r="E10071" s="545"/>
      <c r="F10071" s="546"/>
      <c r="G10071" s="234"/>
      <c r="H10071" s="238"/>
      <c r="I10071" s="237"/>
    </row>
    <row r="10072" spans="1:9" s="232" customFormat="1" ht="17" customHeight="1">
      <c r="A10072" s="234"/>
      <c r="B10072" s="233"/>
      <c r="C10072" s="238"/>
      <c r="E10072" s="545"/>
      <c r="F10072" s="546"/>
      <c r="G10072" s="234"/>
      <c r="H10072" s="238"/>
      <c r="I10072" s="237"/>
    </row>
    <row r="10073" spans="1:9" s="232" customFormat="1" ht="17" customHeight="1">
      <c r="A10073" s="234"/>
      <c r="B10073" s="233"/>
      <c r="C10073" s="238"/>
      <c r="E10073" s="545"/>
      <c r="F10073" s="546"/>
      <c r="G10073" s="234"/>
      <c r="H10073" s="238"/>
      <c r="I10073" s="237"/>
    </row>
    <row r="10074" spans="1:9" s="232" customFormat="1" ht="17" customHeight="1">
      <c r="A10074" s="234"/>
      <c r="B10074" s="233"/>
      <c r="C10074" s="238"/>
      <c r="E10074" s="545"/>
      <c r="F10074" s="546"/>
      <c r="G10074" s="234"/>
      <c r="H10074" s="238"/>
      <c r="I10074" s="237"/>
    </row>
    <row r="10075" spans="1:9" s="232" customFormat="1" ht="17" customHeight="1">
      <c r="A10075" s="234"/>
      <c r="B10075" s="233"/>
      <c r="C10075" s="238"/>
      <c r="E10075" s="545"/>
      <c r="F10075" s="546"/>
      <c r="G10075" s="234"/>
      <c r="H10075" s="238"/>
      <c r="I10075" s="237"/>
    </row>
    <row r="10076" spans="1:9" s="232" customFormat="1" ht="17" customHeight="1">
      <c r="A10076" s="234"/>
      <c r="B10076" s="233"/>
      <c r="C10076" s="238"/>
      <c r="E10076" s="545"/>
      <c r="F10076" s="546"/>
      <c r="G10076" s="234"/>
      <c r="H10076" s="238"/>
      <c r="I10076" s="237"/>
    </row>
    <row r="10077" spans="1:9" s="232" customFormat="1" ht="17" customHeight="1">
      <c r="A10077" s="234"/>
      <c r="B10077" s="233"/>
      <c r="C10077" s="238"/>
      <c r="E10077" s="545"/>
      <c r="F10077" s="546"/>
      <c r="G10077" s="234"/>
      <c r="H10077" s="238"/>
      <c r="I10077" s="237"/>
    </row>
    <row r="10078" spans="1:9" s="232" customFormat="1" ht="17" customHeight="1">
      <c r="A10078" s="234"/>
      <c r="B10078" s="233"/>
      <c r="C10078" s="238"/>
      <c r="E10078" s="545"/>
      <c r="F10078" s="546"/>
      <c r="G10078" s="234"/>
      <c r="H10078" s="238"/>
      <c r="I10078" s="237"/>
    </row>
    <row r="10079" spans="1:9" s="232" customFormat="1" ht="17" customHeight="1">
      <c r="A10079" s="234"/>
      <c r="B10079" s="233"/>
      <c r="C10079" s="238"/>
      <c r="E10079" s="545"/>
      <c r="F10079" s="546"/>
      <c r="G10079" s="234"/>
      <c r="H10079" s="238"/>
      <c r="I10079" s="237"/>
    </row>
    <row r="10080" spans="1:9" s="232" customFormat="1" ht="17" customHeight="1">
      <c r="A10080" s="234"/>
      <c r="B10080" s="233"/>
      <c r="C10080" s="238"/>
      <c r="E10080" s="545"/>
      <c r="F10080" s="546"/>
      <c r="G10080" s="234"/>
      <c r="H10080" s="238"/>
      <c r="I10080" s="237"/>
    </row>
    <row r="10081" spans="1:9" s="232" customFormat="1" ht="17" customHeight="1">
      <c r="A10081" s="234"/>
      <c r="B10081" s="233"/>
      <c r="C10081" s="238"/>
      <c r="E10081" s="545"/>
      <c r="F10081" s="546"/>
      <c r="G10081" s="234"/>
      <c r="H10081" s="238"/>
      <c r="I10081" s="237"/>
    </row>
    <row r="10082" spans="1:9" s="232" customFormat="1" ht="17" customHeight="1">
      <c r="A10082" s="234"/>
      <c r="B10082" s="233"/>
      <c r="C10082" s="238"/>
      <c r="E10082" s="545"/>
      <c r="F10082" s="546"/>
      <c r="G10082" s="234"/>
      <c r="H10082" s="238"/>
      <c r="I10082" s="237"/>
    </row>
    <row r="10083" spans="1:9" s="232" customFormat="1" ht="17" customHeight="1">
      <c r="A10083" s="234"/>
      <c r="B10083" s="233"/>
      <c r="C10083" s="238"/>
      <c r="E10083" s="545"/>
      <c r="F10083" s="546"/>
      <c r="G10083" s="234"/>
      <c r="H10083" s="238"/>
      <c r="I10083" s="237"/>
    </row>
    <row r="10084" spans="1:9" s="232" customFormat="1" ht="17" customHeight="1">
      <c r="A10084" s="234"/>
      <c r="B10084" s="233"/>
      <c r="C10084" s="238"/>
      <c r="E10084" s="545"/>
      <c r="F10084" s="546"/>
      <c r="G10084" s="234"/>
      <c r="H10084" s="238"/>
      <c r="I10084" s="237"/>
    </row>
    <row r="10085" spans="1:9" s="232" customFormat="1" ht="17" customHeight="1">
      <c r="A10085" s="234"/>
      <c r="B10085" s="233"/>
      <c r="C10085" s="238"/>
      <c r="E10085" s="545"/>
      <c r="F10085" s="546"/>
      <c r="G10085" s="234"/>
      <c r="H10085" s="238"/>
      <c r="I10085" s="237"/>
    </row>
    <row r="10086" spans="1:9" s="232" customFormat="1" ht="17" customHeight="1">
      <c r="A10086" s="234"/>
      <c r="B10086" s="233"/>
      <c r="C10086" s="238"/>
      <c r="E10086" s="545"/>
      <c r="F10086" s="546"/>
      <c r="G10086" s="234"/>
      <c r="H10086" s="238"/>
      <c r="I10086" s="237"/>
    </row>
    <row r="10087" spans="1:9" s="232" customFormat="1" ht="17" customHeight="1">
      <c r="A10087" s="234"/>
      <c r="B10087" s="233"/>
      <c r="C10087" s="238"/>
      <c r="E10087" s="545"/>
      <c r="F10087" s="546"/>
      <c r="G10087" s="234"/>
      <c r="H10087" s="238"/>
      <c r="I10087" s="237"/>
    </row>
    <row r="10088" spans="1:9" s="232" customFormat="1" ht="17" customHeight="1">
      <c r="A10088" s="234"/>
      <c r="B10088" s="233"/>
      <c r="C10088" s="238"/>
      <c r="E10088" s="545"/>
      <c r="F10088" s="546"/>
      <c r="G10088" s="234"/>
      <c r="H10088" s="238"/>
      <c r="I10088" s="237"/>
    </row>
    <row r="10089" spans="1:9" s="232" customFormat="1" ht="17" customHeight="1">
      <c r="A10089" s="234"/>
      <c r="B10089" s="233"/>
      <c r="C10089" s="238"/>
      <c r="E10089" s="545"/>
      <c r="F10089" s="546"/>
      <c r="G10089" s="234"/>
      <c r="H10089" s="238"/>
      <c r="I10089" s="237"/>
    </row>
    <row r="10090" spans="1:9" s="232" customFormat="1" ht="17" customHeight="1">
      <c r="A10090" s="234"/>
      <c r="B10090" s="233"/>
      <c r="C10090" s="238"/>
      <c r="E10090" s="545"/>
      <c r="F10090" s="546"/>
      <c r="G10090" s="234"/>
      <c r="H10090" s="238"/>
      <c r="I10090" s="237"/>
    </row>
    <row r="10091" spans="1:9" s="232" customFormat="1" ht="17" customHeight="1">
      <c r="A10091" s="234"/>
      <c r="B10091" s="233"/>
      <c r="C10091" s="238"/>
      <c r="E10091" s="545"/>
      <c r="F10091" s="546"/>
      <c r="G10091" s="234"/>
      <c r="H10091" s="238"/>
      <c r="I10091" s="237"/>
    </row>
    <row r="10092" spans="1:9" s="232" customFormat="1" ht="17" customHeight="1">
      <c r="A10092" s="234"/>
      <c r="B10092" s="233"/>
      <c r="C10092" s="238"/>
      <c r="E10092" s="545"/>
      <c r="F10092" s="546"/>
      <c r="G10092" s="234"/>
      <c r="H10092" s="238"/>
      <c r="I10092" s="237"/>
    </row>
    <row r="10093" spans="1:9" s="232" customFormat="1" ht="17" customHeight="1">
      <c r="A10093" s="234"/>
      <c r="B10093" s="233"/>
      <c r="C10093" s="238"/>
      <c r="E10093" s="545"/>
      <c r="F10093" s="546"/>
      <c r="G10093" s="234"/>
      <c r="H10093" s="238"/>
      <c r="I10093" s="237"/>
    </row>
    <row r="10094" spans="1:9" s="232" customFormat="1" ht="17" customHeight="1">
      <c r="A10094" s="234"/>
      <c r="B10094" s="233"/>
      <c r="C10094" s="238"/>
      <c r="E10094" s="545"/>
      <c r="F10094" s="546"/>
      <c r="G10094" s="234"/>
      <c r="H10094" s="238"/>
      <c r="I10094" s="237"/>
    </row>
    <row r="10095" spans="1:9" s="232" customFormat="1" ht="17" customHeight="1">
      <c r="A10095" s="234"/>
      <c r="B10095" s="233"/>
      <c r="C10095" s="238"/>
      <c r="E10095" s="545"/>
      <c r="F10095" s="546"/>
      <c r="G10095" s="234"/>
      <c r="H10095" s="238"/>
      <c r="I10095" s="237"/>
    </row>
    <row r="10096" spans="1:9" s="232" customFormat="1" ht="17" customHeight="1">
      <c r="A10096" s="234"/>
      <c r="B10096" s="233"/>
      <c r="C10096" s="238"/>
      <c r="E10096" s="545"/>
      <c r="F10096" s="546"/>
      <c r="G10096" s="234"/>
      <c r="H10096" s="238"/>
      <c r="I10096" s="237"/>
    </row>
    <row r="10097" spans="1:9" s="232" customFormat="1" ht="17" customHeight="1">
      <c r="A10097" s="234"/>
      <c r="B10097" s="233"/>
      <c r="C10097" s="238"/>
      <c r="E10097" s="545"/>
      <c r="F10097" s="546"/>
      <c r="G10097" s="234"/>
      <c r="H10097" s="238"/>
      <c r="I10097" s="237"/>
    </row>
    <row r="10098" spans="1:9" s="232" customFormat="1" ht="17" customHeight="1">
      <c r="A10098" s="234"/>
      <c r="B10098" s="233"/>
      <c r="C10098" s="238"/>
      <c r="E10098" s="545"/>
      <c r="F10098" s="546"/>
      <c r="G10098" s="234"/>
      <c r="H10098" s="238"/>
      <c r="I10098" s="237"/>
    </row>
    <row r="10099" spans="1:9" s="232" customFormat="1" ht="17" customHeight="1">
      <c r="A10099" s="234"/>
      <c r="B10099" s="233"/>
      <c r="C10099" s="238"/>
      <c r="E10099" s="545"/>
      <c r="F10099" s="546"/>
      <c r="G10099" s="234"/>
      <c r="H10099" s="238"/>
      <c r="I10099" s="237"/>
    </row>
    <row r="10100" spans="1:9" s="232" customFormat="1" ht="17" customHeight="1">
      <c r="A10100" s="234"/>
      <c r="B10100" s="233"/>
      <c r="C10100" s="238"/>
      <c r="E10100" s="545"/>
      <c r="F10100" s="546"/>
      <c r="G10100" s="234"/>
      <c r="H10100" s="238"/>
      <c r="I10100" s="237"/>
    </row>
    <row r="10101" spans="1:9" s="232" customFormat="1" ht="17" customHeight="1">
      <c r="A10101" s="234"/>
      <c r="B10101" s="233"/>
      <c r="C10101" s="238"/>
      <c r="E10101" s="545"/>
      <c r="F10101" s="546"/>
      <c r="G10101" s="234"/>
      <c r="H10101" s="238"/>
      <c r="I10101" s="237"/>
    </row>
    <row r="10102" spans="1:9" s="232" customFormat="1" ht="17" customHeight="1">
      <c r="A10102" s="234"/>
      <c r="B10102" s="233"/>
      <c r="C10102" s="238"/>
      <c r="E10102" s="545"/>
      <c r="F10102" s="546"/>
      <c r="G10102" s="234"/>
      <c r="H10102" s="238"/>
      <c r="I10102" s="237"/>
    </row>
    <row r="10103" spans="1:9" s="232" customFormat="1" ht="17" customHeight="1">
      <c r="A10103" s="234"/>
      <c r="B10103" s="233"/>
      <c r="C10103" s="238"/>
      <c r="E10103" s="545"/>
      <c r="F10103" s="546"/>
      <c r="G10103" s="234"/>
      <c r="H10103" s="238"/>
      <c r="I10103" s="237"/>
    </row>
    <row r="10104" spans="1:9" s="232" customFormat="1" ht="17" customHeight="1">
      <c r="A10104" s="234"/>
      <c r="B10104" s="233"/>
      <c r="C10104" s="238"/>
      <c r="E10104" s="545"/>
      <c r="F10104" s="546"/>
      <c r="G10104" s="234"/>
      <c r="H10104" s="238"/>
      <c r="I10104" s="237"/>
    </row>
    <row r="10105" spans="1:9" s="232" customFormat="1" ht="17" customHeight="1">
      <c r="A10105" s="234"/>
      <c r="B10105" s="233"/>
      <c r="C10105" s="238"/>
      <c r="E10105" s="545"/>
      <c r="F10105" s="546"/>
      <c r="G10105" s="234"/>
      <c r="H10105" s="238"/>
      <c r="I10105" s="237"/>
    </row>
    <row r="10106" spans="1:9" s="232" customFormat="1" ht="17" customHeight="1">
      <c r="A10106" s="234"/>
      <c r="B10106" s="233"/>
      <c r="C10106" s="238"/>
      <c r="E10106" s="545"/>
      <c r="F10106" s="546"/>
      <c r="G10106" s="234"/>
      <c r="H10106" s="238"/>
      <c r="I10106" s="237"/>
    </row>
    <row r="10107" spans="1:9" s="232" customFormat="1" ht="17" customHeight="1">
      <c r="A10107" s="234"/>
      <c r="B10107" s="233"/>
      <c r="C10107" s="238"/>
      <c r="E10107" s="545"/>
      <c r="F10107" s="546"/>
      <c r="G10107" s="234"/>
      <c r="H10107" s="238"/>
      <c r="I10107" s="237"/>
    </row>
    <row r="10108" spans="1:9" s="232" customFormat="1" ht="17" customHeight="1">
      <c r="A10108" s="234"/>
      <c r="B10108" s="233"/>
      <c r="C10108" s="238"/>
      <c r="E10108" s="545"/>
      <c r="F10108" s="546"/>
      <c r="G10108" s="234"/>
      <c r="H10108" s="238"/>
      <c r="I10108" s="237"/>
    </row>
    <row r="10109" spans="1:9" s="232" customFormat="1" ht="17" customHeight="1">
      <c r="A10109" s="234"/>
      <c r="B10109" s="233"/>
      <c r="C10109" s="238"/>
      <c r="E10109" s="545"/>
      <c r="F10109" s="546"/>
      <c r="G10109" s="234"/>
      <c r="H10109" s="238"/>
      <c r="I10109" s="237"/>
    </row>
    <row r="10110" spans="1:9" s="232" customFormat="1" ht="17" customHeight="1">
      <c r="A10110" s="234"/>
      <c r="B10110" s="233"/>
      <c r="C10110" s="238"/>
      <c r="E10110" s="545"/>
      <c r="F10110" s="546"/>
      <c r="G10110" s="234"/>
      <c r="H10110" s="238"/>
      <c r="I10110" s="237"/>
    </row>
    <row r="10111" spans="1:9" s="232" customFormat="1" ht="17" customHeight="1">
      <c r="A10111" s="234"/>
      <c r="B10111" s="233"/>
      <c r="C10111" s="238"/>
      <c r="E10111" s="545"/>
      <c r="F10111" s="546"/>
      <c r="G10111" s="234"/>
      <c r="H10111" s="238"/>
      <c r="I10111" s="237"/>
    </row>
    <row r="10112" spans="1:9" s="232" customFormat="1" ht="17" customHeight="1">
      <c r="A10112" s="234"/>
      <c r="B10112" s="233"/>
      <c r="C10112" s="238"/>
      <c r="E10112" s="545"/>
      <c r="F10112" s="546"/>
      <c r="G10112" s="234"/>
      <c r="H10112" s="238"/>
      <c r="I10112" s="237"/>
    </row>
    <row r="10113" spans="1:9" s="232" customFormat="1" ht="17" customHeight="1">
      <c r="A10113" s="234"/>
      <c r="B10113" s="233"/>
      <c r="C10113" s="238"/>
      <c r="E10113" s="545"/>
      <c r="F10113" s="546"/>
      <c r="G10113" s="234"/>
      <c r="H10113" s="238"/>
      <c r="I10113" s="237"/>
    </row>
    <row r="10114" spans="1:9" s="232" customFormat="1" ht="17" customHeight="1">
      <c r="A10114" s="234"/>
      <c r="B10114" s="233"/>
      <c r="C10114" s="238"/>
      <c r="E10114" s="545"/>
      <c r="F10114" s="546"/>
      <c r="G10114" s="234"/>
      <c r="H10114" s="238"/>
      <c r="I10114" s="237"/>
    </row>
    <row r="10115" spans="1:9" s="232" customFormat="1" ht="17" customHeight="1">
      <c r="A10115" s="234"/>
      <c r="B10115" s="233"/>
      <c r="C10115" s="238"/>
      <c r="E10115" s="545"/>
      <c r="F10115" s="546"/>
      <c r="G10115" s="234"/>
      <c r="H10115" s="238"/>
      <c r="I10115" s="237"/>
    </row>
    <row r="10116" spans="1:9" s="232" customFormat="1" ht="17" customHeight="1">
      <c r="A10116" s="234"/>
      <c r="B10116" s="233"/>
      <c r="C10116" s="238"/>
      <c r="E10116" s="545"/>
      <c r="F10116" s="546"/>
      <c r="G10116" s="234"/>
      <c r="H10116" s="238"/>
      <c r="I10116" s="237"/>
    </row>
    <row r="10117" spans="1:9" s="232" customFormat="1" ht="17" customHeight="1">
      <c r="A10117" s="234"/>
      <c r="B10117" s="233"/>
      <c r="C10117" s="238"/>
      <c r="E10117" s="545"/>
      <c r="F10117" s="546"/>
      <c r="G10117" s="234"/>
      <c r="H10117" s="238"/>
      <c r="I10117" s="237"/>
    </row>
    <row r="10118" spans="1:9" s="232" customFormat="1" ht="17" customHeight="1">
      <c r="A10118" s="234"/>
      <c r="B10118" s="233"/>
      <c r="C10118" s="238"/>
      <c r="E10118" s="545"/>
      <c r="F10118" s="546"/>
      <c r="G10118" s="234"/>
      <c r="H10118" s="238"/>
      <c r="I10118" s="237"/>
    </row>
    <row r="10119" spans="1:9" s="232" customFormat="1" ht="17" customHeight="1">
      <c r="A10119" s="234"/>
      <c r="B10119" s="233"/>
      <c r="C10119" s="238"/>
      <c r="E10119" s="545"/>
      <c r="F10119" s="546"/>
      <c r="G10119" s="234"/>
      <c r="H10119" s="238"/>
      <c r="I10119" s="237"/>
    </row>
    <row r="10120" spans="1:9" s="232" customFormat="1" ht="17" customHeight="1">
      <c r="A10120" s="234"/>
      <c r="B10120" s="233"/>
      <c r="C10120" s="238"/>
      <c r="E10120" s="545"/>
      <c r="F10120" s="546"/>
      <c r="G10120" s="234"/>
      <c r="H10120" s="238"/>
      <c r="I10120" s="237"/>
    </row>
    <row r="10121" spans="1:9" s="232" customFormat="1" ht="17" customHeight="1">
      <c r="A10121" s="234"/>
      <c r="B10121" s="233"/>
      <c r="C10121" s="238"/>
      <c r="E10121" s="545"/>
      <c r="F10121" s="546"/>
      <c r="G10121" s="234"/>
      <c r="H10121" s="238"/>
      <c r="I10121" s="237"/>
    </row>
    <row r="10122" spans="1:9" s="232" customFormat="1" ht="17" customHeight="1">
      <c r="A10122" s="234"/>
      <c r="B10122" s="233"/>
      <c r="C10122" s="238"/>
      <c r="E10122" s="545"/>
      <c r="F10122" s="546"/>
      <c r="G10122" s="234"/>
      <c r="H10122" s="238"/>
      <c r="I10122" s="237"/>
    </row>
    <row r="10123" spans="1:9" s="232" customFormat="1" ht="17" customHeight="1">
      <c r="A10123" s="234"/>
      <c r="B10123" s="233"/>
      <c r="C10123" s="238"/>
      <c r="E10123" s="545"/>
      <c r="F10123" s="546"/>
      <c r="G10123" s="234"/>
      <c r="H10123" s="238"/>
      <c r="I10123" s="237"/>
    </row>
    <row r="10124" spans="1:9" s="232" customFormat="1" ht="17" customHeight="1">
      <c r="A10124" s="234"/>
      <c r="B10124" s="233"/>
      <c r="C10124" s="238"/>
      <c r="E10124" s="545"/>
      <c r="F10124" s="546"/>
      <c r="G10124" s="234"/>
      <c r="H10124" s="238"/>
      <c r="I10124" s="237"/>
    </row>
    <row r="10125" spans="1:9" s="232" customFormat="1" ht="17" customHeight="1">
      <c r="A10125" s="234"/>
      <c r="B10125" s="233"/>
      <c r="C10125" s="238"/>
      <c r="E10125" s="545"/>
      <c r="F10125" s="546"/>
      <c r="G10125" s="234"/>
      <c r="H10125" s="238"/>
      <c r="I10125" s="237"/>
    </row>
    <row r="10126" spans="1:9" s="232" customFormat="1" ht="17" customHeight="1">
      <c r="A10126" s="234"/>
      <c r="B10126" s="233"/>
      <c r="C10126" s="238"/>
      <c r="E10126" s="545"/>
      <c r="F10126" s="546"/>
      <c r="G10126" s="234"/>
      <c r="H10126" s="238"/>
      <c r="I10126" s="237"/>
    </row>
    <row r="10127" spans="1:9" s="232" customFormat="1" ht="17" customHeight="1">
      <c r="A10127" s="234"/>
      <c r="B10127" s="233"/>
      <c r="C10127" s="238"/>
      <c r="E10127" s="545"/>
      <c r="F10127" s="546"/>
      <c r="G10127" s="234"/>
      <c r="H10127" s="238"/>
      <c r="I10127" s="237"/>
    </row>
    <row r="10128" spans="1:9" s="232" customFormat="1" ht="17" customHeight="1">
      <c r="A10128" s="234"/>
      <c r="B10128" s="233"/>
      <c r="C10128" s="238"/>
      <c r="E10128" s="545"/>
      <c r="F10128" s="546"/>
      <c r="G10128" s="234"/>
      <c r="H10128" s="238"/>
      <c r="I10128" s="237"/>
    </row>
    <row r="10129" spans="1:9" s="232" customFormat="1" ht="17" customHeight="1">
      <c r="A10129" s="234"/>
      <c r="B10129" s="233"/>
      <c r="C10129" s="238"/>
      <c r="E10129" s="545"/>
      <c r="F10129" s="546"/>
      <c r="G10129" s="234"/>
      <c r="H10129" s="238"/>
      <c r="I10129" s="237"/>
    </row>
    <row r="10130" spans="1:9" s="232" customFormat="1" ht="17" customHeight="1">
      <c r="A10130" s="234"/>
      <c r="B10130" s="233"/>
      <c r="C10130" s="238"/>
      <c r="E10130" s="545"/>
      <c r="F10130" s="546"/>
      <c r="G10130" s="234"/>
      <c r="H10130" s="238"/>
      <c r="I10130" s="237"/>
    </row>
    <row r="10131" spans="1:9" s="232" customFormat="1" ht="17" customHeight="1">
      <c r="A10131" s="234"/>
      <c r="B10131" s="233"/>
      <c r="C10131" s="238"/>
      <c r="E10131" s="545"/>
      <c r="F10131" s="546"/>
      <c r="G10131" s="234"/>
      <c r="H10131" s="238"/>
      <c r="I10131" s="237"/>
    </row>
    <row r="10132" spans="1:9" s="232" customFormat="1" ht="17" customHeight="1">
      <c r="A10132" s="234"/>
      <c r="B10132" s="233"/>
      <c r="C10132" s="238"/>
      <c r="E10132" s="545"/>
      <c r="F10132" s="546"/>
      <c r="G10132" s="234"/>
      <c r="H10132" s="238"/>
      <c r="I10132" s="237"/>
    </row>
    <row r="10133" spans="1:9" s="232" customFormat="1" ht="17" customHeight="1">
      <c r="A10133" s="234"/>
      <c r="B10133" s="233"/>
      <c r="C10133" s="238"/>
      <c r="E10133" s="545"/>
      <c r="F10133" s="546"/>
      <c r="G10133" s="234"/>
      <c r="H10133" s="238"/>
      <c r="I10133" s="237"/>
    </row>
    <row r="10134" spans="1:9" s="232" customFormat="1" ht="17" customHeight="1">
      <c r="A10134" s="234"/>
      <c r="B10134" s="233"/>
      <c r="C10134" s="238"/>
      <c r="E10134" s="545"/>
      <c r="F10134" s="546"/>
      <c r="G10134" s="234"/>
      <c r="H10134" s="238"/>
      <c r="I10134" s="237"/>
    </row>
    <row r="10135" spans="1:9" s="232" customFormat="1" ht="17" customHeight="1">
      <c r="A10135" s="234"/>
      <c r="B10135" s="233"/>
      <c r="C10135" s="238"/>
      <c r="E10135" s="545"/>
      <c r="F10135" s="546"/>
      <c r="G10135" s="234"/>
      <c r="H10135" s="238"/>
      <c r="I10135" s="237"/>
    </row>
    <row r="10136" spans="1:9" s="232" customFormat="1" ht="17" customHeight="1">
      <c r="A10136" s="234"/>
      <c r="B10136" s="233"/>
      <c r="C10136" s="238"/>
      <c r="E10136" s="545"/>
      <c r="F10136" s="546"/>
      <c r="G10136" s="234"/>
      <c r="H10136" s="238"/>
      <c r="I10136" s="237"/>
    </row>
    <row r="10137" spans="1:9" s="232" customFormat="1" ht="17" customHeight="1">
      <c r="A10137" s="234"/>
      <c r="B10137" s="233"/>
      <c r="C10137" s="238"/>
      <c r="E10137" s="545"/>
      <c r="F10137" s="546"/>
      <c r="G10137" s="234"/>
      <c r="H10137" s="238"/>
      <c r="I10137" s="237"/>
    </row>
    <row r="10138" spans="1:9" s="232" customFormat="1" ht="17" customHeight="1">
      <c r="A10138" s="234"/>
      <c r="B10138" s="233"/>
      <c r="C10138" s="238"/>
      <c r="E10138" s="545"/>
      <c r="F10138" s="546"/>
      <c r="G10138" s="234"/>
      <c r="H10138" s="238"/>
      <c r="I10138" s="237"/>
    </row>
    <row r="10139" spans="1:9" s="232" customFormat="1" ht="17" customHeight="1">
      <c r="A10139" s="234"/>
      <c r="B10139" s="233"/>
      <c r="C10139" s="238"/>
      <c r="E10139" s="545"/>
      <c r="F10139" s="546"/>
      <c r="G10139" s="234"/>
      <c r="H10139" s="238"/>
      <c r="I10139" s="237"/>
    </row>
    <row r="10140" spans="1:9" s="232" customFormat="1" ht="17" customHeight="1">
      <c r="A10140" s="234"/>
      <c r="B10140" s="233"/>
      <c r="C10140" s="238"/>
      <c r="E10140" s="545"/>
      <c r="F10140" s="546"/>
      <c r="G10140" s="234"/>
      <c r="H10140" s="238"/>
      <c r="I10140" s="237"/>
    </row>
    <row r="10141" spans="1:9" s="232" customFormat="1" ht="17" customHeight="1">
      <c r="A10141" s="234"/>
      <c r="B10141" s="233"/>
      <c r="C10141" s="238"/>
      <c r="E10141" s="545"/>
      <c r="F10141" s="546"/>
      <c r="G10141" s="234"/>
      <c r="H10141" s="238"/>
      <c r="I10141" s="237"/>
    </row>
    <row r="10142" spans="1:9" s="232" customFormat="1" ht="17" customHeight="1">
      <c r="A10142" s="234"/>
      <c r="B10142" s="233"/>
      <c r="C10142" s="238"/>
      <c r="E10142" s="545"/>
      <c r="F10142" s="546"/>
      <c r="G10142" s="234"/>
      <c r="H10142" s="238"/>
      <c r="I10142" s="237"/>
    </row>
    <row r="10143" spans="1:9" s="232" customFormat="1" ht="17" customHeight="1">
      <c r="A10143" s="234"/>
      <c r="B10143" s="233"/>
      <c r="C10143" s="238"/>
      <c r="E10143" s="545"/>
      <c r="F10143" s="546"/>
      <c r="G10143" s="234"/>
      <c r="H10143" s="238"/>
      <c r="I10143" s="237"/>
    </row>
    <row r="10144" spans="1:9" s="232" customFormat="1" ht="17" customHeight="1">
      <c r="A10144" s="234"/>
      <c r="B10144" s="233"/>
      <c r="C10144" s="238"/>
      <c r="E10144" s="545"/>
      <c r="F10144" s="546"/>
      <c r="G10144" s="234"/>
      <c r="H10144" s="238"/>
      <c r="I10144" s="237"/>
    </row>
    <row r="10145" spans="1:9" s="232" customFormat="1" ht="17" customHeight="1">
      <c r="A10145" s="234"/>
      <c r="B10145" s="233"/>
      <c r="C10145" s="238"/>
      <c r="E10145" s="545"/>
      <c r="F10145" s="546"/>
      <c r="G10145" s="234"/>
      <c r="H10145" s="238"/>
      <c r="I10145" s="237"/>
    </row>
    <row r="10146" spans="1:9" s="232" customFormat="1" ht="17" customHeight="1">
      <c r="A10146" s="234"/>
      <c r="B10146" s="233"/>
      <c r="C10146" s="238"/>
      <c r="E10146" s="545"/>
      <c r="F10146" s="546"/>
      <c r="G10146" s="234"/>
      <c r="H10146" s="238"/>
      <c r="I10146" s="237"/>
    </row>
    <row r="10147" spans="1:9" s="232" customFormat="1" ht="17" customHeight="1">
      <c r="A10147" s="234"/>
      <c r="B10147" s="233"/>
      <c r="C10147" s="238"/>
      <c r="E10147" s="545"/>
      <c r="F10147" s="546"/>
      <c r="G10147" s="234"/>
      <c r="H10147" s="238"/>
      <c r="I10147" s="237"/>
    </row>
    <row r="10148" spans="1:9" s="232" customFormat="1" ht="17" customHeight="1">
      <c r="A10148" s="234"/>
      <c r="B10148" s="233"/>
      <c r="C10148" s="238"/>
      <c r="E10148" s="545"/>
      <c r="F10148" s="546"/>
      <c r="G10148" s="234"/>
      <c r="H10148" s="238"/>
      <c r="I10148" s="237"/>
    </row>
    <row r="10149" spans="1:9" s="232" customFormat="1" ht="17" customHeight="1">
      <c r="A10149" s="234"/>
      <c r="B10149" s="233"/>
      <c r="C10149" s="238"/>
      <c r="E10149" s="545"/>
      <c r="F10149" s="546"/>
      <c r="G10149" s="234"/>
      <c r="H10149" s="238"/>
      <c r="I10149" s="237"/>
    </row>
    <row r="10150" spans="1:9" s="232" customFormat="1" ht="17" customHeight="1">
      <c r="A10150" s="234"/>
      <c r="B10150" s="233"/>
      <c r="C10150" s="238"/>
      <c r="E10150" s="545"/>
      <c r="F10150" s="546"/>
      <c r="G10150" s="234"/>
      <c r="H10150" s="238"/>
      <c r="I10150" s="237"/>
    </row>
    <row r="10151" spans="1:9" s="232" customFormat="1" ht="17" customHeight="1">
      <c r="A10151" s="234"/>
      <c r="B10151" s="233"/>
      <c r="C10151" s="238"/>
      <c r="E10151" s="545"/>
      <c r="F10151" s="546"/>
      <c r="G10151" s="234"/>
      <c r="H10151" s="238"/>
      <c r="I10151" s="237"/>
    </row>
    <row r="10152" spans="1:9" s="232" customFormat="1" ht="17" customHeight="1">
      <c r="A10152" s="234"/>
      <c r="B10152" s="233"/>
      <c r="C10152" s="238"/>
      <c r="E10152" s="545"/>
      <c r="F10152" s="546"/>
      <c r="G10152" s="234"/>
      <c r="H10152" s="238"/>
      <c r="I10152" s="237"/>
    </row>
    <row r="10153" spans="1:9" s="232" customFormat="1" ht="17" customHeight="1">
      <c r="A10153" s="234"/>
      <c r="B10153" s="233"/>
      <c r="C10153" s="238"/>
      <c r="E10153" s="545"/>
      <c r="F10153" s="546"/>
      <c r="G10153" s="234"/>
      <c r="H10153" s="238"/>
      <c r="I10153" s="237"/>
    </row>
    <row r="10154" spans="1:9" s="232" customFormat="1" ht="17" customHeight="1">
      <c r="A10154" s="234"/>
      <c r="B10154" s="233"/>
      <c r="C10154" s="238"/>
      <c r="E10154" s="545"/>
      <c r="F10154" s="546"/>
      <c r="G10154" s="234"/>
      <c r="H10154" s="238"/>
      <c r="I10154" s="237"/>
    </row>
    <row r="10155" spans="1:9" s="232" customFormat="1" ht="17" customHeight="1">
      <c r="A10155" s="234"/>
      <c r="B10155" s="233"/>
      <c r="C10155" s="238"/>
      <c r="E10155" s="545"/>
      <c r="F10155" s="546"/>
      <c r="G10155" s="234"/>
      <c r="H10155" s="238"/>
      <c r="I10155" s="237"/>
    </row>
    <row r="10156" spans="1:9" s="232" customFormat="1" ht="17" customHeight="1">
      <c r="A10156" s="234"/>
      <c r="B10156" s="233"/>
      <c r="C10156" s="238"/>
      <c r="E10156" s="545"/>
      <c r="F10156" s="546"/>
      <c r="G10156" s="234"/>
      <c r="H10156" s="238"/>
      <c r="I10156" s="237"/>
    </row>
    <row r="10157" spans="1:9" s="232" customFormat="1" ht="17" customHeight="1">
      <c r="A10157" s="234"/>
      <c r="B10157" s="233"/>
      <c r="C10157" s="238"/>
      <c r="E10157" s="545"/>
      <c r="F10157" s="546"/>
      <c r="G10157" s="234"/>
      <c r="H10157" s="238"/>
      <c r="I10157" s="237"/>
    </row>
    <row r="10158" spans="1:9" s="232" customFormat="1" ht="17" customHeight="1">
      <c r="A10158" s="234"/>
      <c r="B10158" s="233"/>
      <c r="C10158" s="238"/>
      <c r="E10158" s="545"/>
      <c r="F10158" s="546"/>
      <c r="G10158" s="234"/>
      <c r="H10158" s="238"/>
      <c r="I10158" s="237"/>
    </row>
    <row r="10159" spans="1:9" s="232" customFormat="1" ht="17" customHeight="1">
      <c r="A10159" s="234"/>
      <c r="B10159" s="233"/>
      <c r="C10159" s="238"/>
      <c r="E10159" s="545"/>
      <c r="F10159" s="546"/>
      <c r="G10159" s="234"/>
      <c r="H10159" s="238"/>
      <c r="I10159" s="237"/>
    </row>
    <row r="10160" spans="1:9" s="232" customFormat="1" ht="17" customHeight="1">
      <c r="A10160" s="234"/>
      <c r="B10160" s="233"/>
      <c r="C10160" s="238"/>
      <c r="E10160" s="545"/>
      <c r="F10160" s="546"/>
      <c r="G10160" s="234"/>
      <c r="H10160" s="238"/>
      <c r="I10160" s="237"/>
    </row>
    <row r="10161" spans="1:9" s="232" customFormat="1" ht="17" customHeight="1">
      <c r="A10161" s="234"/>
      <c r="B10161" s="233"/>
      <c r="C10161" s="238"/>
      <c r="E10161" s="545"/>
      <c r="F10161" s="546"/>
      <c r="G10161" s="234"/>
      <c r="H10161" s="238"/>
      <c r="I10161" s="237"/>
    </row>
    <row r="10162" spans="1:9" s="232" customFormat="1" ht="17" customHeight="1">
      <c r="A10162" s="234"/>
      <c r="B10162" s="233"/>
      <c r="C10162" s="238"/>
      <c r="E10162" s="545"/>
      <c r="F10162" s="546"/>
      <c r="G10162" s="234"/>
      <c r="H10162" s="238"/>
      <c r="I10162" s="237"/>
    </row>
    <row r="10163" spans="1:9" s="232" customFormat="1" ht="17" customHeight="1">
      <c r="A10163" s="234"/>
      <c r="B10163" s="233"/>
      <c r="C10163" s="238"/>
      <c r="E10163" s="545"/>
      <c r="F10163" s="546"/>
      <c r="G10163" s="234"/>
      <c r="H10163" s="238"/>
      <c r="I10163" s="237"/>
    </row>
    <row r="10164" spans="1:9" s="232" customFormat="1" ht="17" customHeight="1">
      <c r="A10164" s="234"/>
      <c r="B10164" s="233"/>
      <c r="C10164" s="238"/>
      <c r="E10164" s="545"/>
      <c r="F10164" s="546"/>
      <c r="G10164" s="234"/>
      <c r="H10164" s="238"/>
      <c r="I10164" s="237"/>
    </row>
    <row r="10165" spans="1:9" s="232" customFormat="1" ht="17" customHeight="1">
      <c r="A10165" s="234"/>
      <c r="B10165" s="233"/>
      <c r="C10165" s="238"/>
      <c r="E10165" s="545"/>
      <c r="F10165" s="546"/>
      <c r="G10165" s="234"/>
      <c r="H10165" s="238"/>
      <c r="I10165" s="237"/>
    </row>
    <row r="10166" spans="1:9" s="232" customFormat="1" ht="17" customHeight="1">
      <c r="A10166" s="234"/>
      <c r="B10166" s="233"/>
      <c r="C10166" s="238"/>
      <c r="E10166" s="545"/>
      <c r="F10166" s="546"/>
      <c r="G10166" s="234"/>
      <c r="H10166" s="238"/>
      <c r="I10166" s="237"/>
    </row>
    <row r="10167" spans="1:9" s="232" customFormat="1" ht="17" customHeight="1">
      <c r="A10167" s="234"/>
      <c r="B10167" s="233"/>
      <c r="C10167" s="238"/>
      <c r="E10167" s="545"/>
      <c r="F10167" s="546"/>
      <c r="G10167" s="234"/>
      <c r="H10167" s="238"/>
      <c r="I10167" s="237"/>
    </row>
    <row r="10168" spans="1:9" s="232" customFormat="1" ht="17" customHeight="1">
      <c r="A10168" s="234"/>
      <c r="B10168" s="233"/>
      <c r="C10168" s="238"/>
      <c r="E10168" s="545"/>
      <c r="F10168" s="546"/>
      <c r="G10168" s="234"/>
      <c r="H10168" s="238"/>
      <c r="I10168" s="237"/>
    </row>
    <row r="10169" spans="1:9" s="232" customFormat="1" ht="17" customHeight="1">
      <c r="A10169" s="234"/>
      <c r="B10169" s="233"/>
      <c r="C10169" s="238"/>
      <c r="E10169" s="545"/>
      <c r="F10169" s="546"/>
      <c r="G10169" s="234"/>
      <c r="H10169" s="238"/>
      <c r="I10169" s="237"/>
    </row>
    <row r="10170" spans="1:9" s="232" customFormat="1" ht="17" customHeight="1">
      <c r="A10170" s="234"/>
      <c r="B10170" s="233"/>
      <c r="C10170" s="238"/>
      <c r="E10170" s="545"/>
      <c r="F10170" s="546"/>
      <c r="G10170" s="234"/>
      <c r="H10170" s="238"/>
      <c r="I10170" s="237"/>
    </row>
    <row r="10171" spans="1:9" s="232" customFormat="1" ht="17" customHeight="1">
      <c r="A10171" s="234"/>
      <c r="B10171" s="233"/>
      <c r="C10171" s="238"/>
      <c r="E10171" s="545"/>
      <c r="F10171" s="546"/>
      <c r="G10171" s="234"/>
      <c r="H10171" s="238"/>
      <c r="I10171" s="237"/>
    </row>
    <row r="10172" spans="1:9" s="232" customFormat="1" ht="17" customHeight="1">
      <c r="A10172" s="234"/>
      <c r="B10172" s="233"/>
      <c r="C10172" s="238"/>
      <c r="E10172" s="545"/>
      <c r="F10172" s="546"/>
      <c r="G10172" s="234"/>
      <c r="H10172" s="238"/>
      <c r="I10172" s="237"/>
    </row>
    <row r="10173" spans="1:9" s="232" customFormat="1" ht="17" customHeight="1">
      <c r="A10173" s="234"/>
      <c r="B10173" s="233"/>
      <c r="C10173" s="238"/>
      <c r="E10173" s="545"/>
      <c r="F10173" s="546"/>
      <c r="G10173" s="234"/>
      <c r="H10173" s="238"/>
      <c r="I10173" s="237"/>
    </row>
    <row r="10174" spans="1:9" s="232" customFormat="1" ht="17" customHeight="1">
      <c r="A10174" s="234"/>
      <c r="B10174" s="233"/>
      <c r="C10174" s="238"/>
      <c r="E10174" s="545"/>
      <c r="F10174" s="546"/>
      <c r="G10174" s="234"/>
      <c r="H10174" s="238"/>
      <c r="I10174" s="237"/>
    </row>
    <row r="10175" spans="1:9" s="232" customFormat="1" ht="17" customHeight="1">
      <c r="A10175" s="234"/>
      <c r="B10175" s="233"/>
      <c r="C10175" s="238"/>
      <c r="E10175" s="545"/>
      <c r="F10175" s="546"/>
      <c r="G10175" s="234"/>
      <c r="H10175" s="238"/>
      <c r="I10175" s="237"/>
    </row>
    <row r="10176" spans="1:9" s="232" customFormat="1" ht="17" customHeight="1">
      <c r="A10176" s="234"/>
      <c r="B10176" s="233"/>
      <c r="C10176" s="238"/>
      <c r="E10176" s="545"/>
      <c r="F10176" s="546"/>
      <c r="G10176" s="234"/>
      <c r="H10176" s="238"/>
      <c r="I10176" s="237"/>
    </row>
    <row r="10177" spans="1:9" s="232" customFormat="1" ht="17" customHeight="1">
      <c r="A10177" s="234"/>
      <c r="B10177" s="233"/>
      <c r="C10177" s="238"/>
      <c r="E10177" s="545"/>
      <c r="F10177" s="546"/>
      <c r="G10177" s="234"/>
      <c r="H10177" s="238"/>
      <c r="I10177" s="237"/>
    </row>
    <row r="10178" spans="1:9" s="232" customFormat="1" ht="17" customHeight="1">
      <c r="A10178" s="234"/>
      <c r="B10178" s="233"/>
      <c r="C10178" s="238"/>
      <c r="E10178" s="545"/>
      <c r="F10178" s="546"/>
      <c r="G10178" s="234"/>
      <c r="H10178" s="238"/>
      <c r="I10178" s="237"/>
    </row>
    <row r="10179" spans="1:9" s="232" customFormat="1" ht="17" customHeight="1">
      <c r="A10179" s="234"/>
      <c r="B10179" s="233"/>
      <c r="C10179" s="238"/>
      <c r="E10179" s="545"/>
      <c r="F10179" s="546"/>
      <c r="G10179" s="234"/>
      <c r="H10179" s="238"/>
      <c r="I10179" s="237"/>
    </row>
    <row r="10180" spans="1:9" s="232" customFormat="1" ht="17" customHeight="1">
      <c r="A10180" s="234"/>
      <c r="B10180" s="233"/>
      <c r="C10180" s="238"/>
      <c r="E10180" s="545"/>
      <c r="F10180" s="546"/>
      <c r="G10180" s="234"/>
      <c r="H10180" s="238"/>
      <c r="I10180" s="237"/>
    </row>
    <row r="10181" spans="1:9" s="232" customFormat="1" ht="17" customHeight="1">
      <c r="A10181" s="234"/>
      <c r="B10181" s="233"/>
      <c r="C10181" s="238"/>
      <c r="E10181" s="545"/>
      <c r="F10181" s="546"/>
      <c r="G10181" s="234"/>
      <c r="H10181" s="238"/>
      <c r="I10181" s="237"/>
    </row>
    <row r="10182" spans="1:9" s="232" customFormat="1" ht="17" customHeight="1">
      <c r="A10182" s="234"/>
      <c r="B10182" s="233"/>
      <c r="C10182" s="238"/>
      <c r="E10182" s="545"/>
      <c r="F10182" s="546"/>
      <c r="G10182" s="234"/>
      <c r="H10182" s="238"/>
      <c r="I10182" s="237"/>
    </row>
    <row r="10183" spans="1:9" s="232" customFormat="1" ht="17" customHeight="1">
      <c r="A10183" s="234"/>
      <c r="B10183" s="233"/>
      <c r="C10183" s="238"/>
      <c r="E10183" s="545"/>
      <c r="F10183" s="546"/>
      <c r="G10183" s="234"/>
      <c r="H10183" s="238"/>
      <c r="I10183" s="237"/>
    </row>
    <row r="10184" spans="1:9" s="232" customFormat="1" ht="17" customHeight="1">
      <c r="A10184" s="234"/>
      <c r="B10184" s="233"/>
      <c r="C10184" s="238"/>
      <c r="E10184" s="545"/>
      <c r="F10184" s="546"/>
      <c r="G10184" s="234"/>
      <c r="H10184" s="238"/>
      <c r="I10184" s="237"/>
    </row>
    <row r="10185" spans="1:9" s="232" customFormat="1" ht="17" customHeight="1">
      <c r="A10185" s="234"/>
      <c r="B10185" s="233"/>
      <c r="C10185" s="238"/>
      <c r="E10185" s="545"/>
      <c r="F10185" s="546"/>
      <c r="G10185" s="234"/>
      <c r="H10185" s="238"/>
      <c r="I10185" s="237"/>
    </row>
    <row r="10186" spans="1:9" s="232" customFormat="1" ht="17" customHeight="1">
      <c r="A10186" s="234"/>
      <c r="B10186" s="233"/>
      <c r="C10186" s="238"/>
      <c r="E10186" s="545"/>
      <c r="F10186" s="546"/>
      <c r="G10186" s="234"/>
      <c r="H10186" s="238"/>
      <c r="I10186" s="237"/>
    </row>
    <row r="10187" spans="1:9" s="232" customFormat="1" ht="17" customHeight="1">
      <c r="A10187" s="234"/>
      <c r="B10187" s="233"/>
      <c r="C10187" s="238"/>
      <c r="E10187" s="545"/>
      <c r="F10187" s="546"/>
      <c r="G10187" s="234"/>
      <c r="H10187" s="238"/>
      <c r="I10187" s="237"/>
    </row>
    <row r="10188" spans="1:9" s="232" customFormat="1" ht="17" customHeight="1">
      <c r="A10188" s="234"/>
      <c r="B10188" s="233"/>
      <c r="C10188" s="238"/>
      <c r="E10188" s="545"/>
      <c r="F10188" s="546"/>
      <c r="G10188" s="234"/>
      <c r="H10188" s="238"/>
      <c r="I10188" s="237"/>
    </row>
    <row r="10189" spans="1:9" s="232" customFormat="1" ht="17" customHeight="1">
      <c r="A10189" s="234"/>
      <c r="B10189" s="233"/>
      <c r="C10189" s="238"/>
      <c r="E10189" s="545"/>
      <c r="F10189" s="546"/>
      <c r="G10189" s="234"/>
      <c r="H10189" s="238"/>
      <c r="I10189" s="237"/>
    </row>
    <row r="10190" spans="1:9" s="232" customFormat="1" ht="17" customHeight="1">
      <c r="A10190" s="234"/>
      <c r="B10190" s="233"/>
      <c r="C10190" s="238"/>
      <c r="E10190" s="545"/>
      <c r="F10190" s="546"/>
      <c r="G10190" s="234"/>
      <c r="H10190" s="238"/>
      <c r="I10190" s="237"/>
    </row>
    <row r="10191" spans="1:9" s="232" customFormat="1" ht="17" customHeight="1">
      <c r="A10191" s="234"/>
      <c r="B10191" s="233"/>
      <c r="C10191" s="238"/>
      <c r="E10191" s="545"/>
      <c r="F10191" s="546"/>
      <c r="G10191" s="234"/>
      <c r="H10191" s="238"/>
      <c r="I10191" s="237"/>
    </row>
    <row r="10192" spans="1:9" s="232" customFormat="1" ht="17" customHeight="1">
      <c r="A10192" s="234"/>
      <c r="B10192" s="233"/>
      <c r="C10192" s="238"/>
      <c r="E10192" s="545"/>
      <c r="F10192" s="546"/>
      <c r="G10192" s="234"/>
      <c r="H10192" s="238"/>
      <c r="I10192" s="237"/>
    </row>
    <row r="10193" spans="1:9" s="232" customFormat="1" ht="17" customHeight="1">
      <c r="A10193" s="234"/>
      <c r="B10193" s="233"/>
      <c r="C10193" s="238"/>
      <c r="E10193" s="545"/>
      <c r="F10193" s="546"/>
      <c r="G10193" s="234"/>
      <c r="H10193" s="238"/>
      <c r="I10193" s="237"/>
    </row>
    <row r="10194" spans="1:9" s="232" customFormat="1" ht="17" customHeight="1">
      <c r="A10194" s="234"/>
      <c r="B10194" s="233"/>
      <c r="C10194" s="238"/>
      <c r="E10194" s="545"/>
      <c r="F10194" s="546"/>
      <c r="G10194" s="234"/>
      <c r="H10194" s="238"/>
      <c r="I10194" s="237"/>
    </row>
    <row r="10195" spans="1:9" s="232" customFormat="1" ht="17" customHeight="1">
      <c r="A10195" s="234"/>
      <c r="B10195" s="233"/>
      <c r="C10195" s="238"/>
      <c r="E10195" s="545"/>
      <c r="F10195" s="546"/>
      <c r="G10195" s="234"/>
      <c r="H10195" s="238"/>
      <c r="I10195" s="237"/>
    </row>
    <row r="10196" spans="1:9" s="232" customFormat="1" ht="17" customHeight="1">
      <c r="A10196" s="234"/>
      <c r="B10196" s="233"/>
      <c r="C10196" s="238"/>
      <c r="E10196" s="545"/>
      <c r="F10196" s="546"/>
      <c r="G10196" s="234"/>
      <c r="H10196" s="238"/>
      <c r="I10196" s="237"/>
    </row>
    <row r="10197" spans="1:9" s="232" customFormat="1" ht="17" customHeight="1">
      <c r="A10197" s="234"/>
      <c r="B10197" s="233"/>
      <c r="C10197" s="238"/>
      <c r="E10197" s="545"/>
      <c r="F10197" s="546"/>
      <c r="G10197" s="234"/>
      <c r="H10197" s="238"/>
      <c r="I10197" s="237"/>
    </row>
    <row r="10198" spans="1:9" s="232" customFormat="1" ht="17" customHeight="1">
      <c r="A10198" s="234"/>
      <c r="B10198" s="233"/>
      <c r="C10198" s="238"/>
      <c r="E10198" s="545"/>
      <c r="F10198" s="546"/>
      <c r="G10198" s="234"/>
      <c r="H10198" s="238"/>
      <c r="I10198" s="237"/>
    </row>
    <row r="10199" spans="1:9" s="232" customFormat="1" ht="17" customHeight="1">
      <c r="A10199" s="234"/>
      <c r="B10199" s="233"/>
      <c r="C10199" s="238"/>
      <c r="E10199" s="545"/>
      <c r="F10199" s="546"/>
      <c r="G10199" s="234"/>
      <c r="H10199" s="238"/>
      <c r="I10199" s="237"/>
    </row>
    <row r="10200" spans="1:9" s="232" customFormat="1" ht="17" customHeight="1">
      <c r="A10200" s="234"/>
      <c r="B10200" s="233"/>
      <c r="C10200" s="238"/>
      <c r="E10200" s="545"/>
      <c r="F10200" s="546"/>
      <c r="G10200" s="234"/>
      <c r="H10200" s="238"/>
      <c r="I10200" s="237"/>
    </row>
    <row r="10201" spans="1:9" s="232" customFormat="1" ht="17" customHeight="1">
      <c r="A10201" s="234"/>
      <c r="B10201" s="233"/>
      <c r="C10201" s="238"/>
      <c r="E10201" s="545"/>
      <c r="F10201" s="546"/>
      <c r="G10201" s="234"/>
      <c r="H10201" s="238"/>
      <c r="I10201" s="237"/>
    </row>
    <row r="10202" spans="1:9" s="232" customFormat="1" ht="17" customHeight="1">
      <c r="A10202" s="234"/>
      <c r="B10202" s="233"/>
      <c r="C10202" s="238"/>
      <c r="E10202" s="545"/>
      <c r="F10202" s="546"/>
      <c r="G10202" s="234"/>
      <c r="H10202" s="238"/>
      <c r="I10202" s="237"/>
    </row>
    <row r="10203" spans="1:9" s="232" customFormat="1" ht="17" customHeight="1">
      <c r="A10203" s="234"/>
      <c r="B10203" s="233"/>
      <c r="C10203" s="238"/>
      <c r="E10203" s="545"/>
      <c r="F10203" s="546"/>
      <c r="G10203" s="234"/>
      <c r="H10203" s="238"/>
      <c r="I10203" s="237"/>
    </row>
    <row r="10204" spans="1:9" s="232" customFormat="1" ht="17" customHeight="1">
      <c r="A10204" s="234"/>
      <c r="B10204" s="233"/>
      <c r="C10204" s="238"/>
      <c r="E10204" s="545"/>
      <c r="F10204" s="546"/>
      <c r="G10204" s="234"/>
      <c r="H10204" s="238"/>
      <c r="I10204" s="237"/>
    </row>
    <row r="10205" spans="1:9" s="232" customFormat="1" ht="17" customHeight="1">
      <c r="A10205" s="234"/>
      <c r="B10205" s="233"/>
      <c r="C10205" s="238"/>
      <c r="E10205" s="545"/>
      <c r="F10205" s="546"/>
      <c r="G10205" s="234"/>
      <c r="H10205" s="238"/>
      <c r="I10205" s="237"/>
    </row>
    <row r="10206" spans="1:9" s="232" customFormat="1" ht="17" customHeight="1">
      <c r="A10206" s="234"/>
      <c r="B10206" s="233"/>
      <c r="C10206" s="238"/>
      <c r="E10206" s="545"/>
      <c r="F10206" s="546"/>
      <c r="G10206" s="234"/>
      <c r="H10206" s="238"/>
      <c r="I10206" s="237"/>
    </row>
    <row r="10207" spans="1:9" s="232" customFormat="1" ht="17" customHeight="1">
      <c r="A10207" s="234"/>
      <c r="B10207" s="233"/>
      <c r="C10207" s="238"/>
      <c r="E10207" s="545"/>
      <c r="F10207" s="546"/>
      <c r="G10207" s="234"/>
      <c r="H10207" s="238"/>
      <c r="I10207" s="237"/>
    </row>
    <row r="10208" spans="1:9" s="232" customFormat="1" ht="17" customHeight="1">
      <c r="A10208" s="234"/>
      <c r="B10208" s="233"/>
      <c r="C10208" s="238"/>
      <c r="E10208" s="545"/>
      <c r="F10208" s="546"/>
      <c r="G10208" s="234"/>
      <c r="H10208" s="238"/>
      <c r="I10208" s="237"/>
    </row>
    <row r="10209" spans="1:9" s="232" customFormat="1" ht="17" customHeight="1">
      <c r="A10209" s="234"/>
      <c r="B10209" s="233"/>
      <c r="C10209" s="238"/>
      <c r="E10209" s="545"/>
      <c r="F10209" s="546"/>
      <c r="G10209" s="234"/>
      <c r="H10209" s="238"/>
      <c r="I10209" s="237"/>
    </row>
    <row r="10210" spans="1:9" s="232" customFormat="1" ht="17" customHeight="1">
      <c r="A10210" s="234"/>
      <c r="B10210" s="233"/>
      <c r="C10210" s="238"/>
      <c r="E10210" s="545"/>
      <c r="F10210" s="546"/>
      <c r="G10210" s="234"/>
      <c r="H10210" s="238"/>
      <c r="I10210" s="237"/>
    </row>
    <row r="10211" spans="1:9" s="232" customFormat="1" ht="17" customHeight="1">
      <c r="A10211" s="234"/>
      <c r="B10211" s="233"/>
      <c r="C10211" s="238"/>
      <c r="E10211" s="545"/>
      <c r="F10211" s="546"/>
      <c r="G10211" s="234"/>
      <c r="H10211" s="238"/>
      <c r="I10211" s="237"/>
    </row>
    <row r="10212" spans="1:9" s="232" customFormat="1" ht="17" customHeight="1">
      <c r="A10212" s="234"/>
      <c r="B10212" s="233"/>
      <c r="C10212" s="238"/>
      <c r="E10212" s="545"/>
      <c r="F10212" s="546"/>
      <c r="G10212" s="234"/>
      <c r="H10212" s="238"/>
      <c r="I10212" s="237"/>
    </row>
    <row r="10213" spans="1:9" s="232" customFormat="1" ht="17" customHeight="1">
      <c r="A10213" s="234"/>
      <c r="B10213" s="233"/>
      <c r="C10213" s="238"/>
      <c r="E10213" s="545"/>
      <c r="F10213" s="546"/>
      <c r="G10213" s="234"/>
      <c r="H10213" s="238"/>
      <c r="I10213" s="237"/>
    </row>
    <row r="10214" spans="1:9" s="232" customFormat="1" ht="17" customHeight="1">
      <c r="A10214" s="234"/>
      <c r="B10214" s="233"/>
      <c r="C10214" s="238"/>
      <c r="E10214" s="545"/>
      <c r="F10214" s="546"/>
      <c r="G10214" s="234"/>
      <c r="H10214" s="238"/>
      <c r="I10214" s="237"/>
    </row>
    <row r="10215" spans="1:9" s="232" customFormat="1" ht="17" customHeight="1">
      <c r="A10215" s="234"/>
      <c r="B10215" s="233"/>
      <c r="C10215" s="238"/>
      <c r="E10215" s="545"/>
      <c r="F10215" s="546"/>
      <c r="G10215" s="234"/>
      <c r="H10215" s="238"/>
      <c r="I10215" s="237"/>
    </row>
    <row r="10216" spans="1:9" s="232" customFormat="1" ht="17" customHeight="1">
      <c r="A10216" s="234"/>
      <c r="B10216" s="233"/>
      <c r="C10216" s="238"/>
      <c r="E10216" s="545"/>
      <c r="F10216" s="546"/>
      <c r="G10216" s="234"/>
      <c r="H10216" s="238"/>
      <c r="I10216" s="237"/>
    </row>
    <row r="10217" spans="1:9" s="232" customFormat="1" ht="17" customHeight="1">
      <c r="A10217" s="234"/>
      <c r="B10217" s="233"/>
      <c r="C10217" s="238"/>
      <c r="E10217" s="545"/>
      <c r="F10217" s="546"/>
      <c r="G10217" s="234"/>
      <c r="H10217" s="238"/>
      <c r="I10217" s="237"/>
    </row>
    <row r="10218" spans="1:9" s="232" customFormat="1" ht="17" customHeight="1">
      <c r="A10218" s="234"/>
      <c r="B10218" s="233"/>
      <c r="C10218" s="238"/>
      <c r="E10218" s="545"/>
      <c r="F10218" s="546"/>
      <c r="G10218" s="234"/>
      <c r="H10218" s="238"/>
      <c r="I10218" s="237"/>
    </row>
    <row r="10219" spans="1:9" s="232" customFormat="1" ht="17" customHeight="1">
      <c r="A10219" s="234"/>
      <c r="B10219" s="233"/>
      <c r="C10219" s="238"/>
      <c r="E10219" s="545"/>
      <c r="F10219" s="546"/>
      <c r="G10219" s="234"/>
      <c r="H10219" s="238"/>
      <c r="I10219" s="237"/>
    </row>
    <row r="10220" spans="1:9" s="232" customFormat="1" ht="17" customHeight="1">
      <c r="A10220" s="234"/>
      <c r="B10220" s="233"/>
      <c r="C10220" s="238"/>
      <c r="E10220" s="545"/>
      <c r="F10220" s="546"/>
      <c r="G10220" s="234"/>
      <c r="H10220" s="238"/>
      <c r="I10220" s="237"/>
    </row>
    <row r="10221" spans="1:9" s="232" customFormat="1" ht="17" customHeight="1">
      <c r="A10221" s="234"/>
      <c r="B10221" s="233"/>
      <c r="C10221" s="238"/>
      <c r="E10221" s="545"/>
      <c r="F10221" s="546"/>
      <c r="G10221" s="234"/>
      <c r="H10221" s="238"/>
      <c r="I10221" s="237"/>
    </row>
    <row r="10222" spans="1:9" s="232" customFormat="1" ht="17" customHeight="1">
      <c r="A10222" s="234"/>
      <c r="B10222" s="233"/>
      <c r="C10222" s="238"/>
      <c r="E10222" s="545"/>
      <c r="F10222" s="546"/>
      <c r="G10222" s="234"/>
      <c r="H10222" s="238"/>
      <c r="I10222" s="237"/>
    </row>
    <row r="10223" spans="1:9" s="232" customFormat="1" ht="17" customHeight="1">
      <c r="A10223" s="234"/>
      <c r="B10223" s="233"/>
      <c r="C10223" s="238"/>
      <c r="E10223" s="545"/>
      <c r="F10223" s="546"/>
      <c r="G10223" s="234"/>
      <c r="H10223" s="238"/>
      <c r="I10223" s="237"/>
    </row>
    <row r="10224" spans="1:9" s="232" customFormat="1" ht="17" customHeight="1">
      <c r="A10224" s="234"/>
      <c r="B10224" s="233"/>
      <c r="C10224" s="238"/>
      <c r="E10224" s="545"/>
      <c r="F10224" s="546"/>
      <c r="G10224" s="234"/>
      <c r="H10224" s="238"/>
      <c r="I10224" s="237"/>
    </row>
    <row r="10225" spans="1:9" s="232" customFormat="1" ht="17" customHeight="1">
      <c r="A10225" s="234"/>
      <c r="B10225" s="233"/>
      <c r="C10225" s="238"/>
      <c r="E10225" s="545"/>
      <c r="F10225" s="546"/>
      <c r="G10225" s="234"/>
      <c r="H10225" s="238"/>
      <c r="I10225" s="237"/>
    </row>
    <row r="10226" spans="1:9" s="232" customFormat="1" ht="17" customHeight="1">
      <c r="A10226" s="234"/>
      <c r="B10226" s="233"/>
      <c r="C10226" s="238"/>
      <c r="E10226" s="545"/>
      <c r="F10226" s="546"/>
      <c r="G10226" s="234"/>
      <c r="H10226" s="238"/>
      <c r="I10226" s="237"/>
    </row>
    <row r="10227" spans="1:9" s="232" customFormat="1" ht="17" customHeight="1">
      <c r="A10227" s="234"/>
      <c r="B10227" s="233"/>
      <c r="C10227" s="238"/>
      <c r="E10227" s="545"/>
      <c r="F10227" s="546"/>
      <c r="G10227" s="234"/>
      <c r="H10227" s="238"/>
      <c r="I10227" s="237"/>
    </row>
    <row r="10228" spans="1:9" s="232" customFormat="1" ht="17" customHeight="1">
      <c r="A10228" s="234"/>
      <c r="B10228" s="233"/>
      <c r="C10228" s="238"/>
      <c r="E10228" s="545"/>
      <c r="F10228" s="546"/>
      <c r="G10228" s="234"/>
      <c r="H10228" s="238"/>
      <c r="I10228" s="237"/>
    </row>
    <row r="10229" spans="1:9" s="232" customFormat="1" ht="17" customHeight="1">
      <c r="A10229" s="234"/>
      <c r="B10229" s="233"/>
      <c r="C10229" s="238"/>
      <c r="E10229" s="545"/>
      <c r="F10229" s="546"/>
      <c r="G10229" s="234"/>
      <c r="H10229" s="238"/>
      <c r="I10229" s="237"/>
    </row>
    <row r="10230" spans="1:9" s="232" customFormat="1" ht="17" customHeight="1">
      <c r="A10230" s="234"/>
      <c r="B10230" s="233"/>
      <c r="C10230" s="238"/>
      <c r="E10230" s="545"/>
      <c r="F10230" s="546"/>
      <c r="G10230" s="234"/>
      <c r="H10230" s="238"/>
      <c r="I10230" s="237"/>
    </row>
    <row r="10231" spans="1:9" s="232" customFormat="1" ht="17" customHeight="1">
      <c r="A10231" s="234"/>
      <c r="B10231" s="233"/>
      <c r="C10231" s="238"/>
      <c r="E10231" s="545"/>
      <c r="F10231" s="546"/>
      <c r="G10231" s="234"/>
      <c r="H10231" s="238"/>
      <c r="I10231" s="237"/>
    </row>
    <row r="10232" spans="1:9" s="232" customFormat="1" ht="17" customHeight="1">
      <c r="A10232" s="234"/>
      <c r="B10232" s="233"/>
      <c r="C10232" s="238"/>
      <c r="E10232" s="545"/>
      <c r="F10232" s="546"/>
      <c r="G10232" s="234"/>
      <c r="H10232" s="238"/>
      <c r="I10232" s="237"/>
    </row>
    <row r="10233" spans="1:9" s="232" customFormat="1" ht="17" customHeight="1">
      <c r="A10233" s="234"/>
      <c r="B10233" s="233"/>
      <c r="C10233" s="238"/>
      <c r="E10233" s="545"/>
      <c r="F10233" s="546"/>
      <c r="G10233" s="234"/>
      <c r="H10233" s="238"/>
      <c r="I10233" s="237"/>
    </row>
    <row r="10234" spans="1:9" s="232" customFormat="1" ht="17" customHeight="1">
      <c r="A10234" s="234"/>
      <c r="B10234" s="233"/>
      <c r="C10234" s="238"/>
      <c r="E10234" s="545"/>
      <c r="F10234" s="546"/>
      <c r="G10234" s="234"/>
      <c r="H10234" s="238"/>
      <c r="I10234" s="237"/>
    </row>
    <row r="10235" spans="1:9" s="232" customFormat="1" ht="17" customHeight="1">
      <c r="A10235" s="234"/>
      <c r="B10235" s="233"/>
      <c r="C10235" s="238"/>
      <c r="E10235" s="545"/>
      <c r="F10235" s="546"/>
      <c r="G10235" s="234"/>
      <c r="H10235" s="238"/>
      <c r="I10235" s="237"/>
    </row>
    <row r="10236" spans="1:9" s="232" customFormat="1" ht="17" customHeight="1">
      <c r="A10236" s="234"/>
      <c r="B10236" s="233"/>
      <c r="C10236" s="238"/>
      <c r="E10236" s="545"/>
      <c r="F10236" s="546"/>
      <c r="G10236" s="234"/>
      <c r="H10236" s="238"/>
      <c r="I10236" s="237"/>
    </row>
    <row r="10237" spans="1:9" s="232" customFormat="1" ht="17" customHeight="1">
      <c r="A10237" s="234"/>
      <c r="B10237" s="233"/>
      <c r="C10237" s="238"/>
      <c r="E10237" s="545"/>
      <c r="F10237" s="546"/>
      <c r="G10237" s="234"/>
      <c r="H10237" s="238"/>
      <c r="I10237" s="237"/>
    </row>
    <row r="10238" spans="1:9" s="232" customFormat="1" ht="17" customHeight="1">
      <c r="A10238" s="234"/>
      <c r="B10238" s="233"/>
      <c r="C10238" s="238"/>
      <c r="E10238" s="545"/>
      <c r="F10238" s="546"/>
      <c r="G10238" s="234"/>
      <c r="H10238" s="238"/>
      <c r="I10238" s="237"/>
    </row>
    <row r="10239" spans="1:9" s="232" customFormat="1" ht="17" customHeight="1">
      <c r="A10239" s="234"/>
      <c r="B10239" s="233"/>
      <c r="C10239" s="238"/>
      <c r="E10239" s="545"/>
      <c r="F10239" s="546"/>
      <c r="G10239" s="234"/>
      <c r="H10239" s="238"/>
      <c r="I10239" s="237"/>
    </row>
    <row r="10240" spans="1:9" s="232" customFormat="1" ht="17" customHeight="1">
      <c r="A10240" s="234"/>
      <c r="B10240" s="233"/>
      <c r="C10240" s="238"/>
      <c r="E10240" s="545"/>
      <c r="F10240" s="546"/>
      <c r="G10240" s="234"/>
      <c r="H10240" s="238"/>
      <c r="I10240" s="237"/>
    </row>
    <row r="10241" spans="1:9" s="232" customFormat="1" ht="17" customHeight="1">
      <c r="A10241" s="234"/>
      <c r="B10241" s="233"/>
      <c r="C10241" s="238"/>
      <c r="E10241" s="545"/>
      <c r="F10241" s="546"/>
      <c r="G10241" s="234"/>
      <c r="H10241" s="238"/>
      <c r="I10241" s="237"/>
    </row>
    <row r="10242" spans="1:9" s="232" customFormat="1" ht="17" customHeight="1">
      <c r="A10242" s="234"/>
      <c r="B10242" s="233"/>
      <c r="C10242" s="238"/>
      <c r="E10242" s="545"/>
      <c r="F10242" s="546"/>
      <c r="G10242" s="234"/>
      <c r="H10242" s="238"/>
      <c r="I10242" s="237"/>
    </row>
    <row r="10243" spans="1:9" s="232" customFormat="1" ht="17" customHeight="1">
      <c r="A10243" s="234"/>
      <c r="B10243" s="233"/>
      <c r="C10243" s="238"/>
      <c r="E10243" s="545"/>
      <c r="F10243" s="546"/>
      <c r="G10243" s="234"/>
      <c r="H10243" s="238"/>
      <c r="I10243" s="237"/>
    </row>
    <row r="10244" spans="1:9" s="232" customFormat="1" ht="17" customHeight="1">
      <c r="A10244" s="234"/>
      <c r="B10244" s="233"/>
      <c r="C10244" s="238"/>
      <c r="E10244" s="545"/>
      <c r="F10244" s="546"/>
      <c r="G10244" s="234"/>
      <c r="H10244" s="238"/>
      <c r="I10244" s="237"/>
    </row>
    <row r="10245" spans="1:9" s="232" customFormat="1" ht="17" customHeight="1">
      <c r="A10245" s="234"/>
      <c r="B10245" s="233"/>
      <c r="C10245" s="238"/>
      <c r="E10245" s="545"/>
      <c r="F10245" s="546"/>
      <c r="G10245" s="234"/>
      <c r="H10245" s="238"/>
      <c r="I10245" s="237"/>
    </row>
    <row r="10246" spans="1:9" s="232" customFormat="1" ht="17" customHeight="1">
      <c r="A10246" s="234"/>
      <c r="B10246" s="233"/>
      <c r="C10246" s="238"/>
      <c r="E10246" s="545"/>
      <c r="F10246" s="546"/>
      <c r="G10246" s="234"/>
      <c r="H10246" s="238"/>
      <c r="I10246" s="237"/>
    </row>
    <row r="10247" spans="1:9" s="232" customFormat="1" ht="17" customHeight="1">
      <c r="A10247" s="234"/>
      <c r="B10247" s="233"/>
      <c r="C10247" s="238"/>
      <c r="E10247" s="545"/>
      <c r="F10247" s="546"/>
      <c r="G10247" s="234"/>
      <c r="H10247" s="238"/>
      <c r="I10247" s="237"/>
    </row>
    <row r="10248" spans="1:9" s="232" customFormat="1" ht="17" customHeight="1">
      <c r="A10248" s="234"/>
      <c r="B10248" s="233"/>
      <c r="C10248" s="238"/>
      <c r="E10248" s="545"/>
      <c r="F10248" s="546"/>
      <c r="G10248" s="234"/>
      <c r="H10248" s="238"/>
      <c r="I10248" s="237"/>
    </row>
    <row r="10249" spans="1:9" s="232" customFormat="1" ht="17" customHeight="1">
      <c r="A10249" s="234"/>
      <c r="B10249" s="233"/>
      <c r="C10249" s="238"/>
      <c r="E10249" s="545"/>
      <c r="F10249" s="546"/>
      <c r="G10249" s="234"/>
      <c r="H10249" s="238"/>
      <c r="I10249" s="237"/>
    </row>
    <row r="10250" spans="1:9" s="232" customFormat="1" ht="17" customHeight="1">
      <c r="A10250" s="234"/>
      <c r="B10250" s="233"/>
      <c r="C10250" s="238"/>
      <c r="E10250" s="545"/>
      <c r="F10250" s="546"/>
      <c r="G10250" s="234"/>
      <c r="H10250" s="238"/>
      <c r="I10250" s="237"/>
    </row>
    <row r="10251" spans="1:9" s="232" customFormat="1" ht="17" customHeight="1">
      <c r="A10251" s="234"/>
      <c r="B10251" s="233"/>
      <c r="C10251" s="238"/>
      <c r="E10251" s="545"/>
      <c r="F10251" s="546"/>
      <c r="G10251" s="234"/>
      <c r="H10251" s="238"/>
      <c r="I10251" s="237"/>
    </row>
    <row r="10252" spans="1:9" s="232" customFormat="1" ht="17" customHeight="1">
      <c r="A10252" s="234"/>
      <c r="B10252" s="233"/>
      <c r="C10252" s="238"/>
      <c r="E10252" s="545"/>
      <c r="F10252" s="546"/>
      <c r="G10252" s="234"/>
      <c r="H10252" s="238"/>
      <c r="I10252" s="237"/>
    </row>
    <row r="10253" spans="1:9" s="232" customFormat="1" ht="17" customHeight="1">
      <c r="A10253" s="234"/>
      <c r="B10253" s="233"/>
      <c r="C10253" s="238"/>
      <c r="E10253" s="545"/>
      <c r="F10253" s="546"/>
      <c r="G10253" s="234"/>
      <c r="H10253" s="238"/>
      <c r="I10253" s="237"/>
    </row>
    <row r="10254" spans="1:9" s="232" customFormat="1" ht="17" customHeight="1">
      <c r="A10254" s="234"/>
      <c r="B10254" s="233"/>
      <c r="C10254" s="238"/>
      <c r="E10254" s="545"/>
      <c r="F10254" s="546"/>
      <c r="G10254" s="234"/>
      <c r="H10254" s="238"/>
      <c r="I10254" s="237"/>
    </row>
    <row r="10255" spans="1:9" s="232" customFormat="1" ht="17" customHeight="1">
      <c r="A10255" s="234"/>
      <c r="B10255" s="233"/>
      <c r="C10255" s="238"/>
      <c r="E10255" s="545"/>
      <c r="F10255" s="546"/>
      <c r="G10255" s="234"/>
      <c r="H10255" s="238"/>
      <c r="I10255" s="237"/>
    </row>
    <row r="10256" spans="1:9" s="232" customFormat="1" ht="17" customHeight="1">
      <c r="A10256" s="234"/>
      <c r="B10256" s="233"/>
      <c r="C10256" s="238"/>
      <c r="E10256" s="545"/>
      <c r="F10256" s="546"/>
      <c r="G10256" s="234"/>
      <c r="H10256" s="238"/>
      <c r="I10256" s="237"/>
    </row>
    <row r="10257" spans="1:9" s="232" customFormat="1" ht="17" customHeight="1">
      <c r="A10257" s="234"/>
      <c r="B10257" s="233"/>
      <c r="C10257" s="238"/>
      <c r="E10257" s="545"/>
      <c r="F10257" s="546"/>
      <c r="G10257" s="234"/>
      <c r="H10257" s="238"/>
      <c r="I10257" s="237"/>
    </row>
    <row r="10258" spans="1:9" s="232" customFormat="1" ht="17" customHeight="1">
      <c r="A10258" s="234"/>
      <c r="B10258" s="233"/>
      <c r="C10258" s="238"/>
      <c r="E10258" s="545"/>
      <c r="F10258" s="546"/>
      <c r="G10258" s="234"/>
      <c r="H10258" s="238"/>
      <c r="I10258" s="237"/>
    </row>
    <row r="10259" spans="1:9" s="232" customFormat="1" ht="17" customHeight="1">
      <c r="A10259" s="234"/>
      <c r="B10259" s="233"/>
      <c r="C10259" s="238"/>
      <c r="E10259" s="545"/>
      <c r="F10259" s="546"/>
      <c r="G10259" s="234"/>
      <c r="H10259" s="238"/>
      <c r="I10259" s="237"/>
    </row>
    <row r="10260" spans="1:9" s="232" customFormat="1" ht="17" customHeight="1">
      <c r="A10260" s="234"/>
      <c r="B10260" s="233"/>
      <c r="C10260" s="238"/>
      <c r="E10260" s="545"/>
      <c r="F10260" s="546"/>
      <c r="G10260" s="234"/>
      <c r="H10260" s="238"/>
      <c r="I10260" s="237"/>
    </row>
    <row r="10261" spans="1:9" s="232" customFormat="1" ht="17" customHeight="1">
      <c r="A10261" s="234"/>
      <c r="B10261" s="233"/>
      <c r="C10261" s="238"/>
      <c r="E10261" s="545"/>
      <c r="F10261" s="546"/>
      <c r="G10261" s="234"/>
      <c r="H10261" s="238"/>
      <c r="I10261" s="237"/>
    </row>
    <row r="10262" spans="1:9" s="232" customFormat="1" ht="17" customHeight="1">
      <c r="A10262" s="234"/>
      <c r="B10262" s="233"/>
      <c r="C10262" s="238"/>
      <c r="E10262" s="545"/>
      <c r="F10262" s="546"/>
      <c r="G10262" s="234"/>
      <c r="H10262" s="238"/>
      <c r="I10262" s="237"/>
    </row>
    <row r="10263" spans="1:9" s="232" customFormat="1" ht="17" customHeight="1">
      <c r="A10263" s="234"/>
      <c r="B10263" s="233"/>
      <c r="C10263" s="238"/>
      <c r="E10263" s="545"/>
      <c r="F10263" s="546"/>
      <c r="G10263" s="234"/>
      <c r="H10263" s="238"/>
      <c r="I10263" s="237"/>
    </row>
    <row r="10264" spans="1:9" s="232" customFormat="1" ht="17" customHeight="1">
      <c r="A10264" s="234"/>
      <c r="B10264" s="233"/>
      <c r="C10264" s="238"/>
      <c r="E10264" s="545"/>
      <c r="F10264" s="546"/>
      <c r="G10264" s="234"/>
      <c r="H10264" s="238"/>
      <c r="I10264" s="237"/>
    </row>
    <row r="10265" spans="1:9" s="232" customFormat="1" ht="17" customHeight="1">
      <c r="A10265" s="234"/>
      <c r="B10265" s="233"/>
      <c r="C10265" s="238"/>
      <c r="E10265" s="545"/>
      <c r="F10265" s="546"/>
      <c r="G10265" s="234"/>
      <c r="H10265" s="238"/>
      <c r="I10265" s="237"/>
    </row>
    <row r="10266" spans="1:9" s="232" customFormat="1" ht="17" customHeight="1">
      <c r="A10266" s="234"/>
      <c r="B10266" s="233"/>
      <c r="C10266" s="238"/>
      <c r="E10266" s="545"/>
      <c r="F10266" s="546"/>
      <c r="G10266" s="234"/>
      <c r="H10266" s="238"/>
      <c r="I10266" s="237"/>
    </row>
    <row r="10267" spans="1:9" s="232" customFormat="1" ht="17" customHeight="1">
      <c r="A10267" s="234"/>
      <c r="B10267" s="233"/>
      <c r="C10267" s="238"/>
      <c r="E10267" s="545"/>
      <c r="F10267" s="546"/>
      <c r="G10267" s="234"/>
      <c r="H10267" s="238"/>
      <c r="I10267" s="237"/>
    </row>
    <row r="10268" spans="1:9" s="232" customFormat="1" ht="17" customHeight="1">
      <c r="A10268" s="234"/>
      <c r="B10268" s="233"/>
      <c r="C10268" s="238"/>
      <c r="E10268" s="545"/>
      <c r="F10268" s="546"/>
      <c r="G10268" s="234"/>
      <c r="H10268" s="238"/>
      <c r="I10268" s="237"/>
    </row>
    <row r="10269" spans="1:9" s="232" customFormat="1" ht="17" customHeight="1">
      <c r="A10269" s="234"/>
      <c r="B10269" s="233"/>
      <c r="C10269" s="238"/>
      <c r="E10269" s="545"/>
      <c r="F10269" s="546"/>
      <c r="G10269" s="234"/>
      <c r="H10269" s="238"/>
      <c r="I10269" s="237"/>
    </row>
    <row r="10270" spans="1:9" s="232" customFormat="1" ht="17" customHeight="1">
      <c r="A10270" s="234"/>
      <c r="B10270" s="233"/>
      <c r="C10270" s="238"/>
      <c r="E10270" s="545"/>
      <c r="F10270" s="546"/>
      <c r="G10270" s="234"/>
      <c r="H10270" s="238"/>
      <c r="I10270" s="237"/>
    </row>
    <row r="10271" spans="1:9" s="232" customFormat="1" ht="17" customHeight="1">
      <c r="A10271" s="234"/>
      <c r="B10271" s="233"/>
      <c r="C10271" s="238"/>
      <c r="E10271" s="545"/>
      <c r="F10271" s="546"/>
      <c r="G10271" s="234"/>
      <c r="H10271" s="238"/>
      <c r="I10271" s="237"/>
    </row>
    <row r="10272" spans="1:9" s="232" customFormat="1" ht="17" customHeight="1">
      <c r="A10272" s="234"/>
      <c r="B10272" s="233"/>
      <c r="C10272" s="238"/>
      <c r="E10272" s="545"/>
      <c r="F10272" s="546"/>
      <c r="G10272" s="234"/>
      <c r="H10272" s="238"/>
      <c r="I10272" s="237"/>
    </row>
    <row r="10273" spans="1:9" s="232" customFormat="1" ht="17" customHeight="1">
      <c r="A10273" s="234"/>
      <c r="B10273" s="233"/>
      <c r="C10273" s="238"/>
      <c r="E10273" s="545"/>
      <c r="F10273" s="546"/>
      <c r="G10273" s="234"/>
      <c r="H10273" s="238"/>
      <c r="I10273" s="237"/>
    </row>
    <row r="10274" spans="1:9" s="232" customFormat="1" ht="17" customHeight="1">
      <c r="A10274" s="234"/>
      <c r="B10274" s="233"/>
      <c r="C10274" s="238"/>
      <c r="E10274" s="545"/>
      <c r="F10274" s="546"/>
      <c r="G10274" s="234"/>
      <c r="H10274" s="238"/>
      <c r="I10274" s="237"/>
    </row>
    <row r="10275" spans="1:9" s="232" customFormat="1" ht="17" customHeight="1">
      <c r="A10275" s="234"/>
      <c r="B10275" s="233"/>
      <c r="C10275" s="238"/>
      <c r="E10275" s="545"/>
      <c r="F10275" s="546"/>
      <c r="G10275" s="234"/>
      <c r="H10275" s="238"/>
      <c r="I10275" s="237"/>
    </row>
    <row r="10276" spans="1:9" s="232" customFormat="1" ht="17" customHeight="1">
      <c r="A10276" s="234"/>
      <c r="B10276" s="233"/>
      <c r="C10276" s="238"/>
      <c r="E10276" s="545"/>
      <c r="F10276" s="546"/>
      <c r="G10276" s="234"/>
      <c r="H10276" s="238"/>
      <c r="I10276" s="237"/>
    </row>
    <row r="10277" spans="1:9" s="232" customFormat="1" ht="17" customHeight="1">
      <c r="A10277" s="234"/>
      <c r="B10277" s="233"/>
      <c r="C10277" s="238"/>
      <c r="E10277" s="545"/>
      <c r="F10277" s="546"/>
      <c r="G10277" s="234"/>
      <c r="H10277" s="238"/>
      <c r="I10277" s="237"/>
    </row>
    <row r="10278" spans="1:9" s="232" customFormat="1" ht="17" customHeight="1">
      <c r="A10278" s="234"/>
      <c r="B10278" s="233"/>
      <c r="C10278" s="238"/>
      <c r="E10278" s="545"/>
      <c r="F10278" s="546"/>
      <c r="G10278" s="234"/>
      <c r="H10278" s="238"/>
      <c r="I10278" s="237"/>
    </row>
    <row r="10279" spans="1:9" s="232" customFormat="1" ht="17" customHeight="1">
      <c r="A10279" s="234"/>
      <c r="B10279" s="233"/>
      <c r="C10279" s="238"/>
      <c r="E10279" s="545"/>
      <c r="F10279" s="546"/>
      <c r="G10279" s="234"/>
      <c r="H10279" s="238"/>
      <c r="I10279" s="237"/>
    </row>
    <row r="10280" spans="1:9" s="232" customFormat="1" ht="17" customHeight="1">
      <c r="A10280" s="234"/>
      <c r="B10280" s="233"/>
      <c r="C10280" s="238"/>
      <c r="E10280" s="545"/>
      <c r="F10280" s="546"/>
      <c r="G10280" s="234"/>
      <c r="H10280" s="238"/>
      <c r="I10280" s="237"/>
    </row>
    <row r="10281" spans="1:9" s="232" customFormat="1" ht="17" customHeight="1">
      <c r="A10281" s="234"/>
      <c r="B10281" s="233"/>
      <c r="C10281" s="238"/>
      <c r="E10281" s="545"/>
      <c r="F10281" s="546"/>
      <c r="G10281" s="234"/>
      <c r="H10281" s="238"/>
      <c r="I10281" s="237"/>
    </row>
    <row r="10282" spans="1:9" s="232" customFormat="1" ht="17" customHeight="1">
      <c r="A10282" s="234"/>
      <c r="B10282" s="233"/>
      <c r="C10282" s="238"/>
      <c r="E10282" s="545"/>
      <c r="F10282" s="546"/>
      <c r="G10282" s="234"/>
      <c r="H10282" s="238"/>
      <c r="I10282" s="237"/>
    </row>
    <row r="10283" spans="1:9" s="232" customFormat="1" ht="17" customHeight="1">
      <c r="A10283" s="234"/>
      <c r="B10283" s="233"/>
      <c r="C10283" s="238"/>
      <c r="E10283" s="545"/>
      <c r="F10283" s="546"/>
      <c r="G10283" s="234"/>
      <c r="H10283" s="238"/>
      <c r="I10283" s="237"/>
    </row>
    <row r="10284" spans="1:9" s="232" customFormat="1" ht="17" customHeight="1">
      <c r="A10284" s="234"/>
      <c r="B10284" s="233"/>
      <c r="C10284" s="238"/>
      <c r="E10284" s="545"/>
      <c r="F10284" s="546"/>
      <c r="G10284" s="234"/>
      <c r="H10284" s="238"/>
      <c r="I10284" s="237"/>
    </row>
    <row r="10285" spans="1:9" s="232" customFormat="1" ht="17" customHeight="1">
      <c r="A10285" s="234"/>
      <c r="B10285" s="233"/>
      <c r="C10285" s="238"/>
      <c r="E10285" s="545"/>
      <c r="F10285" s="546"/>
      <c r="G10285" s="234"/>
      <c r="H10285" s="238"/>
      <c r="I10285" s="237"/>
    </row>
    <row r="10286" spans="1:9" s="232" customFormat="1" ht="17" customHeight="1">
      <c r="A10286" s="234"/>
      <c r="B10286" s="233"/>
      <c r="C10286" s="238"/>
      <c r="E10286" s="545"/>
      <c r="F10286" s="546"/>
      <c r="G10286" s="234"/>
      <c r="H10286" s="238"/>
      <c r="I10286" s="237"/>
    </row>
    <row r="10287" spans="1:9" s="232" customFormat="1" ht="17" customHeight="1">
      <c r="A10287" s="234"/>
      <c r="B10287" s="233"/>
      <c r="C10287" s="238"/>
      <c r="E10287" s="545"/>
      <c r="F10287" s="546"/>
      <c r="G10287" s="234"/>
      <c r="H10287" s="238"/>
      <c r="I10287" s="237"/>
    </row>
    <row r="10288" spans="1:9" s="232" customFormat="1" ht="17" customHeight="1">
      <c r="A10288" s="234"/>
      <c r="B10288" s="233"/>
      <c r="C10288" s="238"/>
      <c r="E10288" s="545"/>
      <c r="F10288" s="546"/>
      <c r="G10288" s="234"/>
      <c r="H10288" s="238"/>
      <c r="I10288" s="237"/>
    </row>
    <row r="10289" spans="1:9" s="232" customFormat="1" ht="17" customHeight="1">
      <c r="A10289" s="234"/>
      <c r="B10289" s="233"/>
      <c r="C10289" s="238"/>
      <c r="E10289" s="545"/>
      <c r="F10289" s="546"/>
      <c r="G10289" s="234"/>
      <c r="H10289" s="238"/>
      <c r="I10289" s="237"/>
    </row>
    <row r="10290" spans="1:9" s="232" customFormat="1" ht="17" customHeight="1">
      <c r="A10290" s="234"/>
      <c r="B10290" s="233"/>
      <c r="C10290" s="238"/>
      <c r="E10290" s="545"/>
      <c r="F10290" s="546"/>
      <c r="G10290" s="234"/>
      <c r="H10290" s="238"/>
      <c r="I10290" s="237"/>
    </row>
    <row r="10291" spans="1:9" s="232" customFormat="1" ht="17" customHeight="1">
      <c r="A10291" s="234"/>
      <c r="B10291" s="233"/>
      <c r="C10291" s="238"/>
      <c r="E10291" s="545"/>
      <c r="F10291" s="546"/>
      <c r="G10291" s="234"/>
      <c r="H10291" s="238"/>
      <c r="I10291" s="237"/>
    </row>
    <row r="10292" spans="1:9" s="232" customFormat="1" ht="17" customHeight="1">
      <c r="A10292" s="234"/>
      <c r="B10292" s="233"/>
      <c r="C10292" s="238"/>
      <c r="E10292" s="545"/>
      <c r="F10292" s="546"/>
      <c r="G10292" s="234"/>
      <c r="H10292" s="238"/>
      <c r="I10292" s="237"/>
    </row>
    <row r="10293" spans="1:9" s="232" customFormat="1" ht="17" customHeight="1">
      <c r="A10293" s="234"/>
      <c r="B10293" s="233"/>
      <c r="C10293" s="238"/>
      <c r="E10293" s="545"/>
      <c r="F10293" s="546"/>
      <c r="G10293" s="234"/>
      <c r="H10293" s="238"/>
      <c r="I10293" s="237"/>
    </row>
    <row r="10294" spans="1:9" s="232" customFormat="1" ht="17" customHeight="1">
      <c r="A10294" s="234"/>
      <c r="B10294" s="233"/>
      <c r="C10294" s="238"/>
      <c r="E10294" s="545"/>
      <c r="F10294" s="546"/>
      <c r="G10294" s="234"/>
      <c r="H10294" s="238"/>
      <c r="I10294" s="237"/>
    </row>
    <row r="10295" spans="1:9" s="232" customFormat="1" ht="17" customHeight="1">
      <c r="A10295" s="234"/>
      <c r="B10295" s="233"/>
      <c r="C10295" s="238"/>
      <c r="E10295" s="545"/>
      <c r="F10295" s="546"/>
      <c r="G10295" s="234"/>
      <c r="H10295" s="238"/>
      <c r="I10295" s="237"/>
    </row>
    <row r="10296" spans="1:9" s="232" customFormat="1" ht="17" customHeight="1">
      <c r="A10296" s="234"/>
      <c r="B10296" s="233"/>
      <c r="C10296" s="238"/>
      <c r="E10296" s="545"/>
      <c r="F10296" s="546"/>
      <c r="G10296" s="234"/>
      <c r="H10296" s="238"/>
      <c r="I10296" s="237"/>
    </row>
    <row r="10297" spans="1:9" s="232" customFormat="1" ht="17" customHeight="1">
      <c r="A10297" s="234"/>
      <c r="B10297" s="233"/>
      <c r="C10297" s="238"/>
      <c r="E10297" s="545"/>
      <c r="F10297" s="546"/>
      <c r="G10297" s="234"/>
      <c r="H10297" s="238"/>
      <c r="I10297" s="237"/>
    </row>
    <row r="10298" spans="1:9" s="232" customFormat="1" ht="17" customHeight="1">
      <c r="A10298" s="234"/>
      <c r="B10298" s="233"/>
      <c r="C10298" s="238"/>
      <c r="E10298" s="545"/>
      <c r="F10298" s="546"/>
      <c r="G10298" s="234"/>
      <c r="H10298" s="238"/>
      <c r="I10298" s="237"/>
    </row>
    <row r="10299" spans="1:9" s="232" customFormat="1" ht="17" customHeight="1">
      <c r="A10299" s="234"/>
      <c r="B10299" s="233"/>
      <c r="C10299" s="238"/>
      <c r="E10299" s="545"/>
      <c r="F10299" s="546"/>
      <c r="G10299" s="234"/>
      <c r="H10299" s="238"/>
      <c r="I10299" s="237"/>
    </row>
    <row r="10300" spans="1:9" s="232" customFormat="1" ht="17" customHeight="1">
      <c r="A10300" s="234"/>
      <c r="B10300" s="233"/>
      <c r="C10300" s="238"/>
      <c r="E10300" s="545"/>
      <c r="F10300" s="546"/>
      <c r="G10300" s="234"/>
      <c r="H10300" s="238"/>
      <c r="I10300" s="237"/>
    </row>
    <row r="10301" spans="1:9" s="232" customFormat="1" ht="17" customHeight="1">
      <c r="A10301" s="234"/>
      <c r="B10301" s="233"/>
      <c r="C10301" s="238"/>
      <c r="E10301" s="545"/>
      <c r="F10301" s="546"/>
      <c r="G10301" s="234"/>
      <c r="H10301" s="238"/>
      <c r="I10301" s="237"/>
    </row>
    <row r="10302" spans="1:9" s="232" customFormat="1" ht="17" customHeight="1">
      <c r="A10302" s="234"/>
      <c r="B10302" s="233"/>
      <c r="C10302" s="238"/>
      <c r="E10302" s="545"/>
      <c r="F10302" s="546"/>
      <c r="G10302" s="234"/>
      <c r="H10302" s="238"/>
      <c r="I10302" s="237"/>
    </row>
    <row r="10303" spans="1:9" s="232" customFormat="1" ht="17" customHeight="1">
      <c r="A10303" s="234"/>
      <c r="B10303" s="233"/>
      <c r="C10303" s="238"/>
      <c r="E10303" s="545"/>
      <c r="F10303" s="546"/>
      <c r="G10303" s="234"/>
      <c r="H10303" s="238"/>
      <c r="I10303" s="237"/>
    </row>
    <row r="10304" spans="1:9" s="232" customFormat="1" ht="17" customHeight="1">
      <c r="A10304" s="234"/>
      <c r="B10304" s="233"/>
      <c r="C10304" s="238"/>
      <c r="E10304" s="545"/>
      <c r="F10304" s="546"/>
      <c r="G10304" s="234"/>
      <c r="H10304" s="238"/>
      <c r="I10304" s="237"/>
    </row>
    <row r="10305" spans="1:9" s="232" customFormat="1" ht="17" customHeight="1">
      <c r="A10305" s="234"/>
      <c r="B10305" s="233"/>
      <c r="C10305" s="238"/>
      <c r="E10305" s="545"/>
      <c r="F10305" s="546"/>
      <c r="G10305" s="234"/>
      <c r="H10305" s="238"/>
      <c r="I10305" s="237"/>
    </row>
    <row r="10306" spans="1:9" s="232" customFormat="1" ht="17" customHeight="1">
      <c r="A10306" s="234"/>
      <c r="B10306" s="233"/>
      <c r="C10306" s="238"/>
      <c r="E10306" s="545"/>
      <c r="F10306" s="546"/>
      <c r="G10306" s="234"/>
      <c r="H10306" s="238"/>
      <c r="I10306" s="237"/>
    </row>
    <row r="10307" spans="1:9" s="232" customFormat="1" ht="17" customHeight="1">
      <c r="A10307" s="234"/>
      <c r="B10307" s="233"/>
      <c r="C10307" s="238"/>
      <c r="E10307" s="545"/>
      <c r="F10307" s="546"/>
      <c r="G10307" s="234"/>
      <c r="H10307" s="238"/>
      <c r="I10307" s="237"/>
    </row>
    <row r="10308" spans="1:9" s="232" customFormat="1" ht="17" customHeight="1">
      <c r="A10308" s="234"/>
      <c r="B10308" s="233"/>
      <c r="C10308" s="238"/>
      <c r="E10308" s="545"/>
      <c r="F10308" s="546"/>
      <c r="G10308" s="234"/>
      <c r="H10308" s="238"/>
      <c r="I10308" s="237"/>
    </row>
    <row r="10309" spans="1:9" s="232" customFormat="1" ht="17" customHeight="1">
      <c r="A10309" s="234"/>
      <c r="B10309" s="233"/>
      <c r="C10309" s="238"/>
      <c r="E10309" s="545"/>
      <c r="F10309" s="546"/>
      <c r="G10309" s="234"/>
      <c r="H10309" s="238"/>
      <c r="I10309" s="237"/>
    </row>
    <row r="10310" spans="1:9" s="232" customFormat="1" ht="17" customHeight="1">
      <c r="A10310" s="234"/>
      <c r="B10310" s="233"/>
      <c r="C10310" s="238"/>
      <c r="E10310" s="545"/>
      <c r="F10310" s="546"/>
      <c r="G10310" s="234"/>
      <c r="H10310" s="238"/>
      <c r="I10310" s="237"/>
    </row>
    <row r="10311" spans="1:9" s="232" customFormat="1" ht="17" customHeight="1">
      <c r="A10311" s="234"/>
      <c r="B10311" s="233"/>
      <c r="C10311" s="238"/>
      <c r="E10311" s="545"/>
      <c r="F10311" s="546"/>
      <c r="G10311" s="234"/>
      <c r="H10311" s="238"/>
      <c r="I10311" s="237"/>
    </row>
    <row r="10312" spans="1:9" s="232" customFormat="1" ht="17" customHeight="1">
      <c r="A10312" s="234"/>
      <c r="B10312" s="233"/>
      <c r="C10312" s="238"/>
      <c r="E10312" s="545"/>
      <c r="F10312" s="546"/>
      <c r="G10312" s="234"/>
      <c r="H10312" s="238"/>
      <c r="I10312" s="237"/>
    </row>
    <row r="10313" spans="1:9" s="232" customFormat="1" ht="17" customHeight="1">
      <c r="A10313" s="234"/>
      <c r="B10313" s="233"/>
      <c r="C10313" s="238"/>
      <c r="E10313" s="545"/>
      <c r="F10313" s="546"/>
      <c r="G10313" s="234"/>
      <c r="H10313" s="238"/>
      <c r="I10313" s="237"/>
    </row>
    <row r="10314" spans="1:9" s="232" customFormat="1" ht="17" customHeight="1">
      <c r="A10314" s="234"/>
      <c r="B10314" s="233"/>
      <c r="C10314" s="238"/>
      <c r="E10314" s="545"/>
      <c r="F10314" s="546"/>
      <c r="G10314" s="234"/>
      <c r="H10314" s="238"/>
      <c r="I10314" s="237"/>
    </row>
    <row r="10315" spans="1:9" s="232" customFormat="1" ht="17" customHeight="1">
      <c r="A10315" s="234"/>
      <c r="B10315" s="233"/>
      <c r="C10315" s="238"/>
      <c r="E10315" s="545"/>
      <c r="F10315" s="546"/>
      <c r="G10315" s="234"/>
      <c r="H10315" s="238"/>
      <c r="I10315" s="237"/>
    </row>
    <row r="10316" spans="1:9" s="232" customFormat="1" ht="17" customHeight="1">
      <c r="A10316" s="234"/>
      <c r="B10316" s="233"/>
      <c r="C10316" s="238"/>
      <c r="E10316" s="545"/>
      <c r="F10316" s="546"/>
      <c r="G10316" s="234"/>
      <c r="H10316" s="238"/>
      <c r="I10316" s="237"/>
    </row>
    <row r="10317" spans="1:9" s="232" customFormat="1" ht="17" customHeight="1">
      <c r="A10317" s="234"/>
      <c r="B10317" s="233"/>
      <c r="C10317" s="238"/>
      <c r="E10317" s="545"/>
      <c r="F10317" s="546"/>
      <c r="G10317" s="234"/>
      <c r="H10317" s="238"/>
      <c r="I10317" s="237"/>
    </row>
    <row r="10318" spans="1:9" s="232" customFormat="1" ht="17" customHeight="1">
      <c r="A10318" s="234"/>
      <c r="B10318" s="233"/>
      <c r="C10318" s="238"/>
      <c r="E10318" s="545"/>
      <c r="F10318" s="546"/>
      <c r="G10318" s="234"/>
      <c r="H10318" s="238"/>
      <c r="I10318" s="237"/>
    </row>
    <row r="10319" spans="1:9" s="232" customFormat="1" ht="17" customHeight="1">
      <c r="A10319" s="234"/>
      <c r="B10319" s="233"/>
      <c r="C10319" s="238"/>
      <c r="E10319" s="545"/>
      <c r="F10319" s="546"/>
      <c r="G10319" s="234"/>
      <c r="H10319" s="238"/>
      <c r="I10319" s="237"/>
    </row>
    <row r="10320" spans="1:9" s="232" customFormat="1" ht="17" customHeight="1">
      <c r="A10320" s="234"/>
      <c r="B10320" s="233"/>
      <c r="C10320" s="238"/>
      <c r="E10320" s="545"/>
      <c r="F10320" s="546"/>
      <c r="G10320" s="234"/>
      <c r="H10320" s="238"/>
      <c r="I10320" s="237"/>
    </row>
    <row r="10321" spans="1:9" s="232" customFormat="1" ht="17" customHeight="1">
      <c r="A10321" s="234"/>
      <c r="B10321" s="233"/>
      <c r="C10321" s="238"/>
      <c r="E10321" s="545"/>
      <c r="F10321" s="546"/>
      <c r="G10321" s="234"/>
      <c r="H10321" s="238"/>
      <c r="I10321" s="237"/>
    </row>
    <row r="10322" spans="1:9" s="232" customFormat="1" ht="17" customHeight="1">
      <c r="A10322" s="234"/>
      <c r="B10322" s="233"/>
      <c r="C10322" s="238"/>
      <c r="E10322" s="545"/>
      <c r="F10322" s="546"/>
      <c r="G10322" s="234"/>
      <c r="H10322" s="238"/>
      <c r="I10322" s="237"/>
    </row>
    <row r="10323" spans="1:9" s="232" customFormat="1" ht="17" customHeight="1">
      <c r="A10323" s="234"/>
      <c r="B10323" s="233"/>
      <c r="C10323" s="238"/>
      <c r="E10323" s="545"/>
      <c r="F10323" s="546"/>
      <c r="G10323" s="234"/>
      <c r="H10323" s="238"/>
      <c r="I10323" s="237"/>
    </row>
    <row r="10324" spans="1:9" s="232" customFormat="1" ht="17" customHeight="1">
      <c r="A10324" s="234"/>
      <c r="B10324" s="233"/>
      <c r="C10324" s="238"/>
      <c r="E10324" s="545"/>
      <c r="F10324" s="546"/>
      <c r="G10324" s="234"/>
      <c r="H10324" s="238"/>
      <c r="I10324" s="237"/>
    </row>
    <row r="10325" spans="1:9" s="232" customFormat="1" ht="17" customHeight="1">
      <c r="A10325" s="234"/>
      <c r="B10325" s="233"/>
      <c r="C10325" s="238"/>
      <c r="E10325" s="545"/>
      <c r="F10325" s="546"/>
      <c r="G10325" s="234"/>
      <c r="H10325" s="238"/>
      <c r="I10325" s="237"/>
    </row>
    <row r="10326" spans="1:9" s="232" customFormat="1" ht="17" customHeight="1">
      <c r="A10326" s="234"/>
      <c r="B10326" s="233"/>
      <c r="C10326" s="238"/>
      <c r="E10326" s="545"/>
      <c r="F10326" s="546"/>
      <c r="G10326" s="234"/>
      <c r="H10326" s="238"/>
      <c r="I10326" s="237"/>
    </row>
    <row r="10327" spans="1:9" s="232" customFormat="1" ht="17" customHeight="1">
      <c r="A10327" s="234"/>
      <c r="B10327" s="233"/>
      <c r="C10327" s="238"/>
      <c r="E10327" s="545"/>
      <c r="F10327" s="546"/>
      <c r="G10327" s="234"/>
      <c r="H10327" s="238"/>
      <c r="I10327" s="237"/>
    </row>
    <row r="10328" spans="1:9" s="232" customFormat="1" ht="17" customHeight="1">
      <c r="A10328" s="234"/>
      <c r="B10328" s="233"/>
      <c r="C10328" s="238"/>
      <c r="E10328" s="545"/>
      <c r="F10328" s="546"/>
      <c r="G10328" s="234"/>
      <c r="H10328" s="238"/>
      <c r="I10328" s="237"/>
    </row>
    <row r="10329" spans="1:9" s="232" customFormat="1" ht="17" customHeight="1">
      <c r="A10329" s="234"/>
      <c r="B10329" s="233"/>
      <c r="C10329" s="238"/>
      <c r="E10329" s="545"/>
      <c r="F10329" s="546"/>
      <c r="G10329" s="234"/>
      <c r="H10329" s="238"/>
      <c r="I10329" s="237"/>
    </row>
    <row r="10330" spans="1:9" s="232" customFormat="1" ht="17" customHeight="1">
      <c r="A10330" s="234"/>
      <c r="B10330" s="233"/>
      <c r="C10330" s="238"/>
      <c r="E10330" s="545"/>
      <c r="F10330" s="546"/>
      <c r="G10330" s="234"/>
      <c r="H10330" s="238"/>
      <c r="I10330" s="237"/>
    </row>
    <row r="10331" spans="1:9" s="232" customFormat="1" ht="17" customHeight="1">
      <c r="A10331" s="234"/>
      <c r="B10331" s="233"/>
      <c r="C10331" s="238"/>
      <c r="E10331" s="545"/>
      <c r="F10331" s="546"/>
      <c r="G10331" s="234"/>
      <c r="H10331" s="238"/>
      <c r="I10331" s="237"/>
    </row>
    <row r="10332" spans="1:9" s="232" customFormat="1" ht="17" customHeight="1">
      <c r="A10332" s="234"/>
      <c r="B10332" s="233"/>
      <c r="C10332" s="238"/>
      <c r="E10332" s="545"/>
      <c r="F10332" s="546"/>
      <c r="G10332" s="234"/>
      <c r="H10332" s="238"/>
      <c r="I10332" s="237"/>
    </row>
    <row r="10333" spans="1:9" s="232" customFormat="1" ht="17" customHeight="1">
      <c r="A10333" s="234"/>
      <c r="B10333" s="233"/>
      <c r="C10333" s="238"/>
      <c r="E10333" s="545"/>
      <c r="F10333" s="546"/>
      <c r="G10333" s="234"/>
      <c r="H10333" s="238"/>
      <c r="I10333" s="237"/>
    </row>
    <row r="10334" spans="1:9" s="232" customFormat="1" ht="17" customHeight="1">
      <c r="A10334" s="234"/>
      <c r="B10334" s="233"/>
      <c r="C10334" s="238"/>
      <c r="E10334" s="545"/>
      <c r="F10334" s="546"/>
      <c r="G10334" s="234"/>
      <c r="H10334" s="238"/>
      <c r="I10334" s="237"/>
    </row>
    <row r="10335" spans="1:9" s="232" customFormat="1" ht="17" customHeight="1">
      <c r="A10335" s="234"/>
      <c r="B10335" s="233"/>
      <c r="C10335" s="238"/>
      <c r="E10335" s="545"/>
      <c r="F10335" s="546"/>
      <c r="G10335" s="234"/>
      <c r="H10335" s="238"/>
      <c r="I10335" s="237"/>
    </row>
    <row r="10336" spans="1:9" s="232" customFormat="1" ht="17" customHeight="1">
      <c r="A10336" s="234"/>
      <c r="B10336" s="233"/>
      <c r="C10336" s="238"/>
      <c r="E10336" s="545"/>
      <c r="F10336" s="546"/>
      <c r="G10336" s="234"/>
      <c r="H10336" s="238"/>
      <c r="I10336" s="237"/>
    </row>
    <row r="10337" spans="1:9" s="232" customFormat="1" ht="17" customHeight="1">
      <c r="A10337" s="234"/>
      <c r="B10337" s="233"/>
      <c r="C10337" s="238"/>
      <c r="E10337" s="545"/>
      <c r="F10337" s="546"/>
      <c r="G10337" s="234"/>
      <c r="H10337" s="238"/>
      <c r="I10337" s="237"/>
    </row>
    <row r="10338" spans="1:9" s="232" customFormat="1" ht="17" customHeight="1">
      <c r="A10338" s="234"/>
      <c r="B10338" s="233"/>
      <c r="C10338" s="238"/>
      <c r="E10338" s="545"/>
      <c r="F10338" s="546"/>
      <c r="G10338" s="234"/>
      <c r="H10338" s="238"/>
      <c r="I10338" s="237"/>
    </row>
    <row r="10339" spans="1:9" s="232" customFormat="1" ht="17" customHeight="1">
      <c r="A10339" s="234"/>
      <c r="B10339" s="233"/>
      <c r="C10339" s="238"/>
      <c r="E10339" s="545"/>
      <c r="F10339" s="546"/>
      <c r="G10339" s="234"/>
      <c r="H10339" s="238"/>
      <c r="I10339" s="237"/>
    </row>
    <row r="10340" spans="1:9" s="232" customFormat="1" ht="17" customHeight="1">
      <c r="A10340" s="234"/>
      <c r="B10340" s="233"/>
      <c r="C10340" s="238"/>
      <c r="E10340" s="545"/>
      <c r="F10340" s="546"/>
      <c r="G10340" s="234"/>
      <c r="H10340" s="238"/>
      <c r="I10340" s="237"/>
    </row>
    <row r="10341" spans="1:9" s="232" customFormat="1" ht="17" customHeight="1">
      <c r="A10341" s="234"/>
      <c r="B10341" s="233"/>
      <c r="C10341" s="238"/>
      <c r="E10341" s="545"/>
      <c r="F10341" s="546"/>
      <c r="G10341" s="234"/>
      <c r="H10341" s="238"/>
      <c r="I10341" s="237"/>
    </row>
    <row r="10342" spans="1:9" s="232" customFormat="1" ht="17" customHeight="1">
      <c r="A10342" s="234"/>
      <c r="B10342" s="233"/>
      <c r="C10342" s="238"/>
      <c r="E10342" s="545"/>
      <c r="F10342" s="546"/>
      <c r="G10342" s="234"/>
      <c r="H10342" s="238"/>
      <c r="I10342" s="237"/>
    </row>
    <row r="10343" spans="1:9" s="232" customFormat="1" ht="17" customHeight="1">
      <c r="A10343" s="234"/>
      <c r="B10343" s="233"/>
      <c r="C10343" s="238"/>
      <c r="E10343" s="545"/>
      <c r="F10343" s="546"/>
      <c r="G10343" s="234"/>
      <c r="H10343" s="238"/>
      <c r="I10343" s="237"/>
    </row>
    <row r="10344" spans="1:9" s="232" customFormat="1" ht="17" customHeight="1">
      <c r="A10344" s="234"/>
      <c r="B10344" s="233"/>
      <c r="C10344" s="238"/>
      <c r="E10344" s="545"/>
      <c r="F10344" s="546"/>
      <c r="G10344" s="234"/>
      <c r="H10344" s="238"/>
      <c r="I10344" s="237"/>
    </row>
    <row r="10345" spans="1:9" s="232" customFormat="1" ht="17" customHeight="1">
      <c r="A10345" s="234"/>
      <c r="B10345" s="233"/>
      <c r="C10345" s="238"/>
      <c r="E10345" s="545"/>
      <c r="F10345" s="546"/>
      <c r="G10345" s="234"/>
      <c r="H10345" s="238"/>
      <c r="I10345" s="237"/>
    </row>
    <row r="10346" spans="1:9" s="232" customFormat="1" ht="17" customHeight="1">
      <c r="A10346" s="234"/>
      <c r="B10346" s="233"/>
      <c r="C10346" s="238"/>
      <c r="E10346" s="545"/>
      <c r="F10346" s="546"/>
      <c r="G10346" s="234"/>
      <c r="H10346" s="238"/>
      <c r="I10346" s="237"/>
    </row>
    <row r="10347" spans="1:9" s="232" customFormat="1" ht="17" customHeight="1">
      <c r="A10347" s="234"/>
      <c r="B10347" s="233"/>
      <c r="C10347" s="238"/>
      <c r="E10347" s="545"/>
      <c r="F10347" s="546"/>
      <c r="G10347" s="234"/>
      <c r="H10347" s="238"/>
      <c r="I10347" s="237"/>
    </row>
    <row r="10348" spans="1:9" s="232" customFormat="1" ht="17" customHeight="1">
      <c r="A10348" s="234"/>
      <c r="B10348" s="233"/>
      <c r="C10348" s="238"/>
      <c r="E10348" s="545"/>
      <c r="F10348" s="546"/>
      <c r="G10348" s="234"/>
      <c r="H10348" s="238"/>
      <c r="I10348" s="237"/>
    </row>
    <row r="10349" spans="1:9" s="232" customFormat="1" ht="17" customHeight="1">
      <c r="A10349" s="234"/>
      <c r="B10349" s="233"/>
      <c r="C10349" s="238"/>
      <c r="E10349" s="545"/>
      <c r="F10349" s="546"/>
      <c r="G10349" s="234"/>
      <c r="H10349" s="238"/>
      <c r="I10349" s="237"/>
    </row>
    <row r="10350" spans="1:9" s="232" customFormat="1" ht="17" customHeight="1">
      <c r="A10350" s="234"/>
      <c r="B10350" s="233"/>
      <c r="C10350" s="238"/>
      <c r="E10350" s="545"/>
      <c r="F10350" s="546"/>
      <c r="G10350" s="234"/>
      <c r="H10350" s="238"/>
      <c r="I10350" s="237"/>
    </row>
    <row r="10351" spans="1:9" s="232" customFormat="1" ht="17" customHeight="1">
      <c r="A10351" s="234"/>
      <c r="B10351" s="233"/>
      <c r="C10351" s="238"/>
      <c r="E10351" s="545"/>
      <c r="F10351" s="546"/>
      <c r="G10351" s="234"/>
      <c r="H10351" s="238"/>
      <c r="I10351" s="237"/>
    </row>
    <row r="10352" spans="1:9" s="232" customFormat="1" ht="17" customHeight="1">
      <c r="A10352" s="234"/>
      <c r="B10352" s="233"/>
      <c r="C10352" s="238"/>
      <c r="E10352" s="545"/>
      <c r="F10352" s="546"/>
      <c r="G10352" s="234"/>
      <c r="H10352" s="238"/>
      <c r="I10352" s="237"/>
    </row>
    <row r="10353" spans="1:9" s="232" customFormat="1" ht="17" customHeight="1">
      <c r="A10353" s="234"/>
      <c r="B10353" s="233"/>
      <c r="C10353" s="238"/>
      <c r="E10353" s="545"/>
      <c r="F10353" s="546"/>
      <c r="G10353" s="234"/>
      <c r="H10353" s="238"/>
      <c r="I10353" s="237"/>
    </row>
    <row r="10354" spans="1:9" s="232" customFormat="1" ht="17" customHeight="1">
      <c r="A10354" s="234"/>
      <c r="B10354" s="233"/>
      <c r="C10354" s="238"/>
      <c r="E10354" s="545"/>
      <c r="F10354" s="546"/>
      <c r="G10354" s="234"/>
      <c r="H10354" s="238"/>
      <c r="I10354" s="237"/>
    </row>
    <row r="10355" spans="1:9" s="232" customFormat="1" ht="17" customHeight="1">
      <c r="A10355" s="234"/>
      <c r="B10355" s="233"/>
      <c r="C10355" s="238"/>
      <c r="E10355" s="545"/>
      <c r="F10355" s="546"/>
      <c r="G10355" s="234"/>
      <c r="H10355" s="238"/>
      <c r="I10355" s="237"/>
    </row>
    <row r="10356" spans="1:9" s="232" customFormat="1" ht="17" customHeight="1">
      <c r="A10356" s="234"/>
      <c r="B10356" s="233"/>
      <c r="C10356" s="238"/>
      <c r="E10356" s="545"/>
      <c r="F10356" s="546"/>
      <c r="G10356" s="234"/>
      <c r="H10356" s="238"/>
      <c r="I10356" s="237"/>
    </row>
    <row r="10357" spans="1:9" s="232" customFormat="1" ht="17" customHeight="1">
      <c r="A10357" s="234"/>
      <c r="B10357" s="233"/>
      <c r="C10357" s="238"/>
      <c r="E10357" s="545"/>
      <c r="F10357" s="546"/>
      <c r="G10357" s="234"/>
      <c r="H10357" s="238"/>
      <c r="I10357" s="237"/>
    </row>
    <row r="10358" spans="1:9" s="232" customFormat="1" ht="17" customHeight="1">
      <c r="A10358" s="234"/>
      <c r="B10358" s="233"/>
      <c r="C10358" s="238"/>
      <c r="E10358" s="545"/>
      <c r="F10358" s="546"/>
      <c r="G10358" s="234"/>
      <c r="H10358" s="238"/>
      <c r="I10358" s="237"/>
    </row>
    <row r="10359" spans="1:9" s="232" customFormat="1" ht="17" customHeight="1">
      <c r="A10359" s="234"/>
      <c r="B10359" s="233"/>
      <c r="C10359" s="238"/>
      <c r="E10359" s="545"/>
      <c r="F10359" s="546"/>
      <c r="G10359" s="234"/>
      <c r="H10359" s="238"/>
      <c r="I10359" s="237"/>
    </row>
    <row r="10360" spans="1:9" s="232" customFormat="1" ht="17" customHeight="1">
      <c r="A10360" s="234"/>
      <c r="B10360" s="233"/>
      <c r="C10360" s="238"/>
      <c r="E10360" s="545"/>
      <c r="F10360" s="546"/>
      <c r="G10360" s="234"/>
      <c r="H10360" s="238"/>
      <c r="I10360" s="237"/>
    </row>
    <row r="10361" spans="1:9" s="232" customFormat="1" ht="17" customHeight="1">
      <c r="A10361" s="234"/>
      <c r="B10361" s="233"/>
      <c r="C10361" s="238"/>
      <c r="E10361" s="545"/>
      <c r="F10361" s="546"/>
      <c r="G10361" s="234"/>
      <c r="H10361" s="238"/>
      <c r="I10361" s="237"/>
    </row>
    <row r="10362" spans="1:9" s="232" customFormat="1" ht="17" customHeight="1">
      <c r="A10362" s="234"/>
      <c r="B10362" s="233"/>
      <c r="C10362" s="238"/>
      <c r="E10362" s="545"/>
      <c r="F10362" s="546"/>
      <c r="G10362" s="234"/>
      <c r="H10362" s="238"/>
      <c r="I10362" s="237"/>
    </row>
    <row r="10363" spans="1:9" s="232" customFormat="1" ht="17" customHeight="1">
      <c r="A10363" s="234"/>
      <c r="B10363" s="233"/>
      <c r="C10363" s="238"/>
      <c r="E10363" s="545"/>
      <c r="F10363" s="546"/>
      <c r="G10363" s="234"/>
      <c r="H10363" s="238"/>
      <c r="I10363" s="237"/>
    </row>
    <row r="10364" spans="1:9" s="232" customFormat="1" ht="17" customHeight="1">
      <c r="A10364" s="234"/>
      <c r="B10364" s="233"/>
      <c r="C10364" s="238"/>
      <c r="E10364" s="545"/>
      <c r="F10364" s="546"/>
      <c r="G10364" s="234"/>
      <c r="H10364" s="238"/>
      <c r="I10364" s="237"/>
    </row>
    <row r="10365" spans="1:9" s="232" customFormat="1" ht="17" customHeight="1">
      <c r="A10365" s="234"/>
      <c r="B10365" s="233"/>
      <c r="C10365" s="238"/>
      <c r="E10365" s="545"/>
      <c r="F10365" s="546"/>
      <c r="G10365" s="234"/>
      <c r="H10365" s="238"/>
      <c r="I10365" s="237"/>
    </row>
    <row r="10366" spans="1:9" s="232" customFormat="1" ht="17" customHeight="1">
      <c r="A10366" s="234"/>
      <c r="B10366" s="233"/>
      <c r="C10366" s="238"/>
      <c r="E10366" s="545"/>
      <c r="F10366" s="546"/>
      <c r="G10366" s="234"/>
      <c r="H10366" s="238"/>
      <c r="I10366" s="237"/>
    </row>
    <row r="10367" spans="1:9" s="232" customFormat="1" ht="17" customHeight="1">
      <c r="A10367" s="234"/>
      <c r="B10367" s="233"/>
      <c r="C10367" s="238"/>
      <c r="E10367" s="545"/>
      <c r="F10367" s="546"/>
      <c r="G10367" s="234"/>
      <c r="H10367" s="238"/>
      <c r="I10367" s="237"/>
    </row>
    <row r="10368" spans="1:9" s="232" customFormat="1" ht="17" customHeight="1">
      <c r="A10368" s="234"/>
      <c r="B10368" s="233"/>
      <c r="C10368" s="238"/>
      <c r="E10368" s="545"/>
      <c r="F10368" s="546"/>
      <c r="G10368" s="234"/>
      <c r="H10368" s="238"/>
      <c r="I10368" s="237"/>
    </row>
    <row r="10369" spans="1:9" s="232" customFormat="1" ht="17" customHeight="1">
      <c r="A10369" s="234"/>
      <c r="B10369" s="233"/>
      <c r="C10369" s="238"/>
      <c r="E10369" s="545"/>
      <c r="F10369" s="546"/>
      <c r="G10369" s="234"/>
      <c r="H10369" s="238"/>
      <c r="I10369" s="237"/>
    </row>
    <row r="10370" spans="1:9" s="232" customFormat="1" ht="17" customHeight="1">
      <c r="A10370" s="234"/>
      <c r="B10370" s="233"/>
      <c r="C10370" s="238"/>
      <c r="E10370" s="545"/>
      <c r="F10370" s="546"/>
      <c r="G10370" s="234"/>
      <c r="H10370" s="238"/>
      <c r="I10370" s="237"/>
    </row>
    <row r="10371" spans="1:9" s="232" customFormat="1" ht="17" customHeight="1">
      <c r="A10371" s="234"/>
      <c r="B10371" s="233"/>
      <c r="C10371" s="238"/>
      <c r="E10371" s="545"/>
      <c r="F10371" s="546"/>
      <c r="G10371" s="234"/>
      <c r="H10371" s="238"/>
      <c r="I10371" s="237"/>
    </row>
    <row r="10372" spans="1:9" s="232" customFormat="1" ht="17" customHeight="1">
      <c r="A10372" s="234"/>
      <c r="B10372" s="233"/>
      <c r="C10372" s="238"/>
      <c r="E10372" s="545"/>
      <c r="F10372" s="546"/>
      <c r="G10372" s="234"/>
      <c r="H10372" s="238"/>
      <c r="I10372" s="237"/>
    </row>
    <row r="10373" spans="1:9" s="232" customFormat="1" ht="17" customHeight="1">
      <c r="A10373" s="234"/>
      <c r="B10373" s="233"/>
      <c r="C10373" s="238"/>
      <c r="E10373" s="545"/>
      <c r="F10373" s="546"/>
      <c r="G10373" s="234"/>
      <c r="H10373" s="238"/>
      <c r="I10373" s="237"/>
    </row>
    <row r="10374" spans="1:9" s="232" customFormat="1" ht="17" customHeight="1">
      <c r="A10374" s="234"/>
      <c r="B10374" s="233"/>
      <c r="C10374" s="238"/>
      <c r="E10374" s="545"/>
      <c r="F10374" s="546"/>
      <c r="G10374" s="234"/>
      <c r="H10374" s="238"/>
      <c r="I10374" s="237"/>
    </row>
    <row r="10375" spans="1:9" s="232" customFormat="1" ht="17" customHeight="1">
      <c r="A10375" s="234"/>
      <c r="B10375" s="233"/>
      <c r="C10375" s="238"/>
      <c r="E10375" s="545"/>
      <c r="F10375" s="546"/>
      <c r="G10375" s="234"/>
      <c r="H10375" s="238"/>
      <c r="I10375" s="237"/>
    </row>
    <row r="10376" spans="1:9" s="232" customFormat="1" ht="17" customHeight="1">
      <c r="A10376" s="234"/>
      <c r="B10376" s="233"/>
      <c r="C10376" s="238"/>
      <c r="E10376" s="545"/>
      <c r="F10376" s="546"/>
      <c r="G10376" s="234"/>
      <c r="H10376" s="238"/>
      <c r="I10376" s="237"/>
    </row>
    <row r="10377" spans="1:9" s="232" customFormat="1" ht="17" customHeight="1">
      <c r="A10377" s="234"/>
      <c r="B10377" s="233"/>
      <c r="C10377" s="238"/>
      <c r="E10377" s="545"/>
      <c r="F10377" s="546"/>
      <c r="G10377" s="234"/>
      <c r="H10377" s="238"/>
      <c r="I10377" s="237"/>
    </row>
    <row r="10378" spans="1:9" s="232" customFormat="1" ht="17" customHeight="1">
      <c r="A10378" s="234"/>
      <c r="B10378" s="233"/>
      <c r="C10378" s="238"/>
      <c r="E10378" s="545"/>
      <c r="F10378" s="546"/>
      <c r="G10378" s="234"/>
      <c r="H10378" s="238"/>
      <c r="I10378" s="237"/>
    </row>
    <row r="10379" spans="1:9" s="232" customFormat="1" ht="17" customHeight="1">
      <c r="A10379" s="234"/>
      <c r="B10379" s="233"/>
      <c r="C10379" s="238"/>
      <c r="E10379" s="545"/>
      <c r="F10379" s="546"/>
      <c r="G10379" s="234"/>
      <c r="H10379" s="238"/>
      <c r="I10379" s="237"/>
    </row>
    <row r="10380" spans="1:9" s="232" customFormat="1" ht="17" customHeight="1">
      <c r="A10380" s="234"/>
      <c r="B10380" s="233"/>
      <c r="C10380" s="238"/>
      <c r="E10380" s="545"/>
      <c r="F10380" s="546"/>
      <c r="G10380" s="234"/>
      <c r="H10380" s="238"/>
      <c r="I10380" s="237"/>
    </row>
    <row r="10381" spans="1:9" s="232" customFormat="1" ht="17" customHeight="1">
      <c r="A10381" s="234"/>
      <c r="B10381" s="233"/>
      <c r="C10381" s="238"/>
      <c r="E10381" s="545"/>
      <c r="F10381" s="546"/>
      <c r="G10381" s="234"/>
      <c r="H10381" s="238"/>
      <c r="I10381" s="237"/>
    </row>
    <row r="10382" spans="1:9" s="232" customFormat="1" ht="17" customHeight="1">
      <c r="A10382" s="234"/>
      <c r="B10382" s="233"/>
      <c r="C10382" s="238"/>
      <c r="E10382" s="545"/>
      <c r="F10382" s="546"/>
      <c r="G10382" s="234"/>
      <c r="H10382" s="238"/>
      <c r="I10382" s="237"/>
    </row>
    <row r="10383" spans="1:9" s="232" customFormat="1" ht="17" customHeight="1">
      <c r="A10383" s="234"/>
      <c r="B10383" s="233"/>
      <c r="C10383" s="238"/>
      <c r="E10383" s="545"/>
      <c r="F10383" s="546"/>
      <c r="G10383" s="234"/>
      <c r="H10383" s="238"/>
      <c r="I10383" s="237"/>
    </row>
    <row r="10384" spans="1:9" s="232" customFormat="1" ht="17" customHeight="1">
      <c r="A10384" s="234"/>
      <c r="B10384" s="233"/>
      <c r="C10384" s="238"/>
      <c r="E10384" s="545"/>
      <c r="F10384" s="546"/>
      <c r="G10384" s="234"/>
      <c r="H10384" s="238"/>
      <c r="I10384" s="237"/>
    </row>
    <row r="10385" spans="1:9" s="232" customFormat="1" ht="17" customHeight="1">
      <c r="A10385" s="234"/>
      <c r="B10385" s="233"/>
      <c r="C10385" s="238"/>
      <c r="E10385" s="545"/>
      <c r="F10385" s="546"/>
      <c r="G10385" s="234"/>
      <c r="H10385" s="238"/>
      <c r="I10385" s="237"/>
    </row>
    <row r="10386" spans="1:9" s="232" customFormat="1" ht="17" customHeight="1">
      <c r="A10386" s="234"/>
      <c r="B10386" s="233"/>
      <c r="C10386" s="238"/>
      <c r="E10386" s="545"/>
      <c r="F10386" s="546"/>
      <c r="G10386" s="234"/>
      <c r="H10386" s="238"/>
      <c r="I10386" s="237"/>
    </row>
    <row r="10387" spans="1:9" s="232" customFormat="1" ht="17" customHeight="1">
      <c r="A10387" s="234"/>
      <c r="B10387" s="233"/>
      <c r="C10387" s="238"/>
      <c r="E10387" s="545"/>
      <c r="F10387" s="546"/>
      <c r="G10387" s="234"/>
      <c r="H10387" s="238"/>
      <c r="I10387" s="237"/>
    </row>
    <row r="10388" spans="1:9" s="232" customFormat="1" ht="17" customHeight="1">
      <c r="A10388" s="234"/>
      <c r="B10388" s="233"/>
      <c r="C10388" s="238"/>
      <c r="E10388" s="545"/>
      <c r="F10388" s="546"/>
      <c r="G10388" s="234"/>
      <c r="H10388" s="238"/>
      <c r="I10388" s="237"/>
    </row>
    <row r="10389" spans="1:9" s="232" customFormat="1" ht="17" customHeight="1">
      <c r="A10389" s="234"/>
      <c r="B10389" s="233"/>
      <c r="C10389" s="238"/>
      <c r="E10389" s="545"/>
      <c r="F10389" s="546"/>
      <c r="G10389" s="234"/>
      <c r="H10389" s="238"/>
      <c r="I10389" s="237"/>
    </row>
    <row r="10390" spans="1:9" s="232" customFormat="1" ht="17" customHeight="1">
      <c r="A10390" s="234"/>
      <c r="B10390" s="233"/>
      <c r="C10390" s="238"/>
      <c r="E10390" s="545"/>
      <c r="F10390" s="546"/>
      <c r="G10390" s="234"/>
      <c r="H10390" s="238"/>
      <c r="I10390" s="237"/>
    </row>
    <row r="10391" spans="1:9" s="232" customFormat="1" ht="17" customHeight="1">
      <c r="A10391" s="234"/>
      <c r="B10391" s="233"/>
      <c r="C10391" s="238"/>
      <c r="E10391" s="545"/>
      <c r="F10391" s="546"/>
      <c r="G10391" s="234"/>
      <c r="H10391" s="238"/>
      <c r="I10391" s="237"/>
    </row>
    <row r="10392" spans="1:9" s="232" customFormat="1" ht="17" customHeight="1">
      <c r="A10392" s="234"/>
      <c r="B10392" s="233"/>
      <c r="C10392" s="238"/>
      <c r="E10392" s="545"/>
      <c r="F10392" s="546"/>
      <c r="G10392" s="234"/>
      <c r="H10392" s="238"/>
      <c r="I10392" s="237"/>
    </row>
    <row r="10393" spans="1:9" s="232" customFormat="1" ht="17" customHeight="1">
      <c r="A10393" s="234"/>
      <c r="B10393" s="233"/>
      <c r="C10393" s="238"/>
      <c r="E10393" s="545"/>
      <c r="F10393" s="546"/>
      <c r="G10393" s="234"/>
      <c r="H10393" s="238"/>
      <c r="I10393" s="237"/>
    </row>
    <row r="10394" spans="1:9" s="232" customFormat="1" ht="17" customHeight="1">
      <c r="A10394" s="234"/>
      <c r="B10394" s="233"/>
      <c r="C10394" s="238"/>
      <c r="E10394" s="545"/>
      <c r="F10394" s="546"/>
      <c r="G10394" s="234"/>
      <c r="H10394" s="238"/>
      <c r="I10394" s="237"/>
    </row>
    <row r="10395" spans="1:9" s="232" customFormat="1" ht="17" customHeight="1">
      <c r="A10395" s="234"/>
      <c r="B10395" s="233"/>
      <c r="C10395" s="238"/>
      <c r="E10395" s="545"/>
      <c r="F10395" s="546"/>
      <c r="G10395" s="234"/>
      <c r="H10395" s="238"/>
      <c r="I10395" s="237"/>
    </row>
    <row r="10396" spans="1:9" s="232" customFormat="1" ht="17" customHeight="1">
      <c r="A10396" s="234"/>
      <c r="B10396" s="233"/>
      <c r="C10396" s="238"/>
      <c r="E10396" s="545"/>
      <c r="F10396" s="546"/>
      <c r="G10396" s="234"/>
      <c r="H10396" s="238"/>
      <c r="I10396" s="237"/>
    </row>
    <row r="10397" spans="1:9" s="232" customFormat="1" ht="17" customHeight="1">
      <c r="A10397" s="234"/>
      <c r="B10397" s="233"/>
      <c r="C10397" s="238"/>
      <c r="E10397" s="545"/>
      <c r="F10397" s="546"/>
      <c r="G10397" s="234"/>
      <c r="H10397" s="238"/>
      <c r="I10397" s="237"/>
    </row>
    <row r="10398" spans="1:9" s="232" customFormat="1" ht="17" customHeight="1">
      <c r="A10398" s="234"/>
      <c r="B10398" s="233"/>
      <c r="C10398" s="238"/>
      <c r="E10398" s="545"/>
      <c r="F10398" s="546"/>
      <c r="G10398" s="234"/>
      <c r="H10398" s="238"/>
      <c r="I10398" s="237"/>
    </row>
    <row r="10399" spans="1:9" s="232" customFormat="1" ht="17" customHeight="1">
      <c r="A10399" s="234"/>
      <c r="B10399" s="233"/>
      <c r="C10399" s="238"/>
      <c r="E10399" s="545"/>
      <c r="F10399" s="546"/>
      <c r="G10399" s="234"/>
      <c r="H10399" s="238"/>
      <c r="I10399" s="237"/>
    </row>
    <row r="10400" spans="1:9" s="232" customFormat="1" ht="17" customHeight="1">
      <c r="A10400" s="234"/>
      <c r="B10400" s="233"/>
      <c r="C10400" s="238"/>
      <c r="E10400" s="545"/>
      <c r="F10400" s="546"/>
      <c r="G10400" s="234"/>
      <c r="H10400" s="238"/>
      <c r="I10400" s="237"/>
    </row>
    <row r="10401" spans="1:9" s="232" customFormat="1" ht="17" customHeight="1">
      <c r="A10401" s="234"/>
      <c r="B10401" s="233"/>
      <c r="C10401" s="238"/>
      <c r="E10401" s="545"/>
      <c r="F10401" s="546"/>
      <c r="G10401" s="234"/>
      <c r="H10401" s="238"/>
      <c r="I10401" s="237"/>
    </row>
    <row r="10402" spans="1:9" s="232" customFormat="1" ht="17" customHeight="1">
      <c r="A10402" s="234"/>
      <c r="B10402" s="233"/>
      <c r="C10402" s="238"/>
      <c r="E10402" s="545"/>
      <c r="F10402" s="546"/>
      <c r="G10402" s="234"/>
      <c r="H10402" s="238"/>
      <c r="I10402" s="237"/>
    </row>
    <row r="10403" spans="1:9" s="232" customFormat="1" ht="17" customHeight="1">
      <c r="A10403" s="234"/>
      <c r="B10403" s="233"/>
      <c r="C10403" s="238"/>
      <c r="E10403" s="545"/>
      <c r="F10403" s="546"/>
      <c r="G10403" s="234"/>
      <c r="H10403" s="238"/>
      <c r="I10403" s="237"/>
    </row>
    <row r="10404" spans="1:9" s="232" customFormat="1" ht="17" customHeight="1">
      <c r="A10404" s="234"/>
      <c r="B10404" s="233"/>
      <c r="C10404" s="238"/>
      <c r="E10404" s="545"/>
      <c r="F10404" s="546"/>
      <c r="G10404" s="234"/>
      <c r="H10404" s="238"/>
      <c r="I10404" s="237"/>
    </row>
    <row r="10405" spans="1:9" s="232" customFormat="1" ht="17" customHeight="1">
      <c r="A10405" s="234"/>
      <c r="B10405" s="233"/>
      <c r="C10405" s="238"/>
      <c r="E10405" s="545"/>
      <c r="F10405" s="546"/>
      <c r="G10405" s="234"/>
      <c r="H10405" s="238"/>
      <c r="I10405" s="237"/>
    </row>
    <row r="10406" spans="1:9" s="232" customFormat="1" ht="17" customHeight="1">
      <c r="A10406" s="234"/>
      <c r="B10406" s="233"/>
      <c r="C10406" s="238"/>
      <c r="E10406" s="545"/>
      <c r="F10406" s="546"/>
      <c r="G10406" s="234"/>
      <c r="H10406" s="238"/>
      <c r="I10406" s="237"/>
    </row>
    <row r="10407" spans="1:9" s="232" customFormat="1" ht="17" customHeight="1">
      <c r="A10407" s="234"/>
      <c r="B10407" s="233"/>
      <c r="C10407" s="238"/>
      <c r="E10407" s="545"/>
      <c r="F10407" s="546"/>
      <c r="G10407" s="234"/>
      <c r="H10407" s="238"/>
      <c r="I10407" s="237"/>
    </row>
    <row r="10408" spans="1:9" s="232" customFormat="1" ht="17" customHeight="1">
      <c r="A10408" s="234"/>
      <c r="B10408" s="233"/>
      <c r="C10408" s="238"/>
      <c r="E10408" s="545"/>
      <c r="F10408" s="546"/>
      <c r="G10408" s="234"/>
      <c r="H10408" s="238"/>
      <c r="I10408" s="237"/>
    </row>
    <row r="10409" spans="1:9" s="232" customFormat="1" ht="17" customHeight="1">
      <c r="A10409" s="234"/>
      <c r="B10409" s="233"/>
      <c r="C10409" s="238"/>
      <c r="E10409" s="545"/>
      <c r="F10409" s="546"/>
      <c r="G10409" s="234"/>
      <c r="H10409" s="238"/>
      <c r="I10409" s="237"/>
    </row>
    <row r="10410" spans="1:9" s="232" customFormat="1" ht="17" customHeight="1">
      <c r="A10410" s="234"/>
      <c r="B10410" s="233"/>
      <c r="C10410" s="238"/>
      <c r="E10410" s="545"/>
      <c r="F10410" s="546"/>
      <c r="G10410" s="234"/>
      <c r="H10410" s="238"/>
      <c r="I10410" s="237"/>
    </row>
    <row r="10411" spans="1:9" s="232" customFormat="1" ht="17" customHeight="1">
      <c r="A10411" s="234"/>
      <c r="B10411" s="233"/>
      <c r="C10411" s="238"/>
      <c r="E10411" s="545"/>
      <c r="F10411" s="546"/>
      <c r="G10411" s="234"/>
      <c r="H10411" s="238"/>
      <c r="I10411" s="237"/>
    </row>
    <row r="10412" spans="1:9" s="232" customFormat="1" ht="17" customHeight="1">
      <c r="A10412" s="234"/>
      <c r="B10412" s="233"/>
      <c r="C10412" s="238"/>
      <c r="E10412" s="545"/>
      <c r="F10412" s="546"/>
      <c r="G10412" s="234"/>
      <c r="H10412" s="238"/>
      <c r="I10412" s="237"/>
    </row>
    <row r="10413" spans="1:9" s="232" customFormat="1" ht="17" customHeight="1">
      <c r="A10413" s="234"/>
      <c r="B10413" s="233"/>
      <c r="C10413" s="238"/>
      <c r="E10413" s="545"/>
      <c r="F10413" s="546"/>
      <c r="G10413" s="234"/>
      <c r="H10413" s="238"/>
      <c r="I10413" s="237"/>
    </row>
    <row r="10414" spans="1:9" s="232" customFormat="1" ht="17" customHeight="1">
      <c r="A10414" s="234"/>
      <c r="B10414" s="233"/>
      <c r="C10414" s="238"/>
      <c r="E10414" s="545"/>
      <c r="F10414" s="546"/>
      <c r="G10414" s="234"/>
      <c r="H10414" s="238"/>
      <c r="I10414" s="237"/>
    </row>
    <row r="10415" spans="1:9" s="232" customFormat="1" ht="17" customHeight="1">
      <c r="A10415" s="234"/>
      <c r="B10415" s="233"/>
      <c r="C10415" s="238"/>
      <c r="E10415" s="545"/>
      <c r="F10415" s="546"/>
      <c r="G10415" s="234"/>
      <c r="H10415" s="238"/>
      <c r="I10415" s="237"/>
    </row>
    <row r="10416" spans="1:9" s="232" customFormat="1" ht="17" customHeight="1">
      <c r="A10416" s="234"/>
      <c r="B10416" s="233"/>
      <c r="C10416" s="238"/>
      <c r="E10416" s="545"/>
      <c r="F10416" s="546"/>
      <c r="G10416" s="234"/>
      <c r="H10416" s="238"/>
      <c r="I10416" s="237"/>
    </row>
    <row r="10417" spans="1:9" s="232" customFormat="1" ht="17" customHeight="1">
      <c r="A10417" s="234"/>
      <c r="B10417" s="233"/>
      <c r="C10417" s="238"/>
      <c r="E10417" s="545"/>
      <c r="F10417" s="546"/>
      <c r="G10417" s="234"/>
      <c r="H10417" s="238"/>
      <c r="I10417" s="237"/>
    </row>
    <row r="10418" spans="1:9" s="232" customFormat="1" ht="17" customHeight="1">
      <c r="A10418" s="234"/>
      <c r="B10418" s="233"/>
      <c r="C10418" s="238"/>
      <c r="E10418" s="545"/>
      <c r="F10418" s="546"/>
      <c r="G10418" s="234"/>
      <c r="H10418" s="238"/>
      <c r="I10418" s="237"/>
    </row>
    <row r="10419" spans="1:9" s="232" customFormat="1" ht="17" customHeight="1">
      <c r="A10419" s="234"/>
      <c r="B10419" s="233"/>
      <c r="C10419" s="238"/>
      <c r="E10419" s="545"/>
      <c r="F10419" s="546"/>
      <c r="G10419" s="234"/>
      <c r="H10419" s="238"/>
      <c r="I10419" s="237"/>
    </row>
    <row r="10420" spans="1:9" s="232" customFormat="1" ht="17" customHeight="1">
      <c r="A10420" s="234"/>
      <c r="B10420" s="233"/>
      <c r="C10420" s="238"/>
      <c r="E10420" s="545"/>
      <c r="F10420" s="546"/>
      <c r="G10420" s="234"/>
      <c r="H10420" s="238"/>
      <c r="I10420" s="237"/>
    </row>
    <row r="10421" spans="1:9" s="232" customFormat="1" ht="17" customHeight="1">
      <c r="A10421" s="234"/>
      <c r="B10421" s="233"/>
      <c r="C10421" s="238"/>
      <c r="E10421" s="545"/>
      <c r="F10421" s="546"/>
      <c r="G10421" s="234"/>
      <c r="H10421" s="238"/>
      <c r="I10421" s="237"/>
    </row>
    <row r="10422" spans="1:9" s="232" customFormat="1" ht="17" customHeight="1">
      <c r="A10422" s="234"/>
      <c r="B10422" s="233"/>
      <c r="C10422" s="238"/>
      <c r="E10422" s="545"/>
      <c r="F10422" s="546"/>
      <c r="G10422" s="234"/>
      <c r="H10422" s="238"/>
      <c r="I10422" s="237"/>
    </row>
    <row r="10423" spans="1:9" s="232" customFormat="1" ht="17" customHeight="1">
      <c r="A10423" s="234"/>
      <c r="B10423" s="233"/>
      <c r="C10423" s="238"/>
      <c r="E10423" s="545"/>
      <c r="F10423" s="546"/>
      <c r="G10423" s="234"/>
      <c r="H10423" s="238"/>
      <c r="I10423" s="237"/>
    </row>
    <row r="10424" spans="1:9" s="232" customFormat="1" ht="17" customHeight="1">
      <c r="A10424" s="234"/>
      <c r="B10424" s="233"/>
      <c r="C10424" s="238"/>
      <c r="E10424" s="545"/>
      <c r="F10424" s="546"/>
      <c r="G10424" s="234"/>
      <c r="H10424" s="238"/>
      <c r="I10424" s="237"/>
    </row>
    <row r="10425" spans="1:9" s="232" customFormat="1" ht="17" customHeight="1">
      <c r="A10425" s="234"/>
      <c r="B10425" s="233"/>
      <c r="C10425" s="238"/>
      <c r="E10425" s="545"/>
      <c r="F10425" s="546"/>
      <c r="G10425" s="234"/>
      <c r="H10425" s="238"/>
      <c r="I10425" s="237"/>
    </row>
    <row r="10426" spans="1:9" s="232" customFormat="1" ht="17" customHeight="1">
      <c r="A10426" s="234"/>
      <c r="B10426" s="233"/>
      <c r="C10426" s="238"/>
      <c r="E10426" s="545"/>
      <c r="F10426" s="546"/>
      <c r="G10426" s="234"/>
      <c r="H10426" s="238"/>
      <c r="I10426" s="237"/>
    </row>
    <row r="10427" spans="1:9" s="232" customFormat="1" ht="17" customHeight="1">
      <c r="A10427" s="234"/>
      <c r="B10427" s="233"/>
      <c r="C10427" s="238"/>
      <c r="E10427" s="545"/>
      <c r="F10427" s="546"/>
      <c r="G10427" s="234"/>
      <c r="H10427" s="238"/>
      <c r="I10427" s="237"/>
    </row>
    <row r="10428" spans="1:9" s="232" customFormat="1" ht="17" customHeight="1">
      <c r="A10428" s="234"/>
      <c r="B10428" s="233"/>
      <c r="C10428" s="238"/>
      <c r="E10428" s="545"/>
      <c r="F10428" s="546"/>
      <c r="G10428" s="234"/>
      <c r="H10428" s="238"/>
      <c r="I10428" s="237"/>
    </row>
    <row r="10429" spans="1:9" s="232" customFormat="1" ht="17" customHeight="1">
      <c r="A10429" s="234"/>
      <c r="B10429" s="233"/>
      <c r="C10429" s="238"/>
      <c r="E10429" s="545"/>
      <c r="F10429" s="546"/>
      <c r="G10429" s="234"/>
      <c r="H10429" s="238"/>
      <c r="I10429" s="237"/>
    </row>
    <row r="10430" spans="1:9" s="232" customFormat="1" ht="17" customHeight="1">
      <c r="A10430" s="234"/>
      <c r="B10430" s="233"/>
      <c r="C10430" s="238"/>
      <c r="E10430" s="545"/>
      <c r="F10430" s="546"/>
      <c r="G10430" s="234"/>
      <c r="H10430" s="238"/>
      <c r="I10430" s="237"/>
    </row>
    <row r="10431" spans="1:9" s="232" customFormat="1" ht="17" customHeight="1">
      <c r="A10431" s="234"/>
      <c r="B10431" s="233"/>
      <c r="C10431" s="238"/>
      <c r="E10431" s="545"/>
      <c r="F10431" s="546"/>
      <c r="G10431" s="234"/>
      <c r="H10431" s="238"/>
      <c r="I10431" s="237"/>
    </row>
    <row r="10432" spans="1:9" s="232" customFormat="1" ht="17" customHeight="1">
      <c r="A10432" s="234"/>
      <c r="B10432" s="233"/>
      <c r="C10432" s="238"/>
      <c r="E10432" s="545"/>
      <c r="F10432" s="546"/>
      <c r="G10432" s="234"/>
      <c r="H10432" s="238"/>
      <c r="I10432" s="237"/>
    </row>
    <row r="10433" spans="1:9" s="232" customFormat="1" ht="17" customHeight="1">
      <c r="A10433" s="234"/>
      <c r="B10433" s="233"/>
      <c r="C10433" s="238"/>
      <c r="E10433" s="545"/>
      <c r="F10433" s="546"/>
      <c r="G10433" s="234"/>
      <c r="H10433" s="238"/>
      <c r="I10433" s="237"/>
    </row>
    <row r="10434" spans="1:9" s="232" customFormat="1" ht="17" customHeight="1">
      <c r="A10434" s="234"/>
      <c r="B10434" s="233"/>
      <c r="C10434" s="238"/>
      <c r="E10434" s="545"/>
      <c r="F10434" s="546"/>
      <c r="G10434" s="234"/>
      <c r="H10434" s="238"/>
      <c r="I10434" s="237"/>
    </row>
    <row r="10435" spans="1:9" s="232" customFormat="1" ht="17" customHeight="1">
      <c r="A10435" s="234"/>
      <c r="B10435" s="233"/>
      <c r="C10435" s="238"/>
      <c r="E10435" s="545"/>
      <c r="F10435" s="546"/>
      <c r="G10435" s="234"/>
      <c r="H10435" s="238"/>
      <c r="I10435" s="237"/>
    </row>
    <row r="10436" spans="1:9" s="232" customFormat="1" ht="17" customHeight="1">
      <c r="A10436" s="234"/>
      <c r="B10436" s="233"/>
      <c r="C10436" s="238"/>
      <c r="E10436" s="545"/>
      <c r="F10436" s="546"/>
      <c r="G10436" s="234"/>
      <c r="H10436" s="238"/>
      <c r="I10436" s="237"/>
    </row>
    <row r="10437" spans="1:9" s="232" customFormat="1" ht="17" customHeight="1">
      <c r="A10437" s="234"/>
      <c r="B10437" s="233"/>
      <c r="C10437" s="238"/>
      <c r="E10437" s="545"/>
      <c r="F10437" s="546"/>
      <c r="G10437" s="234"/>
      <c r="H10437" s="238"/>
      <c r="I10437" s="237"/>
    </row>
    <row r="10438" spans="1:9" s="232" customFormat="1" ht="17" customHeight="1">
      <c r="A10438" s="234"/>
      <c r="B10438" s="233"/>
      <c r="C10438" s="238"/>
      <c r="E10438" s="545"/>
      <c r="F10438" s="546"/>
      <c r="G10438" s="234"/>
      <c r="H10438" s="238"/>
      <c r="I10438" s="237"/>
    </row>
    <row r="10439" spans="1:9" s="232" customFormat="1" ht="17" customHeight="1">
      <c r="A10439" s="234"/>
      <c r="B10439" s="233"/>
      <c r="C10439" s="238"/>
      <c r="E10439" s="545"/>
      <c r="F10439" s="546"/>
      <c r="G10439" s="234"/>
      <c r="H10439" s="238"/>
      <c r="I10439" s="237"/>
    </row>
    <row r="10440" spans="1:9" s="232" customFormat="1" ht="17" customHeight="1">
      <c r="A10440" s="234"/>
      <c r="B10440" s="233"/>
      <c r="C10440" s="238"/>
      <c r="E10440" s="545"/>
      <c r="F10440" s="546"/>
      <c r="G10440" s="234"/>
      <c r="H10440" s="238"/>
      <c r="I10440" s="237"/>
    </row>
    <row r="10441" spans="1:9" s="232" customFormat="1" ht="17" customHeight="1">
      <c r="A10441" s="234"/>
      <c r="B10441" s="233"/>
      <c r="C10441" s="238"/>
      <c r="E10441" s="545"/>
      <c r="F10441" s="546"/>
      <c r="G10441" s="234"/>
      <c r="H10441" s="238"/>
      <c r="I10441" s="237"/>
    </row>
    <row r="10442" spans="1:9" s="232" customFormat="1" ht="17" customHeight="1">
      <c r="A10442" s="234"/>
      <c r="B10442" s="233"/>
      <c r="C10442" s="238"/>
      <c r="E10442" s="545"/>
      <c r="F10442" s="546"/>
      <c r="G10442" s="234"/>
      <c r="H10442" s="238"/>
      <c r="I10442" s="237"/>
    </row>
    <row r="10443" spans="1:9" s="232" customFormat="1" ht="17" customHeight="1">
      <c r="A10443" s="234"/>
      <c r="B10443" s="233"/>
      <c r="C10443" s="238"/>
      <c r="E10443" s="545"/>
      <c r="F10443" s="546"/>
      <c r="G10443" s="234"/>
      <c r="H10443" s="238"/>
      <c r="I10443" s="237"/>
    </row>
    <row r="10444" spans="1:9" s="232" customFormat="1" ht="17" customHeight="1">
      <c r="A10444" s="234"/>
      <c r="B10444" s="233"/>
      <c r="C10444" s="238"/>
      <c r="E10444" s="545"/>
      <c r="F10444" s="546"/>
      <c r="G10444" s="234"/>
      <c r="H10444" s="238"/>
      <c r="I10444" s="237"/>
    </row>
    <row r="10445" spans="1:9" s="232" customFormat="1" ht="17" customHeight="1">
      <c r="A10445" s="234"/>
      <c r="B10445" s="233"/>
      <c r="C10445" s="238"/>
      <c r="E10445" s="545"/>
      <c r="F10445" s="546"/>
      <c r="G10445" s="234"/>
      <c r="H10445" s="238"/>
      <c r="I10445" s="237"/>
    </row>
    <row r="10446" spans="1:9" s="232" customFormat="1" ht="17" customHeight="1">
      <c r="A10446" s="234"/>
      <c r="B10446" s="233"/>
      <c r="C10446" s="238"/>
      <c r="E10446" s="545"/>
      <c r="F10446" s="546"/>
      <c r="G10446" s="234"/>
      <c r="H10446" s="238"/>
      <c r="I10446" s="237"/>
    </row>
    <row r="10447" spans="1:9" s="232" customFormat="1" ht="17" customHeight="1">
      <c r="A10447" s="234"/>
      <c r="B10447" s="233"/>
      <c r="C10447" s="238"/>
      <c r="E10447" s="545"/>
      <c r="F10447" s="546"/>
      <c r="G10447" s="234"/>
      <c r="H10447" s="238"/>
      <c r="I10447" s="237"/>
    </row>
    <row r="10448" spans="1:9" s="232" customFormat="1" ht="17" customHeight="1">
      <c r="A10448" s="234"/>
      <c r="B10448" s="233"/>
      <c r="C10448" s="238"/>
      <c r="E10448" s="545"/>
      <c r="F10448" s="546"/>
      <c r="G10448" s="234"/>
      <c r="H10448" s="238"/>
      <c r="I10448" s="237"/>
    </row>
    <row r="10449" spans="1:9" s="232" customFormat="1" ht="17" customHeight="1">
      <c r="A10449" s="234"/>
      <c r="B10449" s="233"/>
      <c r="C10449" s="238"/>
      <c r="E10449" s="545"/>
      <c r="F10449" s="546"/>
      <c r="G10449" s="234"/>
      <c r="H10449" s="238"/>
      <c r="I10449" s="237"/>
    </row>
    <row r="10450" spans="1:9" s="232" customFormat="1" ht="17" customHeight="1">
      <c r="A10450" s="234"/>
      <c r="B10450" s="233"/>
      <c r="C10450" s="238"/>
      <c r="E10450" s="545"/>
      <c r="F10450" s="546"/>
      <c r="G10450" s="234"/>
      <c r="H10450" s="238"/>
      <c r="I10450" s="237"/>
    </row>
    <row r="10451" spans="1:9" s="232" customFormat="1" ht="17" customHeight="1">
      <c r="A10451" s="234"/>
      <c r="B10451" s="233"/>
      <c r="C10451" s="238"/>
      <c r="E10451" s="545"/>
      <c r="F10451" s="546"/>
      <c r="G10451" s="234"/>
      <c r="H10451" s="238"/>
      <c r="I10451" s="237"/>
    </row>
    <row r="10452" spans="1:9" s="232" customFormat="1" ht="17" customHeight="1">
      <c r="A10452" s="234"/>
      <c r="B10452" s="233"/>
      <c r="C10452" s="238"/>
      <c r="E10452" s="545"/>
      <c r="F10452" s="546"/>
      <c r="G10452" s="234"/>
      <c r="H10452" s="238"/>
      <c r="I10452" s="237"/>
    </row>
    <row r="10453" spans="1:9" s="232" customFormat="1" ht="17" customHeight="1">
      <c r="A10453" s="234"/>
      <c r="B10453" s="233"/>
      <c r="C10453" s="238"/>
      <c r="E10453" s="545"/>
      <c r="F10453" s="546"/>
      <c r="G10453" s="234"/>
      <c r="H10453" s="238"/>
      <c r="I10453" s="237"/>
    </row>
    <row r="10454" spans="1:9" s="232" customFormat="1" ht="17" customHeight="1">
      <c r="A10454" s="234"/>
      <c r="B10454" s="233"/>
      <c r="C10454" s="238"/>
      <c r="E10454" s="545"/>
      <c r="F10454" s="546"/>
      <c r="G10454" s="234"/>
      <c r="H10454" s="238"/>
      <c r="I10454" s="237"/>
    </row>
    <row r="10455" spans="1:9" s="232" customFormat="1" ht="17" customHeight="1">
      <c r="A10455" s="234"/>
      <c r="B10455" s="233"/>
      <c r="C10455" s="238"/>
      <c r="E10455" s="545"/>
      <c r="F10455" s="546"/>
      <c r="G10455" s="234"/>
      <c r="H10455" s="238"/>
      <c r="I10455" s="237"/>
    </row>
    <row r="10456" spans="1:9" s="232" customFormat="1" ht="17" customHeight="1">
      <c r="A10456" s="234"/>
      <c r="B10456" s="233"/>
      <c r="C10456" s="238"/>
      <c r="E10456" s="545"/>
      <c r="F10456" s="546"/>
      <c r="G10456" s="234"/>
      <c r="H10456" s="238"/>
      <c r="I10456" s="237"/>
    </row>
    <row r="10457" spans="1:9" s="232" customFormat="1" ht="17" customHeight="1">
      <c r="A10457" s="234"/>
      <c r="B10457" s="233"/>
      <c r="C10457" s="238"/>
      <c r="E10457" s="545"/>
      <c r="F10457" s="546"/>
      <c r="G10457" s="234"/>
      <c r="H10457" s="238"/>
      <c r="I10457" s="237"/>
    </row>
    <row r="10458" spans="1:9" s="232" customFormat="1" ht="17" customHeight="1">
      <c r="A10458" s="234"/>
      <c r="B10458" s="233"/>
      <c r="C10458" s="238"/>
      <c r="E10458" s="545"/>
      <c r="F10458" s="546"/>
      <c r="G10458" s="234"/>
      <c r="H10458" s="238"/>
      <c r="I10458" s="237"/>
    </row>
    <row r="10459" spans="1:9" s="232" customFormat="1" ht="17" customHeight="1">
      <c r="A10459" s="234"/>
      <c r="B10459" s="233"/>
      <c r="C10459" s="238"/>
      <c r="E10459" s="545"/>
      <c r="F10459" s="546"/>
      <c r="G10459" s="234"/>
      <c r="H10459" s="238"/>
      <c r="I10459" s="237"/>
    </row>
    <row r="10460" spans="1:9" s="232" customFormat="1" ht="17" customHeight="1">
      <c r="A10460" s="234"/>
      <c r="B10460" s="233"/>
      <c r="C10460" s="238"/>
      <c r="E10460" s="545"/>
      <c r="F10460" s="546"/>
      <c r="G10460" s="234"/>
      <c r="H10460" s="238"/>
      <c r="I10460" s="237"/>
    </row>
    <row r="10461" spans="1:9" s="232" customFormat="1" ht="17" customHeight="1">
      <c r="A10461" s="234"/>
      <c r="B10461" s="233"/>
      <c r="C10461" s="238"/>
      <c r="E10461" s="545"/>
      <c r="F10461" s="546"/>
      <c r="G10461" s="234"/>
      <c r="H10461" s="238"/>
      <c r="I10461" s="237"/>
    </row>
    <row r="10462" spans="1:9" s="232" customFormat="1" ht="17" customHeight="1">
      <c r="A10462" s="234"/>
      <c r="B10462" s="233"/>
      <c r="C10462" s="238"/>
      <c r="E10462" s="545"/>
      <c r="F10462" s="546"/>
      <c r="G10462" s="234"/>
      <c r="H10462" s="238"/>
      <c r="I10462" s="237"/>
    </row>
    <row r="10463" spans="1:9" s="232" customFormat="1" ht="17" customHeight="1">
      <c r="A10463" s="234"/>
      <c r="B10463" s="233"/>
      <c r="C10463" s="238"/>
      <c r="E10463" s="545"/>
      <c r="F10463" s="546"/>
      <c r="G10463" s="234"/>
      <c r="H10463" s="238"/>
      <c r="I10463" s="237"/>
    </row>
    <row r="10464" spans="1:9" s="232" customFormat="1" ht="17" customHeight="1">
      <c r="A10464" s="234"/>
      <c r="B10464" s="233"/>
      <c r="C10464" s="238"/>
      <c r="E10464" s="545"/>
      <c r="F10464" s="546"/>
      <c r="G10464" s="234"/>
      <c r="H10464" s="238"/>
      <c r="I10464" s="237"/>
    </row>
    <row r="10465" spans="1:9" s="232" customFormat="1" ht="17" customHeight="1">
      <c r="A10465" s="234"/>
      <c r="B10465" s="233"/>
      <c r="C10465" s="238"/>
      <c r="E10465" s="545"/>
      <c r="F10465" s="546"/>
      <c r="G10465" s="234"/>
      <c r="H10465" s="238"/>
      <c r="I10465" s="237"/>
    </row>
    <row r="10466" spans="1:9" s="232" customFormat="1" ht="17" customHeight="1">
      <c r="A10466" s="234"/>
      <c r="B10466" s="233"/>
      <c r="C10466" s="238"/>
      <c r="E10466" s="545"/>
      <c r="F10466" s="546"/>
      <c r="G10466" s="234"/>
      <c r="H10466" s="238"/>
      <c r="I10466" s="237"/>
    </row>
    <row r="10467" spans="1:9" s="232" customFormat="1" ht="17" customHeight="1">
      <c r="A10467" s="234"/>
      <c r="B10467" s="233"/>
      <c r="C10467" s="238"/>
      <c r="E10467" s="545"/>
      <c r="F10467" s="546"/>
      <c r="G10467" s="234"/>
      <c r="H10467" s="238"/>
      <c r="I10467" s="237"/>
    </row>
    <row r="10468" spans="1:9" s="232" customFormat="1" ht="17" customHeight="1">
      <c r="A10468" s="234"/>
      <c r="B10468" s="233"/>
      <c r="C10468" s="238"/>
      <c r="E10468" s="545"/>
      <c r="F10468" s="546"/>
      <c r="G10468" s="234"/>
      <c r="H10468" s="238"/>
      <c r="I10468" s="237"/>
    </row>
    <row r="10469" spans="1:9" s="232" customFormat="1" ht="17" customHeight="1">
      <c r="A10469" s="234"/>
      <c r="B10469" s="233"/>
      <c r="C10469" s="238"/>
      <c r="E10469" s="545"/>
      <c r="F10469" s="546"/>
      <c r="G10469" s="234"/>
      <c r="H10469" s="238"/>
      <c r="I10469" s="237"/>
    </row>
    <row r="10470" spans="1:9" s="232" customFormat="1" ht="17" customHeight="1">
      <c r="A10470" s="234"/>
      <c r="B10470" s="233"/>
      <c r="C10470" s="238"/>
      <c r="E10470" s="545"/>
      <c r="F10470" s="546"/>
      <c r="G10470" s="234"/>
      <c r="H10470" s="238"/>
      <c r="I10470" s="237"/>
    </row>
    <row r="10471" spans="1:9" s="232" customFormat="1" ht="17" customHeight="1">
      <c r="A10471" s="234"/>
      <c r="B10471" s="233"/>
      <c r="C10471" s="238"/>
      <c r="E10471" s="545"/>
      <c r="F10471" s="546"/>
      <c r="G10471" s="234"/>
      <c r="H10471" s="238"/>
      <c r="I10471" s="237"/>
    </row>
    <row r="10472" spans="1:9" s="232" customFormat="1" ht="17" customHeight="1">
      <c r="A10472" s="234"/>
      <c r="B10472" s="233"/>
      <c r="C10472" s="238"/>
      <c r="E10472" s="545"/>
      <c r="F10472" s="546"/>
      <c r="G10472" s="234"/>
      <c r="H10472" s="238"/>
      <c r="I10472" s="237"/>
    </row>
    <row r="10473" spans="1:9" s="232" customFormat="1" ht="17" customHeight="1">
      <c r="A10473" s="234"/>
      <c r="B10473" s="233"/>
      <c r="C10473" s="238"/>
      <c r="E10473" s="545"/>
      <c r="F10473" s="546"/>
      <c r="G10473" s="234"/>
      <c r="H10473" s="238"/>
      <c r="I10473" s="237"/>
    </row>
    <row r="10474" spans="1:9" s="232" customFormat="1" ht="17" customHeight="1">
      <c r="A10474" s="234"/>
      <c r="B10474" s="233"/>
      <c r="C10474" s="238"/>
      <c r="E10474" s="545"/>
      <c r="F10474" s="546"/>
      <c r="G10474" s="234"/>
      <c r="H10474" s="238"/>
      <c r="I10474" s="237"/>
    </row>
    <row r="10475" spans="1:9" s="232" customFormat="1" ht="17" customHeight="1">
      <c r="A10475" s="234"/>
      <c r="B10475" s="233"/>
      <c r="C10475" s="238"/>
      <c r="E10475" s="545"/>
      <c r="F10475" s="546"/>
      <c r="G10475" s="234"/>
      <c r="H10475" s="238"/>
      <c r="I10475" s="237"/>
    </row>
    <row r="10476" spans="1:9" s="232" customFormat="1" ht="17" customHeight="1">
      <c r="A10476" s="234"/>
      <c r="B10476" s="233"/>
      <c r="C10476" s="238"/>
      <c r="E10476" s="545"/>
      <c r="F10476" s="546"/>
      <c r="G10476" s="234"/>
      <c r="H10476" s="238"/>
      <c r="I10476" s="237"/>
    </row>
    <row r="10477" spans="1:9" s="232" customFormat="1" ht="17" customHeight="1">
      <c r="A10477" s="234"/>
      <c r="B10477" s="233"/>
      <c r="C10477" s="238"/>
      <c r="E10477" s="545"/>
      <c r="F10477" s="546"/>
      <c r="G10477" s="234"/>
      <c r="H10477" s="238"/>
      <c r="I10477" s="237"/>
    </row>
    <row r="10478" spans="1:9" s="232" customFormat="1" ht="17" customHeight="1">
      <c r="A10478" s="234"/>
      <c r="B10478" s="233"/>
      <c r="C10478" s="238"/>
      <c r="E10478" s="545"/>
      <c r="F10478" s="546"/>
      <c r="G10478" s="234"/>
      <c r="H10478" s="238"/>
      <c r="I10478" s="237"/>
    </row>
    <row r="10479" spans="1:9" s="232" customFormat="1" ht="17" customHeight="1">
      <c r="A10479" s="234"/>
      <c r="B10479" s="233"/>
      <c r="C10479" s="238"/>
      <c r="E10479" s="545"/>
      <c r="F10479" s="546"/>
      <c r="G10479" s="234"/>
      <c r="H10479" s="238"/>
      <c r="I10479" s="237"/>
    </row>
    <row r="10480" spans="1:9" s="232" customFormat="1" ht="17" customHeight="1">
      <c r="A10480" s="234"/>
      <c r="B10480" s="233"/>
      <c r="C10480" s="238"/>
      <c r="E10480" s="545"/>
      <c r="F10480" s="546"/>
      <c r="G10480" s="234"/>
      <c r="H10480" s="238"/>
      <c r="I10480" s="237"/>
    </row>
    <row r="10481" spans="1:9" s="232" customFormat="1" ht="17" customHeight="1">
      <c r="A10481" s="234"/>
      <c r="B10481" s="233"/>
      <c r="C10481" s="238"/>
      <c r="E10481" s="545"/>
      <c r="F10481" s="546"/>
      <c r="G10481" s="234"/>
      <c r="H10481" s="238"/>
      <c r="I10481" s="237"/>
    </row>
    <row r="10482" spans="1:9" s="232" customFormat="1" ht="17" customHeight="1">
      <c r="A10482" s="234"/>
      <c r="B10482" s="233"/>
      <c r="C10482" s="238"/>
      <c r="E10482" s="545"/>
      <c r="F10482" s="546"/>
      <c r="G10482" s="234"/>
      <c r="H10482" s="238"/>
      <c r="I10482" s="237"/>
    </row>
    <row r="10483" spans="1:9" s="232" customFormat="1" ht="17" customHeight="1">
      <c r="A10483" s="234"/>
      <c r="B10483" s="233"/>
      <c r="C10483" s="238"/>
      <c r="E10483" s="545"/>
      <c r="F10483" s="546"/>
      <c r="G10483" s="234"/>
      <c r="H10483" s="238"/>
      <c r="I10483" s="237"/>
    </row>
    <row r="10484" spans="1:9" s="232" customFormat="1" ht="17" customHeight="1">
      <c r="A10484" s="234"/>
      <c r="B10484" s="233"/>
      <c r="C10484" s="238"/>
      <c r="E10484" s="545"/>
      <c r="F10484" s="546"/>
      <c r="G10484" s="234"/>
      <c r="H10484" s="238"/>
      <c r="I10484" s="237"/>
    </row>
    <row r="10485" spans="1:9" s="232" customFormat="1" ht="17" customHeight="1">
      <c r="A10485" s="234"/>
      <c r="B10485" s="233"/>
      <c r="C10485" s="238"/>
      <c r="E10485" s="545"/>
      <c r="F10485" s="546"/>
      <c r="G10485" s="234"/>
      <c r="H10485" s="238"/>
      <c r="I10485" s="237"/>
    </row>
    <row r="10486" spans="1:9" s="232" customFormat="1" ht="17" customHeight="1">
      <c r="A10486" s="234"/>
      <c r="B10486" s="233"/>
      <c r="C10486" s="238"/>
      <c r="E10486" s="545"/>
      <c r="F10486" s="546"/>
      <c r="G10486" s="234"/>
      <c r="H10486" s="238"/>
      <c r="I10486" s="237"/>
    </row>
    <row r="10487" spans="1:9" s="232" customFormat="1" ht="17" customHeight="1">
      <c r="A10487" s="234"/>
      <c r="B10487" s="233"/>
      <c r="C10487" s="238"/>
      <c r="E10487" s="545"/>
      <c r="F10487" s="546"/>
      <c r="G10487" s="234"/>
      <c r="H10487" s="238"/>
      <c r="I10487" s="237"/>
    </row>
    <row r="10488" spans="1:9" s="232" customFormat="1" ht="17" customHeight="1">
      <c r="A10488" s="234"/>
      <c r="B10488" s="233"/>
      <c r="C10488" s="238"/>
      <c r="E10488" s="545"/>
      <c r="F10488" s="546"/>
      <c r="G10488" s="234"/>
      <c r="H10488" s="238"/>
      <c r="I10488" s="237"/>
    </row>
    <row r="10489" spans="1:9" s="232" customFormat="1" ht="17" customHeight="1">
      <c r="A10489" s="234"/>
      <c r="B10489" s="233"/>
      <c r="C10489" s="238"/>
      <c r="E10489" s="545"/>
      <c r="F10489" s="546"/>
      <c r="G10489" s="234"/>
      <c r="H10489" s="238"/>
      <c r="I10489" s="237"/>
    </row>
    <row r="10490" spans="1:9" s="232" customFormat="1" ht="17" customHeight="1">
      <c r="A10490" s="234"/>
      <c r="B10490" s="233"/>
      <c r="C10490" s="238"/>
      <c r="E10490" s="545"/>
      <c r="F10490" s="546"/>
      <c r="G10490" s="234"/>
      <c r="H10490" s="238"/>
      <c r="I10490" s="237"/>
    </row>
    <row r="10491" spans="1:9" s="232" customFormat="1" ht="17" customHeight="1">
      <c r="A10491" s="234"/>
      <c r="B10491" s="233"/>
      <c r="C10491" s="238"/>
      <c r="E10491" s="545"/>
      <c r="F10491" s="546"/>
      <c r="G10491" s="234"/>
      <c r="H10491" s="238"/>
      <c r="I10491" s="237"/>
    </row>
    <row r="10492" spans="1:9" s="232" customFormat="1" ht="17" customHeight="1">
      <c r="A10492" s="234"/>
      <c r="B10492" s="233"/>
      <c r="C10492" s="238"/>
      <c r="E10492" s="545"/>
      <c r="F10492" s="546"/>
      <c r="G10492" s="234"/>
      <c r="H10492" s="238"/>
      <c r="I10492" s="237"/>
    </row>
    <row r="10493" spans="1:9" s="232" customFormat="1" ht="17" customHeight="1">
      <c r="A10493" s="234"/>
      <c r="B10493" s="233"/>
      <c r="C10493" s="238"/>
      <c r="E10493" s="545"/>
      <c r="F10493" s="546"/>
      <c r="G10493" s="234"/>
      <c r="H10493" s="238"/>
      <c r="I10493" s="237"/>
    </row>
    <row r="10494" spans="1:9" s="232" customFormat="1" ht="17" customHeight="1">
      <c r="A10494" s="234"/>
      <c r="B10494" s="233"/>
      <c r="C10494" s="238"/>
      <c r="E10494" s="545"/>
      <c r="F10494" s="546"/>
      <c r="G10494" s="234"/>
      <c r="H10494" s="238"/>
      <c r="I10494" s="237"/>
    </row>
    <row r="10495" spans="1:9" s="232" customFormat="1" ht="17" customHeight="1">
      <c r="A10495" s="234"/>
      <c r="B10495" s="233"/>
      <c r="C10495" s="238"/>
      <c r="E10495" s="545"/>
      <c r="F10495" s="546"/>
      <c r="G10495" s="234"/>
      <c r="H10495" s="238"/>
      <c r="I10495" s="237"/>
    </row>
    <row r="10496" spans="1:9" s="232" customFormat="1" ht="17" customHeight="1">
      <c r="A10496" s="234"/>
      <c r="B10496" s="233"/>
      <c r="C10496" s="238"/>
      <c r="E10496" s="545"/>
      <c r="F10496" s="546"/>
      <c r="G10496" s="234"/>
      <c r="H10496" s="238"/>
      <c r="I10496" s="237"/>
    </row>
    <row r="10497" spans="1:9" s="232" customFormat="1" ht="17" customHeight="1">
      <c r="A10497" s="234"/>
      <c r="B10497" s="233"/>
      <c r="C10497" s="238"/>
      <c r="E10497" s="545"/>
      <c r="F10497" s="546"/>
      <c r="G10497" s="234"/>
      <c r="H10497" s="238"/>
      <c r="I10497" s="237"/>
    </row>
    <row r="10498" spans="1:9" s="232" customFormat="1" ht="17" customHeight="1">
      <c r="A10498" s="234"/>
      <c r="B10498" s="233"/>
      <c r="C10498" s="238"/>
      <c r="E10498" s="545"/>
      <c r="F10498" s="546"/>
      <c r="G10498" s="234"/>
      <c r="H10498" s="238"/>
      <c r="I10498" s="237"/>
    </row>
    <row r="10499" spans="1:9" s="232" customFormat="1" ht="17" customHeight="1">
      <c r="A10499" s="234"/>
      <c r="B10499" s="233"/>
      <c r="C10499" s="238"/>
      <c r="E10499" s="545"/>
      <c r="F10499" s="546"/>
      <c r="G10499" s="234"/>
      <c r="H10499" s="238"/>
      <c r="I10499" s="237"/>
    </row>
    <row r="10500" spans="1:9" s="232" customFormat="1" ht="17" customHeight="1">
      <c r="A10500" s="234"/>
      <c r="B10500" s="233"/>
      <c r="C10500" s="238"/>
      <c r="E10500" s="545"/>
      <c r="F10500" s="546"/>
      <c r="G10500" s="234"/>
      <c r="H10500" s="238"/>
      <c r="I10500" s="237"/>
    </row>
    <row r="10501" spans="1:9" s="232" customFormat="1" ht="17" customHeight="1">
      <c r="A10501" s="234"/>
      <c r="B10501" s="233"/>
      <c r="C10501" s="238"/>
      <c r="E10501" s="545"/>
      <c r="F10501" s="546"/>
      <c r="G10501" s="234"/>
      <c r="H10501" s="238"/>
      <c r="I10501" s="237"/>
    </row>
    <row r="10502" spans="1:9" s="232" customFormat="1" ht="17" customHeight="1">
      <c r="A10502" s="234"/>
      <c r="B10502" s="233"/>
      <c r="C10502" s="238"/>
      <c r="E10502" s="545"/>
      <c r="F10502" s="546"/>
      <c r="G10502" s="234"/>
      <c r="H10502" s="238"/>
      <c r="I10502" s="237"/>
    </row>
    <row r="10503" spans="1:9" s="232" customFormat="1" ht="17" customHeight="1">
      <c r="A10503" s="234"/>
      <c r="B10503" s="233"/>
      <c r="C10503" s="238"/>
      <c r="E10503" s="545"/>
      <c r="F10503" s="546"/>
      <c r="G10503" s="234"/>
      <c r="H10503" s="238"/>
      <c r="I10503" s="237"/>
    </row>
    <row r="10504" spans="1:9" s="232" customFormat="1" ht="17" customHeight="1">
      <c r="A10504" s="234"/>
      <c r="B10504" s="233"/>
      <c r="C10504" s="238"/>
      <c r="E10504" s="545"/>
      <c r="F10504" s="546"/>
      <c r="G10504" s="234"/>
      <c r="H10504" s="238"/>
      <c r="I10504" s="237"/>
    </row>
    <row r="10505" spans="1:9" s="232" customFormat="1" ht="17" customHeight="1">
      <c r="A10505" s="234"/>
      <c r="B10505" s="233"/>
      <c r="C10505" s="238"/>
      <c r="E10505" s="545"/>
      <c r="F10505" s="546"/>
      <c r="G10505" s="234"/>
      <c r="H10505" s="238"/>
      <c r="I10505" s="237"/>
    </row>
    <row r="10506" spans="1:9" s="232" customFormat="1" ht="17" customHeight="1">
      <c r="A10506" s="234"/>
      <c r="B10506" s="233"/>
      <c r="C10506" s="238"/>
      <c r="E10506" s="545"/>
      <c r="F10506" s="546"/>
      <c r="G10506" s="234"/>
      <c r="H10506" s="238"/>
      <c r="I10506" s="237"/>
    </row>
    <row r="10507" spans="1:9" s="232" customFormat="1" ht="17" customHeight="1">
      <c r="A10507" s="234"/>
      <c r="B10507" s="233"/>
      <c r="C10507" s="238"/>
      <c r="E10507" s="545"/>
      <c r="F10507" s="546"/>
      <c r="G10507" s="234"/>
      <c r="H10507" s="238"/>
      <c r="I10507" s="237"/>
    </row>
    <row r="10508" spans="1:9" s="232" customFormat="1" ht="17" customHeight="1">
      <c r="A10508" s="234"/>
      <c r="B10508" s="233"/>
      <c r="C10508" s="238"/>
      <c r="E10508" s="545"/>
      <c r="F10508" s="546"/>
      <c r="G10508" s="234"/>
      <c r="H10508" s="238"/>
      <c r="I10508" s="237"/>
    </row>
    <row r="10509" spans="1:9" s="232" customFormat="1" ht="17" customHeight="1">
      <c r="A10509" s="234"/>
      <c r="B10509" s="233"/>
      <c r="C10509" s="238"/>
      <c r="E10509" s="545"/>
      <c r="F10509" s="546"/>
      <c r="G10509" s="234"/>
      <c r="H10509" s="238"/>
      <c r="I10509" s="237"/>
    </row>
    <row r="10510" spans="1:9" s="232" customFormat="1" ht="17" customHeight="1">
      <c r="A10510" s="234"/>
      <c r="B10510" s="233"/>
      <c r="C10510" s="238"/>
      <c r="E10510" s="545"/>
      <c r="F10510" s="546"/>
      <c r="G10510" s="234"/>
      <c r="H10510" s="238"/>
      <c r="I10510" s="237"/>
    </row>
    <row r="10511" spans="1:9" s="232" customFormat="1" ht="17" customHeight="1">
      <c r="A10511" s="234"/>
      <c r="B10511" s="233"/>
      <c r="C10511" s="238"/>
      <c r="E10511" s="545"/>
      <c r="F10511" s="546"/>
      <c r="G10511" s="234"/>
      <c r="H10511" s="238"/>
      <c r="I10511" s="237"/>
    </row>
    <row r="10512" spans="1:9" s="232" customFormat="1" ht="17" customHeight="1">
      <c r="A10512" s="234"/>
      <c r="B10512" s="233"/>
      <c r="C10512" s="238"/>
      <c r="E10512" s="545"/>
      <c r="F10512" s="546"/>
      <c r="G10512" s="234"/>
      <c r="H10512" s="238"/>
      <c r="I10512" s="237"/>
    </row>
    <row r="10513" spans="1:9" s="232" customFormat="1" ht="17" customHeight="1">
      <c r="A10513" s="234"/>
      <c r="B10513" s="233"/>
      <c r="C10513" s="238"/>
      <c r="E10513" s="545"/>
      <c r="F10513" s="546"/>
      <c r="G10513" s="234"/>
      <c r="H10513" s="238"/>
      <c r="I10513" s="237"/>
    </row>
    <row r="10514" spans="1:9" s="232" customFormat="1" ht="17" customHeight="1">
      <c r="A10514" s="234"/>
      <c r="B10514" s="233"/>
      <c r="C10514" s="238"/>
      <c r="E10514" s="545"/>
      <c r="F10514" s="546"/>
      <c r="G10514" s="234"/>
      <c r="H10514" s="238"/>
      <c r="I10514" s="237"/>
    </row>
    <row r="10515" spans="1:9" s="232" customFormat="1" ht="17" customHeight="1">
      <c r="A10515" s="234"/>
      <c r="B10515" s="233"/>
      <c r="C10515" s="238"/>
      <c r="E10515" s="545"/>
      <c r="F10515" s="546"/>
      <c r="G10515" s="234"/>
      <c r="H10515" s="238"/>
      <c r="I10515" s="237"/>
    </row>
    <row r="10516" spans="1:9" s="232" customFormat="1" ht="17" customHeight="1">
      <c r="A10516" s="234"/>
      <c r="B10516" s="233"/>
      <c r="C10516" s="238"/>
      <c r="E10516" s="545"/>
      <c r="F10516" s="546"/>
      <c r="G10516" s="234"/>
      <c r="H10516" s="238"/>
      <c r="I10516" s="237"/>
    </row>
    <row r="10517" spans="1:9" s="232" customFormat="1" ht="17" customHeight="1">
      <c r="A10517" s="234"/>
      <c r="B10517" s="233"/>
      <c r="C10517" s="238"/>
      <c r="E10517" s="545"/>
      <c r="F10517" s="546"/>
      <c r="G10517" s="234"/>
      <c r="H10517" s="238"/>
      <c r="I10517" s="237"/>
    </row>
    <row r="10518" spans="1:9" s="232" customFormat="1" ht="17" customHeight="1">
      <c r="A10518" s="234"/>
      <c r="B10518" s="233"/>
      <c r="C10518" s="238"/>
      <c r="E10518" s="545"/>
      <c r="F10518" s="546"/>
      <c r="G10518" s="234"/>
      <c r="H10518" s="238"/>
      <c r="I10518" s="237"/>
    </row>
    <row r="10519" spans="1:9" s="232" customFormat="1" ht="17" customHeight="1">
      <c r="A10519" s="234"/>
      <c r="B10519" s="233"/>
      <c r="C10519" s="238"/>
      <c r="E10519" s="545"/>
      <c r="F10519" s="546"/>
      <c r="G10519" s="234"/>
      <c r="H10519" s="238"/>
      <c r="I10519" s="237"/>
    </row>
    <row r="10520" spans="1:9" s="232" customFormat="1" ht="17" customHeight="1">
      <c r="A10520" s="234"/>
      <c r="B10520" s="233"/>
      <c r="C10520" s="238"/>
      <c r="E10520" s="545"/>
      <c r="F10520" s="546"/>
      <c r="G10520" s="234"/>
      <c r="H10520" s="238"/>
      <c r="I10520" s="237"/>
    </row>
    <row r="10521" spans="1:9" s="232" customFormat="1" ht="17" customHeight="1">
      <c r="A10521" s="234"/>
      <c r="B10521" s="233"/>
      <c r="C10521" s="238"/>
      <c r="E10521" s="545"/>
      <c r="F10521" s="546"/>
      <c r="G10521" s="234"/>
      <c r="H10521" s="238"/>
      <c r="I10521" s="237"/>
    </row>
    <row r="10522" spans="1:9" s="232" customFormat="1" ht="17" customHeight="1">
      <c r="A10522" s="234"/>
      <c r="B10522" s="233"/>
      <c r="C10522" s="238"/>
      <c r="E10522" s="545"/>
      <c r="F10522" s="546"/>
      <c r="G10522" s="234"/>
      <c r="H10522" s="238"/>
      <c r="I10522" s="237"/>
    </row>
    <row r="10523" spans="1:9" s="232" customFormat="1" ht="17" customHeight="1">
      <c r="A10523" s="234"/>
      <c r="B10523" s="233"/>
      <c r="C10523" s="238"/>
      <c r="E10523" s="545"/>
      <c r="F10523" s="546"/>
      <c r="G10523" s="234"/>
      <c r="H10523" s="238"/>
      <c r="I10523" s="237"/>
    </row>
    <row r="10524" spans="1:9" s="232" customFormat="1" ht="17" customHeight="1">
      <c r="A10524" s="234"/>
      <c r="B10524" s="233"/>
      <c r="C10524" s="238"/>
      <c r="E10524" s="545"/>
      <c r="F10524" s="546"/>
      <c r="G10524" s="234"/>
      <c r="H10524" s="238"/>
      <c r="I10524" s="237"/>
    </row>
    <row r="10525" spans="1:9" s="232" customFormat="1" ht="17" customHeight="1">
      <c r="A10525" s="234"/>
      <c r="B10525" s="233"/>
      <c r="C10525" s="238"/>
      <c r="E10525" s="545"/>
      <c r="F10525" s="546"/>
      <c r="G10525" s="234"/>
      <c r="H10525" s="238"/>
      <c r="I10525" s="237"/>
    </row>
    <row r="10526" spans="1:9" s="232" customFormat="1" ht="17" customHeight="1">
      <c r="A10526" s="234"/>
      <c r="B10526" s="233"/>
      <c r="C10526" s="238"/>
      <c r="E10526" s="545"/>
      <c r="F10526" s="546"/>
      <c r="G10526" s="234"/>
      <c r="H10526" s="238"/>
      <c r="I10526" s="237"/>
    </row>
    <row r="10527" spans="1:9" s="232" customFormat="1" ht="17" customHeight="1">
      <c r="A10527" s="234"/>
      <c r="B10527" s="233"/>
      <c r="C10527" s="238"/>
      <c r="E10527" s="545"/>
      <c r="F10527" s="546"/>
      <c r="G10527" s="234"/>
      <c r="H10527" s="238"/>
      <c r="I10527" s="237"/>
    </row>
    <row r="10528" spans="1:9" s="232" customFormat="1" ht="17" customHeight="1">
      <c r="A10528" s="234"/>
      <c r="B10528" s="233"/>
      <c r="C10528" s="238"/>
      <c r="E10528" s="545"/>
      <c r="F10528" s="546"/>
      <c r="G10528" s="234"/>
      <c r="H10528" s="238"/>
      <c r="I10528" s="237"/>
    </row>
    <row r="10529" spans="1:9" s="232" customFormat="1" ht="17" customHeight="1">
      <c r="A10529" s="234"/>
      <c r="B10529" s="233"/>
      <c r="C10529" s="238"/>
      <c r="E10529" s="545"/>
      <c r="F10529" s="546"/>
      <c r="G10529" s="234"/>
      <c r="H10529" s="238"/>
      <c r="I10529" s="237"/>
    </row>
    <row r="10530" spans="1:9" s="232" customFormat="1" ht="17" customHeight="1">
      <c r="A10530" s="234"/>
      <c r="B10530" s="233"/>
      <c r="C10530" s="238"/>
      <c r="E10530" s="545"/>
      <c r="F10530" s="546"/>
      <c r="G10530" s="234"/>
      <c r="H10530" s="238"/>
      <c r="I10530" s="237"/>
    </row>
    <row r="10531" spans="1:9" s="232" customFormat="1" ht="17" customHeight="1">
      <c r="A10531" s="234"/>
      <c r="B10531" s="233"/>
      <c r="C10531" s="238"/>
      <c r="E10531" s="545"/>
      <c r="F10531" s="546"/>
      <c r="G10531" s="234"/>
      <c r="H10531" s="238"/>
      <c r="I10531" s="237"/>
    </row>
    <row r="10532" spans="1:9" s="232" customFormat="1" ht="17" customHeight="1">
      <c r="A10532" s="234"/>
      <c r="B10532" s="233"/>
      <c r="C10532" s="238"/>
      <c r="E10532" s="545"/>
      <c r="F10532" s="546"/>
      <c r="G10532" s="234"/>
      <c r="H10532" s="238"/>
      <c r="I10532" s="237"/>
    </row>
    <row r="10533" spans="1:9" s="232" customFormat="1" ht="17" customHeight="1">
      <c r="A10533" s="234"/>
      <c r="B10533" s="233"/>
      <c r="C10533" s="238"/>
      <c r="E10533" s="545"/>
      <c r="F10533" s="546"/>
      <c r="G10533" s="234"/>
      <c r="H10533" s="238"/>
      <c r="I10533" s="237"/>
    </row>
    <row r="10534" spans="1:9" s="232" customFormat="1" ht="17" customHeight="1">
      <c r="A10534" s="234"/>
      <c r="B10534" s="233"/>
      <c r="C10534" s="238"/>
      <c r="E10534" s="545"/>
      <c r="F10534" s="546"/>
      <c r="G10534" s="234"/>
      <c r="H10534" s="238"/>
      <c r="I10534" s="237"/>
    </row>
    <row r="10535" spans="1:9" s="232" customFormat="1" ht="17" customHeight="1">
      <c r="A10535" s="234"/>
      <c r="B10535" s="233"/>
      <c r="C10535" s="238"/>
      <c r="E10535" s="545"/>
      <c r="F10535" s="546"/>
      <c r="G10535" s="234"/>
      <c r="H10535" s="238"/>
      <c r="I10535" s="237"/>
    </row>
    <row r="10536" spans="1:9" s="232" customFormat="1" ht="17" customHeight="1">
      <c r="A10536" s="234"/>
      <c r="B10536" s="233"/>
      <c r="C10536" s="238"/>
      <c r="E10536" s="545"/>
      <c r="F10536" s="546"/>
      <c r="G10536" s="234"/>
      <c r="H10536" s="238"/>
      <c r="I10536" s="237"/>
    </row>
    <row r="10537" spans="1:9" s="232" customFormat="1" ht="17" customHeight="1">
      <c r="A10537" s="234"/>
      <c r="B10537" s="233"/>
      <c r="C10537" s="238"/>
      <c r="E10537" s="545"/>
      <c r="F10537" s="546"/>
      <c r="G10537" s="234"/>
      <c r="H10537" s="238"/>
      <c r="I10537" s="237"/>
    </row>
    <row r="10538" spans="1:9" s="232" customFormat="1" ht="17" customHeight="1">
      <c r="A10538" s="234"/>
      <c r="B10538" s="233"/>
      <c r="C10538" s="238"/>
      <c r="E10538" s="545"/>
      <c r="F10538" s="546"/>
      <c r="G10538" s="234"/>
      <c r="H10538" s="238"/>
      <c r="I10538" s="237"/>
    </row>
    <row r="10539" spans="1:9" s="232" customFormat="1" ht="17" customHeight="1">
      <c r="A10539" s="234"/>
      <c r="B10539" s="233"/>
      <c r="C10539" s="238"/>
      <c r="E10539" s="545"/>
      <c r="F10539" s="546"/>
      <c r="G10539" s="234"/>
      <c r="H10539" s="238"/>
      <c r="I10539" s="237"/>
    </row>
    <row r="10540" spans="1:9" s="232" customFormat="1" ht="17" customHeight="1">
      <c r="A10540" s="234"/>
      <c r="B10540" s="233"/>
      <c r="C10540" s="238"/>
      <c r="E10540" s="545"/>
      <c r="F10540" s="546"/>
      <c r="G10540" s="234"/>
      <c r="H10540" s="238"/>
      <c r="I10540" s="237"/>
    </row>
    <row r="10541" spans="1:9" s="232" customFormat="1" ht="17" customHeight="1">
      <c r="A10541" s="234"/>
      <c r="B10541" s="233"/>
      <c r="C10541" s="238"/>
      <c r="E10541" s="545"/>
      <c r="F10541" s="546"/>
      <c r="G10541" s="234"/>
      <c r="H10541" s="238"/>
      <c r="I10541" s="237"/>
    </row>
    <row r="10542" spans="1:9" s="232" customFormat="1" ht="17" customHeight="1">
      <c r="A10542" s="234"/>
      <c r="B10542" s="233"/>
      <c r="C10542" s="238"/>
      <c r="E10542" s="545"/>
      <c r="F10542" s="546"/>
      <c r="G10542" s="234"/>
      <c r="H10542" s="238"/>
      <c r="I10542" s="237"/>
    </row>
    <row r="10543" spans="1:9" s="232" customFormat="1" ht="17" customHeight="1">
      <c r="A10543" s="234"/>
      <c r="B10543" s="233"/>
      <c r="C10543" s="238"/>
      <c r="E10543" s="545"/>
      <c r="F10543" s="546"/>
      <c r="G10543" s="234"/>
      <c r="H10543" s="238"/>
      <c r="I10543" s="237"/>
    </row>
    <row r="10544" spans="1:9" s="232" customFormat="1" ht="17" customHeight="1">
      <c r="A10544" s="234"/>
      <c r="B10544" s="233"/>
      <c r="C10544" s="238"/>
      <c r="E10544" s="545"/>
      <c r="F10544" s="546"/>
      <c r="G10544" s="234"/>
      <c r="H10544" s="238"/>
      <c r="I10544" s="237"/>
    </row>
    <row r="10545" spans="1:9" s="232" customFormat="1" ht="17" customHeight="1">
      <c r="A10545" s="234"/>
      <c r="B10545" s="233"/>
      <c r="C10545" s="238"/>
      <c r="E10545" s="545"/>
      <c r="F10545" s="546"/>
      <c r="G10545" s="234"/>
      <c r="H10545" s="238"/>
      <c r="I10545" s="237"/>
    </row>
    <row r="10546" spans="1:9" s="232" customFormat="1" ht="17" customHeight="1">
      <c r="A10546" s="234"/>
      <c r="B10546" s="233"/>
      <c r="C10546" s="238"/>
      <c r="E10546" s="545"/>
      <c r="F10546" s="546"/>
      <c r="G10546" s="234"/>
      <c r="H10546" s="238"/>
      <c r="I10546" s="237"/>
    </row>
    <row r="10547" spans="1:9" s="232" customFormat="1" ht="17" customHeight="1">
      <c r="A10547" s="234"/>
      <c r="B10547" s="233"/>
      <c r="C10547" s="238"/>
      <c r="E10547" s="545"/>
      <c r="F10547" s="546"/>
      <c r="G10547" s="234"/>
      <c r="H10547" s="238"/>
      <c r="I10547" s="237"/>
    </row>
    <row r="10548" spans="1:9" s="232" customFormat="1" ht="17" customHeight="1">
      <c r="A10548" s="234"/>
      <c r="B10548" s="233"/>
      <c r="C10548" s="238"/>
      <c r="E10548" s="545"/>
      <c r="F10548" s="546"/>
      <c r="G10548" s="234"/>
      <c r="H10548" s="238"/>
      <c r="I10548" s="237"/>
    </row>
    <row r="10549" spans="1:9" s="232" customFormat="1" ht="17" customHeight="1">
      <c r="A10549" s="234"/>
      <c r="B10549" s="233"/>
      <c r="C10549" s="238"/>
      <c r="E10549" s="545"/>
      <c r="F10549" s="546"/>
      <c r="G10549" s="234"/>
      <c r="H10549" s="238"/>
      <c r="I10549" s="237"/>
    </row>
    <row r="10550" spans="1:9" s="232" customFormat="1" ht="17" customHeight="1">
      <c r="A10550" s="234"/>
      <c r="B10550" s="233"/>
      <c r="C10550" s="238"/>
      <c r="E10550" s="545"/>
      <c r="F10550" s="546"/>
      <c r="G10550" s="234"/>
      <c r="H10550" s="238"/>
      <c r="I10550" s="237"/>
    </row>
    <row r="10551" spans="1:9" s="232" customFormat="1" ht="17" customHeight="1">
      <c r="A10551" s="234"/>
      <c r="B10551" s="233"/>
      <c r="C10551" s="238"/>
      <c r="E10551" s="545"/>
      <c r="F10551" s="546"/>
      <c r="G10551" s="234"/>
      <c r="H10551" s="238"/>
      <c r="I10551" s="237"/>
    </row>
    <row r="10552" spans="1:9" s="232" customFormat="1" ht="17" customHeight="1">
      <c r="A10552" s="234"/>
      <c r="B10552" s="233"/>
      <c r="C10552" s="238"/>
      <c r="E10552" s="545"/>
      <c r="F10552" s="546"/>
      <c r="G10552" s="234"/>
      <c r="H10552" s="238"/>
      <c r="I10552" s="237"/>
    </row>
    <row r="10553" spans="1:9" s="232" customFormat="1" ht="17" customHeight="1">
      <c r="A10553" s="234"/>
      <c r="B10553" s="233"/>
      <c r="C10553" s="238"/>
      <c r="E10553" s="545"/>
      <c r="F10553" s="546"/>
      <c r="G10553" s="234"/>
      <c r="H10553" s="238"/>
      <c r="I10553" s="237"/>
    </row>
    <row r="10554" spans="1:9" s="232" customFormat="1" ht="17" customHeight="1">
      <c r="A10554" s="234"/>
      <c r="B10554" s="233"/>
      <c r="C10554" s="238"/>
      <c r="E10554" s="545"/>
      <c r="F10554" s="546"/>
      <c r="G10554" s="234"/>
      <c r="H10554" s="238"/>
      <c r="I10554" s="237"/>
    </row>
    <row r="10555" spans="1:9" s="232" customFormat="1" ht="17" customHeight="1">
      <c r="A10555" s="234"/>
      <c r="B10555" s="233"/>
      <c r="C10555" s="238"/>
      <c r="E10555" s="545"/>
      <c r="F10555" s="546"/>
      <c r="G10555" s="234"/>
      <c r="H10555" s="238"/>
      <c r="I10555" s="237"/>
    </row>
    <row r="10556" spans="1:9" s="232" customFormat="1" ht="17" customHeight="1">
      <c r="A10556" s="234"/>
      <c r="B10556" s="233"/>
      <c r="C10556" s="238"/>
      <c r="E10556" s="545"/>
      <c r="F10556" s="546"/>
      <c r="G10556" s="234"/>
      <c r="H10556" s="238"/>
      <c r="I10556" s="237"/>
    </row>
    <row r="10557" spans="1:9" s="232" customFormat="1" ht="17" customHeight="1">
      <c r="A10557" s="234"/>
      <c r="B10557" s="233"/>
      <c r="C10557" s="238"/>
      <c r="E10557" s="545"/>
      <c r="F10557" s="546"/>
      <c r="G10557" s="234"/>
      <c r="H10557" s="238"/>
      <c r="I10557" s="237"/>
    </row>
    <row r="10558" spans="1:9" s="232" customFormat="1" ht="17" customHeight="1">
      <c r="A10558" s="234"/>
      <c r="B10558" s="233"/>
      <c r="C10558" s="238"/>
      <c r="E10558" s="545"/>
      <c r="F10558" s="546"/>
      <c r="G10558" s="234"/>
      <c r="H10558" s="238"/>
      <c r="I10558" s="237"/>
    </row>
    <row r="10559" spans="1:9" s="232" customFormat="1" ht="17" customHeight="1">
      <c r="A10559" s="234"/>
      <c r="B10559" s="233"/>
      <c r="C10559" s="238"/>
      <c r="E10559" s="545"/>
      <c r="F10559" s="546"/>
      <c r="G10559" s="234"/>
      <c r="H10559" s="238"/>
      <c r="I10559" s="237"/>
    </row>
    <row r="10560" spans="1:9" s="232" customFormat="1" ht="17" customHeight="1">
      <c r="A10560" s="234"/>
      <c r="B10560" s="233"/>
      <c r="C10560" s="238"/>
      <c r="E10560" s="545"/>
      <c r="F10560" s="546"/>
      <c r="G10560" s="234"/>
      <c r="H10560" s="238"/>
      <c r="I10560" s="237"/>
    </row>
    <row r="10561" spans="1:9" s="232" customFormat="1" ht="17" customHeight="1">
      <c r="A10561" s="234"/>
      <c r="B10561" s="233"/>
      <c r="C10561" s="238"/>
      <c r="E10561" s="545"/>
      <c r="F10561" s="546"/>
      <c r="G10561" s="234"/>
      <c r="H10561" s="238"/>
      <c r="I10561" s="237"/>
    </row>
    <row r="10562" spans="1:9" s="232" customFormat="1" ht="17" customHeight="1">
      <c r="A10562" s="234"/>
      <c r="B10562" s="233"/>
      <c r="C10562" s="238"/>
      <c r="E10562" s="545"/>
      <c r="F10562" s="546"/>
      <c r="G10562" s="234"/>
      <c r="H10562" s="238"/>
      <c r="I10562" s="237"/>
    </row>
    <row r="10563" spans="1:9" s="232" customFormat="1" ht="17" customHeight="1">
      <c r="A10563" s="234"/>
      <c r="B10563" s="233"/>
      <c r="C10563" s="238"/>
      <c r="E10563" s="545"/>
      <c r="F10563" s="546"/>
      <c r="G10563" s="234"/>
      <c r="H10563" s="238"/>
      <c r="I10563" s="237"/>
    </row>
    <row r="10564" spans="1:9" s="232" customFormat="1" ht="17" customHeight="1">
      <c r="A10564" s="234"/>
      <c r="B10564" s="233"/>
      <c r="C10564" s="238"/>
      <c r="E10564" s="545"/>
      <c r="F10564" s="546"/>
      <c r="G10564" s="234"/>
      <c r="H10564" s="238"/>
      <c r="I10564" s="237"/>
    </row>
    <row r="10565" spans="1:9" s="232" customFormat="1" ht="17" customHeight="1">
      <c r="A10565" s="234"/>
      <c r="B10565" s="233"/>
      <c r="C10565" s="238"/>
      <c r="E10565" s="545"/>
      <c r="F10565" s="546"/>
      <c r="G10565" s="234"/>
      <c r="H10565" s="238"/>
      <c r="I10565" s="237"/>
    </row>
    <row r="10566" spans="1:9" s="232" customFormat="1" ht="17" customHeight="1">
      <c r="A10566" s="234"/>
      <c r="B10566" s="233"/>
      <c r="C10566" s="238"/>
      <c r="E10566" s="545"/>
      <c r="F10566" s="546"/>
      <c r="G10566" s="234"/>
      <c r="H10566" s="238"/>
      <c r="I10566" s="237"/>
    </row>
    <row r="10567" spans="1:9" s="232" customFormat="1" ht="17" customHeight="1">
      <c r="A10567" s="234"/>
      <c r="B10567" s="233"/>
      <c r="C10567" s="238"/>
      <c r="E10567" s="545"/>
      <c r="F10567" s="546"/>
      <c r="G10567" s="234"/>
      <c r="H10567" s="238"/>
      <c r="I10567" s="237"/>
    </row>
    <row r="10568" spans="1:9" s="232" customFormat="1" ht="17" customHeight="1">
      <c r="A10568" s="234"/>
      <c r="B10568" s="233"/>
      <c r="C10568" s="238"/>
      <c r="E10568" s="545"/>
      <c r="F10568" s="546"/>
      <c r="G10568" s="234"/>
      <c r="H10568" s="238"/>
      <c r="I10568" s="237"/>
    </row>
    <row r="10569" spans="1:9" s="232" customFormat="1" ht="17" customHeight="1">
      <c r="A10569" s="234"/>
      <c r="B10569" s="233"/>
      <c r="C10569" s="238"/>
      <c r="E10569" s="545"/>
      <c r="F10569" s="546"/>
      <c r="G10569" s="234"/>
      <c r="H10569" s="238"/>
      <c r="I10569" s="237"/>
    </row>
    <row r="10570" spans="1:9" s="232" customFormat="1" ht="17" customHeight="1">
      <c r="A10570" s="234"/>
      <c r="B10570" s="233"/>
      <c r="C10570" s="238"/>
      <c r="E10570" s="545"/>
      <c r="F10570" s="546"/>
      <c r="G10570" s="234"/>
      <c r="H10570" s="238"/>
      <c r="I10570" s="237"/>
    </row>
    <row r="10571" spans="1:9" s="232" customFormat="1" ht="17" customHeight="1">
      <c r="A10571" s="234"/>
      <c r="B10571" s="233"/>
      <c r="C10571" s="238"/>
      <c r="E10571" s="545"/>
      <c r="F10571" s="546"/>
      <c r="G10571" s="234"/>
      <c r="H10571" s="238"/>
      <c r="I10571" s="237"/>
    </row>
    <row r="10572" spans="1:9" s="232" customFormat="1" ht="17" customHeight="1">
      <c r="A10572" s="234"/>
      <c r="B10572" s="233"/>
      <c r="C10572" s="238"/>
      <c r="E10572" s="545"/>
      <c r="F10572" s="546"/>
      <c r="G10572" s="234"/>
      <c r="H10572" s="238"/>
      <c r="I10572" s="237"/>
    </row>
    <row r="10573" spans="1:9" s="232" customFormat="1" ht="17" customHeight="1">
      <c r="A10573" s="234"/>
      <c r="B10573" s="233"/>
      <c r="C10573" s="238"/>
      <c r="E10573" s="545"/>
      <c r="F10573" s="546"/>
      <c r="G10573" s="234"/>
      <c r="H10573" s="238"/>
      <c r="I10573" s="237"/>
    </row>
    <row r="10574" spans="1:9" s="232" customFormat="1" ht="17" customHeight="1">
      <c r="A10574" s="234"/>
      <c r="B10574" s="233"/>
      <c r="C10574" s="238"/>
      <c r="E10574" s="545"/>
      <c r="F10574" s="546"/>
      <c r="G10574" s="234"/>
      <c r="H10574" s="238"/>
      <c r="I10574" s="237"/>
    </row>
    <row r="10575" spans="1:9" s="232" customFormat="1" ht="17" customHeight="1">
      <c r="A10575" s="234"/>
      <c r="B10575" s="233"/>
      <c r="C10575" s="238"/>
      <c r="E10575" s="545"/>
      <c r="F10575" s="546"/>
      <c r="G10575" s="234"/>
      <c r="H10575" s="238"/>
      <c r="I10575" s="237"/>
    </row>
    <row r="10576" spans="1:9" s="232" customFormat="1" ht="17" customHeight="1">
      <c r="A10576" s="234"/>
      <c r="B10576" s="233"/>
      <c r="C10576" s="238"/>
      <c r="E10576" s="545"/>
      <c r="F10576" s="546"/>
      <c r="G10576" s="234"/>
      <c r="H10576" s="238"/>
      <c r="I10576" s="237"/>
    </row>
    <row r="10577" spans="1:9" s="232" customFormat="1" ht="17" customHeight="1">
      <c r="A10577" s="234"/>
      <c r="B10577" s="233"/>
      <c r="C10577" s="238"/>
      <c r="E10577" s="545"/>
      <c r="F10577" s="546"/>
      <c r="G10577" s="234"/>
      <c r="H10577" s="238"/>
      <c r="I10577" s="237"/>
    </row>
    <row r="10578" spans="1:9" s="232" customFormat="1" ht="17" customHeight="1">
      <c r="A10578" s="234"/>
      <c r="B10578" s="233"/>
      <c r="C10578" s="238"/>
      <c r="E10578" s="545"/>
      <c r="F10578" s="546"/>
      <c r="G10578" s="234"/>
      <c r="H10578" s="238"/>
      <c r="I10578" s="237"/>
    </row>
    <row r="10579" spans="1:9" s="232" customFormat="1" ht="17" customHeight="1">
      <c r="A10579" s="234"/>
      <c r="B10579" s="233"/>
      <c r="C10579" s="238"/>
      <c r="E10579" s="545"/>
      <c r="F10579" s="546"/>
      <c r="G10579" s="234"/>
      <c r="H10579" s="238"/>
      <c r="I10579" s="237"/>
    </row>
    <row r="10580" spans="1:9" s="232" customFormat="1" ht="17" customHeight="1">
      <c r="A10580" s="234"/>
      <c r="B10580" s="233"/>
      <c r="C10580" s="238"/>
      <c r="E10580" s="545"/>
      <c r="F10580" s="546"/>
      <c r="G10580" s="234"/>
      <c r="H10580" s="238"/>
      <c r="I10580" s="237"/>
    </row>
    <row r="10581" spans="1:9" s="232" customFormat="1" ht="17" customHeight="1">
      <c r="A10581" s="234"/>
      <c r="B10581" s="233"/>
      <c r="C10581" s="238"/>
      <c r="E10581" s="545"/>
      <c r="F10581" s="546"/>
      <c r="G10581" s="234"/>
      <c r="H10581" s="238"/>
      <c r="I10581" s="237"/>
    </row>
    <row r="10582" spans="1:9" s="232" customFormat="1" ht="17" customHeight="1">
      <c r="A10582" s="234"/>
      <c r="B10582" s="233"/>
      <c r="C10582" s="238"/>
      <c r="E10582" s="545"/>
      <c r="F10582" s="546"/>
      <c r="G10582" s="234"/>
      <c r="H10582" s="238"/>
      <c r="I10582" s="237"/>
    </row>
    <row r="10583" spans="1:9" s="232" customFormat="1" ht="17" customHeight="1">
      <c r="A10583" s="234"/>
      <c r="B10583" s="233"/>
      <c r="C10583" s="238"/>
      <c r="E10583" s="545"/>
      <c r="F10583" s="546"/>
      <c r="G10583" s="234"/>
      <c r="H10583" s="238"/>
      <c r="I10583" s="237"/>
    </row>
    <row r="10584" spans="1:9" s="232" customFormat="1" ht="17" customHeight="1">
      <c r="A10584" s="234"/>
      <c r="B10584" s="233"/>
      <c r="C10584" s="238"/>
      <c r="E10584" s="545"/>
      <c r="F10584" s="546"/>
      <c r="G10584" s="234"/>
      <c r="H10584" s="238"/>
      <c r="I10584" s="237"/>
    </row>
    <row r="10585" spans="1:9" s="232" customFormat="1" ht="17" customHeight="1">
      <c r="A10585" s="234"/>
      <c r="B10585" s="233"/>
      <c r="C10585" s="238"/>
      <c r="E10585" s="545"/>
      <c r="F10585" s="546"/>
      <c r="G10585" s="234"/>
      <c r="H10585" s="238"/>
      <c r="I10585" s="237"/>
    </row>
    <row r="10586" spans="1:9" s="232" customFormat="1" ht="17" customHeight="1">
      <c r="A10586" s="234"/>
      <c r="B10586" s="233"/>
      <c r="C10586" s="238"/>
      <c r="E10586" s="545"/>
      <c r="F10586" s="546"/>
      <c r="G10586" s="234"/>
      <c r="H10586" s="238"/>
      <c r="I10586" s="237"/>
    </row>
    <row r="10587" spans="1:9" s="232" customFormat="1" ht="17" customHeight="1">
      <c r="A10587" s="234"/>
      <c r="B10587" s="233"/>
      <c r="C10587" s="238"/>
      <c r="E10587" s="545"/>
      <c r="F10587" s="546"/>
      <c r="G10587" s="234"/>
      <c r="H10587" s="238"/>
      <c r="I10587" s="237"/>
    </row>
    <row r="10588" spans="1:9" s="232" customFormat="1" ht="17" customHeight="1">
      <c r="A10588" s="234"/>
      <c r="B10588" s="233"/>
      <c r="C10588" s="238"/>
      <c r="E10588" s="545"/>
      <c r="F10588" s="546"/>
      <c r="G10588" s="234"/>
      <c r="H10588" s="238"/>
      <c r="I10588" s="237"/>
    </row>
    <row r="10589" spans="1:9" s="232" customFormat="1" ht="17" customHeight="1">
      <c r="A10589" s="234"/>
      <c r="B10589" s="233"/>
      <c r="C10589" s="238"/>
      <c r="E10589" s="545"/>
      <c r="F10589" s="546"/>
      <c r="G10589" s="234"/>
      <c r="H10589" s="238"/>
      <c r="I10589" s="237"/>
    </row>
    <row r="10590" spans="1:9" s="232" customFormat="1" ht="17" customHeight="1">
      <c r="A10590" s="234"/>
      <c r="B10590" s="233"/>
      <c r="C10590" s="238"/>
      <c r="E10590" s="545"/>
      <c r="F10590" s="546"/>
      <c r="G10590" s="234"/>
      <c r="H10590" s="238"/>
      <c r="I10590" s="237"/>
    </row>
    <row r="10591" spans="1:9" s="232" customFormat="1" ht="17" customHeight="1">
      <c r="A10591" s="234"/>
      <c r="B10591" s="233"/>
      <c r="C10591" s="238"/>
      <c r="E10591" s="545"/>
      <c r="F10591" s="546"/>
      <c r="G10591" s="234"/>
      <c r="H10591" s="238"/>
      <c r="I10591" s="237"/>
    </row>
    <row r="10592" spans="1:9" s="232" customFormat="1" ht="17" customHeight="1">
      <c r="A10592" s="234"/>
      <c r="B10592" s="233"/>
      <c r="C10592" s="238"/>
      <c r="E10592" s="545"/>
      <c r="F10592" s="546"/>
      <c r="G10592" s="234"/>
      <c r="H10592" s="238"/>
      <c r="I10592" s="237"/>
    </row>
    <row r="10593" spans="1:9" s="232" customFormat="1" ht="17" customHeight="1">
      <c r="A10593" s="234"/>
      <c r="B10593" s="233"/>
      <c r="C10593" s="238"/>
      <c r="E10593" s="545"/>
      <c r="F10593" s="546"/>
      <c r="G10593" s="234"/>
      <c r="H10593" s="238"/>
      <c r="I10593" s="237"/>
    </row>
    <row r="10594" spans="1:9" s="232" customFormat="1" ht="17" customHeight="1">
      <c r="A10594" s="234"/>
      <c r="B10594" s="233"/>
      <c r="C10594" s="238"/>
      <c r="E10594" s="545"/>
      <c r="F10594" s="546"/>
      <c r="G10594" s="234"/>
      <c r="H10594" s="238"/>
      <c r="I10594" s="237"/>
    </row>
    <row r="10595" spans="1:9" s="232" customFormat="1" ht="17" customHeight="1">
      <c r="A10595" s="234"/>
      <c r="B10595" s="233"/>
      <c r="C10595" s="238"/>
      <c r="E10595" s="545"/>
      <c r="F10595" s="546"/>
      <c r="G10595" s="234"/>
      <c r="H10595" s="238"/>
      <c r="I10595" s="237"/>
    </row>
    <row r="10596" spans="1:9" s="232" customFormat="1" ht="17" customHeight="1">
      <c r="A10596" s="234"/>
      <c r="B10596" s="233"/>
      <c r="C10596" s="238"/>
      <c r="E10596" s="545"/>
      <c r="F10596" s="546"/>
      <c r="G10596" s="234"/>
      <c r="H10596" s="238"/>
      <c r="I10596" s="237"/>
    </row>
    <row r="10597" spans="1:9" s="232" customFormat="1" ht="17" customHeight="1">
      <c r="A10597" s="234"/>
      <c r="B10597" s="233"/>
      <c r="C10597" s="238"/>
      <c r="E10597" s="545"/>
      <c r="F10597" s="546"/>
      <c r="G10597" s="234"/>
      <c r="H10597" s="238"/>
      <c r="I10597" s="237"/>
    </row>
    <row r="10598" spans="1:9" s="232" customFormat="1" ht="17" customHeight="1">
      <c r="A10598" s="234"/>
      <c r="B10598" s="233"/>
      <c r="C10598" s="238"/>
      <c r="E10598" s="545"/>
      <c r="F10598" s="546"/>
      <c r="G10598" s="234"/>
      <c r="H10598" s="238"/>
      <c r="I10598" s="237"/>
    </row>
    <row r="10599" spans="1:9" s="232" customFormat="1" ht="17" customHeight="1">
      <c r="A10599" s="234"/>
      <c r="B10599" s="233"/>
      <c r="C10599" s="238"/>
      <c r="E10599" s="545"/>
      <c r="F10599" s="546"/>
      <c r="G10599" s="234"/>
      <c r="H10599" s="238"/>
      <c r="I10599" s="237"/>
    </row>
    <row r="10600" spans="1:9" s="232" customFormat="1" ht="17" customHeight="1">
      <c r="A10600" s="234"/>
      <c r="B10600" s="233"/>
      <c r="C10600" s="238"/>
      <c r="E10600" s="545"/>
      <c r="F10600" s="546"/>
      <c r="G10600" s="234"/>
      <c r="H10600" s="238"/>
      <c r="I10600" s="237"/>
    </row>
    <row r="10601" spans="1:9" s="232" customFormat="1" ht="17" customHeight="1">
      <c r="A10601" s="234"/>
      <c r="B10601" s="233"/>
      <c r="C10601" s="238"/>
      <c r="E10601" s="545"/>
      <c r="F10601" s="546"/>
      <c r="G10601" s="234"/>
      <c r="H10601" s="238"/>
      <c r="I10601" s="237"/>
    </row>
    <row r="10602" spans="1:9" s="232" customFormat="1" ht="17" customHeight="1">
      <c r="A10602" s="234"/>
      <c r="B10602" s="233"/>
      <c r="C10602" s="238"/>
      <c r="E10602" s="545"/>
      <c r="F10602" s="546"/>
      <c r="G10602" s="234"/>
      <c r="H10602" s="238"/>
      <c r="I10602" s="237"/>
    </row>
    <row r="10603" spans="1:9" s="232" customFormat="1" ht="17" customHeight="1">
      <c r="A10603" s="234"/>
      <c r="B10603" s="233"/>
      <c r="C10603" s="238"/>
      <c r="E10603" s="545"/>
      <c r="F10603" s="546"/>
      <c r="G10603" s="234"/>
      <c r="H10603" s="238"/>
      <c r="I10603" s="237"/>
    </row>
    <row r="10604" spans="1:9" s="232" customFormat="1" ht="17" customHeight="1">
      <c r="A10604" s="234"/>
      <c r="B10604" s="233"/>
      <c r="C10604" s="238"/>
      <c r="E10604" s="545"/>
      <c r="F10604" s="546"/>
      <c r="G10604" s="234"/>
      <c r="H10604" s="238"/>
      <c r="I10604" s="237"/>
    </row>
    <row r="10605" spans="1:9" s="232" customFormat="1" ht="17" customHeight="1">
      <c r="A10605" s="234"/>
      <c r="B10605" s="233"/>
      <c r="C10605" s="238"/>
      <c r="E10605" s="545"/>
      <c r="F10605" s="546"/>
      <c r="G10605" s="234"/>
      <c r="H10605" s="238"/>
      <c r="I10605" s="237"/>
    </row>
    <row r="10606" spans="1:9" s="232" customFormat="1" ht="17" customHeight="1">
      <c r="A10606" s="234"/>
      <c r="B10606" s="233"/>
      <c r="C10606" s="238"/>
      <c r="E10606" s="545"/>
      <c r="F10606" s="546"/>
      <c r="G10606" s="234"/>
      <c r="H10606" s="238"/>
      <c r="I10606" s="237"/>
    </row>
    <row r="10607" spans="1:9" s="232" customFormat="1" ht="17" customHeight="1">
      <c r="A10607" s="234"/>
      <c r="B10607" s="233"/>
      <c r="C10607" s="238"/>
      <c r="E10607" s="545"/>
      <c r="F10607" s="546"/>
      <c r="G10607" s="234"/>
      <c r="H10607" s="238"/>
      <c r="I10607" s="237"/>
    </row>
    <row r="10608" spans="1:9" s="232" customFormat="1" ht="17" customHeight="1">
      <c r="A10608" s="234"/>
      <c r="B10608" s="233"/>
      <c r="C10608" s="238"/>
      <c r="E10608" s="545"/>
      <c r="F10608" s="546"/>
      <c r="G10608" s="234"/>
      <c r="H10608" s="238"/>
      <c r="I10608" s="237"/>
    </row>
    <row r="10609" spans="1:9" s="232" customFormat="1" ht="17" customHeight="1">
      <c r="A10609" s="234"/>
      <c r="B10609" s="233"/>
      <c r="C10609" s="238"/>
      <c r="E10609" s="545"/>
      <c r="F10609" s="546"/>
      <c r="G10609" s="234"/>
      <c r="H10609" s="238"/>
      <c r="I10609" s="237"/>
    </row>
    <row r="10610" spans="1:9" s="232" customFormat="1" ht="17" customHeight="1">
      <c r="A10610" s="234"/>
      <c r="B10610" s="233"/>
      <c r="C10610" s="238"/>
      <c r="E10610" s="545"/>
      <c r="F10610" s="546"/>
      <c r="G10610" s="234"/>
      <c r="H10610" s="238"/>
      <c r="I10610" s="237"/>
    </row>
    <row r="10611" spans="1:9" s="232" customFormat="1" ht="17" customHeight="1">
      <c r="A10611" s="234"/>
      <c r="B10611" s="233"/>
      <c r="C10611" s="238"/>
      <c r="E10611" s="545"/>
      <c r="F10611" s="546"/>
      <c r="G10611" s="234"/>
      <c r="H10611" s="238"/>
      <c r="I10611" s="237"/>
    </row>
    <row r="10612" spans="1:9" s="232" customFormat="1" ht="17" customHeight="1">
      <c r="A10612" s="234"/>
      <c r="B10612" s="233"/>
      <c r="C10612" s="238"/>
      <c r="E10612" s="545"/>
      <c r="F10612" s="546"/>
      <c r="G10612" s="234"/>
      <c r="H10612" s="238"/>
      <c r="I10612" s="237"/>
    </row>
    <row r="10613" spans="1:9" s="232" customFormat="1" ht="17" customHeight="1">
      <c r="A10613" s="234"/>
      <c r="B10613" s="233"/>
      <c r="C10613" s="238"/>
      <c r="E10613" s="545"/>
      <c r="F10613" s="546"/>
      <c r="G10613" s="234"/>
      <c r="H10613" s="238"/>
      <c r="I10613" s="237"/>
    </row>
    <row r="10614" spans="1:9" s="232" customFormat="1" ht="17" customHeight="1">
      <c r="A10614" s="234"/>
      <c r="B10614" s="233"/>
      <c r="C10614" s="238"/>
      <c r="E10614" s="545"/>
      <c r="F10614" s="546"/>
      <c r="G10614" s="234"/>
      <c r="H10614" s="238"/>
      <c r="I10614" s="237"/>
    </row>
    <row r="10615" spans="1:9" s="232" customFormat="1" ht="17" customHeight="1">
      <c r="A10615" s="234"/>
      <c r="B10615" s="233"/>
      <c r="C10615" s="238"/>
      <c r="E10615" s="545"/>
      <c r="F10615" s="546"/>
      <c r="G10615" s="234"/>
      <c r="H10615" s="238"/>
      <c r="I10615" s="237"/>
    </row>
    <row r="10616" spans="1:9" s="232" customFormat="1" ht="17" customHeight="1">
      <c r="A10616" s="234"/>
      <c r="B10616" s="233"/>
      <c r="C10616" s="238"/>
      <c r="E10616" s="545"/>
      <c r="F10616" s="546"/>
      <c r="G10616" s="234"/>
      <c r="H10616" s="238"/>
      <c r="I10616" s="237"/>
    </row>
    <row r="10617" spans="1:9" s="232" customFormat="1" ht="17" customHeight="1">
      <c r="A10617" s="234"/>
      <c r="B10617" s="233"/>
      <c r="C10617" s="238"/>
      <c r="E10617" s="545"/>
      <c r="F10617" s="546"/>
      <c r="G10617" s="234"/>
      <c r="H10617" s="238"/>
      <c r="I10617" s="237"/>
    </row>
    <row r="10618" spans="1:9" s="232" customFormat="1" ht="17" customHeight="1">
      <c r="A10618" s="234"/>
      <c r="B10618" s="233"/>
      <c r="C10618" s="238"/>
      <c r="E10618" s="545"/>
      <c r="F10618" s="546"/>
      <c r="G10618" s="234"/>
      <c r="H10618" s="238"/>
      <c r="I10618" s="237"/>
    </row>
    <row r="10619" spans="1:9" s="232" customFormat="1" ht="17" customHeight="1">
      <c r="A10619" s="234"/>
      <c r="B10619" s="233"/>
      <c r="C10619" s="238"/>
      <c r="E10619" s="545"/>
      <c r="F10619" s="546"/>
      <c r="G10619" s="234"/>
      <c r="H10619" s="238"/>
      <c r="I10619" s="237"/>
    </row>
    <row r="10620" spans="1:9" s="232" customFormat="1" ht="17" customHeight="1">
      <c r="A10620" s="234"/>
      <c r="B10620" s="233"/>
      <c r="C10620" s="238"/>
      <c r="E10620" s="545"/>
      <c r="F10620" s="546"/>
      <c r="G10620" s="234"/>
      <c r="H10620" s="238"/>
      <c r="I10620" s="237"/>
    </row>
    <row r="10621" spans="1:9" s="232" customFormat="1" ht="17" customHeight="1">
      <c r="A10621" s="234"/>
      <c r="B10621" s="233"/>
      <c r="C10621" s="238"/>
      <c r="E10621" s="545"/>
      <c r="F10621" s="546"/>
      <c r="G10621" s="234"/>
      <c r="H10621" s="238"/>
      <c r="I10621" s="237"/>
    </row>
    <row r="10622" spans="1:9" s="232" customFormat="1" ht="17" customHeight="1">
      <c r="A10622" s="234"/>
      <c r="B10622" s="233"/>
      <c r="C10622" s="238"/>
      <c r="E10622" s="545"/>
      <c r="F10622" s="546"/>
      <c r="G10622" s="234"/>
      <c r="H10622" s="238"/>
      <c r="I10622" s="237"/>
    </row>
    <row r="10623" spans="1:9" s="232" customFormat="1" ht="17" customHeight="1">
      <c r="A10623" s="234"/>
      <c r="B10623" s="233"/>
      <c r="C10623" s="238"/>
      <c r="E10623" s="545"/>
      <c r="F10623" s="546"/>
      <c r="G10623" s="234"/>
      <c r="H10623" s="238"/>
      <c r="I10623" s="237"/>
    </row>
    <row r="10624" spans="1:9" s="232" customFormat="1" ht="17" customHeight="1">
      <c r="A10624" s="234"/>
      <c r="B10624" s="233"/>
      <c r="C10624" s="238"/>
      <c r="E10624" s="545"/>
      <c r="F10624" s="546"/>
      <c r="G10624" s="234"/>
      <c r="H10624" s="238"/>
      <c r="I10624" s="237"/>
    </row>
    <row r="10625" spans="1:9" s="232" customFormat="1" ht="17" customHeight="1">
      <c r="A10625" s="234"/>
      <c r="B10625" s="233"/>
      <c r="C10625" s="238"/>
      <c r="E10625" s="545"/>
      <c r="F10625" s="546"/>
      <c r="G10625" s="234"/>
      <c r="H10625" s="238"/>
      <c r="I10625" s="237"/>
    </row>
    <row r="10626" spans="1:9" s="232" customFormat="1" ht="17" customHeight="1">
      <c r="A10626" s="234"/>
      <c r="B10626" s="233"/>
      <c r="C10626" s="238"/>
      <c r="E10626" s="545"/>
      <c r="F10626" s="546"/>
      <c r="G10626" s="234"/>
      <c r="H10626" s="238"/>
      <c r="I10626" s="237"/>
    </row>
    <row r="10627" spans="1:9" s="232" customFormat="1" ht="17" customHeight="1">
      <c r="A10627" s="234"/>
      <c r="B10627" s="233"/>
      <c r="C10627" s="238"/>
      <c r="E10627" s="545"/>
      <c r="F10627" s="546"/>
      <c r="G10627" s="234"/>
      <c r="H10627" s="238"/>
      <c r="I10627" s="237"/>
    </row>
    <row r="10628" spans="1:9" s="232" customFormat="1" ht="17" customHeight="1">
      <c r="A10628" s="234"/>
      <c r="B10628" s="233"/>
      <c r="C10628" s="238"/>
      <c r="E10628" s="545"/>
      <c r="F10628" s="546"/>
      <c r="G10628" s="234"/>
      <c r="H10628" s="238"/>
      <c r="I10628" s="237"/>
    </row>
    <row r="10629" spans="1:9" s="232" customFormat="1" ht="17" customHeight="1">
      <c r="A10629" s="234"/>
      <c r="B10629" s="233"/>
      <c r="C10629" s="238"/>
      <c r="E10629" s="545"/>
      <c r="F10629" s="546"/>
      <c r="G10629" s="234"/>
      <c r="H10629" s="238"/>
      <c r="I10629" s="237"/>
    </row>
    <row r="10630" spans="1:9" s="232" customFormat="1" ht="17" customHeight="1">
      <c r="A10630" s="234"/>
      <c r="B10630" s="233"/>
      <c r="C10630" s="238"/>
      <c r="E10630" s="545"/>
      <c r="F10630" s="546"/>
      <c r="G10630" s="234"/>
      <c r="H10630" s="238"/>
      <c r="I10630" s="237"/>
    </row>
    <row r="10631" spans="1:9" s="232" customFormat="1" ht="17" customHeight="1">
      <c r="A10631" s="234"/>
      <c r="B10631" s="233"/>
      <c r="C10631" s="238"/>
      <c r="E10631" s="545"/>
      <c r="F10631" s="546"/>
      <c r="G10631" s="234"/>
      <c r="H10631" s="238"/>
      <c r="I10631" s="237"/>
    </row>
    <row r="10632" spans="1:9" s="232" customFormat="1" ht="17" customHeight="1">
      <c r="A10632" s="234"/>
      <c r="B10632" s="233"/>
      <c r="C10632" s="238"/>
      <c r="E10632" s="545"/>
      <c r="F10632" s="546"/>
      <c r="G10632" s="234"/>
      <c r="H10632" s="238"/>
      <c r="I10632" s="237"/>
    </row>
    <row r="10633" spans="1:9" s="232" customFormat="1" ht="17" customHeight="1">
      <c r="A10633" s="234"/>
      <c r="B10633" s="233"/>
      <c r="C10633" s="238"/>
      <c r="E10633" s="545"/>
      <c r="F10633" s="546"/>
      <c r="G10633" s="234"/>
      <c r="H10633" s="238"/>
      <c r="I10633" s="237"/>
    </row>
    <row r="10634" spans="1:9" s="232" customFormat="1" ht="17" customHeight="1">
      <c r="A10634" s="234"/>
      <c r="B10634" s="233"/>
      <c r="C10634" s="238"/>
      <c r="E10634" s="545"/>
      <c r="F10634" s="546"/>
      <c r="G10634" s="234"/>
      <c r="H10634" s="238"/>
      <c r="I10634" s="237"/>
    </row>
    <row r="10635" spans="1:9" s="232" customFormat="1" ht="17" customHeight="1">
      <c r="A10635" s="234"/>
      <c r="B10635" s="233"/>
      <c r="C10635" s="238"/>
      <c r="E10635" s="545"/>
      <c r="F10635" s="546"/>
      <c r="G10635" s="234"/>
      <c r="H10635" s="238"/>
      <c r="I10635" s="237"/>
    </row>
    <row r="10636" spans="1:9" s="232" customFormat="1" ht="17" customHeight="1">
      <c r="A10636" s="234"/>
      <c r="B10636" s="233"/>
      <c r="C10636" s="238"/>
      <c r="E10636" s="545"/>
      <c r="F10636" s="546"/>
      <c r="G10636" s="234"/>
      <c r="H10636" s="238"/>
      <c r="I10636" s="237"/>
    </row>
    <row r="10637" spans="1:9" s="232" customFormat="1" ht="17" customHeight="1">
      <c r="A10637" s="234"/>
      <c r="B10637" s="233"/>
      <c r="C10637" s="238"/>
      <c r="E10637" s="545"/>
      <c r="F10637" s="546"/>
      <c r="G10637" s="234"/>
      <c r="H10637" s="238"/>
      <c r="I10637" s="237"/>
    </row>
    <row r="10638" spans="1:9" s="232" customFormat="1" ht="17" customHeight="1">
      <c r="A10638" s="234"/>
      <c r="B10638" s="233"/>
      <c r="C10638" s="238"/>
      <c r="E10638" s="545"/>
      <c r="F10638" s="546"/>
      <c r="G10638" s="234"/>
      <c r="H10638" s="238"/>
      <c r="I10638" s="237"/>
    </row>
    <row r="10639" spans="1:9" s="232" customFormat="1" ht="17" customHeight="1">
      <c r="A10639" s="234"/>
      <c r="B10639" s="233"/>
      <c r="C10639" s="238"/>
      <c r="E10639" s="545"/>
      <c r="F10639" s="546"/>
      <c r="G10639" s="234"/>
      <c r="H10639" s="238"/>
      <c r="I10639" s="237"/>
    </row>
    <row r="10640" spans="1:9" s="232" customFormat="1" ht="17" customHeight="1">
      <c r="A10640" s="234"/>
      <c r="B10640" s="233"/>
      <c r="C10640" s="238"/>
      <c r="E10640" s="545"/>
      <c r="F10640" s="546"/>
      <c r="G10640" s="234"/>
      <c r="H10640" s="238"/>
      <c r="I10640" s="237"/>
    </row>
    <row r="10641" spans="1:9" s="232" customFormat="1" ht="17" customHeight="1">
      <c r="A10641" s="234"/>
      <c r="B10641" s="233"/>
      <c r="C10641" s="238"/>
      <c r="E10641" s="545"/>
      <c r="F10641" s="546"/>
      <c r="G10641" s="234"/>
      <c r="H10641" s="238"/>
      <c r="I10641" s="237"/>
    </row>
    <row r="10642" spans="1:9" s="232" customFormat="1" ht="17" customHeight="1">
      <c r="A10642" s="234"/>
      <c r="B10642" s="233"/>
      <c r="C10642" s="238"/>
      <c r="E10642" s="545"/>
      <c r="F10642" s="546"/>
      <c r="G10642" s="234"/>
      <c r="H10642" s="238"/>
      <c r="I10642" s="237"/>
    </row>
    <row r="10643" spans="1:9" s="232" customFormat="1" ht="17" customHeight="1">
      <c r="A10643" s="234"/>
      <c r="B10643" s="233"/>
      <c r="C10643" s="238"/>
      <c r="E10643" s="545"/>
      <c r="F10643" s="546"/>
      <c r="G10643" s="234"/>
      <c r="H10643" s="238"/>
      <c r="I10643" s="237"/>
    </row>
    <row r="10644" spans="1:9" s="232" customFormat="1" ht="17" customHeight="1">
      <c r="A10644" s="234"/>
      <c r="B10644" s="233"/>
      <c r="C10644" s="238"/>
      <c r="E10644" s="545"/>
      <c r="F10644" s="546"/>
      <c r="G10644" s="234"/>
      <c r="H10644" s="238"/>
      <c r="I10644" s="237"/>
    </row>
    <row r="10645" spans="1:9" s="232" customFormat="1" ht="17" customHeight="1">
      <c r="A10645" s="234"/>
      <c r="B10645" s="233"/>
      <c r="C10645" s="238"/>
      <c r="E10645" s="545"/>
      <c r="F10645" s="546"/>
      <c r="G10645" s="234"/>
      <c r="H10645" s="238"/>
      <c r="I10645" s="237"/>
    </row>
    <row r="10646" spans="1:9" s="232" customFormat="1" ht="17" customHeight="1">
      <c r="A10646" s="234"/>
      <c r="B10646" s="233"/>
      <c r="C10646" s="238"/>
      <c r="E10646" s="545"/>
      <c r="F10646" s="546"/>
      <c r="G10646" s="234"/>
      <c r="H10646" s="238"/>
      <c r="I10646" s="237"/>
    </row>
    <row r="10647" spans="1:9" s="232" customFormat="1" ht="17" customHeight="1">
      <c r="A10647" s="234"/>
      <c r="B10647" s="233"/>
      <c r="C10647" s="238"/>
      <c r="E10647" s="545"/>
      <c r="F10647" s="546"/>
      <c r="G10647" s="234"/>
      <c r="H10647" s="238"/>
      <c r="I10647" s="237"/>
    </row>
    <row r="10648" spans="1:9" s="232" customFormat="1" ht="17" customHeight="1">
      <c r="A10648" s="234"/>
      <c r="B10648" s="233"/>
      <c r="C10648" s="238"/>
      <c r="E10648" s="545"/>
      <c r="F10648" s="546"/>
      <c r="G10648" s="234"/>
      <c r="H10648" s="238"/>
      <c r="I10648" s="237"/>
    </row>
    <row r="10649" spans="1:9" s="232" customFormat="1" ht="17" customHeight="1">
      <c r="A10649" s="234"/>
      <c r="B10649" s="233"/>
      <c r="C10649" s="238"/>
      <c r="E10649" s="545"/>
      <c r="F10649" s="546"/>
      <c r="G10649" s="234"/>
      <c r="H10649" s="238"/>
      <c r="I10649" s="237"/>
    </row>
    <row r="10650" spans="1:9" s="232" customFormat="1" ht="17" customHeight="1">
      <c r="A10650" s="234"/>
      <c r="B10650" s="233"/>
      <c r="C10650" s="238"/>
      <c r="E10650" s="545"/>
      <c r="F10650" s="546"/>
      <c r="G10650" s="234"/>
      <c r="H10650" s="238"/>
      <c r="I10650" s="237"/>
    </row>
    <row r="10651" spans="1:9" s="232" customFormat="1" ht="17" customHeight="1">
      <c r="A10651" s="234"/>
      <c r="B10651" s="233"/>
      <c r="C10651" s="238"/>
      <c r="E10651" s="545"/>
      <c r="F10651" s="546"/>
      <c r="G10651" s="234"/>
      <c r="H10651" s="238"/>
      <c r="I10651" s="237"/>
    </row>
    <row r="10652" spans="1:9" s="232" customFormat="1" ht="17" customHeight="1">
      <c r="A10652" s="234"/>
      <c r="B10652" s="233"/>
      <c r="C10652" s="238"/>
      <c r="E10652" s="545"/>
      <c r="F10652" s="546"/>
      <c r="G10652" s="234"/>
      <c r="H10652" s="238"/>
      <c r="I10652" s="237"/>
    </row>
    <row r="10653" spans="1:9" s="232" customFormat="1" ht="17" customHeight="1">
      <c r="A10653" s="234"/>
      <c r="B10653" s="233"/>
      <c r="C10653" s="238"/>
      <c r="E10653" s="545"/>
      <c r="F10653" s="546"/>
      <c r="G10653" s="234"/>
      <c r="H10653" s="238"/>
      <c r="I10653" s="237"/>
    </row>
    <row r="10654" spans="1:9" s="232" customFormat="1" ht="17" customHeight="1">
      <c r="A10654" s="234"/>
      <c r="B10654" s="233"/>
      <c r="C10654" s="238"/>
      <c r="E10654" s="545"/>
      <c r="F10654" s="546"/>
      <c r="G10654" s="234"/>
      <c r="H10654" s="238"/>
      <c r="I10654" s="237"/>
    </row>
    <row r="10655" spans="1:9" s="232" customFormat="1" ht="17" customHeight="1">
      <c r="A10655" s="234"/>
      <c r="B10655" s="233"/>
      <c r="C10655" s="238"/>
      <c r="E10655" s="545"/>
      <c r="F10655" s="546"/>
      <c r="G10655" s="234"/>
      <c r="H10655" s="238"/>
      <c r="I10655" s="237"/>
    </row>
    <row r="10656" spans="1:9" s="232" customFormat="1" ht="17" customHeight="1">
      <c r="A10656" s="234"/>
      <c r="B10656" s="233"/>
      <c r="C10656" s="238"/>
      <c r="E10656" s="545"/>
      <c r="F10656" s="546"/>
      <c r="G10656" s="234"/>
      <c r="H10656" s="238"/>
      <c r="I10656" s="237"/>
    </row>
    <row r="10657" spans="1:9" s="232" customFormat="1" ht="17" customHeight="1">
      <c r="A10657" s="234"/>
      <c r="B10657" s="233"/>
      <c r="C10657" s="238"/>
      <c r="E10657" s="545"/>
      <c r="F10657" s="546"/>
      <c r="G10657" s="234"/>
      <c r="H10657" s="238"/>
      <c r="I10657" s="237"/>
    </row>
    <row r="10658" spans="1:9" s="232" customFormat="1" ht="17" customHeight="1">
      <c r="A10658" s="234"/>
      <c r="B10658" s="233"/>
      <c r="C10658" s="238"/>
      <c r="E10658" s="545"/>
      <c r="F10658" s="546"/>
      <c r="G10658" s="234"/>
      <c r="H10658" s="238"/>
      <c r="I10658" s="237"/>
    </row>
    <row r="10659" spans="1:9" s="232" customFormat="1" ht="17" customHeight="1">
      <c r="A10659" s="234"/>
      <c r="B10659" s="233"/>
      <c r="C10659" s="238"/>
      <c r="E10659" s="545"/>
      <c r="F10659" s="546"/>
      <c r="G10659" s="234"/>
      <c r="H10659" s="238"/>
      <c r="I10659" s="237"/>
    </row>
    <row r="10660" spans="1:9" s="232" customFormat="1" ht="17" customHeight="1">
      <c r="A10660" s="234"/>
      <c r="B10660" s="233"/>
      <c r="C10660" s="238"/>
      <c r="E10660" s="545"/>
      <c r="F10660" s="546"/>
      <c r="G10660" s="234"/>
      <c r="H10660" s="238"/>
      <c r="I10660" s="237"/>
    </row>
    <row r="10661" spans="1:9" s="232" customFormat="1" ht="17" customHeight="1">
      <c r="A10661" s="234"/>
      <c r="B10661" s="233"/>
      <c r="C10661" s="238"/>
      <c r="E10661" s="545"/>
      <c r="F10661" s="546"/>
      <c r="G10661" s="234"/>
      <c r="H10661" s="238"/>
      <c r="I10661" s="237"/>
    </row>
    <row r="10662" spans="1:9" s="232" customFormat="1" ht="17" customHeight="1">
      <c r="A10662" s="234"/>
      <c r="B10662" s="233"/>
      <c r="C10662" s="238"/>
      <c r="E10662" s="545"/>
      <c r="F10662" s="546"/>
      <c r="G10662" s="234"/>
      <c r="H10662" s="238"/>
      <c r="I10662" s="237"/>
    </row>
    <row r="10663" spans="1:9" s="232" customFormat="1" ht="17" customHeight="1">
      <c r="A10663" s="234"/>
      <c r="B10663" s="233"/>
      <c r="C10663" s="238"/>
      <c r="E10663" s="545"/>
      <c r="F10663" s="546"/>
      <c r="G10663" s="234"/>
      <c r="H10663" s="238"/>
      <c r="I10663" s="237"/>
    </row>
    <row r="10664" spans="1:9" s="232" customFormat="1" ht="17" customHeight="1">
      <c r="A10664" s="234"/>
      <c r="B10664" s="233"/>
      <c r="C10664" s="238"/>
      <c r="E10664" s="545"/>
      <c r="F10664" s="546"/>
      <c r="G10664" s="234"/>
      <c r="H10664" s="238"/>
      <c r="I10664" s="237"/>
    </row>
    <row r="10665" spans="1:9" s="232" customFormat="1" ht="17" customHeight="1">
      <c r="A10665" s="234"/>
      <c r="B10665" s="233"/>
      <c r="C10665" s="238"/>
      <c r="E10665" s="545"/>
      <c r="F10665" s="546"/>
      <c r="G10665" s="234"/>
      <c r="H10665" s="238"/>
      <c r="I10665" s="237"/>
    </row>
    <row r="10666" spans="1:9" s="232" customFormat="1" ht="17" customHeight="1">
      <c r="A10666" s="234"/>
      <c r="B10666" s="233"/>
      <c r="C10666" s="238"/>
      <c r="E10666" s="545"/>
      <c r="F10666" s="546"/>
      <c r="G10666" s="234"/>
      <c r="H10666" s="238"/>
      <c r="I10666" s="237"/>
    </row>
    <row r="10667" spans="1:9" s="232" customFormat="1" ht="17" customHeight="1">
      <c r="A10667" s="234"/>
      <c r="B10667" s="233"/>
      <c r="C10667" s="238"/>
      <c r="E10667" s="545"/>
      <c r="F10667" s="546"/>
      <c r="G10667" s="234"/>
      <c r="H10667" s="238"/>
      <c r="I10667" s="237"/>
    </row>
    <row r="10668" spans="1:9" s="232" customFormat="1" ht="17" customHeight="1">
      <c r="A10668" s="234"/>
      <c r="B10668" s="233"/>
      <c r="C10668" s="238"/>
      <c r="E10668" s="545"/>
      <c r="F10668" s="546"/>
      <c r="G10668" s="234"/>
      <c r="H10668" s="238"/>
      <c r="I10668" s="237"/>
    </row>
    <row r="10669" spans="1:9" s="232" customFormat="1" ht="17" customHeight="1">
      <c r="A10669" s="234"/>
      <c r="B10669" s="233"/>
      <c r="C10669" s="238"/>
      <c r="E10669" s="545"/>
      <c r="F10669" s="546"/>
      <c r="G10669" s="234"/>
      <c r="H10669" s="238"/>
      <c r="I10669" s="237"/>
    </row>
    <row r="10670" spans="1:9" s="232" customFormat="1" ht="17" customHeight="1">
      <c r="A10670" s="234"/>
      <c r="B10670" s="233"/>
      <c r="C10670" s="238"/>
      <c r="E10670" s="545"/>
      <c r="F10670" s="546"/>
      <c r="G10670" s="234"/>
      <c r="H10670" s="238"/>
      <c r="I10670" s="237"/>
    </row>
    <row r="10671" spans="1:9" s="232" customFormat="1" ht="17" customHeight="1">
      <c r="A10671" s="234"/>
      <c r="B10671" s="233"/>
      <c r="C10671" s="238"/>
      <c r="E10671" s="545"/>
      <c r="F10671" s="546"/>
      <c r="G10671" s="234"/>
      <c r="H10671" s="238"/>
      <c r="I10671" s="237"/>
    </row>
    <row r="10672" spans="1:9" s="232" customFormat="1" ht="17" customHeight="1">
      <c r="A10672" s="234"/>
      <c r="B10672" s="233"/>
      <c r="C10672" s="238"/>
      <c r="E10672" s="545"/>
      <c r="F10672" s="546"/>
      <c r="G10672" s="234"/>
      <c r="H10672" s="238"/>
      <c r="I10672" s="237"/>
    </row>
    <row r="10673" spans="1:9" s="232" customFormat="1" ht="17" customHeight="1">
      <c r="A10673" s="234"/>
      <c r="B10673" s="233"/>
      <c r="C10673" s="238"/>
      <c r="E10673" s="545"/>
      <c r="F10673" s="546"/>
      <c r="G10673" s="234"/>
      <c r="H10673" s="238"/>
      <c r="I10673" s="237"/>
    </row>
    <row r="10674" spans="1:9" s="232" customFormat="1" ht="17" customHeight="1">
      <c r="A10674" s="234"/>
      <c r="B10674" s="233"/>
      <c r="C10674" s="238"/>
      <c r="E10674" s="545"/>
      <c r="F10674" s="546"/>
      <c r="G10674" s="234"/>
      <c r="H10674" s="238"/>
      <c r="I10674" s="237"/>
    </row>
    <row r="10675" spans="1:9" s="232" customFormat="1" ht="17" customHeight="1">
      <c r="A10675" s="234"/>
      <c r="B10675" s="233"/>
      <c r="C10675" s="238"/>
      <c r="E10675" s="545"/>
      <c r="F10675" s="546"/>
      <c r="G10675" s="234"/>
      <c r="H10675" s="238"/>
      <c r="I10675" s="237"/>
    </row>
    <row r="10676" spans="1:9" s="232" customFormat="1" ht="17" customHeight="1">
      <c r="A10676" s="234"/>
      <c r="B10676" s="233"/>
      <c r="C10676" s="238"/>
      <c r="E10676" s="545"/>
      <c r="F10676" s="546"/>
      <c r="G10676" s="234"/>
      <c r="H10676" s="238"/>
      <c r="I10676" s="237"/>
    </row>
    <row r="10677" spans="1:9" s="232" customFormat="1" ht="17" customHeight="1">
      <c r="A10677" s="234"/>
      <c r="B10677" s="233"/>
      <c r="C10677" s="238"/>
      <c r="E10677" s="545"/>
      <c r="F10677" s="546"/>
      <c r="G10677" s="234"/>
      <c r="H10677" s="238"/>
      <c r="I10677" s="237"/>
    </row>
    <row r="10678" spans="1:9" s="232" customFormat="1" ht="17" customHeight="1">
      <c r="A10678" s="234"/>
      <c r="B10678" s="233"/>
      <c r="C10678" s="238"/>
      <c r="E10678" s="545"/>
      <c r="F10678" s="546"/>
      <c r="G10678" s="234"/>
      <c r="H10678" s="238"/>
      <c r="I10678" s="237"/>
    </row>
    <row r="10679" spans="1:9" s="232" customFormat="1" ht="17" customHeight="1">
      <c r="A10679" s="234"/>
      <c r="B10679" s="233"/>
      <c r="C10679" s="238"/>
      <c r="E10679" s="545"/>
      <c r="F10679" s="546"/>
      <c r="G10679" s="234"/>
      <c r="H10679" s="238"/>
      <c r="I10679" s="237"/>
    </row>
    <row r="10680" spans="1:9" s="232" customFormat="1" ht="17" customHeight="1">
      <c r="A10680" s="234"/>
      <c r="B10680" s="233"/>
      <c r="C10680" s="238"/>
      <c r="E10680" s="545"/>
      <c r="F10680" s="546"/>
      <c r="G10680" s="234"/>
      <c r="H10680" s="238"/>
      <c r="I10680" s="237"/>
    </row>
    <row r="10681" spans="1:9" s="232" customFormat="1" ht="17" customHeight="1">
      <c r="A10681" s="234"/>
      <c r="B10681" s="233"/>
      <c r="C10681" s="238"/>
      <c r="E10681" s="545"/>
      <c r="F10681" s="546"/>
      <c r="G10681" s="234"/>
      <c r="H10681" s="238"/>
      <c r="I10681" s="237"/>
    </row>
    <row r="10682" spans="1:9" s="232" customFormat="1" ht="17" customHeight="1">
      <c r="A10682" s="234"/>
      <c r="B10682" s="233"/>
      <c r="C10682" s="238"/>
      <c r="E10682" s="545"/>
      <c r="F10682" s="546"/>
      <c r="G10682" s="234"/>
      <c r="H10682" s="238"/>
      <c r="I10682" s="237"/>
    </row>
    <row r="10683" spans="1:9" s="232" customFormat="1" ht="17" customHeight="1">
      <c r="A10683" s="234"/>
      <c r="B10683" s="233"/>
      <c r="C10683" s="238"/>
      <c r="E10683" s="545"/>
      <c r="F10683" s="546"/>
      <c r="G10683" s="234"/>
      <c r="H10683" s="238"/>
      <c r="I10683" s="237"/>
    </row>
    <row r="10684" spans="1:9" s="232" customFormat="1" ht="17" customHeight="1">
      <c r="A10684" s="234"/>
      <c r="B10684" s="233"/>
      <c r="C10684" s="238"/>
      <c r="E10684" s="545"/>
      <c r="F10684" s="546"/>
      <c r="G10684" s="234"/>
      <c r="H10684" s="238"/>
      <c r="I10684" s="237"/>
    </row>
    <row r="10685" spans="1:9" s="232" customFormat="1" ht="17" customHeight="1">
      <c r="A10685" s="234"/>
      <c r="B10685" s="233"/>
      <c r="C10685" s="238"/>
      <c r="E10685" s="545"/>
      <c r="F10685" s="546"/>
      <c r="G10685" s="234"/>
      <c r="H10685" s="238"/>
      <c r="I10685" s="237"/>
    </row>
    <row r="10686" spans="1:9" s="232" customFormat="1" ht="17" customHeight="1">
      <c r="A10686" s="234"/>
      <c r="B10686" s="233"/>
      <c r="C10686" s="238"/>
      <c r="E10686" s="545"/>
      <c r="F10686" s="546"/>
      <c r="G10686" s="234"/>
      <c r="H10686" s="238"/>
      <c r="I10686" s="237"/>
    </row>
    <row r="10687" spans="1:9" s="232" customFormat="1" ht="17" customHeight="1">
      <c r="A10687" s="234"/>
      <c r="B10687" s="233"/>
      <c r="C10687" s="238"/>
      <c r="E10687" s="545"/>
      <c r="F10687" s="546"/>
      <c r="G10687" s="234"/>
      <c r="H10687" s="238"/>
      <c r="I10687" s="237"/>
    </row>
    <row r="10688" spans="1:9" s="232" customFormat="1" ht="17" customHeight="1">
      <c r="A10688" s="234"/>
      <c r="B10688" s="233"/>
      <c r="C10688" s="238"/>
      <c r="E10688" s="545"/>
      <c r="F10688" s="546"/>
      <c r="G10688" s="234"/>
      <c r="H10688" s="238"/>
      <c r="I10688" s="237"/>
    </row>
    <row r="10689" spans="1:9" s="232" customFormat="1" ht="17" customHeight="1">
      <c r="A10689" s="234"/>
      <c r="B10689" s="233"/>
      <c r="C10689" s="238"/>
      <c r="E10689" s="545"/>
      <c r="F10689" s="546"/>
      <c r="G10689" s="234"/>
      <c r="H10689" s="238"/>
      <c r="I10689" s="237"/>
    </row>
    <row r="10690" spans="1:9" s="232" customFormat="1" ht="17" customHeight="1">
      <c r="A10690" s="234"/>
      <c r="B10690" s="233"/>
      <c r="C10690" s="238"/>
      <c r="E10690" s="545"/>
      <c r="F10690" s="546"/>
      <c r="G10690" s="234"/>
      <c r="H10690" s="238"/>
      <c r="I10690" s="237"/>
    </row>
    <row r="10691" spans="1:9" s="232" customFormat="1" ht="17" customHeight="1">
      <c r="A10691" s="234"/>
      <c r="B10691" s="233"/>
      <c r="C10691" s="238"/>
      <c r="E10691" s="545"/>
      <c r="F10691" s="546"/>
      <c r="G10691" s="234"/>
      <c r="H10691" s="238"/>
      <c r="I10691" s="237"/>
    </row>
    <row r="10692" spans="1:9" s="232" customFormat="1" ht="17" customHeight="1">
      <c r="A10692" s="234"/>
      <c r="B10692" s="233"/>
      <c r="C10692" s="238"/>
      <c r="E10692" s="545"/>
      <c r="F10692" s="546"/>
      <c r="G10692" s="234"/>
      <c r="H10692" s="238"/>
      <c r="I10692" s="237"/>
    </row>
    <row r="10693" spans="1:9" s="232" customFormat="1" ht="17" customHeight="1">
      <c r="A10693" s="234"/>
      <c r="B10693" s="233"/>
      <c r="C10693" s="238"/>
      <c r="E10693" s="545"/>
      <c r="F10693" s="546"/>
      <c r="G10693" s="234"/>
      <c r="H10693" s="238"/>
      <c r="I10693" s="237"/>
    </row>
    <row r="10694" spans="1:9" s="232" customFormat="1" ht="17" customHeight="1">
      <c r="A10694" s="234"/>
      <c r="B10694" s="233"/>
      <c r="C10694" s="238"/>
      <c r="E10694" s="545"/>
      <c r="F10694" s="546"/>
      <c r="G10694" s="234"/>
      <c r="H10694" s="238"/>
      <c r="I10694" s="237"/>
    </row>
    <row r="10695" spans="1:9" s="232" customFormat="1" ht="17" customHeight="1">
      <c r="A10695" s="234"/>
      <c r="B10695" s="233"/>
      <c r="C10695" s="238"/>
      <c r="E10695" s="545"/>
      <c r="F10695" s="546"/>
      <c r="G10695" s="234"/>
      <c r="H10695" s="238"/>
      <c r="I10695" s="237"/>
    </row>
    <row r="10696" spans="1:9" s="232" customFormat="1" ht="17" customHeight="1">
      <c r="A10696" s="234"/>
      <c r="B10696" s="233"/>
      <c r="C10696" s="238"/>
      <c r="E10696" s="545"/>
      <c r="F10696" s="546"/>
      <c r="G10696" s="234"/>
      <c r="H10696" s="238"/>
      <c r="I10696" s="237"/>
    </row>
    <row r="10697" spans="1:9" s="232" customFormat="1" ht="17" customHeight="1">
      <c r="A10697" s="234"/>
      <c r="B10697" s="233"/>
      <c r="C10697" s="238"/>
      <c r="E10697" s="545"/>
      <c r="F10697" s="546"/>
      <c r="G10697" s="234"/>
      <c r="H10697" s="238"/>
      <c r="I10697" s="237"/>
    </row>
    <row r="10698" spans="1:9" s="232" customFormat="1" ht="17" customHeight="1">
      <c r="A10698" s="234"/>
      <c r="B10698" s="233"/>
      <c r="C10698" s="238"/>
      <c r="E10698" s="545"/>
      <c r="F10698" s="546"/>
      <c r="G10698" s="234"/>
      <c r="H10698" s="238"/>
      <c r="I10698" s="237"/>
    </row>
    <row r="10699" spans="1:9" s="232" customFormat="1" ht="17" customHeight="1">
      <c r="A10699" s="234"/>
      <c r="B10699" s="233"/>
      <c r="C10699" s="238"/>
      <c r="E10699" s="545"/>
      <c r="F10699" s="546"/>
      <c r="G10699" s="234"/>
      <c r="H10699" s="238"/>
      <c r="I10699" s="237"/>
    </row>
    <row r="10700" spans="1:9" s="232" customFormat="1" ht="17" customHeight="1">
      <c r="A10700" s="234"/>
      <c r="B10700" s="233"/>
      <c r="C10700" s="238"/>
      <c r="E10700" s="545"/>
      <c r="F10700" s="546"/>
      <c r="G10700" s="234"/>
      <c r="H10700" s="238"/>
      <c r="I10700" s="237"/>
    </row>
    <row r="10701" spans="1:9" s="232" customFormat="1" ht="17" customHeight="1">
      <c r="A10701" s="234"/>
      <c r="B10701" s="233"/>
      <c r="C10701" s="238"/>
      <c r="E10701" s="545"/>
      <c r="F10701" s="546"/>
      <c r="G10701" s="234"/>
      <c r="H10701" s="238"/>
      <c r="I10701" s="237"/>
    </row>
    <row r="10702" spans="1:9" s="232" customFormat="1" ht="17" customHeight="1">
      <c r="A10702" s="234"/>
      <c r="B10702" s="233"/>
      <c r="C10702" s="238"/>
      <c r="E10702" s="545"/>
      <c r="F10702" s="546"/>
      <c r="G10702" s="234"/>
      <c r="H10702" s="238"/>
      <c r="I10702" s="237"/>
    </row>
    <row r="10703" spans="1:9" s="232" customFormat="1" ht="17" customHeight="1">
      <c r="A10703" s="234"/>
      <c r="B10703" s="233"/>
      <c r="C10703" s="238"/>
      <c r="E10703" s="545"/>
      <c r="F10703" s="546"/>
      <c r="G10703" s="234"/>
      <c r="H10703" s="238"/>
      <c r="I10703" s="237"/>
    </row>
    <row r="10704" spans="1:9" s="232" customFormat="1" ht="17" customHeight="1">
      <c r="A10704" s="234"/>
      <c r="B10704" s="233"/>
      <c r="C10704" s="238"/>
      <c r="E10704" s="545"/>
      <c r="F10704" s="546"/>
      <c r="G10704" s="234"/>
      <c r="H10704" s="238"/>
      <c r="I10704" s="237"/>
    </row>
    <row r="10705" spans="1:9" s="232" customFormat="1" ht="17" customHeight="1">
      <c r="A10705" s="234"/>
      <c r="B10705" s="233"/>
      <c r="C10705" s="238"/>
      <c r="E10705" s="545"/>
      <c r="F10705" s="546"/>
      <c r="G10705" s="234"/>
      <c r="H10705" s="238"/>
      <c r="I10705" s="237"/>
    </row>
    <row r="10706" spans="1:9" s="232" customFormat="1" ht="17" customHeight="1">
      <c r="A10706" s="234"/>
      <c r="B10706" s="233"/>
      <c r="C10706" s="238"/>
      <c r="E10706" s="545"/>
      <c r="F10706" s="546"/>
      <c r="G10706" s="234"/>
      <c r="H10706" s="238"/>
      <c r="I10706" s="237"/>
    </row>
    <row r="10707" spans="1:9" s="232" customFormat="1" ht="17" customHeight="1">
      <c r="A10707" s="234"/>
      <c r="B10707" s="233"/>
      <c r="C10707" s="238"/>
      <c r="E10707" s="545"/>
      <c r="F10707" s="546"/>
      <c r="G10707" s="234"/>
      <c r="H10707" s="238"/>
      <c r="I10707" s="237"/>
    </row>
    <row r="10708" spans="1:9" s="232" customFormat="1" ht="17" customHeight="1">
      <c r="A10708" s="234"/>
      <c r="B10708" s="233"/>
      <c r="C10708" s="238"/>
      <c r="E10708" s="545"/>
      <c r="F10708" s="546"/>
      <c r="G10708" s="234"/>
      <c r="H10708" s="238"/>
      <c r="I10708" s="237"/>
    </row>
    <row r="10709" spans="1:9" s="232" customFormat="1" ht="17" customHeight="1">
      <c r="A10709" s="234"/>
      <c r="B10709" s="233"/>
      <c r="C10709" s="238"/>
      <c r="E10709" s="545"/>
      <c r="F10709" s="546"/>
      <c r="G10709" s="234"/>
      <c r="H10709" s="238"/>
      <c r="I10709" s="237"/>
    </row>
    <row r="10710" spans="1:9" s="232" customFormat="1" ht="17" customHeight="1">
      <c r="A10710" s="234"/>
      <c r="B10710" s="233"/>
      <c r="C10710" s="238"/>
      <c r="E10710" s="545"/>
      <c r="F10710" s="546"/>
      <c r="G10710" s="234"/>
      <c r="H10710" s="238"/>
      <c r="I10710" s="237"/>
    </row>
    <row r="10711" spans="1:9" s="232" customFormat="1" ht="17" customHeight="1">
      <c r="A10711" s="234"/>
      <c r="B10711" s="233"/>
      <c r="C10711" s="238"/>
      <c r="E10711" s="545"/>
      <c r="F10711" s="546"/>
      <c r="G10711" s="234"/>
      <c r="H10711" s="238"/>
      <c r="I10711" s="237"/>
    </row>
    <row r="10712" spans="1:9" s="232" customFormat="1" ht="17" customHeight="1">
      <c r="A10712" s="234"/>
      <c r="B10712" s="233"/>
      <c r="C10712" s="238"/>
      <c r="E10712" s="545"/>
      <c r="F10712" s="546"/>
      <c r="G10712" s="234"/>
      <c r="H10712" s="238"/>
      <c r="I10712" s="237"/>
    </row>
    <row r="10713" spans="1:9" s="232" customFormat="1" ht="17" customHeight="1">
      <c r="A10713" s="234"/>
      <c r="B10713" s="233"/>
      <c r="C10713" s="238"/>
      <c r="E10713" s="545"/>
      <c r="F10713" s="546"/>
      <c r="G10713" s="234"/>
      <c r="H10713" s="238"/>
      <c r="I10713" s="237"/>
    </row>
    <row r="10714" spans="1:9" s="232" customFormat="1" ht="17" customHeight="1">
      <c r="A10714" s="234"/>
      <c r="B10714" s="233"/>
      <c r="C10714" s="238"/>
      <c r="E10714" s="545"/>
      <c r="F10714" s="546"/>
      <c r="G10714" s="234"/>
      <c r="H10714" s="238"/>
      <c r="I10714" s="237"/>
    </row>
    <row r="10715" spans="1:9" s="232" customFormat="1" ht="17" customHeight="1">
      <c r="A10715" s="234"/>
      <c r="B10715" s="233"/>
      <c r="C10715" s="238"/>
      <c r="E10715" s="545"/>
      <c r="F10715" s="546"/>
      <c r="G10715" s="234"/>
      <c r="H10715" s="238"/>
      <c r="I10715" s="237"/>
    </row>
    <row r="10716" spans="1:9" s="232" customFormat="1" ht="17" customHeight="1">
      <c r="A10716" s="234"/>
      <c r="B10716" s="233"/>
      <c r="C10716" s="238"/>
      <c r="E10716" s="545"/>
      <c r="F10716" s="546"/>
      <c r="G10716" s="234"/>
      <c r="H10716" s="238"/>
      <c r="I10716" s="237"/>
    </row>
    <row r="10717" spans="1:9" s="232" customFormat="1" ht="17" customHeight="1">
      <c r="A10717" s="234"/>
      <c r="B10717" s="233"/>
      <c r="C10717" s="238"/>
      <c r="E10717" s="545"/>
      <c r="F10717" s="546"/>
      <c r="G10717" s="234"/>
      <c r="H10717" s="238"/>
      <c r="I10717" s="237"/>
    </row>
    <row r="10718" spans="1:9" s="232" customFormat="1" ht="17" customHeight="1">
      <c r="A10718" s="234"/>
      <c r="B10718" s="233"/>
      <c r="C10718" s="238"/>
      <c r="E10718" s="545"/>
      <c r="F10718" s="546"/>
      <c r="G10718" s="234"/>
      <c r="H10718" s="238"/>
      <c r="I10718" s="237"/>
    </row>
    <row r="10719" spans="1:9" s="232" customFormat="1" ht="17" customHeight="1">
      <c r="A10719" s="234"/>
      <c r="B10719" s="233"/>
      <c r="C10719" s="238"/>
      <c r="E10719" s="545"/>
      <c r="F10719" s="546"/>
      <c r="G10719" s="234"/>
      <c r="H10719" s="238"/>
      <c r="I10719" s="237"/>
    </row>
    <row r="10720" spans="1:9" s="232" customFormat="1" ht="17" customHeight="1">
      <c r="A10720" s="234"/>
      <c r="B10720" s="233"/>
      <c r="C10720" s="238"/>
      <c r="E10720" s="545"/>
      <c r="F10720" s="546"/>
      <c r="G10720" s="234"/>
      <c r="H10720" s="238"/>
      <c r="I10720" s="237"/>
    </row>
    <row r="10721" spans="1:9" s="232" customFormat="1" ht="17" customHeight="1">
      <c r="A10721" s="234"/>
      <c r="B10721" s="233"/>
      <c r="C10721" s="238"/>
      <c r="E10721" s="545"/>
      <c r="F10721" s="546"/>
      <c r="G10721" s="234"/>
      <c r="H10721" s="238"/>
      <c r="I10721" s="237"/>
    </row>
    <row r="10722" spans="1:9" s="232" customFormat="1" ht="17" customHeight="1">
      <c r="A10722" s="234"/>
      <c r="B10722" s="233"/>
      <c r="C10722" s="238"/>
      <c r="E10722" s="545"/>
      <c r="F10722" s="546"/>
      <c r="G10722" s="234"/>
      <c r="H10722" s="238"/>
      <c r="I10722" s="237"/>
    </row>
    <row r="10723" spans="1:9" s="232" customFormat="1" ht="17" customHeight="1">
      <c r="A10723" s="234"/>
      <c r="B10723" s="233"/>
      <c r="C10723" s="238"/>
      <c r="E10723" s="545"/>
      <c r="F10723" s="546"/>
      <c r="G10723" s="234"/>
      <c r="H10723" s="238"/>
      <c r="I10723" s="237"/>
    </row>
    <row r="10724" spans="1:9" s="232" customFormat="1" ht="17" customHeight="1">
      <c r="A10724" s="234"/>
      <c r="B10724" s="233"/>
      <c r="C10724" s="238"/>
      <c r="E10724" s="545"/>
      <c r="F10724" s="546"/>
      <c r="G10724" s="234"/>
      <c r="H10724" s="238"/>
      <c r="I10724" s="237"/>
    </row>
    <row r="10725" spans="1:9" s="232" customFormat="1" ht="17" customHeight="1">
      <c r="A10725" s="234"/>
      <c r="B10725" s="233"/>
      <c r="C10725" s="238"/>
      <c r="E10725" s="545"/>
      <c r="F10725" s="546"/>
      <c r="G10725" s="234"/>
      <c r="H10725" s="238"/>
      <c r="I10725" s="237"/>
    </row>
    <row r="10726" spans="1:9" s="232" customFormat="1" ht="17" customHeight="1">
      <c r="A10726" s="234"/>
      <c r="B10726" s="233"/>
      <c r="C10726" s="238"/>
      <c r="E10726" s="545"/>
      <c r="F10726" s="546"/>
      <c r="G10726" s="234"/>
      <c r="H10726" s="238"/>
      <c r="I10726" s="237"/>
    </row>
    <row r="10727" spans="1:9" s="232" customFormat="1" ht="17" customHeight="1">
      <c r="A10727" s="234"/>
      <c r="B10727" s="233"/>
      <c r="C10727" s="238"/>
      <c r="E10727" s="545"/>
      <c r="F10727" s="546"/>
      <c r="G10727" s="234"/>
      <c r="H10727" s="238"/>
      <c r="I10727" s="237"/>
    </row>
    <row r="10728" spans="1:9" s="232" customFormat="1" ht="17" customHeight="1">
      <c r="A10728" s="234"/>
      <c r="B10728" s="233"/>
      <c r="C10728" s="238"/>
      <c r="E10728" s="545"/>
      <c r="F10728" s="546"/>
      <c r="G10728" s="234"/>
      <c r="H10728" s="238"/>
      <c r="I10728" s="237"/>
    </row>
    <row r="10729" spans="1:9" s="232" customFormat="1" ht="17" customHeight="1">
      <c r="A10729" s="234"/>
      <c r="B10729" s="233"/>
      <c r="C10729" s="238"/>
      <c r="E10729" s="545"/>
      <c r="F10729" s="546"/>
      <c r="G10729" s="234"/>
      <c r="H10729" s="238"/>
      <c r="I10729" s="237"/>
    </row>
    <row r="10730" spans="1:9" s="232" customFormat="1" ht="17" customHeight="1">
      <c r="A10730" s="234"/>
      <c r="B10730" s="233"/>
      <c r="C10730" s="238"/>
      <c r="E10730" s="545"/>
      <c r="F10730" s="546"/>
      <c r="G10730" s="234"/>
      <c r="H10730" s="238"/>
      <c r="I10730" s="237"/>
    </row>
    <row r="10731" spans="1:9" s="232" customFormat="1" ht="17" customHeight="1">
      <c r="A10731" s="234"/>
      <c r="B10731" s="233"/>
      <c r="C10731" s="238"/>
      <c r="E10731" s="545"/>
      <c r="F10731" s="546"/>
      <c r="G10731" s="234"/>
      <c r="H10731" s="238"/>
      <c r="I10731" s="237"/>
    </row>
    <row r="10732" spans="1:9" s="232" customFormat="1" ht="17" customHeight="1">
      <c r="A10732" s="234"/>
      <c r="B10732" s="233"/>
      <c r="C10732" s="238"/>
      <c r="E10732" s="545"/>
      <c r="F10732" s="546"/>
      <c r="G10732" s="234"/>
      <c r="H10732" s="238"/>
      <c r="I10732" s="237"/>
    </row>
    <row r="10733" spans="1:9" s="232" customFormat="1" ht="17" customHeight="1">
      <c r="A10733" s="234"/>
      <c r="B10733" s="233"/>
      <c r="C10733" s="238"/>
      <c r="E10733" s="545"/>
      <c r="F10733" s="546"/>
      <c r="G10733" s="234"/>
      <c r="H10733" s="238"/>
      <c r="I10733" s="237"/>
    </row>
    <row r="10734" spans="1:9" s="232" customFormat="1" ht="17" customHeight="1">
      <c r="A10734" s="234"/>
      <c r="B10734" s="233"/>
      <c r="C10734" s="238"/>
      <c r="E10734" s="545"/>
      <c r="F10734" s="546"/>
      <c r="G10734" s="234"/>
      <c r="H10734" s="238"/>
      <c r="I10734" s="237"/>
    </row>
    <row r="10735" spans="1:9" s="232" customFormat="1" ht="17" customHeight="1">
      <c r="A10735" s="234"/>
      <c r="B10735" s="233"/>
      <c r="C10735" s="238"/>
      <c r="E10735" s="545"/>
      <c r="F10735" s="546"/>
      <c r="G10735" s="234"/>
      <c r="H10735" s="238"/>
      <c r="I10735" s="237"/>
    </row>
    <row r="10736" spans="1:9" s="232" customFormat="1" ht="17" customHeight="1">
      <c r="A10736" s="234"/>
      <c r="B10736" s="233"/>
      <c r="C10736" s="238"/>
      <c r="E10736" s="545"/>
      <c r="F10736" s="546"/>
      <c r="G10736" s="234"/>
      <c r="H10736" s="238"/>
      <c r="I10736" s="237"/>
    </row>
    <row r="10737" spans="1:9" s="232" customFormat="1" ht="17" customHeight="1">
      <c r="A10737" s="234"/>
      <c r="B10737" s="233"/>
      <c r="C10737" s="238"/>
      <c r="E10737" s="545"/>
      <c r="F10737" s="546"/>
      <c r="G10737" s="234"/>
      <c r="H10737" s="238"/>
      <c r="I10737" s="237"/>
    </row>
    <row r="10738" spans="1:9" s="232" customFormat="1" ht="17" customHeight="1">
      <c r="A10738" s="234"/>
      <c r="B10738" s="233"/>
      <c r="C10738" s="238"/>
      <c r="E10738" s="545"/>
      <c r="F10738" s="546"/>
      <c r="G10738" s="234"/>
      <c r="H10738" s="238"/>
      <c r="I10738" s="237"/>
    </row>
    <row r="10739" spans="1:9" s="232" customFormat="1" ht="17" customHeight="1">
      <c r="A10739" s="234"/>
      <c r="B10739" s="233"/>
      <c r="C10739" s="238"/>
      <c r="E10739" s="545"/>
      <c r="F10739" s="546"/>
      <c r="G10739" s="234"/>
      <c r="H10739" s="238"/>
      <c r="I10739" s="237"/>
    </row>
    <row r="10740" spans="1:9" s="232" customFormat="1" ht="17" customHeight="1">
      <c r="A10740" s="234"/>
      <c r="B10740" s="233"/>
      <c r="C10740" s="238"/>
      <c r="E10740" s="545"/>
      <c r="F10740" s="546"/>
      <c r="G10740" s="234"/>
      <c r="H10740" s="238"/>
      <c r="I10740" s="237"/>
    </row>
    <row r="10741" spans="1:9" s="232" customFormat="1" ht="17" customHeight="1">
      <c r="A10741" s="234"/>
      <c r="B10741" s="233"/>
      <c r="C10741" s="238"/>
      <c r="E10741" s="545"/>
      <c r="F10741" s="546"/>
      <c r="G10741" s="234"/>
      <c r="H10741" s="238"/>
      <c r="I10741" s="237"/>
    </row>
    <row r="10742" spans="1:9" s="232" customFormat="1" ht="17" customHeight="1">
      <c r="A10742" s="234"/>
      <c r="B10742" s="233"/>
      <c r="C10742" s="238"/>
      <c r="E10742" s="545"/>
      <c r="F10742" s="546"/>
      <c r="G10742" s="234"/>
      <c r="H10742" s="238"/>
      <c r="I10742" s="237"/>
    </row>
    <row r="10743" spans="1:9" s="232" customFormat="1" ht="17" customHeight="1">
      <c r="A10743" s="234"/>
      <c r="B10743" s="233"/>
      <c r="C10743" s="238"/>
      <c r="E10743" s="545"/>
      <c r="F10743" s="546"/>
      <c r="G10743" s="234"/>
      <c r="H10743" s="238"/>
      <c r="I10743" s="237"/>
    </row>
    <row r="10744" spans="1:9" s="232" customFormat="1" ht="17" customHeight="1">
      <c r="A10744" s="234"/>
      <c r="B10744" s="233"/>
      <c r="C10744" s="238"/>
      <c r="E10744" s="545"/>
      <c r="F10744" s="546"/>
      <c r="G10744" s="234"/>
      <c r="H10744" s="238"/>
      <c r="I10744" s="237"/>
    </row>
    <row r="10745" spans="1:9" s="232" customFormat="1" ht="17" customHeight="1">
      <c r="A10745" s="234"/>
      <c r="B10745" s="233"/>
      <c r="C10745" s="238"/>
      <c r="E10745" s="545"/>
      <c r="F10745" s="546"/>
      <c r="G10745" s="234"/>
      <c r="H10745" s="238"/>
      <c r="I10745" s="237"/>
    </row>
    <row r="10746" spans="1:9" s="232" customFormat="1" ht="17" customHeight="1">
      <c r="A10746" s="234"/>
      <c r="B10746" s="233"/>
      <c r="C10746" s="238"/>
      <c r="E10746" s="545"/>
      <c r="F10746" s="546"/>
      <c r="G10746" s="234"/>
      <c r="H10746" s="238"/>
      <c r="I10746" s="237"/>
    </row>
    <row r="10747" spans="1:9" s="232" customFormat="1" ht="17" customHeight="1">
      <c r="A10747" s="234"/>
      <c r="B10747" s="233"/>
      <c r="C10747" s="238"/>
      <c r="E10747" s="545"/>
      <c r="F10747" s="546"/>
      <c r="G10747" s="234"/>
      <c r="H10747" s="238"/>
      <c r="I10747" s="237"/>
    </row>
    <row r="10748" spans="1:9" s="232" customFormat="1" ht="17" customHeight="1">
      <c r="A10748" s="234"/>
      <c r="B10748" s="233"/>
      <c r="C10748" s="238"/>
      <c r="E10748" s="545"/>
      <c r="F10748" s="546"/>
      <c r="G10748" s="234"/>
      <c r="H10748" s="238"/>
      <c r="I10748" s="237"/>
    </row>
    <row r="10749" spans="1:9" s="232" customFormat="1" ht="17" customHeight="1">
      <c r="A10749" s="234"/>
      <c r="B10749" s="233"/>
      <c r="C10749" s="238"/>
      <c r="E10749" s="545"/>
      <c r="F10749" s="546"/>
      <c r="G10749" s="234"/>
      <c r="H10749" s="238"/>
      <c r="I10749" s="237"/>
    </row>
    <row r="10750" spans="1:9" s="232" customFormat="1" ht="17" customHeight="1">
      <c r="A10750" s="234"/>
      <c r="B10750" s="233"/>
      <c r="C10750" s="238"/>
      <c r="E10750" s="545"/>
      <c r="F10750" s="546"/>
      <c r="G10750" s="234"/>
      <c r="H10750" s="238"/>
      <c r="I10750" s="237"/>
    </row>
    <row r="10751" spans="1:9" s="232" customFormat="1" ht="17" customHeight="1">
      <c r="A10751" s="234"/>
      <c r="B10751" s="233"/>
      <c r="C10751" s="238"/>
      <c r="E10751" s="545"/>
      <c r="F10751" s="546"/>
      <c r="G10751" s="234"/>
      <c r="H10751" s="238"/>
      <c r="I10751" s="237"/>
    </row>
    <row r="10752" spans="1:9" s="232" customFormat="1" ht="17" customHeight="1">
      <c r="A10752" s="234"/>
      <c r="B10752" s="233"/>
      <c r="C10752" s="238"/>
      <c r="E10752" s="545"/>
      <c r="F10752" s="546"/>
      <c r="G10752" s="234"/>
      <c r="H10752" s="238"/>
      <c r="I10752" s="237"/>
    </row>
    <row r="10753" spans="1:9" s="232" customFormat="1" ht="17" customHeight="1">
      <c r="A10753" s="234"/>
      <c r="B10753" s="233"/>
      <c r="C10753" s="238"/>
      <c r="E10753" s="545"/>
      <c r="F10753" s="546"/>
      <c r="G10753" s="234"/>
      <c r="H10753" s="238"/>
      <c r="I10753" s="237"/>
    </row>
    <row r="10754" spans="1:9" s="232" customFormat="1" ht="17" customHeight="1">
      <c r="A10754" s="234"/>
      <c r="B10754" s="233"/>
      <c r="C10754" s="238"/>
      <c r="E10754" s="545"/>
      <c r="F10754" s="546"/>
      <c r="G10754" s="234"/>
      <c r="H10754" s="238"/>
      <c r="I10754" s="237"/>
    </row>
    <row r="10755" spans="1:9" s="232" customFormat="1" ht="17" customHeight="1">
      <c r="A10755" s="234"/>
      <c r="B10755" s="233"/>
      <c r="C10755" s="238"/>
      <c r="E10755" s="545"/>
      <c r="F10755" s="546"/>
      <c r="G10755" s="234"/>
      <c r="H10755" s="238"/>
      <c r="I10755" s="237"/>
    </row>
    <row r="10756" spans="1:9" s="232" customFormat="1" ht="17" customHeight="1">
      <c r="A10756" s="234"/>
      <c r="B10756" s="233"/>
      <c r="C10756" s="238"/>
      <c r="E10756" s="545"/>
      <c r="F10756" s="546"/>
      <c r="G10756" s="234"/>
      <c r="H10756" s="238"/>
      <c r="I10756" s="237"/>
    </row>
    <row r="10757" spans="1:9" s="232" customFormat="1" ht="17" customHeight="1">
      <c r="A10757" s="234"/>
      <c r="B10757" s="233"/>
      <c r="C10757" s="238"/>
      <c r="E10757" s="545"/>
      <c r="F10757" s="546"/>
      <c r="G10757" s="234"/>
      <c r="H10757" s="238"/>
      <c r="I10757" s="237"/>
    </row>
    <row r="10758" spans="1:9" s="232" customFormat="1" ht="17" customHeight="1">
      <c r="A10758" s="234"/>
      <c r="B10758" s="233"/>
      <c r="C10758" s="238"/>
      <c r="E10758" s="545"/>
      <c r="F10758" s="546"/>
      <c r="G10758" s="234"/>
      <c r="H10758" s="238"/>
      <c r="I10758" s="237"/>
    </row>
    <row r="10759" spans="1:9" s="232" customFormat="1" ht="17" customHeight="1">
      <c r="A10759" s="234"/>
      <c r="B10759" s="233"/>
      <c r="C10759" s="238"/>
      <c r="E10759" s="545"/>
      <c r="F10759" s="546"/>
      <c r="G10759" s="234"/>
      <c r="H10759" s="238"/>
      <c r="I10759" s="237"/>
    </row>
    <row r="10760" spans="1:9" s="232" customFormat="1" ht="17" customHeight="1">
      <c r="A10760" s="234"/>
      <c r="B10760" s="233"/>
      <c r="C10760" s="238"/>
      <c r="E10760" s="545"/>
      <c r="F10760" s="546"/>
      <c r="G10760" s="234"/>
      <c r="H10760" s="238"/>
      <c r="I10760" s="237"/>
    </row>
    <row r="10761" spans="1:9" s="232" customFormat="1" ht="17" customHeight="1">
      <c r="A10761" s="234"/>
      <c r="B10761" s="233"/>
      <c r="C10761" s="238"/>
      <c r="E10761" s="545"/>
      <c r="F10761" s="546"/>
      <c r="G10761" s="234"/>
      <c r="H10761" s="238"/>
      <c r="I10761" s="237"/>
    </row>
    <row r="10762" spans="1:9" s="232" customFormat="1" ht="17" customHeight="1">
      <c r="A10762" s="234"/>
      <c r="B10762" s="233"/>
      <c r="C10762" s="238"/>
      <c r="E10762" s="545"/>
      <c r="F10762" s="546"/>
      <c r="G10762" s="234"/>
      <c r="H10762" s="238"/>
      <c r="I10762" s="237"/>
    </row>
    <row r="10763" spans="1:9" s="232" customFormat="1" ht="17" customHeight="1">
      <c r="A10763" s="234"/>
      <c r="B10763" s="233"/>
      <c r="C10763" s="238"/>
      <c r="E10763" s="545"/>
      <c r="F10763" s="546"/>
      <c r="G10763" s="234"/>
      <c r="H10763" s="238"/>
      <c r="I10763" s="237"/>
    </row>
    <row r="10764" spans="1:9" s="232" customFormat="1" ht="17" customHeight="1">
      <c r="A10764" s="234"/>
      <c r="B10764" s="233"/>
      <c r="C10764" s="238"/>
      <c r="E10764" s="545"/>
      <c r="F10764" s="546"/>
      <c r="G10764" s="234"/>
      <c r="H10764" s="238"/>
      <c r="I10764" s="237"/>
    </row>
    <row r="10765" spans="1:9" s="232" customFormat="1" ht="17" customHeight="1">
      <c r="A10765" s="234"/>
      <c r="B10765" s="233"/>
      <c r="C10765" s="238"/>
      <c r="E10765" s="545"/>
      <c r="F10765" s="546"/>
      <c r="G10765" s="234"/>
      <c r="H10765" s="238"/>
      <c r="I10765" s="237"/>
    </row>
    <row r="10766" spans="1:9" s="232" customFormat="1" ht="17" customHeight="1">
      <c r="A10766" s="234"/>
      <c r="B10766" s="233"/>
      <c r="C10766" s="238"/>
      <c r="E10766" s="545"/>
      <c r="F10766" s="546"/>
      <c r="G10766" s="234"/>
      <c r="H10766" s="238"/>
      <c r="I10766" s="237"/>
    </row>
    <row r="10767" spans="1:9" s="232" customFormat="1" ht="17" customHeight="1">
      <c r="A10767" s="234"/>
      <c r="B10767" s="233"/>
      <c r="C10767" s="238"/>
      <c r="E10767" s="545"/>
      <c r="F10767" s="546"/>
      <c r="G10767" s="234"/>
      <c r="H10767" s="238"/>
      <c r="I10767" s="237"/>
    </row>
    <row r="10768" spans="1:9" s="232" customFormat="1" ht="17" customHeight="1">
      <c r="A10768" s="234"/>
      <c r="B10768" s="233"/>
      <c r="C10768" s="238"/>
      <c r="E10768" s="545"/>
      <c r="F10768" s="546"/>
      <c r="G10768" s="234"/>
      <c r="H10768" s="238"/>
      <c r="I10768" s="237"/>
    </row>
    <row r="10769" spans="1:9" s="232" customFormat="1" ht="17" customHeight="1">
      <c r="A10769" s="234"/>
      <c r="B10769" s="233"/>
      <c r="C10769" s="238"/>
      <c r="E10769" s="545"/>
      <c r="F10769" s="546"/>
      <c r="G10769" s="234"/>
      <c r="H10769" s="238"/>
      <c r="I10769" s="237"/>
    </row>
    <row r="10770" spans="1:9" s="232" customFormat="1" ht="17" customHeight="1">
      <c r="A10770" s="234"/>
      <c r="B10770" s="233"/>
      <c r="C10770" s="238"/>
      <c r="E10770" s="545"/>
      <c r="F10770" s="546"/>
      <c r="G10770" s="234"/>
      <c r="H10770" s="238"/>
      <c r="I10770" s="237"/>
    </row>
    <row r="10771" spans="1:9" s="232" customFormat="1" ht="17" customHeight="1">
      <c r="A10771" s="234"/>
      <c r="B10771" s="233"/>
      <c r="C10771" s="238"/>
      <c r="E10771" s="545"/>
      <c r="F10771" s="546"/>
      <c r="G10771" s="234"/>
      <c r="H10771" s="238"/>
      <c r="I10771" s="237"/>
    </row>
    <row r="10772" spans="1:9" s="232" customFormat="1" ht="17" customHeight="1">
      <c r="A10772" s="234"/>
      <c r="B10772" s="233"/>
      <c r="C10772" s="238"/>
      <c r="E10772" s="545"/>
      <c r="F10772" s="546"/>
      <c r="G10772" s="234"/>
      <c r="H10772" s="238"/>
      <c r="I10772" s="237"/>
    </row>
    <row r="10773" spans="1:9" s="232" customFormat="1" ht="17" customHeight="1">
      <c r="A10773" s="234"/>
      <c r="B10773" s="233"/>
      <c r="C10773" s="238"/>
      <c r="E10773" s="545"/>
      <c r="F10773" s="546"/>
      <c r="G10773" s="234"/>
      <c r="H10773" s="238"/>
      <c r="I10773" s="237"/>
    </row>
    <row r="10774" spans="1:9" s="232" customFormat="1" ht="17" customHeight="1">
      <c r="A10774" s="234"/>
      <c r="B10774" s="233"/>
      <c r="C10774" s="238"/>
      <c r="E10774" s="545"/>
      <c r="F10774" s="546"/>
      <c r="G10774" s="234"/>
      <c r="H10774" s="238"/>
      <c r="I10774" s="237"/>
    </row>
    <row r="10775" spans="1:9" s="232" customFormat="1" ht="17" customHeight="1">
      <c r="A10775" s="234"/>
      <c r="B10775" s="233"/>
      <c r="C10775" s="238"/>
      <c r="E10775" s="545"/>
      <c r="F10775" s="546"/>
      <c r="G10775" s="234"/>
      <c r="H10775" s="238"/>
      <c r="I10775" s="237"/>
    </row>
    <row r="10776" spans="1:9" s="232" customFormat="1" ht="17" customHeight="1">
      <c r="A10776" s="234"/>
      <c r="B10776" s="233"/>
      <c r="C10776" s="238"/>
      <c r="E10776" s="545"/>
      <c r="F10776" s="546"/>
      <c r="G10776" s="234"/>
      <c r="H10776" s="238"/>
      <c r="I10776" s="237"/>
    </row>
    <row r="10777" spans="1:9" s="232" customFormat="1" ht="17" customHeight="1">
      <c r="A10777" s="234"/>
      <c r="B10777" s="233"/>
      <c r="C10777" s="238"/>
      <c r="E10777" s="545"/>
      <c r="F10777" s="546"/>
      <c r="G10777" s="234"/>
      <c r="H10777" s="238"/>
      <c r="I10777" s="237"/>
    </row>
    <row r="10778" spans="1:9" s="232" customFormat="1" ht="17" customHeight="1">
      <c r="A10778" s="234"/>
      <c r="B10778" s="233"/>
      <c r="C10778" s="238"/>
      <c r="E10778" s="545"/>
      <c r="F10778" s="546"/>
      <c r="G10778" s="234"/>
      <c r="H10778" s="238"/>
      <c r="I10778" s="237"/>
    </row>
    <row r="10779" spans="1:9" s="232" customFormat="1" ht="17" customHeight="1">
      <c r="A10779" s="234"/>
      <c r="B10779" s="233"/>
      <c r="C10779" s="238"/>
      <c r="E10779" s="545"/>
      <c r="F10779" s="546"/>
      <c r="G10779" s="234"/>
      <c r="H10779" s="238"/>
      <c r="I10779" s="237"/>
    </row>
    <row r="10780" spans="1:9" s="232" customFormat="1" ht="17" customHeight="1">
      <c r="A10780" s="234"/>
      <c r="B10780" s="233"/>
      <c r="C10780" s="238"/>
      <c r="E10780" s="545"/>
      <c r="F10780" s="546"/>
      <c r="G10780" s="234"/>
      <c r="H10780" s="238"/>
      <c r="I10780" s="237"/>
    </row>
    <row r="10781" spans="1:9" s="232" customFormat="1" ht="17" customHeight="1">
      <c r="A10781" s="234"/>
      <c r="B10781" s="233"/>
      <c r="C10781" s="238"/>
      <c r="E10781" s="545"/>
      <c r="F10781" s="546"/>
      <c r="G10781" s="234"/>
      <c r="H10781" s="238"/>
      <c r="I10781" s="237"/>
    </row>
    <row r="10782" spans="1:9" s="232" customFormat="1" ht="17" customHeight="1">
      <c r="A10782" s="234"/>
      <c r="B10782" s="233"/>
      <c r="C10782" s="238"/>
      <c r="E10782" s="545"/>
      <c r="F10782" s="546"/>
      <c r="G10782" s="234"/>
      <c r="H10782" s="238"/>
      <c r="I10782" s="237"/>
    </row>
    <row r="10783" spans="1:9" s="232" customFormat="1" ht="17" customHeight="1">
      <c r="A10783" s="234"/>
      <c r="B10783" s="233"/>
      <c r="C10783" s="238"/>
      <c r="E10783" s="545"/>
      <c r="F10783" s="546"/>
      <c r="G10783" s="234"/>
      <c r="H10783" s="238"/>
      <c r="I10783" s="237"/>
    </row>
    <row r="10784" spans="1:9" s="232" customFormat="1" ht="17" customHeight="1">
      <c r="A10784" s="234"/>
      <c r="B10784" s="233"/>
      <c r="C10784" s="238"/>
      <c r="E10784" s="545"/>
      <c r="F10784" s="546"/>
      <c r="G10784" s="234"/>
      <c r="H10784" s="238"/>
      <c r="I10784" s="237"/>
    </row>
    <row r="10785" spans="1:9" s="232" customFormat="1" ht="17" customHeight="1">
      <c r="A10785" s="234"/>
      <c r="B10785" s="233"/>
      <c r="C10785" s="238"/>
      <c r="E10785" s="545"/>
      <c r="F10785" s="546"/>
      <c r="G10785" s="234"/>
      <c r="H10785" s="238"/>
      <c r="I10785" s="237"/>
    </row>
    <row r="10786" spans="1:9" s="232" customFormat="1" ht="17" customHeight="1">
      <c r="A10786" s="234"/>
      <c r="B10786" s="233"/>
      <c r="C10786" s="238"/>
      <c r="E10786" s="545"/>
      <c r="F10786" s="546"/>
      <c r="G10786" s="234"/>
      <c r="H10786" s="238"/>
      <c r="I10786" s="237"/>
    </row>
    <row r="10787" spans="1:9" s="232" customFormat="1" ht="17" customHeight="1">
      <c r="A10787" s="234"/>
      <c r="B10787" s="233"/>
      <c r="C10787" s="238"/>
      <c r="E10787" s="545"/>
      <c r="F10787" s="546"/>
      <c r="G10787" s="234"/>
      <c r="H10787" s="238"/>
      <c r="I10787" s="237"/>
    </row>
    <row r="10788" spans="1:9" s="232" customFormat="1" ht="17" customHeight="1">
      <c r="A10788" s="234"/>
      <c r="B10788" s="233"/>
      <c r="C10788" s="238"/>
      <c r="E10788" s="545"/>
      <c r="F10788" s="546"/>
      <c r="G10788" s="234"/>
      <c r="H10788" s="238"/>
      <c r="I10788" s="237"/>
    </row>
    <row r="10789" spans="1:9" s="232" customFormat="1" ht="17" customHeight="1">
      <c r="A10789" s="234"/>
      <c r="B10789" s="233"/>
      <c r="C10789" s="238"/>
      <c r="E10789" s="545"/>
      <c r="F10789" s="546"/>
      <c r="G10789" s="234"/>
      <c r="H10789" s="238"/>
      <c r="I10789" s="237"/>
    </row>
    <row r="10790" spans="1:9" s="232" customFormat="1" ht="17" customHeight="1">
      <c r="A10790" s="234"/>
      <c r="B10790" s="233"/>
      <c r="C10790" s="238"/>
      <c r="E10790" s="545"/>
      <c r="F10790" s="546"/>
      <c r="G10790" s="234"/>
      <c r="H10790" s="238"/>
      <c r="I10790" s="237"/>
    </row>
    <row r="10791" spans="1:9" s="232" customFormat="1" ht="17" customHeight="1">
      <c r="A10791" s="234"/>
      <c r="B10791" s="233"/>
      <c r="C10791" s="238"/>
      <c r="E10791" s="545"/>
      <c r="F10791" s="546"/>
      <c r="G10791" s="234"/>
      <c r="H10791" s="238"/>
      <c r="I10791" s="237"/>
    </row>
    <row r="10792" spans="1:9" s="232" customFormat="1" ht="17" customHeight="1">
      <c r="A10792" s="234"/>
      <c r="B10792" s="233"/>
      <c r="C10792" s="238"/>
      <c r="E10792" s="545"/>
      <c r="F10792" s="546"/>
      <c r="G10792" s="234"/>
      <c r="H10792" s="238"/>
      <c r="I10792" s="237"/>
    </row>
    <row r="10793" spans="1:9" s="232" customFormat="1" ht="17" customHeight="1">
      <c r="A10793" s="234"/>
      <c r="B10793" s="233"/>
      <c r="C10793" s="238"/>
      <c r="E10793" s="545"/>
      <c r="F10793" s="546"/>
      <c r="G10793" s="234"/>
      <c r="H10793" s="238"/>
      <c r="I10793" s="237"/>
    </row>
    <row r="10794" spans="1:9" s="232" customFormat="1" ht="17" customHeight="1">
      <c r="A10794" s="234"/>
      <c r="B10794" s="233"/>
      <c r="C10794" s="238"/>
      <c r="E10794" s="545"/>
      <c r="F10794" s="546"/>
      <c r="G10794" s="234"/>
      <c r="H10794" s="238"/>
      <c r="I10794" s="237"/>
    </row>
    <row r="10795" spans="1:9" s="232" customFormat="1" ht="17" customHeight="1">
      <c r="A10795" s="234"/>
      <c r="B10795" s="233"/>
      <c r="C10795" s="238"/>
      <c r="E10795" s="545"/>
      <c r="F10795" s="546"/>
      <c r="G10795" s="234"/>
      <c r="H10795" s="238"/>
      <c r="I10795" s="237"/>
    </row>
    <row r="10796" spans="1:9" s="232" customFormat="1" ht="17" customHeight="1">
      <c r="A10796" s="234"/>
      <c r="B10796" s="233"/>
      <c r="C10796" s="238"/>
      <c r="E10796" s="545"/>
      <c r="F10796" s="546"/>
      <c r="G10796" s="234"/>
      <c r="H10796" s="238"/>
      <c r="I10796" s="237"/>
    </row>
    <row r="10797" spans="1:9" s="232" customFormat="1" ht="17" customHeight="1">
      <c r="A10797" s="234"/>
      <c r="B10797" s="233"/>
      <c r="C10797" s="238"/>
      <c r="E10797" s="545"/>
      <c r="F10797" s="546"/>
      <c r="G10797" s="234"/>
      <c r="H10797" s="238"/>
      <c r="I10797" s="237"/>
    </row>
    <row r="10798" spans="1:9" s="232" customFormat="1" ht="17" customHeight="1">
      <c r="A10798" s="234"/>
      <c r="B10798" s="233"/>
      <c r="C10798" s="238"/>
      <c r="E10798" s="545"/>
      <c r="F10798" s="546"/>
      <c r="G10798" s="234"/>
      <c r="H10798" s="238"/>
      <c r="I10798" s="237"/>
    </row>
    <row r="10799" spans="1:9" s="232" customFormat="1" ht="17" customHeight="1">
      <c r="A10799" s="234"/>
      <c r="B10799" s="233"/>
      <c r="C10799" s="238"/>
      <c r="E10799" s="545"/>
      <c r="F10799" s="546"/>
      <c r="G10799" s="234"/>
      <c r="H10799" s="238"/>
      <c r="I10799" s="237"/>
    </row>
    <row r="10800" spans="1:9" s="232" customFormat="1" ht="17" customHeight="1">
      <c r="A10800" s="234"/>
      <c r="B10800" s="233"/>
      <c r="C10800" s="238"/>
      <c r="E10800" s="545"/>
      <c r="F10800" s="546"/>
      <c r="G10800" s="234"/>
      <c r="H10800" s="238"/>
      <c r="I10800" s="237"/>
    </row>
    <row r="10801" spans="1:9" s="232" customFormat="1" ht="17" customHeight="1">
      <c r="A10801" s="234"/>
      <c r="B10801" s="233"/>
      <c r="C10801" s="238"/>
      <c r="E10801" s="545"/>
      <c r="F10801" s="546"/>
      <c r="G10801" s="234"/>
      <c r="H10801" s="238"/>
      <c r="I10801" s="237"/>
    </row>
    <row r="10802" spans="1:9" s="232" customFormat="1" ht="17" customHeight="1">
      <c r="A10802" s="234"/>
      <c r="B10802" s="233"/>
      <c r="C10802" s="238"/>
      <c r="E10802" s="545"/>
      <c r="F10802" s="546"/>
      <c r="G10802" s="234"/>
      <c r="H10802" s="238"/>
      <c r="I10802" s="237"/>
    </row>
    <row r="10803" spans="1:9" s="232" customFormat="1" ht="17" customHeight="1">
      <c r="A10803" s="234"/>
      <c r="B10803" s="233"/>
      <c r="C10803" s="238"/>
      <c r="E10803" s="545"/>
      <c r="F10803" s="546"/>
      <c r="G10803" s="234"/>
      <c r="H10803" s="238"/>
      <c r="I10803" s="237"/>
    </row>
    <row r="10804" spans="1:9" s="232" customFormat="1" ht="17" customHeight="1">
      <c r="A10804" s="234"/>
      <c r="B10804" s="233"/>
      <c r="C10804" s="238"/>
      <c r="E10804" s="545"/>
      <c r="F10804" s="546"/>
      <c r="G10804" s="234"/>
      <c r="H10804" s="238"/>
      <c r="I10804" s="237"/>
    </row>
    <row r="10805" spans="1:9" s="232" customFormat="1" ht="17" customHeight="1">
      <c r="A10805" s="234"/>
      <c r="B10805" s="233"/>
      <c r="C10805" s="238"/>
      <c r="E10805" s="545"/>
      <c r="F10805" s="546"/>
      <c r="G10805" s="234"/>
      <c r="H10805" s="238"/>
      <c r="I10805" s="237"/>
    </row>
    <row r="10806" spans="1:9" s="232" customFormat="1" ht="17" customHeight="1">
      <c r="A10806" s="234"/>
      <c r="B10806" s="233"/>
      <c r="C10806" s="238"/>
      <c r="E10806" s="545"/>
      <c r="F10806" s="546"/>
      <c r="G10806" s="234"/>
      <c r="H10806" s="238"/>
      <c r="I10806" s="237"/>
    </row>
    <row r="10807" spans="1:9" s="232" customFormat="1" ht="17" customHeight="1">
      <c r="A10807" s="234"/>
      <c r="B10807" s="233"/>
      <c r="C10807" s="238"/>
      <c r="E10807" s="545"/>
      <c r="F10807" s="546"/>
      <c r="G10807" s="234"/>
      <c r="H10807" s="238"/>
      <c r="I10807" s="237"/>
    </row>
    <row r="10808" spans="1:9" s="232" customFormat="1" ht="17" customHeight="1">
      <c r="A10808" s="234"/>
      <c r="B10808" s="233"/>
      <c r="C10808" s="238"/>
      <c r="E10808" s="545"/>
      <c r="F10808" s="546"/>
      <c r="G10808" s="234"/>
      <c r="H10808" s="238"/>
      <c r="I10808" s="237"/>
    </row>
    <row r="10809" spans="1:9" s="232" customFormat="1" ht="17" customHeight="1">
      <c r="A10809" s="234"/>
      <c r="B10809" s="233"/>
      <c r="C10809" s="238"/>
      <c r="E10809" s="545"/>
      <c r="F10809" s="546"/>
      <c r="G10809" s="234"/>
      <c r="H10809" s="238"/>
      <c r="I10809" s="237"/>
    </row>
    <row r="10810" spans="1:9" s="232" customFormat="1" ht="17" customHeight="1">
      <c r="A10810" s="234"/>
      <c r="B10810" s="233"/>
      <c r="C10810" s="238"/>
      <c r="E10810" s="545"/>
      <c r="F10810" s="546"/>
      <c r="G10810" s="234"/>
      <c r="H10810" s="238"/>
      <c r="I10810" s="237"/>
    </row>
    <row r="10811" spans="1:9" s="232" customFormat="1" ht="17" customHeight="1">
      <c r="A10811" s="234"/>
      <c r="B10811" s="233"/>
      <c r="C10811" s="238"/>
      <c r="E10811" s="545"/>
      <c r="F10811" s="546"/>
      <c r="G10811" s="234"/>
      <c r="H10811" s="238"/>
      <c r="I10811" s="237"/>
    </row>
    <row r="10812" spans="1:9" s="232" customFormat="1" ht="17" customHeight="1">
      <c r="A10812" s="234"/>
      <c r="B10812" s="233"/>
      <c r="C10812" s="238"/>
      <c r="E10812" s="545"/>
      <c r="F10812" s="546"/>
      <c r="G10812" s="234"/>
      <c r="H10812" s="238"/>
      <c r="I10812" s="237"/>
    </row>
    <row r="10813" spans="1:9" s="232" customFormat="1" ht="17" customHeight="1">
      <c r="A10813" s="234"/>
      <c r="B10813" s="233"/>
      <c r="C10813" s="238"/>
      <c r="E10813" s="545"/>
      <c r="F10813" s="546"/>
      <c r="G10813" s="234"/>
      <c r="H10813" s="238"/>
      <c r="I10813" s="237"/>
    </row>
    <row r="10814" spans="1:9" s="232" customFormat="1" ht="17" customHeight="1">
      <c r="A10814" s="234"/>
      <c r="B10814" s="233"/>
      <c r="C10814" s="238"/>
      <c r="E10814" s="545"/>
      <c r="F10814" s="546"/>
      <c r="G10814" s="234"/>
      <c r="H10814" s="238"/>
      <c r="I10814" s="237"/>
    </row>
    <row r="10815" spans="1:9" s="232" customFormat="1" ht="17" customHeight="1">
      <c r="A10815" s="234"/>
      <c r="B10815" s="233"/>
      <c r="C10815" s="238"/>
      <c r="E10815" s="545"/>
      <c r="F10815" s="546"/>
      <c r="G10815" s="234"/>
      <c r="H10815" s="238"/>
      <c r="I10815" s="237"/>
    </row>
    <row r="10816" spans="1:9" s="232" customFormat="1" ht="17" customHeight="1">
      <c r="A10816" s="234"/>
      <c r="B10816" s="233"/>
      <c r="C10816" s="238"/>
      <c r="E10816" s="545"/>
      <c r="F10816" s="546"/>
      <c r="G10816" s="234"/>
      <c r="H10816" s="238"/>
      <c r="I10816" s="237"/>
    </row>
    <row r="10817" spans="1:9" s="232" customFormat="1" ht="17" customHeight="1">
      <c r="A10817" s="234"/>
      <c r="B10817" s="233"/>
      <c r="C10817" s="238"/>
      <c r="E10817" s="545"/>
      <c r="F10817" s="546"/>
      <c r="G10817" s="234"/>
      <c r="H10817" s="238"/>
      <c r="I10817" s="237"/>
    </row>
    <row r="10818" spans="1:9" s="232" customFormat="1" ht="17" customHeight="1">
      <c r="A10818" s="234"/>
      <c r="B10818" s="233"/>
      <c r="C10818" s="238"/>
      <c r="E10818" s="545"/>
      <c r="F10818" s="546"/>
      <c r="G10818" s="234"/>
      <c r="H10818" s="238"/>
      <c r="I10818" s="237"/>
    </row>
    <row r="10819" spans="1:9" s="232" customFormat="1" ht="17" customHeight="1">
      <c r="A10819" s="234"/>
      <c r="B10819" s="233"/>
      <c r="C10819" s="238"/>
      <c r="E10819" s="545"/>
      <c r="F10819" s="546"/>
      <c r="G10819" s="234"/>
      <c r="H10819" s="238"/>
      <c r="I10819" s="237"/>
    </row>
    <row r="10820" spans="1:9" s="232" customFormat="1" ht="17" customHeight="1">
      <c r="A10820" s="234"/>
      <c r="B10820" s="233"/>
      <c r="C10820" s="238"/>
      <c r="E10820" s="545"/>
      <c r="F10820" s="546"/>
      <c r="G10820" s="234"/>
      <c r="H10820" s="238"/>
      <c r="I10820" s="237"/>
    </row>
    <row r="10821" spans="1:9" s="232" customFormat="1" ht="17" customHeight="1">
      <c r="A10821" s="234"/>
      <c r="B10821" s="233"/>
      <c r="C10821" s="238"/>
      <c r="E10821" s="545"/>
      <c r="F10821" s="546"/>
      <c r="G10821" s="234"/>
      <c r="H10821" s="238"/>
      <c r="I10821" s="237"/>
    </row>
    <row r="10822" spans="1:9" s="232" customFormat="1" ht="17" customHeight="1">
      <c r="A10822" s="234"/>
      <c r="B10822" s="233"/>
      <c r="C10822" s="238"/>
      <c r="E10822" s="545"/>
      <c r="F10822" s="546"/>
      <c r="G10822" s="234"/>
      <c r="H10822" s="238"/>
      <c r="I10822" s="237"/>
    </row>
    <row r="10823" spans="1:9" s="232" customFormat="1" ht="17" customHeight="1">
      <c r="A10823" s="234"/>
      <c r="B10823" s="233"/>
      <c r="C10823" s="238"/>
      <c r="E10823" s="545"/>
      <c r="F10823" s="546"/>
      <c r="G10823" s="234"/>
      <c r="H10823" s="238"/>
      <c r="I10823" s="237"/>
    </row>
    <row r="10824" spans="1:9" s="232" customFormat="1" ht="17" customHeight="1">
      <c r="A10824" s="234"/>
      <c r="B10824" s="233"/>
      <c r="C10824" s="238"/>
      <c r="E10824" s="545"/>
      <c r="F10824" s="546"/>
      <c r="G10824" s="234"/>
      <c r="H10824" s="238"/>
      <c r="I10824" s="237"/>
    </row>
    <row r="10825" spans="1:9" s="232" customFormat="1" ht="17" customHeight="1">
      <c r="A10825" s="234"/>
      <c r="B10825" s="233"/>
      <c r="C10825" s="238"/>
      <c r="E10825" s="545"/>
      <c r="F10825" s="546"/>
      <c r="G10825" s="234"/>
      <c r="H10825" s="238"/>
      <c r="I10825" s="237"/>
    </row>
    <row r="10826" spans="1:9" s="232" customFormat="1" ht="17" customHeight="1">
      <c r="A10826" s="234"/>
      <c r="B10826" s="233"/>
      <c r="C10826" s="238"/>
      <c r="E10826" s="545"/>
      <c r="F10826" s="546"/>
      <c r="G10826" s="234"/>
      <c r="H10826" s="238"/>
      <c r="I10826" s="237"/>
    </row>
    <row r="10827" spans="1:9" s="232" customFormat="1" ht="17" customHeight="1">
      <c r="A10827" s="234"/>
      <c r="B10827" s="233"/>
      <c r="C10827" s="238"/>
      <c r="E10827" s="545"/>
      <c r="F10827" s="546"/>
      <c r="G10827" s="234"/>
      <c r="H10827" s="238"/>
      <c r="I10827" s="237"/>
    </row>
    <row r="10828" spans="1:9" s="232" customFormat="1" ht="17" customHeight="1">
      <c r="A10828" s="234"/>
      <c r="B10828" s="233"/>
      <c r="C10828" s="238"/>
      <c r="E10828" s="545"/>
      <c r="F10828" s="546"/>
      <c r="G10828" s="234"/>
      <c r="H10828" s="238"/>
      <c r="I10828" s="237"/>
    </row>
    <row r="10829" spans="1:9" s="232" customFormat="1" ht="17" customHeight="1">
      <c r="A10829" s="234"/>
      <c r="B10829" s="233"/>
      <c r="C10829" s="238"/>
      <c r="E10829" s="545"/>
      <c r="F10829" s="546"/>
      <c r="G10829" s="234"/>
      <c r="H10829" s="238"/>
      <c r="I10829" s="237"/>
    </row>
    <row r="10830" spans="1:9" s="232" customFormat="1" ht="17" customHeight="1">
      <c r="A10830" s="234"/>
      <c r="B10830" s="233"/>
      <c r="C10830" s="238"/>
      <c r="E10830" s="545"/>
      <c r="F10830" s="546"/>
      <c r="G10830" s="234"/>
      <c r="H10830" s="238"/>
      <c r="I10830" s="237"/>
    </row>
    <row r="10831" spans="1:9" s="232" customFormat="1" ht="17" customHeight="1">
      <c r="A10831" s="234"/>
      <c r="B10831" s="233"/>
      <c r="C10831" s="238"/>
      <c r="E10831" s="545"/>
      <c r="F10831" s="546"/>
      <c r="G10831" s="234"/>
      <c r="H10831" s="238"/>
      <c r="I10831" s="237"/>
    </row>
    <row r="10832" spans="1:9" s="232" customFormat="1" ht="17" customHeight="1">
      <c r="A10832" s="234"/>
      <c r="B10832" s="233"/>
      <c r="C10832" s="238"/>
      <c r="E10832" s="545"/>
      <c r="F10832" s="546"/>
      <c r="G10832" s="234"/>
      <c r="H10832" s="238"/>
      <c r="I10832" s="237"/>
    </row>
    <row r="10833" spans="1:9" s="232" customFormat="1" ht="17" customHeight="1">
      <c r="A10833" s="234"/>
      <c r="B10833" s="233"/>
      <c r="C10833" s="238"/>
      <c r="E10833" s="545"/>
      <c r="F10833" s="546"/>
      <c r="G10833" s="234"/>
      <c r="H10833" s="238"/>
      <c r="I10833" s="237"/>
    </row>
    <row r="10834" spans="1:9" s="232" customFormat="1" ht="17" customHeight="1">
      <c r="A10834" s="234"/>
      <c r="B10834" s="233"/>
      <c r="C10834" s="238"/>
      <c r="E10834" s="545"/>
      <c r="F10834" s="546"/>
      <c r="G10834" s="234"/>
      <c r="H10834" s="238"/>
      <c r="I10834" s="237"/>
    </row>
    <row r="10835" spans="1:9" s="232" customFormat="1" ht="17" customHeight="1">
      <c r="A10835" s="234"/>
      <c r="B10835" s="233"/>
      <c r="C10835" s="238"/>
      <c r="E10835" s="545"/>
      <c r="F10835" s="546"/>
      <c r="G10835" s="234"/>
      <c r="H10835" s="238"/>
      <c r="I10835" s="237"/>
    </row>
    <row r="10836" spans="1:9" s="232" customFormat="1" ht="17" customHeight="1">
      <c r="A10836" s="234"/>
      <c r="B10836" s="233"/>
      <c r="C10836" s="238"/>
      <c r="E10836" s="545"/>
      <c r="F10836" s="546"/>
      <c r="G10836" s="234"/>
      <c r="H10836" s="238"/>
      <c r="I10836" s="237"/>
    </row>
    <row r="10837" spans="1:9" s="232" customFormat="1" ht="17" customHeight="1">
      <c r="A10837" s="234"/>
      <c r="B10837" s="233"/>
      <c r="C10837" s="238"/>
      <c r="E10837" s="545"/>
      <c r="F10837" s="546"/>
      <c r="G10837" s="234"/>
      <c r="H10837" s="238"/>
      <c r="I10837" s="237"/>
    </row>
    <row r="10838" spans="1:9" s="232" customFormat="1" ht="17" customHeight="1">
      <c r="A10838" s="234"/>
      <c r="B10838" s="233"/>
      <c r="C10838" s="238"/>
      <c r="E10838" s="545"/>
      <c r="F10838" s="546"/>
      <c r="G10838" s="234"/>
      <c r="H10838" s="238"/>
      <c r="I10838" s="237"/>
    </row>
    <row r="10839" spans="1:9" s="232" customFormat="1" ht="17" customHeight="1">
      <c r="A10839" s="234"/>
      <c r="B10839" s="233"/>
      <c r="C10839" s="238"/>
      <c r="E10839" s="545"/>
      <c r="F10839" s="546"/>
      <c r="G10839" s="234"/>
      <c r="H10839" s="238"/>
      <c r="I10839" s="237"/>
    </row>
    <row r="10840" spans="1:9" s="232" customFormat="1" ht="17" customHeight="1">
      <c r="A10840" s="234"/>
      <c r="B10840" s="233"/>
      <c r="C10840" s="238"/>
      <c r="E10840" s="545"/>
      <c r="F10840" s="546"/>
      <c r="G10840" s="234"/>
      <c r="H10840" s="238"/>
      <c r="I10840" s="237"/>
    </row>
    <row r="10841" spans="1:9" s="232" customFormat="1" ht="17" customHeight="1">
      <c r="A10841" s="234"/>
      <c r="B10841" s="233"/>
      <c r="C10841" s="238"/>
      <c r="E10841" s="545"/>
      <c r="F10841" s="546"/>
      <c r="G10841" s="234"/>
      <c r="H10841" s="238"/>
      <c r="I10841" s="237"/>
    </row>
    <row r="10842" spans="1:9" s="232" customFormat="1" ht="17" customHeight="1">
      <c r="A10842" s="234"/>
      <c r="B10842" s="233"/>
      <c r="C10842" s="238"/>
      <c r="E10842" s="545"/>
      <c r="F10842" s="546"/>
      <c r="G10842" s="234"/>
      <c r="H10842" s="238"/>
      <c r="I10842" s="237"/>
    </row>
    <row r="10843" spans="1:9" s="232" customFormat="1" ht="17" customHeight="1">
      <c r="A10843" s="234"/>
      <c r="B10843" s="233"/>
      <c r="C10843" s="238"/>
      <c r="E10843" s="545"/>
      <c r="F10843" s="546"/>
      <c r="G10843" s="234"/>
      <c r="H10843" s="238"/>
      <c r="I10843" s="237"/>
    </row>
    <row r="10844" spans="1:9" s="232" customFormat="1" ht="17" customHeight="1">
      <c r="A10844" s="234"/>
      <c r="B10844" s="233"/>
      <c r="C10844" s="238"/>
      <c r="E10844" s="545"/>
      <c r="F10844" s="546"/>
      <c r="G10844" s="234"/>
      <c r="H10844" s="238"/>
      <c r="I10844" s="237"/>
    </row>
    <row r="10845" spans="1:9" s="232" customFormat="1" ht="17" customHeight="1">
      <c r="A10845" s="234"/>
      <c r="B10845" s="233"/>
      <c r="C10845" s="238"/>
      <c r="E10845" s="545"/>
      <c r="F10845" s="546"/>
      <c r="G10845" s="234"/>
      <c r="H10845" s="238"/>
      <c r="I10845" s="237"/>
    </row>
    <row r="10846" spans="1:9" s="232" customFormat="1" ht="17" customHeight="1">
      <c r="A10846" s="234"/>
      <c r="B10846" s="233"/>
      <c r="C10846" s="238"/>
      <c r="E10846" s="545"/>
      <c r="F10846" s="546"/>
      <c r="G10846" s="234"/>
      <c r="H10846" s="238"/>
      <c r="I10846" s="237"/>
    </row>
    <row r="10847" spans="1:9" s="232" customFormat="1" ht="17" customHeight="1">
      <c r="A10847" s="234"/>
      <c r="B10847" s="233"/>
      <c r="C10847" s="238"/>
      <c r="E10847" s="545"/>
      <c r="F10847" s="546"/>
      <c r="G10847" s="234"/>
      <c r="H10847" s="238"/>
      <c r="I10847" s="237"/>
    </row>
    <row r="10848" spans="1:9" s="232" customFormat="1" ht="17" customHeight="1">
      <c r="A10848" s="234"/>
      <c r="B10848" s="233"/>
      <c r="C10848" s="238"/>
      <c r="E10848" s="545"/>
      <c r="F10848" s="546"/>
      <c r="G10848" s="234"/>
      <c r="H10848" s="238"/>
      <c r="I10848" s="237"/>
    </row>
    <row r="10849" spans="1:9" s="232" customFormat="1" ht="17" customHeight="1">
      <c r="A10849" s="234"/>
      <c r="B10849" s="233"/>
      <c r="C10849" s="238"/>
      <c r="E10849" s="545"/>
      <c r="F10849" s="546"/>
      <c r="G10849" s="234"/>
      <c r="H10849" s="238"/>
      <c r="I10849" s="237"/>
    </row>
    <row r="10850" spans="1:9" s="232" customFormat="1" ht="17" customHeight="1">
      <c r="A10850" s="234"/>
      <c r="B10850" s="233"/>
      <c r="C10850" s="238"/>
      <c r="E10850" s="545"/>
      <c r="F10850" s="546"/>
      <c r="G10850" s="234"/>
      <c r="H10850" s="238"/>
      <c r="I10850" s="237"/>
    </row>
    <row r="10851" spans="1:9" s="232" customFormat="1" ht="17" customHeight="1">
      <c r="A10851" s="234"/>
      <c r="B10851" s="233"/>
      <c r="C10851" s="238"/>
      <c r="E10851" s="545"/>
      <c r="F10851" s="546"/>
      <c r="G10851" s="234"/>
      <c r="H10851" s="238"/>
      <c r="I10851" s="237"/>
    </row>
    <row r="10852" spans="1:9" s="232" customFormat="1" ht="17" customHeight="1">
      <c r="A10852" s="234"/>
      <c r="B10852" s="233"/>
      <c r="C10852" s="238"/>
      <c r="E10852" s="545"/>
      <c r="F10852" s="546"/>
      <c r="G10852" s="234"/>
      <c r="H10852" s="238"/>
      <c r="I10852" s="237"/>
    </row>
    <row r="10853" spans="1:9" s="232" customFormat="1" ht="17" customHeight="1">
      <c r="A10853" s="234"/>
      <c r="B10853" s="233"/>
      <c r="C10853" s="238"/>
      <c r="E10853" s="545"/>
      <c r="F10853" s="546"/>
      <c r="G10853" s="234"/>
      <c r="H10853" s="238"/>
      <c r="I10853" s="237"/>
    </row>
    <row r="10854" spans="1:9" s="232" customFormat="1" ht="17" customHeight="1">
      <c r="A10854" s="234"/>
      <c r="B10854" s="233"/>
      <c r="C10854" s="238"/>
      <c r="E10854" s="545"/>
      <c r="F10854" s="546"/>
      <c r="G10854" s="234"/>
      <c r="H10854" s="238"/>
      <c r="I10854" s="237"/>
    </row>
    <row r="10855" spans="1:9" s="232" customFormat="1" ht="17" customHeight="1">
      <c r="A10855" s="234"/>
      <c r="B10855" s="233"/>
      <c r="C10855" s="238"/>
      <c r="E10855" s="545"/>
      <c r="F10855" s="546"/>
      <c r="G10855" s="234"/>
      <c r="H10855" s="238"/>
      <c r="I10855" s="237"/>
    </row>
    <row r="10856" spans="1:9" s="232" customFormat="1" ht="17" customHeight="1">
      <c r="A10856" s="234"/>
      <c r="B10856" s="233"/>
      <c r="C10856" s="238"/>
      <c r="E10856" s="545"/>
      <c r="F10856" s="546"/>
      <c r="G10856" s="234"/>
      <c r="H10856" s="238"/>
      <c r="I10856" s="237"/>
    </row>
    <row r="10857" spans="1:9" s="232" customFormat="1" ht="17" customHeight="1">
      <c r="A10857" s="234"/>
      <c r="B10857" s="233"/>
      <c r="C10857" s="238"/>
      <c r="E10857" s="545"/>
      <c r="F10857" s="546"/>
      <c r="G10857" s="234"/>
      <c r="H10857" s="238"/>
      <c r="I10857" s="237"/>
    </row>
    <row r="10858" spans="1:9" s="232" customFormat="1" ht="17" customHeight="1">
      <c r="A10858" s="234"/>
      <c r="B10858" s="233"/>
      <c r="C10858" s="238"/>
      <c r="E10858" s="545"/>
      <c r="F10858" s="546"/>
      <c r="G10858" s="234"/>
      <c r="H10858" s="238"/>
      <c r="I10858" s="237"/>
    </row>
    <row r="10859" spans="1:9" s="232" customFormat="1" ht="17" customHeight="1">
      <c r="A10859" s="234"/>
      <c r="B10859" s="233"/>
      <c r="C10859" s="238"/>
      <c r="E10859" s="545"/>
      <c r="F10859" s="546"/>
      <c r="G10859" s="234"/>
      <c r="H10859" s="238"/>
      <c r="I10859" s="237"/>
    </row>
    <row r="10860" spans="1:9" s="232" customFormat="1" ht="17" customHeight="1">
      <c r="A10860" s="234"/>
      <c r="B10860" s="233"/>
      <c r="C10860" s="238"/>
      <c r="E10860" s="545"/>
      <c r="F10860" s="546"/>
      <c r="G10860" s="234"/>
      <c r="H10860" s="238"/>
      <c r="I10860" s="237"/>
    </row>
    <row r="10861" spans="1:9" s="232" customFormat="1" ht="17" customHeight="1">
      <c r="A10861" s="234"/>
      <c r="B10861" s="233"/>
      <c r="C10861" s="238"/>
      <c r="E10861" s="545"/>
      <c r="F10861" s="546"/>
      <c r="G10861" s="234"/>
      <c r="H10861" s="238"/>
      <c r="I10861" s="237"/>
    </row>
    <row r="10862" spans="1:9" s="232" customFormat="1" ht="17" customHeight="1">
      <c r="A10862" s="234"/>
      <c r="B10862" s="233"/>
      <c r="C10862" s="238"/>
      <c r="E10862" s="545"/>
      <c r="F10862" s="546"/>
      <c r="G10862" s="234"/>
      <c r="H10862" s="238"/>
      <c r="I10862" s="237"/>
    </row>
    <row r="10863" spans="1:9" s="232" customFormat="1" ht="17" customHeight="1">
      <c r="A10863" s="234"/>
      <c r="B10863" s="233"/>
      <c r="C10863" s="238"/>
      <c r="E10863" s="545"/>
      <c r="F10863" s="546"/>
      <c r="G10863" s="234"/>
      <c r="H10863" s="238"/>
      <c r="I10863" s="237"/>
    </row>
    <row r="10864" spans="1:9" s="232" customFormat="1" ht="17" customHeight="1">
      <c r="A10864" s="234"/>
      <c r="B10864" s="233"/>
      <c r="C10864" s="238"/>
      <c r="E10864" s="545"/>
      <c r="F10864" s="546"/>
      <c r="G10864" s="234"/>
      <c r="H10864" s="238"/>
      <c r="I10864" s="237"/>
    </row>
    <row r="10865" spans="1:9" s="232" customFormat="1" ht="17" customHeight="1">
      <c r="A10865" s="234"/>
      <c r="B10865" s="233"/>
      <c r="C10865" s="238"/>
      <c r="E10865" s="545"/>
      <c r="F10865" s="546"/>
      <c r="G10865" s="234"/>
      <c r="H10865" s="238"/>
      <c r="I10865" s="237"/>
    </row>
    <row r="10866" spans="1:9" s="232" customFormat="1" ht="17" customHeight="1">
      <c r="A10866" s="234"/>
      <c r="B10866" s="233"/>
      <c r="C10866" s="238"/>
      <c r="E10866" s="545"/>
      <c r="F10866" s="546"/>
      <c r="G10866" s="234"/>
      <c r="H10866" s="238"/>
      <c r="I10866" s="237"/>
    </row>
    <row r="10867" spans="1:9" s="232" customFormat="1" ht="17" customHeight="1">
      <c r="A10867" s="234"/>
      <c r="B10867" s="233"/>
      <c r="C10867" s="238"/>
      <c r="E10867" s="545"/>
      <c r="F10867" s="546"/>
      <c r="G10867" s="234"/>
      <c r="H10867" s="238"/>
      <c r="I10867" s="237"/>
    </row>
    <row r="10868" spans="1:9" s="232" customFormat="1" ht="17" customHeight="1">
      <c r="A10868" s="234"/>
      <c r="B10868" s="233"/>
      <c r="C10868" s="238"/>
      <c r="E10868" s="545"/>
      <c r="F10868" s="546"/>
      <c r="G10868" s="234"/>
      <c r="H10868" s="238"/>
      <c r="I10868" s="237"/>
    </row>
    <row r="10869" spans="1:9" s="232" customFormat="1" ht="17" customHeight="1">
      <c r="A10869" s="234"/>
      <c r="B10869" s="233"/>
      <c r="C10869" s="238"/>
      <c r="E10869" s="545"/>
      <c r="F10869" s="546"/>
      <c r="G10869" s="234"/>
      <c r="H10869" s="238"/>
      <c r="I10869" s="237"/>
    </row>
    <row r="10870" spans="1:9" s="232" customFormat="1" ht="17" customHeight="1">
      <c r="A10870" s="234"/>
      <c r="B10870" s="233"/>
      <c r="C10870" s="238"/>
      <c r="E10870" s="545"/>
      <c r="F10870" s="546"/>
      <c r="G10870" s="234"/>
      <c r="H10870" s="238"/>
      <c r="I10870" s="237"/>
    </row>
    <row r="10871" spans="1:9" s="232" customFormat="1" ht="17" customHeight="1">
      <c r="A10871" s="234"/>
      <c r="B10871" s="233"/>
      <c r="C10871" s="238"/>
      <c r="E10871" s="545"/>
      <c r="F10871" s="546"/>
      <c r="G10871" s="234"/>
      <c r="H10871" s="238"/>
      <c r="I10871" s="237"/>
    </row>
    <row r="10872" spans="1:9" s="232" customFormat="1" ht="17" customHeight="1">
      <c r="A10872" s="234"/>
      <c r="B10872" s="233"/>
      <c r="C10872" s="238"/>
      <c r="E10872" s="545"/>
      <c r="F10872" s="546"/>
      <c r="G10872" s="234"/>
      <c r="H10872" s="238"/>
      <c r="I10872" s="237"/>
    </row>
    <row r="10873" spans="1:9" s="232" customFormat="1" ht="17" customHeight="1">
      <c r="A10873" s="234"/>
      <c r="B10873" s="233"/>
      <c r="C10873" s="238"/>
      <c r="E10873" s="545"/>
      <c r="F10873" s="546"/>
      <c r="G10873" s="234"/>
      <c r="H10873" s="238"/>
      <c r="I10873" s="237"/>
    </row>
    <row r="10874" spans="1:9" s="232" customFormat="1" ht="17" customHeight="1">
      <c r="A10874" s="234"/>
      <c r="B10874" s="233"/>
      <c r="C10874" s="238"/>
      <c r="E10874" s="545"/>
      <c r="F10874" s="546"/>
      <c r="G10874" s="234"/>
      <c r="H10874" s="238"/>
      <c r="I10874" s="237"/>
    </row>
    <row r="10875" spans="1:9" s="232" customFormat="1" ht="17" customHeight="1">
      <c r="A10875" s="234"/>
      <c r="B10875" s="233"/>
      <c r="C10875" s="238"/>
      <c r="E10875" s="545"/>
      <c r="F10875" s="546"/>
      <c r="G10875" s="234"/>
      <c r="H10875" s="238"/>
      <c r="I10875" s="237"/>
    </row>
    <row r="10876" spans="1:9" s="232" customFormat="1" ht="17" customHeight="1">
      <c r="A10876" s="234"/>
      <c r="B10876" s="233"/>
      <c r="C10876" s="238"/>
      <c r="E10876" s="545"/>
      <c r="F10876" s="546"/>
      <c r="G10876" s="234"/>
      <c r="H10876" s="238"/>
      <c r="I10876" s="237"/>
    </row>
    <row r="10877" spans="1:9" s="232" customFormat="1" ht="17" customHeight="1">
      <c r="A10877" s="234"/>
      <c r="B10877" s="233"/>
      <c r="C10877" s="238"/>
      <c r="E10877" s="545"/>
      <c r="F10877" s="546"/>
      <c r="G10877" s="234"/>
      <c r="H10877" s="238"/>
      <c r="I10877" s="237"/>
    </row>
    <row r="10878" spans="1:9" s="232" customFormat="1" ht="17" customHeight="1">
      <c r="A10878" s="234"/>
      <c r="B10878" s="233"/>
      <c r="C10878" s="238"/>
      <c r="E10878" s="545"/>
      <c r="F10878" s="546"/>
      <c r="G10878" s="234"/>
      <c r="H10878" s="238"/>
      <c r="I10878" s="237"/>
    </row>
    <row r="10879" spans="1:9" s="232" customFormat="1" ht="17" customHeight="1">
      <c r="A10879" s="234"/>
      <c r="B10879" s="233"/>
      <c r="C10879" s="238"/>
      <c r="E10879" s="545"/>
      <c r="F10879" s="546"/>
      <c r="G10879" s="234"/>
      <c r="H10879" s="238"/>
      <c r="I10879" s="237"/>
    </row>
    <row r="10880" spans="1:9" s="232" customFormat="1" ht="17" customHeight="1">
      <c r="A10880" s="234"/>
      <c r="B10880" s="233"/>
      <c r="C10880" s="238"/>
      <c r="E10880" s="545"/>
      <c r="F10880" s="546"/>
      <c r="G10880" s="234"/>
      <c r="H10880" s="238"/>
      <c r="I10880" s="237"/>
    </row>
    <row r="10881" spans="1:9" s="232" customFormat="1" ht="17" customHeight="1">
      <c r="A10881" s="234"/>
      <c r="B10881" s="233"/>
      <c r="C10881" s="238"/>
      <c r="E10881" s="545"/>
      <c r="F10881" s="546"/>
      <c r="G10881" s="234"/>
      <c r="H10881" s="238"/>
      <c r="I10881" s="237"/>
    </row>
    <row r="10882" spans="1:9" s="232" customFormat="1" ht="17" customHeight="1">
      <c r="A10882" s="234"/>
      <c r="B10882" s="233"/>
      <c r="C10882" s="238"/>
      <c r="E10882" s="545"/>
      <c r="F10882" s="546"/>
      <c r="G10882" s="234"/>
      <c r="H10882" s="238"/>
      <c r="I10882" s="237"/>
    </row>
    <row r="10883" spans="1:9" s="232" customFormat="1" ht="17" customHeight="1">
      <c r="A10883" s="234"/>
      <c r="B10883" s="233"/>
      <c r="C10883" s="238"/>
      <c r="E10883" s="545"/>
      <c r="F10883" s="546"/>
      <c r="G10883" s="234"/>
      <c r="H10883" s="238"/>
      <c r="I10883" s="237"/>
    </row>
    <row r="10884" spans="1:9" s="232" customFormat="1" ht="17" customHeight="1">
      <c r="A10884" s="234"/>
      <c r="B10884" s="233"/>
      <c r="C10884" s="238"/>
      <c r="E10884" s="545"/>
      <c r="F10884" s="546"/>
      <c r="G10884" s="234"/>
      <c r="H10884" s="238"/>
      <c r="I10884" s="237"/>
    </row>
    <row r="10885" spans="1:9" s="232" customFormat="1" ht="17" customHeight="1">
      <c r="A10885" s="234"/>
      <c r="B10885" s="233"/>
      <c r="C10885" s="238"/>
      <c r="E10885" s="545"/>
      <c r="F10885" s="546"/>
      <c r="G10885" s="234"/>
      <c r="H10885" s="238"/>
      <c r="I10885" s="237"/>
    </row>
    <row r="10886" spans="1:9" s="232" customFormat="1" ht="17" customHeight="1">
      <c r="A10886" s="234"/>
      <c r="B10886" s="233"/>
      <c r="C10886" s="238"/>
      <c r="E10886" s="545"/>
      <c r="F10886" s="546"/>
      <c r="G10886" s="234"/>
      <c r="H10886" s="238"/>
      <c r="I10886" s="237"/>
    </row>
    <row r="10887" spans="1:9" s="232" customFormat="1" ht="17" customHeight="1">
      <c r="A10887" s="234"/>
      <c r="B10887" s="233"/>
      <c r="C10887" s="238"/>
      <c r="E10887" s="545"/>
      <c r="F10887" s="546"/>
      <c r="G10887" s="234"/>
      <c r="H10887" s="238"/>
      <c r="I10887" s="237"/>
    </row>
    <row r="10888" spans="1:9" s="232" customFormat="1" ht="17" customHeight="1">
      <c r="A10888" s="234"/>
      <c r="B10888" s="233"/>
      <c r="C10888" s="238"/>
      <c r="E10888" s="545"/>
      <c r="F10888" s="546"/>
      <c r="G10888" s="234"/>
      <c r="H10888" s="238"/>
      <c r="I10888" s="237"/>
    </row>
    <row r="10889" spans="1:9" s="232" customFormat="1" ht="17" customHeight="1">
      <c r="A10889" s="234"/>
      <c r="B10889" s="233"/>
      <c r="C10889" s="238"/>
      <c r="E10889" s="545"/>
      <c r="F10889" s="546"/>
      <c r="G10889" s="234"/>
      <c r="H10889" s="238"/>
      <c r="I10889" s="237"/>
    </row>
    <row r="10890" spans="1:9" s="232" customFormat="1" ht="17" customHeight="1">
      <c r="A10890" s="234"/>
      <c r="B10890" s="233"/>
      <c r="C10890" s="238"/>
      <c r="E10890" s="545"/>
      <c r="F10890" s="546"/>
      <c r="G10890" s="234"/>
      <c r="H10890" s="238"/>
      <c r="I10890" s="237"/>
    </row>
    <row r="10891" spans="1:9" s="232" customFormat="1" ht="17" customHeight="1">
      <c r="A10891" s="234"/>
      <c r="B10891" s="233"/>
      <c r="C10891" s="238"/>
      <c r="E10891" s="545"/>
      <c r="F10891" s="546"/>
      <c r="G10891" s="234"/>
      <c r="H10891" s="238"/>
      <c r="I10891" s="237"/>
    </row>
    <row r="10892" spans="1:9" s="232" customFormat="1" ht="17" customHeight="1">
      <c r="A10892" s="234"/>
      <c r="B10892" s="233"/>
      <c r="C10892" s="238"/>
      <c r="E10892" s="545"/>
      <c r="F10892" s="546"/>
      <c r="G10892" s="234"/>
      <c r="H10892" s="238"/>
      <c r="I10892" s="237"/>
    </row>
    <row r="10893" spans="1:9" s="232" customFormat="1" ht="17" customHeight="1">
      <c r="A10893" s="234"/>
      <c r="B10893" s="233"/>
      <c r="C10893" s="238"/>
      <c r="E10893" s="545"/>
      <c r="F10893" s="546"/>
      <c r="G10893" s="234"/>
      <c r="H10893" s="238"/>
      <c r="I10893" s="237"/>
    </row>
    <row r="10894" spans="1:9" s="232" customFormat="1" ht="17" customHeight="1">
      <c r="A10894" s="234"/>
      <c r="B10894" s="233"/>
      <c r="C10894" s="238"/>
      <c r="E10894" s="545"/>
      <c r="F10894" s="546"/>
      <c r="G10894" s="234"/>
      <c r="H10894" s="238"/>
      <c r="I10894" s="237"/>
    </row>
    <row r="10895" spans="1:9" s="232" customFormat="1" ht="17" customHeight="1">
      <c r="A10895" s="234"/>
      <c r="B10895" s="233"/>
      <c r="C10895" s="238"/>
      <c r="E10895" s="545"/>
      <c r="F10895" s="546"/>
      <c r="G10895" s="234"/>
      <c r="H10895" s="238"/>
      <c r="I10895" s="237"/>
    </row>
    <row r="10896" spans="1:9" s="232" customFormat="1" ht="17" customHeight="1">
      <c r="A10896" s="234"/>
      <c r="B10896" s="233"/>
      <c r="C10896" s="238"/>
      <c r="E10896" s="545"/>
      <c r="F10896" s="546"/>
      <c r="G10896" s="234"/>
      <c r="H10896" s="238"/>
      <c r="I10896" s="237"/>
    </row>
    <row r="10897" spans="1:9" s="232" customFormat="1" ht="17" customHeight="1">
      <c r="A10897" s="234"/>
      <c r="B10897" s="233"/>
      <c r="C10897" s="238"/>
      <c r="E10897" s="545"/>
      <c r="F10897" s="546"/>
      <c r="G10897" s="234"/>
      <c r="H10897" s="238"/>
      <c r="I10897" s="237"/>
    </row>
    <row r="10898" spans="1:9" s="232" customFormat="1" ht="17" customHeight="1">
      <c r="A10898" s="234"/>
      <c r="B10898" s="233"/>
      <c r="C10898" s="238"/>
      <c r="E10898" s="545"/>
      <c r="F10898" s="546"/>
      <c r="G10898" s="234"/>
      <c r="H10898" s="238"/>
      <c r="I10898" s="237"/>
    </row>
    <row r="10899" spans="1:9" s="232" customFormat="1" ht="17" customHeight="1">
      <c r="A10899" s="234"/>
      <c r="B10899" s="233"/>
      <c r="C10899" s="238"/>
      <c r="E10899" s="545"/>
      <c r="F10899" s="546"/>
      <c r="G10899" s="234"/>
      <c r="H10899" s="238"/>
      <c r="I10899" s="237"/>
    </row>
    <row r="10900" spans="1:9" s="232" customFormat="1" ht="17" customHeight="1">
      <c r="A10900" s="234"/>
      <c r="B10900" s="233"/>
      <c r="C10900" s="238"/>
      <c r="E10900" s="545"/>
      <c r="F10900" s="546"/>
      <c r="G10900" s="234"/>
      <c r="H10900" s="238"/>
      <c r="I10900" s="237"/>
    </row>
    <row r="10901" spans="1:9" s="232" customFormat="1" ht="17" customHeight="1">
      <c r="A10901" s="234"/>
      <c r="B10901" s="233"/>
      <c r="C10901" s="238"/>
      <c r="E10901" s="545"/>
      <c r="F10901" s="546"/>
      <c r="G10901" s="234"/>
      <c r="H10901" s="238"/>
      <c r="I10901" s="237"/>
    </row>
    <row r="10902" spans="1:9" s="232" customFormat="1" ht="17" customHeight="1">
      <c r="A10902" s="234"/>
      <c r="B10902" s="233"/>
      <c r="C10902" s="238"/>
      <c r="E10902" s="545"/>
      <c r="F10902" s="546"/>
      <c r="G10902" s="234"/>
      <c r="H10902" s="238"/>
      <c r="I10902" s="237"/>
    </row>
    <row r="10903" spans="1:9" s="232" customFormat="1" ht="17" customHeight="1">
      <c r="A10903" s="234"/>
      <c r="B10903" s="233"/>
      <c r="C10903" s="238"/>
      <c r="E10903" s="545"/>
      <c r="F10903" s="546"/>
      <c r="G10903" s="234"/>
      <c r="H10903" s="238"/>
      <c r="I10903" s="237"/>
    </row>
    <row r="10904" spans="1:9" s="232" customFormat="1" ht="17" customHeight="1">
      <c r="A10904" s="234"/>
      <c r="B10904" s="233"/>
      <c r="C10904" s="238"/>
      <c r="E10904" s="545"/>
      <c r="F10904" s="546"/>
      <c r="G10904" s="234"/>
      <c r="H10904" s="238"/>
      <c r="I10904" s="237"/>
    </row>
    <row r="10905" spans="1:9" s="232" customFormat="1" ht="17" customHeight="1">
      <c r="A10905" s="234"/>
      <c r="B10905" s="233"/>
      <c r="C10905" s="238"/>
      <c r="E10905" s="545"/>
      <c r="F10905" s="546"/>
      <c r="G10905" s="234"/>
      <c r="H10905" s="238"/>
      <c r="I10905" s="237"/>
    </row>
    <row r="10906" spans="1:9" s="232" customFormat="1" ht="17" customHeight="1">
      <c r="A10906" s="234"/>
      <c r="B10906" s="233"/>
      <c r="C10906" s="238"/>
      <c r="E10906" s="545"/>
      <c r="F10906" s="546"/>
      <c r="G10906" s="234"/>
      <c r="H10906" s="238"/>
      <c r="I10906" s="237"/>
    </row>
    <row r="10907" spans="1:9" s="232" customFormat="1" ht="17" customHeight="1">
      <c r="A10907" s="234"/>
      <c r="B10907" s="233"/>
      <c r="C10907" s="238"/>
      <c r="E10907" s="545"/>
      <c r="F10907" s="546"/>
      <c r="G10907" s="234"/>
      <c r="H10907" s="238"/>
      <c r="I10907" s="237"/>
    </row>
    <row r="10908" spans="1:9" s="232" customFormat="1" ht="17" customHeight="1">
      <c r="A10908" s="234"/>
      <c r="B10908" s="233"/>
      <c r="C10908" s="238"/>
      <c r="E10908" s="545"/>
      <c r="F10908" s="546"/>
      <c r="G10908" s="234"/>
      <c r="H10908" s="238"/>
      <c r="I10908" s="237"/>
    </row>
    <row r="10909" spans="1:9" s="232" customFormat="1" ht="17" customHeight="1">
      <c r="A10909" s="234"/>
      <c r="B10909" s="233"/>
      <c r="C10909" s="238"/>
      <c r="E10909" s="545"/>
      <c r="F10909" s="546"/>
      <c r="G10909" s="234"/>
      <c r="H10909" s="238"/>
      <c r="I10909" s="237"/>
    </row>
    <row r="10910" spans="1:9" s="232" customFormat="1" ht="17" customHeight="1">
      <c r="A10910" s="234"/>
      <c r="B10910" s="233"/>
      <c r="C10910" s="238"/>
      <c r="E10910" s="545"/>
      <c r="F10910" s="546"/>
      <c r="G10910" s="234"/>
      <c r="H10910" s="238"/>
      <c r="I10910" s="237"/>
    </row>
    <row r="10911" spans="1:9" s="232" customFormat="1" ht="17" customHeight="1">
      <c r="A10911" s="234"/>
      <c r="B10911" s="233"/>
      <c r="C10911" s="238"/>
      <c r="E10911" s="545"/>
      <c r="F10911" s="546"/>
      <c r="G10911" s="234"/>
      <c r="H10911" s="238"/>
      <c r="I10911" s="237"/>
    </row>
    <row r="10912" spans="1:9" s="232" customFormat="1" ht="17" customHeight="1">
      <c r="A10912" s="234"/>
      <c r="B10912" s="233"/>
      <c r="C10912" s="238"/>
      <c r="E10912" s="545"/>
      <c r="F10912" s="546"/>
      <c r="G10912" s="234"/>
      <c r="H10912" s="238"/>
      <c r="I10912" s="237"/>
    </row>
    <row r="10913" spans="1:9" s="232" customFormat="1" ht="17" customHeight="1">
      <c r="A10913" s="234"/>
      <c r="B10913" s="233"/>
      <c r="C10913" s="238"/>
      <c r="E10913" s="545"/>
      <c r="F10913" s="546"/>
      <c r="G10913" s="234"/>
      <c r="H10913" s="238"/>
      <c r="I10913" s="237"/>
    </row>
    <row r="10914" spans="1:9" s="232" customFormat="1" ht="17" customHeight="1">
      <c r="A10914" s="234"/>
      <c r="B10914" s="233"/>
      <c r="C10914" s="238"/>
      <c r="E10914" s="545"/>
      <c r="F10914" s="546"/>
      <c r="G10914" s="234"/>
      <c r="H10914" s="238"/>
      <c r="I10914" s="237"/>
    </row>
    <row r="10915" spans="1:9" s="232" customFormat="1" ht="17" customHeight="1">
      <c r="A10915" s="234"/>
      <c r="B10915" s="233"/>
      <c r="C10915" s="238"/>
      <c r="E10915" s="545"/>
      <c r="F10915" s="546"/>
      <c r="G10915" s="234"/>
      <c r="H10915" s="238"/>
      <c r="I10915" s="237"/>
    </row>
    <row r="10916" spans="1:9" s="232" customFormat="1" ht="17" customHeight="1">
      <c r="A10916" s="234"/>
      <c r="B10916" s="233"/>
      <c r="C10916" s="238"/>
      <c r="E10916" s="545"/>
      <c r="F10916" s="546"/>
      <c r="G10916" s="234"/>
      <c r="H10916" s="238"/>
      <c r="I10916" s="237"/>
    </row>
    <row r="10917" spans="1:9" s="232" customFormat="1" ht="17" customHeight="1">
      <c r="A10917" s="234"/>
      <c r="B10917" s="233"/>
      <c r="C10917" s="238"/>
      <c r="E10917" s="545"/>
      <c r="F10917" s="546"/>
      <c r="G10917" s="234"/>
      <c r="H10917" s="238"/>
      <c r="I10917" s="237"/>
    </row>
    <row r="10918" spans="1:9" s="232" customFormat="1" ht="17" customHeight="1">
      <c r="A10918" s="234"/>
      <c r="B10918" s="233"/>
      <c r="C10918" s="238"/>
      <c r="E10918" s="545"/>
      <c r="F10918" s="546"/>
      <c r="G10918" s="234"/>
      <c r="H10918" s="238"/>
      <c r="I10918" s="237"/>
    </row>
    <row r="10919" spans="1:9" s="232" customFormat="1" ht="17" customHeight="1">
      <c r="A10919" s="234"/>
      <c r="B10919" s="233"/>
      <c r="C10919" s="238"/>
      <c r="E10919" s="545"/>
      <c r="F10919" s="546"/>
      <c r="G10919" s="234"/>
      <c r="H10919" s="238"/>
      <c r="I10919" s="237"/>
    </row>
    <row r="10920" spans="1:9" s="232" customFormat="1" ht="17" customHeight="1">
      <c r="A10920" s="234"/>
      <c r="B10920" s="233"/>
      <c r="C10920" s="238"/>
      <c r="E10920" s="545"/>
      <c r="F10920" s="546"/>
      <c r="G10920" s="234"/>
      <c r="H10920" s="238"/>
      <c r="I10920" s="237"/>
    </row>
    <row r="10921" spans="1:9" s="232" customFormat="1" ht="17" customHeight="1">
      <c r="A10921" s="234"/>
      <c r="B10921" s="233"/>
      <c r="C10921" s="238"/>
      <c r="E10921" s="545"/>
      <c r="F10921" s="546"/>
      <c r="G10921" s="234"/>
      <c r="H10921" s="238"/>
      <c r="I10921" s="237"/>
    </row>
    <row r="10922" spans="1:9" s="232" customFormat="1" ht="17" customHeight="1">
      <c r="A10922" s="234"/>
      <c r="B10922" s="233"/>
      <c r="C10922" s="238"/>
      <c r="E10922" s="545"/>
      <c r="F10922" s="546"/>
      <c r="G10922" s="234"/>
      <c r="H10922" s="238"/>
      <c r="I10922" s="237"/>
    </row>
    <row r="10923" spans="1:9" s="232" customFormat="1" ht="17" customHeight="1">
      <c r="A10923" s="234"/>
      <c r="B10923" s="233"/>
      <c r="C10923" s="238"/>
      <c r="E10923" s="545"/>
      <c r="F10923" s="546"/>
      <c r="G10923" s="234"/>
      <c r="H10923" s="238"/>
      <c r="I10923" s="237"/>
    </row>
    <row r="10924" spans="1:9" s="232" customFormat="1" ht="17" customHeight="1">
      <c r="A10924" s="234"/>
      <c r="B10924" s="233"/>
      <c r="C10924" s="238"/>
      <c r="E10924" s="545"/>
      <c r="F10924" s="546"/>
      <c r="G10924" s="234"/>
      <c r="H10924" s="238"/>
      <c r="I10924" s="237"/>
    </row>
    <row r="10925" spans="1:9" s="232" customFormat="1" ht="17" customHeight="1">
      <c r="A10925" s="234"/>
      <c r="B10925" s="233"/>
      <c r="C10925" s="238"/>
      <c r="E10925" s="545"/>
      <c r="F10925" s="546"/>
      <c r="G10925" s="234"/>
      <c r="H10925" s="238"/>
      <c r="I10925" s="237"/>
    </row>
    <row r="10926" spans="1:9" s="232" customFormat="1" ht="17" customHeight="1">
      <c r="A10926" s="234"/>
      <c r="B10926" s="233"/>
      <c r="C10926" s="238"/>
      <c r="E10926" s="545"/>
      <c r="F10926" s="546"/>
      <c r="G10926" s="234"/>
      <c r="H10926" s="238"/>
      <c r="I10926" s="237"/>
    </row>
    <row r="10927" spans="1:9" s="232" customFormat="1" ht="17" customHeight="1">
      <c r="A10927" s="234"/>
      <c r="B10927" s="233"/>
      <c r="C10927" s="238"/>
      <c r="E10927" s="545"/>
      <c r="F10927" s="546"/>
      <c r="G10927" s="234"/>
      <c r="H10927" s="238"/>
      <c r="I10927" s="237"/>
    </row>
    <row r="10928" spans="1:9" s="232" customFormat="1" ht="17" customHeight="1">
      <c r="A10928" s="234"/>
      <c r="B10928" s="233"/>
      <c r="C10928" s="238"/>
      <c r="E10928" s="545"/>
      <c r="F10928" s="546"/>
      <c r="G10928" s="234"/>
      <c r="H10928" s="238"/>
      <c r="I10928" s="237"/>
    </row>
    <row r="10929" spans="1:9" s="232" customFormat="1" ht="17" customHeight="1">
      <c r="A10929" s="234"/>
      <c r="B10929" s="233"/>
      <c r="C10929" s="238"/>
      <c r="E10929" s="545"/>
      <c r="F10929" s="546"/>
      <c r="G10929" s="234"/>
      <c r="H10929" s="238"/>
      <c r="I10929" s="237"/>
    </row>
    <row r="10930" spans="1:9" s="232" customFormat="1" ht="17" customHeight="1">
      <c r="A10930" s="234"/>
      <c r="B10930" s="233"/>
      <c r="C10930" s="238"/>
      <c r="E10930" s="545"/>
      <c r="F10930" s="546"/>
      <c r="G10930" s="234"/>
      <c r="H10930" s="238"/>
      <c r="I10930" s="237"/>
    </row>
    <row r="10931" spans="1:9" s="232" customFormat="1" ht="17" customHeight="1">
      <c r="A10931" s="234"/>
      <c r="B10931" s="233"/>
      <c r="C10931" s="238"/>
      <c r="E10931" s="545"/>
      <c r="F10931" s="546"/>
      <c r="G10931" s="234"/>
      <c r="H10931" s="238"/>
      <c r="I10931" s="237"/>
    </row>
    <row r="10932" spans="1:9" s="232" customFormat="1" ht="17" customHeight="1">
      <c r="A10932" s="234"/>
      <c r="B10932" s="233"/>
      <c r="C10932" s="238"/>
      <c r="E10932" s="545"/>
      <c r="F10932" s="546"/>
      <c r="G10932" s="234"/>
      <c r="H10932" s="238"/>
      <c r="I10932" s="237"/>
    </row>
    <row r="10933" spans="1:9" s="232" customFormat="1" ht="17" customHeight="1">
      <c r="A10933" s="234"/>
      <c r="B10933" s="233"/>
      <c r="C10933" s="238"/>
      <c r="E10933" s="545"/>
      <c r="F10933" s="546"/>
      <c r="G10933" s="234"/>
      <c r="H10933" s="238"/>
      <c r="I10933" s="237"/>
    </row>
    <row r="10934" spans="1:9" s="232" customFormat="1" ht="17" customHeight="1">
      <c r="A10934" s="234"/>
      <c r="B10934" s="233"/>
      <c r="C10934" s="238"/>
      <c r="E10934" s="545"/>
      <c r="F10934" s="546"/>
      <c r="G10934" s="234"/>
      <c r="H10934" s="238"/>
      <c r="I10934" s="237"/>
    </row>
    <row r="10935" spans="1:9" s="232" customFormat="1" ht="17" customHeight="1">
      <c r="A10935" s="234"/>
      <c r="B10935" s="233"/>
      <c r="C10935" s="238"/>
      <c r="E10935" s="545"/>
      <c r="F10935" s="546"/>
      <c r="G10935" s="234"/>
      <c r="H10935" s="238"/>
      <c r="I10935" s="237"/>
    </row>
    <row r="10936" spans="1:9" s="232" customFormat="1" ht="17" customHeight="1">
      <c r="A10936" s="234"/>
      <c r="B10936" s="233"/>
      <c r="C10936" s="238"/>
      <c r="E10936" s="545"/>
      <c r="F10936" s="546"/>
      <c r="G10936" s="234"/>
      <c r="H10936" s="238"/>
      <c r="I10936" s="237"/>
    </row>
    <row r="10937" spans="1:9" s="232" customFormat="1" ht="17" customHeight="1">
      <c r="A10937" s="234"/>
      <c r="B10937" s="233"/>
      <c r="C10937" s="238"/>
      <c r="E10937" s="545"/>
      <c r="F10937" s="546"/>
      <c r="G10937" s="234"/>
      <c r="H10937" s="238"/>
      <c r="I10937" s="237"/>
    </row>
    <row r="10938" spans="1:9" s="232" customFormat="1" ht="17" customHeight="1">
      <c r="A10938" s="234"/>
      <c r="B10938" s="233"/>
      <c r="C10938" s="238"/>
      <c r="E10938" s="545"/>
      <c r="F10938" s="546"/>
      <c r="G10938" s="234"/>
      <c r="H10938" s="238"/>
      <c r="I10938" s="237"/>
    </row>
    <row r="10939" spans="1:9" s="232" customFormat="1" ht="17" customHeight="1">
      <c r="A10939" s="234"/>
      <c r="B10939" s="233"/>
      <c r="C10939" s="238"/>
      <c r="E10939" s="545"/>
      <c r="F10939" s="546"/>
      <c r="G10939" s="234"/>
      <c r="H10939" s="238"/>
      <c r="I10939" s="237"/>
    </row>
    <row r="10940" spans="1:9" s="232" customFormat="1" ht="17" customHeight="1">
      <c r="A10940" s="234"/>
      <c r="B10940" s="233"/>
      <c r="C10940" s="238"/>
      <c r="E10940" s="545"/>
      <c r="F10940" s="546"/>
      <c r="G10940" s="234"/>
      <c r="H10940" s="238"/>
      <c r="I10940" s="237"/>
    </row>
    <row r="10941" spans="1:9" s="232" customFormat="1" ht="17" customHeight="1">
      <c r="A10941" s="234"/>
      <c r="B10941" s="233"/>
      <c r="C10941" s="238"/>
      <c r="E10941" s="545"/>
      <c r="F10941" s="546"/>
      <c r="G10941" s="234"/>
      <c r="H10941" s="238"/>
      <c r="I10941" s="237"/>
    </row>
    <row r="10942" spans="1:9" s="232" customFormat="1" ht="17" customHeight="1">
      <c r="A10942" s="234"/>
      <c r="B10942" s="233"/>
      <c r="C10942" s="238"/>
      <c r="E10942" s="545"/>
      <c r="F10942" s="546"/>
      <c r="G10942" s="234"/>
      <c r="H10942" s="238"/>
      <c r="I10942" s="237"/>
    </row>
    <row r="10943" spans="1:9" s="232" customFormat="1" ht="17" customHeight="1">
      <c r="A10943" s="234"/>
      <c r="B10943" s="233"/>
      <c r="C10943" s="238"/>
      <c r="E10943" s="545"/>
      <c r="F10943" s="546"/>
      <c r="G10943" s="234"/>
      <c r="H10943" s="238"/>
      <c r="I10943" s="237"/>
    </row>
    <row r="10944" spans="1:9" s="232" customFormat="1" ht="17" customHeight="1">
      <c r="A10944" s="234"/>
      <c r="B10944" s="233"/>
      <c r="C10944" s="238"/>
      <c r="E10944" s="545"/>
      <c r="F10944" s="546"/>
      <c r="G10944" s="234"/>
      <c r="H10944" s="238"/>
      <c r="I10944" s="237"/>
    </row>
    <row r="10945" spans="1:9" s="232" customFormat="1" ht="17" customHeight="1">
      <c r="A10945" s="234"/>
      <c r="B10945" s="233"/>
      <c r="C10945" s="238"/>
      <c r="E10945" s="545"/>
      <c r="F10945" s="546"/>
      <c r="G10945" s="234"/>
      <c r="H10945" s="238"/>
      <c r="I10945" s="237"/>
    </row>
    <row r="10946" spans="1:9" s="232" customFormat="1" ht="17" customHeight="1">
      <c r="A10946" s="234"/>
      <c r="B10946" s="233"/>
      <c r="C10946" s="238"/>
      <c r="E10946" s="545"/>
      <c r="F10946" s="546"/>
      <c r="G10946" s="234"/>
      <c r="H10946" s="238"/>
      <c r="I10946" s="237"/>
    </row>
    <row r="10947" spans="1:9" s="232" customFormat="1" ht="17" customHeight="1">
      <c r="A10947" s="234"/>
      <c r="B10947" s="233"/>
      <c r="C10947" s="238"/>
      <c r="E10947" s="545"/>
      <c r="F10947" s="546"/>
      <c r="G10947" s="234"/>
      <c r="H10947" s="238"/>
      <c r="I10947" s="237"/>
    </row>
    <row r="10948" spans="1:9" s="232" customFormat="1" ht="17" customHeight="1">
      <c r="A10948" s="234"/>
      <c r="B10948" s="233"/>
      <c r="C10948" s="238"/>
      <c r="E10948" s="545"/>
      <c r="F10948" s="546"/>
      <c r="G10948" s="234"/>
      <c r="H10948" s="238"/>
      <c r="I10948" s="237"/>
    </row>
    <row r="10949" spans="1:9" s="232" customFormat="1" ht="17" customHeight="1">
      <c r="A10949" s="234"/>
      <c r="B10949" s="233"/>
      <c r="C10949" s="238"/>
      <c r="E10949" s="545"/>
      <c r="F10949" s="546"/>
      <c r="G10949" s="234"/>
      <c r="H10949" s="238"/>
      <c r="I10949" s="237"/>
    </row>
    <row r="10950" spans="1:9" s="232" customFormat="1" ht="17" customHeight="1">
      <c r="A10950" s="234"/>
      <c r="B10950" s="233"/>
      <c r="C10950" s="238"/>
      <c r="E10950" s="545"/>
      <c r="F10950" s="546"/>
      <c r="G10950" s="234"/>
      <c r="H10950" s="238"/>
      <c r="I10950" s="237"/>
    </row>
    <row r="10951" spans="1:9" s="232" customFormat="1" ht="17" customHeight="1">
      <c r="A10951" s="234"/>
      <c r="B10951" s="233"/>
      <c r="C10951" s="238"/>
      <c r="E10951" s="545"/>
      <c r="F10951" s="546"/>
      <c r="G10951" s="234"/>
      <c r="H10951" s="238"/>
      <c r="I10951" s="237"/>
    </row>
    <row r="10952" spans="1:9" s="232" customFormat="1" ht="17" customHeight="1">
      <c r="A10952" s="234"/>
      <c r="B10952" s="233"/>
      <c r="C10952" s="238"/>
      <c r="E10952" s="545"/>
      <c r="F10952" s="546"/>
      <c r="G10952" s="234"/>
      <c r="H10952" s="238"/>
      <c r="I10952" s="237"/>
    </row>
    <row r="10953" spans="1:9" s="232" customFormat="1" ht="17" customHeight="1">
      <c r="A10953" s="234"/>
      <c r="B10953" s="233"/>
      <c r="C10953" s="238"/>
      <c r="E10953" s="545"/>
      <c r="F10953" s="546"/>
      <c r="G10953" s="234"/>
      <c r="H10953" s="238"/>
      <c r="I10953" s="237"/>
    </row>
    <row r="10954" spans="1:9" s="232" customFormat="1" ht="17" customHeight="1">
      <c r="A10954" s="234"/>
      <c r="B10954" s="233"/>
      <c r="C10954" s="238"/>
      <c r="E10954" s="545"/>
      <c r="F10954" s="546"/>
      <c r="G10954" s="234"/>
      <c r="H10954" s="238"/>
      <c r="I10954" s="237"/>
    </row>
    <row r="10955" spans="1:9" s="232" customFormat="1" ht="17" customHeight="1">
      <c r="A10955" s="234"/>
      <c r="B10955" s="233"/>
      <c r="C10955" s="238"/>
      <c r="E10955" s="545"/>
      <c r="F10955" s="546"/>
      <c r="G10955" s="234"/>
      <c r="H10955" s="238"/>
      <c r="I10955" s="237"/>
    </row>
    <row r="10956" spans="1:9" s="232" customFormat="1" ht="17" customHeight="1">
      <c r="A10956" s="234"/>
      <c r="B10956" s="233"/>
      <c r="C10956" s="238"/>
      <c r="E10956" s="545"/>
      <c r="F10956" s="546"/>
      <c r="G10956" s="234"/>
      <c r="H10956" s="238"/>
      <c r="I10956" s="237"/>
    </row>
    <row r="10957" spans="1:9" s="232" customFormat="1" ht="17" customHeight="1">
      <c r="A10957" s="234"/>
      <c r="B10957" s="233"/>
      <c r="C10957" s="238"/>
      <c r="E10957" s="545"/>
      <c r="F10957" s="546"/>
      <c r="G10957" s="234"/>
      <c r="H10957" s="238"/>
      <c r="I10957" s="237"/>
    </row>
    <row r="10958" spans="1:9" s="232" customFormat="1" ht="17" customHeight="1">
      <c r="A10958" s="234"/>
      <c r="B10958" s="233"/>
      <c r="C10958" s="238"/>
      <c r="E10958" s="545"/>
      <c r="F10958" s="546"/>
      <c r="G10958" s="234"/>
      <c r="H10958" s="238"/>
      <c r="I10958" s="237"/>
    </row>
    <row r="10959" spans="1:9" s="232" customFormat="1" ht="17" customHeight="1">
      <c r="A10959" s="234"/>
      <c r="B10959" s="233"/>
      <c r="C10959" s="238"/>
      <c r="E10959" s="545"/>
      <c r="F10959" s="546"/>
      <c r="G10959" s="234"/>
      <c r="H10959" s="238"/>
      <c r="I10959" s="237"/>
    </row>
    <row r="10960" spans="1:9" s="232" customFormat="1" ht="17" customHeight="1">
      <c r="A10960" s="234"/>
      <c r="B10960" s="233"/>
      <c r="C10960" s="238"/>
      <c r="E10960" s="545"/>
      <c r="F10960" s="546"/>
      <c r="G10960" s="234"/>
      <c r="H10960" s="238"/>
      <c r="I10960" s="237"/>
    </row>
    <row r="10961" spans="1:9" s="232" customFormat="1" ht="17" customHeight="1">
      <c r="A10961" s="234"/>
      <c r="B10961" s="233"/>
      <c r="C10961" s="238"/>
      <c r="E10961" s="545"/>
      <c r="F10961" s="546"/>
      <c r="G10961" s="234"/>
      <c r="H10961" s="238"/>
      <c r="I10961" s="237"/>
    </row>
    <row r="10962" spans="1:9" s="232" customFormat="1" ht="17" customHeight="1">
      <c r="A10962" s="234"/>
      <c r="B10962" s="233"/>
      <c r="C10962" s="238"/>
      <c r="E10962" s="545"/>
      <c r="F10962" s="546"/>
      <c r="G10962" s="234"/>
      <c r="H10962" s="238"/>
      <c r="I10962" s="237"/>
    </row>
    <row r="10963" spans="1:9" s="232" customFormat="1" ht="17" customHeight="1">
      <c r="A10963" s="234"/>
      <c r="B10963" s="233"/>
      <c r="C10963" s="238"/>
      <c r="E10963" s="545"/>
      <c r="F10963" s="546"/>
      <c r="G10963" s="234"/>
      <c r="H10963" s="238"/>
      <c r="I10963" s="237"/>
    </row>
    <row r="10964" spans="1:9" s="232" customFormat="1" ht="17" customHeight="1">
      <c r="A10964" s="234"/>
      <c r="B10964" s="233"/>
      <c r="C10964" s="238"/>
      <c r="E10964" s="545"/>
      <c r="F10964" s="546"/>
      <c r="G10964" s="234"/>
      <c r="H10964" s="238"/>
      <c r="I10964" s="237"/>
    </row>
    <row r="10965" spans="1:9" s="232" customFormat="1" ht="17" customHeight="1">
      <c r="A10965" s="234"/>
      <c r="B10965" s="233"/>
      <c r="C10965" s="238"/>
      <c r="E10965" s="545"/>
      <c r="F10965" s="546"/>
      <c r="G10965" s="234"/>
      <c r="H10965" s="238"/>
      <c r="I10965" s="237"/>
    </row>
    <row r="10966" spans="1:9" s="232" customFormat="1" ht="17" customHeight="1">
      <c r="A10966" s="234"/>
      <c r="B10966" s="233"/>
      <c r="C10966" s="238"/>
      <c r="E10966" s="545"/>
      <c r="F10966" s="546"/>
      <c r="G10966" s="234"/>
      <c r="H10966" s="238"/>
      <c r="I10966" s="237"/>
    </row>
    <row r="10967" spans="1:9" s="232" customFormat="1" ht="17" customHeight="1">
      <c r="A10967" s="234"/>
      <c r="B10967" s="233"/>
      <c r="C10967" s="238"/>
      <c r="E10967" s="545"/>
      <c r="F10967" s="546"/>
      <c r="G10967" s="234"/>
      <c r="H10967" s="238"/>
      <c r="I10967" s="237"/>
    </row>
    <row r="10968" spans="1:9" s="232" customFormat="1" ht="17" customHeight="1">
      <c r="A10968" s="234"/>
      <c r="B10968" s="233"/>
      <c r="C10968" s="238"/>
      <c r="E10968" s="545"/>
      <c r="F10968" s="546"/>
      <c r="G10968" s="234"/>
      <c r="H10968" s="238"/>
      <c r="I10968" s="237"/>
    </row>
    <row r="10969" spans="1:9" s="232" customFormat="1" ht="17" customHeight="1">
      <c r="A10969" s="234"/>
      <c r="B10969" s="233"/>
      <c r="C10969" s="238"/>
      <c r="E10969" s="545"/>
      <c r="F10969" s="546"/>
      <c r="G10969" s="234"/>
      <c r="H10969" s="238"/>
      <c r="I10969" s="237"/>
    </row>
    <row r="10970" spans="1:9" s="232" customFormat="1" ht="17" customHeight="1">
      <c r="A10970" s="234"/>
      <c r="B10970" s="233"/>
      <c r="C10970" s="238"/>
      <c r="E10970" s="545"/>
      <c r="F10970" s="546"/>
      <c r="G10970" s="234"/>
      <c r="H10970" s="238"/>
      <c r="I10970" s="237"/>
    </row>
    <row r="10971" spans="1:9" s="232" customFormat="1" ht="17" customHeight="1">
      <c r="A10971" s="234"/>
      <c r="B10971" s="233"/>
      <c r="C10971" s="238"/>
      <c r="E10971" s="545"/>
      <c r="F10971" s="546"/>
      <c r="G10971" s="234"/>
      <c r="H10971" s="238"/>
      <c r="I10971" s="237"/>
    </row>
    <row r="10972" spans="1:9" s="232" customFormat="1" ht="17" customHeight="1">
      <c r="A10972" s="234"/>
      <c r="B10972" s="233"/>
      <c r="C10972" s="238"/>
      <c r="E10972" s="545"/>
      <c r="F10972" s="546"/>
      <c r="G10972" s="234"/>
      <c r="H10972" s="238"/>
      <c r="I10972" s="237"/>
    </row>
    <row r="10973" spans="1:9" s="232" customFormat="1" ht="17" customHeight="1">
      <c r="A10973" s="234"/>
      <c r="B10973" s="233"/>
      <c r="C10973" s="238"/>
      <c r="E10973" s="545"/>
      <c r="F10973" s="546"/>
      <c r="G10973" s="234"/>
      <c r="H10973" s="238"/>
      <c r="I10973" s="237"/>
    </row>
    <row r="10974" spans="1:9" s="232" customFormat="1" ht="17" customHeight="1">
      <c r="A10974" s="234"/>
      <c r="B10974" s="233"/>
      <c r="C10974" s="238"/>
      <c r="E10974" s="545"/>
      <c r="F10974" s="546"/>
      <c r="G10974" s="234"/>
      <c r="H10974" s="238"/>
      <c r="I10974" s="237"/>
    </row>
    <row r="10975" spans="1:9" s="232" customFormat="1" ht="17" customHeight="1">
      <c r="A10975" s="234"/>
      <c r="B10975" s="233"/>
      <c r="C10975" s="238"/>
      <c r="E10975" s="545"/>
      <c r="F10975" s="546"/>
      <c r="G10975" s="234"/>
      <c r="H10975" s="238"/>
      <c r="I10975" s="237"/>
    </row>
    <row r="10976" spans="1:9" s="232" customFormat="1" ht="17" customHeight="1">
      <c r="A10976" s="234"/>
      <c r="B10976" s="233"/>
      <c r="C10976" s="238"/>
      <c r="E10976" s="545"/>
      <c r="F10976" s="546"/>
      <c r="G10976" s="234"/>
      <c r="H10976" s="238"/>
      <c r="I10976" s="237"/>
    </row>
    <row r="10977" spans="1:9" s="232" customFormat="1" ht="17" customHeight="1">
      <c r="A10977" s="234"/>
      <c r="B10977" s="233"/>
      <c r="C10977" s="238"/>
      <c r="E10977" s="545"/>
      <c r="F10977" s="546"/>
      <c r="G10977" s="234"/>
      <c r="H10977" s="238"/>
      <c r="I10977" s="237"/>
    </row>
    <row r="10978" spans="1:9" s="232" customFormat="1" ht="17" customHeight="1">
      <c r="A10978" s="234"/>
      <c r="B10978" s="233"/>
      <c r="C10978" s="238"/>
      <c r="E10978" s="545"/>
      <c r="F10978" s="546"/>
      <c r="G10978" s="234"/>
      <c r="H10978" s="238"/>
      <c r="I10978" s="237"/>
    </row>
    <row r="10979" spans="1:9" s="232" customFormat="1" ht="17" customHeight="1">
      <c r="A10979" s="234"/>
      <c r="B10979" s="233"/>
      <c r="C10979" s="238"/>
      <c r="E10979" s="545"/>
      <c r="F10979" s="546"/>
      <c r="G10979" s="234"/>
      <c r="H10979" s="238"/>
      <c r="I10979" s="237"/>
    </row>
    <row r="10980" spans="1:9" s="232" customFormat="1" ht="17" customHeight="1">
      <c r="A10980" s="234"/>
      <c r="B10980" s="233"/>
      <c r="C10980" s="238"/>
      <c r="E10980" s="545"/>
      <c r="F10980" s="546"/>
      <c r="G10980" s="234"/>
      <c r="H10980" s="238"/>
      <c r="I10980" s="237"/>
    </row>
    <row r="10981" spans="1:9" s="232" customFormat="1" ht="17" customHeight="1">
      <c r="A10981" s="234"/>
      <c r="B10981" s="233"/>
      <c r="C10981" s="238"/>
      <c r="E10981" s="545"/>
      <c r="F10981" s="546"/>
      <c r="G10981" s="234"/>
      <c r="H10981" s="238"/>
      <c r="I10981" s="237"/>
    </row>
    <row r="10982" spans="1:9" s="232" customFormat="1" ht="17" customHeight="1">
      <c r="A10982" s="234"/>
      <c r="B10982" s="233"/>
      <c r="C10982" s="238"/>
      <c r="E10982" s="545"/>
      <c r="F10982" s="546"/>
      <c r="G10982" s="234"/>
      <c r="H10982" s="238"/>
      <c r="I10982" s="237"/>
    </row>
    <row r="10983" spans="1:9" s="232" customFormat="1" ht="17" customHeight="1">
      <c r="A10983" s="234"/>
      <c r="B10983" s="233"/>
      <c r="C10983" s="238"/>
      <c r="E10983" s="545"/>
      <c r="F10983" s="546"/>
      <c r="G10983" s="234"/>
      <c r="H10983" s="238"/>
      <c r="I10983" s="237"/>
    </row>
    <row r="10984" spans="1:9" s="232" customFormat="1" ht="17" customHeight="1">
      <c r="A10984" s="234"/>
      <c r="B10984" s="233"/>
      <c r="C10984" s="238"/>
      <c r="E10984" s="545"/>
      <c r="F10984" s="546"/>
      <c r="G10984" s="234"/>
      <c r="H10984" s="238"/>
      <c r="I10984" s="237"/>
    </row>
    <row r="10985" spans="1:9" s="232" customFormat="1" ht="17" customHeight="1">
      <c r="A10985" s="234"/>
      <c r="B10985" s="233"/>
      <c r="C10985" s="238"/>
      <c r="E10985" s="545"/>
      <c r="F10985" s="546"/>
      <c r="G10985" s="234"/>
      <c r="H10985" s="238"/>
      <c r="I10985" s="237"/>
    </row>
    <row r="10986" spans="1:9" s="232" customFormat="1" ht="17" customHeight="1">
      <c r="A10986" s="234"/>
      <c r="B10986" s="233"/>
      <c r="C10986" s="238"/>
      <c r="E10986" s="545"/>
      <c r="F10986" s="546"/>
      <c r="G10986" s="234"/>
      <c r="H10986" s="238"/>
      <c r="I10986" s="237"/>
    </row>
    <row r="10987" spans="1:9" s="232" customFormat="1" ht="17" customHeight="1">
      <c r="A10987" s="234"/>
      <c r="B10987" s="233"/>
      <c r="C10987" s="238"/>
      <c r="E10987" s="545"/>
      <c r="F10987" s="546"/>
      <c r="G10987" s="234"/>
      <c r="H10987" s="238"/>
      <c r="I10987" s="237"/>
    </row>
    <row r="10988" spans="1:9" s="232" customFormat="1" ht="17" customHeight="1">
      <c r="A10988" s="234"/>
      <c r="B10988" s="233"/>
      <c r="C10988" s="238"/>
      <c r="E10988" s="545"/>
      <c r="F10988" s="546"/>
      <c r="G10988" s="234"/>
      <c r="H10988" s="238"/>
      <c r="I10988" s="237"/>
    </row>
    <row r="10989" spans="1:9" s="232" customFormat="1" ht="17" customHeight="1">
      <c r="A10989" s="234"/>
      <c r="B10989" s="233"/>
      <c r="C10989" s="238"/>
      <c r="E10989" s="545"/>
      <c r="F10989" s="546"/>
      <c r="G10989" s="234"/>
      <c r="H10989" s="238"/>
      <c r="I10989" s="237"/>
    </row>
    <row r="10990" spans="1:9" s="232" customFormat="1" ht="17" customHeight="1">
      <c r="A10990" s="234"/>
      <c r="B10990" s="233"/>
      <c r="C10990" s="238"/>
      <c r="E10990" s="545"/>
      <c r="F10990" s="546"/>
      <c r="G10990" s="234"/>
      <c r="H10990" s="238"/>
      <c r="I10990" s="237"/>
    </row>
    <row r="10991" spans="1:9" s="232" customFormat="1" ht="17" customHeight="1">
      <c r="A10991" s="234"/>
      <c r="B10991" s="233"/>
      <c r="C10991" s="238"/>
      <c r="E10991" s="545"/>
      <c r="F10991" s="546"/>
      <c r="G10991" s="234"/>
      <c r="H10991" s="238"/>
      <c r="I10991" s="237"/>
    </row>
    <row r="10992" spans="1:9" s="232" customFormat="1" ht="17" customHeight="1">
      <c r="A10992" s="234"/>
      <c r="B10992" s="233"/>
      <c r="C10992" s="238"/>
      <c r="E10992" s="545"/>
      <c r="F10992" s="546"/>
      <c r="G10992" s="234"/>
      <c r="H10992" s="238"/>
      <c r="I10992" s="237"/>
    </row>
    <row r="10993" spans="1:9" s="232" customFormat="1" ht="17" customHeight="1">
      <c r="A10993" s="234"/>
      <c r="B10993" s="233"/>
      <c r="C10993" s="238"/>
      <c r="E10993" s="545"/>
      <c r="F10993" s="546"/>
      <c r="G10993" s="234"/>
      <c r="H10993" s="238"/>
      <c r="I10993" s="237"/>
    </row>
    <row r="10994" spans="1:9" s="232" customFormat="1" ht="17" customHeight="1">
      <c r="A10994" s="234"/>
      <c r="B10994" s="233"/>
      <c r="C10994" s="238"/>
      <c r="E10994" s="545"/>
      <c r="F10994" s="546"/>
      <c r="G10994" s="234"/>
      <c r="H10994" s="238"/>
      <c r="I10994" s="237"/>
    </row>
    <row r="10995" spans="1:9" s="232" customFormat="1" ht="17" customHeight="1">
      <c r="A10995" s="234"/>
      <c r="B10995" s="233"/>
      <c r="C10995" s="238"/>
      <c r="E10995" s="545"/>
      <c r="F10995" s="546"/>
      <c r="G10995" s="234"/>
      <c r="H10995" s="238"/>
      <c r="I10995" s="237"/>
    </row>
    <row r="10996" spans="1:9" s="232" customFormat="1" ht="17" customHeight="1">
      <c r="A10996" s="234"/>
      <c r="B10996" s="233"/>
      <c r="C10996" s="238"/>
      <c r="E10996" s="545"/>
      <c r="F10996" s="546"/>
      <c r="G10996" s="234"/>
      <c r="H10996" s="238"/>
      <c r="I10996" s="237"/>
    </row>
    <row r="10997" spans="1:9" s="232" customFormat="1" ht="17" customHeight="1">
      <c r="A10997" s="234"/>
      <c r="B10997" s="233"/>
      <c r="C10997" s="238"/>
      <c r="E10997" s="545"/>
      <c r="F10997" s="546"/>
      <c r="G10997" s="234"/>
      <c r="H10997" s="238"/>
      <c r="I10997" s="237"/>
    </row>
    <row r="10998" spans="1:9" s="232" customFormat="1" ht="17" customHeight="1">
      <c r="A10998" s="234"/>
      <c r="B10998" s="233"/>
      <c r="C10998" s="238"/>
      <c r="E10998" s="545"/>
      <c r="F10998" s="546"/>
      <c r="G10998" s="234"/>
      <c r="H10998" s="238"/>
      <c r="I10998" s="237"/>
    </row>
    <row r="10999" spans="1:9" s="232" customFormat="1" ht="17" customHeight="1">
      <c r="A10999" s="234"/>
      <c r="B10999" s="233"/>
      <c r="C10999" s="238"/>
      <c r="E10999" s="545"/>
      <c r="F10999" s="546"/>
      <c r="G10999" s="234"/>
      <c r="H10999" s="238"/>
      <c r="I10999" s="237"/>
    </row>
    <row r="11000" spans="1:9" s="232" customFormat="1" ht="17" customHeight="1">
      <c r="A11000" s="234"/>
      <c r="B11000" s="233"/>
      <c r="C11000" s="238"/>
      <c r="E11000" s="545"/>
      <c r="F11000" s="546"/>
      <c r="G11000" s="234"/>
      <c r="H11000" s="238"/>
      <c r="I11000" s="237"/>
    </row>
    <row r="11001" spans="1:9" s="232" customFormat="1" ht="17" customHeight="1">
      <c r="A11001" s="234"/>
      <c r="B11001" s="233"/>
      <c r="C11001" s="238"/>
      <c r="E11001" s="545"/>
      <c r="F11001" s="546"/>
      <c r="G11001" s="234"/>
      <c r="H11001" s="238"/>
      <c r="I11001" s="237"/>
    </row>
    <row r="11002" spans="1:9" s="232" customFormat="1" ht="17" customHeight="1">
      <c r="A11002" s="234"/>
      <c r="B11002" s="233"/>
      <c r="C11002" s="238"/>
      <c r="E11002" s="545"/>
      <c r="F11002" s="546"/>
      <c r="G11002" s="234"/>
      <c r="H11002" s="238"/>
      <c r="I11002" s="237"/>
    </row>
    <row r="11003" spans="1:9" s="232" customFormat="1" ht="17" customHeight="1">
      <c r="A11003" s="234"/>
      <c r="B11003" s="233"/>
      <c r="C11003" s="238"/>
      <c r="E11003" s="545"/>
      <c r="F11003" s="546"/>
      <c r="G11003" s="234"/>
      <c r="H11003" s="238"/>
      <c r="I11003" s="237"/>
    </row>
    <row r="11004" spans="1:9" s="232" customFormat="1" ht="17" customHeight="1">
      <c r="A11004" s="234"/>
      <c r="B11004" s="233"/>
      <c r="C11004" s="238"/>
      <c r="E11004" s="545"/>
      <c r="F11004" s="546"/>
      <c r="G11004" s="234"/>
      <c r="H11004" s="238"/>
      <c r="I11004" s="237"/>
    </row>
    <row r="11005" spans="1:9" s="232" customFormat="1" ht="17" customHeight="1">
      <c r="A11005" s="234"/>
      <c r="B11005" s="233"/>
      <c r="C11005" s="238"/>
      <c r="E11005" s="545"/>
      <c r="F11005" s="546"/>
      <c r="G11005" s="234"/>
      <c r="H11005" s="238"/>
      <c r="I11005" s="237"/>
    </row>
    <row r="11006" spans="1:9" s="232" customFormat="1" ht="17" customHeight="1">
      <c r="A11006" s="234"/>
      <c r="B11006" s="233"/>
      <c r="C11006" s="238"/>
      <c r="E11006" s="545"/>
      <c r="F11006" s="546"/>
      <c r="G11006" s="234"/>
      <c r="H11006" s="238"/>
      <c r="I11006" s="237"/>
    </row>
    <row r="11007" spans="1:9" s="232" customFormat="1" ht="17" customHeight="1">
      <c r="A11007" s="234"/>
      <c r="B11007" s="233"/>
      <c r="C11007" s="238"/>
      <c r="E11007" s="545"/>
      <c r="F11007" s="546"/>
      <c r="G11007" s="234"/>
      <c r="H11007" s="238"/>
      <c r="I11007" s="237"/>
    </row>
    <row r="11008" spans="1:9" s="232" customFormat="1" ht="17" customHeight="1">
      <c r="A11008" s="234"/>
      <c r="B11008" s="233"/>
      <c r="C11008" s="238"/>
      <c r="E11008" s="545"/>
      <c r="F11008" s="546"/>
      <c r="G11008" s="234"/>
      <c r="H11008" s="238"/>
      <c r="I11008" s="237"/>
    </row>
    <row r="11009" spans="1:9" s="232" customFormat="1" ht="17" customHeight="1">
      <c r="A11009" s="234"/>
      <c r="B11009" s="233"/>
      <c r="C11009" s="238"/>
      <c r="E11009" s="545"/>
      <c r="F11009" s="546"/>
      <c r="G11009" s="234"/>
      <c r="H11009" s="238"/>
      <c r="I11009" s="237"/>
    </row>
    <row r="11010" spans="1:9" s="232" customFormat="1" ht="17" customHeight="1">
      <c r="A11010" s="234"/>
      <c r="B11010" s="233"/>
      <c r="C11010" s="238"/>
      <c r="E11010" s="545"/>
      <c r="F11010" s="546"/>
      <c r="G11010" s="234"/>
      <c r="H11010" s="238"/>
      <c r="I11010" s="237"/>
    </row>
    <row r="11011" spans="1:9" s="232" customFormat="1" ht="17" customHeight="1">
      <c r="A11011" s="234"/>
      <c r="B11011" s="233"/>
      <c r="C11011" s="238"/>
      <c r="E11011" s="545"/>
      <c r="F11011" s="546"/>
      <c r="G11011" s="234"/>
      <c r="H11011" s="238"/>
      <c r="I11011" s="237"/>
    </row>
    <row r="11012" spans="1:9" s="232" customFormat="1" ht="17" customHeight="1">
      <c r="A11012" s="234"/>
      <c r="B11012" s="233"/>
      <c r="C11012" s="238"/>
      <c r="E11012" s="545"/>
      <c r="F11012" s="546"/>
      <c r="G11012" s="234"/>
      <c r="H11012" s="238"/>
      <c r="I11012" s="237"/>
    </row>
    <row r="11013" spans="1:9" s="232" customFormat="1" ht="17" customHeight="1">
      <c r="A11013" s="234"/>
      <c r="B11013" s="233"/>
      <c r="C11013" s="238"/>
      <c r="E11013" s="545"/>
      <c r="F11013" s="546"/>
      <c r="G11013" s="234"/>
      <c r="H11013" s="238"/>
      <c r="I11013" s="237"/>
    </row>
    <row r="11014" spans="1:9" s="232" customFormat="1" ht="17" customHeight="1">
      <c r="A11014" s="234"/>
      <c r="B11014" s="233"/>
      <c r="C11014" s="238"/>
      <c r="E11014" s="545"/>
      <c r="F11014" s="546"/>
      <c r="G11014" s="234"/>
      <c r="H11014" s="238"/>
      <c r="I11014" s="237"/>
    </row>
    <row r="11015" spans="1:9" s="232" customFormat="1" ht="17" customHeight="1">
      <c r="A11015" s="234"/>
      <c r="B11015" s="233"/>
      <c r="C11015" s="238"/>
      <c r="E11015" s="545"/>
      <c r="F11015" s="546"/>
      <c r="G11015" s="234"/>
      <c r="H11015" s="238"/>
      <c r="I11015" s="237"/>
    </row>
    <row r="11016" spans="1:9" s="232" customFormat="1" ht="17" customHeight="1">
      <c r="A11016" s="234"/>
      <c r="B11016" s="233"/>
      <c r="C11016" s="238"/>
      <c r="E11016" s="545"/>
      <c r="F11016" s="546"/>
      <c r="G11016" s="234"/>
      <c r="H11016" s="238"/>
      <c r="I11016" s="237"/>
    </row>
    <row r="11017" spans="1:9" s="232" customFormat="1" ht="17" customHeight="1">
      <c r="A11017" s="234"/>
      <c r="B11017" s="233"/>
      <c r="C11017" s="238"/>
      <c r="E11017" s="545"/>
      <c r="F11017" s="546"/>
      <c r="G11017" s="234"/>
      <c r="H11017" s="238"/>
      <c r="I11017" s="237"/>
    </row>
    <row r="11018" spans="1:9" s="232" customFormat="1" ht="17" customHeight="1">
      <c r="A11018" s="234"/>
      <c r="B11018" s="233"/>
      <c r="C11018" s="238"/>
      <c r="E11018" s="545"/>
      <c r="F11018" s="546"/>
      <c r="G11018" s="234"/>
      <c r="H11018" s="238"/>
      <c r="I11018" s="237"/>
    </row>
    <row r="11019" spans="1:9" s="232" customFormat="1" ht="17" customHeight="1">
      <c r="A11019" s="234"/>
      <c r="B11019" s="233"/>
      <c r="C11019" s="238"/>
      <c r="E11019" s="545"/>
      <c r="F11019" s="546"/>
      <c r="G11019" s="234"/>
      <c r="H11019" s="238"/>
      <c r="I11019" s="237"/>
    </row>
    <row r="11020" spans="1:9" s="232" customFormat="1" ht="17" customHeight="1">
      <c r="A11020" s="234"/>
      <c r="B11020" s="233"/>
      <c r="C11020" s="238"/>
      <c r="E11020" s="545"/>
      <c r="F11020" s="546"/>
      <c r="G11020" s="234"/>
      <c r="H11020" s="238"/>
      <c r="I11020" s="237"/>
    </row>
    <row r="11021" spans="1:9" s="232" customFormat="1" ht="17" customHeight="1">
      <c r="A11021" s="234"/>
      <c r="B11021" s="233"/>
      <c r="C11021" s="238"/>
      <c r="E11021" s="545"/>
      <c r="F11021" s="546"/>
      <c r="G11021" s="234"/>
      <c r="H11021" s="238"/>
      <c r="I11021" s="237"/>
    </row>
    <row r="11022" spans="1:9" s="232" customFormat="1" ht="17" customHeight="1">
      <c r="A11022" s="234"/>
      <c r="B11022" s="233"/>
      <c r="C11022" s="238"/>
      <c r="E11022" s="545"/>
      <c r="F11022" s="546"/>
      <c r="G11022" s="234"/>
      <c r="H11022" s="238"/>
      <c r="I11022" s="237"/>
    </row>
    <row r="11023" spans="1:9" s="232" customFormat="1" ht="17" customHeight="1">
      <c r="A11023" s="234"/>
      <c r="B11023" s="233"/>
      <c r="C11023" s="238"/>
      <c r="E11023" s="545"/>
      <c r="F11023" s="546"/>
      <c r="G11023" s="234"/>
      <c r="H11023" s="238"/>
      <c r="I11023" s="237"/>
    </row>
    <row r="11024" spans="1:9" s="232" customFormat="1" ht="17" customHeight="1">
      <c r="A11024" s="234"/>
      <c r="B11024" s="233"/>
      <c r="C11024" s="238"/>
      <c r="E11024" s="545"/>
      <c r="F11024" s="546"/>
      <c r="G11024" s="234"/>
      <c r="H11024" s="238"/>
      <c r="I11024" s="237"/>
    </row>
    <row r="11025" spans="1:9" s="232" customFormat="1" ht="17" customHeight="1">
      <c r="A11025" s="234"/>
      <c r="B11025" s="233"/>
      <c r="C11025" s="238"/>
      <c r="E11025" s="545"/>
      <c r="F11025" s="546"/>
      <c r="G11025" s="234"/>
      <c r="H11025" s="238"/>
      <c r="I11025" s="237"/>
    </row>
    <row r="11026" spans="1:9" s="232" customFormat="1" ht="17" customHeight="1">
      <c r="A11026" s="234"/>
      <c r="B11026" s="233"/>
      <c r="C11026" s="238"/>
      <c r="E11026" s="545"/>
      <c r="F11026" s="546"/>
      <c r="G11026" s="234"/>
      <c r="H11026" s="238"/>
      <c r="I11026" s="237"/>
    </row>
    <row r="11027" spans="1:9" s="232" customFormat="1" ht="17" customHeight="1">
      <c r="A11027" s="234"/>
      <c r="B11027" s="233"/>
      <c r="C11027" s="238"/>
      <c r="E11027" s="545"/>
      <c r="F11027" s="546"/>
      <c r="G11027" s="234"/>
      <c r="H11027" s="238"/>
      <c r="I11027" s="237"/>
    </row>
    <row r="11028" spans="1:9" s="232" customFormat="1" ht="17" customHeight="1">
      <c r="A11028" s="234"/>
      <c r="B11028" s="233"/>
      <c r="C11028" s="238"/>
      <c r="E11028" s="545"/>
      <c r="F11028" s="546"/>
      <c r="G11028" s="234"/>
      <c r="H11028" s="238"/>
      <c r="I11028" s="237"/>
    </row>
    <row r="11029" spans="1:9" s="232" customFormat="1" ht="17" customHeight="1">
      <c r="A11029" s="234"/>
      <c r="B11029" s="233"/>
      <c r="C11029" s="238"/>
      <c r="E11029" s="545"/>
      <c r="F11029" s="546"/>
      <c r="G11029" s="234"/>
      <c r="H11029" s="238"/>
      <c r="I11029" s="237"/>
    </row>
    <row r="11030" spans="1:9" s="232" customFormat="1" ht="17" customHeight="1">
      <c r="A11030" s="234"/>
      <c r="B11030" s="233"/>
      <c r="C11030" s="238"/>
      <c r="E11030" s="545"/>
      <c r="F11030" s="546"/>
      <c r="G11030" s="234"/>
      <c r="H11030" s="238"/>
      <c r="I11030" s="237"/>
    </row>
    <row r="11031" spans="1:9" s="232" customFormat="1" ht="17" customHeight="1">
      <c r="A11031" s="234"/>
      <c r="B11031" s="233"/>
      <c r="C11031" s="238"/>
      <c r="E11031" s="545"/>
      <c r="F11031" s="546"/>
      <c r="G11031" s="234"/>
      <c r="H11031" s="238"/>
      <c r="I11031" s="237"/>
    </row>
    <row r="11032" spans="1:9" s="232" customFormat="1" ht="17" customHeight="1">
      <c r="A11032" s="234"/>
      <c r="B11032" s="233"/>
      <c r="C11032" s="238"/>
      <c r="E11032" s="545"/>
      <c r="F11032" s="546"/>
      <c r="G11032" s="234"/>
      <c r="H11032" s="238"/>
      <c r="I11032" s="237"/>
    </row>
    <row r="11033" spans="1:9" s="232" customFormat="1" ht="17" customHeight="1">
      <c r="A11033" s="234"/>
      <c r="B11033" s="233"/>
      <c r="C11033" s="238"/>
      <c r="E11033" s="545"/>
      <c r="F11033" s="546"/>
      <c r="G11033" s="234"/>
      <c r="H11033" s="238"/>
      <c r="I11033" s="237"/>
    </row>
    <row r="11034" spans="1:9" s="232" customFormat="1" ht="17" customHeight="1">
      <c r="A11034" s="234"/>
      <c r="B11034" s="233"/>
      <c r="C11034" s="238"/>
      <c r="E11034" s="545"/>
      <c r="F11034" s="546"/>
      <c r="G11034" s="234"/>
      <c r="H11034" s="238"/>
      <c r="I11034" s="237"/>
    </row>
    <row r="11035" spans="1:9" s="232" customFormat="1" ht="17" customHeight="1">
      <c r="A11035" s="234"/>
      <c r="B11035" s="233"/>
      <c r="C11035" s="238"/>
      <c r="E11035" s="545"/>
      <c r="F11035" s="546"/>
      <c r="G11035" s="234"/>
      <c r="H11035" s="238"/>
      <c r="I11035" s="237"/>
    </row>
    <row r="11036" spans="1:9" s="232" customFormat="1" ht="17" customHeight="1">
      <c r="A11036" s="234"/>
      <c r="B11036" s="233"/>
      <c r="C11036" s="238"/>
      <c r="E11036" s="545"/>
      <c r="F11036" s="546"/>
      <c r="G11036" s="234"/>
      <c r="H11036" s="238"/>
      <c r="I11036" s="237"/>
    </row>
    <row r="11037" spans="1:9" s="232" customFormat="1" ht="17" customHeight="1">
      <c r="A11037" s="234"/>
      <c r="B11037" s="233"/>
      <c r="C11037" s="238"/>
      <c r="E11037" s="545"/>
      <c r="F11037" s="546"/>
      <c r="G11037" s="234"/>
      <c r="H11037" s="238"/>
      <c r="I11037" s="237"/>
    </row>
    <row r="11038" spans="1:9" s="232" customFormat="1" ht="17" customHeight="1">
      <c r="A11038" s="234"/>
      <c r="B11038" s="233"/>
      <c r="C11038" s="238"/>
      <c r="E11038" s="545"/>
      <c r="F11038" s="546"/>
      <c r="G11038" s="234"/>
      <c r="H11038" s="238"/>
      <c r="I11038" s="237"/>
    </row>
    <row r="11039" spans="1:9" s="232" customFormat="1" ht="17" customHeight="1">
      <c r="A11039" s="234"/>
      <c r="B11039" s="233"/>
      <c r="C11039" s="238"/>
      <c r="E11039" s="545"/>
      <c r="F11039" s="546"/>
      <c r="G11039" s="234"/>
      <c r="H11039" s="238"/>
      <c r="I11039" s="237"/>
    </row>
    <row r="11040" spans="1:9" s="232" customFormat="1" ht="17" customHeight="1">
      <c r="A11040" s="234"/>
      <c r="B11040" s="233"/>
      <c r="C11040" s="238"/>
      <c r="E11040" s="545"/>
      <c r="F11040" s="546"/>
      <c r="G11040" s="234"/>
      <c r="H11040" s="238"/>
      <c r="I11040" s="237"/>
    </row>
    <row r="11041" spans="1:9" s="232" customFormat="1" ht="17" customHeight="1">
      <c r="A11041" s="234"/>
      <c r="B11041" s="233"/>
      <c r="C11041" s="238"/>
      <c r="E11041" s="545"/>
      <c r="F11041" s="546"/>
      <c r="G11041" s="234"/>
      <c r="H11041" s="238"/>
      <c r="I11041" s="237"/>
    </row>
    <row r="11042" spans="1:9" s="232" customFormat="1" ht="17" customHeight="1">
      <c r="A11042" s="234"/>
      <c r="B11042" s="233"/>
      <c r="C11042" s="238"/>
      <c r="E11042" s="545"/>
      <c r="F11042" s="546"/>
      <c r="G11042" s="234"/>
      <c r="H11042" s="238"/>
      <c r="I11042" s="237"/>
    </row>
    <row r="11043" spans="1:9" s="232" customFormat="1" ht="17" customHeight="1">
      <c r="A11043" s="234"/>
      <c r="B11043" s="233"/>
      <c r="C11043" s="238"/>
      <c r="E11043" s="545"/>
      <c r="F11043" s="546"/>
      <c r="G11043" s="234"/>
      <c r="H11043" s="238"/>
      <c r="I11043" s="237"/>
    </row>
    <row r="11044" spans="1:9" s="232" customFormat="1" ht="17" customHeight="1">
      <c r="A11044" s="234"/>
      <c r="B11044" s="233"/>
      <c r="C11044" s="238"/>
      <c r="E11044" s="545"/>
      <c r="F11044" s="546"/>
      <c r="G11044" s="234"/>
      <c r="H11044" s="238"/>
      <c r="I11044" s="237"/>
    </row>
    <row r="11045" spans="1:9" s="232" customFormat="1" ht="17" customHeight="1">
      <c r="A11045" s="234"/>
      <c r="B11045" s="233"/>
      <c r="C11045" s="238"/>
      <c r="E11045" s="545"/>
      <c r="F11045" s="546"/>
      <c r="G11045" s="234"/>
      <c r="H11045" s="238"/>
      <c r="I11045" s="237"/>
    </row>
    <row r="11046" spans="1:9" s="232" customFormat="1" ht="17" customHeight="1">
      <c r="A11046" s="234"/>
      <c r="B11046" s="233"/>
      <c r="C11046" s="238"/>
      <c r="E11046" s="545"/>
      <c r="F11046" s="546"/>
      <c r="G11046" s="234"/>
      <c r="H11046" s="238"/>
      <c r="I11046" s="237"/>
    </row>
    <row r="11047" spans="1:9" s="232" customFormat="1" ht="17" customHeight="1">
      <c r="A11047" s="234"/>
      <c r="B11047" s="233"/>
      <c r="C11047" s="238"/>
      <c r="E11047" s="545"/>
      <c r="F11047" s="546"/>
      <c r="G11047" s="234"/>
      <c r="H11047" s="238"/>
      <c r="I11047" s="237"/>
    </row>
    <row r="11048" spans="1:9" s="232" customFormat="1" ht="17" customHeight="1">
      <c r="A11048" s="234"/>
      <c r="B11048" s="233"/>
      <c r="C11048" s="238"/>
      <c r="E11048" s="545"/>
      <c r="F11048" s="546"/>
      <c r="G11048" s="234"/>
      <c r="H11048" s="238"/>
      <c r="I11048" s="237"/>
    </row>
    <row r="11049" spans="1:9" s="232" customFormat="1" ht="17" customHeight="1">
      <c r="A11049" s="234"/>
      <c r="B11049" s="233"/>
      <c r="C11049" s="238"/>
      <c r="E11049" s="545"/>
      <c r="F11049" s="546"/>
      <c r="G11049" s="234"/>
      <c r="H11049" s="238"/>
      <c r="I11049" s="237"/>
    </row>
    <row r="11050" spans="1:9" s="232" customFormat="1" ht="17" customHeight="1">
      <c r="A11050" s="234"/>
      <c r="B11050" s="233"/>
      <c r="C11050" s="238"/>
      <c r="E11050" s="545"/>
      <c r="F11050" s="546"/>
      <c r="G11050" s="234"/>
      <c r="H11050" s="238"/>
      <c r="I11050" s="237"/>
    </row>
    <row r="11051" spans="1:9" s="232" customFormat="1" ht="17" customHeight="1">
      <c r="A11051" s="234"/>
      <c r="B11051" s="233"/>
      <c r="C11051" s="238"/>
      <c r="E11051" s="545"/>
      <c r="F11051" s="546"/>
      <c r="G11051" s="234"/>
      <c r="H11051" s="238"/>
      <c r="I11051" s="237"/>
    </row>
    <row r="11052" spans="1:9" s="232" customFormat="1" ht="17" customHeight="1">
      <c r="A11052" s="234"/>
      <c r="B11052" s="233"/>
      <c r="C11052" s="238"/>
      <c r="E11052" s="545"/>
      <c r="F11052" s="546"/>
      <c r="G11052" s="234"/>
      <c r="H11052" s="238"/>
      <c r="I11052" s="237"/>
    </row>
    <row r="11053" spans="1:9" s="232" customFormat="1" ht="17" customHeight="1">
      <c r="A11053" s="234"/>
      <c r="B11053" s="233"/>
      <c r="C11053" s="238"/>
      <c r="E11053" s="545"/>
      <c r="F11053" s="546"/>
      <c r="G11053" s="234"/>
      <c r="H11053" s="238"/>
      <c r="I11053" s="237"/>
    </row>
    <row r="11054" spans="1:9" s="232" customFormat="1" ht="17" customHeight="1">
      <c r="A11054" s="234"/>
      <c r="B11054" s="233"/>
      <c r="C11054" s="238"/>
      <c r="E11054" s="545"/>
      <c r="F11054" s="546"/>
      <c r="G11054" s="234"/>
      <c r="H11054" s="238"/>
      <c r="I11054" s="237"/>
    </row>
    <row r="11055" spans="1:9" s="232" customFormat="1" ht="17" customHeight="1">
      <c r="A11055" s="234"/>
      <c r="B11055" s="233"/>
      <c r="C11055" s="238"/>
      <c r="E11055" s="545"/>
      <c r="F11055" s="546"/>
      <c r="G11055" s="234"/>
      <c r="H11055" s="238"/>
      <c r="I11055" s="237"/>
    </row>
    <row r="11056" spans="1:9" s="232" customFormat="1" ht="17" customHeight="1">
      <c r="A11056" s="234"/>
      <c r="B11056" s="233"/>
      <c r="C11056" s="238"/>
      <c r="E11056" s="545"/>
      <c r="F11056" s="546"/>
      <c r="G11056" s="234"/>
      <c r="H11056" s="238"/>
      <c r="I11056" s="237"/>
    </row>
    <row r="11057" spans="1:9" s="232" customFormat="1" ht="17" customHeight="1">
      <c r="A11057" s="234"/>
      <c r="B11057" s="233"/>
      <c r="C11057" s="238"/>
      <c r="E11057" s="545"/>
      <c r="F11057" s="546"/>
      <c r="G11057" s="234"/>
      <c r="H11057" s="238"/>
      <c r="I11057" s="237"/>
    </row>
    <row r="11058" spans="1:9" s="232" customFormat="1" ht="17" customHeight="1">
      <c r="A11058" s="234"/>
      <c r="B11058" s="233"/>
      <c r="C11058" s="238"/>
      <c r="E11058" s="545"/>
      <c r="F11058" s="546"/>
      <c r="G11058" s="234"/>
      <c r="H11058" s="238"/>
      <c r="I11058" s="237"/>
    </row>
    <row r="11059" spans="1:9" s="232" customFormat="1" ht="17" customHeight="1">
      <c r="A11059" s="234"/>
      <c r="B11059" s="233"/>
      <c r="C11059" s="238"/>
      <c r="E11059" s="545"/>
      <c r="F11059" s="546"/>
      <c r="G11059" s="234"/>
      <c r="H11059" s="238"/>
      <c r="I11059" s="237"/>
    </row>
    <row r="11060" spans="1:9" s="232" customFormat="1" ht="17" customHeight="1">
      <c r="A11060" s="234"/>
      <c r="B11060" s="233"/>
      <c r="C11060" s="238"/>
      <c r="E11060" s="545"/>
      <c r="F11060" s="546"/>
      <c r="G11060" s="234"/>
      <c r="H11060" s="238"/>
      <c r="I11060" s="237"/>
    </row>
    <row r="11061" spans="1:9" s="232" customFormat="1" ht="17" customHeight="1">
      <c r="A11061" s="234"/>
      <c r="B11061" s="233"/>
      <c r="C11061" s="238"/>
      <c r="E11061" s="545"/>
      <c r="F11061" s="546"/>
      <c r="G11061" s="234"/>
      <c r="H11061" s="238"/>
      <c r="I11061" s="237"/>
    </row>
    <row r="11062" spans="1:9" s="232" customFormat="1" ht="17" customHeight="1">
      <c r="A11062" s="234"/>
      <c r="B11062" s="233"/>
      <c r="C11062" s="238"/>
      <c r="E11062" s="545"/>
      <c r="F11062" s="546"/>
      <c r="G11062" s="234"/>
      <c r="H11062" s="238"/>
      <c r="I11062" s="237"/>
    </row>
    <row r="11063" spans="1:9" s="232" customFormat="1" ht="17" customHeight="1">
      <c r="A11063" s="234"/>
      <c r="B11063" s="233"/>
      <c r="C11063" s="238"/>
      <c r="E11063" s="545"/>
      <c r="F11063" s="546"/>
      <c r="G11063" s="234"/>
      <c r="H11063" s="238"/>
      <c r="I11063" s="237"/>
    </row>
    <row r="11064" spans="1:9" s="232" customFormat="1" ht="17" customHeight="1">
      <c r="A11064" s="234"/>
      <c r="B11064" s="233"/>
      <c r="C11064" s="238"/>
      <c r="E11064" s="545"/>
      <c r="F11064" s="546"/>
      <c r="G11064" s="234"/>
      <c r="H11064" s="238"/>
      <c r="I11064" s="237"/>
    </row>
    <row r="11065" spans="1:9" s="232" customFormat="1" ht="17" customHeight="1">
      <c r="A11065" s="234"/>
      <c r="B11065" s="233"/>
      <c r="C11065" s="238"/>
      <c r="E11065" s="545"/>
      <c r="F11065" s="546"/>
      <c r="G11065" s="234"/>
      <c r="H11065" s="238"/>
      <c r="I11065" s="237"/>
    </row>
    <row r="11066" spans="1:9" s="232" customFormat="1" ht="17" customHeight="1">
      <c r="A11066" s="234"/>
      <c r="B11066" s="233"/>
      <c r="C11066" s="238"/>
      <c r="E11066" s="545"/>
      <c r="F11066" s="546"/>
      <c r="G11066" s="234"/>
      <c r="H11066" s="238"/>
      <c r="I11066" s="237"/>
    </row>
    <row r="11067" spans="1:9" s="232" customFormat="1" ht="17" customHeight="1">
      <c r="A11067" s="234"/>
      <c r="B11067" s="233"/>
      <c r="C11067" s="238"/>
      <c r="E11067" s="545"/>
      <c r="F11067" s="546"/>
      <c r="G11067" s="234"/>
      <c r="H11067" s="238"/>
      <c r="I11067" s="237"/>
    </row>
    <row r="11068" spans="1:9" s="232" customFormat="1" ht="17" customHeight="1">
      <c r="A11068" s="234"/>
      <c r="B11068" s="233"/>
      <c r="C11068" s="238"/>
      <c r="E11068" s="545"/>
      <c r="F11068" s="546"/>
      <c r="G11068" s="234"/>
      <c r="H11068" s="238"/>
      <c r="I11068" s="237"/>
    </row>
    <row r="11069" spans="1:9" s="232" customFormat="1" ht="17" customHeight="1">
      <c r="A11069" s="234"/>
      <c r="B11069" s="233"/>
      <c r="C11069" s="238"/>
      <c r="E11069" s="545"/>
      <c r="F11069" s="546"/>
      <c r="G11069" s="234"/>
      <c r="H11069" s="238"/>
      <c r="I11069" s="237"/>
    </row>
    <row r="11070" spans="1:9" s="232" customFormat="1" ht="17" customHeight="1">
      <c r="A11070" s="234"/>
      <c r="B11070" s="233"/>
      <c r="C11070" s="238"/>
      <c r="E11070" s="545"/>
      <c r="F11070" s="546"/>
      <c r="G11070" s="234"/>
      <c r="H11070" s="238"/>
      <c r="I11070" s="237"/>
    </row>
    <row r="11071" spans="1:9" s="232" customFormat="1" ht="17" customHeight="1">
      <c r="A11071" s="234"/>
      <c r="B11071" s="233"/>
      <c r="C11071" s="238"/>
      <c r="E11071" s="545"/>
      <c r="F11071" s="546"/>
      <c r="G11071" s="234"/>
      <c r="H11071" s="238"/>
      <c r="I11071" s="237"/>
    </row>
    <row r="11072" spans="1:9" s="232" customFormat="1" ht="17" customHeight="1">
      <c r="A11072" s="234"/>
      <c r="B11072" s="233"/>
      <c r="C11072" s="238"/>
      <c r="E11072" s="545"/>
      <c r="F11072" s="546"/>
      <c r="G11072" s="234"/>
      <c r="H11072" s="238"/>
      <c r="I11072" s="237"/>
    </row>
    <row r="11073" spans="1:9" s="232" customFormat="1" ht="17" customHeight="1">
      <c r="A11073" s="234"/>
      <c r="B11073" s="233"/>
      <c r="C11073" s="238"/>
      <c r="E11073" s="545"/>
      <c r="F11073" s="546"/>
      <c r="G11073" s="234"/>
      <c r="H11073" s="238"/>
      <c r="I11073" s="237"/>
    </row>
    <row r="11074" spans="1:9" s="232" customFormat="1" ht="17" customHeight="1">
      <c r="A11074" s="234"/>
      <c r="B11074" s="233"/>
      <c r="C11074" s="238"/>
      <c r="E11074" s="545"/>
      <c r="F11074" s="546"/>
      <c r="G11074" s="234"/>
      <c r="H11074" s="238"/>
      <c r="I11074" s="237"/>
    </row>
    <row r="11075" spans="1:9" s="232" customFormat="1" ht="17" customHeight="1">
      <c r="A11075" s="234"/>
      <c r="B11075" s="233"/>
      <c r="C11075" s="238"/>
      <c r="E11075" s="545"/>
      <c r="F11075" s="546"/>
      <c r="G11075" s="234"/>
      <c r="H11075" s="238"/>
      <c r="I11075" s="237"/>
    </row>
    <row r="11076" spans="1:9" s="232" customFormat="1" ht="17" customHeight="1">
      <c r="A11076" s="234"/>
      <c r="B11076" s="233"/>
      <c r="C11076" s="238"/>
      <c r="E11076" s="545"/>
      <c r="F11076" s="546"/>
      <c r="G11076" s="234"/>
      <c r="H11076" s="238"/>
      <c r="I11076" s="237"/>
    </row>
    <row r="11077" spans="1:9" s="232" customFormat="1" ht="17" customHeight="1">
      <c r="A11077" s="234"/>
      <c r="B11077" s="233"/>
      <c r="C11077" s="238"/>
      <c r="E11077" s="545"/>
      <c r="F11077" s="546"/>
      <c r="G11077" s="234"/>
      <c r="H11077" s="238"/>
      <c r="I11077" s="237"/>
    </row>
    <row r="11078" spans="1:9" s="232" customFormat="1" ht="17" customHeight="1">
      <c r="A11078" s="234"/>
      <c r="B11078" s="233"/>
      <c r="C11078" s="238"/>
      <c r="E11078" s="545"/>
      <c r="F11078" s="546"/>
      <c r="G11078" s="234"/>
      <c r="H11078" s="238"/>
      <c r="I11078" s="237"/>
    </row>
    <row r="11079" spans="1:9" s="232" customFormat="1" ht="17" customHeight="1">
      <c r="A11079" s="234"/>
      <c r="B11079" s="233"/>
      <c r="C11079" s="238"/>
      <c r="E11079" s="545"/>
      <c r="F11079" s="546"/>
      <c r="G11079" s="234"/>
      <c r="H11079" s="238"/>
      <c r="I11079" s="237"/>
    </row>
    <row r="11080" spans="1:9" s="232" customFormat="1" ht="17" customHeight="1">
      <c r="A11080" s="234"/>
      <c r="B11080" s="233"/>
      <c r="C11080" s="238"/>
      <c r="E11080" s="545"/>
      <c r="F11080" s="546"/>
      <c r="G11080" s="234"/>
      <c r="H11080" s="238"/>
      <c r="I11080" s="237"/>
    </row>
    <row r="11081" spans="1:9" s="232" customFormat="1" ht="17" customHeight="1">
      <c r="A11081" s="234"/>
      <c r="B11081" s="233"/>
      <c r="C11081" s="238"/>
      <c r="E11081" s="545"/>
      <c r="F11081" s="546"/>
      <c r="G11081" s="234"/>
      <c r="H11081" s="238"/>
      <c r="I11081" s="237"/>
    </row>
    <row r="11082" spans="1:9" s="232" customFormat="1" ht="17" customHeight="1">
      <c r="A11082" s="234"/>
      <c r="B11082" s="233"/>
      <c r="C11082" s="238"/>
      <c r="E11082" s="545"/>
      <c r="F11082" s="546"/>
      <c r="G11082" s="234"/>
      <c r="H11082" s="238"/>
      <c r="I11082" s="237"/>
    </row>
    <row r="11083" spans="1:9" s="232" customFormat="1" ht="17" customHeight="1">
      <c r="A11083" s="234"/>
      <c r="B11083" s="233"/>
      <c r="C11083" s="238"/>
      <c r="E11083" s="545"/>
      <c r="F11083" s="546"/>
      <c r="G11083" s="234"/>
      <c r="H11083" s="238"/>
      <c r="I11083" s="237"/>
    </row>
    <row r="11084" spans="1:9" s="232" customFormat="1" ht="17" customHeight="1">
      <c r="A11084" s="234"/>
      <c r="B11084" s="233"/>
      <c r="C11084" s="238"/>
      <c r="E11084" s="545"/>
      <c r="F11084" s="546"/>
      <c r="G11084" s="234"/>
      <c r="H11084" s="238"/>
      <c r="I11084" s="237"/>
    </row>
    <row r="11085" spans="1:9" s="232" customFormat="1" ht="17" customHeight="1">
      <c r="A11085" s="234"/>
      <c r="B11085" s="233"/>
      <c r="C11085" s="238"/>
      <c r="E11085" s="545"/>
      <c r="F11085" s="546"/>
      <c r="G11085" s="234"/>
      <c r="H11085" s="238"/>
      <c r="I11085" s="237"/>
    </row>
    <row r="11086" spans="1:9" s="232" customFormat="1" ht="17" customHeight="1">
      <c r="A11086" s="234"/>
      <c r="B11086" s="233"/>
      <c r="C11086" s="238"/>
      <c r="E11086" s="545"/>
      <c r="F11086" s="546"/>
      <c r="G11086" s="234"/>
      <c r="H11086" s="238"/>
      <c r="I11086" s="237"/>
    </row>
    <row r="11087" spans="1:9" s="232" customFormat="1" ht="17" customHeight="1">
      <c r="A11087" s="234"/>
      <c r="B11087" s="233"/>
      <c r="C11087" s="238"/>
      <c r="E11087" s="545"/>
      <c r="F11087" s="546"/>
      <c r="G11087" s="234"/>
      <c r="H11087" s="238"/>
      <c r="I11087" s="237"/>
    </row>
    <row r="11088" spans="1:9" s="232" customFormat="1" ht="17" customHeight="1">
      <c r="A11088" s="234"/>
      <c r="B11088" s="233"/>
      <c r="C11088" s="238"/>
      <c r="E11088" s="545"/>
      <c r="F11088" s="546"/>
      <c r="G11088" s="234"/>
      <c r="H11088" s="238"/>
      <c r="I11088" s="237"/>
    </row>
    <row r="11089" spans="1:9" s="232" customFormat="1" ht="17" customHeight="1">
      <c r="A11089" s="234"/>
      <c r="B11089" s="233"/>
      <c r="C11089" s="238"/>
      <c r="E11089" s="545"/>
      <c r="F11089" s="546"/>
      <c r="G11089" s="234"/>
      <c r="H11089" s="238"/>
      <c r="I11089" s="237"/>
    </row>
    <row r="11090" spans="1:9" s="232" customFormat="1" ht="17" customHeight="1">
      <c r="A11090" s="234"/>
      <c r="B11090" s="233"/>
      <c r="C11090" s="238"/>
      <c r="E11090" s="545"/>
      <c r="F11090" s="546"/>
      <c r="G11090" s="234"/>
      <c r="H11090" s="238"/>
      <c r="I11090" s="237"/>
    </row>
    <row r="11091" spans="1:9" s="232" customFormat="1" ht="17" customHeight="1">
      <c r="A11091" s="234"/>
      <c r="B11091" s="233"/>
      <c r="C11091" s="238"/>
      <c r="E11091" s="545"/>
      <c r="F11091" s="546"/>
      <c r="G11091" s="234"/>
      <c r="H11091" s="238"/>
      <c r="I11091" s="237"/>
    </row>
    <row r="11092" spans="1:9" s="232" customFormat="1" ht="17" customHeight="1">
      <c r="A11092" s="234"/>
      <c r="B11092" s="233"/>
      <c r="C11092" s="238"/>
      <c r="E11092" s="545"/>
      <c r="F11092" s="546"/>
      <c r="G11092" s="234"/>
      <c r="H11092" s="238"/>
      <c r="I11092" s="237"/>
    </row>
    <row r="11093" spans="1:9" s="232" customFormat="1" ht="17" customHeight="1">
      <c r="A11093" s="234"/>
      <c r="B11093" s="233"/>
      <c r="C11093" s="238"/>
      <c r="E11093" s="545"/>
      <c r="F11093" s="546"/>
      <c r="G11093" s="234"/>
      <c r="H11093" s="238"/>
      <c r="I11093" s="237"/>
    </row>
    <row r="11094" spans="1:9" s="232" customFormat="1" ht="17" customHeight="1">
      <c r="A11094" s="234"/>
      <c r="B11094" s="233"/>
      <c r="C11094" s="238"/>
      <c r="E11094" s="545"/>
      <c r="F11094" s="546"/>
      <c r="G11094" s="234"/>
      <c r="H11094" s="238"/>
      <c r="I11094" s="237"/>
    </row>
    <row r="11095" spans="1:9" s="232" customFormat="1" ht="17" customHeight="1">
      <c r="A11095" s="234"/>
      <c r="B11095" s="233"/>
      <c r="C11095" s="238"/>
      <c r="E11095" s="545"/>
      <c r="F11095" s="546"/>
      <c r="G11095" s="234"/>
      <c r="H11095" s="238"/>
      <c r="I11095" s="237"/>
    </row>
    <row r="11096" spans="1:9" s="232" customFormat="1" ht="17" customHeight="1">
      <c r="A11096" s="234"/>
      <c r="B11096" s="233"/>
      <c r="C11096" s="238"/>
      <c r="E11096" s="545"/>
      <c r="F11096" s="546"/>
      <c r="G11096" s="234"/>
      <c r="H11096" s="238"/>
      <c r="I11096" s="237"/>
    </row>
    <row r="11097" spans="1:9" s="232" customFormat="1" ht="17" customHeight="1">
      <c r="A11097" s="234"/>
      <c r="B11097" s="233"/>
      <c r="C11097" s="238"/>
      <c r="E11097" s="545"/>
      <c r="F11097" s="546"/>
      <c r="G11097" s="234"/>
      <c r="H11097" s="238"/>
      <c r="I11097" s="237"/>
    </row>
    <row r="11098" spans="1:9" s="232" customFormat="1" ht="17" customHeight="1">
      <c r="A11098" s="234"/>
      <c r="B11098" s="233"/>
      <c r="C11098" s="238"/>
      <c r="E11098" s="545"/>
      <c r="F11098" s="546"/>
      <c r="G11098" s="234"/>
      <c r="H11098" s="238"/>
      <c r="I11098" s="237"/>
    </row>
    <row r="11099" spans="1:9" s="232" customFormat="1" ht="17" customHeight="1">
      <c r="A11099" s="234"/>
      <c r="B11099" s="233"/>
      <c r="C11099" s="238"/>
      <c r="E11099" s="545"/>
      <c r="F11099" s="546"/>
      <c r="G11099" s="234"/>
      <c r="H11099" s="238"/>
      <c r="I11099" s="237"/>
    </row>
    <row r="11100" spans="1:9" s="232" customFormat="1" ht="17" customHeight="1">
      <c r="A11100" s="234"/>
      <c r="B11100" s="233"/>
      <c r="C11100" s="238"/>
      <c r="E11100" s="545"/>
      <c r="F11100" s="546"/>
      <c r="G11100" s="234"/>
      <c r="H11100" s="238"/>
      <c r="I11100" s="237"/>
    </row>
    <row r="11101" spans="1:9" s="232" customFormat="1" ht="17" customHeight="1">
      <c r="A11101" s="234"/>
      <c r="B11101" s="233"/>
      <c r="C11101" s="238"/>
      <c r="E11101" s="545"/>
      <c r="F11101" s="546"/>
      <c r="G11101" s="234"/>
      <c r="H11101" s="238"/>
      <c r="I11101" s="237"/>
    </row>
    <row r="11102" spans="1:9" s="232" customFormat="1" ht="17" customHeight="1">
      <c r="A11102" s="234"/>
      <c r="B11102" s="233"/>
      <c r="C11102" s="238"/>
      <c r="E11102" s="545"/>
      <c r="F11102" s="546"/>
      <c r="G11102" s="234"/>
      <c r="H11102" s="238"/>
      <c r="I11102" s="237"/>
    </row>
    <row r="11103" spans="1:9" s="232" customFormat="1" ht="17" customHeight="1">
      <c r="A11103" s="234"/>
      <c r="B11103" s="233"/>
      <c r="C11103" s="238"/>
      <c r="E11103" s="545"/>
      <c r="F11103" s="546"/>
      <c r="G11103" s="234"/>
      <c r="H11103" s="238"/>
      <c r="I11103" s="237"/>
    </row>
    <row r="11104" spans="1:9" s="232" customFormat="1" ht="17" customHeight="1">
      <c r="A11104" s="234"/>
      <c r="B11104" s="233"/>
      <c r="C11104" s="238"/>
      <c r="E11104" s="545"/>
      <c r="F11104" s="546"/>
      <c r="G11104" s="234"/>
      <c r="H11104" s="238"/>
      <c r="I11104" s="237"/>
    </row>
    <row r="11105" spans="1:9" s="232" customFormat="1" ht="17" customHeight="1">
      <c r="A11105" s="234"/>
      <c r="B11105" s="233"/>
      <c r="C11105" s="238"/>
      <c r="E11105" s="545"/>
      <c r="F11105" s="546"/>
      <c r="G11105" s="234"/>
      <c r="H11105" s="238"/>
      <c r="I11105" s="237"/>
    </row>
    <row r="11106" spans="1:9" s="232" customFormat="1" ht="17" customHeight="1">
      <c r="A11106" s="234"/>
      <c r="B11106" s="233"/>
      <c r="C11106" s="238"/>
      <c r="E11106" s="545"/>
      <c r="F11106" s="546"/>
      <c r="G11106" s="234"/>
      <c r="H11106" s="238"/>
      <c r="I11106" s="237"/>
    </row>
    <row r="11107" spans="1:9" s="232" customFormat="1" ht="17" customHeight="1">
      <c r="A11107" s="234"/>
      <c r="B11107" s="233"/>
      <c r="C11107" s="238"/>
      <c r="E11107" s="545"/>
      <c r="F11107" s="546"/>
      <c r="G11107" s="234"/>
      <c r="H11107" s="238"/>
      <c r="I11107" s="237"/>
    </row>
    <row r="11108" spans="1:9" s="232" customFormat="1" ht="17" customHeight="1">
      <c r="A11108" s="234"/>
      <c r="B11108" s="233"/>
      <c r="C11108" s="238"/>
      <c r="E11108" s="545"/>
      <c r="F11108" s="546"/>
      <c r="G11108" s="234"/>
      <c r="H11108" s="238"/>
      <c r="I11108" s="237"/>
    </row>
    <row r="11109" spans="1:9" s="232" customFormat="1" ht="17" customHeight="1">
      <c r="A11109" s="234"/>
      <c r="B11109" s="233"/>
      <c r="C11109" s="238"/>
      <c r="E11109" s="545"/>
      <c r="F11109" s="546"/>
      <c r="G11109" s="234"/>
      <c r="H11109" s="238"/>
      <c r="I11109" s="237"/>
    </row>
    <row r="11110" spans="1:9" s="232" customFormat="1" ht="17" customHeight="1">
      <c r="A11110" s="234"/>
      <c r="B11110" s="233"/>
      <c r="C11110" s="238"/>
      <c r="E11110" s="545"/>
      <c r="F11110" s="546"/>
      <c r="G11110" s="234"/>
      <c r="H11110" s="238"/>
      <c r="I11110" s="237"/>
    </row>
    <row r="11111" spans="1:9" s="232" customFormat="1" ht="17" customHeight="1">
      <c r="A11111" s="234"/>
      <c r="B11111" s="233"/>
      <c r="C11111" s="238"/>
      <c r="E11111" s="545"/>
      <c r="F11111" s="546"/>
      <c r="G11111" s="234"/>
      <c r="H11111" s="238"/>
      <c r="I11111" s="237"/>
    </row>
    <row r="11112" spans="1:9" s="232" customFormat="1" ht="17" customHeight="1">
      <c r="A11112" s="234"/>
      <c r="B11112" s="233"/>
      <c r="C11112" s="238"/>
      <c r="E11112" s="545"/>
      <c r="F11112" s="546"/>
      <c r="G11112" s="234"/>
      <c r="H11112" s="238"/>
      <c r="I11112" s="237"/>
    </row>
    <row r="11113" spans="1:9" s="232" customFormat="1" ht="17" customHeight="1">
      <c r="A11113" s="234"/>
      <c r="B11113" s="233"/>
      <c r="C11113" s="238"/>
      <c r="E11113" s="545"/>
      <c r="F11113" s="546"/>
      <c r="G11113" s="234"/>
      <c r="H11113" s="238"/>
      <c r="I11113" s="237"/>
    </row>
    <row r="11114" spans="1:9" s="232" customFormat="1" ht="17" customHeight="1">
      <c r="A11114" s="234"/>
      <c r="B11114" s="233"/>
      <c r="C11114" s="238"/>
      <c r="E11114" s="545"/>
      <c r="F11114" s="546"/>
      <c r="G11114" s="234"/>
      <c r="H11114" s="238"/>
      <c r="I11114" s="237"/>
    </row>
    <row r="11115" spans="1:9" s="232" customFormat="1" ht="17" customHeight="1">
      <c r="A11115" s="234"/>
      <c r="B11115" s="233"/>
      <c r="C11115" s="238"/>
      <c r="E11115" s="545"/>
      <c r="F11115" s="546"/>
      <c r="G11115" s="234"/>
      <c r="H11115" s="238"/>
      <c r="I11115" s="237"/>
    </row>
    <row r="11116" spans="1:9" s="232" customFormat="1" ht="17" customHeight="1">
      <c r="A11116" s="234"/>
      <c r="B11116" s="233"/>
      <c r="C11116" s="238"/>
      <c r="E11116" s="545"/>
      <c r="F11116" s="546"/>
      <c r="G11116" s="234"/>
      <c r="H11116" s="238"/>
      <c r="I11116" s="237"/>
    </row>
    <row r="11117" spans="1:9" s="232" customFormat="1" ht="17" customHeight="1">
      <c r="A11117" s="234"/>
      <c r="B11117" s="233"/>
      <c r="C11117" s="238"/>
      <c r="E11117" s="545"/>
      <c r="F11117" s="546"/>
      <c r="G11117" s="234"/>
      <c r="H11117" s="238"/>
      <c r="I11117" s="237"/>
    </row>
    <row r="11118" spans="1:9" s="232" customFormat="1" ht="17" customHeight="1">
      <c r="A11118" s="234"/>
      <c r="B11118" s="233"/>
      <c r="C11118" s="238"/>
      <c r="E11118" s="545"/>
      <c r="F11118" s="546"/>
      <c r="G11118" s="234"/>
      <c r="H11118" s="238"/>
      <c r="I11118" s="237"/>
    </row>
    <row r="11119" spans="1:9" s="232" customFormat="1" ht="17" customHeight="1">
      <c r="A11119" s="234"/>
      <c r="B11119" s="233"/>
      <c r="C11119" s="238"/>
      <c r="E11119" s="545"/>
      <c r="F11119" s="546"/>
      <c r="G11119" s="234"/>
      <c r="H11119" s="238"/>
      <c r="I11119" s="237"/>
    </row>
    <row r="11120" spans="1:9" s="232" customFormat="1" ht="17" customHeight="1">
      <c r="A11120" s="234"/>
      <c r="B11120" s="233"/>
      <c r="C11120" s="238"/>
      <c r="E11120" s="545"/>
      <c r="F11120" s="546"/>
      <c r="G11120" s="234"/>
      <c r="H11120" s="238"/>
      <c r="I11120" s="237"/>
    </row>
    <row r="11121" spans="1:9" s="232" customFormat="1" ht="17" customHeight="1">
      <c r="A11121" s="234"/>
      <c r="B11121" s="233"/>
      <c r="C11121" s="238"/>
      <c r="E11121" s="545"/>
      <c r="F11121" s="546"/>
      <c r="G11121" s="234"/>
      <c r="H11121" s="238"/>
      <c r="I11121" s="237"/>
    </row>
    <row r="11122" spans="1:9" s="232" customFormat="1" ht="17" customHeight="1">
      <c r="A11122" s="234"/>
      <c r="B11122" s="233"/>
      <c r="C11122" s="238"/>
      <c r="E11122" s="545"/>
      <c r="F11122" s="546"/>
      <c r="G11122" s="234"/>
      <c r="H11122" s="238"/>
      <c r="I11122" s="237"/>
    </row>
    <row r="11123" spans="1:9" s="232" customFormat="1" ht="17" customHeight="1">
      <c r="A11123" s="234"/>
      <c r="B11123" s="233"/>
      <c r="C11123" s="238"/>
      <c r="E11123" s="545"/>
      <c r="F11123" s="546"/>
      <c r="G11123" s="234"/>
      <c r="H11123" s="238"/>
      <c r="I11123" s="237"/>
    </row>
    <row r="11124" spans="1:9" s="232" customFormat="1" ht="17" customHeight="1">
      <c r="A11124" s="234"/>
      <c r="B11124" s="233"/>
      <c r="C11124" s="238"/>
      <c r="E11124" s="545"/>
      <c r="F11124" s="546"/>
      <c r="G11124" s="234"/>
      <c r="H11124" s="238"/>
      <c r="I11124" s="237"/>
    </row>
    <row r="11125" spans="1:9" s="232" customFormat="1" ht="17" customHeight="1">
      <c r="A11125" s="234"/>
      <c r="B11125" s="233"/>
      <c r="C11125" s="238"/>
      <c r="E11125" s="545"/>
      <c r="F11125" s="546"/>
      <c r="G11125" s="234"/>
      <c r="H11125" s="238"/>
      <c r="I11125" s="237"/>
    </row>
    <row r="11126" spans="1:9" s="232" customFormat="1" ht="17" customHeight="1">
      <c r="A11126" s="234"/>
      <c r="B11126" s="233"/>
      <c r="C11126" s="238"/>
      <c r="E11126" s="545"/>
      <c r="F11126" s="546"/>
      <c r="G11126" s="234"/>
      <c r="H11126" s="238"/>
      <c r="I11126" s="237"/>
    </row>
    <row r="11127" spans="1:9" s="232" customFormat="1" ht="17" customHeight="1">
      <c r="A11127" s="234"/>
      <c r="B11127" s="233"/>
      <c r="C11127" s="238"/>
      <c r="E11127" s="545"/>
      <c r="F11127" s="546"/>
      <c r="G11127" s="234"/>
      <c r="H11127" s="238"/>
      <c r="I11127" s="237"/>
    </row>
    <row r="11128" spans="1:9" s="232" customFormat="1" ht="17" customHeight="1">
      <c r="A11128" s="234"/>
      <c r="B11128" s="233"/>
      <c r="C11128" s="238"/>
      <c r="E11128" s="545"/>
      <c r="F11128" s="546"/>
      <c r="G11128" s="234"/>
      <c r="H11128" s="238"/>
      <c r="I11128" s="237"/>
    </row>
    <row r="11129" spans="1:9" s="232" customFormat="1" ht="17" customHeight="1">
      <c r="A11129" s="234"/>
      <c r="B11129" s="233"/>
      <c r="C11129" s="238"/>
      <c r="E11129" s="545"/>
      <c r="F11129" s="546"/>
      <c r="G11129" s="234"/>
      <c r="H11129" s="238"/>
      <c r="I11129" s="237"/>
    </row>
    <row r="11130" spans="1:9" s="232" customFormat="1" ht="17" customHeight="1">
      <c r="A11130" s="234"/>
      <c r="B11130" s="233"/>
      <c r="C11130" s="238"/>
      <c r="E11130" s="545"/>
      <c r="F11130" s="546"/>
      <c r="G11130" s="234"/>
      <c r="H11130" s="238"/>
      <c r="I11130" s="237"/>
    </row>
    <row r="11131" spans="1:9" s="232" customFormat="1" ht="17" customHeight="1">
      <c r="A11131" s="234"/>
      <c r="B11131" s="233"/>
      <c r="C11131" s="238"/>
      <c r="E11131" s="545"/>
      <c r="F11131" s="546"/>
      <c r="G11131" s="234"/>
      <c r="H11131" s="238"/>
      <c r="I11131" s="237"/>
    </row>
    <row r="11132" spans="1:9" s="232" customFormat="1" ht="17" customHeight="1">
      <c r="A11132" s="234"/>
      <c r="B11132" s="233"/>
      <c r="C11132" s="238"/>
      <c r="E11132" s="545"/>
      <c r="F11132" s="546"/>
      <c r="G11132" s="234"/>
      <c r="H11132" s="238"/>
      <c r="I11132" s="237"/>
    </row>
    <row r="11133" spans="1:9" s="232" customFormat="1" ht="17" customHeight="1">
      <c r="A11133" s="234"/>
      <c r="B11133" s="233"/>
      <c r="C11133" s="238"/>
      <c r="E11133" s="545"/>
      <c r="F11133" s="546"/>
      <c r="G11133" s="234"/>
      <c r="H11133" s="238"/>
      <c r="I11133" s="237"/>
    </row>
    <row r="11134" spans="1:9" s="232" customFormat="1" ht="17" customHeight="1">
      <c r="A11134" s="234"/>
      <c r="B11134" s="233"/>
      <c r="C11134" s="238"/>
      <c r="E11134" s="545"/>
      <c r="F11134" s="546"/>
      <c r="G11134" s="234"/>
      <c r="H11134" s="238"/>
      <c r="I11134" s="237"/>
    </row>
    <row r="11135" spans="1:9" s="232" customFormat="1" ht="17" customHeight="1">
      <c r="A11135" s="234"/>
      <c r="B11135" s="233"/>
      <c r="C11135" s="238"/>
      <c r="E11135" s="545"/>
      <c r="F11135" s="546"/>
      <c r="G11135" s="234"/>
      <c r="H11135" s="238"/>
      <c r="I11135" s="237"/>
    </row>
    <row r="11136" spans="1:9" s="232" customFormat="1" ht="17" customHeight="1">
      <c r="A11136" s="234"/>
      <c r="B11136" s="233"/>
      <c r="C11136" s="238"/>
      <c r="E11136" s="545"/>
      <c r="F11136" s="546"/>
      <c r="G11136" s="234"/>
      <c r="H11136" s="238"/>
      <c r="I11136" s="237"/>
    </row>
    <row r="11137" spans="1:9" s="232" customFormat="1" ht="17" customHeight="1">
      <c r="A11137" s="234"/>
      <c r="B11137" s="233"/>
      <c r="C11137" s="238"/>
      <c r="E11137" s="545"/>
      <c r="F11137" s="546"/>
      <c r="G11137" s="234"/>
      <c r="H11137" s="238"/>
      <c r="I11137" s="237"/>
    </row>
    <row r="11138" spans="1:9" s="232" customFormat="1" ht="17" customHeight="1">
      <c r="A11138" s="234"/>
      <c r="B11138" s="233"/>
      <c r="C11138" s="238"/>
      <c r="E11138" s="545"/>
      <c r="F11138" s="546"/>
      <c r="G11138" s="234"/>
      <c r="H11138" s="238"/>
      <c r="I11138" s="237"/>
    </row>
    <row r="11139" spans="1:9" s="232" customFormat="1" ht="17" customHeight="1">
      <c r="A11139" s="234"/>
      <c r="B11139" s="233"/>
      <c r="C11139" s="238"/>
      <c r="E11139" s="545"/>
      <c r="F11139" s="546"/>
      <c r="G11139" s="234"/>
      <c r="H11139" s="238"/>
      <c r="I11139" s="237"/>
    </row>
    <row r="11140" spans="1:9" s="232" customFormat="1" ht="17" customHeight="1">
      <c r="A11140" s="234"/>
      <c r="B11140" s="233"/>
      <c r="C11140" s="238"/>
      <c r="E11140" s="545"/>
      <c r="F11140" s="546"/>
      <c r="G11140" s="234"/>
      <c r="H11140" s="238"/>
      <c r="I11140" s="237"/>
    </row>
    <row r="11141" spans="1:9" s="232" customFormat="1" ht="17" customHeight="1">
      <c r="A11141" s="234"/>
      <c r="B11141" s="233"/>
      <c r="C11141" s="238"/>
      <c r="E11141" s="545"/>
      <c r="F11141" s="546"/>
      <c r="G11141" s="234"/>
      <c r="H11141" s="238"/>
      <c r="I11141" s="237"/>
    </row>
    <row r="11142" spans="1:9" s="232" customFormat="1" ht="17" customHeight="1">
      <c r="A11142" s="234"/>
      <c r="B11142" s="233"/>
      <c r="C11142" s="238"/>
      <c r="E11142" s="545"/>
      <c r="F11142" s="546"/>
      <c r="G11142" s="234"/>
      <c r="H11142" s="238"/>
      <c r="I11142" s="237"/>
    </row>
    <row r="11143" spans="1:9" s="232" customFormat="1" ht="17" customHeight="1">
      <c r="A11143" s="234"/>
      <c r="B11143" s="233"/>
      <c r="C11143" s="238"/>
      <c r="E11143" s="545"/>
      <c r="F11143" s="546"/>
      <c r="G11143" s="234"/>
      <c r="H11143" s="238"/>
      <c r="I11143" s="237"/>
    </row>
    <row r="11144" spans="1:9" s="232" customFormat="1" ht="17" customHeight="1">
      <c r="A11144" s="234"/>
      <c r="B11144" s="233"/>
      <c r="C11144" s="238"/>
      <c r="E11144" s="545"/>
      <c r="F11144" s="546"/>
      <c r="G11144" s="234"/>
      <c r="H11144" s="238"/>
      <c r="I11144" s="237"/>
    </row>
    <row r="11145" spans="1:9" s="232" customFormat="1" ht="17" customHeight="1">
      <c r="A11145" s="234"/>
      <c r="B11145" s="233"/>
      <c r="C11145" s="238"/>
      <c r="E11145" s="545"/>
      <c r="F11145" s="546"/>
      <c r="G11145" s="234"/>
      <c r="H11145" s="238"/>
      <c r="I11145" s="237"/>
    </row>
    <row r="11146" spans="1:9" s="232" customFormat="1" ht="17" customHeight="1">
      <c r="A11146" s="234"/>
      <c r="B11146" s="233"/>
      <c r="C11146" s="238"/>
      <c r="E11146" s="545"/>
      <c r="F11146" s="546"/>
      <c r="G11146" s="234"/>
      <c r="H11146" s="238"/>
      <c r="I11146" s="237"/>
    </row>
    <row r="11147" spans="1:9" s="232" customFormat="1" ht="17" customHeight="1">
      <c r="A11147" s="234"/>
      <c r="B11147" s="233"/>
      <c r="C11147" s="238"/>
      <c r="E11147" s="545"/>
      <c r="F11147" s="546"/>
      <c r="G11147" s="234"/>
      <c r="H11147" s="238"/>
      <c r="I11147" s="237"/>
    </row>
    <row r="11148" spans="1:9" s="232" customFormat="1" ht="17" customHeight="1">
      <c r="A11148" s="234"/>
      <c r="B11148" s="233"/>
      <c r="C11148" s="238"/>
      <c r="E11148" s="545"/>
      <c r="F11148" s="546"/>
      <c r="G11148" s="234"/>
      <c r="H11148" s="238"/>
      <c r="I11148" s="237"/>
    </row>
    <row r="11149" spans="1:9" s="232" customFormat="1" ht="17" customHeight="1">
      <c r="A11149" s="234"/>
      <c r="B11149" s="233"/>
      <c r="C11149" s="238"/>
      <c r="E11149" s="545"/>
      <c r="F11149" s="546"/>
      <c r="G11149" s="234"/>
      <c r="H11149" s="238"/>
      <c r="I11149" s="237"/>
    </row>
    <row r="11150" spans="1:9" s="232" customFormat="1" ht="17" customHeight="1">
      <c r="A11150" s="234"/>
      <c r="B11150" s="233"/>
      <c r="C11150" s="238"/>
      <c r="E11150" s="545"/>
      <c r="F11150" s="546"/>
      <c r="G11150" s="234"/>
      <c r="H11150" s="238"/>
      <c r="I11150" s="237"/>
    </row>
    <row r="11151" spans="1:9" s="232" customFormat="1" ht="17" customHeight="1">
      <c r="A11151" s="234"/>
      <c r="B11151" s="233"/>
      <c r="C11151" s="238"/>
      <c r="E11151" s="545"/>
      <c r="F11151" s="546"/>
      <c r="G11151" s="234"/>
      <c r="H11151" s="238"/>
      <c r="I11151" s="237"/>
    </row>
    <row r="11152" spans="1:9" s="232" customFormat="1" ht="17" customHeight="1">
      <c r="A11152" s="234"/>
      <c r="B11152" s="233"/>
      <c r="C11152" s="238"/>
      <c r="E11152" s="545"/>
      <c r="F11152" s="546"/>
      <c r="G11152" s="234"/>
      <c r="H11152" s="238"/>
      <c r="I11152" s="237"/>
    </row>
    <row r="11153" spans="1:9" s="232" customFormat="1" ht="17" customHeight="1">
      <c r="A11153" s="234"/>
      <c r="B11153" s="233"/>
      <c r="C11153" s="238"/>
      <c r="E11153" s="545"/>
      <c r="F11153" s="546"/>
      <c r="G11153" s="234"/>
      <c r="H11153" s="238"/>
      <c r="I11153" s="237"/>
    </row>
    <row r="11154" spans="1:9" s="232" customFormat="1" ht="17" customHeight="1">
      <c r="A11154" s="234"/>
      <c r="B11154" s="233"/>
      <c r="C11154" s="238"/>
      <c r="E11154" s="545"/>
      <c r="F11154" s="546"/>
      <c r="G11154" s="234"/>
      <c r="H11154" s="238"/>
      <c r="I11154" s="237"/>
    </row>
    <row r="11155" spans="1:9" s="232" customFormat="1" ht="17" customHeight="1">
      <c r="A11155" s="234"/>
      <c r="B11155" s="233"/>
      <c r="C11155" s="238"/>
      <c r="E11155" s="545"/>
      <c r="F11155" s="546"/>
      <c r="G11155" s="234"/>
      <c r="H11155" s="238"/>
      <c r="I11155" s="237"/>
    </row>
    <row r="11156" spans="1:9" s="232" customFormat="1" ht="17" customHeight="1">
      <c r="A11156" s="234"/>
      <c r="B11156" s="233"/>
      <c r="C11156" s="238"/>
      <c r="E11156" s="545"/>
      <c r="F11156" s="546"/>
      <c r="G11156" s="234"/>
      <c r="H11156" s="238"/>
      <c r="I11156" s="237"/>
    </row>
    <row r="11157" spans="1:9" s="232" customFormat="1" ht="17" customHeight="1">
      <c r="A11157" s="234"/>
      <c r="B11157" s="233"/>
      <c r="C11157" s="238"/>
      <c r="E11157" s="545"/>
      <c r="F11157" s="546"/>
      <c r="G11157" s="234"/>
      <c r="H11157" s="238"/>
      <c r="I11157" s="237"/>
    </row>
    <row r="11158" spans="1:9" s="232" customFormat="1" ht="17" customHeight="1">
      <c r="A11158" s="234"/>
      <c r="B11158" s="233"/>
      <c r="C11158" s="238"/>
      <c r="E11158" s="545"/>
      <c r="F11158" s="546"/>
      <c r="G11158" s="234"/>
      <c r="H11158" s="238"/>
      <c r="I11158" s="237"/>
    </row>
    <row r="11159" spans="1:9" s="232" customFormat="1" ht="17" customHeight="1">
      <c r="A11159" s="234"/>
      <c r="B11159" s="233"/>
      <c r="C11159" s="238"/>
      <c r="E11159" s="545"/>
      <c r="F11159" s="546"/>
      <c r="G11159" s="234"/>
      <c r="H11159" s="238"/>
      <c r="I11159" s="237"/>
    </row>
    <row r="11160" spans="1:9" s="232" customFormat="1" ht="17" customHeight="1">
      <c r="A11160" s="234"/>
      <c r="B11160" s="233"/>
      <c r="C11160" s="238"/>
      <c r="E11160" s="545"/>
      <c r="F11160" s="546"/>
      <c r="G11160" s="234"/>
      <c r="H11160" s="238"/>
      <c r="I11160" s="237"/>
    </row>
    <row r="11161" spans="1:9" s="232" customFormat="1" ht="17" customHeight="1">
      <c r="A11161" s="234"/>
      <c r="B11161" s="233"/>
      <c r="C11161" s="238"/>
      <c r="E11161" s="545"/>
      <c r="F11161" s="546"/>
      <c r="G11161" s="234"/>
      <c r="H11161" s="238"/>
      <c r="I11161" s="237"/>
    </row>
    <row r="11162" spans="1:9" s="232" customFormat="1" ht="17" customHeight="1">
      <c r="A11162" s="234"/>
      <c r="B11162" s="233"/>
      <c r="C11162" s="238"/>
      <c r="E11162" s="545"/>
      <c r="F11162" s="546"/>
      <c r="G11162" s="234"/>
      <c r="H11162" s="238"/>
      <c r="I11162" s="237"/>
    </row>
    <row r="11163" spans="1:9" s="232" customFormat="1" ht="17" customHeight="1">
      <c r="A11163" s="234"/>
      <c r="B11163" s="233"/>
      <c r="C11163" s="238"/>
      <c r="E11163" s="545"/>
      <c r="F11163" s="546"/>
      <c r="G11163" s="234"/>
      <c r="H11163" s="238"/>
      <c r="I11163" s="237"/>
    </row>
    <row r="11164" spans="1:9" s="232" customFormat="1" ht="17" customHeight="1">
      <c r="A11164" s="234"/>
      <c r="B11164" s="233"/>
      <c r="C11164" s="238"/>
      <c r="E11164" s="545"/>
      <c r="F11164" s="546"/>
      <c r="G11164" s="234"/>
      <c r="H11164" s="238"/>
      <c r="I11164" s="237"/>
    </row>
    <row r="11165" spans="1:9" s="232" customFormat="1" ht="17" customHeight="1">
      <c r="A11165" s="234"/>
      <c r="B11165" s="233"/>
      <c r="C11165" s="238"/>
      <c r="E11165" s="545"/>
      <c r="F11165" s="546"/>
      <c r="G11165" s="234"/>
      <c r="H11165" s="238"/>
      <c r="I11165" s="237"/>
    </row>
    <row r="11166" spans="1:9" s="232" customFormat="1" ht="17" customHeight="1">
      <c r="A11166" s="234"/>
      <c r="B11166" s="233"/>
      <c r="C11166" s="238"/>
      <c r="E11166" s="545"/>
      <c r="F11166" s="546"/>
      <c r="G11166" s="234"/>
      <c r="H11166" s="238"/>
      <c r="I11166" s="237"/>
    </row>
    <row r="11167" spans="1:9" s="232" customFormat="1" ht="17" customHeight="1">
      <c r="A11167" s="234"/>
      <c r="B11167" s="233"/>
      <c r="C11167" s="238"/>
      <c r="E11167" s="545"/>
      <c r="F11167" s="546"/>
      <c r="G11167" s="234"/>
      <c r="H11167" s="238"/>
      <c r="I11167" s="237"/>
    </row>
    <row r="11168" spans="1:9" s="232" customFormat="1" ht="17" customHeight="1">
      <c r="A11168" s="234"/>
      <c r="B11168" s="233"/>
      <c r="C11168" s="238"/>
      <c r="E11168" s="545"/>
      <c r="F11168" s="546"/>
      <c r="G11168" s="234"/>
      <c r="H11168" s="238"/>
      <c r="I11168" s="237"/>
    </row>
    <row r="11169" spans="1:9" s="232" customFormat="1" ht="17" customHeight="1">
      <c r="A11169" s="234"/>
      <c r="B11169" s="233"/>
      <c r="C11169" s="238"/>
      <c r="E11169" s="545"/>
      <c r="F11169" s="546"/>
      <c r="G11169" s="234"/>
      <c r="H11169" s="238"/>
      <c r="I11169" s="237"/>
    </row>
    <row r="11170" spans="1:9" s="232" customFormat="1" ht="17" customHeight="1">
      <c r="A11170" s="234"/>
      <c r="B11170" s="233"/>
      <c r="C11170" s="238"/>
      <c r="E11170" s="545"/>
      <c r="F11170" s="546"/>
      <c r="G11170" s="234"/>
      <c r="H11170" s="238"/>
      <c r="I11170" s="237"/>
    </row>
    <row r="11171" spans="1:9" s="232" customFormat="1" ht="17" customHeight="1">
      <c r="A11171" s="234"/>
      <c r="B11171" s="233"/>
      <c r="C11171" s="238"/>
      <c r="E11171" s="545"/>
      <c r="F11171" s="546"/>
      <c r="G11171" s="234"/>
      <c r="H11171" s="238"/>
      <c r="I11171" s="237"/>
    </row>
    <row r="11172" spans="1:9" s="232" customFormat="1" ht="17" customHeight="1">
      <c r="A11172" s="234"/>
      <c r="B11172" s="233"/>
      <c r="C11172" s="238"/>
      <c r="E11172" s="545"/>
      <c r="F11172" s="546"/>
      <c r="G11172" s="234"/>
      <c r="H11172" s="238"/>
      <c r="I11172" s="237"/>
    </row>
    <row r="11173" spans="1:9" s="232" customFormat="1" ht="17" customHeight="1">
      <c r="A11173" s="234"/>
      <c r="B11173" s="233"/>
      <c r="C11173" s="238"/>
      <c r="E11173" s="545"/>
      <c r="F11173" s="546"/>
      <c r="G11173" s="234"/>
      <c r="H11173" s="238"/>
      <c r="I11173" s="237"/>
    </row>
    <row r="11174" spans="1:9" s="232" customFormat="1" ht="17" customHeight="1">
      <c r="A11174" s="234"/>
      <c r="B11174" s="233"/>
      <c r="C11174" s="238"/>
      <c r="E11174" s="545"/>
      <c r="F11174" s="546"/>
      <c r="G11174" s="234"/>
      <c r="H11174" s="238"/>
      <c r="I11174" s="237"/>
    </row>
    <row r="11175" spans="1:9" s="232" customFormat="1" ht="17" customHeight="1">
      <c r="A11175" s="234"/>
      <c r="B11175" s="233"/>
      <c r="C11175" s="238"/>
      <c r="E11175" s="545"/>
      <c r="F11175" s="546"/>
      <c r="G11175" s="234"/>
      <c r="H11175" s="238"/>
      <c r="I11175" s="237"/>
    </row>
    <row r="11176" spans="1:9" s="232" customFormat="1" ht="17" customHeight="1">
      <c r="A11176" s="234"/>
      <c r="B11176" s="233"/>
      <c r="C11176" s="238"/>
      <c r="E11176" s="545"/>
      <c r="F11176" s="546"/>
      <c r="G11176" s="234"/>
      <c r="H11176" s="238"/>
      <c r="I11176" s="237"/>
    </row>
    <row r="11177" spans="1:9" s="232" customFormat="1" ht="17" customHeight="1">
      <c r="A11177" s="234"/>
      <c r="B11177" s="233"/>
      <c r="C11177" s="238"/>
      <c r="E11177" s="545"/>
      <c r="F11177" s="546"/>
      <c r="G11177" s="234"/>
      <c r="H11177" s="238"/>
      <c r="I11177" s="237"/>
    </row>
    <row r="11178" spans="1:9" s="232" customFormat="1" ht="17" customHeight="1">
      <c r="A11178" s="234"/>
      <c r="B11178" s="233"/>
      <c r="C11178" s="238"/>
      <c r="E11178" s="545"/>
      <c r="F11178" s="546"/>
      <c r="G11178" s="234"/>
      <c r="H11178" s="238"/>
      <c r="I11178" s="237"/>
    </row>
    <row r="11179" spans="1:9" s="232" customFormat="1" ht="17" customHeight="1">
      <c r="A11179" s="234"/>
      <c r="B11179" s="233"/>
      <c r="C11179" s="238"/>
      <c r="E11179" s="545"/>
      <c r="F11179" s="546"/>
      <c r="G11179" s="234"/>
      <c r="H11179" s="238"/>
      <c r="I11179" s="237"/>
    </row>
    <row r="11180" spans="1:9" s="232" customFormat="1" ht="17" customHeight="1">
      <c r="A11180" s="234"/>
      <c r="B11180" s="233"/>
      <c r="C11180" s="238"/>
      <c r="E11180" s="545"/>
      <c r="F11180" s="546"/>
      <c r="G11180" s="234"/>
      <c r="H11180" s="238"/>
      <c r="I11180" s="237"/>
    </row>
    <row r="11181" spans="1:9" s="232" customFormat="1" ht="17" customHeight="1">
      <c r="A11181" s="234"/>
      <c r="B11181" s="233"/>
      <c r="C11181" s="238"/>
      <c r="E11181" s="545"/>
      <c r="F11181" s="546"/>
      <c r="G11181" s="234"/>
      <c r="H11181" s="238"/>
      <c r="I11181" s="237"/>
    </row>
    <row r="11182" spans="1:9" s="232" customFormat="1" ht="17" customHeight="1">
      <c r="A11182" s="234"/>
      <c r="B11182" s="233"/>
      <c r="C11182" s="238"/>
      <c r="E11182" s="545"/>
      <c r="F11182" s="546"/>
      <c r="G11182" s="234"/>
      <c r="H11182" s="238"/>
      <c r="I11182" s="237"/>
    </row>
    <row r="11183" spans="1:9" s="232" customFormat="1" ht="17" customHeight="1">
      <c r="A11183" s="234"/>
      <c r="B11183" s="233"/>
      <c r="C11183" s="238"/>
      <c r="E11183" s="545"/>
      <c r="F11183" s="546"/>
      <c r="G11183" s="234"/>
      <c r="H11183" s="238"/>
      <c r="I11183" s="237"/>
    </row>
    <row r="11184" spans="1:9" s="232" customFormat="1" ht="17" customHeight="1">
      <c r="A11184" s="234"/>
      <c r="B11184" s="233"/>
      <c r="C11184" s="238"/>
      <c r="E11184" s="545"/>
      <c r="F11184" s="546"/>
      <c r="G11184" s="234"/>
      <c r="H11184" s="238"/>
      <c r="I11184" s="237"/>
    </row>
    <row r="11185" spans="1:9" s="232" customFormat="1" ht="17" customHeight="1">
      <c r="A11185" s="234"/>
      <c r="B11185" s="233"/>
      <c r="C11185" s="238"/>
      <c r="E11185" s="545"/>
      <c r="F11185" s="546"/>
      <c r="G11185" s="234"/>
      <c r="H11185" s="238"/>
      <c r="I11185" s="237"/>
    </row>
    <row r="11186" spans="1:9" s="232" customFormat="1" ht="17" customHeight="1">
      <c r="A11186" s="234"/>
      <c r="B11186" s="233"/>
      <c r="C11186" s="238"/>
      <c r="E11186" s="545"/>
      <c r="F11186" s="546"/>
      <c r="G11186" s="234"/>
      <c r="H11186" s="238"/>
      <c r="I11186" s="237"/>
    </row>
    <row r="11187" spans="1:9" s="232" customFormat="1" ht="17" customHeight="1">
      <c r="A11187" s="234"/>
      <c r="B11187" s="233"/>
      <c r="C11187" s="238"/>
      <c r="E11187" s="545"/>
      <c r="F11187" s="546"/>
      <c r="G11187" s="234"/>
      <c r="H11187" s="238"/>
      <c r="I11187" s="237"/>
    </row>
    <row r="11188" spans="1:9" s="232" customFormat="1" ht="17" customHeight="1">
      <c r="A11188" s="234"/>
      <c r="B11188" s="233"/>
      <c r="C11188" s="238"/>
      <c r="E11188" s="545"/>
      <c r="F11188" s="546"/>
      <c r="G11188" s="234"/>
      <c r="H11188" s="238"/>
      <c r="I11188" s="237"/>
    </row>
    <row r="11189" spans="1:9" s="232" customFormat="1" ht="17" customHeight="1">
      <c r="A11189" s="234"/>
      <c r="B11189" s="233"/>
      <c r="C11189" s="238"/>
      <c r="E11189" s="545"/>
      <c r="F11189" s="546"/>
      <c r="G11189" s="234"/>
      <c r="H11189" s="238"/>
      <c r="I11189" s="237"/>
    </row>
    <row r="11190" spans="1:9" s="232" customFormat="1" ht="17" customHeight="1">
      <c r="A11190" s="234"/>
      <c r="B11190" s="233"/>
      <c r="C11190" s="238"/>
      <c r="E11190" s="545"/>
      <c r="F11190" s="546"/>
      <c r="G11190" s="234"/>
      <c r="H11190" s="238"/>
      <c r="I11190" s="237"/>
    </row>
    <row r="11191" spans="1:9" s="232" customFormat="1" ht="17" customHeight="1">
      <c r="A11191" s="234"/>
      <c r="B11191" s="233"/>
      <c r="C11191" s="238"/>
      <c r="E11191" s="545"/>
      <c r="F11191" s="546"/>
      <c r="G11191" s="234"/>
      <c r="H11191" s="238"/>
      <c r="I11191" s="237"/>
    </row>
    <row r="11192" spans="1:9" s="232" customFormat="1" ht="17" customHeight="1">
      <c r="A11192" s="234"/>
      <c r="B11192" s="233"/>
      <c r="C11192" s="238"/>
      <c r="E11192" s="545"/>
      <c r="F11192" s="546"/>
      <c r="G11192" s="234"/>
      <c r="H11192" s="238"/>
      <c r="I11192" s="237"/>
    </row>
    <row r="11193" spans="1:9" s="232" customFormat="1" ht="17" customHeight="1">
      <c r="A11193" s="234"/>
      <c r="B11193" s="233"/>
      <c r="C11193" s="238"/>
      <c r="E11193" s="545"/>
      <c r="F11193" s="546"/>
      <c r="G11193" s="234"/>
      <c r="H11193" s="238"/>
      <c r="I11193" s="237"/>
    </row>
    <row r="11194" spans="1:9" s="232" customFormat="1" ht="17" customHeight="1">
      <c r="A11194" s="234"/>
      <c r="B11194" s="233"/>
      <c r="C11194" s="238"/>
      <c r="E11194" s="545"/>
      <c r="F11194" s="546"/>
      <c r="G11194" s="234"/>
      <c r="H11194" s="238"/>
      <c r="I11194" s="237"/>
    </row>
    <row r="11195" spans="1:9" s="232" customFormat="1" ht="17" customHeight="1">
      <c r="A11195" s="234"/>
      <c r="B11195" s="233"/>
      <c r="C11195" s="238"/>
      <c r="E11195" s="545"/>
      <c r="F11195" s="546"/>
      <c r="G11195" s="234"/>
      <c r="H11195" s="238"/>
      <c r="I11195" s="237"/>
    </row>
    <row r="11196" spans="1:9" s="232" customFormat="1" ht="17" customHeight="1">
      <c r="A11196" s="234"/>
      <c r="B11196" s="233"/>
      <c r="C11196" s="238"/>
      <c r="E11196" s="545"/>
      <c r="F11196" s="546"/>
      <c r="G11196" s="234"/>
      <c r="H11196" s="238"/>
      <c r="I11196" s="237"/>
    </row>
    <row r="11197" spans="1:9" s="232" customFormat="1" ht="17" customHeight="1">
      <c r="A11197" s="234"/>
      <c r="B11197" s="233"/>
      <c r="C11197" s="238"/>
      <c r="E11197" s="545"/>
      <c r="F11197" s="546"/>
      <c r="G11197" s="234"/>
      <c r="H11197" s="238"/>
      <c r="I11197" s="237"/>
    </row>
    <row r="11198" spans="1:9" s="232" customFormat="1" ht="17" customHeight="1">
      <c r="A11198" s="234"/>
      <c r="B11198" s="233"/>
      <c r="C11198" s="238"/>
      <c r="E11198" s="545"/>
      <c r="F11198" s="546"/>
      <c r="G11198" s="234"/>
      <c r="H11198" s="238"/>
      <c r="I11198" s="237"/>
    </row>
    <row r="11199" spans="1:9" s="232" customFormat="1" ht="17" customHeight="1">
      <c r="A11199" s="234"/>
      <c r="B11199" s="233"/>
      <c r="C11199" s="238"/>
      <c r="E11199" s="545"/>
      <c r="F11199" s="546"/>
      <c r="G11199" s="234"/>
      <c r="H11199" s="238"/>
      <c r="I11199" s="237"/>
    </row>
    <row r="11200" spans="1:9" s="232" customFormat="1" ht="17" customHeight="1">
      <c r="A11200" s="234"/>
      <c r="B11200" s="233"/>
      <c r="C11200" s="238"/>
      <c r="E11200" s="545"/>
      <c r="F11200" s="546"/>
      <c r="G11200" s="234"/>
      <c r="H11200" s="238"/>
      <c r="I11200" s="237"/>
    </row>
    <row r="11201" spans="1:9" s="232" customFormat="1" ht="17" customHeight="1">
      <c r="A11201" s="234"/>
      <c r="B11201" s="233"/>
      <c r="C11201" s="238"/>
      <c r="E11201" s="545"/>
      <c r="F11201" s="546"/>
      <c r="G11201" s="234"/>
      <c r="H11201" s="238"/>
      <c r="I11201" s="237"/>
    </row>
    <row r="11202" spans="1:9" s="232" customFormat="1" ht="17" customHeight="1">
      <c r="A11202" s="234"/>
      <c r="B11202" s="233"/>
      <c r="C11202" s="238"/>
      <c r="E11202" s="545"/>
      <c r="F11202" s="546"/>
      <c r="G11202" s="234"/>
      <c r="H11202" s="238"/>
      <c r="I11202" s="237"/>
    </row>
    <row r="11203" spans="1:9" s="232" customFormat="1" ht="17" customHeight="1">
      <c r="A11203" s="234"/>
      <c r="B11203" s="233"/>
      <c r="C11203" s="238"/>
      <c r="E11203" s="545"/>
      <c r="F11203" s="546"/>
      <c r="G11203" s="234"/>
      <c r="H11203" s="238"/>
      <c r="I11203" s="237"/>
    </row>
    <row r="11204" spans="1:9" s="232" customFormat="1" ht="17" customHeight="1">
      <c r="A11204" s="234"/>
      <c r="B11204" s="233"/>
      <c r="C11204" s="238"/>
      <c r="E11204" s="545"/>
      <c r="F11204" s="546"/>
      <c r="G11204" s="234"/>
      <c r="H11204" s="238"/>
      <c r="I11204" s="237"/>
    </row>
    <row r="11205" spans="1:9" s="232" customFormat="1" ht="17" customHeight="1">
      <c r="A11205" s="234"/>
      <c r="B11205" s="233"/>
      <c r="C11205" s="238"/>
      <c r="E11205" s="545"/>
      <c r="F11205" s="546"/>
      <c r="G11205" s="234"/>
      <c r="H11205" s="238"/>
      <c r="I11205" s="237"/>
    </row>
    <row r="11206" spans="1:9" s="232" customFormat="1" ht="17" customHeight="1">
      <c r="A11206" s="234"/>
      <c r="B11206" s="233"/>
      <c r="C11206" s="238"/>
      <c r="E11206" s="545"/>
      <c r="F11206" s="546"/>
      <c r="G11206" s="234"/>
      <c r="H11206" s="238"/>
      <c r="I11206" s="237"/>
    </row>
    <row r="11207" spans="1:9" s="232" customFormat="1" ht="17" customHeight="1">
      <c r="A11207" s="234"/>
      <c r="B11207" s="233"/>
      <c r="C11207" s="238"/>
      <c r="E11207" s="545"/>
      <c r="F11207" s="546"/>
      <c r="G11207" s="234"/>
      <c r="H11207" s="238"/>
      <c r="I11207" s="237"/>
    </row>
    <row r="11208" spans="1:9" s="232" customFormat="1" ht="17" customHeight="1">
      <c r="A11208" s="234"/>
      <c r="B11208" s="233"/>
      <c r="C11208" s="238"/>
      <c r="E11208" s="545"/>
      <c r="F11208" s="546"/>
      <c r="G11208" s="234"/>
      <c r="H11208" s="238"/>
      <c r="I11208" s="237"/>
    </row>
    <row r="11209" spans="1:9" s="232" customFormat="1" ht="17" customHeight="1">
      <c r="A11209" s="234"/>
      <c r="B11209" s="233"/>
      <c r="C11209" s="238"/>
      <c r="E11209" s="545"/>
      <c r="F11209" s="546"/>
      <c r="G11209" s="234"/>
      <c r="H11209" s="238"/>
      <c r="I11209" s="237"/>
    </row>
    <row r="11210" spans="1:9" s="232" customFormat="1" ht="17" customHeight="1">
      <c r="A11210" s="234"/>
      <c r="B11210" s="233"/>
      <c r="C11210" s="238"/>
      <c r="E11210" s="545"/>
      <c r="F11210" s="546"/>
      <c r="G11210" s="234"/>
      <c r="H11210" s="238"/>
      <c r="I11210" s="237"/>
    </row>
    <row r="11211" spans="1:9" s="232" customFormat="1" ht="17" customHeight="1">
      <c r="A11211" s="234"/>
      <c r="B11211" s="233"/>
      <c r="C11211" s="238"/>
      <c r="E11211" s="545"/>
      <c r="F11211" s="546"/>
      <c r="G11211" s="234"/>
      <c r="H11211" s="238"/>
      <c r="I11211" s="237"/>
    </row>
    <row r="11212" spans="1:9" s="232" customFormat="1" ht="17" customHeight="1">
      <c r="A11212" s="234"/>
      <c r="B11212" s="233"/>
      <c r="C11212" s="238"/>
      <c r="E11212" s="545"/>
      <c r="F11212" s="546"/>
      <c r="G11212" s="234"/>
      <c r="H11212" s="238"/>
      <c r="I11212" s="237"/>
    </row>
    <row r="11213" spans="1:9" s="232" customFormat="1" ht="17" customHeight="1">
      <c r="A11213" s="234"/>
      <c r="B11213" s="233"/>
      <c r="C11213" s="238"/>
      <c r="E11213" s="545"/>
      <c r="F11213" s="546"/>
      <c r="G11213" s="234"/>
      <c r="H11213" s="238"/>
      <c r="I11213" s="237"/>
    </row>
    <row r="11214" spans="1:9" s="232" customFormat="1" ht="17" customHeight="1">
      <c r="A11214" s="234"/>
      <c r="B11214" s="233"/>
      <c r="C11214" s="238"/>
      <c r="E11214" s="545"/>
      <c r="F11214" s="546"/>
      <c r="G11214" s="234"/>
      <c r="H11214" s="238"/>
      <c r="I11214" s="237"/>
    </row>
    <row r="11215" spans="1:9" s="232" customFormat="1" ht="17" customHeight="1">
      <c r="A11215" s="234"/>
      <c r="B11215" s="233"/>
      <c r="C11215" s="238"/>
      <c r="E11215" s="545"/>
      <c r="F11215" s="546"/>
      <c r="G11215" s="234"/>
      <c r="H11215" s="238"/>
      <c r="I11215" s="237"/>
    </row>
    <row r="11216" spans="1:9" s="232" customFormat="1" ht="17" customHeight="1">
      <c r="A11216" s="234"/>
      <c r="B11216" s="233"/>
      <c r="C11216" s="238"/>
      <c r="E11216" s="545"/>
      <c r="F11216" s="546"/>
      <c r="G11216" s="234"/>
      <c r="H11216" s="238"/>
      <c r="I11216" s="237"/>
    </row>
    <row r="11217" spans="1:9" s="232" customFormat="1" ht="17" customHeight="1">
      <c r="A11217" s="234"/>
      <c r="B11217" s="233"/>
      <c r="C11217" s="238"/>
      <c r="E11217" s="545"/>
      <c r="F11217" s="546"/>
      <c r="G11217" s="234"/>
      <c r="H11217" s="238"/>
      <c r="I11217" s="237"/>
    </row>
    <row r="11218" spans="1:9" s="232" customFormat="1" ht="17" customHeight="1">
      <c r="A11218" s="234"/>
      <c r="B11218" s="233"/>
      <c r="C11218" s="238"/>
      <c r="E11218" s="545"/>
      <c r="F11218" s="546"/>
      <c r="G11218" s="234"/>
      <c r="H11218" s="238"/>
      <c r="I11218" s="237"/>
    </row>
    <row r="11219" spans="1:9" s="232" customFormat="1" ht="17" customHeight="1">
      <c r="A11219" s="234"/>
      <c r="B11219" s="233"/>
      <c r="C11219" s="238"/>
      <c r="E11219" s="545"/>
      <c r="F11219" s="546"/>
      <c r="G11219" s="234"/>
      <c r="H11219" s="238"/>
      <c r="I11219" s="237"/>
    </row>
    <row r="11220" spans="1:9" s="232" customFormat="1" ht="17" customHeight="1">
      <c r="A11220" s="234"/>
      <c r="B11220" s="233"/>
      <c r="C11220" s="238"/>
      <c r="E11220" s="545"/>
      <c r="F11220" s="546"/>
      <c r="G11220" s="234"/>
      <c r="H11220" s="238"/>
      <c r="I11220" s="237"/>
    </row>
    <row r="11221" spans="1:9" s="232" customFormat="1" ht="17" customHeight="1">
      <c r="A11221" s="234"/>
      <c r="B11221" s="233"/>
      <c r="C11221" s="238"/>
      <c r="E11221" s="545"/>
      <c r="F11221" s="546"/>
      <c r="G11221" s="234"/>
      <c r="H11221" s="238"/>
      <c r="I11221" s="237"/>
    </row>
    <row r="11222" spans="1:9" s="232" customFormat="1" ht="17" customHeight="1">
      <c r="A11222" s="234"/>
      <c r="B11222" s="233"/>
      <c r="C11222" s="238"/>
      <c r="E11222" s="545"/>
      <c r="F11222" s="546"/>
      <c r="G11222" s="234"/>
      <c r="H11222" s="238"/>
      <c r="I11222" s="237"/>
    </row>
    <row r="11223" spans="1:9" s="232" customFormat="1" ht="17" customHeight="1">
      <c r="A11223" s="234"/>
      <c r="B11223" s="233"/>
      <c r="C11223" s="238"/>
      <c r="E11223" s="545"/>
      <c r="F11223" s="546"/>
      <c r="G11223" s="234"/>
      <c r="H11223" s="238"/>
      <c r="I11223" s="237"/>
    </row>
    <row r="11224" spans="1:9" s="232" customFormat="1" ht="17" customHeight="1">
      <c r="A11224" s="234"/>
      <c r="B11224" s="233"/>
      <c r="C11224" s="238"/>
      <c r="E11224" s="545"/>
      <c r="F11224" s="546"/>
      <c r="G11224" s="234"/>
      <c r="H11224" s="238"/>
      <c r="I11224" s="237"/>
    </row>
    <row r="11225" spans="1:9" s="232" customFormat="1" ht="17" customHeight="1">
      <c r="A11225" s="234"/>
      <c r="B11225" s="233"/>
      <c r="C11225" s="238"/>
      <c r="E11225" s="545"/>
      <c r="F11225" s="546"/>
      <c r="G11225" s="234"/>
      <c r="H11225" s="238"/>
      <c r="I11225" s="237"/>
    </row>
    <row r="11226" spans="1:9" s="232" customFormat="1" ht="17" customHeight="1">
      <c r="A11226" s="234"/>
      <c r="B11226" s="233"/>
      <c r="C11226" s="238"/>
      <c r="E11226" s="545"/>
      <c r="F11226" s="546"/>
      <c r="G11226" s="234"/>
      <c r="H11226" s="238"/>
      <c r="I11226" s="237"/>
    </row>
    <row r="11227" spans="1:9" s="232" customFormat="1" ht="17" customHeight="1">
      <c r="A11227" s="234"/>
      <c r="B11227" s="233"/>
      <c r="C11227" s="238"/>
      <c r="E11227" s="545"/>
      <c r="F11227" s="546"/>
      <c r="G11227" s="234"/>
      <c r="H11227" s="238"/>
      <c r="I11227" s="237"/>
    </row>
    <row r="11228" spans="1:9" s="232" customFormat="1" ht="17" customHeight="1">
      <c r="A11228" s="234"/>
      <c r="B11228" s="233"/>
      <c r="C11228" s="238"/>
      <c r="E11228" s="545"/>
      <c r="F11228" s="546"/>
      <c r="G11228" s="234"/>
      <c r="H11228" s="238"/>
      <c r="I11228" s="237"/>
    </row>
    <row r="11229" spans="1:9" s="232" customFormat="1" ht="17" customHeight="1">
      <c r="A11229" s="234"/>
      <c r="B11229" s="233"/>
      <c r="C11229" s="238"/>
      <c r="E11229" s="545"/>
      <c r="F11229" s="546"/>
      <c r="G11229" s="234"/>
      <c r="H11229" s="238"/>
      <c r="I11229" s="237"/>
    </row>
    <row r="11230" spans="1:9" s="232" customFormat="1" ht="17" customHeight="1">
      <c r="A11230" s="234"/>
      <c r="B11230" s="233"/>
      <c r="C11230" s="238"/>
      <c r="E11230" s="545"/>
      <c r="F11230" s="546"/>
      <c r="G11230" s="234"/>
      <c r="H11230" s="238"/>
      <c r="I11230" s="237"/>
    </row>
    <row r="11231" spans="1:9" s="232" customFormat="1" ht="17" customHeight="1">
      <c r="A11231" s="234"/>
      <c r="B11231" s="233"/>
      <c r="C11231" s="238"/>
      <c r="E11231" s="545"/>
      <c r="F11231" s="546"/>
      <c r="G11231" s="234"/>
      <c r="H11231" s="238"/>
      <c r="I11231" s="237"/>
    </row>
    <row r="11232" spans="1:9" s="232" customFormat="1" ht="17" customHeight="1">
      <c r="A11232" s="234"/>
      <c r="B11232" s="233"/>
      <c r="C11232" s="238"/>
      <c r="E11232" s="545"/>
      <c r="F11232" s="546"/>
      <c r="G11232" s="234"/>
      <c r="H11232" s="238"/>
      <c r="I11232" s="237"/>
    </row>
    <row r="11233" spans="1:9" s="232" customFormat="1" ht="17" customHeight="1">
      <c r="A11233" s="234"/>
      <c r="B11233" s="233"/>
      <c r="C11233" s="238"/>
      <c r="E11233" s="545"/>
      <c r="F11233" s="546"/>
      <c r="G11233" s="234"/>
      <c r="H11233" s="238"/>
      <c r="I11233" s="237"/>
    </row>
    <row r="11234" spans="1:9" s="232" customFormat="1" ht="17" customHeight="1">
      <c r="A11234" s="234"/>
      <c r="B11234" s="233"/>
      <c r="C11234" s="238"/>
      <c r="E11234" s="545"/>
      <c r="F11234" s="546"/>
      <c r="G11234" s="234"/>
      <c r="H11234" s="238"/>
      <c r="I11234" s="237"/>
    </row>
    <row r="11235" spans="1:9" s="232" customFormat="1" ht="17" customHeight="1">
      <c r="A11235" s="234"/>
      <c r="B11235" s="233"/>
      <c r="C11235" s="238"/>
      <c r="E11235" s="545"/>
      <c r="F11235" s="546"/>
      <c r="G11235" s="234"/>
      <c r="H11235" s="238"/>
      <c r="I11235" s="237"/>
    </row>
    <row r="11236" spans="1:9" s="232" customFormat="1" ht="17" customHeight="1">
      <c r="A11236" s="234"/>
      <c r="B11236" s="233"/>
      <c r="C11236" s="238"/>
      <c r="E11236" s="545"/>
      <c r="F11236" s="546"/>
      <c r="G11236" s="234"/>
      <c r="H11236" s="238"/>
      <c r="I11236" s="237"/>
    </row>
    <row r="11237" spans="1:9" s="232" customFormat="1" ht="17" customHeight="1">
      <c r="A11237" s="234"/>
      <c r="B11237" s="233"/>
      <c r="C11237" s="238"/>
      <c r="E11237" s="545"/>
      <c r="F11237" s="546"/>
      <c r="G11237" s="234"/>
      <c r="H11237" s="238"/>
      <c r="I11237" s="237"/>
    </row>
    <row r="11238" spans="1:9" s="232" customFormat="1" ht="17" customHeight="1">
      <c r="A11238" s="234"/>
      <c r="B11238" s="233"/>
      <c r="C11238" s="238"/>
      <c r="E11238" s="545"/>
      <c r="F11238" s="546"/>
      <c r="G11238" s="234"/>
      <c r="H11238" s="238"/>
      <c r="I11238" s="237"/>
    </row>
    <row r="11239" spans="1:9" s="232" customFormat="1" ht="17" customHeight="1">
      <c r="A11239" s="234"/>
      <c r="B11239" s="233"/>
      <c r="C11239" s="238"/>
      <c r="E11239" s="545"/>
      <c r="F11239" s="546"/>
      <c r="G11239" s="234"/>
      <c r="H11239" s="238"/>
      <c r="I11239" s="237"/>
    </row>
    <row r="11240" spans="1:9" s="232" customFormat="1" ht="17" customHeight="1">
      <c r="A11240" s="234"/>
      <c r="B11240" s="233"/>
      <c r="C11240" s="238"/>
      <c r="E11240" s="545"/>
      <c r="F11240" s="546"/>
      <c r="G11240" s="234"/>
      <c r="H11240" s="238"/>
      <c r="I11240" s="237"/>
    </row>
    <row r="11241" spans="1:9" s="232" customFormat="1" ht="17" customHeight="1">
      <c r="A11241" s="234"/>
      <c r="B11241" s="233"/>
      <c r="C11241" s="238"/>
      <c r="E11241" s="545"/>
      <c r="F11241" s="546"/>
      <c r="G11241" s="234"/>
      <c r="H11241" s="238"/>
      <c r="I11241" s="237"/>
    </row>
    <row r="11242" spans="1:9" s="232" customFormat="1" ht="17" customHeight="1">
      <c r="A11242" s="234"/>
      <c r="B11242" s="233"/>
      <c r="C11242" s="238"/>
      <c r="E11242" s="545"/>
      <c r="F11242" s="546"/>
      <c r="G11242" s="234"/>
      <c r="H11242" s="238"/>
      <c r="I11242" s="237"/>
    </row>
    <row r="11243" spans="1:9" s="232" customFormat="1" ht="17" customHeight="1">
      <c r="A11243" s="234"/>
      <c r="B11243" s="233"/>
      <c r="C11243" s="238"/>
      <c r="E11243" s="545"/>
      <c r="F11243" s="546"/>
      <c r="G11243" s="234"/>
      <c r="H11243" s="238"/>
      <c r="I11243" s="237"/>
    </row>
    <row r="11244" spans="1:9" s="232" customFormat="1" ht="17" customHeight="1">
      <c r="A11244" s="234"/>
      <c r="B11244" s="233"/>
      <c r="C11244" s="238"/>
      <c r="E11244" s="545"/>
      <c r="F11244" s="546"/>
      <c r="G11244" s="234"/>
      <c r="H11244" s="238"/>
      <c r="I11244" s="237"/>
    </row>
    <row r="11245" spans="1:9" s="232" customFormat="1" ht="17" customHeight="1">
      <c r="A11245" s="234"/>
      <c r="B11245" s="233"/>
      <c r="C11245" s="238"/>
      <c r="E11245" s="545"/>
      <c r="F11245" s="546"/>
      <c r="G11245" s="234"/>
      <c r="H11245" s="238"/>
      <c r="I11245" s="237"/>
    </row>
    <row r="11246" spans="1:9" s="232" customFormat="1" ht="17" customHeight="1">
      <c r="A11246" s="234"/>
      <c r="B11246" s="233"/>
      <c r="C11246" s="238"/>
      <c r="E11246" s="545"/>
      <c r="F11246" s="546"/>
      <c r="G11246" s="234"/>
      <c r="H11246" s="238"/>
      <c r="I11246" s="237"/>
    </row>
    <row r="11247" spans="1:9" s="232" customFormat="1" ht="17" customHeight="1">
      <c r="A11247" s="234"/>
      <c r="B11247" s="233"/>
      <c r="C11247" s="238"/>
      <c r="E11247" s="545"/>
      <c r="F11247" s="546"/>
      <c r="G11247" s="234"/>
      <c r="H11247" s="238"/>
      <c r="I11247" s="237"/>
    </row>
    <row r="11248" spans="1:9" s="232" customFormat="1" ht="17" customHeight="1">
      <c r="A11248" s="234"/>
      <c r="B11248" s="233"/>
      <c r="C11248" s="238"/>
      <c r="E11248" s="545"/>
      <c r="F11248" s="546"/>
      <c r="G11248" s="234"/>
      <c r="H11248" s="238"/>
      <c r="I11248" s="237"/>
    </row>
    <row r="11249" spans="1:9" s="232" customFormat="1" ht="17" customHeight="1">
      <c r="A11249" s="234"/>
      <c r="B11249" s="233"/>
      <c r="C11249" s="238"/>
      <c r="E11249" s="545"/>
      <c r="F11249" s="546"/>
      <c r="G11249" s="234"/>
      <c r="H11249" s="238"/>
      <c r="I11249" s="237"/>
    </row>
    <row r="11250" spans="1:9" s="232" customFormat="1" ht="17" customHeight="1">
      <c r="A11250" s="234"/>
      <c r="B11250" s="233"/>
      <c r="C11250" s="238"/>
      <c r="E11250" s="545"/>
      <c r="F11250" s="546"/>
      <c r="G11250" s="234"/>
      <c r="H11250" s="238"/>
      <c r="I11250" s="237"/>
    </row>
    <row r="11251" spans="1:9" s="232" customFormat="1" ht="17" customHeight="1">
      <c r="A11251" s="234"/>
      <c r="B11251" s="233"/>
      <c r="C11251" s="238"/>
      <c r="E11251" s="545"/>
      <c r="F11251" s="546"/>
      <c r="G11251" s="234"/>
      <c r="H11251" s="238"/>
      <c r="I11251" s="237"/>
    </row>
    <row r="11252" spans="1:9" s="232" customFormat="1" ht="17" customHeight="1">
      <c r="A11252" s="234"/>
      <c r="B11252" s="233"/>
      <c r="C11252" s="238"/>
      <c r="E11252" s="545"/>
      <c r="F11252" s="546"/>
      <c r="G11252" s="234"/>
      <c r="H11252" s="238"/>
      <c r="I11252" s="237"/>
    </row>
    <row r="11253" spans="1:9" s="232" customFormat="1" ht="17" customHeight="1">
      <c r="A11253" s="234"/>
      <c r="B11253" s="233"/>
      <c r="C11253" s="238"/>
      <c r="E11253" s="545"/>
      <c r="F11253" s="546"/>
      <c r="G11253" s="234"/>
      <c r="H11253" s="238"/>
      <c r="I11253" s="237"/>
    </row>
    <row r="11254" spans="1:9" s="232" customFormat="1" ht="17" customHeight="1">
      <c r="A11254" s="234"/>
      <c r="B11254" s="233"/>
      <c r="C11254" s="238"/>
      <c r="E11254" s="545"/>
      <c r="F11254" s="546"/>
      <c r="G11254" s="234"/>
      <c r="H11254" s="238"/>
      <c r="I11254" s="237"/>
    </row>
    <row r="11255" spans="1:9" s="232" customFormat="1" ht="17" customHeight="1">
      <c r="A11255" s="234"/>
      <c r="B11255" s="233"/>
      <c r="C11255" s="238"/>
      <c r="E11255" s="545"/>
      <c r="F11255" s="546"/>
      <c r="G11255" s="234"/>
      <c r="H11255" s="238"/>
      <c r="I11255" s="237"/>
    </row>
    <row r="11256" spans="1:9" s="232" customFormat="1" ht="17" customHeight="1">
      <c r="A11256" s="234"/>
      <c r="B11256" s="233"/>
      <c r="C11256" s="238"/>
      <c r="E11256" s="545"/>
      <c r="F11256" s="546"/>
      <c r="G11256" s="234"/>
      <c r="H11256" s="238"/>
      <c r="I11256" s="237"/>
    </row>
    <row r="11257" spans="1:9" s="232" customFormat="1" ht="17" customHeight="1">
      <c r="A11257" s="234"/>
      <c r="B11257" s="233"/>
      <c r="C11257" s="238"/>
      <c r="E11257" s="545"/>
      <c r="F11257" s="546"/>
      <c r="G11257" s="234"/>
      <c r="H11257" s="238"/>
      <c r="I11257" s="237"/>
    </row>
    <row r="11258" spans="1:9" s="232" customFormat="1" ht="17" customHeight="1">
      <c r="A11258" s="234"/>
      <c r="B11258" s="233"/>
      <c r="C11258" s="238"/>
      <c r="E11258" s="545"/>
      <c r="F11258" s="546"/>
      <c r="G11258" s="234"/>
      <c r="H11258" s="238"/>
      <c r="I11258" s="237"/>
    </row>
    <row r="11259" spans="1:9" s="232" customFormat="1" ht="17" customHeight="1">
      <c r="A11259" s="234"/>
      <c r="B11259" s="233"/>
      <c r="C11259" s="238"/>
      <c r="E11259" s="545"/>
      <c r="F11259" s="546"/>
      <c r="G11259" s="234"/>
      <c r="H11259" s="238"/>
      <c r="I11259" s="237"/>
    </row>
    <row r="11260" spans="1:9" s="232" customFormat="1" ht="17" customHeight="1">
      <c r="A11260" s="234"/>
      <c r="B11260" s="233"/>
      <c r="C11260" s="238"/>
      <c r="E11260" s="545"/>
      <c r="F11260" s="546"/>
      <c r="G11260" s="234"/>
      <c r="H11260" s="238"/>
      <c r="I11260" s="237"/>
    </row>
    <row r="11261" spans="1:9" s="232" customFormat="1" ht="17" customHeight="1">
      <c r="A11261" s="234"/>
      <c r="B11261" s="233"/>
      <c r="C11261" s="238"/>
      <c r="E11261" s="545"/>
      <c r="F11261" s="546"/>
      <c r="G11261" s="234"/>
      <c r="H11261" s="238"/>
      <c r="I11261" s="237"/>
    </row>
    <row r="11262" spans="1:9" s="232" customFormat="1" ht="17" customHeight="1">
      <c r="A11262" s="234"/>
      <c r="B11262" s="233"/>
      <c r="C11262" s="238"/>
      <c r="E11262" s="545"/>
      <c r="F11262" s="546"/>
      <c r="G11262" s="234"/>
      <c r="H11262" s="238"/>
      <c r="I11262" s="237"/>
    </row>
    <row r="11263" spans="1:9" s="232" customFormat="1" ht="17" customHeight="1">
      <c r="A11263" s="234"/>
      <c r="B11263" s="233"/>
      <c r="C11263" s="238"/>
      <c r="E11263" s="545"/>
      <c r="F11263" s="546"/>
      <c r="G11263" s="234"/>
      <c r="H11263" s="238"/>
      <c r="I11263" s="237"/>
    </row>
    <row r="11264" spans="1:9" s="232" customFormat="1" ht="17" customHeight="1">
      <c r="A11264" s="234"/>
      <c r="B11264" s="233"/>
      <c r="C11264" s="238"/>
      <c r="E11264" s="545"/>
      <c r="F11264" s="546"/>
      <c r="G11264" s="234"/>
      <c r="H11264" s="238"/>
      <c r="I11264" s="237"/>
    </row>
    <row r="11265" spans="1:9" s="232" customFormat="1" ht="17" customHeight="1">
      <c r="A11265" s="234"/>
      <c r="B11265" s="233"/>
      <c r="C11265" s="238"/>
      <c r="E11265" s="545"/>
      <c r="F11265" s="546"/>
      <c r="G11265" s="234"/>
      <c r="H11265" s="238"/>
      <c r="I11265" s="237"/>
    </row>
    <row r="11266" spans="1:9" s="232" customFormat="1" ht="17" customHeight="1">
      <c r="A11266" s="234"/>
      <c r="B11266" s="233"/>
      <c r="C11266" s="238"/>
      <c r="E11266" s="545"/>
      <c r="F11266" s="546"/>
      <c r="G11266" s="234"/>
      <c r="H11266" s="238"/>
      <c r="I11266" s="237"/>
    </row>
    <row r="11267" spans="1:9" s="232" customFormat="1" ht="17" customHeight="1">
      <c r="A11267" s="234"/>
      <c r="B11267" s="233"/>
      <c r="C11267" s="238"/>
      <c r="E11267" s="545"/>
      <c r="F11267" s="546"/>
      <c r="G11267" s="234"/>
      <c r="H11267" s="238"/>
      <c r="I11267" s="237"/>
    </row>
    <row r="11268" spans="1:9" s="232" customFormat="1" ht="17" customHeight="1">
      <c r="A11268" s="234"/>
      <c r="B11268" s="233"/>
      <c r="C11268" s="238"/>
      <c r="E11268" s="545"/>
      <c r="F11268" s="546"/>
      <c r="G11268" s="234"/>
      <c r="H11268" s="238"/>
      <c r="I11268" s="237"/>
    </row>
    <row r="11269" spans="1:9" s="232" customFormat="1" ht="17" customHeight="1">
      <c r="A11269" s="234"/>
      <c r="B11269" s="233"/>
      <c r="C11269" s="238"/>
      <c r="E11269" s="545"/>
      <c r="F11269" s="546"/>
      <c r="G11269" s="234"/>
      <c r="H11269" s="238"/>
      <c r="I11269" s="237"/>
    </row>
    <row r="11270" spans="1:9" s="232" customFormat="1" ht="17" customHeight="1">
      <c r="A11270" s="234"/>
      <c r="B11270" s="233"/>
      <c r="C11270" s="238"/>
      <c r="E11270" s="545"/>
      <c r="F11270" s="546"/>
      <c r="G11270" s="234"/>
      <c r="H11270" s="238"/>
      <c r="I11270" s="237"/>
    </row>
    <row r="11271" spans="1:9" s="232" customFormat="1" ht="17" customHeight="1">
      <c r="A11271" s="234"/>
      <c r="B11271" s="233"/>
      <c r="C11271" s="238"/>
      <c r="E11271" s="545"/>
      <c r="F11271" s="546"/>
      <c r="G11271" s="234"/>
      <c r="H11271" s="238"/>
      <c r="I11271" s="237"/>
    </row>
    <row r="11272" spans="1:9" s="232" customFormat="1" ht="17" customHeight="1">
      <c r="A11272" s="234"/>
      <c r="B11272" s="233"/>
      <c r="C11272" s="238"/>
      <c r="E11272" s="545"/>
      <c r="F11272" s="546"/>
      <c r="G11272" s="234"/>
      <c r="H11272" s="238"/>
      <c r="I11272" s="237"/>
    </row>
    <row r="11273" spans="1:9" s="232" customFormat="1" ht="17" customHeight="1">
      <c r="A11273" s="234"/>
      <c r="B11273" s="233"/>
      <c r="C11273" s="238"/>
      <c r="E11273" s="545"/>
      <c r="F11273" s="546"/>
      <c r="G11273" s="234"/>
      <c r="H11273" s="238"/>
      <c r="I11273" s="237"/>
    </row>
    <row r="11274" spans="1:9" s="232" customFormat="1" ht="17" customHeight="1">
      <c r="A11274" s="234"/>
      <c r="B11274" s="233"/>
      <c r="C11274" s="238"/>
      <c r="E11274" s="545"/>
      <c r="F11274" s="546"/>
      <c r="G11274" s="234"/>
      <c r="H11274" s="238"/>
      <c r="I11274" s="237"/>
    </row>
    <row r="11275" spans="1:9" s="232" customFormat="1" ht="17" customHeight="1">
      <c r="A11275" s="234"/>
      <c r="B11275" s="233"/>
      <c r="C11275" s="238"/>
      <c r="E11275" s="545"/>
      <c r="F11275" s="546"/>
      <c r="G11275" s="234"/>
      <c r="H11275" s="238"/>
      <c r="I11275" s="237"/>
    </row>
    <row r="11276" spans="1:9" s="232" customFormat="1" ht="17" customHeight="1">
      <c r="A11276" s="234"/>
      <c r="B11276" s="233"/>
      <c r="C11276" s="238"/>
      <c r="E11276" s="545"/>
      <c r="F11276" s="546"/>
      <c r="G11276" s="234"/>
      <c r="H11276" s="238"/>
      <c r="I11276" s="237"/>
    </row>
    <row r="11277" spans="1:9" s="232" customFormat="1" ht="17" customHeight="1">
      <c r="A11277" s="234"/>
      <c r="B11277" s="233"/>
      <c r="C11277" s="238"/>
      <c r="E11277" s="545"/>
      <c r="F11277" s="546"/>
      <c r="G11277" s="234"/>
      <c r="H11277" s="238"/>
      <c r="I11277" s="237"/>
    </row>
    <row r="11278" spans="1:9" s="232" customFormat="1" ht="17" customHeight="1">
      <c r="A11278" s="234"/>
      <c r="B11278" s="233"/>
      <c r="C11278" s="238"/>
      <c r="E11278" s="545"/>
      <c r="F11278" s="546"/>
      <c r="G11278" s="234"/>
      <c r="H11278" s="238"/>
      <c r="I11278" s="237"/>
    </row>
    <row r="11279" spans="1:9" s="232" customFormat="1" ht="17" customHeight="1">
      <c r="A11279" s="234"/>
      <c r="B11279" s="233"/>
      <c r="C11279" s="238"/>
      <c r="E11279" s="545"/>
      <c r="F11279" s="546"/>
      <c r="G11279" s="234"/>
      <c r="H11279" s="238"/>
      <c r="I11279" s="237"/>
    </row>
    <row r="11280" spans="1:9" s="232" customFormat="1" ht="17" customHeight="1">
      <c r="A11280" s="234"/>
      <c r="B11280" s="233"/>
      <c r="C11280" s="238"/>
      <c r="E11280" s="545"/>
      <c r="F11280" s="546"/>
      <c r="G11280" s="234"/>
      <c r="H11280" s="238"/>
      <c r="I11280" s="237"/>
    </row>
    <row r="11281" spans="1:9" s="232" customFormat="1" ht="17" customHeight="1">
      <c r="A11281" s="234"/>
      <c r="B11281" s="233"/>
      <c r="C11281" s="238"/>
      <c r="E11281" s="545"/>
      <c r="F11281" s="546"/>
      <c r="G11281" s="234"/>
      <c r="H11281" s="238"/>
      <c r="I11281" s="237"/>
    </row>
    <row r="11282" spans="1:9" s="232" customFormat="1" ht="17" customHeight="1">
      <c r="A11282" s="234"/>
      <c r="B11282" s="233"/>
      <c r="C11282" s="238"/>
      <c r="E11282" s="545"/>
      <c r="F11282" s="546"/>
      <c r="G11282" s="234"/>
      <c r="H11282" s="238"/>
      <c r="I11282" s="237"/>
    </row>
    <row r="11283" spans="1:9" s="232" customFormat="1" ht="17" customHeight="1">
      <c r="A11283" s="234"/>
      <c r="B11283" s="233"/>
      <c r="C11283" s="238"/>
      <c r="E11283" s="545"/>
      <c r="F11283" s="546"/>
      <c r="G11283" s="234"/>
      <c r="H11283" s="238"/>
      <c r="I11283" s="237"/>
    </row>
    <row r="11284" spans="1:9" s="232" customFormat="1" ht="17" customHeight="1">
      <c r="A11284" s="234"/>
      <c r="B11284" s="233"/>
      <c r="C11284" s="238"/>
      <c r="E11284" s="545"/>
      <c r="F11284" s="546"/>
      <c r="G11284" s="234"/>
      <c r="H11284" s="238"/>
      <c r="I11284" s="237"/>
    </row>
    <row r="11285" spans="1:9" s="232" customFormat="1" ht="17" customHeight="1">
      <c r="A11285" s="234"/>
      <c r="B11285" s="233"/>
      <c r="C11285" s="238"/>
      <c r="E11285" s="545"/>
      <c r="F11285" s="546"/>
      <c r="G11285" s="234"/>
      <c r="H11285" s="238"/>
      <c r="I11285" s="237"/>
    </row>
    <row r="11286" spans="1:9" s="232" customFormat="1" ht="17" customHeight="1">
      <c r="A11286" s="234"/>
      <c r="B11286" s="233"/>
      <c r="C11286" s="238"/>
      <c r="E11286" s="545"/>
      <c r="F11286" s="546"/>
      <c r="G11286" s="234"/>
      <c r="H11286" s="238"/>
      <c r="I11286" s="237"/>
    </row>
    <row r="11287" spans="1:9" s="232" customFormat="1" ht="17" customHeight="1">
      <c r="A11287" s="234"/>
      <c r="B11287" s="233"/>
      <c r="C11287" s="238"/>
      <c r="E11287" s="545"/>
      <c r="F11287" s="546"/>
      <c r="G11287" s="234"/>
      <c r="H11287" s="238"/>
      <c r="I11287" s="237"/>
    </row>
    <row r="11288" spans="1:9" s="232" customFormat="1" ht="17" customHeight="1">
      <c r="A11288" s="234"/>
      <c r="B11288" s="233"/>
      <c r="C11288" s="238"/>
      <c r="E11288" s="545"/>
      <c r="F11288" s="546"/>
      <c r="G11288" s="234"/>
      <c r="H11288" s="238"/>
      <c r="I11288" s="237"/>
    </row>
    <row r="11289" spans="1:9" s="232" customFormat="1" ht="17" customHeight="1">
      <c r="A11289" s="234"/>
      <c r="B11289" s="233"/>
      <c r="C11289" s="238"/>
      <c r="E11289" s="545"/>
      <c r="F11289" s="546"/>
      <c r="G11289" s="234"/>
      <c r="H11289" s="238"/>
      <c r="I11289" s="237"/>
    </row>
    <row r="11290" spans="1:9" s="232" customFormat="1" ht="17" customHeight="1">
      <c r="A11290" s="234"/>
      <c r="B11290" s="233"/>
      <c r="C11290" s="238"/>
      <c r="E11290" s="545"/>
      <c r="F11290" s="546"/>
      <c r="G11290" s="234"/>
      <c r="H11290" s="238"/>
      <c r="I11290" s="237"/>
    </row>
    <row r="11291" spans="1:9" s="232" customFormat="1" ht="17" customHeight="1">
      <c r="A11291" s="234"/>
      <c r="B11291" s="233"/>
      <c r="C11291" s="238"/>
      <c r="E11291" s="545"/>
      <c r="F11291" s="546"/>
      <c r="G11291" s="234"/>
      <c r="H11291" s="238"/>
      <c r="I11291" s="237"/>
    </row>
    <row r="11292" spans="1:9" s="232" customFormat="1" ht="17" customHeight="1">
      <c r="A11292" s="234"/>
      <c r="B11292" s="233"/>
      <c r="C11292" s="238"/>
      <c r="E11292" s="545"/>
      <c r="F11292" s="546"/>
      <c r="G11292" s="234"/>
      <c r="H11292" s="238"/>
      <c r="I11292" s="237"/>
    </row>
    <row r="11293" spans="1:9" s="232" customFormat="1" ht="17" customHeight="1">
      <c r="A11293" s="234"/>
      <c r="B11293" s="233"/>
      <c r="C11293" s="238"/>
      <c r="E11293" s="545"/>
      <c r="F11293" s="546"/>
      <c r="G11293" s="234"/>
      <c r="H11293" s="238"/>
      <c r="I11293" s="237"/>
    </row>
    <row r="11294" spans="1:9" s="232" customFormat="1" ht="17" customHeight="1">
      <c r="A11294" s="234"/>
      <c r="B11294" s="233"/>
      <c r="C11294" s="238"/>
      <c r="E11294" s="545"/>
      <c r="F11294" s="546"/>
      <c r="G11294" s="234"/>
      <c r="H11294" s="238"/>
      <c r="I11294" s="237"/>
    </row>
    <row r="11295" spans="1:9" s="232" customFormat="1" ht="17" customHeight="1">
      <c r="A11295" s="234"/>
      <c r="B11295" s="233"/>
      <c r="C11295" s="238"/>
      <c r="E11295" s="545"/>
      <c r="F11295" s="546"/>
      <c r="G11295" s="234"/>
      <c r="H11295" s="238"/>
      <c r="I11295" s="237"/>
    </row>
    <row r="11296" spans="1:9" s="232" customFormat="1" ht="17" customHeight="1">
      <c r="A11296" s="234"/>
      <c r="B11296" s="233"/>
      <c r="C11296" s="238"/>
      <c r="E11296" s="545"/>
      <c r="F11296" s="546"/>
      <c r="G11296" s="234"/>
      <c r="H11296" s="238"/>
      <c r="I11296" s="237"/>
    </row>
    <row r="11297" spans="1:9" s="232" customFormat="1" ht="17" customHeight="1">
      <c r="A11297" s="234"/>
      <c r="B11297" s="233"/>
      <c r="C11297" s="238"/>
      <c r="E11297" s="545"/>
      <c r="F11297" s="546"/>
      <c r="G11297" s="234"/>
      <c r="H11297" s="238"/>
      <c r="I11297" s="237"/>
    </row>
    <row r="11298" spans="1:9" s="232" customFormat="1" ht="17" customHeight="1">
      <c r="A11298" s="234"/>
      <c r="B11298" s="233"/>
      <c r="C11298" s="238"/>
      <c r="E11298" s="545"/>
      <c r="F11298" s="546"/>
      <c r="G11298" s="234"/>
      <c r="H11298" s="238"/>
      <c r="I11298" s="237"/>
    </row>
    <row r="11299" spans="1:9" s="232" customFormat="1" ht="17" customHeight="1">
      <c r="A11299" s="234"/>
      <c r="B11299" s="233"/>
      <c r="C11299" s="238"/>
      <c r="E11299" s="545"/>
      <c r="F11299" s="546"/>
      <c r="G11299" s="234"/>
      <c r="H11299" s="238"/>
      <c r="I11299" s="237"/>
    </row>
    <row r="11300" spans="1:9" s="232" customFormat="1" ht="17" customHeight="1">
      <c r="A11300" s="234"/>
      <c r="B11300" s="233"/>
      <c r="C11300" s="238"/>
      <c r="E11300" s="545"/>
      <c r="F11300" s="546"/>
      <c r="G11300" s="234"/>
      <c r="H11300" s="238"/>
      <c r="I11300" s="237"/>
    </row>
    <row r="11301" spans="1:9" s="232" customFormat="1" ht="17" customHeight="1">
      <c r="A11301" s="234"/>
      <c r="B11301" s="233"/>
      <c r="C11301" s="238"/>
      <c r="E11301" s="545"/>
      <c r="F11301" s="546"/>
      <c r="G11301" s="234"/>
      <c r="H11301" s="238"/>
      <c r="I11301" s="237"/>
    </row>
    <row r="11302" spans="1:9" s="232" customFormat="1" ht="17" customHeight="1">
      <c r="A11302" s="234"/>
      <c r="B11302" s="233"/>
      <c r="C11302" s="238"/>
      <c r="E11302" s="545"/>
      <c r="F11302" s="546"/>
      <c r="G11302" s="234"/>
      <c r="H11302" s="238"/>
      <c r="I11302" s="237"/>
    </row>
    <row r="11303" spans="1:9" s="232" customFormat="1" ht="17" customHeight="1">
      <c r="A11303" s="234"/>
      <c r="B11303" s="233"/>
      <c r="C11303" s="238"/>
      <c r="E11303" s="545"/>
      <c r="F11303" s="546"/>
      <c r="G11303" s="234"/>
      <c r="H11303" s="238"/>
      <c r="I11303" s="237"/>
    </row>
    <row r="11304" spans="1:9" s="232" customFormat="1" ht="17" customHeight="1">
      <c r="A11304" s="234"/>
      <c r="B11304" s="233"/>
      <c r="C11304" s="238"/>
      <c r="E11304" s="545"/>
      <c r="F11304" s="546"/>
      <c r="G11304" s="234"/>
      <c r="H11304" s="238"/>
      <c r="I11304" s="237"/>
    </row>
    <row r="11305" spans="1:9" s="232" customFormat="1" ht="17" customHeight="1">
      <c r="A11305" s="234"/>
      <c r="B11305" s="233"/>
      <c r="C11305" s="238"/>
      <c r="E11305" s="545"/>
      <c r="F11305" s="546"/>
      <c r="G11305" s="234"/>
      <c r="H11305" s="238"/>
      <c r="I11305" s="237"/>
    </row>
    <row r="11306" spans="1:9" s="232" customFormat="1" ht="17" customHeight="1">
      <c r="A11306" s="234"/>
      <c r="B11306" s="233"/>
      <c r="C11306" s="238"/>
      <c r="E11306" s="545"/>
      <c r="F11306" s="546"/>
      <c r="G11306" s="234"/>
      <c r="H11306" s="238"/>
      <c r="I11306" s="237"/>
    </row>
    <row r="11307" spans="1:9" s="232" customFormat="1" ht="17" customHeight="1">
      <c r="A11307" s="234"/>
      <c r="B11307" s="233"/>
      <c r="C11307" s="238"/>
      <c r="E11307" s="545"/>
      <c r="F11307" s="546"/>
      <c r="G11307" s="234"/>
      <c r="H11307" s="238"/>
      <c r="I11307" s="237"/>
    </row>
    <row r="11308" spans="1:9" s="232" customFormat="1" ht="17" customHeight="1">
      <c r="A11308" s="234"/>
      <c r="B11308" s="233"/>
      <c r="C11308" s="238"/>
      <c r="E11308" s="545"/>
      <c r="F11308" s="546"/>
      <c r="G11308" s="234"/>
      <c r="H11308" s="238"/>
      <c r="I11308" s="237"/>
    </row>
    <row r="11309" spans="1:9" s="232" customFormat="1" ht="17" customHeight="1">
      <c r="A11309" s="234"/>
      <c r="B11309" s="233"/>
      <c r="C11309" s="238"/>
      <c r="E11309" s="545"/>
      <c r="F11309" s="546"/>
      <c r="G11309" s="234"/>
      <c r="H11309" s="238"/>
      <c r="I11309" s="237"/>
    </row>
    <row r="11310" spans="1:9" s="232" customFormat="1" ht="17" customHeight="1">
      <c r="A11310" s="234"/>
      <c r="B11310" s="233"/>
      <c r="C11310" s="238"/>
      <c r="E11310" s="545"/>
      <c r="F11310" s="546"/>
      <c r="G11310" s="234"/>
      <c r="H11310" s="238"/>
      <c r="I11310" s="237"/>
    </row>
    <row r="11311" spans="1:9" s="232" customFormat="1" ht="17" customHeight="1">
      <c r="A11311" s="234"/>
      <c r="B11311" s="233"/>
      <c r="C11311" s="238"/>
      <c r="E11311" s="545"/>
      <c r="F11311" s="546"/>
      <c r="G11311" s="234"/>
      <c r="H11311" s="238"/>
      <c r="I11311" s="237"/>
    </row>
    <row r="11312" spans="1:9" s="232" customFormat="1" ht="17" customHeight="1">
      <c r="A11312" s="234"/>
      <c r="B11312" s="233"/>
      <c r="C11312" s="238"/>
      <c r="E11312" s="545"/>
      <c r="F11312" s="546"/>
      <c r="G11312" s="234"/>
      <c r="H11312" s="238"/>
      <c r="I11312" s="237"/>
    </row>
    <row r="11313" spans="1:9" s="232" customFormat="1" ht="17" customHeight="1">
      <c r="A11313" s="234"/>
      <c r="B11313" s="233"/>
      <c r="C11313" s="238"/>
      <c r="E11313" s="545"/>
      <c r="F11313" s="546"/>
      <c r="G11313" s="234"/>
      <c r="H11313" s="238"/>
      <c r="I11313" s="237"/>
    </row>
    <row r="11314" spans="1:9" s="232" customFormat="1" ht="17" customHeight="1">
      <c r="A11314" s="234"/>
      <c r="B11314" s="233"/>
      <c r="C11314" s="238"/>
      <c r="E11314" s="545"/>
      <c r="F11314" s="546"/>
      <c r="G11314" s="234"/>
      <c r="H11314" s="238"/>
      <c r="I11314" s="237"/>
    </row>
    <row r="11315" spans="1:9" s="232" customFormat="1" ht="17" customHeight="1">
      <c r="A11315" s="234"/>
      <c r="B11315" s="233"/>
      <c r="C11315" s="238"/>
      <c r="E11315" s="545"/>
      <c r="F11315" s="546"/>
      <c r="G11315" s="234"/>
      <c r="H11315" s="238"/>
      <c r="I11315" s="237"/>
    </row>
    <row r="11316" spans="1:9" s="232" customFormat="1" ht="17" customHeight="1">
      <c r="A11316" s="234"/>
      <c r="B11316" s="233"/>
      <c r="C11316" s="238"/>
      <c r="E11316" s="545"/>
      <c r="F11316" s="546"/>
      <c r="G11316" s="234"/>
      <c r="H11316" s="238"/>
      <c r="I11316" s="237"/>
    </row>
    <row r="11317" spans="1:9" s="232" customFormat="1" ht="17" customHeight="1">
      <c r="A11317" s="234"/>
      <c r="B11317" s="233"/>
      <c r="C11317" s="238"/>
      <c r="E11317" s="545"/>
      <c r="F11317" s="546"/>
      <c r="G11317" s="234"/>
      <c r="H11317" s="238"/>
      <c r="I11317" s="237"/>
    </row>
    <row r="11318" spans="1:9" s="232" customFormat="1" ht="17" customHeight="1">
      <c r="A11318" s="234"/>
      <c r="B11318" s="233"/>
      <c r="C11318" s="238"/>
      <c r="E11318" s="545"/>
      <c r="F11318" s="546"/>
      <c r="G11318" s="234"/>
      <c r="H11318" s="238"/>
      <c r="I11318" s="237"/>
    </row>
    <row r="11319" spans="1:9" s="232" customFormat="1" ht="17" customHeight="1">
      <c r="A11319" s="234"/>
      <c r="B11319" s="233"/>
      <c r="C11319" s="238"/>
      <c r="E11319" s="545"/>
      <c r="F11319" s="546"/>
      <c r="G11319" s="234"/>
      <c r="H11319" s="238"/>
      <c r="I11319" s="237"/>
    </row>
    <row r="11320" spans="1:9" s="232" customFormat="1" ht="17" customHeight="1">
      <c r="A11320" s="234"/>
      <c r="B11320" s="233"/>
      <c r="C11320" s="238"/>
      <c r="E11320" s="545"/>
      <c r="F11320" s="546"/>
      <c r="G11320" s="234"/>
      <c r="H11320" s="238"/>
      <c r="I11320" s="237"/>
    </row>
    <row r="11321" spans="1:9" s="232" customFormat="1" ht="17" customHeight="1">
      <c r="A11321" s="234"/>
      <c r="B11321" s="233"/>
      <c r="C11321" s="238"/>
      <c r="E11321" s="545"/>
      <c r="F11321" s="546"/>
      <c r="G11321" s="234"/>
      <c r="H11321" s="238"/>
      <c r="I11321" s="237"/>
    </row>
    <row r="11322" spans="1:9" s="232" customFormat="1" ht="17" customHeight="1">
      <c r="A11322" s="234"/>
      <c r="B11322" s="233"/>
      <c r="C11322" s="238"/>
      <c r="E11322" s="545"/>
      <c r="F11322" s="546"/>
      <c r="G11322" s="234"/>
      <c r="H11322" s="238"/>
      <c r="I11322" s="237"/>
    </row>
    <row r="11323" spans="1:9" s="232" customFormat="1" ht="17" customHeight="1">
      <c r="A11323" s="234"/>
      <c r="B11323" s="233"/>
      <c r="C11323" s="238"/>
      <c r="E11323" s="545"/>
      <c r="F11323" s="546"/>
      <c r="G11323" s="234"/>
      <c r="H11323" s="238"/>
      <c r="I11323" s="237"/>
    </row>
    <row r="11324" spans="1:9" s="232" customFormat="1" ht="17" customHeight="1">
      <c r="A11324" s="234"/>
      <c r="B11324" s="233"/>
      <c r="C11324" s="238"/>
      <c r="E11324" s="545"/>
      <c r="F11324" s="546"/>
      <c r="G11324" s="234"/>
      <c r="H11324" s="238"/>
      <c r="I11324" s="237"/>
    </row>
    <row r="11325" spans="1:9" s="232" customFormat="1" ht="17" customHeight="1">
      <c r="A11325" s="234"/>
      <c r="B11325" s="233"/>
      <c r="C11325" s="238"/>
      <c r="E11325" s="545"/>
      <c r="F11325" s="546"/>
      <c r="G11325" s="234"/>
      <c r="H11325" s="238"/>
      <c r="I11325" s="237"/>
    </row>
    <row r="11326" spans="1:9" s="232" customFormat="1" ht="17" customHeight="1">
      <c r="A11326" s="234"/>
      <c r="B11326" s="233"/>
      <c r="C11326" s="238"/>
      <c r="E11326" s="545"/>
      <c r="F11326" s="546"/>
      <c r="G11326" s="234"/>
      <c r="H11326" s="238"/>
      <c r="I11326" s="237"/>
    </row>
    <row r="11327" spans="1:9" s="232" customFormat="1" ht="17" customHeight="1">
      <c r="A11327" s="234"/>
      <c r="B11327" s="233"/>
      <c r="C11327" s="238"/>
      <c r="E11327" s="545"/>
      <c r="F11327" s="546"/>
      <c r="G11327" s="234"/>
      <c r="H11327" s="238"/>
      <c r="I11327" s="237"/>
    </row>
    <row r="11328" spans="1:9" s="232" customFormat="1" ht="17" customHeight="1">
      <c r="A11328" s="234"/>
      <c r="B11328" s="233"/>
      <c r="C11328" s="238"/>
      <c r="E11328" s="545"/>
      <c r="F11328" s="546"/>
      <c r="G11328" s="234"/>
      <c r="H11328" s="238"/>
      <c r="I11328" s="237"/>
    </row>
    <row r="11329" spans="1:9" s="232" customFormat="1" ht="17" customHeight="1">
      <c r="A11329" s="234"/>
      <c r="B11329" s="233"/>
      <c r="C11329" s="238"/>
      <c r="E11329" s="545"/>
      <c r="F11329" s="546"/>
      <c r="G11329" s="234"/>
      <c r="H11329" s="238"/>
      <c r="I11329" s="237"/>
    </row>
    <row r="11330" spans="1:9" s="232" customFormat="1" ht="17" customHeight="1">
      <c r="A11330" s="234"/>
      <c r="B11330" s="233"/>
      <c r="C11330" s="238"/>
      <c r="E11330" s="545"/>
      <c r="F11330" s="546"/>
      <c r="G11330" s="234"/>
      <c r="H11330" s="238"/>
      <c r="I11330" s="237"/>
    </row>
    <row r="11331" spans="1:9" s="232" customFormat="1" ht="17" customHeight="1">
      <c r="A11331" s="234"/>
      <c r="B11331" s="233"/>
      <c r="C11331" s="238"/>
      <c r="E11331" s="545"/>
      <c r="F11331" s="546"/>
      <c r="G11331" s="234"/>
      <c r="H11331" s="238"/>
      <c r="I11331" s="237"/>
    </row>
    <row r="11332" spans="1:9" s="232" customFormat="1" ht="17" customHeight="1">
      <c r="A11332" s="234"/>
      <c r="B11332" s="233"/>
      <c r="C11332" s="238"/>
      <c r="E11332" s="545"/>
      <c r="F11332" s="546"/>
      <c r="G11332" s="234"/>
      <c r="H11332" s="238"/>
      <c r="I11332" s="237"/>
    </row>
    <row r="11333" spans="1:9" s="232" customFormat="1" ht="17" customHeight="1">
      <c r="A11333" s="234"/>
      <c r="B11333" s="233"/>
      <c r="C11333" s="238"/>
      <c r="E11333" s="545"/>
      <c r="F11333" s="546"/>
      <c r="G11333" s="234"/>
      <c r="H11333" s="238"/>
      <c r="I11333" s="237"/>
    </row>
    <row r="11334" spans="1:9" s="232" customFormat="1" ht="17" customHeight="1">
      <c r="A11334" s="234"/>
      <c r="B11334" s="233"/>
      <c r="C11334" s="238"/>
      <c r="E11334" s="545"/>
      <c r="F11334" s="546"/>
      <c r="G11334" s="234"/>
      <c r="H11334" s="238"/>
      <c r="I11334" s="237"/>
    </row>
    <row r="11335" spans="1:9" s="232" customFormat="1" ht="17" customHeight="1">
      <c r="A11335" s="234"/>
      <c r="B11335" s="233"/>
      <c r="C11335" s="238"/>
      <c r="E11335" s="545"/>
      <c r="F11335" s="546"/>
      <c r="G11335" s="234"/>
      <c r="H11335" s="238"/>
      <c r="I11335" s="237"/>
    </row>
    <row r="11336" spans="1:9" s="232" customFormat="1" ht="17" customHeight="1">
      <c r="A11336" s="234"/>
      <c r="B11336" s="233"/>
      <c r="C11336" s="238"/>
      <c r="E11336" s="545"/>
      <c r="F11336" s="546"/>
      <c r="G11336" s="234"/>
      <c r="H11336" s="238"/>
      <c r="I11336" s="237"/>
    </row>
    <row r="11337" spans="1:9" s="232" customFormat="1" ht="17" customHeight="1">
      <c r="A11337" s="234"/>
      <c r="B11337" s="233"/>
      <c r="C11337" s="238"/>
      <c r="E11337" s="545"/>
      <c r="F11337" s="546"/>
      <c r="G11337" s="234"/>
      <c r="H11337" s="238"/>
      <c r="I11337" s="237"/>
    </row>
    <row r="11338" spans="1:9" s="232" customFormat="1" ht="17" customHeight="1">
      <c r="A11338" s="234"/>
      <c r="B11338" s="233"/>
      <c r="C11338" s="238"/>
      <c r="E11338" s="545"/>
      <c r="F11338" s="546"/>
      <c r="G11338" s="234"/>
      <c r="H11338" s="238"/>
      <c r="I11338" s="237"/>
    </row>
    <row r="11339" spans="1:9" s="232" customFormat="1" ht="17" customHeight="1">
      <c r="A11339" s="234"/>
      <c r="B11339" s="233"/>
      <c r="C11339" s="238"/>
      <c r="E11339" s="545"/>
      <c r="F11339" s="546"/>
      <c r="G11339" s="234"/>
      <c r="H11339" s="238"/>
      <c r="I11339" s="237"/>
    </row>
    <row r="11340" spans="1:9" s="232" customFormat="1" ht="17" customHeight="1">
      <c r="A11340" s="234"/>
      <c r="B11340" s="233"/>
      <c r="C11340" s="238"/>
      <c r="E11340" s="545"/>
      <c r="F11340" s="546"/>
      <c r="G11340" s="234"/>
      <c r="H11340" s="238"/>
      <c r="I11340" s="237"/>
    </row>
    <row r="11341" spans="1:9" s="232" customFormat="1" ht="17" customHeight="1">
      <c r="A11341" s="234"/>
      <c r="B11341" s="233"/>
      <c r="C11341" s="238"/>
      <c r="E11341" s="545"/>
      <c r="F11341" s="546"/>
      <c r="G11341" s="234"/>
      <c r="H11341" s="238"/>
      <c r="I11341" s="237"/>
    </row>
    <row r="11342" spans="1:9" s="232" customFormat="1" ht="17" customHeight="1">
      <c r="A11342" s="234"/>
      <c r="B11342" s="233"/>
      <c r="C11342" s="238"/>
      <c r="E11342" s="545"/>
      <c r="F11342" s="546"/>
      <c r="G11342" s="234"/>
      <c r="H11342" s="238"/>
      <c r="I11342" s="237"/>
    </row>
    <row r="11343" spans="1:9" s="232" customFormat="1" ht="17" customHeight="1">
      <c r="A11343" s="234"/>
      <c r="B11343" s="233"/>
      <c r="C11343" s="238"/>
      <c r="E11343" s="545"/>
      <c r="F11343" s="546"/>
      <c r="G11343" s="234"/>
      <c r="H11343" s="238"/>
      <c r="I11343" s="237"/>
    </row>
    <row r="11344" spans="1:9" s="232" customFormat="1" ht="17" customHeight="1">
      <c r="A11344" s="234"/>
      <c r="B11344" s="233"/>
      <c r="C11344" s="238"/>
      <c r="E11344" s="545"/>
      <c r="F11344" s="546"/>
      <c r="G11344" s="234"/>
      <c r="H11344" s="238"/>
      <c r="I11344" s="237"/>
    </row>
    <row r="11345" spans="1:9" s="232" customFormat="1" ht="17" customHeight="1">
      <c r="A11345" s="234"/>
      <c r="B11345" s="233"/>
      <c r="C11345" s="238"/>
      <c r="E11345" s="545"/>
      <c r="F11345" s="546"/>
      <c r="G11345" s="234"/>
      <c r="H11345" s="238"/>
      <c r="I11345" s="237"/>
    </row>
    <row r="11346" spans="1:9" s="232" customFormat="1" ht="17" customHeight="1">
      <c r="A11346" s="234"/>
      <c r="B11346" s="233"/>
      <c r="C11346" s="238"/>
      <c r="E11346" s="545"/>
      <c r="F11346" s="546"/>
      <c r="G11346" s="234"/>
      <c r="H11346" s="238"/>
      <c r="I11346" s="237"/>
    </row>
    <row r="11347" spans="1:9" s="232" customFormat="1" ht="17" customHeight="1">
      <c r="A11347" s="234"/>
      <c r="B11347" s="233"/>
      <c r="C11347" s="238"/>
      <c r="E11347" s="545"/>
      <c r="F11347" s="546"/>
      <c r="G11347" s="234"/>
      <c r="H11347" s="238"/>
      <c r="I11347" s="237"/>
    </row>
    <row r="11348" spans="1:9" s="232" customFormat="1" ht="17" customHeight="1">
      <c r="A11348" s="234"/>
      <c r="B11348" s="233"/>
      <c r="C11348" s="238"/>
      <c r="E11348" s="545"/>
      <c r="F11348" s="546"/>
      <c r="G11348" s="234"/>
      <c r="H11348" s="238"/>
      <c r="I11348" s="237"/>
    </row>
    <row r="11349" spans="1:9" s="232" customFormat="1" ht="17" customHeight="1">
      <c r="A11349" s="234"/>
      <c r="B11349" s="233"/>
      <c r="C11349" s="238"/>
      <c r="E11349" s="545"/>
      <c r="F11349" s="546"/>
      <c r="G11349" s="234"/>
      <c r="H11349" s="238"/>
      <c r="I11349" s="237"/>
    </row>
    <row r="11350" spans="1:9" s="232" customFormat="1" ht="17" customHeight="1">
      <c r="A11350" s="234"/>
      <c r="B11350" s="233"/>
      <c r="C11350" s="238"/>
      <c r="E11350" s="545"/>
      <c r="F11350" s="546"/>
      <c r="G11350" s="234"/>
      <c r="H11350" s="238"/>
      <c r="I11350" s="237"/>
    </row>
    <row r="11351" spans="1:9" s="232" customFormat="1" ht="17" customHeight="1">
      <c r="A11351" s="234"/>
      <c r="B11351" s="233"/>
      <c r="C11351" s="238"/>
      <c r="E11351" s="545"/>
      <c r="F11351" s="546"/>
      <c r="G11351" s="234"/>
      <c r="H11351" s="238"/>
      <c r="I11351" s="237"/>
    </row>
    <row r="11352" spans="1:9" s="232" customFormat="1" ht="17" customHeight="1">
      <c r="A11352" s="234"/>
      <c r="B11352" s="233"/>
      <c r="C11352" s="238"/>
      <c r="E11352" s="545"/>
      <c r="F11352" s="546"/>
      <c r="G11352" s="234"/>
      <c r="H11352" s="238"/>
      <c r="I11352" s="237"/>
    </row>
    <row r="11353" spans="1:9" s="232" customFormat="1" ht="17" customHeight="1">
      <c r="A11353" s="234"/>
      <c r="B11353" s="233"/>
      <c r="C11353" s="238"/>
      <c r="E11353" s="545"/>
      <c r="F11353" s="546"/>
      <c r="G11353" s="234"/>
      <c r="H11353" s="238"/>
      <c r="I11353" s="237"/>
    </row>
    <row r="11354" spans="1:9" s="232" customFormat="1" ht="17" customHeight="1">
      <c r="A11354" s="234"/>
      <c r="B11354" s="233"/>
      <c r="C11354" s="238"/>
      <c r="E11354" s="545"/>
      <c r="F11354" s="546"/>
      <c r="G11354" s="234"/>
      <c r="H11354" s="238"/>
      <c r="I11354" s="237"/>
    </row>
    <row r="11355" spans="1:9" s="232" customFormat="1" ht="17" customHeight="1">
      <c r="A11355" s="234"/>
      <c r="B11355" s="233"/>
      <c r="C11355" s="238"/>
      <c r="E11355" s="545"/>
      <c r="F11355" s="546"/>
      <c r="G11355" s="234"/>
      <c r="H11355" s="238"/>
      <c r="I11355" s="237"/>
    </row>
    <row r="11356" spans="1:9" s="232" customFormat="1" ht="17" customHeight="1">
      <c r="A11356" s="234"/>
      <c r="B11356" s="233"/>
      <c r="C11356" s="238"/>
      <c r="E11356" s="545"/>
      <c r="F11356" s="546"/>
      <c r="G11356" s="234"/>
      <c r="H11356" s="238"/>
      <c r="I11356" s="237"/>
    </row>
    <row r="11357" spans="1:9" s="232" customFormat="1" ht="17" customHeight="1">
      <c r="A11357" s="234"/>
      <c r="B11357" s="233"/>
      <c r="C11357" s="238"/>
      <c r="E11357" s="545"/>
      <c r="F11357" s="546"/>
      <c r="G11357" s="234"/>
      <c r="H11357" s="238"/>
      <c r="I11357" s="237"/>
    </row>
    <row r="11358" spans="1:9" s="232" customFormat="1" ht="17" customHeight="1">
      <c r="A11358" s="234"/>
      <c r="B11358" s="233"/>
      <c r="C11358" s="238"/>
      <c r="E11358" s="545"/>
      <c r="F11358" s="546"/>
      <c r="G11358" s="234"/>
      <c r="H11358" s="238"/>
      <c r="I11358" s="237"/>
    </row>
    <row r="11359" spans="1:9" s="232" customFormat="1" ht="17" customHeight="1">
      <c r="A11359" s="234"/>
      <c r="B11359" s="233"/>
      <c r="C11359" s="238"/>
      <c r="E11359" s="545"/>
      <c r="F11359" s="546"/>
      <c r="G11359" s="234"/>
      <c r="H11359" s="238"/>
      <c r="I11359" s="237"/>
    </row>
    <row r="11360" spans="1:9" s="232" customFormat="1" ht="17" customHeight="1">
      <c r="A11360" s="234"/>
      <c r="B11360" s="233"/>
      <c r="C11360" s="238"/>
      <c r="E11360" s="545"/>
      <c r="F11360" s="546"/>
      <c r="G11360" s="234"/>
      <c r="H11360" s="238"/>
      <c r="I11360" s="237"/>
    </row>
    <row r="11361" spans="1:9" s="232" customFormat="1" ht="17" customHeight="1">
      <c r="A11361" s="234"/>
      <c r="B11361" s="233"/>
      <c r="C11361" s="238"/>
      <c r="E11361" s="545"/>
      <c r="F11361" s="546"/>
      <c r="G11361" s="234"/>
      <c r="H11361" s="238"/>
      <c r="I11361" s="237"/>
    </row>
    <row r="11362" spans="1:9" s="232" customFormat="1" ht="17" customHeight="1">
      <c r="A11362" s="234"/>
      <c r="B11362" s="233"/>
      <c r="C11362" s="238"/>
      <c r="E11362" s="545"/>
      <c r="F11362" s="546"/>
      <c r="G11362" s="234"/>
      <c r="H11362" s="238"/>
      <c r="I11362" s="237"/>
    </row>
    <row r="11363" spans="1:9" s="232" customFormat="1" ht="17" customHeight="1">
      <c r="A11363" s="234"/>
      <c r="B11363" s="233"/>
      <c r="C11363" s="238"/>
      <c r="E11363" s="545"/>
      <c r="F11363" s="546"/>
      <c r="G11363" s="234"/>
      <c r="H11363" s="238"/>
      <c r="I11363" s="237"/>
    </row>
    <row r="11364" spans="1:9" s="232" customFormat="1" ht="17" customHeight="1">
      <c r="A11364" s="234"/>
      <c r="B11364" s="233"/>
      <c r="C11364" s="238"/>
      <c r="E11364" s="545"/>
      <c r="F11364" s="546"/>
      <c r="G11364" s="234"/>
      <c r="H11364" s="238"/>
      <c r="I11364" s="237"/>
    </row>
    <row r="11365" spans="1:9" s="232" customFormat="1" ht="17" customHeight="1">
      <c r="A11365" s="234"/>
      <c r="B11365" s="233"/>
      <c r="C11365" s="238"/>
      <c r="E11365" s="545"/>
      <c r="F11365" s="546"/>
      <c r="G11365" s="234"/>
      <c r="H11365" s="238"/>
      <c r="I11365" s="237"/>
    </row>
    <row r="11366" spans="1:9" s="232" customFormat="1" ht="17" customHeight="1">
      <c r="A11366" s="234"/>
      <c r="B11366" s="233"/>
      <c r="C11366" s="238"/>
      <c r="E11366" s="545"/>
      <c r="F11366" s="546"/>
      <c r="G11366" s="234"/>
      <c r="H11366" s="238"/>
      <c r="I11366" s="237"/>
    </row>
    <row r="11367" spans="1:9" s="232" customFormat="1" ht="17" customHeight="1">
      <c r="A11367" s="234"/>
      <c r="B11367" s="233"/>
      <c r="C11367" s="238"/>
      <c r="E11367" s="545"/>
      <c r="F11367" s="546"/>
      <c r="G11367" s="234"/>
      <c r="H11367" s="238"/>
      <c r="I11367" s="237"/>
    </row>
    <row r="11368" spans="1:9" s="232" customFormat="1" ht="17" customHeight="1">
      <c r="A11368" s="234"/>
      <c r="B11368" s="233"/>
      <c r="C11368" s="238"/>
      <c r="E11368" s="545"/>
      <c r="F11368" s="546"/>
      <c r="G11368" s="234"/>
      <c r="H11368" s="238"/>
      <c r="I11368" s="237"/>
    </row>
    <row r="11369" spans="1:9" s="232" customFormat="1" ht="17" customHeight="1">
      <c r="A11369" s="234"/>
      <c r="B11369" s="233"/>
      <c r="C11369" s="238"/>
      <c r="E11369" s="545"/>
      <c r="F11369" s="546"/>
      <c r="G11369" s="234"/>
      <c r="H11369" s="238"/>
      <c r="I11369" s="237"/>
    </row>
    <row r="11370" spans="1:9" s="232" customFormat="1" ht="17" customHeight="1">
      <c r="A11370" s="234"/>
      <c r="B11370" s="233"/>
      <c r="C11370" s="238"/>
      <c r="E11370" s="545"/>
      <c r="F11370" s="546"/>
      <c r="G11370" s="234"/>
      <c r="H11370" s="238"/>
      <c r="I11370" s="237"/>
    </row>
    <row r="11371" spans="1:9" s="232" customFormat="1" ht="17" customHeight="1">
      <c r="A11371" s="234"/>
      <c r="B11371" s="233"/>
      <c r="C11371" s="238"/>
      <c r="E11371" s="545"/>
      <c r="F11371" s="546"/>
      <c r="G11371" s="234"/>
      <c r="H11371" s="238"/>
      <c r="I11371" s="237"/>
    </row>
    <row r="11372" spans="1:9" s="232" customFormat="1" ht="17" customHeight="1">
      <c r="A11372" s="234"/>
      <c r="B11372" s="233"/>
      <c r="C11372" s="238"/>
      <c r="E11372" s="545"/>
      <c r="F11372" s="546"/>
      <c r="G11372" s="234"/>
      <c r="H11372" s="238"/>
      <c r="I11372" s="237"/>
    </row>
    <row r="11373" spans="1:9" s="232" customFormat="1" ht="17" customHeight="1">
      <c r="A11373" s="234"/>
      <c r="B11373" s="233"/>
      <c r="C11373" s="238"/>
      <c r="E11373" s="545"/>
      <c r="F11373" s="546"/>
      <c r="G11373" s="234"/>
      <c r="H11373" s="238"/>
      <c r="I11373" s="237"/>
    </row>
    <row r="11374" spans="1:9" s="232" customFormat="1" ht="17" customHeight="1">
      <c r="A11374" s="234"/>
      <c r="B11374" s="233"/>
      <c r="C11374" s="238"/>
      <c r="E11374" s="545"/>
      <c r="F11374" s="546"/>
      <c r="G11374" s="234"/>
      <c r="H11374" s="238"/>
      <c r="I11374" s="237"/>
    </row>
    <row r="11375" spans="1:9" s="232" customFormat="1" ht="17" customHeight="1">
      <c r="A11375" s="234"/>
      <c r="B11375" s="233"/>
      <c r="C11375" s="238"/>
      <c r="E11375" s="545"/>
      <c r="F11375" s="546"/>
      <c r="G11375" s="234"/>
      <c r="H11375" s="238"/>
      <c r="I11375" s="237"/>
    </row>
    <row r="11376" spans="1:9" s="232" customFormat="1" ht="17" customHeight="1">
      <c r="A11376" s="234"/>
      <c r="B11376" s="233"/>
      <c r="C11376" s="238"/>
      <c r="E11376" s="545"/>
      <c r="F11376" s="546"/>
      <c r="G11376" s="234"/>
      <c r="H11376" s="238"/>
      <c r="I11376" s="237"/>
    </row>
    <row r="11377" spans="1:9" s="232" customFormat="1" ht="17" customHeight="1">
      <c r="A11377" s="234"/>
      <c r="B11377" s="233"/>
      <c r="C11377" s="238"/>
      <c r="E11377" s="545"/>
      <c r="F11377" s="546"/>
      <c r="G11377" s="234"/>
      <c r="H11377" s="238"/>
      <c r="I11377" s="237"/>
    </row>
    <row r="11378" spans="1:9" s="232" customFormat="1" ht="17" customHeight="1">
      <c r="A11378" s="234"/>
      <c r="B11378" s="233"/>
      <c r="C11378" s="238"/>
      <c r="E11378" s="545"/>
      <c r="F11378" s="546"/>
      <c r="G11378" s="234"/>
      <c r="H11378" s="238"/>
      <c r="I11378" s="237"/>
    </row>
    <row r="11379" spans="1:9" s="232" customFormat="1" ht="17" customHeight="1">
      <c r="A11379" s="234"/>
      <c r="B11379" s="233"/>
      <c r="C11379" s="238"/>
      <c r="E11379" s="545"/>
      <c r="F11379" s="546"/>
      <c r="G11379" s="234"/>
      <c r="H11379" s="238"/>
      <c r="I11379" s="237"/>
    </row>
    <row r="11380" spans="1:9" s="232" customFormat="1" ht="17" customHeight="1">
      <c r="A11380" s="234"/>
      <c r="B11380" s="233"/>
      <c r="C11380" s="238"/>
      <c r="E11380" s="545"/>
      <c r="F11380" s="546"/>
      <c r="G11380" s="234"/>
      <c r="H11380" s="238"/>
      <c r="I11380" s="237"/>
    </row>
    <row r="11381" spans="1:9" s="232" customFormat="1" ht="17" customHeight="1">
      <c r="A11381" s="234"/>
      <c r="B11381" s="233"/>
      <c r="C11381" s="238"/>
      <c r="E11381" s="545"/>
      <c r="F11381" s="546"/>
      <c r="G11381" s="234"/>
      <c r="H11381" s="238"/>
      <c r="I11381" s="237"/>
    </row>
    <row r="11382" spans="1:9" s="232" customFormat="1" ht="17" customHeight="1">
      <c r="A11382" s="234"/>
      <c r="B11382" s="233"/>
      <c r="C11382" s="238"/>
      <c r="E11382" s="545"/>
      <c r="F11382" s="546"/>
      <c r="G11382" s="234"/>
      <c r="H11382" s="238"/>
      <c r="I11382" s="237"/>
    </row>
    <row r="11383" spans="1:9" s="232" customFormat="1" ht="17" customHeight="1">
      <c r="A11383" s="234"/>
      <c r="B11383" s="233"/>
      <c r="C11383" s="238"/>
      <c r="E11383" s="545"/>
      <c r="F11383" s="546"/>
      <c r="G11383" s="234"/>
      <c r="H11383" s="238"/>
      <c r="I11383" s="237"/>
    </row>
    <row r="11384" spans="1:9" s="232" customFormat="1" ht="17" customHeight="1">
      <c r="A11384" s="234"/>
      <c r="B11384" s="233"/>
      <c r="C11384" s="238"/>
      <c r="E11384" s="545"/>
      <c r="F11384" s="546"/>
      <c r="G11384" s="234"/>
      <c r="H11384" s="238"/>
      <c r="I11384" s="237"/>
    </row>
    <row r="11385" spans="1:9" s="232" customFormat="1" ht="17" customHeight="1">
      <c r="A11385" s="234"/>
      <c r="B11385" s="233"/>
      <c r="C11385" s="238"/>
      <c r="E11385" s="545"/>
      <c r="F11385" s="546"/>
      <c r="G11385" s="234"/>
      <c r="H11385" s="238"/>
      <c r="I11385" s="237"/>
    </row>
    <row r="11386" spans="1:9" s="232" customFormat="1" ht="17" customHeight="1">
      <c r="A11386" s="234"/>
      <c r="B11386" s="233"/>
      <c r="C11386" s="238"/>
      <c r="E11386" s="545"/>
      <c r="F11386" s="546"/>
      <c r="G11386" s="234"/>
      <c r="H11386" s="238"/>
      <c r="I11386" s="237"/>
    </row>
    <row r="11387" spans="1:9" s="232" customFormat="1" ht="17" customHeight="1">
      <c r="A11387" s="234"/>
      <c r="B11387" s="233"/>
      <c r="C11387" s="238"/>
      <c r="E11387" s="545"/>
      <c r="F11387" s="546"/>
      <c r="G11387" s="234"/>
      <c r="H11387" s="238"/>
      <c r="I11387" s="237"/>
    </row>
    <row r="11388" spans="1:9" s="232" customFormat="1" ht="17" customHeight="1">
      <c r="A11388" s="234"/>
      <c r="B11388" s="233"/>
      <c r="C11388" s="238"/>
      <c r="E11388" s="545"/>
      <c r="F11388" s="546"/>
      <c r="G11388" s="234"/>
      <c r="H11388" s="238"/>
      <c r="I11388" s="237"/>
    </row>
    <row r="11389" spans="1:9" s="232" customFormat="1" ht="17" customHeight="1">
      <c r="A11389" s="234"/>
      <c r="B11389" s="233"/>
      <c r="C11389" s="238"/>
      <c r="E11389" s="545"/>
      <c r="F11389" s="546"/>
      <c r="G11389" s="234"/>
      <c r="H11389" s="238"/>
      <c r="I11389" s="237"/>
    </row>
    <row r="11390" spans="1:9" s="232" customFormat="1" ht="17" customHeight="1">
      <c r="A11390" s="234"/>
      <c r="B11390" s="233"/>
      <c r="C11390" s="238"/>
      <c r="E11390" s="545"/>
      <c r="F11390" s="546"/>
      <c r="G11390" s="234"/>
      <c r="H11390" s="238"/>
      <c r="I11390" s="237"/>
    </row>
    <row r="11391" spans="1:9" s="232" customFormat="1" ht="17" customHeight="1">
      <c r="A11391" s="234"/>
      <c r="B11391" s="233"/>
      <c r="C11391" s="238"/>
      <c r="E11391" s="545"/>
      <c r="F11391" s="546"/>
      <c r="G11391" s="234"/>
      <c r="H11391" s="238"/>
      <c r="I11391" s="237"/>
    </row>
    <row r="11392" spans="1:9" s="232" customFormat="1" ht="17" customHeight="1">
      <c r="A11392" s="234"/>
      <c r="B11392" s="233"/>
      <c r="C11392" s="238"/>
      <c r="E11392" s="545"/>
      <c r="F11392" s="546"/>
      <c r="G11392" s="234"/>
      <c r="H11392" s="238"/>
      <c r="I11392" s="237"/>
    </row>
    <row r="11393" spans="1:9" s="232" customFormat="1" ht="17" customHeight="1">
      <c r="A11393" s="234"/>
      <c r="B11393" s="233"/>
      <c r="C11393" s="238"/>
      <c r="E11393" s="545"/>
      <c r="F11393" s="546"/>
      <c r="G11393" s="234"/>
      <c r="H11393" s="238"/>
      <c r="I11393" s="237"/>
    </row>
    <row r="11394" spans="1:9" s="232" customFormat="1" ht="17" customHeight="1">
      <c r="A11394" s="234"/>
      <c r="B11394" s="233"/>
      <c r="C11394" s="238"/>
      <c r="E11394" s="545"/>
      <c r="F11394" s="546"/>
      <c r="G11394" s="234"/>
      <c r="H11394" s="238"/>
      <c r="I11394" s="237"/>
    </row>
    <row r="11395" spans="1:9" s="232" customFormat="1" ht="17" customHeight="1">
      <c r="A11395" s="234"/>
      <c r="B11395" s="233"/>
      <c r="C11395" s="238"/>
      <c r="E11395" s="545"/>
      <c r="F11395" s="546"/>
      <c r="G11395" s="234"/>
      <c r="H11395" s="238"/>
      <c r="I11395" s="237"/>
    </row>
    <row r="11396" spans="1:9" s="232" customFormat="1" ht="17" customHeight="1">
      <c r="A11396" s="234"/>
      <c r="B11396" s="233"/>
      <c r="C11396" s="238"/>
      <c r="E11396" s="545"/>
      <c r="F11396" s="546"/>
      <c r="G11396" s="234"/>
      <c r="H11396" s="238"/>
      <c r="I11396" s="237"/>
    </row>
    <row r="11397" spans="1:9" s="232" customFormat="1" ht="17" customHeight="1">
      <c r="A11397" s="234"/>
      <c r="B11397" s="233"/>
      <c r="C11397" s="238"/>
      <c r="E11397" s="545"/>
      <c r="F11397" s="546"/>
      <c r="G11397" s="234"/>
      <c r="H11397" s="238"/>
      <c r="I11397" s="237"/>
    </row>
    <row r="11398" spans="1:9" s="232" customFormat="1" ht="17" customHeight="1">
      <c r="A11398" s="234"/>
      <c r="B11398" s="233"/>
      <c r="C11398" s="238"/>
      <c r="E11398" s="545"/>
      <c r="F11398" s="546"/>
      <c r="G11398" s="234"/>
      <c r="H11398" s="238"/>
      <c r="I11398" s="237"/>
    </row>
    <row r="11399" spans="1:9" s="232" customFormat="1" ht="17" customHeight="1">
      <c r="A11399" s="234"/>
      <c r="B11399" s="233"/>
      <c r="C11399" s="238"/>
      <c r="E11399" s="545"/>
      <c r="F11399" s="546"/>
      <c r="G11399" s="234"/>
      <c r="H11399" s="238"/>
      <c r="I11399" s="237"/>
    </row>
    <row r="11400" spans="1:9" s="232" customFormat="1" ht="17" customHeight="1">
      <c r="A11400" s="234"/>
      <c r="B11400" s="233"/>
      <c r="C11400" s="238"/>
      <c r="E11400" s="545"/>
      <c r="F11400" s="546"/>
      <c r="G11400" s="234"/>
      <c r="H11400" s="238"/>
      <c r="I11400" s="237"/>
    </row>
    <row r="11401" spans="1:9" s="232" customFormat="1" ht="17" customHeight="1">
      <c r="A11401" s="234"/>
      <c r="B11401" s="233"/>
      <c r="C11401" s="238"/>
      <c r="E11401" s="545"/>
      <c r="F11401" s="546"/>
      <c r="G11401" s="234"/>
      <c r="H11401" s="238"/>
      <c r="I11401" s="237"/>
    </row>
    <row r="11402" spans="1:9" s="232" customFormat="1" ht="17" customHeight="1">
      <c r="A11402" s="234"/>
      <c r="B11402" s="233"/>
      <c r="C11402" s="238"/>
      <c r="E11402" s="545"/>
      <c r="F11402" s="546"/>
      <c r="G11402" s="234"/>
      <c r="H11402" s="238"/>
      <c r="I11402" s="237"/>
    </row>
    <row r="11403" spans="1:9" s="232" customFormat="1" ht="17" customHeight="1">
      <c r="A11403" s="234"/>
      <c r="B11403" s="233"/>
      <c r="C11403" s="238"/>
      <c r="E11403" s="545"/>
      <c r="F11403" s="546"/>
      <c r="G11403" s="234"/>
      <c r="H11403" s="238"/>
      <c r="I11403" s="237"/>
    </row>
    <row r="11404" spans="1:9" s="232" customFormat="1" ht="17" customHeight="1">
      <c r="A11404" s="234"/>
      <c r="B11404" s="233"/>
      <c r="C11404" s="238"/>
      <c r="E11404" s="545"/>
      <c r="F11404" s="546"/>
      <c r="G11404" s="234"/>
      <c r="H11404" s="238"/>
      <c r="I11404" s="237"/>
    </row>
    <row r="11405" spans="1:9" s="232" customFormat="1" ht="17" customHeight="1">
      <c r="A11405" s="234"/>
      <c r="B11405" s="233"/>
      <c r="C11405" s="238"/>
      <c r="E11405" s="545"/>
      <c r="F11405" s="546"/>
      <c r="G11405" s="234"/>
      <c r="H11405" s="238"/>
      <c r="I11405" s="237"/>
    </row>
    <row r="11406" spans="1:9" s="232" customFormat="1" ht="17" customHeight="1">
      <c r="A11406" s="234"/>
      <c r="B11406" s="233"/>
      <c r="C11406" s="238"/>
      <c r="E11406" s="545"/>
      <c r="F11406" s="546"/>
      <c r="G11406" s="234"/>
      <c r="H11406" s="238"/>
      <c r="I11406" s="237"/>
    </row>
    <row r="11407" spans="1:9" s="232" customFormat="1" ht="17" customHeight="1">
      <c r="A11407" s="234"/>
      <c r="B11407" s="233"/>
      <c r="C11407" s="238"/>
      <c r="E11407" s="545"/>
      <c r="F11407" s="546"/>
      <c r="G11407" s="234"/>
      <c r="H11407" s="238"/>
      <c r="I11407" s="237"/>
    </row>
    <row r="11408" spans="1:9" s="232" customFormat="1" ht="17" customHeight="1">
      <c r="A11408" s="234"/>
      <c r="B11408" s="233"/>
      <c r="C11408" s="238"/>
      <c r="E11408" s="545"/>
      <c r="F11408" s="546"/>
      <c r="G11408" s="234"/>
      <c r="H11408" s="238"/>
      <c r="I11408" s="237"/>
    </row>
    <row r="11409" spans="1:9" s="232" customFormat="1" ht="17" customHeight="1">
      <c r="A11409" s="234"/>
      <c r="B11409" s="233"/>
      <c r="C11409" s="238"/>
      <c r="E11409" s="545"/>
      <c r="F11409" s="546"/>
      <c r="G11409" s="234"/>
      <c r="H11409" s="238"/>
      <c r="I11409" s="237"/>
    </row>
    <row r="11410" spans="1:9" s="232" customFormat="1" ht="17" customHeight="1">
      <c r="A11410" s="234"/>
      <c r="B11410" s="233"/>
      <c r="C11410" s="238"/>
      <c r="E11410" s="545"/>
      <c r="F11410" s="546"/>
      <c r="G11410" s="234"/>
      <c r="H11410" s="238"/>
      <c r="I11410" s="237"/>
    </row>
    <row r="11411" spans="1:9" s="232" customFormat="1" ht="17" customHeight="1">
      <c r="A11411" s="234"/>
      <c r="B11411" s="233"/>
      <c r="C11411" s="238"/>
      <c r="E11411" s="545"/>
      <c r="F11411" s="546"/>
      <c r="G11411" s="234"/>
      <c r="H11411" s="238"/>
      <c r="I11411" s="237"/>
    </row>
    <row r="11412" spans="1:9" s="232" customFormat="1" ht="17" customHeight="1">
      <c r="A11412" s="234"/>
      <c r="B11412" s="233"/>
      <c r="C11412" s="238"/>
      <c r="E11412" s="545"/>
      <c r="F11412" s="546"/>
      <c r="G11412" s="234"/>
      <c r="H11412" s="238"/>
      <c r="I11412" s="237"/>
    </row>
    <row r="11413" spans="1:9" s="232" customFormat="1" ht="17" customHeight="1">
      <c r="A11413" s="234"/>
      <c r="B11413" s="233"/>
      <c r="C11413" s="238"/>
      <c r="E11413" s="545"/>
      <c r="F11413" s="546"/>
      <c r="G11413" s="234"/>
      <c r="H11413" s="238"/>
      <c r="I11413" s="237"/>
    </row>
    <row r="11414" spans="1:9" s="232" customFormat="1" ht="17" customHeight="1">
      <c r="A11414" s="234"/>
      <c r="B11414" s="233"/>
      <c r="C11414" s="238"/>
      <c r="E11414" s="545"/>
      <c r="F11414" s="546"/>
      <c r="G11414" s="234"/>
      <c r="H11414" s="238"/>
      <c r="I11414" s="237"/>
    </row>
    <row r="11415" spans="1:9" s="232" customFormat="1" ht="17" customHeight="1">
      <c r="A11415" s="234"/>
      <c r="B11415" s="233"/>
      <c r="C11415" s="238"/>
      <c r="E11415" s="545"/>
      <c r="F11415" s="546"/>
      <c r="G11415" s="234"/>
      <c r="H11415" s="238"/>
      <c r="I11415" s="237"/>
    </row>
    <row r="11416" spans="1:9" s="232" customFormat="1" ht="17" customHeight="1">
      <c r="A11416" s="234"/>
      <c r="B11416" s="233"/>
      <c r="C11416" s="238"/>
      <c r="E11416" s="545"/>
      <c r="F11416" s="546"/>
      <c r="G11416" s="234"/>
      <c r="H11416" s="238"/>
      <c r="I11416" s="237"/>
    </row>
    <row r="11417" spans="1:9" s="232" customFormat="1" ht="17" customHeight="1">
      <c r="A11417" s="234"/>
      <c r="B11417" s="233"/>
      <c r="C11417" s="238"/>
      <c r="E11417" s="545"/>
      <c r="F11417" s="546"/>
      <c r="G11417" s="234"/>
      <c r="H11417" s="238"/>
      <c r="I11417" s="237"/>
    </row>
    <row r="11418" spans="1:9" s="232" customFormat="1" ht="17" customHeight="1">
      <c r="A11418" s="234"/>
      <c r="B11418" s="233"/>
      <c r="C11418" s="238"/>
      <c r="E11418" s="545"/>
      <c r="F11418" s="546"/>
      <c r="G11418" s="234"/>
      <c r="H11418" s="238"/>
      <c r="I11418" s="237"/>
    </row>
    <row r="11419" spans="1:9" s="232" customFormat="1" ht="17" customHeight="1">
      <c r="A11419" s="234"/>
      <c r="B11419" s="233"/>
      <c r="C11419" s="238"/>
      <c r="E11419" s="545"/>
      <c r="F11419" s="546"/>
      <c r="G11419" s="234"/>
      <c r="H11419" s="238"/>
      <c r="I11419" s="237"/>
    </row>
    <row r="11420" spans="1:9" s="232" customFormat="1" ht="17" customHeight="1">
      <c r="A11420" s="234"/>
      <c r="B11420" s="233"/>
      <c r="C11420" s="238"/>
      <c r="E11420" s="545"/>
      <c r="F11420" s="546"/>
      <c r="G11420" s="234"/>
      <c r="H11420" s="238"/>
      <c r="I11420" s="237"/>
    </row>
    <row r="11421" spans="1:9" s="232" customFormat="1" ht="17" customHeight="1">
      <c r="A11421" s="234"/>
      <c r="B11421" s="233"/>
      <c r="C11421" s="238"/>
      <c r="E11421" s="545"/>
      <c r="F11421" s="546"/>
      <c r="G11421" s="234"/>
      <c r="H11421" s="238"/>
      <c r="I11421" s="237"/>
    </row>
    <row r="11422" spans="1:9" s="232" customFormat="1" ht="17" customHeight="1">
      <c r="A11422" s="234"/>
      <c r="B11422" s="233"/>
      <c r="C11422" s="238"/>
      <c r="E11422" s="545"/>
      <c r="F11422" s="546"/>
      <c r="G11422" s="234"/>
      <c r="H11422" s="238"/>
      <c r="I11422" s="237"/>
    </row>
    <row r="11423" spans="1:9" s="232" customFormat="1" ht="17" customHeight="1">
      <c r="A11423" s="234"/>
      <c r="B11423" s="233"/>
      <c r="C11423" s="238"/>
      <c r="E11423" s="545"/>
      <c r="F11423" s="546"/>
      <c r="G11423" s="234"/>
      <c r="H11423" s="238"/>
      <c r="I11423" s="237"/>
    </row>
    <row r="11424" spans="1:9" s="232" customFormat="1" ht="17" customHeight="1">
      <c r="A11424" s="234"/>
      <c r="B11424" s="233"/>
      <c r="C11424" s="238"/>
      <c r="E11424" s="545"/>
      <c r="F11424" s="546"/>
      <c r="G11424" s="234"/>
      <c r="H11424" s="238"/>
      <c r="I11424" s="237"/>
    </row>
    <row r="11425" spans="1:9" s="232" customFormat="1" ht="17" customHeight="1">
      <c r="A11425" s="234"/>
      <c r="B11425" s="233"/>
      <c r="C11425" s="238"/>
      <c r="E11425" s="545"/>
      <c r="F11425" s="546"/>
      <c r="G11425" s="234"/>
      <c r="H11425" s="238"/>
      <c r="I11425" s="237"/>
    </row>
    <row r="11426" spans="1:9" s="232" customFormat="1" ht="17" customHeight="1">
      <c r="A11426" s="234"/>
      <c r="B11426" s="233"/>
      <c r="C11426" s="238"/>
      <c r="E11426" s="545"/>
      <c r="F11426" s="546"/>
      <c r="G11426" s="234"/>
      <c r="H11426" s="238"/>
      <c r="I11426" s="237"/>
    </row>
    <row r="11427" spans="1:9" s="232" customFormat="1" ht="17" customHeight="1">
      <c r="A11427" s="234"/>
      <c r="B11427" s="233"/>
      <c r="C11427" s="238"/>
      <c r="E11427" s="545"/>
      <c r="F11427" s="546"/>
      <c r="G11427" s="234"/>
      <c r="H11427" s="238"/>
      <c r="I11427" s="237"/>
    </row>
    <row r="11428" spans="1:9" s="232" customFormat="1" ht="17" customHeight="1">
      <c r="A11428" s="234"/>
      <c r="B11428" s="233"/>
      <c r="C11428" s="238"/>
      <c r="E11428" s="545"/>
      <c r="F11428" s="546"/>
      <c r="G11428" s="234"/>
      <c r="H11428" s="238"/>
      <c r="I11428" s="237"/>
    </row>
    <row r="11429" spans="1:9" s="232" customFormat="1" ht="17" customHeight="1">
      <c r="A11429" s="234"/>
      <c r="B11429" s="233"/>
      <c r="C11429" s="238"/>
      <c r="E11429" s="545"/>
      <c r="F11429" s="546"/>
      <c r="G11429" s="234"/>
      <c r="H11429" s="238"/>
      <c r="I11429" s="237"/>
    </row>
    <row r="11430" spans="1:9" s="232" customFormat="1" ht="17" customHeight="1">
      <c r="A11430" s="234"/>
      <c r="B11430" s="233"/>
      <c r="C11430" s="238"/>
      <c r="E11430" s="545"/>
      <c r="F11430" s="546"/>
      <c r="G11430" s="234"/>
      <c r="H11430" s="238"/>
      <c r="I11430" s="237"/>
    </row>
    <row r="11431" spans="1:9" s="232" customFormat="1" ht="17" customHeight="1">
      <c r="A11431" s="234"/>
      <c r="B11431" s="233"/>
      <c r="C11431" s="238"/>
      <c r="E11431" s="545"/>
      <c r="F11431" s="546"/>
      <c r="G11431" s="234"/>
      <c r="H11431" s="238"/>
      <c r="I11431" s="237"/>
    </row>
    <row r="11432" spans="1:9" s="232" customFormat="1" ht="17" customHeight="1">
      <c r="A11432" s="234"/>
      <c r="B11432" s="233"/>
      <c r="C11432" s="238"/>
      <c r="E11432" s="545"/>
      <c r="F11432" s="546"/>
      <c r="G11432" s="234"/>
      <c r="H11432" s="238"/>
      <c r="I11432" s="237"/>
    </row>
    <row r="11433" spans="1:9" s="232" customFormat="1" ht="17" customHeight="1">
      <c r="A11433" s="234"/>
      <c r="B11433" s="233"/>
      <c r="C11433" s="238"/>
      <c r="E11433" s="545"/>
      <c r="F11433" s="546"/>
      <c r="G11433" s="234"/>
      <c r="H11433" s="238"/>
      <c r="I11433" s="237"/>
    </row>
    <row r="11434" spans="1:9" s="232" customFormat="1" ht="17" customHeight="1">
      <c r="A11434" s="234"/>
      <c r="B11434" s="233"/>
      <c r="C11434" s="238"/>
      <c r="E11434" s="545"/>
      <c r="F11434" s="546"/>
      <c r="G11434" s="234"/>
      <c r="H11434" s="238"/>
      <c r="I11434" s="237"/>
    </row>
    <row r="11435" spans="1:9" s="232" customFormat="1" ht="17" customHeight="1">
      <c r="A11435" s="234"/>
      <c r="B11435" s="233"/>
      <c r="C11435" s="238"/>
      <c r="E11435" s="545"/>
      <c r="F11435" s="546"/>
      <c r="G11435" s="234"/>
      <c r="H11435" s="238"/>
      <c r="I11435" s="237"/>
    </row>
    <row r="11436" spans="1:9" s="232" customFormat="1" ht="17" customHeight="1">
      <c r="A11436" s="234"/>
      <c r="B11436" s="233"/>
      <c r="C11436" s="238"/>
      <c r="E11436" s="545"/>
      <c r="F11436" s="546"/>
      <c r="G11436" s="234"/>
      <c r="H11436" s="238"/>
      <c r="I11436" s="237"/>
    </row>
    <row r="11437" spans="1:9" s="232" customFormat="1" ht="17" customHeight="1">
      <c r="A11437" s="234"/>
      <c r="B11437" s="233"/>
      <c r="C11437" s="238"/>
      <c r="E11437" s="545"/>
      <c r="F11437" s="546"/>
      <c r="G11437" s="234"/>
      <c r="H11437" s="238"/>
      <c r="I11437" s="237"/>
    </row>
    <row r="11438" spans="1:9" s="232" customFormat="1" ht="17" customHeight="1">
      <c r="A11438" s="234"/>
      <c r="B11438" s="233"/>
      <c r="C11438" s="238"/>
      <c r="E11438" s="545"/>
      <c r="F11438" s="546"/>
      <c r="G11438" s="234"/>
      <c r="H11438" s="238"/>
      <c r="I11438" s="237"/>
    </row>
    <row r="11439" spans="1:9" s="232" customFormat="1" ht="17" customHeight="1">
      <c r="A11439" s="234"/>
      <c r="B11439" s="233"/>
      <c r="C11439" s="238"/>
      <c r="E11439" s="545"/>
      <c r="F11439" s="546"/>
      <c r="G11439" s="234"/>
      <c r="H11439" s="238"/>
      <c r="I11439" s="237"/>
    </row>
    <row r="11440" spans="1:9" s="232" customFormat="1" ht="17" customHeight="1">
      <c r="A11440" s="234"/>
      <c r="B11440" s="233"/>
      <c r="C11440" s="238"/>
      <c r="E11440" s="545"/>
      <c r="F11440" s="546"/>
      <c r="G11440" s="234"/>
      <c r="H11440" s="238"/>
      <c r="I11440" s="237"/>
    </row>
    <row r="11441" spans="1:9" s="232" customFormat="1" ht="17" customHeight="1">
      <c r="A11441" s="234"/>
      <c r="B11441" s="233"/>
      <c r="C11441" s="238"/>
      <c r="E11441" s="545"/>
      <c r="F11441" s="546"/>
      <c r="G11441" s="234"/>
      <c r="H11441" s="238"/>
      <c r="I11441" s="237"/>
    </row>
    <row r="11442" spans="1:9" s="232" customFormat="1" ht="17" customHeight="1">
      <c r="A11442" s="234"/>
      <c r="B11442" s="233"/>
      <c r="C11442" s="238"/>
      <c r="E11442" s="545"/>
      <c r="F11442" s="546"/>
      <c r="G11442" s="234"/>
      <c r="H11442" s="238"/>
      <c r="I11442" s="237"/>
    </row>
    <row r="11443" spans="1:9" s="232" customFormat="1" ht="17" customHeight="1">
      <c r="A11443" s="234"/>
      <c r="B11443" s="233"/>
      <c r="C11443" s="238"/>
      <c r="E11443" s="545"/>
      <c r="F11443" s="546"/>
      <c r="G11443" s="234"/>
      <c r="H11443" s="238"/>
      <c r="I11443" s="237"/>
    </row>
    <row r="11444" spans="1:9" s="232" customFormat="1" ht="17" customHeight="1">
      <c r="A11444" s="234"/>
      <c r="B11444" s="233"/>
      <c r="C11444" s="238"/>
      <c r="E11444" s="545"/>
      <c r="F11444" s="546"/>
      <c r="G11444" s="234"/>
      <c r="H11444" s="238"/>
      <c r="I11444" s="237"/>
    </row>
    <row r="11445" spans="1:9" s="232" customFormat="1" ht="17" customHeight="1">
      <c r="A11445" s="234"/>
      <c r="B11445" s="233"/>
      <c r="C11445" s="238"/>
      <c r="E11445" s="545"/>
      <c r="F11445" s="546"/>
      <c r="G11445" s="234"/>
      <c r="H11445" s="238"/>
      <c r="I11445" s="237"/>
    </row>
    <row r="11446" spans="1:9" s="232" customFormat="1" ht="17" customHeight="1">
      <c r="A11446" s="234"/>
      <c r="B11446" s="233"/>
      <c r="C11446" s="238"/>
      <c r="E11446" s="545"/>
      <c r="F11446" s="546"/>
      <c r="G11446" s="234"/>
      <c r="H11446" s="238"/>
      <c r="I11446" s="237"/>
    </row>
    <row r="11447" spans="1:9" s="232" customFormat="1" ht="17" customHeight="1">
      <c r="A11447" s="234"/>
      <c r="B11447" s="233"/>
      <c r="C11447" s="238"/>
      <c r="E11447" s="545"/>
      <c r="F11447" s="546"/>
      <c r="G11447" s="234"/>
      <c r="H11447" s="238"/>
      <c r="I11447" s="237"/>
    </row>
    <row r="11448" spans="1:9" s="232" customFormat="1" ht="17" customHeight="1">
      <c r="A11448" s="234"/>
      <c r="B11448" s="233"/>
      <c r="C11448" s="238"/>
      <c r="E11448" s="545"/>
      <c r="F11448" s="546"/>
      <c r="G11448" s="234"/>
      <c r="H11448" s="238"/>
      <c r="I11448" s="237"/>
    </row>
    <row r="11449" spans="1:9" s="232" customFormat="1" ht="17" customHeight="1">
      <c r="A11449" s="234"/>
      <c r="B11449" s="233"/>
      <c r="C11449" s="238"/>
      <c r="E11449" s="545"/>
      <c r="F11449" s="546"/>
      <c r="G11449" s="234"/>
      <c r="H11449" s="238"/>
      <c r="I11449" s="237"/>
    </row>
    <row r="11450" spans="1:9" s="232" customFormat="1" ht="17" customHeight="1">
      <c r="A11450" s="234"/>
      <c r="B11450" s="233"/>
      <c r="C11450" s="238"/>
      <c r="E11450" s="545"/>
      <c r="F11450" s="546"/>
      <c r="G11450" s="234"/>
      <c r="H11450" s="238"/>
      <c r="I11450" s="237"/>
    </row>
    <row r="11451" spans="1:9" s="232" customFormat="1" ht="17" customHeight="1">
      <c r="A11451" s="234"/>
      <c r="B11451" s="233"/>
      <c r="C11451" s="238"/>
      <c r="E11451" s="545"/>
      <c r="F11451" s="546"/>
      <c r="G11451" s="234"/>
      <c r="H11451" s="238"/>
      <c r="I11451" s="237"/>
    </row>
    <row r="11452" spans="1:9" s="232" customFormat="1" ht="17" customHeight="1">
      <c r="A11452" s="234"/>
      <c r="B11452" s="233"/>
      <c r="C11452" s="238"/>
      <c r="E11452" s="545"/>
      <c r="F11452" s="546"/>
      <c r="G11452" s="234"/>
      <c r="H11452" s="238"/>
      <c r="I11452" s="237"/>
    </row>
    <row r="11453" spans="1:9" s="232" customFormat="1" ht="17" customHeight="1">
      <c r="A11453" s="234"/>
      <c r="B11453" s="233"/>
      <c r="C11453" s="238"/>
      <c r="E11453" s="545"/>
      <c r="F11453" s="546"/>
      <c r="G11453" s="234"/>
      <c r="H11453" s="238"/>
      <c r="I11453" s="237"/>
    </row>
    <row r="11454" spans="1:9" s="232" customFormat="1" ht="17" customHeight="1">
      <c r="A11454" s="234"/>
      <c r="B11454" s="233"/>
      <c r="C11454" s="238"/>
      <c r="E11454" s="545"/>
      <c r="F11454" s="546"/>
      <c r="G11454" s="234"/>
      <c r="H11454" s="238"/>
      <c r="I11454" s="237"/>
    </row>
    <row r="11455" spans="1:9" s="232" customFormat="1" ht="17" customHeight="1">
      <c r="A11455" s="234"/>
      <c r="B11455" s="233"/>
      <c r="C11455" s="238"/>
      <c r="E11455" s="545"/>
      <c r="F11455" s="546"/>
      <c r="G11455" s="234"/>
      <c r="H11455" s="238"/>
      <c r="I11455" s="237"/>
    </row>
    <row r="11456" spans="1:9" s="232" customFormat="1" ht="17" customHeight="1">
      <c r="A11456" s="234"/>
      <c r="B11456" s="233"/>
      <c r="C11456" s="238"/>
      <c r="E11456" s="545"/>
      <c r="F11456" s="546"/>
      <c r="G11456" s="234"/>
      <c r="H11456" s="238"/>
      <c r="I11456" s="237"/>
    </row>
    <row r="11457" spans="1:9" s="232" customFormat="1" ht="17" customHeight="1">
      <c r="A11457" s="234"/>
      <c r="B11457" s="233"/>
      <c r="C11457" s="238"/>
      <c r="E11457" s="545"/>
      <c r="F11457" s="546"/>
      <c r="G11457" s="234"/>
      <c r="H11457" s="238"/>
      <c r="I11457" s="237"/>
    </row>
    <row r="11458" spans="1:9" s="232" customFormat="1" ht="17" customHeight="1">
      <c r="A11458" s="234"/>
      <c r="B11458" s="233"/>
      <c r="C11458" s="238"/>
      <c r="E11458" s="545"/>
      <c r="F11458" s="546"/>
      <c r="G11458" s="234"/>
      <c r="H11458" s="238"/>
      <c r="I11458" s="237"/>
    </row>
    <row r="11459" spans="1:9" s="232" customFormat="1" ht="17" customHeight="1">
      <c r="A11459" s="234"/>
      <c r="B11459" s="233"/>
      <c r="C11459" s="238"/>
      <c r="E11459" s="545"/>
      <c r="F11459" s="546"/>
      <c r="G11459" s="234"/>
      <c r="H11459" s="238"/>
      <c r="I11459" s="237"/>
    </row>
    <row r="11460" spans="1:9" s="232" customFormat="1" ht="17" customHeight="1">
      <c r="A11460" s="234"/>
      <c r="B11460" s="233"/>
      <c r="C11460" s="238"/>
      <c r="E11460" s="545"/>
      <c r="F11460" s="546"/>
      <c r="G11460" s="234"/>
      <c r="H11460" s="238"/>
      <c r="I11460" s="237"/>
    </row>
    <row r="11461" spans="1:9" s="232" customFormat="1" ht="17" customHeight="1">
      <c r="A11461" s="234"/>
      <c r="B11461" s="233"/>
      <c r="C11461" s="238"/>
      <c r="E11461" s="545"/>
      <c r="F11461" s="546"/>
      <c r="G11461" s="234"/>
      <c r="H11461" s="238"/>
      <c r="I11461" s="237"/>
    </row>
    <row r="11462" spans="1:9" s="232" customFormat="1" ht="17" customHeight="1">
      <c r="A11462" s="234"/>
      <c r="B11462" s="233"/>
      <c r="C11462" s="238"/>
      <c r="E11462" s="545"/>
      <c r="F11462" s="546"/>
      <c r="G11462" s="234"/>
      <c r="H11462" s="238"/>
      <c r="I11462" s="237"/>
    </row>
    <row r="11463" spans="1:9" s="232" customFormat="1" ht="17" customHeight="1">
      <c r="A11463" s="234"/>
      <c r="B11463" s="233"/>
      <c r="C11463" s="238"/>
      <c r="E11463" s="545"/>
      <c r="F11463" s="546"/>
      <c r="G11463" s="234"/>
      <c r="H11463" s="238"/>
      <c r="I11463" s="237"/>
    </row>
    <row r="11464" spans="1:9" s="232" customFormat="1" ht="17" customHeight="1">
      <c r="A11464" s="234"/>
      <c r="B11464" s="233"/>
      <c r="C11464" s="238"/>
      <c r="E11464" s="545"/>
      <c r="F11464" s="546"/>
      <c r="G11464" s="234"/>
      <c r="H11464" s="238"/>
      <c r="I11464" s="237"/>
    </row>
    <row r="11465" spans="1:9" s="232" customFormat="1" ht="17" customHeight="1">
      <c r="A11465" s="234"/>
      <c r="B11465" s="233"/>
      <c r="C11465" s="238"/>
      <c r="E11465" s="545"/>
      <c r="F11465" s="546"/>
      <c r="G11465" s="234"/>
      <c r="H11465" s="238"/>
      <c r="I11465" s="237"/>
    </row>
    <row r="11466" spans="1:9" s="232" customFormat="1" ht="17" customHeight="1">
      <c r="A11466" s="234"/>
      <c r="B11466" s="233"/>
      <c r="C11466" s="238"/>
      <c r="E11466" s="545"/>
      <c r="F11466" s="546"/>
      <c r="G11466" s="234"/>
      <c r="H11466" s="238"/>
      <c r="I11466" s="237"/>
    </row>
    <row r="11467" spans="1:9" s="232" customFormat="1" ht="17" customHeight="1">
      <c r="A11467" s="234"/>
      <c r="B11467" s="233"/>
      <c r="C11467" s="238"/>
      <c r="E11467" s="545"/>
      <c r="F11467" s="546"/>
      <c r="G11467" s="234"/>
      <c r="H11467" s="238"/>
      <c r="I11467" s="237"/>
    </row>
    <row r="11468" spans="1:9" s="232" customFormat="1" ht="17" customHeight="1">
      <c r="A11468" s="234"/>
      <c r="B11468" s="233"/>
      <c r="C11468" s="238"/>
      <c r="E11468" s="545"/>
      <c r="F11468" s="546"/>
      <c r="G11468" s="234"/>
      <c r="H11468" s="238"/>
      <c r="I11468" s="237"/>
    </row>
    <row r="11469" spans="1:9" s="232" customFormat="1" ht="17" customHeight="1">
      <c r="A11469" s="234"/>
      <c r="B11469" s="233"/>
      <c r="C11469" s="238"/>
      <c r="E11469" s="545"/>
      <c r="F11469" s="546"/>
      <c r="G11469" s="234"/>
      <c r="H11469" s="238"/>
      <c r="I11469" s="237"/>
    </row>
    <row r="11470" spans="1:9" s="232" customFormat="1" ht="17" customHeight="1">
      <c r="A11470" s="234"/>
      <c r="B11470" s="233"/>
      <c r="C11470" s="238"/>
      <c r="E11470" s="545"/>
      <c r="F11470" s="546"/>
      <c r="G11470" s="234"/>
      <c r="H11470" s="238"/>
      <c r="I11470" s="237"/>
    </row>
    <row r="11471" spans="1:9" s="232" customFormat="1" ht="17" customHeight="1">
      <c r="A11471" s="234"/>
      <c r="B11471" s="233"/>
      <c r="C11471" s="238"/>
      <c r="E11471" s="545"/>
      <c r="F11471" s="546"/>
      <c r="G11471" s="234"/>
      <c r="H11471" s="238"/>
      <c r="I11471" s="237"/>
    </row>
    <row r="11472" spans="1:9" s="232" customFormat="1" ht="17" customHeight="1">
      <c r="A11472" s="234"/>
      <c r="B11472" s="233"/>
      <c r="C11472" s="238"/>
      <c r="E11472" s="545"/>
      <c r="F11472" s="546"/>
      <c r="G11472" s="234"/>
      <c r="H11472" s="238"/>
      <c r="I11472" s="237"/>
    </row>
    <row r="11473" spans="1:9" s="232" customFormat="1" ht="17" customHeight="1">
      <c r="A11473" s="234"/>
      <c r="B11473" s="233"/>
      <c r="C11473" s="238"/>
      <c r="E11473" s="545"/>
      <c r="F11473" s="546"/>
      <c r="G11473" s="234"/>
      <c r="H11473" s="238"/>
      <c r="I11473" s="237"/>
    </row>
    <row r="11474" spans="1:9" s="232" customFormat="1" ht="17" customHeight="1">
      <c r="A11474" s="234"/>
      <c r="B11474" s="233"/>
      <c r="C11474" s="238"/>
      <c r="E11474" s="545"/>
      <c r="F11474" s="546"/>
      <c r="G11474" s="234"/>
      <c r="H11474" s="238"/>
      <c r="I11474" s="237"/>
    </row>
    <row r="11475" spans="1:9" s="232" customFormat="1" ht="17" customHeight="1">
      <c r="A11475" s="234"/>
      <c r="B11475" s="233"/>
      <c r="C11475" s="238"/>
      <c r="E11475" s="545"/>
      <c r="F11475" s="546"/>
      <c r="G11475" s="234"/>
      <c r="H11475" s="238"/>
      <c r="I11475" s="237"/>
    </row>
    <row r="11476" spans="1:9" s="232" customFormat="1" ht="17" customHeight="1">
      <c r="A11476" s="234"/>
      <c r="B11476" s="233"/>
      <c r="C11476" s="238"/>
      <c r="E11476" s="545"/>
      <c r="F11476" s="546"/>
      <c r="G11476" s="234"/>
      <c r="H11476" s="238"/>
      <c r="I11476" s="237"/>
    </row>
    <row r="11477" spans="1:9" s="232" customFormat="1" ht="17" customHeight="1">
      <c r="A11477" s="234"/>
      <c r="B11477" s="233"/>
      <c r="C11477" s="238"/>
      <c r="E11477" s="545"/>
      <c r="F11477" s="546"/>
      <c r="G11477" s="234"/>
      <c r="H11477" s="238"/>
      <c r="I11477" s="237"/>
    </row>
    <row r="11478" spans="1:9" s="232" customFormat="1" ht="17" customHeight="1">
      <c r="A11478" s="234"/>
      <c r="B11478" s="233"/>
      <c r="C11478" s="238"/>
      <c r="E11478" s="545"/>
      <c r="F11478" s="546"/>
      <c r="G11478" s="234"/>
      <c r="H11478" s="238"/>
      <c r="I11478" s="237"/>
    </row>
    <row r="11479" spans="1:9" s="232" customFormat="1" ht="17" customHeight="1">
      <c r="A11479" s="234"/>
      <c r="B11479" s="233"/>
      <c r="C11479" s="238"/>
      <c r="E11479" s="545"/>
      <c r="F11479" s="546"/>
      <c r="G11479" s="234"/>
      <c r="H11479" s="238"/>
      <c r="I11479" s="237"/>
    </row>
    <row r="11480" spans="1:9" s="232" customFormat="1" ht="17" customHeight="1">
      <c r="A11480" s="234"/>
      <c r="B11480" s="233"/>
      <c r="C11480" s="238"/>
      <c r="E11480" s="545"/>
      <c r="F11480" s="546"/>
      <c r="G11480" s="234"/>
      <c r="H11480" s="238"/>
      <c r="I11480" s="237"/>
    </row>
    <row r="11481" spans="1:9" s="232" customFormat="1" ht="17" customHeight="1">
      <c r="A11481" s="234"/>
      <c r="B11481" s="233"/>
      <c r="C11481" s="238"/>
      <c r="E11481" s="545"/>
      <c r="F11481" s="546"/>
      <c r="G11481" s="234"/>
      <c r="H11481" s="238"/>
      <c r="I11481" s="237"/>
    </row>
    <row r="11482" spans="1:9" s="232" customFormat="1" ht="17" customHeight="1">
      <c r="A11482" s="234"/>
      <c r="B11482" s="233"/>
      <c r="C11482" s="238"/>
      <c r="E11482" s="545"/>
      <c r="F11482" s="546"/>
      <c r="G11482" s="234"/>
      <c r="H11482" s="238"/>
      <c r="I11482" s="237"/>
    </row>
    <row r="11483" spans="1:9" s="232" customFormat="1" ht="17" customHeight="1">
      <c r="A11483" s="234"/>
      <c r="B11483" s="233"/>
      <c r="C11483" s="238"/>
      <c r="E11483" s="545"/>
      <c r="F11483" s="546"/>
      <c r="G11483" s="234"/>
      <c r="H11483" s="238"/>
      <c r="I11483" s="237"/>
    </row>
    <row r="11484" spans="1:9" s="232" customFormat="1" ht="17" customHeight="1">
      <c r="A11484" s="234"/>
      <c r="B11484" s="233"/>
      <c r="C11484" s="238"/>
      <c r="E11484" s="545"/>
      <c r="F11484" s="546"/>
      <c r="G11484" s="234"/>
      <c r="H11484" s="238"/>
      <c r="I11484" s="237"/>
    </row>
    <row r="11485" spans="1:9" s="232" customFormat="1" ht="17" customHeight="1">
      <c r="A11485" s="234"/>
      <c r="B11485" s="233"/>
      <c r="C11485" s="238"/>
      <c r="E11485" s="545"/>
      <c r="F11485" s="546"/>
      <c r="G11485" s="234"/>
      <c r="H11485" s="238"/>
      <c r="I11485" s="237"/>
    </row>
    <row r="11486" spans="1:9" s="232" customFormat="1" ht="17" customHeight="1">
      <c r="A11486" s="234"/>
      <c r="B11486" s="233"/>
      <c r="C11486" s="238"/>
      <c r="E11486" s="545"/>
      <c r="F11486" s="546"/>
      <c r="G11486" s="234"/>
      <c r="H11486" s="238"/>
      <c r="I11486" s="237"/>
    </row>
    <row r="11487" spans="1:9" s="232" customFormat="1" ht="17" customHeight="1">
      <c r="A11487" s="234"/>
      <c r="B11487" s="233"/>
      <c r="C11487" s="238"/>
      <c r="E11487" s="545"/>
      <c r="F11487" s="546"/>
      <c r="G11487" s="234"/>
      <c r="H11487" s="238"/>
      <c r="I11487" s="237"/>
    </row>
    <row r="11488" spans="1:9" s="232" customFormat="1" ht="17" customHeight="1">
      <c r="A11488" s="234"/>
      <c r="B11488" s="233"/>
      <c r="C11488" s="238"/>
      <c r="E11488" s="545"/>
      <c r="F11488" s="546"/>
      <c r="G11488" s="234"/>
      <c r="H11488" s="238"/>
      <c r="I11488" s="237"/>
    </row>
    <row r="11489" spans="1:9" s="232" customFormat="1" ht="17" customHeight="1">
      <c r="A11489" s="234"/>
      <c r="B11489" s="233"/>
      <c r="C11489" s="238"/>
      <c r="E11489" s="545"/>
      <c r="F11489" s="546"/>
      <c r="G11489" s="234"/>
      <c r="H11489" s="238"/>
      <c r="I11489" s="237"/>
    </row>
    <row r="11490" spans="1:9" s="232" customFormat="1" ht="17" customHeight="1">
      <c r="A11490" s="234"/>
      <c r="B11490" s="233"/>
      <c r="C11490" s="238"/>
      <c r="E11490" s="545"/>
      <c r="F11490" s="546"/>
      <c r="G11490" s="234"/>
      <c r="H11490" s="238"/>
      <c r="I11490" s="237"/>
    </row>
    <row r="11491" spans="1:9" s="232" customFormat="1" ht="17" customHeight="1">
      <c r="A11491" s="234"/>
      <c r="B11491" s="233"/>
      <c r="C11491" s="238"/>
      <c r="E11491" s="545"/>
      <c r="F11491" s="546"/>
      <c r="G11491" s="234"/>
      <c r="H11491" s="238"/>
      <c r="I11491" s="237"/>
    </row>
    <row r="11492" spans="1:9" s="232" customFormat="1" ht="17" customHeight="1">
      <c r="A11492" s="234"/>
      <c r="B11492" s="233"/>
      <c r="C11492" s="238"/>
      <c r="E11492" s="545"/>
      <c r="F11492" s="546"/>
      <c r="G11492" s="234"/>
      <c r="H11492" s="238"/>
      <c r="I11492" s="237"/>
    </row>
    <row r="11493" spans="1:9" s="232" customFormat="1" ht="17" customHeight="1">
      <c r="A11493" s="234"/>
      <c r="B11493" s="233"/>
      <c r="C11493" s="238"/>
      <c r="E11493" s="545"/>
      <c r="F11493" s="546"/>
      <c r="G11493" s="234"/>
      <c r="H11493" s="238"/>
      <c r="I11493" s="237"/>
    </row>
    <row r="11494" spans="1:9" s="232" customFormat="1" ht="17" customHeight="1">
      <c r="A11494" s="234"/>
      <c r="B11494" s="233"/>
      <c r="C11494" s="238"/>
      <c r="E11494" s="545"/>
      <c r="F11494" s="546"/>
      <c r="G11494" s="234"/>
      <c r="H11494" s="238"/>
      <c r="I11494" s="237"/>
    </row>
    <row r="11495" spans="1:9" s="232" customFormat="1" ht="17" customHeight="1">
      <c r="A11495" s="234"/>
      <c r="B11495" s="233"/>
      <c r="C11495" s="238"/>
      <c r="E11495" s="545"/>
      <c r="F11495" s="546"/>
      <c r="G11495" s="234"/>
      <c r="H11495" s="238"/>
      <c r="I11495" s="237"/>
    </row>
    <row r="11496" spans="1:9" s="232" customFormat="1" ht="17" customHeight="1">
      <c r="A11496" s="234"/>
      <c r="B11496" s="233"/>
      <c r="C11496" s="238"/>
      <c r="E11496" s="545"/>
      <c r="F11496" s="546"/>
      <c r="G11496" s="234"/>
      <c r="H11496" s="238"/>
      <c r="I11496" s="237"/>
    </row>
    <row r="11497" spans="1:9" s="232" customFormat="1" ht="17" customHeight="1">
      <c r="A11497" s="234"/>
      <c r="B11497" s="233"/>
      <c r="C11497" s="238"/>
      <c r="E11497" s="545"/>
      <c r="F11497" s="546"/>
      <c r="G11497" s="234"/>
      <c r="H11497" s="238"/>
      <c r="I11497" s="237"/>
    </row>
    <row r="11498" spans="1:9" s="232" customFormat="1" ht="17" customHeight="1">
      <c r="A11498" s="234"/>
      <c r="B11498" s="233"/>
      <c r="C11498" s="238"/>
      <c r="E11498" s="545"/>
      <c r="F11498" s="546"/>
      <c r="G11498" s="234"/>
      <c r="H11498" s="238"/>
      <c r="I11498" s="237"/>
    </row>
    <row r="11499" spans="1:9" s="232" customFormat="1" ht="17" customHeight="1">
      <c r="A11499" s="234"/>
      <c r="B11499" s="233"/>
      <c r="C11499" s="238"/>
      <c r="E11499" s="545"/>
      <c r="F11499" s="546"/>
      <c r="G11499" s="234"/>
      <c r="H11499" s="238"/>
      <c r="I11499" s="237"/>
    </row>
    <row r="11500" spans="1:9" s="232" customFormat="1" ht="17" customHeight="1">
      <c r="A11500" s="234"/>
      <c r="B11500" s="233"/>
      <c r="C11500" s="238"/>
      <c r="E11500" s="545"/>
      <c r="F11500" s="546"/>
      <c r="G11500" s="234"/>
      <c r="H11500" s="238"/>
      <c r="I11500" s="237"/>
    </row>
    <row r="11501" spans="1:9" s="232" customFormat="1" ht="17" customHeight="1">
      <c r="A11501" s="234"/>
      <c r="B11501" s="233"/>
      <c r="C11501" s="238"/>
      <c r="E11501" s="545"/>
      <c r="F11501" s="546"/>
      <c r="G11501" s="234"/>
      <c r="H11501" s="238"/>
      <c r="I11501" s="237"/>
    </row>
    <row r="11502" spans="1:9" s="232" customFormat="1" ht="17" customHeight="1">
      <c r="A11502" s="234"/>
      <c r="B11502" s="233"/>
      <c r="C11502" s="238"/>
      <c r="E11502" s="545"/>
      <c r="F11502" s="546"/>
      <c r="G11502" s="234"/>
      <c r="H11502" s="238"/>
      <c r="I11502" s="237"/>
    </row>
    <row r="11503" spans="1:9" s="232" customFormat="1" ht="17" customHeight="1">
      <c r="A11503" s="234"/>
      <c r="B11503" s="233"/>
      <c r="C11503" s="238"/>
      <c r="E11503" s="545"/>
      <c r="F11503" s="546"/>
      <c r="G11503" s="234"/>
      <c r="H11503" s="238"/>
      <c r="I11503" s="237"/>
    </row>
    <row r="11504" spans="1:9" s="232" customFormat="1" ht="17" customHeight="1">
      <c r="A11504" s="234"/>
      <c r="B11504" s="233"/>
      <c r="C11504" s="238"/>
      <c r="E11504" s="545"/>
      <c r="F11504" s="546"/>
      <c r="G11504" s="234"/>
      <c r="H11504" s="238"/>
      <c r="I11504" s="237"/>
    </row>
    <row r="11505" spans="1:9" s="232" customFormat="1" ht="17" customHeight="1">
      <c r="A11505" s="234"/>
      <c r="B11505" s="233"/>
      <c r="C11505" s="238"/>
      <c r="E11505" s="545"/>
      <c r="F11505" s="546"/>
      <c r="G11505" s="234"/>
      <c r="H11505" s="238"/>
      <c r="I11505" s="237"/>
    </row>
    <row r="11506" spans="1:9" s="232" customFormat="1" ht="17" customHeight="1">
      <c r="A11506" s="234"/>
      <c r="B11506" s="233"/>
      <c r="C11506" s="238"/>
      <c r="E11506" s="545"/>
      <c r="F11506" s="546"/>
      <c r="G11506" s="234"/>
      <c r="H11506" s="238"/>
      <c r="I11506" s="237"/>
    </row>
    <row r="11507" spans="1:9" s="232" customFormat="1" ht="17" customHeight="1">
      <c r="A11507" s="234"/>
      <c r="B11507" s="233"/>
      <c r="C11507" s="238"/>
      <c r="E11507" s="545"/>
      <c r="F11507" s="546"/>
      <c r="G11507" s="234"/>
      <c r="H11507" s="238"/>
      <c r="I11507" s="237"/>
    </row>
    <row r="11508" spans="1:9" s="232" customFormat="1" ht="17" customHeight="1">
      <c r="A11508" s="234"/>
      <c r="B11508" s="233"/>
      <c r="C11508" s="238"/>
      <c r="E11508" s="545"/>
      <c r="F11508" s="546"/>
      <c r="G11508" s="234"/>
      <c r="H11508" s="238"/>
      <c r="I11508" s="237"/>
    </row>
    <row r="11509" spans="1:9" s="232" customFormat="1" ht="17" customHeight="1">
      <c r="A11509" s="234"/>
      <c r="B11509" s="233"/>
      <c r="C11509" s="238"/>
      <c r="E11509" s="545"/>
      <c r="F11509" s="546"/>
      <c r="G11509" s="234"/>
      <c r="H11509" s="238"/>
      <c r="I11509" s="237"/>
    </row>
    <row r="11510" spans="1:9" s="232" customFormat="1" ht="17" customHeight="1">
      <c r="A11510" s="234"/>
      <c r="B11510" s="233"/>
      <c r="C11510" s="238"/>
      <c r="E11510" s="545"/>
      <c r="F11510" s="546"/>
      <c r="G11510" s="234"/>
      <c r="H11510" s="238"/>
      <c r="I11510" s="237"/>
    </row>
    <row r="11511" spans="1:9" s="232" customFormat="1" ht="17" customHeight="1">
      <c r="A11511" s="234"/>
      <c r="B11511" s="233"/>
      <c r="C11511" s="238"/>
      <c r="E11511" s="545"/>
      <c r="F11511" s="546"/>
      <c r="G11511" s="234"/>
      <c r="H11511" s="238"/>
      <c r="I11511" s="237"/>
    </row>
    <row r="11512" spans="1:9" s="232" customFormat="1" ht="17" customHeight="1">
      <c r="A11512" s="234"/>
      <c r="B11512" s="233"/>
      <c r="C11512" s="238"/>
      <c r="E11512" s="545"/>
      <c r="F11512" s="546"/>
      <c r="G11512" s="234"/>
      <c r="H11512" s="238"/>
      <c r="I11512" s="237"/>
    </row>
    <row r="11513" spans="1:9" s="232" customFormat="1" ht="17" customHeight="1">
      <c r="A11513" s="234"/>
      <c r="B11513" s="233"/>
      <c r="C11513" s="238"/>
      <c r="E11513" s="545"/>
      <c r="F11513" s="546"/>
      <c r="G11513" s="234"/>
      <c r="H11513" s="238"/>
      <c r="I11513" s="237"/>
    </row>
    <row r="11514" spans="1:9" s="232" customFormat="1" ht="17" customHeight="1">
      <c r="A11514" s="234"/>
      <c r="B11514" s="233"/>
      <c r="C11514" s="238"/>
      <c r="E11514" s="545"/>
      <c r="F11514" s="546"/>
      <c r="G11514" s="234"/>
      <c r="H11514" s="238"/>
      <c r="I11514" s="237"/>
    </row>
    <row r="11515" spans="1:9" s="232" customFormat="1" ht="17" customHeight="1">
      <c r="A11515" s="234"/>
      <c r="B11515" s="233"/>
      <c r="C11515" s="238"/>
      <c r="E11515" s="545"/>
      <c r="F11515" s="546"/>
      <c r="G11515" s="234"/>
      <c r="H11515" s="238"/>
      <c r="I11515" s="237"/>
    </row>
    <row r="11516" spans="1:9" s="232" customFormat="1" ht="17" customHeight="1">
      <c r="A11516" s="234"/>
      <c r="B11516" s="233"/>
      <c r="C11516" s="238"/>
      <c r="E11516" s="545"/>
      <c r="F11516" s="546"/>
      <c r="G11516" s="234"/>
      <c r="H11516" s="238"/>
      <c r="I11516" s="237"/>
    </row>
    <row r="11517" spans="1:9" s="232" customFormat="1" ht="17" customHeight="1">
      <c r="A11517" s="234"/>
      <c r="B11517" s="233"/>
      <c r="C11517" s="238"/>
      <c r="E11517" s="545"/>
      <c r="F11517" s="546"/>
      <c r="G11517" s="234"/>
      <c r="H11517" s="238"/>
      <c r="I11517" s="237"/>
    </row>
    <row r="11518" spans="1:9" s="232" customFormat="1" ht="17" customHeight="1">
      <c r="A11518" s="234"/>
      <c r="B11518" s="233"/>
      <c r="C11518" s="238"/>
      <c r="E11518" s="545"/>
      <c r="F11518" s="546"/>
      <c r="G11518" s="234"/>
      <c r="H11518" s="238"/>
      <c r="I11518" s="237"/>
    </row>
    <row r="11519" spans="1:9" s="232" customFormat="1" ht="17" customHeight="1">
      <c r="A11519" s="234"/>
      <c r="B11519" s="233"/>
      <c r="C11519" s="238"/>
      <c r="E11519" s="545"/>
      <c r="F11519" s="546"/>
      <c r="G11519" s="234"/>
      <c r="H11519" s="238"/>
      <c r="I11519" s="237"/>
    </row>
    <row r="11520" spans="1:9" s="232" customFormat="1" ht="17" customHeight="1">
      <c r="A11520" s="234"/>
      <c r="B11520" s="233"/>
      <c r="C11520" s="238"/>
      <c r="E11520" s="545"/>
      <c r="F11520" s="546"/>
      <c r="G11520" s="234"/>
      <c r="H11520" s="238"/>
      <c r="I11520" s="237"/>
    </row>
    <row r="11521" spans="1:9" s="232" customFormat="1" ht="17" customHeight="1">
      <c r="A11521" s="234"/>
      <c r="B11521" s="233"/>
      <c r="C11521" s="238"/>
      <c r="E11521" s="545"/>
      <c r="F11521" s="546"/>
      <c r="G11521" s="234"/>
      <c r="H11521" s="238"/>
      <c r="I11521" s="237"/>
    </row>
    <row r="11522" spans="1:9" s="232" customFormat="1" ht="17" customHeight="1">
      <c r="A11522" s="234"/>
      <c r="B11522" s="233"/>
      <c r="C11522" s="238"/>
      <c r="E11522" s="545"/>
      <c r="F11522" s="546"/>
      <c r="G11522" s="234"/>
      <c r="H11522" s="238"/>
      <c r="I11522" s="237"/>
    </row>
    <row r="11523" spans="1:9" s="232" customFormat="1" ht="17" customHeight="1">
      <c r="A11523" s="234"/>
      <c r="B11523" s="233"/>
      <c r="C11523" s="238"/>
      <c r="E11523" s="545"/>
      <c r="F11523" s="546"/>
      <c r="G11523" s="234"/>
      <c r="H11523" s="238"/>
      <c r="I11523" s="237"/>
    </row>
    <row r="11524" spans="1:9" s="232" customFormat="1" ht="17" customHeight="1">
      <c r="A11524" s="234"/>
      <c r="B11524" s="233"/>
      <c r="C11524" s="238"/>
      <c r="E11524" s="545"/>
      <c r="F11524" s="546"/>
      <c r="G11524" s="234"/>
      <c r="H11524" s="238"/>
      <c r="I11524" s="237"/>
    </row>
    <row r="11525" spans="1:9" s="232" customFormat="1" ht="17" customHeight="1">
      <c r="A11525" s="234"/>
      <c r="B11525" s="233"/>
      <c r="C11525" s="238"/>
      <c r="E11525" s="545"/>
      <c r="F11525" s="546"/>
      <c r="G11525" s="234"/>
      <c r="H11525" s="238"/>
      <c r="I11525" s="237"/>
    </row>
    <row r="11526" spans="1:9" s="232" customFormat="1" ht="17" customHeight="1">
      <c r="A11526" s="234"/>
      <c r="B11526" s="233"/>
      <c r="C11526" s="238"/>
      <c r="E11526" s="545"/>
      <c r="F11526" s="546"/>
      <c r="G11526" s="234"/>
      <c r="H11526" s="238"/>
      <c r="I11526" s="237"/>
    </row>
    <row r="11527" spans="1:9" s="232" customFormat="1" ht="17" customHeight="1">
      <c r="A11527" s="234"/>
      <c r="B11527" s="233"/>
      <c r="C11527" s="238"/>
      <c r="E11527" s="545"/>
      <c r="F11527" s="546"/>
      <c r="G11527" s="234"/>
      <c r="H11527" s="238"/>
      <c r="I11527" s="237"/>
    </row>
    <row r="11528" spans="1:9" s="232" customFormat="1" ht="17" customHeight="1">
      <c r="A11528" s="234"/>
      <c r="B11528" s="233"/>
      <c r="C11528" s="238"/>
      <c r="E11528" s="545"/>
      <c r="F11528" s="546"/>
      <c r="G11528" s="234"/>
      <c r="H11528" s="238"/>
      <c r="I11528" s="237"/>
    </row>
    <row r="11529" spans="1:9" s="232" customFormat="1" ht="17" customHeight="1">
      <c r="A11529" s="234"/>
      <c r="B11529" s="233"/>
      <c r="C11529" s="238"/>
      <c r="E11529" s="545"/>
      <c r="F11529" s="546"/>
      <c r="G11529" s="234"/>
      <c r="H11529" s="238"/>
      <c r="I11529" s="237"/>
    </row>
    <row r="11530" spans="1:9" s="232" customFormat="1" ht="17" customHeight="1">
      <c r="A11530" s="234"/>
      <c r="B11530" s="233"/>
      <c r="C11530" s="238"/>
      <c r="E11530" s="545"/>
      <c r="F11530" s="546"/>
      <c r="G11530" s="234"/>
      <c r="H11530" s="238"/>
      <c r="I11530" s="237"/>
    </row>
    <row r="11531" spans="1:9" s="232" customFormat="1" ht="17" customHeight="1">
      <c r="A11531" s="234"/>
      <c r="B11531" s="233"/>
      <c r="C11531" s="238"/>
      <c r="E11531" s="545"/>
      <c r="F11531" s="546"/>
      <c r="G11531" s="234"/>
      <c r="H11531" s="238"/>
      <c r="I11531" s="237"/>
    </row>
    <row r="11532" spans="1:9" s="232" customFormat="1" ht="17" customHeight="1">
      <c r="A11532" s="234"/>
      <c r="B11532" s="233"/>
      <c r="C11532" s="238"/>
      <c r="E11532" s="545"/>
      <c r="F11532" s="546"/>
      <c r="G11532" s="234"/>
      <c r="H11532" s="238"/>
      <c r="I11532" s="237"/>
    </row>
    <row r="11533" spans="1:9" s="232" customFormat="1" ht="17" customHeight="1">
      <c r="A11533" s="234"/>
      <c r="B11533" s="233"/>
      <c r="C11533" s="238"/>
      <c r="E11533" s="545"/>
      <c r="F11533" s="546"/>
      <c r="G11533" s="234"/>
      <c r="H11533" s="238"/>
      <c r="I11533" s="237"/>
    </row>
    <row r="11534" spans="1:9" s="232" customFormat="1" ht="17" customHeight="1">
      <c r="A11534" s="234"/>
      <c r="B11534" s="233"/>
      <c r="C11534" s="238"/>
      <c r="E11534" s="545"/>
      <c r="F11534" s="546"/>
      <c r="G11534" s="234"/>
      <c r="H11534" s="238"/>
      <c r="I11534" s="237"/>
    </row>
    <row r="11535" spans="1:9" s="232" customFormat="1" ht="17" customHeight="1">
      <c r="A11535" s="234"/>
      <c r="B11535" s="233"/>
      <c r="C11535" s="238"/>
      <c r="E11535" s="545"/>
      <c r="F11535" s="546"/>
      <c r="G11535" s="234"/>
      <c r="H11535" s="238"/>
      <c r="I11535" s="237"/>
    </row>
    <row r="11536" spans="1:9" s="232" customFormat="1" ht="17" customHeight="1">
      <c r="A11536" s="234"/>
      <c r="B11536" s="233"/>
      <c r="C11536" s="238"/>
      <c r="E11536" s="545"/>
      <c r="F11536" s="546"/>
      <c r="G11536" s="234"/>
      <c r="H11536" s="238"/>
      <c r="I11536" s="237"/>
    </row>
    <row r="11537" spans="1:9" s="232" customFormat="1" ht="17" customHeight="1">
      <c r="A11537" s="234"/>
      <c r="B11537" s="233"/>
      <c r="C11537" s="238"/>
      <c r="E11537" s="545"/>
      <c r="F11537" s="546"/>
      <c r="G11537" s="234"/>
      <c r="H11537" s="238"/>
      <c r="I11537" s="237"/>
    </row>
    <row r="11538" spans="1:9" s="232" customFormat="1" ht="17" customHeight="1">
      <c r="A11538" s="234"/>
      <c r="B11538" s="233"/>
      <c r="C11538" s="238"/>
      <c r="E11538" s="545"/>
      <c r="F11538" s="546"/>
      <c r="G11538" s="234"/>
      <c r="H11538" s="238"/>
      <c r="I11538" s="237"/>
    </row>
    <row r="11539" spans="1:9" s="232" customFormat="1" ht="17" customHeight="1">
      <c r="A11539" s="234"/>
      <c r="B11539" s="233"/>
      <c r="C11539" s="238"/>
      <c r="E11539" s="545"/>
      <c r="F11539" s="546"/>
      <c r="G11539" s="234"/>
      <c r="H11539" s="238"/>
      <c r="I11539" s="237"/>
    </row>
    <row r="11540" spans="1:9" s="232" customFormat="1" ht="17" customHeight="1">
      <c r="A11540" s="234"/>
      <c r="B11540" s="233"/>
      <c r="C11540" s="238"/>
      <c r="E11540" s="545"/>
      <c r="F11540" s="546"/>
      <c r="G11540" s="234"/>
      <c r="H11540" s="238"/>
      <c r="I11540" s="237"/>
    </row>
    <row r="11541" spans="1:9" s="232" customFormat="1" ht="17" customHeight="1">
      <c r="A11541" s="234"/>
      <c r="B11541" s="233"/>
      <c r="C11541" s="238"/>
      <c r="E11541" s="545"/>
      <c r="F11541" s="546"/>
      <c r="G11541" s="234"/>
      <c r="H11541" s="238"/>
      <c r="I11541" s="237"/>
    </row>
    <row r="11542" spans="1:9" s="232" customFormat="1" ht="17" customHeight="1">
      <c r="A11542" s="234"/>
      <c r="B11542" s="233"/>
      <c r="C11542" s="238"/>
      <c r="E11542" s="545"/>
      <c r="F11542" s="546"/>
      <c r="G11542" s="234"/>
      <c r="H11542" s="238"/>
      <c r="I11542" s="237"/>
    </row>
    <row r="11543" spans="1:9" s="232" customFormat="1" ht="17" customHeight="1">
      <c r="A11543" s="234"/>
      <c r="B11543" s="233"/>
      <c r="C11543" s="238"/>
      <c r="E11543" s="545"/>
      <c r="F11543" s="546"/>
      <c r="G11543" s="234"/>
      <c r="H11543" s="238"/>
      <c r="I11543" s="237"/>
    </row>
    <row r="11544" spans="1:9" s="232" customFormat="1" ht="17" customHeight="1">
      <c r="A11544" s="234"/>
      <c r="B11544" s="233"/>
      <c r="C11544" s="238"/>
      <c r="E11544" s="545"/>
      <c r="F11544" s="546"/>
      <c r="G11544" s="234"/>
      <c r="H11544" s="238"/>
      <c r="I11544" s="237"/>
    </row>
    <row r="11545" spans="1:9" s="232" customFormat="1" ht="17" customHeight="1">
      <c r="A11545" s="234"/>
      <c r="B11545" s="233"/>
      <c r="C11545" s="238"/>
      <c r="E11545" s="545"/>
      <c r="F11545" s="546"/>
      <c r="G11545" s="234"/>
      <c r="H11545" s="238"/>
      <c r="I11545" s="237"/>
    </row>
    <row r="11546" spans="1:9" s="232" customFormat="1" ht="17" customHeight="1">
      <c r="A11546" s="234"/>
      <c r="B11546" s="233"/>
      <c r="C11546" s="238"/>
      <c r="E11546" s="545"/>
      <c r="F11546" s="546"/>
      <c r="G11546" s="234"/>
      <c r="H11546" s="238"/>
      <c r="I11546" s="237"/>
    </row>
    <row r="11547" spans="1:9" s="232" customFormat="1" ht="17" customHeight="1">
      <c r="A11547" s="234"/>
      <c r="B11547" s="233"/>
      <c r="C11547" s="238"/>
      <c r="E11547" s="545"/>
      <c r="F11547" s="546"/>
      <c r="G11547" s="234"/>
      <c r="H11547" s="238"/>
      <c r="I11547" s="237"/>
    </row>
    <row r="11548" spans="1:9" s="232" customFormat="1" ht="17" customHeight="1">
      <c r="A11548" s="234"/>
      <c r="B11548" s="233"/>
      <c r="C11548" s="238"/>
      <c r="E11548" s="545"/>
      <c r="F11548" s="546"/>
      <c r="G11548" s="234"/>
      <c r="H11548" s="238"/>
      <c r="I11548" s="237"/>
    </row>
    <row r="11549" spans="1:9" s="232" customFormat="1" ht="17" customHeight="1">
      <c r="A11549" s="234"/>
      <c r="B11549" s="233"/>
      <c r="C11549" s="238"/>
      <c r="E11549" s="545"/>
      <c r="F11549" s="546"/>
      <c r="G11549" s="234"/>
      <c r="H11549" s="238"/>
      <c r="I11549" s="237"/>
    </row>
    <row r="11550" spans="1:9" s="232" customFormat="1" ht="17" customHeight="1">
      <c r="A11550" s="234"/>
      <c r="B11550" s="233"/>
      <c r="C11550" s="238"/>
      <c r="E11550" s="545"/>
      <c r="F11550" s="546"/>
      <c r="G11550" s="234"/>
      <c r="H11550" s="238"/>
      <c r="I11550" s="237"/>
    </row>
    <row r="11551" spans="1:9" s="232" customFormat="1" ht="17" customHeight="1">
      <c r="A11551" s="234"/>
      <c r="B11551" s="233"/>
      <c r="C11551" s="238"/>
      <c r="E11551" s="545"/>
      <c r="F11551" s="546"/>
      <c r="G11551" s="234"/>
      <c r="H11551" s="238"/>
      <c r="I11551" s="237"/>
    </row>
    <row r="11552" spans="1:9" s="232" customFormat="1" ht="17" customHeight="1">
      <c r="A11552" s="234"/>
      <c r="B11552" s="233"/>
      <c r="C11552" s="238"/>
      <c r="E11552" s="545"/>
      <c r="F11552" s="546"/>
      <c r="G11552" s="234"/>
      <c r="H11552" s="238"/>
      <c r="I11552" s="237"/>
    </row>
    <row r="11553" spans="1:9" s="232" customFormat="1" ht="17" customHeight="1">
      <c r="A11553" s="234"/>
      <c r="B11553" s="233"/>
      <c r="C11553" s="238"/>
      <c r="E11553" s="545"/>
      <c r="F11553" s="546"/>
      <c r="G11553" s="234"/>
      <c r="H11553" s="238"/>
      <c r="I11553" s="237"/>
    </row>
    <row r="11554" spans="1:9" s="232" customFormat="1" ht="17" customHeight="1">
      <c r="A11554" s="234"/>
      <c r="B11554" s="233"/>
      <c r="C11554" s="238"/>
      <c r="E11554" s="545"/>
      <c r="F11554" s="546"/>
      <c r="G11554" s="234"/>
      <c r="H11554" s="238"/>
      <c r="I11554" s="237"/>
    </row>
    <row r="11555" spans="1:9" s="232" customFormat="1" ht="17" customHeight="1">
      <c r="A11555" s="234"/>
      <c r="B11555" s="233"/>
      <c r="C11555" s="238"/>
      <c r="E11555" s="545"/>
      <c r="F11555" s="546"/>
      <c r="G11555" s="234"/>
      <c r="H11555" s="238"/>
      <c r="I11555" s="237"/>
    </row>
    <row r="11556" spans="1:9" s="232" customFormat="1" ht="17" customHeight="1">
      <c r="A11556" s="234"/>
      <c r="B11556" s="233"/>
      <c r="C11556" s="238"/>
      <c r="E11556" s="545"/>
      <c r="F11556" s="546"/>
      <c r="G11556" s="234"/>
      <c r="H11556" s="238"/>
      <c r="I11556" s="237"/>
    </row>
    <row r="11557" spans="1:9" s="232" customFormat="1" ht="17" customHeight="1">
      <c r="A11557" s="234"/>
      <c r="B11557" s="233"/>
      <c r="C11557" s="238"/>
      <c r="E11557" s="545"/>
      <c r="F11557" s="546"/>
      <c r="G11557" s="234"/>
      <c r="H11557" s="238"/>
      <c r="I11557" s="237"/>
    </row>
    <row r="11558" spans="1:9" s="232" customFormat="1" ht="17" customHeight="1">
      <c r="A11558" s="234"/>
      <c r="B11558" s="233"/>
      <c r="C11558" s="238"/>
      <c r="E11558" s="545"/>
      <c r="F11558" s="546"/>
      <c r="G11558" s="234"/>
      <c r="H11558" s="238"/>
      <c r="I11558" s="237"/>
    </row>
    <row r="11559" spans="1:9" s="232" customFormat="1" ht="17" customHeight="1">
      <c r="A11559" s="234"/>
      <c r="B11559" s="233"/>
      <c r="C11559" s="238"/>
      <c r="E11559" s="545"/>
      <c r="F11559" s="546"/>
      <c r="G11559" s="234"/>
      <c r="H11559" s="238"/>
      <c r="I11559" s="237"/>
    </row>
    <row r="11560" spans="1:9" s="232" customFormat="1" ht="17" customHeight="1">
      <c r="A11560" s="234"/>
      <c r="B11560" s="233"/>
      <c r="C11560" s="238"/>
      <c r="E11560" s="545"/>
      <c r="F11560" s="546"/>
      <c r="G11560" s="234"/>
      <c r="H11560" s="238"/>
      <c r="I11560" s="237"/>
    </row>
    <row r="11561" spans="1:9" s="232" customFormat="1" ht="17" customHeight="1">
      <c r="A11561" s="234"/>
      <c r="B11561" s="233"/>
      <c r="C11561" s="238"/>
      <c r="E11561" s="545"/>
      <c r="F11561" s="546"/>
      <c r="G11561" s="234"/>
      <c r="H11561" s="238"/>
      <c r="I11561" s="237"/>
    </row>
    <row r="11562" spans="1:9" s="232" customFormat="1" ht="17" customHeight="1">
      <c r="A11562" s="234"/>
      <c r="B11562" s="233"/>
      <c r="C11562" s="238"/>
      <c r="E11562" s="545"/>
      <c r="F11562" s="546"/>
      <c r="G11562" s="234"/>
      <c r="H11562" s="238"/>
      <c r="I11562" s="237"/>
    </row>
    <row r="11563" spans="1:9" s="232" customFormat="1" ht="17" customHeight="1">
      <c r="A11563" s="234"/>
      <c r="B11563" s="233"/>
      <c r="C11563" s="238"/>
      <c r="E11563" s="545"/>
      <c r="F11563" s="546"/>
      <c r="G11563" s="234"/>
      <c r="H11563" s="238"/>
      <c r="I11563" s="237"/>
    </row>
    <row r="11564" spans="1:9" s="232" customFormat="1" ht="17" customHeight="1">
      <c r="A11564" s="234"/>
      <c r="B11564" s="233"/>
      <c r="C11564" s="238"/>
      <c r="E11564" s="545"/>
      <c r="F11564" s="546"/>
      <c r="G11564" s="234"/>
      <c r="H11564" s="238"/>
      <c r="I11564" s="237"/>
    </row>
    <row r="11565" spans="1:9" s="232" customFormat="1" ht="17" customHeight="1">
      <c r="A11565" s="234"/>
      <c r="B11565" s="233"/>
      <c r="C11565" s="238"/>
      <c r="E11565" s="545"/>
      <c r="F11565" s="546"/>
      <c r="G11565" s="234"/>
      <c r="H11565" s="238"/>
      <c r="I11565" s="237"/>
    </row>
    <row r="11566" spans="1:9" s="232" customFormat="1" ht="17" customHeight="1">
      <c r="A11566" s="234"/>
      <c r="B11566" s="233"/>
      <c r="C11566" s="238"/>
      <c r="E11566" s="545"/>
      <c r="F11566" s="546"/>
      <c r="G11566" s="234"/>
      <c r="H11566" s="238"/>
      <c r="I11566" s="237"/>
    </row>
    <row r="11567" spans="1:9" s="232" customFormat="1" ht="17" customHeight="1">
      <c r="A11567" s="234"/>
      <c r="B11567" s="233"/>
      <c r="C11567" s="238"/>
      <c r="E11567" s="545"/>
      <c r="F11567" s="546"/>
      <c r="G11567" s="234"/>
      <c r="H11567" s="238"/>
      <c r="I11567" s="237"/>
    </row>
    <row r="11568" spans="1:9" s="232" customFormat="1" ht="17" customHeight="1">
      <c r="A11568" s="234"/>
      <c r="B11568" s="233"/>
      <c r="C11568" s="238"/>
      <c r="E11568" s="545"/>
      <c r="F11568" s="546"/>
      <c r="G11568" s="234"/>
      <c r="H11568" s="238"/>
      <c r="I11568" s="237"/>
    </row>
    <row r="11569" spans="1:9" s="232" customFormat="1" ht="17" customHeight="1">
      <c r="A11569" s="234"/>
      <c r="B11569" s="233"/>
      <c r="C11569" s="238"/>
      <c r="E11569" s="545"/>
      <c r="F11569" s="546"/>
      <c r="G11569" s="234"/>
      <c r="H11569" s="238"/>
      <c r="I11569" s="237"/>
    </row>
    <row r="11570" spans="1:9" s="232" customFormat="1" ht="17" customHeight="1">
      <c r="A11570" s="234"/>
      <c r="B11570" s="233"/>
      <c r="C11570" s="238"/>
      <c r="E11570" s="545"/>
      <c r="F11570" s="546"/>
      <c r="G11570" s="234"/>
      <c r="H11570" s="238"/>
      <c r="I11570" s="237"/>
    </row>
    <row r="11571" spans="1:9" s="232" customFormat="1" ht="17" customHeight="1">
      <c r="A11571" s="234"/>
      <c r="B11571" s="233"/>
      <c r="C11571" s="238"/>
      <c r="E11571" s="545"/>
      <c r="F11571" s="546"/>
      <c r="G11571" s="234"/>
      <c r="H11571" s="238"/>
      <c r="I11571" s="237"/>
    </row>
    <row r="11572" spans="1:9" s="232" customFormat="1" ht="17" customHeight="1">
      <c r="A11572" s="234"/>
      <c r="B11572" s="233"/>
      <c r="C11572" s="238"/>
      <c r="E11572" s="545"/>
      <c r="F11572" s="546"/>
      <c r="G11572" s="234"/>
      <c r="H11572" s="238"/>
      <c r="I11572" s="237"/>
    </row>
    <row r="11573" spans="1:9" s="232" customFormat="1" ht="17" customHeight="1">
      <c r="A11573" s="234"/>
      <c r="B11573" s="233"/>
      <c r="C11573" s="238"/>
      <c r="E11573" s="545"/>
      <c r="F11573" s="546"/>
      <c r="G11573" s="234"/>
      <c r="H11573" s="238"/>
      <c r="I11573" s="237"/>
    </row>
    <row r="11574" spans="1:9" s="232" customFormat="1" ht="17" customHeight="1">
      <c r="A11574" s="234"/>
      <c r="B11574" s="233"/>
      <c r="C11574" s="238"/>
      <c r="E11574" s="545"/>
      <c r="F11574" s="546"/>
      <c r="G11574" s="234"/>
      <c r="H11574" s="238"/>
      <c r="I11574" s="237"/>
    </row>
    <row r="11575" spans="1:9" s="232" customFormat="1" ht="17" customHeight="1">
      <c r="A11575" s="234"/>
      <c r="B11575" s="233"/>
      <c r="C11575" s="238"/>
      <c r="E11575" s="545"/>
      <c r="F11575" s="546"/>
      <c r="G11575" s="234"/>
      <c r="H11575" s="238"/>
      <c r="I11575" s="237"/>
    </row>
    <row r="11576" spans="1:9" s="232" customFormat="1" ht="17" customHeight="1">
      <c r="A11576" s="234"/>
      <c r="B11576" s="233"/>
      <c r="C11576" s="238"/>
      <c r="E11576" s="545"/>
      <c r="F11576" s="546"/>
      <c r="G11576" s="234"/>
      <c r="H11576" s="238"/>
      <c r="I11576" s="237"/>
    </row>
    <row r="11577" spans="1:9" s="232" customFormat="1" ht="17" customHeight="1">
      <c r="A11577" s="234"/>
      <c r="B11577" s="233"/>
      <c r="C11577" s="238"/>
      <c r="E11577" s="545"/>
      <c r="F11577" s="546"/>
      <c r="G11577" s="234"/>
      <c r="H11577" s="238"/>
      <c r="I11577" s="237"/>
    </row>
    <row r="11578" spans="1:9" s="232" customFormat="1" ht="17" customHeight="1">
      <c r="A11578" s="234"/>
      <c r="B11578" s="233"/>
      <c r="C11578" s="238"/>
      <c r="E11578" s="545"/>
      <c r="F11578" s="546"/>
      <c r="G11578" s="234"/>
      <c r="H11578" s="238"/>
      <c r="I11578" s="237"/>
    </row>
    <row r="11579" spans="1:9" s="232" customFormat="1" ht="17" customHeight="1">
      <c r="A11579" s="234"/>
      <c r="B11579" s="233"/>
      <c r="C11579" s="238"/>
      <c r="E11579" s="545"/>
      <c r="F11579" s="546"/>
      <c r="G11579" s="234"/>
      <c r="H11579" s="238"/>
      <c r="I11579" s="237"/>
    </row>
    <row r="11580" spans="1:9" s="232" customFormat="1" ht="17" customHeight="1">
      <c r="A11580" s="234"/>
      <c r="B11580" s="233"/>
      <c r="C11580" s="238"/>
      <c r="E11580" s="545"/>
      <c r="F11580" s="546"/>
      <c r="G11580" s="234"/>
      <c r="H11580" s="238"/>
      <c r="I11580" s="237"/>
    </row>
    <row r="11581" spans="1:9" s="232" customFormat="1" ht="17" customHeight="1">
      <c r="A11581" s="234"/>
      <c r="B11581" s="233"/>
      <c r="C11581" s="238"/>
      <c r="E11581" s="545"/>
      <c r="F11581" s="546"/>
      <c r="G11581" s="234"/>
      <c r="H11581" s="238"/>
      <c r="I11581" s="237"/>
    </row>
    <row r="11582" spans="1:9" s="232" customFormat="1" ht="17" customHeight="1">
      <c r="A11582" s="234"/>
      <c r="B11582" s="233"/>
      <c r="C11582" s="238"/>
      <c r="E11582" s="545"/>
      <c r="F11582" s="546"/>
      <c r="G11582" s="234"/>
      <c r="H11582" s="238"/>
      <c r="I11582" s="237"/>
    </row>
    <row r="11583" spans="1:9" s="232" customFormat="1" ht="17" customHeight="1">
      <c r="A11583" s="234"/>
      <c r="B11583" s="233"/>
      <c r="C11583" s="238"/>
      <c r="E11583" s="545"/>
      <c r="F11583" s="546"/>
      <c r="G11583" s="234"/>
      <c r="H11583" s="238"/>
      <c r="I11583" s="237"/>
    </row>
    <row r="11584" spans="1:9" s="232" customFormat="1" ht="17" customHeight="1">
      <c r="A11584" s="234"/>
      <c r="B11584" s="233"/>
      <c r="C11584" s="238"/>
      <c r="E11584" s="545"/>
      <c r="F11584" s="546"/>
      <c r="G11584" s="234"/>
      <c r="H11584" s="238"/>
      <c r="I11584" s="237"/>
    </row>
    <row r="11585" spans="1:9" s="232" customFormat="1" ht="17" customHeight="1">
      <c r="A11585" s="234"/>
      <c r="B11585" s="233"/>
      <c r="C11585" s="238"/>
      <c r="E11585" s="545"/>
      <c r="F11585" s="546"/>
      <c r="G11585" s="234"/>
      <c r="H11585" s="238"/>
      <c r="I11585" s="237"/>
    </row>
    <row r="11586" spans="1:9" s="232" customFormat="1" ht="17" customHeight="1">
      <c r="A11586" s="234"/>
      <c r="B11586" s="233"/>
      <c r="C11586" s="238"/>
      <c r="E11586" s="545"/>
      <c r="F11586" s="546"/>
      <c r="G11586" s="234"/>
      <c r="H11586" s="238"/>
      <c r="I11586" s="237"/>
    </row>
    <row r="11587" spans="1:9" s="232" customFormat="1" ht="17" customHeight="1">
      <c r="A11587" s="234"/>
      <c r="B11587" s="233"/>
      <c r="C11587" s="238"/>
      <c r="E11587" s="545"/>
      <c r="F11587" s="546"/>
      <c r="G11587" s="234"/>
      <c r="H11587" s="238"/>
      <c r="I11587" s="237"/>
    </row>
    <row r="11588" spans="1:9" s="232" customFormat="1" ht="17" customHeight="1">
      <c r="A11588" s="234"/>
      <c r="B11588" s="233"/>
      <c r="C11588" s="238"/>
      <c r="E11588" s="545"/>
      <c r="F11588" s="546"/>
      <c r="G11588" s="234"/>
      <c r="H11588" s="238"/>
      <c r="I11588" s="237"/>
    </row>
    <row r="11589" spans="1:9" s="232" customFormat="1" ht="17" customHeight="1">
      <c r="A11589" s="234"/>
      <c r="B11589" s="233"/>
      <c r="C11589" s="238"/>
      <c r="E11589" s="545"/>
      <c r="F11589" s="546"/>
      <c r="G11589" s="234"/>
      <c r="H11589" s="238"/>
      <c r="I11589" s="237"/>
    </row>
    <row r="11590" spans="1:9" s="232" customFormat="1" ht="17" customHeight="1">
      <c r="A11590" s="234"/>
      <c r="B11590" s="233"/>
      <c r="C11590" s="238"/>
      <c r="E11590" s="545"/>
      <c r="F11590" s="546"/>
      <c r="G11590" s="234"/>
      <c r="H11590" s="238"/>
      <c r="I11590" s="237"/>
    </row>
    <row r="11591" spans="1:9" s="232" customFormat="1" ht="17" customHeight="1">
      <c r="A11591" s="234"/>
      <c r="B11591" s="233"/>
      <c r="C11591" s="238"/>
      <c r="E11591" s="545"/>
      <c r="F11591" s="546"/>
      <c r="G11591" s="234"/>
      <c r="H11591" s="238"/>
      <c r="I11591" s="237"/>
    </row>
    <row r="11592" spans="1:9" s="232" customFormat="1" ht="17" customHeight="1">
      <c r="A11592" s="234"/>
      <c r="B11592" s="233"/>
      <c r="C11592" s="238"/>
      <c r="E11592" s="545"/>
      <c r="F11592" s="546"/>
      <c r="G11592" s="234"/>
      <c r="H11592" s="238"/>
      <c r="I11592" s="237"/>
    </row>
    <row r="11593" spans="1:9" s="232" customFormat="1" ht="17" customHeight="1">
      <c r="A11593" s="234"/>
      <c r="B11593" s="233"/>
      <c r="C11593" s="238"/>
      <c r="E11593" s="545"/>
      <c r="F11593" s="546"/>
      <c r="G11593" s="234"/>
      <c r="H11593" s="238"/>
      <c r="I11593" s="237"/>
    </row>
    <row r="11594" spans="1:9" s="232" customFormat="1" ht="17" customHeight="1">
      <c r="A11594" s="234"/>
      <c r="B11594" s="233"/>
      <c r="C11594" s="238"/>
      <c r="E11594" s="545"/>
      <c r="F11594" s="546"/>
      <c r="G11594" s="234"/>
      <c r="H11594" s="238"/>
      <c r="I11594" s="237"/>
    </row>
    <row r="11595" spans="1:9" s="232" customFormat="1" ht="17" customHeight="1">
      <c r="A11595" s="234"/>
      <c r="B11595" s="233"/>
      <c r="C11595" s="238"/>
      <c r="E11595" s="545"/>
      <c r="F11595" s="546"/>
      <c r="G11595" s="234"/>
      <c r="H11595" s="238"/>
      <c r="I11595" s="237"/>
    </row>
    <row r="11596" spans="1:9" s="232" customFormat="1" ht="17" customHeight="1">
      <c r="A11596" s="234"/>
      <c r="B11596" s="233"/>
      <c r="C11596" s="238"/>
      <c r="E11596" s="545"/>
      <c r="F11596" s="546"/>
      <c r="G11596" s="234"/>
      <c r="H11596" s="238"/>
      <c r="I11596" s="237"/>
    </row>
    <row r="11597" spans="1:9" s="232" customFormat="1" ht="17" customHeight="1">
      <c r="A11597" s="234"/>
      <c r="B11597" s="233"/>
      <c r="C11597" s="238"/>
      <c r="E11597" s="545"/>
      <c r="F11597" s="546"/>
      <c r="G11597" s="234"/>
      <c r="H11597" s="238"/>
      <c r="I11597" s="237"/>
    </row>
    <row r="11598" spans="1:9" s="232" customFormat="1" ht="17" customHeight="1">
      <c r="A11598" s="234"/>
      <c r="B11598" s="233"/>
      <c r="C11598" s="238"/>
      <c r="E11598" s="545"/>
      <c r="F11598" s="546"/>
      <c r="G11598" s="234"/>
      <c r="H11598" s="238"/>
      <c r="I11598" s="237"/>
    </row>
    <row r="11599" spans="1:9" s="232" customFormat="1" ht="17" customHeight="1">
      <c r="A11599" s="234"/>
      <c r="B11599" s="233"/>
      <c r="C11599" s="238"/>
      <c r="E11599" s="545"/>
      <c r="F11599" s="546"/>
      <c r="G11599" s="234"/>
      <c r="H11599" s="238"/>
      <c r="I11599" s="237"/>
    </row>
    <row r="11600" spans="1:9" s="232" customFormat="1" ht="17" customHeight="1">
      <c r="A11600" s="234"/>
      <c r="B11600" s="233"/>
      <c r="C11600" s="238"/>
      <c r="E11600" s="545"/>
      <c r="F11600" s="546"/>
      <c r="G11600" s="234"/>
      <c r="H11600" s="238"/>
      <c r="I11600" s="237"/>
    </row>
    <row r="11601" spans="1:9" s="232" customFormat="1" ht="17" customHeight="1">
      <c r="A11601" s="234"/>
      <c r="B11601" s="233"/>
      <c r="C11601" s="238"/>
      <c r="E11601" s="545"/>
      <c r="F11601" s="546"/>
      <c r="G11601" s="234"/>
      <c r="H11601" s="238"/>
      <c r="I11601" s="237"/>
    </row>
    <row r="11602" spans="1:9" s="232" customFormat="1" ht="17" customHeight="1">
      <c r="A11602" s="234"/>
      <c r="B11602" s="233"/>
      <c r="C11602" s="238"/>
      <c r="E11602" s="545"/>
      <c r="F11602" s="546"/>
      <c r="G11602" s="234"/>
      <c r="H11602" s="238"/>
      <c r="I11602" s="237"/>
    </row>
    <row r="11603" spans="1:9" s="232" customFormat="1" ht="17" customHeight="1">
      <c r="A11603" s="234"/>
      <c r="B11603" s="233"/>
      <c r="C11603" s="238"/>
      <c r="E11603" s="545"/>
      <c r="F11603" s="546"/>
      <c r="G11603" s="234"/>
      <c r="H11603" s="238"/>
      <c r="I11603" s="237"/>
    </row>
    <row r="11604" spans="1:9" s="232" customFormat="1" ht="17" customHeight="1">
      <c r="A11604" s="234"/>
      <c r="B11604" s="233"/>
      <c r="C11604" s="238"/>
      <c r="E11604" s="545"/>
      <c r="F11604" s="546"/>
      <c r="G11604" s="234"/>
      <c r="H11604" s="238"/>
      <c r="I11604" s="237"/>
    </row>
    <row r="11605" spans="1:9" s="232" customFormat="1" ht="17" customHeight="1">
      <c r="A11605" s="234"/>
      <c r="B11605" s="233"/>
      <c r="C11605" s="238"/>
      <c r="E11605" s="545"/>
      <c r="F11605" s="546"/>
      <c r="G11605" s="234"/>
      <c r="H11605" s="238"/>
      <c r="I11605" s="237"/>
    </row>
    <row r="11606" spans="1:9" s="232" customFormat="1" ht="17" customHeight="1">
      <c r="A11606" s="234"/>
      <c r="B11606" s="233"/>
      <c r="C11606" s="238"/>
      <c r="E11606" s="545"/>
      <c r="F11606" s="546"/>
      <c r="G11606" s="234"/>
      <c r="H11606" s="238"/>
      <c r="I11606" s="237"/>
    </row>
    <row r="11607" spans="1:9" s="232" customFormat="1" ht="17" customHeight="1">
      <c r="A11607" s="234"/>
      <c r="B11607" s="233"/>
      <c r="C11607" s="238"/>
      <c r="E11607" s="545"/>
      <c r="F11607" s="546"/>
      <c r="G11607" s="234"/>
      <c r="H11607" s="238"/>
      <c r="I11607" s="237"/>
    </row>
    <row r="11608" spans="1:9" s="232" customFormat="1" ht="17" customHeight="1">
      <c r="A11608" s="234"/>
      <c r="B11608" s="233"/>
      <c r="C11608" s="238"/>
      <c r="E11608" s="545"/>
      <c r="F11608" s="546"/>
      <c r="G11608" s="234"/>
      <c r="H11608" s="238"/>
      <c r="I11608" s="237"/>
    </row>
    <row r="11609" spans="1:9" s="232" customFormat="1" ht="17" customHeight="1">
      <c r="A11609" s="234"/>
      <c r="B11609" s="233"/>
      <c r="C11609" s="238"/>
      <c r="E11609" s="545"/>
      <c r="F11609" s="546"/>
      <c r="G11609" s="234"/>
      <c r="H11609" s="238"/>
      <c r="I11609" s="237"/>
    </row>
    <row r="11610" spans="1:9" s="232" customFormat="1" ht="17" customHeight="1">
      <c r="A11610" s="234"/>
      <c r="B11610" s="233"/>
      <c r="C11610" s="238"/>
      <c r="E11610" s="545"/>
      <c r="F11610" s="546"/>
      <c r="G11610" s="234"/>
      <c r="H11610" s="238"/>
      <c r="I11610" s="237"/>
    </row>
    <row r="11611" spans="1:9" s="232" customFormat="1" ht="17" customHeight="1">
      <c r="A11611" s="234"/>
      <c r="B11611" s="233"/>
      <c r="C11611" s="238"/>
      <c r="E11611" s="545"/>
      <c r="F11611" s="546"/>
      <c r="G11611" s="234"/>
      <c r="H11611" s="238"/>
      <c r="I11611" s="237"/>
    </row>
    <row r="11612" spans="1:9" s="232" customFormat="1" ht="17" customHeight="1">
      <c r="A11612" s="234"/>
      <c r="B11612" s="233"/>
      <c r="C11612" s="238"/>
      <c r="E11612" s="545"/>
      <c r="F11612" s="546"/>
      <c r="G11612" s="234"/>
      <c r="H11612" s="238"/>
      <c r="I11612" s="237"/>
    </row>
    <row r="11613" spans="1:9" s="232" customFormat="1" ht="17" customHeight="1">
      <c r="A11613" s="234"/>
      <c r="B11613" s="233"/>
      <c r="C11613" s="238"/>
      <c r="E11613" s="545"/>
      <c r="F11613" s="546"/>
      <c r="G11613" s="234"/>
      <c r="H11613" s="238"/>
      <c r="I11613" s="237"/>
    </row>
    <row r="11614" spans="1:9" s="232" customFormat="1" ht="17" customHeight="1">
      <c r="A11614" s="234"/>
      <c r="B11614" s="233"/>
      <c r="C11614" s="238"/>
      <c r="E11614" s="545"/>
      <c r="F11614" s="546"/>
      <c r="G11614" s="234"/>
      <c r="H11614" s="238"/>
      <c r="I11614" s="237"/>
    </row>
    <row r="11615" spans="1:9" s="232" customFormat="1" ht="17" customHeight="1">
      <c r="A11615" s="234"/>
      <c r="B11615" s="233"/>
      <c r="C11615" s="238"/>
      <c r="E11615" s="545"/>
      <c r="F11615" s="546"/>
      <c r="G11615" s="234"/>
      <c r="H11615" s="238"/>
      <c r="I11615" s="237"/>
    </row>
    <row r="11616" spans="1:9" s="232" customFormat="1" ht="17" customHeight="1">
      <c r="A11616" s="234"/>
      <c r="B11616" s="233"/>
      <c r="C11616" s="238"/>
      <c r="E11616" s="545"/>
      <c r="F11616" s="546"/>
      <c r="G11616" s="234"/>
      <c r="H11616" s="238"/>
      <c r="I11616" s="237"/>
    </row>
    <row r="11617" spans="1:9" s="232" customFormat="1" ht="17" customHeight="1">
      <c r="A11617" s="234"/>
      <c r="B11617" s="233"/>
      <c r="C11617" s="238"/>
      <c r="E11617" s="545"/>
      <c r="F11617" s="546"/>
      <c r="G11617" s="234"/>
      <c r="H11617" s="238"/>
      <c r="I11617" s="237"/>
    </row>
    <row r="11618" spans="1:9" s="232" customFormat="1" ht="17" customHeight="1">
      <c r="A11618" s="234"/>
      <c r="B11618" s="233"/>
      <c r="C11618" s="238"/>
      <c r="E11618" s="545"/>
      <c r="F11618" s="546"/>
      <c r="G11618" s="234"/>
      <c r="H11618" s="238"/>
      <c r="I11618" s="237"/>
    </row>
    <row r="11619" spans="1:9" s="232" customFormat="1" ht="17" customHeight="1">
      <c r="A11619" s="234"/>
      <c r="B11619" s="233"/>
      <c r="C11619" s="238"/>
      <c r="E11619" s="545"/>
      <c r="F11619" s="546"/>
      <c r="G11619" s="234"/>
      <c r="H11619" s="238"/>
      <c r="I11619" s="237"/>
    </row>
    <row r="11620" spans="1:9" s="232" customFormat="1" ht="17" customHeight="1">
      <c r="A11620" s="234"/>
      <c r="B11620" s="233"/>
      <c r="C11620" s="238"/>
      <c r="E11620" s="545"/>
      <c r="F11620" s="546"/>
      <c r="G11620" s="234"/>
      <c r="H11620" s="238"/>
      <c r="I11620" s="237"/>
    </row>
    <row r="11621" spans="1:9" s="232" customFormat="1" ht="17" customHeight="1">
      <c r="A11621" s="234"/>
      <c r="B11621" s="233"/>
      <c r="C11621" s="238"/>
      <c r="E11621" s="545"/>
      <c r="F11621" s="546"/>
      <c r="G11621" s="234"/>
      <c r="H11621" s="238"/>
      <c r="I11621" s="237"/>
    </row>
    <row r="11622" spans="1:9" s="232" customFormat="1" ht="17" customHeight="1">
      <c r="A11622" s="234"/>
      <c r="B11622" s="233"/>
      <c r="C11622" s="238"/>
      <c r="E11622" s="545"/>
      <c r="F11622" s="546"/>
      <c r="G11622" s="234"/>
      <c r="H11622" s="238"/>
      <c r="I11622" s="237"/>
    </row>
    <row r="11623" spans="1:9" s="232" customFormat="1" ht="17" customHeight="1">
      <c r="A11623" s="234"/>
      <c r="B11623" s="233"/>
      <c r="C11623" s="238"/>
      <c r="E11623" s="545"/>
      <c r="F11623" s="546"/>
      <c r="G11623" s="234"/>
      <c r="H11623" s="238"/>
      <c r="I11623" s="237"/>
    </row>
    <row r="11624" spans="1:9" s="232" customFormat="1" ht="17" customHeight="1">
      <c r="A11624" s="234"/>
      <c r="B11624" s="233"/>
      <c r="C11624" s="238"/>
      <c r="E11624" s="545"/>
      <c r="F11624" s="546"/>
      <c r="G11624" s="234"/>
      <c r="H11624" s="238"/>
      <c r="I11624" s="237"/>
    </row>
    <row r="11625" spans="1:9" s="232" customFormat="1" ht="17" customHeight="1">
      <c r="A11625" s="234"/>
      <c r="B11625" s="233"/>
      <c r="C11625" s="238"/>
      <c r="E11625" s="545"/>
      <c r="F11625" s="546"/>
      <c r="G11625" s="234"/>
      <c r="H11625" s="238"/>
      <c r="I11625" s="237"/>
    </row>
    <row r="11626" spans="1:9" s="232" customFormat="1" ht="17" customHeight="1">
      <c r="A11626" s="234"/>
      <c r="B11626" s="233"/>
      <c r="C11626" s="238"/>
      <c r="E11626" s="545"/>
      <c r="F11626" s="546"/>
      <c r="G11626" s="234"/>
      <c r="H11626" s="238"/>
      <c r="I11626" s="237"/>
    </row>
    <row r="11627" spans="1:9" s="232" customFormat="1" ht="17" customHeight="1">
      <c r="A11627" s="234"/>
      <c r="B11627" s="233"/>
      <c r="C11627" s="238"/>
      <c r="E11627" s="545"/>
      <c r="F11627" s="546"/>
      <c r="G11627" s="234"/>
      <c r="H11627" s="238"/>
      <c r="I11627" s="237"/>
    </row>
    <row r="11628" spans="1:9" s="232" customFormat="1" ht="17" customHeight="1">
      <c r="A11628" s="234"/>
      <c r="B11628" s="233"/>
      <c r="C11628" s="238"/>
      <c r="E11628" s="545"/>
      <c r="F11628" s="546"/>
      <c r="G11628" s="234"/>
      <c r="H11628" s="238"/>
      <c r="I11628" s="237"/>
    </row>
    <row r="11629" spans="1:9" s="232" customFormat="1" ht="17" customHeight="1">
      <c r="A11629" s="234"/>
      <c r="B11629" s="233"/>
      <c r="C11629" s="238"/>
      <c r="E11629" s="545"/>
      <c r="F11629" s="546"/>
      <c r="G11629" s="234"/>
      <c r="H11629" s="238"/>
      <c r="I11629" s="237"/>
    </row>
    <row r="11630" spans="1:9" s="232" customFormat="1" ht="17" customHeight="1">
      <c r="A11630" s="234"/>
      <c r="B11630" s="233"/>
      <c r="C11630" s="238"/>
      <c r="E11630" s="545"/>
      <c r="F11630" s="546"/>
      <c r="G11630" s="234"/>
      <c r="H11630" s="238"/>
      <c r="I11630" s="237"/>
    </row>
    <row r="11631" spans="1:9" s="232" customFormat="1" ht="17" customHeight="1">
      <c r="A11631" s="234"/>
      <c r="B11631" s="233"/>
      <c r="C11631" s="238"/>
      <c r="E11631" s="545"/>
      <c r="F11631" s="546"/>
      <c r="G11631" s="234"/>
      <c r="H11631" s="238"/>
      <c r="I11631" s="237"/>
    </row>
    <row r="11632" spans="1:9" s="232" customFormat="1" ht="17" customHeight="1">
      <c r="A11632" s="234"/>
      <c r="B11632" s="233"/>
      <c r="C11632" s="238"/>
      <c r="E11632" s="545"/>
      <c r="F11632" s="546"/>
      <c r="G11632" s="234"/>
      <c r="H11632" s="238"/>
      <c r="I11632" s="237"/>
    </row>
    <row r="11633" spans="1:9" s="232" customFormat="1" ht="17" customHeight="1">
      <c r="A11633" s="234"/>
      <c r="B11633" s="233"/>
      <c r="C11633" s="238"/>
      <c r="E11633" s="545"/>
      <c r="F11633" s="546"/>
      <c r="G11633" s="234"/>
      <c r="H11633" s="238"/>
      <c r="I11633" s="237"/>
    </row>
    <row r="11634" spans="1:9" s="232" customFormat="1" ht="17" customHeight="1">
      <c r="A11634" s="234"/>
      <c r="B11634" s="233"/>
      <c r="C11634" s="238"/>
      <c r="E11634" s="545"/>
      <c r="F11634" s="546"/>
      <c r="G11634" s="234"/>
      <c r="H11634" s="238"/>
      <c r="I11634" s="237"/>
    </row>
    <row r="11635" spans="1:9" s="232" customFormat="1" ht="17" customHeight="1">
      <c r="A11635" s="234"/>
      <c r="B11635" s="233"/>
      <c r="C11635" s="238"/>
      <c r="E11635" s="545"/>
      <c r="F11635" s="546"/>
      <c r="G11635" s="234"/>
      <c r="H11635" s="238"/>
      <c r="I11635" s="237"/>
    </row>
    <row r="11636" spans="1:9" s="232" customFormat="1" ht="17" customHeight="1">
      <c r="A11636" s="234"/>
      <c r="B11636" s="233"/>
      <c r="C11636" s="238"/>
      <c r="E11636" s="545"/>
      <c r="F11636" s="546"/>
      <c r="G11636" s="234"/>
      <c r="H11636" s="238"/>
      <c r="I11636" s="237"/>
    </row>
    <row r="11637" spans="1:9" s="232" customFormat="1" ht="17" customHeight="1">
      <c r="A11637" s="234"/>
      <c r="B11637" s="233"/>
      <c r="C11637" s="238"/>
      <c r="E11637" s="545"/>
      <c r="F11637" s="546"/>
      <c r="G11637" s="234"/>
      <c r="H11637" s="238"/>
      <c r="I11637" s="237"/>
    </row>
    <row r="11638" spans="1:9" s="232" customFormat="1" ht="17" customHeight="1">
      <c r="A11638" s="234"/>
      <c r="B11638" s="233"/>
      <c r="C11638" s="238"/>
      <c r="E11638" s="545"/>
      <c r="F11638" s="546"/>
      <c r="G11638" s="234"/>
      <c r="H11638" s="238"/>
      <c r="I11638" s="237"/>
    </row>
    <row r="11639" spans="1:9" s="232" customFormat="1" ht="17" customHeight="1">
      <c r="A11639" s="234"/>
      <c r="B11639" s="233"/>
      <c r="C11639" s="238"/>
      <c r="E11639" s="545"/>
      <c r="F11639" s="546"/>
      <c r="G11639" s="234"/>
      <c r="H11639" s="238"/>
      <c r="I11639" s="237"/>
    </row>
    <row r="11640" spans="1:9" s="232" customFormat="1" ht="17" customHeight="1">
      <c r="A11640" s="234"/>
      <c r="B11640" s="233"/>
      <c r="C11640" s="238"/>
      <c r="E11640" s="545"/>
      <c r="F11640" s="546"/>
      <c r="G11640" s="234"/>
      <c r="H11640" s="238"/>
      <c r="I11640" s="237"/>
    </row>
    <row r="11641" spans="1:9" s="232" customFormat="1" ht="17" customHeight="1">
      <c r="A11641" s="234"/>
      <c r="B11641" s="233"/>
      <c r="C11641" s="238"/>
      <c r="E11641" s="545"/>
      <c r="F11641" s="546"/>
      <c r="G11641" s="234"/>
      <c r="H11641" s="238"/>
      <c r="I11641" s="237"/>
    </row>
    <row r="11642" spans="1:9" s="232" customFormat="1" ht="17" customHeight="1">
      <c r="A11642" s="234"/>
      <c r="B11642" s="233"/>
      <c r="C11642" s="238"/>
      <c r="E11642" s="545"/>
      <c r="F11642" s="546"/>
      <c r="G11642" s="234"/>
      <c r="H11642" s="238"/>
      <c r="I11642" s="237"/>
    </row>
    <row r="11643" spans="1:9" s="232" customFormat="1" ht="17" customHeight="1">
      <c r="A11643" s="234"/>
      <c r="B11643" s="233"/>
      <c r="C11643" s="238"/>
      <c r="E11643" s="545"/>
      <c r="F11643" s="546"/>
      <c r="G11643" s="234"/>
      <c r="H11643" s="238"/>
      <c r="I11643" s="237"/>
    </row>
    <row r="11644" spans="1:9" s="232" customFormat="1" ht="17" customHeight="1">
      <c r="A11644" s="234"/>
      <c r="B11644" s="233"/>
      <c r="C11644" s="238"/>
      <c r="E11644" s="545"/>
      <c r="F11644" s="546"/>
      <c r="G11644" s="234"/>
      <c r="H11644" s="238"/>
      <c r="I11644" s="237"/>
    </row>
    <row r="11645" spans="1:9" s="232" customFormat="1" ht="17" customHeight="1">
      <c r="A11645" s="234"/>
      <c r="B11645" s="233"/>
      <c r="C11645" s="238"/>
      <c r="E11645" s="545"/>
      <c r="F11645" s="546"/>
      <c r="G11645" s="234"/>
      <c r="H11645" s="238"/>
      <c r="I11645" s="237"/>
    </row>
    <row r="11646" spans="1:9" s="232" customFormat="1" ht="17" customHeight="1">
      <c r="A11646" s="234"/>
      <c r="B11646" s="233"/>
      <c r="C11646" s="238"/>
      <c r="E11646" s="545"/>
      <c r="F11646" s="546"/>
      <c r="G11646" s="234"/>
      <c r="H11646" s="238"/>
      <c r="I11646" s="237"/>
    </row>
    <row r="11647" spans="1:9" s="232" customFormat="1" ht="17" customHeight="1">
      <c r="A11647" s="234"/>
      <c r="B11647" s="233"/>
      <c r="C11647" s="238"/>
      <c r="E11647" s="545"/>
      <c r="F11647" s="546"/>
      <c r="G11647" s="234"/>
      <c r="H11647" s="238"/>
      <c r="I11647" s="237"/>
    </row>
    <row r="11648" spans="1:9" s="232" customFormat="1" ht="17" customHeight="1">
      <c r="A11648" s="234"/>
      <c r="B11648" s="233"/>
      <c r="C11648" s="238"/>
      <c r="E11648" s="545"/>
      <c r="F11648" s="546"/>
      <c r="G11648" s="234"/>
      <c r="H11648" s="238"/>
      <c r="I11648" s="237"/>
    </row>
    <row r="11649" spans="1:9" s="232" customFormat="1" ht="17" customHeight="1">
      <c r="A11649" s="234"/>
      <c r="B11649" s="233"/>
      <c r="C11649" s="238"/>
      <c r="E11649" s="545"/>
      <c r="F11649" s="546"/>
      <c r="G11649" s="234"/>
      <c r="H11649" s="238"/>
      <c r="I11649" s="237"/>
    </row>
    <row r="11650" spans="1:9" s="232" customFormat="1" ht="17" customHeight="1">
      <c r="A11650" s="234"/>
      <c r="B11650" s="233"/>
      <c r="C11650" s="238"/>
      <c r="E11650" s="545"/>
      <c r="F11650" s="546"/>
      <c r="G11650" s="234"/>
      <c r="H11650" s="238"/>
      <c r="I11650" s="237"/>
    </row>
    <row r="11651" spans="1:9" s="232" customFormat="1" ht="17" customHeight="1">
      <c r="A11651" s="234"/>
      <c r="B11651" s="233"/>
      <c r="C11651" s="238"/>
      <c r="E11651" s="545"/>
      <c r="F11651" s="546"/>
      <c r="G11651" s="234"/>
      <c r="H11651" s="238"/>
      <c r="I11651" s="237"/>
    </row>
    <row r="11652" spans="1:9" s="232" customFormat="1" ht="17" customHeight="1">
      <c r="A11652" s="234"/>
      <c r="B11652" s="233"/>
      <c r="C11652" s="238"/>
      <c r="E11652" s="545"/>
      <c r="F11652" s="546"/>
      <c r="G11652" s="234"/>
      <c r="H11652" s="238"/>
      <c r="I11652" s="237"/>
    </row>
    <row r="11653" spans="1:9" s="232" customFormat="1" ht="17" customHeight="1">
      <c r="A11653" s="234"/>
      <c r="B11653" s="233"/>
      <c r="C11653" s="238"/>
      <c r="E11653" s="545"/>
      <c r="F11653" s="546"/>
      <c r="G11653" s="234"/>
      <c r="H11653" s="238"/>
      <c r="I11653" s="237"/>
    </row>
    <row r="11654" spans="1:9" s="232" customFormat="1" ht="17" customHeight="1">
      <c r="A11654" s="234"/>
      <c r="B11654" s="233"/>
      <c r="C11654" s="238"/>
      <c r="E11654" s="545"/>
      <c r="F11654" s="546"/>
      <c r="G11654" s="234"/>
      <c r="H11654" s="238"/>
      <c r="I11654" s="237"/>
    </row>
    <row r="11655" spans="1:9" s="232" customFormat="1" ht="17" customHeight="1">
      <c r="A11655" s="234"/>
      <c r="B11655" s="233"/>
      <c r="C11655" s="238"/>
      <c r="E11655" s="545"/>
      <c r="F11655" s="546"/>
      <c r="G11655" s="234"/>
      <c r="H11655" s="238"/>
      <c r="I11655" s="237"/>
    </row>
    <row r="11656" spans="1:9" s="232" customFormat="1" ht="17" customHeight="1">
      <c r="A11656" s="234"/>
      <c r="B11656" s="233"/>
      <c r="C11656" s="238"/>
      <c r="E11656" s="545"/>
      <c r="F11656" s="546"/>
      <c r="G11656" s="234"/>
      <c r="H11656" s="238"/>
      <c r="I11656" s="237"/>
    </row>
    <row r="11657" spans="1:9" s="232" customFormat="1" ht="17" customHeight="1">
      <c r="A11657" s="234"/>
      <c r="B11657" s="233"/>
      <c r="C11657" s="238"/>
      <c r="E11657" s="545"/>
      <c r="F11657" s="546"/>
      <c r="G11657" s="234"/>
      <c r="H11657" s="238"/>
      <c r="I11657" s="237"/>
    </row>
    <row r="11658" spans="1:9" s="232" customFormat="1" ht="17" customHeight="1">
      <c r="A11658" s="234"/>
      <c r="B11658" s="233"/>
      <c r="C11658" s="238"/>
      <c r="E11658" s="545"/>
      <c r="F11658" s="546"/>
      <c r="G11658" s="234"/>
      <c r="H11658" s="238"/>
      <c r="I11658" s="237"/>
    </row>
    <row r="11659" spans="1:9" s="232" customFormat="1" ht="17" customHeight="1">
      <c r="A11659" s="234"/>
      <c r="B11659" s="233"/>
      <c r="C11659" s="238"/>
      <c r="E11659" s="545"/>
      <c r="F11659" s="546"/>
      <c r="G11659" s="234"/>
      <c r="H11659" s="238"/>
      <c r="I11659" s="237"/>
    </row>
    <row r="11660" spans="1:9" s="232" customFormat="1" ht="17" customHeight="1">
      <c r="A11660" s="234"/>
      <c r="B11660" s="233"/>
      <c r="C11660" s="238"/>
      <c r="E11660" s="545"/>
      <c r="F11660" s="546"/>
      <c r="G11660" s="234"/>
      <c r="H11660" s="238"/>
      <c r="I11660" s="237"/>
    </row>
    <row r="11661" spans="1:9" s="232" customFormat="1" ht="17" customHeight="1">
      <c r="A11661" s="234"/>
      <c r="B11661" s="233"/>
      <c r="C11661" s="238"/>
      <c r="E11661" s="545"/>
      <c r="F11661" s="546"/>
      <c r="G11661" s="234"/>
      <c r="H11661" s="238"/>
      <c r="I11661" s="237"/>
    </row>
    <row r="11662" spans="1:9" s="232" customFormat="1" ht="17" customHeight="1">
      <c r="A11662" s="234"/>
      <c r="B11662" s="233"/>
      <c r="C11662" s="238"/>
      <c r="E11662" s="545"/>
      <c r="F11662" s="546"/>
      <c r="G11662" s="234"/>
      <c r="H11662" s="238"/>
      <c r="I11662" s="237"/>
    </row>
    <row r="11663" spans="1:9" s="232" customFormat="1" ht="17" customHeight="1">
      <c r="A11663" s="234"/>
      <c r="B11663" s="233"/>
      <c r="C11663" s="238"/>
      <c r="E11663" s="545"/>
      <c r="F11663" s="546"/>
      <c r="G11663" s="234"/>
      <c r="H11663" s="238"/>
      <c r="I11663" s="237"/>
    </row>
    <row r="11664" spans="1:9" s="232" customFormat="1" ht="17" customHeight="1">
      <c r="A11664" s="234"/>
      <c r="B11664" s="233"/>
      <c r="C11664" s="238"/>
      <c r="E11664" s="545"/>
      <c r="F11664" s="546"/>
      <c r="G11664" s="234"/>
      <c r="H11664" s="238"/>
      <c r="I11664" s="237"/>
    </row>
    <row r="11665" spans="1:9" s="232" customFormat="1" ht="17" customHeight="1">
      <c r="A11665" s="234"/>
      <c r="B11665" s="233"/>
      <c r="C11665" s="238"/>
      <c r="E11665" s="545"/>
      <c r="F11665" s="546"/>
      <c r="G11665" s="234"/>
      <c r="H11665" s="238"/>
      <c r="I11665" s="237"/>
    </row>
    <row r="11666" spans="1:9" s="232" customFormat="1" ht="17" customHeight="1">
      <c r="A11666" s="234"/>
      <c r="B11666" s="233"/>
      <c r="C11666" s="238"/>
      <c r="E11666" s="545"/>
      <c r="F11666" s="546"/>
      <c r="G11666" s="234"/>
      <c r="H11666" s="238"/>
      <c r="I11666" s="237"/>
    </row>
    <row r="11667" spans="1:9" s="232" customFormat="1" ht="17" customHeight="1">
      <c r="A11667" s="234"/>
      <c r="B11667" s="233"/>
      <c r="C11667" s="238"/>
      <c r="E11667" s="545"/>
      <c r="F11667" s="546"/>
      <c r="G11667" s="234"/>
      <c r="H11667" s="238"/>
      <c r="I11667" s="237"/>
    </row>
    <row r="11668" spans="1:9" s="232" customFormat="1" ht="17" customHeight="1">
      <c r="A11668" s="234"/>
      <c r="B11668" s="233"/>
      <c r="C11668" s="238"/>
      <c r="E11668" s="545"/>
      <c r="F11668" s="546"/>
      <c r="G11668" s="234"/>
      <c r="H11668" s="238"/>
      <c r="I11668" s="237"/>
    </row>
    <row r="11669" spans="1:9" s="232" customFormat="1" ht="17" customHeight="1">
      <c r="A11669" s="234"/>
      <c r="B11669" s="233"/>
      <c r="C11669" s="238"/>
      <c r="E11669" s="545"/>
      <c r="F11669" s="546"/>
      <c r="G11669" s="234"/>
      <c r="H11669" s="238"/>
      <c r="I11669" s="237"/>
    </row>
    <row r="11670" spans="1:9" s="232" customFormat="1" ht="17" customHeight="1">
      <c r="A11670" s="234"/>
      <c r="B11670" s="233"/>
      <c r="C11670" s="238"/>
      <c r="E11670" s="545"/>
      <c r="F11670" s="546"/>
      <c r="G11670" s="234"/>
      <c r="H11670" s="238"/>
      <c r="I11670" s="237"/>
    </row>
    <row r="11671" spans="1:9" s="232" customFormat="1" ht="17" customHeight="1">
      <c r="A11671" s="234"/>
      <c r="B11671" s="233"/>
      <c r="C11671" s="238"/>
      <c r="E11671" s="545"/>
      <c r="F11671" s="546"/>
      <c r="G11671" s="234"/>
      <c r="H11671" s="238"/>
      <c r="I11671" s="237"/>
    </row>
    <row r="11672" spans="1:9" s="232" customFormat="1" ht="17" customHeight="1">
      <c r="A11672" s="234"/>
      <c r="B11672" s="233"/>
      <c r="C11672" s="238"/>
      <c r="E11672" s="545"/>
      <c r="F11672" s="546"/>
      <c r="G11672" s="234"/>
      <c r="H11672" s="238"/>
      <c r="I11672" s="237"/>
    </row>
    <row r="11673" spans="1:9" s="232" customFormat="1" ht="17" customHeight="1">
      <c r="A11673" s="234"/>
      <c r="B11673" s="233"/>
      <c r="C11673" s="238"/>
      <c r="E11673" s="545"/>
      <c r="F11673" s="546"/>
      <c r="G11673" s="234"/>
      <c r="H11673" s="238"/>
      <c r="I11673" s="237"/>
    </row>
    <row r="11674" spans="1:9" s="232" customFormat="1" ht="17" customHeight="1">
      <c r="A11674" s="234"/>
      <c r="B11674" s="233"/>
      <c r="C11674" s="238"/>
      <c r="E11674" s="545"/>
      <c r="F11674" s="546"/>
      <c r="G11674" s="234"/>
      <c r="H11674" s="238"/>
      <c r="I11674" s="237"/>
    </row>
    <row r="11675" spans="1:9" s="232" customFormat="1" ht="17" customHeight="1">
      <c r="A11675" s="234"/>
      <c r="B11675" s="233"/>
      <c r="C11675" s="238"/>
      <c r="E11675" s="545"/>
      <c r="F11675" s="546"/>
      <c r="G11675" s="234"/>
      <c r="H11675" s="238"/>
      <c r="I11675" s="237"/>
    </row>
    <row r="11676" spans="1:9" s="232" customFormat="1" ht="17" customHeight="1">
      <c r="A11676" s="234"/>
      <c r="B11676" s="233"/>
      <c r="C11676" s="238"/>
      <c r="E11676" s="545"/>
      <c r="F11676" s="546"/>
      <c r="G11676" s="234"/>
      <c r="H11676" s="238"/>
      <c r="I11676" s="237"/>
    </row>
    <row r="11677" spans="1:9" s="232" customFormat="1" ht="17" customHeight="1">
      <c r="A11677" s="234"/>
      <c r="B11677" s="233"/>
      <c r="C11677" s="238"/>
      <c r="E11677" s="545"/>
      <c r="F11677" s="546"/>
      <c r="G11677" s="234"/>
      <c r="H11677" s="238"/>
      <c r="I11677" s="237"/>
    </row>
    <row r="11678" spans="1:9" s="232" customFormat="1" ht="17" customHeight="1">
      <c r="A11678" s="234"/>
      <c r="B11678" s="233"/>
      <c r="C11678" s="238"/>
      <c r="E11678" s="545"/>
      <c r="F11678" s="546"/>
      <c r="G11678" s="234"/>
      <c r="H11678" s="238"/>
      <c r="I11678" s="237"/>
    </row>
    <row r="11679" spans="1:9" s="232" customFormat="1" ht="17" customHeight="1">
      <c r="A11679" s="234"/>
      <c r="B11679" s="233"/>
      <c r="C11679" s="238"/>
      <c r="E11679" s="545"/>
      <c r="F11679" s="546"/>
      <c r="G11679" s="234"/>
      <c r="H11679" s="238"/>
      <c r="I11679" s="237"/>
    </row>
    <row r="11680" spans="1:9" s="232" customFormat="1" ht="17" customHeight="1">
      <c r="A11680" s="234"/>
      <c r="B11680" s="233"/>
      <c r="C11680" s="238"/>
      <c r="E11680" s="545"/>
      <c r="F11680" s="546"/>
      <c r="G11680" s="234"/>
      <c r="H11680" s="238"/>
      <c r="I11680" s="237"/>
    </row>
    <row r="11681" spans="1:9" s="232" customFormat="1" ht="17" customHeight="1">
      <c r="A11681" s="234"/>
      <c r="B11681" s="233"/>
      <c r="C11681" s="238"/>
      <c r="E11681" s="545"/>
      <c r="F11681" s="546"/>
      <c r="G11681" s="234"/>
      <c r="H11681" s="238"/>
      <c r="I11681" s="237"/>
    </row>
    <row r="11682" spans="1:9" s="232" customFormat="1" ht="17" customHeight="1">
      <c r="A11682" s="234"/>
      <c r="B11682" s="233"/>
      <c r="C11682" s="238"/>
      <c r="E11682" s="545"/>
      <c r="F11682" s="546"/>
      <c r="G11682" s="234"/>
      <c r="H11682" s="238"/>
      <c r="I11682" s="237"/>
    </row>
    <row r="11683" spans="1:9" s="232" customFormat="1" ht="17" customHeight="1">
      <c r="A11683" s="234"/>
      <c r="B11683" s="233"/>
      <c r="C11683" s="238"/>
      <c r="E11683" s="545"/>
      <c r="F11683" s="546"/>
      <c r="G11683" s="234"/>
      <c r="H11683" s="238"/>
      <c r="I11683" s="237"/>
    </row>
    <row r="11684" spans="1:9" s="232" customFormat="1" ht="17" customHeight="1">
      <c r="A11684" s="234"/>
      <c r="B11684" s="233"/>
      <c r="C11684" s="238"/>
      <c r="E11684" s="545"/>
      <c r="F11684" s="546"/>
      <c r="G11684" s="234"/>
      <c r="H11684" s="238"/>
      <c r="I11684" s="237"/>
    </row>
    <row r="11685" spans="1:9" s="232" customFormat="1" ht="17" customHeight="1">
      <c r="A11685" s="234"/>
      <c r="B11685" s="233"/>
      <c r="C11685" s="238"/>
      <c r="E11685" s="545"/>
      <c r="F11685" s="546"/>
      <c r="G11685" s="234"/>
      <c r="H11685" s="238"/>
      <c r="I11685" s="237"/>
    </row>
    <row r="11686" spans="1:9" s="232" customFormat="1" ht="17" customHeight="1">
      <c r="A11686" s="234"/>
      <c r="B11686" s="233"/>
      <c r="C11686" s="238"/>
      <c r="E11686" s="545"/>
      <c r="F11686" s="546"/>
      <c r="G11686" s="234"/>
      <c r="H11686" s="238"/>
      <c r="I11686" s="237"/>
    </row>
    <row r="11687" spans="1:9" s="232" customFormat="1" ht="17" customHeight="1">
      <c r="A11687" s="234"/>
      <c r="B11687" s="233"/>
      <c r="C11687" s="238"/>
      <c r="E11687" s="545"/>
      <c r="F11687" s="546"/>
      <c r="G11687" s="234"/>
      <c r="H11687" s="238"/>
      <c r="I11687" s="237"/>
    </row>
    <row r="11688" spans="1:9" s="232" customFormat="1" ht="17" customHeight="1">
      <c r="A11688" s="234"/>
      <c r="B11688" s="233"/>
      <c r="C11688" s="238"/>
      <c r="E11688" s="545"/>
      <c r="F11688" s="546"/>
      <c r="G11688" s="234"/>
      <c r="H11688" s="238"/>
      <c r="I11688" s="237"/>
    </row>
    <row r="11689" spans="1:9" s="232" customFormat="1" ht="17" customHeight="1">
      <c r="A11689" s="234"/>
      <c r="B11689" s="233"/>
      <c r="C11689" s="238"/>
      <c r="E11689" s="545"/>
      <c r="F11689" s="546"/>
      <c r="G11689" s="234"/>
      <c r="H11689" s="238"/>
      <c r="I11689" s="237"/>
    </row>
    <row r="11690" spans="1:9" s="232" customFormat="1" ht="17" customHeight="1">
      <c r="A11690" s="234"/>
      <c r="B11690" s="233"/>
      <c r="C11690" s="238"/>
      <c r="E11690" s="545"/>
      <c r="F11690" s="546"/>
      <c r="G11690" s="234"/>
      <c r="H11690" s="238"/>
      <c r="I11690" s="237"/>
    </row>
    <row r="11691" spans="1:9" s="232" customFormat="1" ht="17" customHeight="1">
      <c r="A11691" s="234"/>
      <c r="B11691" s="233"/>
      <c r="C11691" s="238"/>
      <c r="E11691" s="545"/>
      <c r="F11691" s="546"/>
      <c r="G11691" s="234"/>
      <c r="H11691" s="238"/>
      <c r="I11691" s="237"/>
    </row>
    <row r="11692" spans="1:9" s="232" customFormat="1" ht="17" customHeight="1">
      <c r="A11692" s="234"/>
      <c r="B11692" s="233"/>
      <c r="C11692" s="238"/>
      <c r="E11692" s="545"/>
      <c r="F11692" s="546"/>
      <c r="G11692" s="234"/>
      <c r="H11692" s="238"/>
      <c r="I11692" s="237"/>
    </row>
    <row r="11693" spans="1:9" s="232" customFormat="1" ht="17" customHeight="1">
      <c r="A11693" s="234"/>
      <c r="B11693" s="233"/>
      <c r="C11693" s="238"/>
      <c r="E11693" s="545"/>
      <c r="F11693" s="546"/>
      <c r="G11693" s="234"/>
      <c r="H11693" s="238"/>
      <c r="I11693" s="237"/>
    </row>
    <row r="11694" spans="1:9" s="232" customFormat="1" ht="17" customHeight="1">
      <c r="A11694" s="234"/>
      <c r="B11694" s="233"/>
      <c r="C11694" s="238"/>
      <c r="E11694" s="545"/>
      <c r="F11694" s="546"/>
      <c r="G11694" s="234"/>
      <c r="H11694" s="238"/>
      <c r="I11694" s="237"/>
    </row>
    <row r="11695" spans="1:9" s="232" customFormat="1" ht="17" customHeight="1">
      <c r="A11695" s="234"/>
      <c r="B11695" s="233"/>
      <c r="C11695" s="238"/>
      <c r="E11695" s="545"/>
      <c r="F11695" s="546"/>
      <c r="G11695" s="234"/>
      <c r="H11695" s="238"/>
      <c r="I11695" s="237"/>
    </row>
    <row r="11696" spans="1:9" s="232" customFormat="1" ht="17" customHeight="1">
      <c r="A11696" s="234"/>
      <c r="B11696" s="233"/>
      <c r="C11696" s="238"/>
      <c r="E11696" s="545"/>
      <c r="F11696" s="546"/>
      <c r="G11696" s="234"/>
      <c r="H11696" s="238"/>
      <c r="I11696" s="237"/>
    </row>
    <row r="11697" spans="1:9" s="232" customFormat="1" ht="17" customHeight="1">
      <c r="A11697" s="234"/>
      <c r="B11697" s="233"/>
      <c r="C11697" s="238"/>
      <c r="E11697" s="545"/>
      <c r="F11697" s="546"/>
      <c r="G11697" s="234"/>
      <c r="H11697" s="238"/>
      <c r="I11697" s="237"/>
    </row>
    <row r="11698" spans="1:9" s="232" customFormat="1" ht="17" customHeight="1">
      <c r="A11698" s="234"/>
      <c r="B11698" s="233"/>
      <c r="C11698" s="238"/>
      <c r="E11698" s="545"/>
      <c r="F11698" s="546"/>
      <c r="G11698" s="234"/>
      <c r="H11698" s="238"/>
      <c r="I11698" s="237"/>
    </row>
    <row r="11699" spans="1:9" s="232" customFormat="1" ht="17" customHeight="1">
      <c r="A11699" s="234"/>
      <c r="B11699" s="233"/>
      <c r="C11699" s="238"/>
      <c r="E11699" s="545"/>
      <c r="F11699" s="546"/>
      <c r="G11699" s="234"/>
      <c r="H11699" s="238"/>
      <c r="I11699" s="237"/>
    </row>
    <row r="11700" spans="1:9" s="232" customFormat="1" ht="17" customHeight="1">
      <c r="A11700" s="234"/>
      <c r="B11700" s="233"/>
      <c r="C11700" s="238"/>
      <c r="E11700" s="545"/>
      <c r="F11700" s="546"/>
      <c r="G11700" s="234"/>
      <c r="H11700" s="238"/>
      <c r="I11700" s="237"/>
    </row>
    <row r="11701" spans="1:9" s="232" customFormat="1" ht="17" customHeight="1">
      <c r="A11701" s="234"/>
      <c r="B11701" s="233"/>
      <c r="C11701" s="238"/>
      <c r="E11701" s="545"/>
      <c r="F11701" s="546"/>
      <c r="G11701" s="234"/>
      <c r="H11701" s="238"/>
      <c r="I11701" s="237"/>
    </row>
    <row r="11702" spans="1:9" s="232" customFormat="1" ht="17" customHeight="1">
      <c r="A11702" s="234"/>
      <c r="B11702" s="233"/>
      <c r="C11702" s="238"/>
      <c r="E11702" s="545"/>
      <c r="F11702" s="546"/>
      <c r="G11702" s="234"/>
      <c r="H11702" s="238"/>
      <c r="I11702" s="237"/>
    </row>
    <row r="11703" spans="1:9" s="232" customFormat="1" ht="17" customHeight="1">
      <c r="A11703" s="234"/>
      <c r="B11703" s="233"/>
      <c r="C11703" s="238"/>
      <c r="E11703" s="545"/>
      <c r="F11703" s="546"/>
      <c r="G11703" s="234"/>
      <c r="H11703" s="238"/>
      <c r="I11703" s="237"/>
    </row>
    <row r="11704" spans="1:9" s="232" customFormat="1" ht="17" customHeight="1">
      <c r="A11704" s="234"/>
      <c r="B11704" s="233"/>
      <c r="C11704" s="238"/>
      <c r="E11704" s="545"/>
      <c r="F11704" s="546"/>
      <c r="G11704" s="234"/>
      <c r="H11704" s="238"/>
      <c r="I11704" s="237"/>
    </row>
    <row r="11705" spans="1:9" s="232" customFormat="1" ht="17" customHeight="1">
      <c r="A11705" s="234"/>
      <c r="B11705" s="233"/>
      <c r="C11705" s="238"/>
      <c r="E11705" s="545"/>
      <c r="F11705" s="546"/>
      <c r="G11705" s="234"/>
      <c r="H11705" s="238"/>
      <c r="I11705" s="237"/>
    </row>
    <row r="11706" spans="1:9" s="232" customFormat="1" ht="17" customHeight="1">
      <c r="A11706" s="234"/>
      <c r="B11706" s="233"/>
      <c r="C11706" s="238"/>
      <c r="E11706" s="545"/>
      <c r="F11706" s="546"/>
      <c r="G11706" s="234"/>
      <c r="H11706" s="238"/>
      <c r="I11706" s="237"/>
    </row>
    <row r="11707" spans="1:9" s="232" customFormat="1" ht="17" customHeight="1">
      <c r="A11707" s="234"/>
      <c r="B11707" s="233"/>
      <c r="C11707" s="238"/>
      <c r="E11707" s="545"/>
      <c r="F11707" s="546"/>
      <c r="G11707" s="234"/>
      <c r="H11707" s="238"/>
      <c r="I11707" s="237"/>
    </row>
    <row r="11708" spans="1:9" s="232" customFormat="1" ht="17" customHeight="1">
      <c r="A11708" s="234"/>
      <c r="B11708" s="233"/>
      <c r="C11708" s="238"/>
      <c r="E11708" s="545"/>
      <c r="F11708" s="546"/>
      <c r="G11708" s="234"/>
      <c r="H11708" s="238"/>
      <c r="I11708" s="237"/>
    </row>
    <row r="11709" spans="1:9" s="232" customFormat="1" ht="17" customHeight="1">
      <c r="A11709" s="234"/>
      <c r="B11709" s="233"/>
      <c r="C11709" s="238"/>
      <c r="E11709" s="545"/>
      <c r="F11709" s="546"/>
      <c r="G11709" s="234"/>
      <c r="H11709" s="238"/>
      <c r="I11709" s="237"/>
    </row>
    <row r="11710" spans="1:9" s="232" customFormat="1" ht="17" customHeight="1">
      <c r="A11710" s="234"/>
      <c r="B11710" s="233"/>
      <c r="C11710" s="238"/>
      <c r="E11710" s="545"/>
      <c r="F11710" s="546"/>
      <c r="G11710" s="234"/>
      <c r="H11710" s="238"/>
      <c r="I11710" s="237"/>
    </row>
    <row r="11711" spans="1:9" s="232" customFormat="1" ht="17" customHeight="1">
      <c r="A11711" s="234"/>
      <c r="B11711" s="233"/>
      <c r="C11711" s="238"/>
      <c r="E11711" s="545"/>
      <c r="F11711" s="546"/>
      <c r="G11711" s="234"/>
      <c r="H11711" s="238"/>
      <c r="I11711" s="237"/>
    </row>
    <row r="11712" spans="1:9" s="232" customFormat="1" ht="17" customHeight="1">
      <c r="A11712" s="234"/>
      <c r="B11712" s="233"/>
      <c r="C11712" s="238"/>
      <c r="E11712" s="545"/>
      <c r="F11712" s="546"/>
      <c r="G11712" s="234"/>
      <c r="H11712" s="238"/>
      <c r="I11712" s="237"/>
    </row>
    <row r="11713" spans="1:9" s="232" customFormat="1" ht="17" customHeight="1">
      <c r="A11713" s="234"/>
      <c r="B11713" s="233"/>
      <c r="C11713" s="238"/>
      <c r="E11713" s="545"/>
      <c r="F11713" s="546"/>
      <c r="G11713" s="234"/>
      <c r="H11713" s="238"/>
      <c r="I11713" s="237"/>
    </row>
    <row r="11714" spans="1:9" s="232" customFormat="1" ht="17" customHeight="1">
      <c r="A11714" s="234"/>
      <c r="B11714" s="233"/>
      <c r="C11714" s="238"/>
      <c r="E11714" s="545"/>
      <c r="F11714" s="546"/>
      <c r="G11714" s="234"/>
      <c r="H11714" s="238"/>
      <c r="I11714" s="237"/>
    </row>
    <row r="11715" spans="1:9" s="232" customFormat="1" ht="17" customHeight="1">
      <c r="A11715" s="234"/>
      <c r="B11715" s="233"/>
      <c r="C11715" s="238"/>
      <c r="E11715" s="545"/>
      <c r="F11715" s="546"/>
      <c r="G11715" s="234"/>
      <c r="H11715" s="238"/>
      <c r="I11715" s="237"/>
    </row>
    <row r="11716" spans="1:9" s="232" customFormat="1" ht="17" customHeight="1">
      <c r="A11716" s="234"/>
      <c r="B11716" s="233"/>
      <c r="C11716" s="238"/>
      <c r="E11716" s="545"/>
      <c r="F11716" s="546"/>
      <c r="G11716" s="234"/>
      <c r="H11716" s="238"/>
      <c r="I11716" s="237"/>
    </row>
    <row r="11717" spans="1:9" s="232" customFormat="1" ht="17" customHeight="1">
      <c r="A11717" s="234"/>
      <c r="B11717" s="233"/>
      <c r="C11717" s="238"/>
      <c r="E11717" s="545"/>
      <c r="F11717" s="546"/>
      <c r="G11717" s="234"/>
      <c r="H11717" s="238"/>
      <c r="I11717" s="237"/>
    </row>
    <row r="11718" spans="1:9" s="232" customFormat="1" ht="17" customHeight="1">
      <c r="A11718" s="234"/>
      <c r="B11718" s="233"/>
      <c r="C11718" s="238"/>
      <c r="E11718" s="545"/>
      <c r="F11718" s="546"/>
      <c r="G11718" s="234"/>
      <c r="H11718" s="238"/>
      <c r="I11718" s="237"/>
    </row>
    <row r="11719" spans="1:9" s="232" customFormat="1" ht="17" customHeight="1">
      <c r="A11719" s="234"/>
      <c r="B11719" s="233"/>
      <c r="C11719" s="238"/>
      <c r="E11719" s="545"/>
      <c r="F11719" s="546"/>
      <c r="G11719" s="234"/>
      <c r="H11719" s="238"/>
      <c r="I11719" s="237"/>
    </row>
    <row r="11720" spans="1:9" s="232" customFormat="1" ht="17" customHeight="1">
      <c r="A11720" s="234"/>
      <c r="B11720" s="233"/>
      <c r="C11720" s="238"/>
      <c r="E11720" s="545"/>
      <c r="F11720" s="546"/>
      <c r="G11720" s="234"/>
      <c r="H11720" s="238"/>
      <c r="I11720" s="237"/>
    </row>
    <row r="11721" spans="1:9" s="232" customFormat="1" ht="17" customHeight="1">
      <c r="A11721" s="234"/>
      <c r="B11721" s="233"/>
      <c r="C11721" s="238"/>
      <c r="E11721" s="545"/>
      <c r="F11721" s="546"/>
      <c r="G11721" s="234"/>
      <c r="H11721" s="238"/>
      <c r="I11721" s="237"/>
    </row>
    <row r="11722" spans="1:9" s="232" customFormat="1" ht="17" customHeight="1">
      <c r="A11722" s="234"/>
      <c r="B11722" s="233"/>
      <c r="C11722" s="238"/>
      <c r="E11722" s="545"/>
      <c r="F11722" s="546"/>
      <c r="G11722" s="234"/>
      <c r="H11722" s="238"/>
      <c r="I11722" s="237"/>
    </row>
    <row r="11723" spans="1:9" s="232" customFormat="1" ht="17" customHeight="1">
      <c r="A11723" s="234"/>
      <c r="B11723" s="233"/>
      <c r="C11723" s="238"/>
      <c r="E11723" s="545"/>
      <c r="F11723" s="546"/>
      <c r="G11723" s="234"/>
      <c r="H11723" s="238"/>
      <c r="I11723" s="237"/>
    </row>
    <row r="11724" spans="1:9" s="232" customFormat="1" ht="17" customHeight="1">
      <c r="A11724" s="234"/>
      <c r="B11724" s="233"/>
      <c r="C11724" s="238"/>
      <c r="E11724" s="545"/>
      <c r="F11724" s="546"/>
      <c r="G11724" s="234"/>
      <c r="H11724" s="238"/>
      <c r="I11724" s="237"/>
    </row>
    <row r="11725" spans="1:9" s="232" customFormat="1" ht="17" customHeight="1">
      <c r="A11725" s="234"/>
      <c r="B11725" s="233"/>
      <c r="C11725" s="238"/>
      <c r="E11725" s="545"/>
      <c r="F11725" s="546"/>
      <c r="G11725" s="234"/>
      <c r="H11725" s="238"/>
      <c r="I11725" s="237"/>
    </row>
    <row r="11726" spans="1:9" s="232" customFormat="1" ht="17" customHeight="1">
      <c r="A11726" s="234"/>
      <c r="B11726" s="233"/>
      <c r="C11726" s="238"/>
      <c r="E11726" s="545"/>
      <c r="F11726" s="546"/>
      <c r="G11726" s="234"/>
      <c r="H11726" s="238"/>
      <c r="I11726" s="237"/>
    </row>
    <row r="11727" spans="1:9" s="232" customFormat="1" ht="17" customHeight="1">
      <c r="A11727" s="234"/>
      <c r="B11727" s="233"/>
      <c r="C11727" s="238"/>
      <c r="E11727" s="545"/>
      <c r="F11727" s="546"/>
      <c r="G11727" s="234"/>
      <c r="H11727" s="238"/>
      <c r="I11727" s="237"/>
    </row>
    <row r="11728" spans="1:9" s="232" customFormat="1" ht="17" customHeight="1">
      <c r="A11728" s="234"/>
      <c r="B11728" s="233"/>
      <c r="C11728" s="238"/>
      <c r="E11728" s="545"/>
      <c r="F11728" s="546"/>
      <c r="G11728" s="234"/>
      <c r="H11728" s="238"/>
      <c r="I11728" s="237"/>
    </row>
    <row r="11729" spans="1:9" s="232" customFormat="1" ht="17" customHeight="1">
      <c r="A11729" s="234"/>
      <c r="B11729" s="233"/>
      <c r="C11729" s="238"/>
      <c r="E11729" s="545"/>
      <c r="F11729" s="546"/>
      <c r="G11729" s="234"/>
      <c r="H11729" s="238"/>
      <c r="I11729" s="237"/>
    </row>
    <row r="11730" spans="1:9" s="232" customFormat="1" ht="17" customHeight="1">
      <c r="A11730" s="234"/>
      <c r="B11730" s="233"/>
      <c r="C11730" s="238"/>
      <c r="E11730" s="545"/>
      <c r="F11730" s="546"/>
      <c r="G11730" s="234"/>
      <c r="H11730" s="238"/>
      <c r="I11730" s="237"/>
    </row>
    <row r="11731" spans="1:9" s="232" customFormat="1" ht="17" customHeight="1">
      <c r="A11731" s="234"/>
      <c r="B11731" s="233"/>
      <c r="C11731" s="238"/>
      <c r="E11731" s="545"/>
      <c r="F11731" s="546"/>
      <c r="G11731" s="234"/>
      <c r="H11731" s="238"/>
      <c r="I11731" s="237"/>
    </row>
    <row r="11732" spans="1:9" s="232" customFormat="1" ht="17" customHeight="1">
      <c r="A11732" s="234"/>
      <c r="B11732" s="233"/>
      <c r="C11732" s="238"/>
      <c r="E11732" s="545"/>
      <c r="F11732" s="546"/>
      <c r="G11732" s="234"/>
      <c r="H11732" s="238"/>
      <c r="I11732" s="237"/>
    </row>
    <row r="11733" spans="1:9" s="232" customFormat="1" ht="17" customHeight="1">
      <c r="A11733" s="234"/>
      <c r="B11733" s="233"/>
      <c r="C11733" s="238"/>
      <c r="E11733" s="545"/>
      <c r="F11733" s="546"/>
      <c r="G11733" s="234"/>
      <c r="H11733" s="238"/>
      <c r="I11733" s="237"/>
    </row>
    <row r="11734" spans="1:9" s="232" customFormat="1" ht="17" customHeight="1">
      <c r="A11734" s="234"/>
      <c r="B11734" s="233"/>
      <c r="C11734" s="238"/>
      <c r="E11734" s="545"/>
      <c r="F11734" s="546"/>
      <c r="G11734" s="234"/>
      <c r="H11734" s="238"/>
      <c r="I11734" s="237"/>
    </row>
    <row r="11735" spans="1:9" s="232" customFormat="1" ht="17" customHeight="1">
      <c r="A11735" s="234"/>
      <c r="B11735" s="233"/>
      <c r="C11735" s="238"/>
      <c r="E11735" s="545"/>
      <c r="F11735" s="546"/>
      <c r="G11735" s="234"/>
      <c r="H11735" s="238"/>
      <c r="I11735" s="237"/>
    </row>
    <row r="11736" spans="1:9" s="232" customFormat="1" ht="17" customHeight="1">
      <c r="A11736" s="234"/>
      <c r="B11736" s="233"/>
      <c r="C11736" s="238"/>
      <c r="E11736" s="545"/>
      <c r="F11736" s="546"/>
      <c r="G11736" s="234"/>
      <c r="H11736" s="238"/>
      <c r="I11736" s="237"/>
    </row>
    <row r="11737" spans="1:9" s="232" customFormat="1" ht="17" customHeight="1">
      <c r="A11737" s="234"/>
      <c r="B11737" s="233"/>
      <c r="C11737" s="238"/>
      <c r="E11737" s="545"/>
      <c r="F11737" s="546"/>
      <c r="G11737" s="234"/>
      <c r="H11737" s="238"/>
      <c r="I11737" s="237"/>
    </row>
    <row r="11738" spans="1:9" s="232" customFormat="1" ht="17" customHeight="1">
      <c r="A11738" s="234"/>
      <c r="B11738" s="233"/>
      <c r="C11738" s="238"/>
      <c r="E11738" s="545"/>
      <c r="F11738" s="546"/>
      <c r="G11738" s="234"/>
      <c r="H11738" s="238"/>
      <c r="I11738" s="237"/>
    </row>
    <row r="11739" spans="1:9" s="232" customFormat="1" ht="17" customHeight="1">
      <c r="A11739" s="234"/>
      <c r="B11739" s="233"/>
      <c r="C11739" s="238"/>
      <c r="E11739" s="545"/>
      <c r="F11739" s="546"/>
      <c r="G11739" s="234"/>
      <c r="H11739" s="238"/>
      <c r="I11739" s="237"/>
    </row>
    <row r="11740" spans="1:9" s="232" customFormat="1" ht="17" customHeight="1">
      <c r="A11740" s="234"/>
      <c r="B11740" s="233"/>
      <c r="C11740" s="238"/>
      <c r="E11740" s="545"/>
      <c r="F11740" s="546"/>
      <c r="G11740" s="234"/>
      <c r="H11740" s="238"/>
      <c r="I11740" s="237"/>
    </row>
    <row r="11741" spans="1:9" s="232" customFormat="1" ht="17" customHeight="1">
      <c r="A11741" s="234"/>
      <c r="B11741" s="233"/>
      <c r="C11741" s="238"/>
      <c r="E11741" s="545"/>
      <c r="F11741" s="546"/>
      <c r="G11741" s="234"/>
      <c r="H11741" s="238"/>
      <c r="I11741" s="237"/>
    </row>
    <row r="11742" spans="1:9" s="232" customFormat="1" ht="17" customHeight="1">
      <c r="A11742" s="234"/>
      <c r="B11742" s="233"/>
      <c r="C11742" s="238"/>
      <c r="E11742" s="545"/>
      <c r="F11742" s="546"/>
      <c r="G11742" s="234"/>
      <c r="H11742" s="238"/>
      <c r="I11742" s="237"/>
    </row>
    <row r="11743" spans="1:9" s="232" customFormat="1" ht="17" customHeight="1">
      <c r="A11743" s="234"/>
      <c r="B11743" s="233"/>
      <c r="C11743" s="238"/>
      <c r="E11743" s="545"/>
      <c r="F11743" s="546"/>
      <c r="G11743" s="234"/>
      <c r="H11743" s="238"/>
      <c r="I11743" s="237"/>
    </row>
    <row r="11744" spans="1:9" s="232" customFormat="1" ht="17" customHeight="1">
      <c r="A11744" s="234"/>
      <c r="B11744" s="233"/>
      <c r="C11744" s="238"/>
      <c r="E11744" s="545"/>
      <c r="F11744" s="546"/>
      <c r="G11744" s="234"/>
      <c r="H11744" s="238"/>
      <c r="I11744" s="237"/>
    </row>
    <row r="11745" spans="1:9" s="232" customFormat="1" ht="17" customHeight="1">
      <c r="A11745" s="234"/>
      <c r="B11745" s="233"/>
      <c r="C11745" s="238"/>
      <c r="E11745" s="545"/>
      <c r="F11745" s="546"/>
      <c r="G11745" s="234"/>
      <c r="H11745" s="238"/>
      <c r="I11745" s="237"/>
    </row>
    <row r="11746" spans="1:9" s="232" customFormat="1" ht="17" customHeight="1">
      <c r="A11746" s="234"/>
      <c r="B11746" s="233"/>
      <c r="C11746" s="238"/>
      <c r="E11746" s="545"/>
      <c r="F11746" s="546"/>
      <c r="G11746" s="234"/>
      <c r="H11746" s="238"/>
      <c r="I11746" s="237"/>
    </row>
    <row r="11747" spans="1:9" s="232" customFormat="1" ht="17" customHeight="1">
      <c r="A11747" s="234"/>
      <c r="B11747" s="233"/>
      <c r="C11747" s="238"/>
      <c r="E11747" s="545"/>
      <c r="F11747" s="546"/>
      <c r="G11747" s="234"/>
      <c r="H11747" s="238"/>
      <c r="I11747" s="237"/>
    </row>
    <row r="11748" spans="1:9" s="232" customFormat="1" ht="17" customHeight="1">
      <c r="A11748" s="234"/>
      <c r="B11748" s="233"/>
      <c r="C11748" s="238"/>
      <c r="E11748" s="545"/>
      <c r="F11748" s="546"/>
      <c r="G11748" s="234"/>
      <c r="H11748" s="238"/>
      <c r="I11748" s="237"/>
    </row>
    <row r="11749" spans="1:9" s="232" customFormat="1" ht="17" customHeight="1">
      <c r="A11749" s="234"/>
      <c r="B11749" s="233"/>
      <c r="C11749" s="238"/>
      <c r="E11749" s="545"/>
      <c r="F11749" s="546"/>
      <c r="G11749" s="234"/>
      <c r="H11749" s="238"/>
      <c r="I11749" s="237"/>
    </row>
    <row r="11750" spans="1:9" s="232" customFormat="1" ht="17" customHeight="1">
      <c r="A11750" s="234"/>
      <c r="B11750" s="233"/>
      <c r="C11750" s="238"/>
      <c r="E11750" s="545"/>
      <c r="F11750" s="546"/>
      <c r="G11750" s="234"/>
      <c r="H11750" s="238"/>
      <c r="I11750" s="237"/>
    </row>
    <row r="11751" spans="1:9" s="232" customFormat="1" ht="17" customHeight="1">
      <c r="A11751" s="234"/>
      <c r="B11751" s="233"/>
      <c r="C11751" s="238"/>
      <c r="E11751" s="545"/>
      <c r="F11751" s="546"/>
      <c r="G11751" s="234"/>
      <c r="H11751" s="238"/>
      <c r="I11751" s="237"/>
    </row>
    <row r="11752" spans="1:9" s="232" customFormat="1" ht="17" customHeight="1">
      <c r="A11752" s="234"/>
      <c r="B11752" s="233"/>
      <c r="C11752" s="238"/>
      <c r="E11752" s="545"/>
      <c r="F11752" s="546"/>
      <c r="G11752" s="234"/>
      <c r="H11752" s="238"/>
      <c r="I11752" s="237"/>
    </row>
    <row r="11753" spans="1:9" s="232" customFormat="1" ht="17" customHeight="1">
      <c r="A11753" s="234"/>
      <c r="B11753" s="233"/>
      <c r="C11753" s="238"/>
      <c r="E11753" s="545"/>
      <c r="F11753" s="546"/>
      <c r="G11753" s="234"/>
      <c r="H11753" s="238"/>
      <c r="I11753" s="237"/>
    </row>
    <row r="11754" spans="1:9" s="232" customFormat="1" ht="17" customHeight="1">
      <c r="A11754" s="234"/>
      <c r="B11754" s="233"/>
      <c r="C11754" s="238"/>
      <c r="E11754" s="545"/>
      <c r="F11754" s="546"/>
      <c r="G11754" s="234"/>
      <c r="H11754" s="238"/>
      <c r="I11754" s="237"/>
    </row>
    <row r="11755" spans="1:9" s="232" customFormat="1" ht="17" customHeight="1">
      <c r="A11755" s="234"/>
      <c r="B11755" s="233"/>
      <c r="C11755" s="238"/>
      <c r="E11755" s="545"/>
      <c r="F11755" s="546"/>
      <c r="G11755" s="234"/>
      <c r="H11755" s="238"/>
      <c r="I11755" s="237"/>
    </row>
    <row r="11756" spans="1:9" s="232" customFormat="1" ht="17" customHeight="1">
      <c r="A11756" s="234"/>
      <c r="B11756" s="233"/>
      <c r="C11756" s="238"/>
      <c r="E11756" s="545"/>
      <c r="F11756" s="546"/>
      <c r="G11756" s="234"/>
      <c r="H11756" s="238"/>
      <c r="I11756" s="237"/>
    </row>
    <row r="11757" spans="1:9" s="232" customFormat="1" ht="17" customHeight="1">
      <c r="A11757" s="234"/>
      <c r="B11757" s="233"/>
      <c r="C11757" s="238"/>
      <c r="E11757" s="545"/>
      <c r="F11757" s="546"/>
      <c r="G11757" s="234"/>
      <c r="H11757" s="238"/>
      <c r="I11757" s="237"/>
    </row>
    <row r="11758" spans="1:9" s="232" customFormat="1" ht="17" customHeight="1">
      <c r="A11758" s="234"/>
      <c r="B11758" s="233"/>
      <c r="C11758" s="238"/>
      <c r="E11758" s="545"/>
      <c r="F11758" s="546"/>
      <c r="G11758" s="234"/>
      <c r="H11758" s="238"/>
      <c r="I11758" s="237"/>
    </row>
    <row r="11759" spans="1:9" s="232" customFormat="1" ht="17" customHeight="1">
      <c r="A11759" s="234"/>
      <c r="B11759" s="233"/>
      <c r="C11759" s="238"/>
      <c r="E11759" s="545"/>
      <c r="F11759" s="546"/>
      <c r="G11759" s="234"/>
      <c r="H11759" s="238"/>
      <c r="I11759" s="237"/>
    </row>
    <row r="11760" spans="1:9" s="232" customFormat="1" ht="17" customHeight="1">
      <c r="A11760" s="234"/>
      <c r="B11760" s="233"/>
      <c r="C11760" s="238"/>
      <c r="E11760" s="545"/>
      <c r="F11760" s="546"/>
      <c r="G11760" s="234"/>
      <c r="H11760" s="238"/>
      <c r="I11760" s="237"/>
    </row>
    <row r="11761" spans="1:9" s="232" customFormat="1" ht="17" customHeight="1">
      <c r="A11761" s="234"/>
      <c r="B11761" s="233"/>
      <c r="C11761" s="238"/>
      <c r="E11761" s="545"/>
      <c r="F11761" s="546"/>
      <c r="G11761" s="234"/>
      <c r="H11761" s="238"/>
      <c r="I11761" s="237"/>
    </row>
    <row r="11762" spans="1:9" s="232" customFormat="1" ht="17" customHeight="1">
      <c r="A11762" s="234"/>
      <c r="B11762" s="233"/>
      <c r="C11762" s="238"/>
      <c r="E11762" s="545"/>
      <c r="F11762" s="546"/>
      <c r="G11762" s="234"/>
      <c r="H11762" s="238"/>
      <c r="I11762" s="237"/>
    </row>
    <row r="11763" spans="1:9" s="232" customFormat="1" ht="17" customHeight="1">
      <c r="A11763" s="234"/>
      <c r="B11763" s="233"/>
      <c r="C11763" s="238"/>
      <c r="E11763" s="545"/>
      <c r="F11763" s="546"/>
      <c r="G11763" s="234"/>
      <c r="H11763" s="238"/>
      <c r="I11763" s="237"/>
    </row>
    <row r="11764" spans="1:9" s="232" customFormat="1" ht="17" customHeight="1">
      <c r="A11764" s="234"/>
      <c r="B11764" s="233"/>
      <c r="C11764" s="238"/>
      <c r="E11764" s="545"/>
      <c r="F11764" s="546"/>
      <c r="G11764" s="234"/>
      <c r="H11764" s="238"/>
      <c r="I11764" s="237"/>
    </row>
    <row r="11765" spans="1:9" s="232" customFormat="1" ht="17" customHeight="1">
      <c r="A11765" s="234"/>
      <c r="B11765" s="233"/>
      <c r="C11765" s="238"/>
      <c r="E11765" s="545"/>
      <c r="F11765" s="546"/>
      <c r="G11765" s="234"/>
      <c r="H11765" s="238"/>
      <c r="I11765" s="237"/>
    </row>
    <row r="11766" spans="1:9" s="232" customFormat="1" ht="17" customHeight="1">
      <c r="A11766" s="234"/>
      <c r="B11766" s="233"/>
      <c r="C11766" s="238"/>
      <c r="E11766" s="545"/>
      <c r="F11766" s="546"/>
      <c r="G11766" s="234"/>
      <c r="H11766" s="238"/>
      <c r="I11766" s="237"/>
    </row>
    <row r="11767" spans="1:9" s="232" customFormat="1" ht="17" customHeight="1">
      <c r="A11767" s="234"/>
      <c r="B11767" s="233"/>
      <c r="C11767" s="238"/>
      <c r="E11767" s="545"/>
      <c r="F11767" s="546"/>
      <c r="G11767" s="234"/>
      <c r="H11767" s="238"/>
      <c r="I11767" s="237"/>
    </row>
    <row r="11768" spans="1:9" s="232" customFormat="1" ht="17" customHeight="1">
      <c r="A11768" s="234"/>
      <c r="B11768" s="233"/>
      <c r="C11768" s="238"/>
      <c r="E11768" s="545"/>
      <c r="F11768" s="546"/>
      <c r="G11768" s="234"/>
      <c r="H11768" s="238"/>
      <c r="I11768" s="237"/>
    </row>
    <row r="11769" spans="1:9" s="232" customFormat="1" ht="17" customHeight="1">
      <c r="A11769" s="234"/>
      <c r="B11769" s="233"/>
      <c r="C11769" s="238"/>
      <c r="E11769" s="545"/>
      <c r="F11769" s="546"/>
      <c r="G11769" s="234"/>
      <c r="H11769" s="238"/>
      <c r="I11769" s="237"/>
    </row>
    <row r="11770" spans="1:9" s="232" customFormat="1" ht="17" customHeight="1">
      <c r="A11770" s="234"/>
      <c r="B11770" s="233"/>
      <c r="C11770" s="238"/>
      <c r="E11770" s="545"/>
      <c r="F11770" s="546"/>
      <c r="G11770" s="234"/>
      <c r="H11770" s="238"/>
      <c r="I11770" s="237"/>
    </row>
    <row r="11771" spans="1:9" s="232" customFormat="1" ht="17" customHeight="1">
      <c r="A11771" s="234"/>
      <c r="B11771" s="233"/>
      <c r="C11771" s="238"/>
      <c r="E11771" s="545"/>
      <c r="F11771" s="546"/>
      <c r="G11771" s="234"/>
      <c r="H11771" s="238"/>
      <c r="I11771" s="237"/>
    </row>
    <row r="11772" spans="1:9" s="232" customFormat="1" ht="17" customHeight="1">
      <c r="A11772" s="234"/>
      <c r="B11772" s="233"/>
      <c r="C11772" s="238"/>
      <c r="E11772" s="545"/>
      <c r="F11772" s="546"/>
      <c r="G11772" s="234"/>
      <c r="H11772" s="238"/>
      <c r="I11772" s="237"/>
    </row>
    <row r="11773" spans="1:9" s="232" customFormat="1" ht="17" customHeight="1">
      <c r="A11773" s="234"/>
      <c r="B11773" s="233"/>
      <c r="C11773" s="238"/>
      <c r="E11773" s="545"/>
      <c r="F11773" s="546"/>
      <c r="G11773" s="234"/>
      <c r="H11773" s="238"/>
      <c r="I11773" s="237"/>
    </row>
    <row r="11774" spans="1:9" s="232" customFormat="1" ht="17" customHeight="1">
      <c r="A11774" s="234"/>
      <c r="B11774" s="233"/>
      <c r="C11774" s="238"/>
      <c r="E11774" s="545"/>
      <c r="F11774" s="546"/>
      <c r="G11774" s="234"/>
      <c r="H11774" s="238"/>
      <c r="I11774" s="237"/>
    </row>
    <row r="11775" spans="1:9" s="232" customFormat="1" ht="17" customHeight="1">
      <c r="A11775" s="234"/>
      <c r="B11775" s="233"/>
      <c r="C11775" s="238"/>
      <c r="E11775" s="545"/>
      <c r="F11775" s="546"/>
      <c r="G11775" s="234"/>
      <c r="H11775" s="238"/>
      <c r="I11775" s="237"/>
    </row>
    <row r="11776" spans="1:9" s="232" customFormat="1" ht="17" customHeight="1">
      <c r="A11776" s="234"/>
      <c r="B11776" s="233"/>
      <c r="C11776" s="238"/>
      <c r="E11776" s="545"/>
      <c r="F11776" s="546"/>
      <c r="G11776" s="234"/>
      <c r="H11776" s="238"/>
      <c r="I11776" s="237"/>
    </row>
    <row r="11777" spans="1:9" s="232" customFormat="1" ht="17" customHeight="1">
      <c r="A11777" s="234"/>
      <c r="B11777" s="233"/>
      <c r="C11777" s="238"/>
      <c r="E11777" s="545"/>
      <c r="F11777" s="546"/>
      <c r="G11777" s="234"/>
      <c r="H11777" s="238"/>
      <c r="I11777" s="237"/>
    </row>
    <row r="11778" spans="1:9" s="232" customFormat="1" ht="17" customHeight="1">
      <c r="A11778" s="234"/>
      <c r="B11778" s="233"/>
      <c r="C11778" s="238"/>
      <c r="E11778" s="545"/>
      <c r="F11778" s="546"/>
      <c r="G11778" s="234"/>
      <c r="H11778" s="238"/>
      <c r="I11778" s="237"/>
    </row>
    <row r="11779" spans="1:9" s="232" customFormat="1" ht="17" customHeight="1">
      <c r="A11779" s="234"/>
      <c r="B11779" s="233"/>
      <c r="C11779" s="238"/>
      <c r="E11779" s="545"/>
      <c r="F11779" s="546"/>
      <c r="G11779" s="234"/>
      <c r="H11779" s="238"/>
      <c r="I11779" s="237"/>
    </row>
    <row r="11780" spans="1:9" s="232" customFormat="1" ht="17" customHeight="1">
      <c r="A11780" s="234"/>
      <c r="B11780" s="233"/>
      <c r="C11780" s="238"/>
      <c r="E11780" s="545"/>
      <c r="F11780" s="546"/>
      <c r="G11780" s="234"/>
      <c r="H11780" s="238"/>
      <c r="I11780" s="237"/>
    </row>
    <row r="11781" spans="1:9" s="232" customFormat="1" ht="17" customHeight="1">
      <c r="A11781" s="234"/>
      <c r="B11781" s="233"/>
      <c r="C11781" s="238"/>
      <c r="E11781" s="545"/>
      <c r="F11781" s="546"/>
      <c r="G11781" s="234"/>
      <c r="H11781" s="238"/>
      <c r="I11781" s="237"/>
    </row>
    <row r="11782" spans="1:9" s="232" customFormat="1" ht="17" customHeight="1">
      <c r="A11782" s="234"/>
      <c r="B11782" s="233"/>
      <c r="C11782" s="238"/>
      <c r="E11782" s="545"/>
      <c r="F11782" s="546"/>
      <c r="G11782" s="234"/>
      <c r="H11782" s="238"/>
      <c r="I11782" s="237"/>
    </row>
    <row r="11783" spans="1:9" s="232" customFormat="1" ht="17" customHeight="1">
      <c r="A11783" s="234"/>
      <c r="B11783" s="233"/>
      <c r="C11783" s="238"/>
      <c r="E11783" s="545"/>
      <c r="F11783" s="546"/>
      <c r="G11783" s="234"/>
      <c r="H11783" s="238"/>
      <c r="I11783" s="237"/>
    </row>
    <row r="11784" spans="1:9" s="232" customFormat="1" ht="17" customHeight="1">
      <c r="A11784" s="234"/>
      <c r="B11784" s="233"/>
      <c r="C11784" s="238"/>
      <c r="E11784" s="545"/>
      <c r="F11784" s="546"/>
      <c r="G11784" s="234"/>
      <c r="H11784" s="238"/>
      <c r="I11784" s="237"/>
    </row>
    <row r="11785" spans="1:9" s="232" customFormat="1" ht="17" customHeight="1">
      <c r="A11785" s="234"/>
      <c r="B11785" s="233"/>
      <c r="C11785" s="238"/>
      <c r="E11785" s="545"/>
      <c r="F11785" s="546"/>
      <c r="G11785" s="234"/>
      <c r="H11785" s="238"/>
      <c r="I11785" s="237"/>
    </row>
    <row r="11786" spans="1:9" s="232" customFormat="1" ht="17" customHeight="1">
      <c r="A11786" s="234"/>
      <c r="B11786" s="233"/>
      <c r="C11786" s="238"/>
      <c r="E11786" s="545"/>
      <c r="F11786" s="546"/>
      <c r="G11786" s="234"/>
      <c r="H11786" s="238"/>
      <c r="I11786" s="237"/>
    </row>
    <row r="11787" spans="1:9" s="232" customFormat="1" ht="17" customHeight="1">
      <c r="A11787" s="234"/>
      <c r="B11787" s="233"/>
      <c r="C11787" s="238"/>
      <c r="E11787" s="545"/>
      <c r="F11787" s="546"/>
      <c r="G11787" s="234"/>
      <c r="H11787" s="238"/>
      <c r="I11787" s="237"/>
    </row>
    <row r="11788" spans="1:9" s="232" customFormat="1" ht="17" customHeight="1">
      <c r="A11788" s="234"/>
      <c r="B11788" s="233"/>
      <c r="C11788" s="238"/>
      <c r="E11788" s="545"/>
      <c r="F11788" s="546"/>
      <c r="G11788" s="234"/>
      <c r="H11788" s="238"/>
      <c r="I11788" s="237"/>
    </row>
    <row r="11789" spans="1:9" s="232" customFormat="1" ht="17" customHeight="1">
      <c r="A11789" s="234"/>
      <c r="B11789" s="233"/>
      <c r="C11789" s="238"/>
      <c r="E11789" s="545"/>
      <c r="F11789" s="546"/>
      <c r="G11789" s="234"/>
      <c r="H11789" s="238"/>
      <c r="I11789" s="237"/>
    </row>
    <row r="11790" spans="1:9" s="232" customFormat="1" ht="17" customHeight="1">
      <c r="A11790" s="234"/>
      <c r="B11790" s="233"/>
      <c r="C11790" s="238"/>
      <c r="E11790" s="545"/>
      <c r="F11790" s="546"/>
      <c r="G11790" s="234"/>
      <c r="H11790" s="238"/>
      <c r="I11790" s="237"/>
    </row>
    <row r="11791" spans="1:9" s="232" customFormat="1" ht="17" customHeight="1">
      <c r="A11791" s="234"/>
      <c r="B11791" s="233"/>
      <c r="C11791" s="238"/>
      <c r="E11791" s="545"/>
      <c r="F11791" s="546"/>
      <c r="G11791" s="234"/>
      <c r="H11791" s="238"/>
      <c r="I11791" s="237"/>
    </row>
    <row r="11792" spans="1:9" s="232" customFormat="1" ht="17" customHeight="1">
      <c r="A11792" s="234"/>
      <c r="B11792" s="233"/>
      <c r="C11792" s="238"/>
      <c r="E11792" s="545"/>
      <c r="F11792" s="546"/>
      <c r="G11792" s="234"/>
      <c r="H11792" s="238"/>
      <c r="I11792" s="237"/>
    </row>
    <row r="11793" spans="1:9" s="232" customFormat="1" ht="17" customHeight="1">
      <c r="A11793" s="234"/>
      <c r="B11793" s="233"/>
      <c r="C11793" s="238"/>
      <c r="E11793" s="545"/>
      <c r="F11793" s="546"/>
      <c r="G11793" s="234"/>
      <c r="H11793" s="238"/>
      <c r="I11793" s="237"/>
    </row>
    <row r="11794" spans="1:9" s="232" customFormat="1" ht="17" customHeight="1">
      <c r="A11794" s="234"/>
      <c r="B11794" s="233"/>
      <c r="C11794" s="238"/>
      <c r="E11794" s="545"/>
      <c r="F11794" s="546"/>
      <c r="G11794" s="234"/>
      <c r="H11794" s="238"/>
      <c r="I11794" s="237"/>
    </row>
    <row r="11795" spans="1:9" s="232" customFormat="1" ht="17" customHeight="1">
      <c r="A11795" s="234"/>
      <c r="B11795" s="233"/>
      <c r="C11795" s="238"/>
      <c r="E11795" s="545"/>
      <c r="F11795" s="546"/>
      <c r="G11795" s="234"/>
      <c r="H11795" s="238"/>
      <c r="I11795" s="237"/>
    </row>
    <row r="11796" spans="1:9" s="232" customFormat="1" ht="17" customHeight="1">
      <c r="A11796" s="234"/>
      <c r="B11796" s="233"/>
      <c r="C11796" s="238"/>
      <c r="E11796" s="545"/>
      <c r="F11796" s="546"/>
      <c r="G11796" s="234"/>
      <c r="H11796" s="238"/>
      <c r="I11796" s="237"/>
    </row>
    <row r="11797" spans="1:9" s="232" customFormat="1" ht="17" customHeight="1">
      <c r="A11797" s="234"/>
      <c r="B11797" s="233"/>
      <c r="C11797" s="238"/>
      <c r="E11797" s="545"/>
      <c r="F11797" s="546"/>
      <c r="G11797" s="234"/>
      <c r="H11797" s="238"/>
      <c r="I11797" s="237"/>
    </row>
    <row r="11798" spans="1:9" s="232" customFormat="1" ht="17" customHeight="1">
      <c r="A11798" s="234"/>
      <c r="B11798" s="233"/>
      <c r="C11798" s="238"/>
      <c r="E11798" s="545"/>
      <c r="F11798" s="546"/>
      <c r="G11798" s="234"/>
      <c r="H11798" s="238"/>
      <c r="I11798" s="237"/>
    </row>
    <row r="11799" spans="1:9" s="232" customFormat="1" ht="17" customHeight="1">
      <c r="A11799" s="234"/>
      <c r="B11799" s="233"/>
      <c r="C11799" s="238"/>
      <c r="E11799" s="545"/>
      <c r="F11799" s="546"/>
      <c r="G11799" s="234"/>
      <c r="H11799" s="238"/>
      <c r="I11799" s="237"/>
    </row>
    <row r="11800" spans="1:9" s="232" customFormat="1" ht="17" customHeight="1">
      <c r="A11800" s="234"/>
      <c r="B11800" s="233"/>
      <c r="C11800" s="238"/>
      <c r="E11800" s="545"/>
      <c r="F11800" s="546"/>
      <c r="G11800" s="234"/>
      <c r="H11800" s="238"/>
      <c r="I11800" s="237"/>
    </row>
    <row r="11801" spans="1:9" s="232" customFormat="1" ht="17" customHeight="1">
      <c r="A11801" s="234"/>
      <c r="B11801" s="233"/>
      <c r="C11801" s="238"/>
      <c r="E11801" s="545"/>
      <c r="F11801" s="546"/>
      <c r="G11801" s="234"/>
      <c r="H11801" s="238"/>
      <c r="I11801" s="237"/>
    </row>
    <row r="11802" spans="1:9" s="232" customFormat="1" ht="17" customHeight="1">
      <c r="A11802" s="234"/>
      <c r="B11802" s="233"/>
      <c r="C11802" s="238"/>
      <c r="E11802" s="545"/>
      <c r="F11802" s="546"/>
      <c r="G11802" s="234"/>
      <c r="H11802" s="238"/>
      <c r="I11802" s="237"/>
    </row>
    <row r="11803" spans="1:9" s="232" customFormat="1" ht="17" customHeight="1">
      <c r="A11803" s="234"/>
      <c r="B11803" s="233"/>
      <c r="C11803" s="238"/>
      <c r="E11803" s="545"/>
      <c r="F11803" s="546"/>
      <c r="G11803" s="234"/>
      <c r="H11803" s="238"/>
      <c r="I11803" s="237"/>
    </row>
    <row r="11804" spans="1:9" s="232" customFormat="1" ht="17" customHeight="1">
      <c r="A11804" s="234"/>
      <c r="B11804" s="233"/>
      <c r="C11804" s="238"/>
      <c r="E11804" s="545"/>
      <c r="F11804" s="546"/>
      <c r="G11804" s="234"/>
      <c r="H11804" s="238"/>
      <c r="I11804" s="237"/>
    </row>
    <row r="11805" spans="1:9" s="232" customFormat="1" ht="17" customHeight="1">
      <c r="A11805" s="234"/>
      <c r="B11805" s="233"/>
      <c r="C11805" s="238"/>
      <c r="E11805" s="545"/>
      <c r="F11805" s="546"/>
      <c r="G11805" s="234"/>
      <c r="H11805" s="238"/>
      <c r="I11805" s="237"/>
    </row>
    <row r="11806" spans="1:9" s="232" customFormat="1" ht="17" customHeight="1">
      <c r="A11806" s="234"/>
      <c r="B11806" s="233"/>
      <c r="C11806" s="238"/>
      <c r="E11806" s="545"/>
      <c r="F11806" s="546"/>
      <c r="G11806" s="234"/>
      <c r="H11806" s="238"/>
      <c r="I11806" s="237"/>
    </row>
    <row r="11807" spans="1:9" s="232" customFormat="1" ht="17" customHeight="1">
      <c r="A11807" s="234"/>
      <c r="B11807" s="233"/>
      <c r="C11807" s="238"/>
      <c r="E11807" s="545"/>
      <c r="F11807" s="546"/>
      <c r="G11807" s="234"/>
      <c r="H11807" s="238"/>
      <c r="I11807" s="237"/>
    </row>
    <row r="11808" spans="1:9" s="232" customFormat="1" ht="17" customHeight="1">
      <c r="A11808" s="234"/>
      <c r="B11808" s="233"/>
      <c r="C11808" s="238"/>
      <c r="E11808" s="545"/>
      <c r="F11808" s="546"/>
      <c r="G11808" s="234"/>
      <c r="H11808" s="238"/>
      <c r="I11808" s="237"/>
    </row>
    <row r="11809" spans="1:9" s="232" customFormat="1" ht="17" customHeight="1">
      <c r="A11809" s="234"/>
      <c r="B11809" s="233"/>
      <c r="C11809" s="238"/>
      <c r="E11809" s="545"/>
      <c r="F11809" s="546"/>
      <c r="G11809" s="234"/>
      <c r="H11809" s="238"/>
      <c r="I11809" s="237"/>
    </row>
    <row r="11810" spans="1:9" s="232" customFormat="1" ht="17" customHeight="1">
      <c r="A11810" s="234"/>
      <c r="B11810" s="233"/>
      <c r="C11810" s="238"/>
      <c r="E11810" s="545"/>
      <c r="F11810" s="546"/>
      <c r="G11810" s="234"/>
      <c r="H11810" s="238"/>
      <c r="I11810" s="237"/>
    </row>
    <row r="11811" spans="1:9" s="232" customFormat="1" ht="17" customHeight="1">
      <c r="A11811" s="234"/>
      <c r="B11811" s="233"/>
      <c r="C11811" s="238"/>
      <c r="E11811" s="545"/>
      <c r="F11811" s="546"/>
      <c r="G11811" s="234"/>
      <c r="H11811" s="238"/>
      <c r="I11811" s="237"/>
    </row>
    <row r="11812" spans="1:9" s="232" customFormat="1" ht="17" customHeight="1">
      <c r="A11812" s="234"/>
      <c r="B11812" s="233"/>
      <c r="C11812" s="238"/>
      <c r="E11812" s="545"/>
      <c r="F11812" s="546"/>
      <c r="G11812" s="234"/>
      <c r="H11812" s="238"/>
      <c r="I11812" s="237"/>
    </row>
    <row r="11813" spans="1:9" s="232" customFormat="1" ht="17" customHeight="1">
      <c r="A11813" s="234"/>
      <c r="B11813" s="233"/>
      <c r="C11813" s="238"/>
      <c r="E11813" s="545"/>
      <c r="F11813" s="546"/>
      <c r="G11813" s="234"/>
      <c r="H11813" s="238"/>
      <c r="I11813" s="237"/>
    </row>
    <row r="11814" spans="1:9" s="232" customFormat="1" ht="17" customHeight="1">
      <c r="A11814" s="234"/>
      <c r="B11814" s="233"/>
      <c r="C11814" s="238"/>
      <c r="E11814" s="545"/>
      <c r="F11814" s="546"/>
      <c r="G11814" s="234"/>
      <c r="H11814" s="238"/>
      <c r="I11814" s="237"/>
    </row>
    <row r="11815" spans="1:9" s="232" customFormat="1" ht="17" customHeight="1">
      <c r="A11815" s="234"/>
      <c r="B11815" s="233"/>
      <c r="C11815" s="238"/>
      <c r="E11815" s="545"/>
      <c r="F11815" s="546"/>
      <c r="G11815" s="234"/>
      <c r="H11815" s="238"/>
      <c r="I11815" s="237"/>
    </row>
    <row r="11816" spans="1:9" s="232" customFormat="1" ht="17" customHeight="1">
      <c r="A11816" s="234"/>
      <c r="B11816" s="233"/>
      <c r="C11816" s="238"/>
      <c r="E11816" s="545"/>
      <c r="F11816" s="546"/>
      <c r="G11816" s="234"/>
      <c r="H11816" s="238"/>
      <c r="I11816" s="237"/>
    </row>
    <row r="11817" spans="1:9" s="232" customFormat="1" ht="17" customHeight="1">
      <c r="A11817" s="234"/>
      <c r="B11817" s="233"/>
      <c r="C11817" s="238"/>
      <c r="E11817" s="545"/>
      <c r="F11817" s="546"/>
      <c r="G11817" s="234"/>
      <c r="H11817" s="238"/>
      <c r="I11817" s="237"/>
    </row>
    <row r="11818" spans="1:9" s="232" customFormat="1" ht="17" customHeight="1">
      <c r="A11818" s="234"/>
      <c r="B11818" s="233"/>
      <c r="C11818" s="238"/>
      <c r="E11818" s="545"/>
      <c r="F11818" s="546"/>
      <c r="G11818" s="234"/>
      <c r="H11818" s="238"/>
      <c r="I11818" s="237"/>
    </row>
    <row r="11819" spans="1:9" s="232" customFormat="1" ht="17" customHeight="1">
      <c r="A11819" s="234"/>
      <c r="B11819" s="233"/>
      <c r="C11819" s="238"/>
      <c r="E11819" s="545"/>
      <c r="F11819" s="546"/>
      <c r="G11819" s="234"/>
      <c r="H11819" s="238"/>
      <c r="I11819" s="237"/>
    </row>
    <row r="11820" spans="1:9" s="232" customFormat="1" ht="17" customHeight="1">
      <c r="A11820" s="234"/>
      <c r="B11820" s="233"/>
      <c r="C11820" s="238"/>
      <c r="E11820" s="545"/>
      <c r="F11820" s="546"/>
      <c r="G11820" s="234"/>
      <c r="H11820" s="238"/>
      <c r="I11820" s="237"/>
    </row>
    <row r="11821" spans="1:9" s="232" customFormat="1" ht="17" customHeight="1">
      <c r="A11821" s="234"/>
      <c r="B11821" s="233"/>
      <c r="C11821" s="238"/>
      <c r="E11821" s="545"/>
      <c r="F11821" s="546"/>
      <c r="G11821" s="234"/>
      <c r="H11821" s="238"/>
      <c r="I11821" s="237"/>
    </row>
    <row r="11822" spans="1:9" s="232" customFormat="1" ht="17" customHeight="1">
      <c r="A11822" s="234"/>
      <c r="B11822" s="233"/>
      <c r="C11822" s="238"/>
      <c r="E11822" s="545"/>
      <c r="F11822" s="546"/>
      <c r="G11822" s="234"/>
      <c r="H11822" s="238"/>
      <c r="I11822" s="237"/>
    </row>
    <row r="11823" spans="1:9" s="232" customFormat="1" ht="17" customHeight="1">
      <c r="A11823" s="234"/>
      <c r="B11823" s="233"/>
      <c r="C11823" s="238"/>
      <c r="E11823" s="545"/>
      <c r="F11823" s="546"/>
      <c r="G11823" s="234"/>
      <c r="H11823" s="238"/>
      <c r="I11823" s="237"/>
    </row>
    <row r="11824" spans="1:9" s="232" customFormat="1" ht="17" customHeight="1">
      <c r="A11824" s="234"/>
      <c r="B11824" s="233"/>
      <c r="C11824" s="238"/>
      <c r="E11824" s="545"/>
      <c r="F11824" s="546"/>
      <c r="G11824" s="234"/>
      <c r="H11824" s="238"/>
      <c r="I11824" s="237"/>
    </row>
    <row r="11825" spans="1:9" s="232" customFormat="1" ht="17" customHeight="1">
      <c r="A11825" s="234"/>
      <c r="B11825" s="233"/>
      <c r="C11825" s="238"/>
      <c r="E11825" s="545"/>
      <c r="F11825" s="546"/>
      <c r="G11825" s="234"/>
      <c r="H11825" s="238"/>
      <c r="I11825" s="237"/>
    </row>
    <row r="11826" spans="1:9" s="232" customFormat="1" ht="17" customHeight="1">
      <c r="A11826" s="234"/>
      <c r="B11826" s="233"/>
      <c r="C11826" s="238"/>
      <c r="E11826" s="545"/>
      <c r="F11826" s="546"/>
      <c r="G11826" s="234"/>
      <c r="H11826" s="238"/>
      <c r="I11826" s="237"/>
    </row>
    <row r="11827" spans="1:9" s="232" customFormat="1" ht="17" customHeight="1">
      <c r="A11827" s="234"/>
      <c r="B11827" s="233"/>
      <c r="C11827" s="238"/>
      <c r="E11827" s="545"/>
      <c r="F11827" s="546"/>
      <c r="G11827" s="234"/>
      <c r="H11827" s="238"/>
      <c r="I11827" s="237"/>
    </row>
    <row r="11828" spans="1:9" s="232" customFormat="1" ht="17" customHeight="1">
      <c r="A11828" s="234"/>
      <c r="B11828" s="233"/>
      <c r="C11828" s="238"/>
      <c r="E11828" s="545"/>
      <c r="F11828" s="546"/>
      <c r="G11828" s="234"/>
      <c r="H11828" s="238"/>
      <c r="I11828" s="237"/>
    </row>
    <row r="11829" spans="1:9" s="232" customFormat="1" ht="17" customHeight="1">
      <c r="A11829" s="234"/>
      <c r="B11829" s="233"/>
      <c r="C11829" s="238"/>
      <c r="E11829" s="545"/>
      <c r="F11829" s="546"/>
      <c r="G11829" s="234"/>
      <c r="H11829" s="238"/>
      <c r="I11829" s="237"/>
    </row>
    <row r="11830" spans="1:9" s="232" customFormat="1" ht="17" customHeight="1">
      <c r="A11830" s="234"/>
      <c r="B11830" s="233"/>
      <c r="C11830" s="238"/>
      <c r="E11830" s="545"/>
      <c r="F11830" s="546"/>
      <c r="G11830" s="234"/>
      <c r="H11830" s="238"/>
      <c r="I11830" s="237"/>
    </row>
    <row r="11831" spans="1:9" s="232" customFormat="1" ht="17" customHeight="1">
      <c r="A11831" s="234"/>
      <c r="B11831" s="233"/>
      <c r="C11831" s="238"/>
      <c r="E11831" s="545"/>
      <c r="F11831" s="546"/>
      <c r="G11831" s="234"/>
      <c r="H11831" s="238"/>
      <c r="I11831" s="237"/>
    </row>
    <row r="11832" spans="1:9" s="232" customFormat="1" ht="17" customHeight="1">
      <c r="A11832" s="234"/>
      <c r="B11832" s="233"/>
      <c r="C11832" s="238"/>
      <c r="E11832" s="545"/>
      <c r="F11832" s="546"/>
      <c r="G11832" s="234"/>
      <c r="H11832" s="238"/>
      <c r="I11832" s="237"/>
    </row>
    <row r="11833" spans="1:9" s="232" customFormat="1" ht="17" customHeight="1">
      <c r="A11833" s="234"/>
      <c r="B11833" s="233"/>
      <c r="C11833" s="238"/>
      <c r="E11833" s="545"/>
      <c r="F11833" s="546"/>
      <c r="G11833" s="234"/>
      <c r="H11833" s="238"/>
      <c r="I11833" s="237"/>
    </row>
    <row r="11834" spans="1:9" s="232" customFormat="1" ht="17" customHeight="1">
      <c r="A11834" s="234"/>
      <c r="B11834" s="233"/>
      <c r="C11834" s="238"/>
      <c r="E11834" s="545"/>
      <c r="F11834" s="546"/>
      <c r="G11834" s="234"/>
      <c r="H11834" s="238"/>
      <c r="I11834" s="237"/>
    </row>
    <row r="11835" spans="1:9" s="232" customFormat="1" ht="17" customHeight="1">
      <c r="A11835" s="234"/>
      <c r="B11835" s="233"/>
      <c r="C11835" s="238"/>
      <c r="E11835" s="545"/>
      <c r="F11835" s="546"/>
      <c r="G11835" s="234"/>
      <c r="H11835" s="238"/>
      <c r="I11835" s="237"/>
    </row>
    <row r="11836" spans="1:9" s="232" customFormat="1" ht="17" customHeight="1">
      <c r="A11836" s="234"/>
      <c r="B11836" s="233"/>
      <c r="C11836" s="238"/>
      <c r="E11836" s="545"/>
      <c r="F11836" s="546"/>
      <c r="G11836" s="234"/>
      <c r="H11836" s="238"/>
      <c r="I11836" s="237"/>
    </row>
    <row r="11837" spans="1:9" s="232" customFormat="1" ht="17" customHeight="1">
      <c r="A11837" s="234"/>
      <c r="B11837" s="233"/>
      <c r="C11837" s="238"/>
      <c r="E11837" s="545"/>
      <c r="F11837" s="546"/>
      <c r="G11837" s="234"/>
      <c r="H11837" s="238"/>
      <c r="I11837" s="237"/>
    </row>
    <row r="11838" spans="1:9" s="232" customFormat="1" ht="17" customHeight="1">
      <c r="A11838" s="234"/>
      <c r="B11838" s="233"/>
      <c r="C11838" s="238"/>
      <c r="E11838" s="545"/>
      <c r="F11838" s="546"/>
      <c r="G11838" s="234"/>
      <c r="H11838" s="238"/>
      <c r="I11838" s="237"/>
    </row>
    <row r="11839" spans="1:9" s="232" customFormat="1" ht="17" customHeight="1">
      <c r="A11839" s="234"/>
      <c r="B11839" s="233"/>
      <c r="C11839" s="238"/>
      <c r="E11839" s="545"/>
      <c r="F11839" s="546"/>
      <c r="G11839" s="234"/>
      <c r="H11839" s="238"/>
      <c r="I11839" s="237"/>
    </row>
    <row r="11840" spans="1:9" s="232" customFormat="1" ht="17" customHeight="1">
      <c r="A11840" s="234"/>
      <c r="B11840" s="233"/>
      <c r="C11840" s="238"/>
      <c r="E11840" s="545"/>
      <c r="F11840" s="546"/>
      <c r="G11840" s="234"/>
      <c r="H11840" s="238"/>
      <c r="I11840" s="237"/>
    </row>
    <row r="11841" spans="1:9" s="232" customFormat="1" ht="17" customHeight="1">
      <c r="A11841" s="234"/>
      <c r="B11841" s="233"/>
      <c r="C11841" s="238"/>
      <c r="E11841" s="545"/>
      <c r="F11841" s="546"/>
      <c r="G11841" s="234"/>
      <c r="H11841" s="238"/>
      <c r="I11841" s="237"/>
    </row>
    <row r="11842" spans="1:9" s="232" customFormat="1" ht="17" customHeight="1">
      <c r="A11842" s="234"/>
      <c r="B11842" s="233"/>
      <c r="C11842" s="238"/>
      <c r="E11842" s="545"/>
      <c r="F11842" s="546"/>
      <c r="G11842" s="234"/>
      <c r="H11842" s="238"/>
      <c r="I11842" s="237"/>
    </row>
    <row r="11843" spans="1:9" s="232" customFormat="1" ht="17" customHeight="1">
      <c r="A11843" s="234"/>
      <c r="B11843" s="233"/>
      <c r="C11843" s="238"/>
      <c r="E11843" s="545"/>
      <c r="F11843" s="546"/>
      <c r="G11843" s="234"/>
      <c r="H11843" s="238"/>
      <c r="I11843" s="237"/>
    </row>
    <row r="11844" spans="1:9" s="232" customFormat="1" ht="17" customHeight="1">
      <c r="A11844" s="234"/>
      <c r="B11844" s="233"/>
      <c r="C11844" s="238"/>
      <c r="E11844" s="545"/>
      <c r="F11844" s="546"/>
      <c r="G11844" s="234"/>
      <c r="H11844" s="238"/>
      <c r="I11844" s="237"/>
    </row>
    <row r="11845" spans="1:9" s="232" customFormat="1" ht="17" customHeight="1">
      <c r="A11845" s="234"/>
      <c r="B11845" s="233"/>
      <c r="C11845" s="238"/>
      <c r="E11845" s="545"/>
      <c r="F11845" s="546"/>
      <c r="G11845" s="234"/>
      <c r="H11845" s="238"/>
      <c r="I11845" s="237"/>
    </row>
    <row r="11846" spans="1:9" s="232" customFormat="1" ht="17" customHeight="1">
      <c r="A11846" s="234"/>
      <c r="B11846" s="233"/>
      <c r="C11846" s="238"/>
      <c r="E11846" s="545"/>
      <c r="F11846" s="546"/>
      <c r="G11846" s="234"/>
      <c r="H11846" s="238"/>
      <c r="I11846" s="237"/>
    </row>
    <row r="11847" spans="1:9" s="232" customFormat="1" ht="17" customHeight="1">
      <c r="A11847" s="234"/>
      <c r="B11847" s="233"/>
      <c r="C11847" s="238"/>
      <c r="E11847" s="545"/>
      <c r="F11847" s="546"/>
      <c r="G11847" s="234"/>
      <c r="H11847" s="238"/>
      <c r="I11847" s="237"/>
    </row>
    <row r="11848" spans="1:9" s="232" customFormat="1" ht="17" customHeight="1">
      <c r="A11848" s="234"/>
      <c r="B11848" s="233"/>
      <c r="C11848" s="238"/>
      <c r="E11848" s="545"/>
      <c r="F11848" s="546"/>
      <c r="G11848" s="234"/>
      <c r="H11848" s="238"/>
      <c r="I11848" s="237"/>
    </row>
    <row r="11849" spans="1:9" s="232" customFormat="1" ht="17" customHeight="1">
      <c r="A11849" s="234"/>
      <c r="B11849" s="233"/>
      <c r="C11849" s="238"/>
      <c r="E11849" s="545"/>
      <c r="F11849" s="546"/>
      <c r="G11849" s="234"/>
      <c r="H11849" s="238"/>
      <c r="I11849" s="237"/>
    </row>
    <row r="11850" spans="1:9" s="232" customFormat="1" ht="17" customHeight="1">
      <c r="A11850" s="234"/>
      <c r="B11850" s="233"/>
      <c r="C11850" s="238"/>
      <c r="E11850" s="545"/>
      <c r="F11850" s="546"/>
      <c r="G11850" s="234"/>
      <c r="H11850" s="238"/>
      <c r="I11850" s="237"/>
    </row>
    <row r="11851" spans="1:9" s="232" customFormat="1" ht="17" customHeight="1">
      <c r="A11851" s="234"/>
      <c r="B11851" s="233"/>
      <c r="C11851" s="238"/>
      <c r="E11851" s="545"/>
      <c r="F11851" s="546"/>
      <c r="G11851" s="234"/>
      <c r="H11851" s="238"/>
      <c r="I11851" s="237"/>
    </row>
    <row r="11852" spans="1:9" s="232" customFormat="1" ht="17" customHeight="1">
      <c r="A11852" s="234"/>
      <c r="B11852" s="233"/>
      <c r="C11852" s="238"/>
      <c r="E11852" s="545"/>
      <c r="F11852" s="546"/>
      <c r="G11852" s="234"/>
      <c r="H11852" s="238"/>
      <c r="I11852" s="237"/>
    </row>
    <row r="11853" spans="1:9" s="232" customFormat="1" ht="17" customHeight="1">
      <c r="A11853" s="234"/>
      <c r="B11853" s="233"/>
      <c r="C11853" s="238"/>
      <c r="E11853" s="545"/>
      <c r="F11853" s="546"/>
      <c r="G11853" s="234"/>
      <c r="H11853" s="238"/>
      <c r="I11853" s="237"/>
    </row>
    <row r="11854" spans="1:9" s="232" customFormat="1" ht="17" customHeight="1">
      <c r="A11854" s="234"/>
      <c r="B11854" s="233"/>
      <c r="C11854" s="238"/>
      <c r="E11854" s="545"/>
      <c r="F11854" s="546"/>
      <c r="G11854" s="234"/>
      <c r="H11854" s="238"/>
      <c r="I11854" s="237"/>
    </row>
    <row r="11855" spans="1:9" s="232" customFormat="1" ht="17" customHeight="1">
      <c r="A11855" s="234"/>
      <c r="B11855" s="233"/>
      <c r="C11855" s="238"/>
      <c r="E11855" s="545"/>
      <c r="F11855" s="546"/>
      <c r="G11855" s="234"/>
      <c r="H11855" s="238"/>
      <c r="I11855" s="237"/>
    </row>
    <row r="11856" spans="1:9" s="232" customFormat="1" ht="17" customHeight="1">
      <c r="A11856" s="234"/>
      <c r="B11856" s="233"/>
      <c r="C11856" s="238"/>
      <c r="E11856" s="545"/>
      <c r="F11856" s="546"/>
      <c r="G11856" s="234"/>
      <c r="H11856" s="238"/>
      <c r="I11856" s="237"/>
    </row>
    <row r="11857" spans="1:9" s="232" customFormat="1" ht="17" customHeight="1">
      <c r="A11857" s="234"/>
      <c r="B11857" s="233"/>
      <c r="C11857" s="238"/>
      <c r="E11857" s="545"/>
      <c r="F11857" s="546"/>
      <c r="G11857" s="234"/>
      <c r="H11857" s="238"/>
      <c r="I11857" s="237"/>
    </row>
    <row r="11858" spans="1:9" s="232" customFormat="1" ht="17" customHeight="1">
      <c r="A11858" s="234"/>
      <c r="B11858" s="233"/>
      <c r="C11858" s="238"/>
      <c r="E11858" s="545"/>
      <c r="F11858" s="546"/>
      <c r="G11858" s="234"/>
      <c r="H11858" s="238"/>
      <c r="I11858" s="237"/>
    </row>
    <row r="11859" spans="1:9" s="232" customFormat="1" ht="17" customHeight="1">
      <c r="A11859" s="234"/>
      <c r="B11859" s="233"/>
      <c r="C11859" s="238"/>
      <c r="E11859" s="545"/>
      <c r="F11859" s="546"/>
      <c r="G11859" s="234"/>
      <c r="H11859" s="238"/>
      <c r="I11859" s="237"/>
    </row>
    <row r="11860" spans="1:9" s="232" customFormat="1" ht="17" customHeight="1">
      <c r="A11860" s="234"/>
      <c r="B11860" s="233"/>
      <c r="C11860" s="238"/>
      <c r="E11860" s="545"/>
      <c r="F11860" s="546"/>
      <c r="G11860" s="234"/>
      <c r="H11860" s="238"/>
      <c r="I11860" s="237"/>
    </row>
    <row r="11861" spans="1:9" s="232" customFormat="1" ht="17" customHeight="1">
      <c r="A11861" s="234"/>
      <c r="B11861" s="233"/>
      <c r="C11861" s="238"/>
      <c r="E11861" s="545"/>
      <c r="F11861" s="546"/>
      <c r="G11861" s="234"/>
      <c r="H11861" s="238"/>
      <c r="I11861" s="237"/>
    </row>
    <row r="11862" spans="1:9" s="232" customFormat="1" ht="17" customHeight="1">
      <c r="A11862" s="234"/>
      <c r="B11862" s="233"/>
      <c r="C11862" s="238"/>
      <c r="E11862" s="545"/>
      <c r="F11862" s="546"/>
      <c r="G11862" s="234"/>
      <c r="H11862" s="238"/>
      <c r="I11862" s="237"/>
    </row>
    <row r="11863" spans="1:9" s="232" customFormat="1" ht="17" customHeight="1">
      <c r="A11863" s="234"/>
      <c r="B11863" s="233"/>
      <c r="C11863" s="238"/>
      <c r="E11863" s="545"/>
      <c r="F11863" s="546"/>
      <c r="G11863" s="234"/>
      <c r="H11863" s="238"/>
      <c r="I11863" s="237"/>
    </row>
    <row r="11864" spans="1:9" s="232" customFormat="1" ht="17" customHeight="1">
      <c r="A11864" s="234"/>
      <c r="B11864" s="233"/>
      <c r="C11864" s="238"/>
      <c r="E11864" s="545"/>
      <c r="F11864" s="546"/>
      <c r="G11864" s="234"/>
      <c r="H11864" s="238"/>
      <c r="I11864" s="237"/>
    </row>
    <row r="11865" spans="1:9" s="232" customFormat="1" ht="17" customHeight="1">
      <c r="A11865" s="234"/>
      <c r="B11865" s="233"/>
      <c r="C11865" s="238"/>
      <c r="E11865" s="545"/>
      <c r="F11865" s="546"/>
      <c r="G11865" s="234"/>
      <c r="H11865" s="238"/>
      <c r="I11865" s="237"/>
    </row>
    <row r="11866" spans="1:9" s="232" customFormat="1" ht="17" customHeight="1">
      <c r="A11866" s="234"/>
      <c r="B11866" s="233"/>
      <c r="C11866" s="238"/>
      <c r="E11866" s="545"/>
      <c r="F11866" s="546"/>
      <c r="G11866" s="234"/>
      <c r="H11866" s="238"/>
      <c r="I11866" s="237"/>
    </row>
    <row r="11867" spans="1:9" s="232" customFormat="1" ht="17" customHeight="1">
      <c r="A11867" s="234"/>
      <c r="B11867" s="233"/>
      <c r="C11867" s="238"/>
      <c r="E11867" s="545"/>
      <c r="F11867" s="546"/>
      <c r="G11867" s="234"/>
      <c r="H11867" s="238"/>
      <c r="I11867" s="237"/>
    </row>
    <row r="11868" spans="1:9" s="232" customFormat="1" ht="17" customHeight="1">
      <c r="A11868" s="234"/>
      <c r="B11868" s="233"/>
      <c r="C11868" s="238"/>
      <c r="E11868" s="545"/>
      <c r="F11868" s="546"/>
      <c r="G11868" s="234"/>
      <c r="H11868" s="238"/>
      <c r="I11868" s="237"/>
    </row>
    <row r="11869" spans="1:9" s="232" customFormat="1" ht="17" customHeight="1">
      <c r="A11869" s="234"/>
      <c r="B11869" s="233"/>
      <c r="C11869" s="238"/>
      <c r="E11869" s="545"/>
      <c r="F11869" s="546"/>
      <c r="G11869" s="234"/>
      <c r="H11869" s="238"/>
      <c r="I11869" s="237"/>
    </row>
    <row r="11870" spans="1:9" s="232" customFormat="1" ht="17" customHeight="1">
      <c r="A11870" s="234"/>
      <c r="B11870" s="233"/>
      <c r="C11870" s="238"/>
      <c r="E11870" s="545"/>
      <c r="F11870" s="546"/>
      <c r="G11870" s="234"/>
      <c r="H11870" s="238"/>
      <c r="I11870" s="237"/>
    </row>
    <row r="11871" spans="1:9" s="232" customFormat="1" ht="17" customHeight="1">
      <c r="A11871" s="234"/>
      <c r="B11871" s="233"/>
      <c r="C11871" s="238"/>
      <c r="E11871" s="545"/>
      <c r="F11871" s="546"/>
      <c r="G11871" s="234"/>
      <c r="H11871" s="238"/>
      <c r="I11871" s="237"/>
    </row>
    <row r="11872" spans="1:9" s="232" customFormat="1" ht="17" customHeight="1">
      <c r="A11872" s="234"/>
      <c r="B11872" s="233"/>
      <c r="C11872" s="238"/>
      <c r="E11872" s="545"/>
      <c r="F11872" s="546"/>
      <c r="G11872" s="234"/>
      <c r="H11872" s="238"/>
      <c r="I11872" s="237"/>
    </row>
    <row r="11873" spans="1:9" s="232" customFormat="1" ht="17" customHeight="1">
      <c r="A11873" s="234"/>
      <c r="B11873" s="233"/>
      <c r="C11873" s="238"/>
      <c r="E11873" s="545"/>
      <c r="F11873" s="546"/>
      <c r="G11873" s="234"/>
      <c r="H11873" s="238"/>
      <c r="I11873" s="237"/>
    </row>
    <row r="11874" spans="1:9" s="232" customFormat="1" ht="17" customHeight="1">
      <c r="A11874" s="234"/>
      <c r="B11874" s="233"/>
      <c r="C11874" s="238"/>
      <c r="E11874" s="545"/>
      <c r="F11874" s="546"/>
      <c r="G11874" s="234"/>
      <c r="H11874" s="238"/>
      <c r="I11874" s="237"/>
    </row>
    <row r="11875" spans="1:9" s="232" customFormat="1" ht="17" customHeight="1">
      <c r="A11875" s="234"/>
      <c r="B11875" s="233"/>
      <c r="C11875" s="238"/>
      <c r="E11875" s="545"/>
      <c r="F11875" s="546"/>
      <c r="G11875" s="234"/>
      <c r="H11875" s="238"/>
      <c r="I11875" s="237"/>
    </row>
    <row r="11876" spans="1:9" s="232" customFormat="1" ht="17" customHeight="1">
      <c r="A11876" s="234"/>
      <c r="B11876" s="233"/>
      <c r="C11876" s="238"/>
      <c r="E11876" s="545"/>
      <c r="F11876" s="546"/>
      <c r="G11876" s="234"/>
      <c r="H11876" s="238"/>
      <c r="I11876" s="237"/>
    </row>
    <row r="11877" spans="1:9" s="232" customFormat="1" ht="17" customHeight="1">
      <c r="A11877" s="234"/>
      <c r="B11877" s="233"/>
      <c r="C11877" s="238"/>
      <c r="E11877" s="545"/>
      <c r="F11877" s="546"/>
      <c r="G11877" s="234"/>
      <c r="H11877" s="238"/>
      <c r="I11877" s="237"/>
    </row>
    <row r="11878" spans="1:9" s="232" customFormat="1" ht="17" customHeight="1">
      <c r="A11878" s="234"/>
      <c r="B11878" s="233"/>
      <c r="C11878" s="238"/>
      <c r="E11878" s="545"/>
      <c r="F11878" s="546"/>
      <c r="G11878" s="234"/>
      <c r="H11878" s="238"/>
      <c r="I11878" s="237"/>
    </row>
    <row r="11879" spans="1:9" s="232" customFormat="1" ht="17" customHeight="1">
      <c r="A11879" s="234"/>
      <c r="B11879" s="233"/>
      <c r="C11879" s="238"/>
      <c r="E11879" s="545"/>
      <c r="F11879" s="546"/>
      <c r="G11879" s="234"/>
      <c r="H11879" s="238"/>
      <c r="I11879" s="237"/>
    </row>
    <row r="11880" spans="1:9" s="232" customFormat="1" ht="17" customHeight="1">
      <c r="A11880" s="234"/>
      <c r="B11880" s="233"/>
      <c r="C11880" s="238"/>
      <c r="E11880" s="545"/>
      <c r="F11880" s="546"/>
      <c r="G11880" s="234"/>
      <c r="H11880" s="238"/>
      <c r="I11880" s="237"/>
    </row>
    <row r="11881" spans="1:9" s="232" customFormat="1" ht="17" customHeight="1">
      <c r="A11881" s="234"/>
      <c r="B11881" s="233"/>
      <c r="C11881" s="238"/>
      <c r="E11881" s="545"/>
      <c r="F11881" s="546"/>
      <c r="G11881" s="234"/>
      <c r="H11881" s="238"/>
      <c r="I11881" s="237"/>
    </row>
    <row r="11882" spans="1:9" s="232" customFormat="1" ht="17" customHeight="1">
      <c r="A11882" s="234"/>
      <c r="B11882" s="233"/>
      <c r="C11882" s="238"/>
      <c r="E11882" s="545"/>
      <c r="F11882" s="546"/>
      <c r="G11882" s="234"/>
      <c r="H11882" s="238"/>
      <c r="I11882" s="237"/>
    </row>
    <row r="11883" spans="1:9" s="232" customFormat="1" ht="17" customHeight="1">
      <c r="A11883" s="234"/>
      <c r="B11883" s="233"/>
      <c r="C11883" s="238"/>
      <c r="E11883" s="545"/>
      <c r="F11883" s="546"/>
      <c r="G11883" s="234"/>
      <c r="H11883" s="238"/>
      <c r="I11883" s="237"/>
    </row>
    <row r="11884" spans="1:9" s="232" customFormat="1" ht="17" customHeight="1">
      <c r="A11884" s="234"/>
      <c r="B11884" s="233"/>
      <c r="C11884" s="238"/>
      <c r="E11884" s="545"/>
      <c r="F11884" s="546"/>
      <c r="G11884" s="234"/>
      <c r="H11884" s="238"/>
      <c r="I11884" s="237"/>
    </row>
    <row r="11885" spans="1:9" s="232" customFormat="1" ht="17" customHeight="1">
      <c r="A11885" s="234"/>
      <c r="B11885" s="233"/>
      <c r="C11885" s="238"/>
      <c r="E11885" s="545"/>
      <c r="F11885" s="546"/>
      <c r="G11885" s="234"/>
      <c r="H11885" s="238"/>
      <c r="I11885" s="237"/>
    </row>
    <row r="11886" spans="1:9" s="232" customFormat="1" ht="17" customHeight="1">
      <c r="A11886" s="234"/>
      <c r="B11886" s="233"/>
      <c r="C11886" s="238"/>
      <c r="E11886" s="545"/>
      <c r="F11886" s="546"/>
      <c r="G11886" s="234"/>
      <c r="H11886" s="238"/>
      <c r="I11886" s="237"/>
    </row>
    <row r="11887" spans="1:9" s="232" customFormat="1" ht="17" customHeight="1">
      <c r="A11887" s="234"/>
      <c r="B11887" s="233"/>
      <c r="C11887" s="238"/>
      <c r="E11887" s="545"/>
      <c r="F11887" s="546"/>
      <c r="G11887" s="234"/>
      <c r="H11887" s="238"/>
      <c r="I11887" s="237"/>
    </row>
    <row r="11888" spans="1:9" s="232" customFormat="1" ht="17" customHeight="1">
      <c r="A11888" s="234"/>
      <c r="B11888" s="233"/>
      <c r="C11888" s="238"/>
      <c r="E11888" s="545"/>
      <c r="F11888" s="546"/>
      <c r="G11888" s="234"/>
      <c r="H11888" s="238"/>
      <c r="I11888" s="237"/>
    </row>
    <row r="11889" spans="1:9" s="232" customFormat="1" ht="17" customHeight="1">
      <c r="A11889" s="234"/>
      <c r="B11889" s="233"/>
      <c r="C11889" s="238"/>
      <c r="E11889" s="545"/>
      <c r="F11889" s="546"/>
      <c r="G11889" s="234"/>
      <c r="H11889" s="238"/>
      <c r="I11889" s="237"/>
    </row>
    <row r="11890" spans="1:9" s="232" customFormat="1" ht="17" customHeight="1">
      <c r="A11890" s="234"/>
      <c r="B11890" s="233"/>
      <c r="C11890" s="238"/>
      <c r="E11890" s="545"/>
      <c r="F11890" s="546"/>
      <c r="G11890" s="234"/>
      <c r="H11890" s="238"/>
      <c r="I11890" s="237"/>
    </row>
    <row r="11891" spans="1:9" s="232" customFormat="1" ht="17" customHeight="1">
      <c r="A11891" s="234"/>
      <c r="B11891" s="233"/>
      <c r="C11891" s="238"/>
      <c r="E11891" s="545"/>
      <c r="F11891" s="546"/>
      <c r="G11891" s="234"/>
      <c r="H11891" s="238"/>
      <c r="I11891" s="237"/>
    </row>
    <row r="11892" spans="1:9" s="232" customFormat="1" ht="17" customHeight="1">
      <c r="A11892" s="234"/>
      <c r="B11892" s="233"/>
      <c r="C11892" s="238"/>
      <c r="E11892" s="545"/>
      <c r="F11892" s="546"/>
      <c r="G11892" s="234"/>
      <c r="H11892" s="238"/>
      <c r="I11892" s="237"/>
    </row>
    <row r="11893" spans="1:9" s="232" customFormat="1" ht="17" customHeight="1">
      <c r="A11893" s="234"/>
      <c r="B11893" s="233"/>
      <c r="C11893" s="238"/>
      <c r="E11893" s="545"/>
      <c r="F11893" s="546"/>
      <c r="G11893" s="234"/>
      <c r="H11893" s="238"/>
      <c r="I11893" s="237"/>
    </row>
    <row r="11894" spans="1:9" s="232" customFormat="1" ht="17" customHeight="1">
      <c r="A11894" s="234"/>
      <c r="B11894" s="233"/>
      <c r="C11894" s="238"/>
      <c r="E11894" s="545"/>
      <c r="F11894" s="546"/>
      <c r="G11894" s="234"/>
      <c r="H11894" s="238"/>
      <c r="I11894" s="237"/>
    </row>
    <row r="11895" spans="1:9" s="232" customFormat="1" ht="17" customHeight="1">
      <c r="A11895" s="234"/>
      <c r="B11895" s="233"/>
      <c r="C11895" s="238"/>
      <c r="E11895" s="545"/>
      <c r="F11895" s="546"/>
      <c r="G11895" s="234"/>
      <c r="H11895" s="238"/>
      <c r="I11895" s="237"/>
    </row>
    <row r="11896" spans="1:9" s="232" customFormat="1" ht="17" customHeight="1">
      <c r="A11896" s="234"/>
      <c r="B11896" s="233"/>
      <c r="C11896" s="238"/>
      <c r="E11896" s="545"/>
      <c r="F11896" s="546"/>
      <c r="G11896" s="234"/>
      <c r="H11896" s="238"/>
      <c r="I11896" s="237"/>
    </row>
    <row r="11897" spans="1:9" s="232" customFormat="1" ht="17" customHeight="1">
      <c r="A11897" s="234"/>
      <c r="B11897" s="233"/>
      <c r="C11897" s="238"/>
      <c r="E11897" s="545"/>
      <c r="F11897" s="546"/>
      <c r="G11897" s="234"/>
      <c r="H11897" s="238"/>
      <c r="I11897" s="237"/>
    </row>
    <row r="11898" spans="1:9" s="232" customFormat="1" ht="17" customHeight="1">
      <c r="A11898" s="234"/>
      <c r="B11898" s="233"/>
      <c r="C11898" s="238"/>
      <c r="E11898" s="545"/>
      <c r="F11898" s="546"/>
      <c r="G11898" s="234"/>
      <c r="H11898" s="238"/>
      <c r="I11898" s="237"/>
    </row>
    <row r="11899" spans="1:9" s="232" customFormat="1" ht="17" customHeight="1">
      <c r="A11899" s="234"/>
      <c r="B11899" s="233"/>
      <c r="C11899" s="238"/>
      <c r="E11899" s="545"/>
      <c r="F11899" s="546"/>
      <c r="G11899" s="234"/>
      <c r="H11899" s="238"/>
      <c r="I11899" s="237"/>
    </row>
    <row r="11900" spans="1:9" s="232" customFormat="1" ht="17" customHeight="1">
      <c r="A11900" s="234"/>
      <c r="B11900" s="233"/>
      <c r="C11900" s="238"/>
      <c r="E11900" s="545"/>
      <c r="F11900" s="546"/>
      <c r="G11900" s="234"/>
      <c r="H11900" s="238"/>
      <c r="I11900" s="237"/>
    </row>
    <row r="11901" spans="1:9" s="232" customFormat="1" ht="17" customHeight="1">
      <c r="A11901" s="234"/>
      <c r="B11901" s="233"/>
      <c r="C11901" s="238"/>
      <c r="E11901" s="545"/>
      <c r="F11901" s="546"/>
      <c r="G11901" s="234"/>
      <c r="H11901" s="238"/>
      <c r="I11901" s="237"/>
    </row>
    <row r="11902" spans="1:9" s="232" customFormat="1" ht="17" customHeight="1">
      <c r="A11902" s="234"/>
      <c r="B11902" s="233"/>
      <c r="C11902" s="238"/>
      <c r="E11902" s="545"/>
      <c r="F11902" s="546"/>
      <c r="G11902" s="234"/>
      <c r="H11902" s="238"/>
      <c r="I11902" s="237"/>
    </row>
    <row r="11903" spans="1:9" s="232" customFormat="1" ht="17" customHeight="1">
      <c r="A11903" s="234"/>
      <c r="B11903" s="233"/>
      <c r="C11903" s="238"/>
      <c r="E11903" s="545"/>
      <c r="F11903" s="546"/>
      <c r="G11903" s="234"/>
      <c r="H11903" s="238"/>
      <c r="I11903" s="237"/>
    </row>
    <row r="11904" spans="1:9" s="232" customFormat="1" ht="17" customHeight="1">
      <c r="A11904" s="234"/>
      <c r="B11904" s="233"/>
      <c r="C11904" s="238"/>
      <c r="E11904" s="545"/>
      <c r="F11904" s="546"/>
      <c r="G11904" s="234"/>
      <c r="H11904" s="238"/>
      <c r="I11904" s="237"/>
    </row>
    <row r="11905" spans="1:9" s="232" customFormat="1" ht="17" customHeight="1">
      <c r="A11905" s="234"/>
      <c r="B11905" s="233"/>
      <c r="C11905" s="238"/>
      <c r="E11905" s="545"/>
      <c r="F11905" s="546"/>
      <c r="G11905" s="234"/>
      <c r="H11905" s="238"/>
      <c r="I11905" s="237"/>
    </row>
    <row r="11906" spans="1:9" s="232" customFormat="1" ht="17" customHeight="1">
      <c r="A11906" s="234"/>
      <c r="B11906" s="233"/>
      <c r="C11906" s="238"/>
      <c r="E11906" s="545"/>
      <c r="F11906" s="546"/>
      <c r="G11906" s="234"/>
      <c r="H11906" s="238"/>
      <c r="I11906" s="237"/>
    </row>
    <row r="11907" spans="1:9" s="232" customFormat="1" ht="17" customHeight="1">
      <c r="A11907" s="234"/>
      <c r="B11907" s="233"/>
      <c r="C11907" s="238"/>
      <c r="E11907" s="545"/>
      <c r="F11907" s="546"/>
      <c r="G11907" s="234"/>
      <c r="H11907" s="238"/>
      <c r="I11907" s="237"/>
    </row>
    <row r="11908" spans="1:9" s="232" customFormat="1" ht="17" customHeight="1">
      <c r="A11908" s="234"/>
      <c r="B11908" s="233"/>
      <c r="C11908" s="238"/>
      <c r="E11908" s="545"/>
      <c r="F11908" s="546"/>
      <c r="G11908" s="234"/>
      <c r="H11908" s="238"/>
      <c r="I11908" s="237"/>
    </row>
    <row r="11909" spans="1:9" s="232" customFormat="1" ht="17" customHeight="1">
      <c r="A11909" s="234"/>
      <c r="B11909" s="233"/>
      <c r="C11909" s="238"/>
      <c r="E11909" s="545"/>
      <c r="F11909" s="546"/>
      <c r="G11909" s="234"/>
      <c r="H11909" s="238"/>
      <c r="I11909" s="237"/>
    </row>
    <row r="11910" spans="1:9" s="232" customFormat="1" ht="17" customHeight="1">
      <c r="A11910" s="234"/>
      <c r="B11910" s="233"/>
      <c r="C11910" s="238"/>
      <c r="E11910" s="545"/>
      <c r="F11910" s="546"/>
      <c r="G11910" s="234"/>
      <c r="H11910" s="238"/>
      <c r="I11910" s="237"/>
    </row>
    <row r="11911" spans="1:9" s="232" customFormat="1" ht="17" customHeight="1">
      <c r="A11911" s="234"/>
      <c r="B11911" s="233"/>
      <c r="C11911" s="238"/>
      <c r="E11911" s="545"/>
      <c r="F11911" s="546"/>
      <c r="G11911" s="234"/>
      <c r="H11911" s="238"/>
      <c r="I11911" s="237"/>
    </row>
    <row r="11912" spans="1:9" s="232" customFormat="1" ht="17" customHeight="1">
      <c r="A11912" s="234"/>
      <c r="B11912" s="233"/>
      <c r="C11912" s="238"/>
      <c r="E11912" s="545"/>
      <c r="F11912" s="546"/>
      <c r="G11912" s="234"/>
      <c r="H11912" s="238"/>
      <c r="I11912" s="237"/>
    </row>
    <row r="11913" spans="1:9" s="232" customFormat="1" ht="17" customHeight="1">
      <c r="A11913" s="234"/>
      <c r="B11913" s="233"/>
      <c r="C11913" s="238"/>
      <c r="E11913" s="545"/>
      <c r="F11913" s="546"/>
      <c r="G11913" s="234"/>
      <c r="H11913" s="238"/>
      <c r="I11913" s="237"/>
    </row>
    <row r="11914" spans="1:9" s="232" customFormat="1" ht="17" customHeight="1">
      <c r="A11914" s="234"/>
      <c r="B11914" s="233"/>
      <c r="C11914" s="238"/>
      <c r="E11914" s="545"/>
      <c r="F11914" s="546"/>
      <c r="G11914" s="234"/>
      <c r="H11914" s="238"/>
      <c r="I11914" s="237"/>
    </row>
    <row r="11915" spans="1:9" s="232" customFormat="1" ht="17" customHeight="1">
      <c r="A11915" s="234"/>
      <c r="B11915" s="233"/>
      <c r="C11915" s="238"/>
      <c r="E11915" s="545"/>
      <c r="F11915" s="546"/>
      <c r="G11915" s="234"/>
      <c r="H11915" s="238"/>
      <c r="I11915" s="237"/>
    </row>
    <row r="11916" spans="1:9" s="232" customFormat="1" ht="17" customHeight="1">
      <c r="A11916" s="234"/>
      <c r="B11916" s="233"/>
      <c r="C11916" s="238"/>
      <c r="E11916" s="545"/>
      <c r="F11916" s="546"/>
      <c r="G11916" s="234"/>
      <c r="H11916" s="238"/>
      <c r="I11916" s="237"/>
    </row>
    <row r="11917" spans="1:9" s="232" customFormat="1" ht="17" customHeight="1">
      <c r="A11917" s="234"/>
      <c r="B11917" s="233"/>
      <c r="C11917" s="238"/>
      <c r="E11917" s="545"/>
      <c r="F11917" s="546"/>
      <c r="G11917" s="234"/>
      <c r="H11917" s="238"/>
      <c r="I11917" s="237"/>
    </row>
    <row r="11918" spans="1:9" s="232" customFormat="1" ht="17" customHeight="1">
      <c r="A11918" s="234"/>
      <c r="B11918" s="233"/>
      <c r="C11918" s="238"/>
      <c r="E11918" s="545"/>
      <c r="F11918" s="546"/>
      <c r="G11918" s="234"/>
      <c r="H11918" s="238"/>
      <c r="I11918" s="237"/>
    </row>
    <row r="11919" spans="1:9" s="232" customFormat="1" ht="17" customHeight="1">
      <c r="A11919" s="234"/>
      <c r="B11919" s="233"/>
      <c r="C11919" s="238"/>
      <c r="E11919" s="545"/>
      <c r="F11919" s="546"/>
      <c r="G11919" s="234"/>
      <c r="H11919" s="238"/>
      <c r="I11919" s="237"/>
    </row>
    <row r="11920" spans="1:9" s="232" customFormat="1" ht="17" customHeight="1">
      <c r="A11920" s="234"/>
      <c r="B11920" s="233"/>
      <c r="C11920" s="238"/>
      <c r="E11920" s="545"/>
      <c r="F11920" s="546"/>
      <c r="G11920" s="234"/>
      <c r="H11920" s="238"/>
      <c r="I11920" s="237"/>
    </row>
    <row r="11921" spans="1:9" s="232" customFormat="1" ht="17" customHeight="1">
      <c r="A11921" s="234"/>
      <c r="B11921" s="233"/>
      <c r="C11921" s="238"/>
      <c r="E11921" s="545"/>
      <c r="F11921" s="546"/>
      <c r="G11921" s="234"/>
      <c r="H11921" s="238"/>
      <c r="I11921" s="237"/>
    </row>
    <row r="11922" spans="1:9" s="232" customFormat="1" ht="17" customHeight="1">
      <c r="A11922" s="234"/>
      <c r="B11922" s="233"/>
      <c r="C11922" s="238"/>
      <c r="E11922" s="545"/>
      <c r="F11922" s="546"/>
      <c r="G11922" s="234"/>
      <c r="H11922" s="238"/>
      <c r="I11922" s="237"/>
    </row>
    <row r="11923" spans="1:9" s="232" customFormat="1" ht="17" customHeight="1">
      <c r="A11923" s="234"/>
      <c r="B11923" s="233"/>
      <c r="C11923" s="238"/>
      <c r="E11923" s="545"/>
      <c r="F11923" s="546"/>
      <c r="G11923" s="234"/>
      <c r="H11923" s="238"/>
      <c r="I11923" s="237"/>
    </row>
    <row r="11924" spans="1:9" s="232" customFormat="1" ht="17" customHeight="1">
      <c r="A11924" s="234"/>
      <c r="B11924" s="233"/>
      <c r="C11924" s="238"/>
      <c r="E11924" s="545"/>
      <c r="F11924" s="546"/>
      <c r="G11924" s="234"/>
      <c r="H11924" s="238"/>
      <c r="I11924" s="237"/>
    </row>
    <row r="11925" spans="1:9" s="232" customFormat="1" ht="17" customHeight="1">
      <c r="A11925" s="234"/>
      <c r="B11925" s="233"/>
      <c r="C11925" s="238"/>
      <c r="E11925" s="545"/>
      <c r="F11925" s="546"/>
      <c r="G11925" s="234"/>
      <c r="H11925" s="238"/>
      <c r="I11925" s="237"/>
    </row>
    <row r="11926" spans="1:9" s="232" customFormat="1" ht="17" customHeight="1">
      <c r="A11926" s="234"/>
      <c r="B11926" s="233"/>
      <c r="C11926" s="238"/>
      <c r="E11926" s="545"/>
      <c r="F11926" s="546"/>
      <c r="G11926" s="234"/>
      <c r="H11926" s="238"/>
      <c r="I11926" s="237"/>
    </row>
    <row r="11927" spans="1:9" s="232" customFormat="1" ht="17" customHeight="1">
      <c r="A11927" s="234"/>
      <c r="B11927" s="233"/>
      <c r="C11927" s="238"/>
      <c r="E11927" s="545"/>
      <c r="F11927" s="546"/>
      <c r="G11927" s="234"/>
      <c r="H11927" s="238"/>
      <c r="I11927" s="237"/>
    </row>
    <row r="11928" spans="1:9" s="232" customFormat="1" ht="17" customHeight="1">
      <c r="A11928" s="234"/>
      <c r="B11928" s="233"/>
      <c r="C11928" s="238"/>
      <c r="E11928" s="545"/>
      <c r="F11928" s="546"/>
      <c r="G11928" s="234"/>
      <c r="H11928" s="238"/>
      <c r="I11928" s="237"/>
    </row>
    <row r="11929" spans="1:9" s="232" customFormat="1" ht="17" customHeight="1">
      <c r="A11929" s="234"/>
      <c r="B11929" s="233"/>
      <c r="C11929" s="238"/>
      <c r="E11929" s="545"/>
      <c r="F11929" s="546"/>
      <c r="G11929" s="234"/>
      <c r="H11929" s="238"/>
      <c r="I11929" s="237"/>
    </row>
    <row r="11930" spans="1:9" s="232" customFormat="1" ht="17" customHeight="1">
      <c r="A11930" s="234"/>
      <c r="B11930" s="233"/>
      <c r="C11930" s="238"/>
      <c r="E11930" s="545"/>
      <c r="F11930" s="546"/>
      <c r="G11930" s="234"/>
      <c r="H11930" s="238"/>
      <c r="I11930" s="237"/>
    </row>
    <row r="11931" spans="1:9" s="232" customFormat="1" ht="17" customHeight="1">
      <c r="A11931" s="234"/>
      <c r="B11931" s="233"/>
      <c r="C11931" s="238"/>
      <c r="E11931" s="545"/>
      <c r="F11931" s="546"/>
      <c r="G11931" s="234"/>
      <c r="H11931" s="238"/>
      <c r="I11931" s="237"/>
    </row>
    <row r="11932" spans="1:9" s="232" customFormat="1" ht="17" customHeight="1">
      <c r="A11932" s="234"/>
      <c r="B11932" s="233"/>
      <c r="C11932" s="238"/>
      <c r="E11932" s="545"/>
      <c r="F11932" s="546"/>
      <c r="G11932" s="234"/>
      <c r="H11932" s="238"/>
      <c r="I11932" s="237"/>
    </row>
    <row r="11933" spans="1:9" s="232" customFormat="1" ht="17" customHeight="1">
      <c r="A11933" s="234"/>
      <c r="B11933" s="233"/>
      <c r="C11933" s="238"/>
      <c r="E11933" s="545"/>
      <c r="F11933" s="546"/>
      <c r="G11933" s="234"/>
      <c r="H11933" s="238"/>
      <c r="I11933" s="237"/>
    </row>
    <row r="11934" spans="1:9" s="232" customFormat="1" ht="17" customHeight="1">
      <c r="A11934" s="234"/>
      <c r="B11934" s="233"/>
      <c r="C11934" s="238"/>
      <c r="E11934" s="545"/>
      <c r="F11934" s="546"/>
      <c r="G11934" s="234"/>
      <c r="H11934" s="238"/>
      <c r="I11934" s="237"/>
    </row>
    <row r="11935" spans="1:9" s="232" customFormat="1" ht="17" customHeight="1">
      <c r="A11935" s="234"/>
      <c r="B11935" s="233"/>
      <c r="C11935" s="238"/>
      <c r="E11935" s="545"/>
      <c r="F11935" s="546"/>
      <c r="G11935" s="234"/>
      <c r="H11935" s="238"/>
      <c r="I11935" s="237"/>
    </row>
    <row r="11936" spans="1:9" s="232" customFormat="1" ht="17" customHeight="1">
      <c r="A11936" s="234"/>
      <c r="B11936" s="233"/>
      <c r="C11936" s="238"/>
      <c r="E11936" s="545"/>
      <c r="F11936" s="546"/>
      <c r="G11936" s="234"/>
      <c r="H11936" s="238"/>
      <c r="I11936" s="237"/>
    </row>
    <row r="11937" spans="1:9" s="232" customFormat="1" ht="17" customHeight="1">
      <c r="A11937" s="234"/>
      <c r="B11937" s="233"/>
      <c r="C11937" s="238"/>
      <c r="E11937" s="545"/>
      <c r="F11937" s="546"/>
      <c r="G11937" s="234"/>
      <c r="H11937" s="238"/>
      <c r="I11937" s="237"/>
    </row>
    <row r="11938" spans="1:9" s="232" customFormat="1" ht="17" customHeight="1">
      <c r="A11938" s="234"/>
      <c r="B11938" s="233"/>
      <c r="C11938" s="238"/>
      <c r="E11938" s="545"/>
      <c r="F11938" s="546"/>
      <c r="G11938" s="234"/>
      <c r="H11938" s="238"/>
      <c r="I11938" s="237"/>
    </row>
    <row r="11939" spans="1:9" s="232" customFormat="1" ht="17" customHeight="1">
      <c r="A11939" s="234"/>
      <c r="B11939" s="233"/>
      <c r="C11939" s="238"/>
      <c r="E11939" s="545"/>
      <c r="F11939" s="546"/>
      <c r="G11939" s="234"/>
      <c r="H11939" s="238"/>
      <c r="I11939" s="237"/>
    </row>
    <row r="11940" spans="1:9" s="232" customFormat="1" ht="17" customHeight="1">
      <c r="A11940" s="234"/>
      <c r="B11940" s="233"/>
      <c r="C11940" s="238"/>
      <c r="E11940" s="545"/>
      <c r="F11940" s="546"/>
      <c r="G11940" s="234"/>
      <c r="H11940" s="238"/>
      <c r="I11940" s="237"/>
    </row>
    <row r="11941" spans="1:9" s="232" customFormat="1" ht="17" customHeight="1">
      <c r="A11941" s="234"/>
      <c r="B11941" s="233"/>
      <c r="C11941" s="238"/>
      <c r="E11941" s="545"/>
      <c r="F11941" s="546"/>
      <c r="G11941" s="234"/>
      <c r="H11941" s="238"/>
      <c r="I11941" s="237"/>
    </row>
    <row r="11942" spans="1:9" s="232" customFormat="1" ht="17" customHeight="1">
      <c r="A11942" s="234"/>
      <c r="B11942" s="233"/>
      <c r="C11942" s="238"/>
      <c r="E11942" s="545"/>
      <c r="F11942" s="546"/>
      <c r="G11942" s="234"/>
      <c r="H11942" s="238"/>
      <c r="I11942" s="237"/>
    </row>
    <row r="11943" spans="1:9" s="232" customFormat="1" ht="17" customHeight="1">
      <c r="A11943" s="234"/>
      <c r="B11943" s="233"/>
      <c r="C11943" s="238"/>
      <c r="E11943" s="545"/>
      <c r="F11943" s="546"/>
      <c r="G11943" s="234"/>
      <c r="H11943" s="238"/>
      <c r="I11943" s="237"/>
    </row>
    <row r="11944" spans="1:9" s="232" customFormat="1" ht="17" customHeight="1">
      <c r="A11944" s="234"/>
      <c r="B11944" s="233"/>
      <c r="C11944" s="238"/>
      <c r="E11944" s="545"/>
      <c r="F11944" s="546"/>
      <c r="G11944" s="234"/>
      <c r="H11944" s="238"/>
      <c r="I11944" s="237"/>
    </row>
    <row r="11945" spans="1:9" s="232" customFormat="1" ht="17" customHeight="1">
      <c r="A11945" s="234"/>
      <c r="B11945" s="233"/>
      <c r="C11945" s="238"/>
      <c r="E11945" s="545"/>
      <c r="F11945" s="546"/>
      <c r="G11945" s="234"/>
      <c r="H11945" s="238"/>
      <c r="I11945" s="237"/>
    </row>
    <row r="11946" spans="1:9" s="232" customFormat="1" ht="17" customHeight="1">
      <c r="A11946" s="234"/>
      <c r="B11946" s="233"/>
      <c r="C11946" s="238"/>
      <c r="E11946" s="545"/>
      <c r="F11946" s="546"/>
      <c r="G11946" s="234"/>
      <c r="H11946" s="238"/>
      <c r="I11946" s="237"/>
    </row>
    <row r="11947" spans="1:9" s="232" customFormat="1" ht="17" customHeight="1">
      <c r="A11947" s="234"/>
      <c r="B11947" s="233"/>
      <c r="C11947" s="238"/>
      <c r="E11947" s="545"/>
      <c r="F11947" s="546"/>
      <c r="G11947" s="234"/>
      <c r="H11947" s="238"/>
      <c r="I11947" s="237"/>
    </row>
    <row r="11948" spans="1:9" s="232" customFormat="1" ht="17" customHeight="1">
      <c r="A11948" s="234"/>
      <c r="B11948" s="233"/>
      <c r="C11948" s="238"/>
      <c r="E11948" s="545"/>
      <c r="F11948" s="546"/>
      <c r="G11948" s="234"/>
      <c r="H11948" s="238"/>
      <c r="I11948" s="237"/>
    </row>
    <row r="11949" spans="1:9" s="232" customFormat="1" ht="17" customHeight="1">
      <c r="A11949" s="234"/>
      <c r="B11949" s="233"/>
      <c r="C11949" s="238"/>
      <c r="E11949" s="545"/>
      <c r="F11949" s="546"/>
      <c r="G11949" s="234"/>
      <c r="H11949" s="238"/>
      <c r="I11949" s="237"/>
    </row>
    <row r="11950" spans="1:9" s="232" customFormat="1" ht="17" customHeight="1">
      <c r="A11950" s="234"/>
      <c r="B11950" s="233"/>
      <c r="C11950" s="238"/>
      <c r="E11950" s="545"/>
      <c r="F11950" s="546"/>
      <c r="G11950" s="234"/>
      <c r="H11950" s="238"/>
      <c r="I11950" s="237"/>
    </row>
    <row r="11951" spans="1:9" s="232" customFormat="1" ht="17" customHeight="1">
      <c r="A11951" s="234"/>
      <c r="B11951" s="233"/>
      <c r="C11951" s="238"/>
      <c r="E11951" s="545"/>
      <c r="F11951" s="546"/>
      <c r="G11951" s="234"/>
      <c r="H11951" s="238"/>
      <c r="I11951" s="237"/>
    </row>
    <row r="11952" spans="1:9" s="232" customFormat="1" ht="17" customHeight="1">
      <c r="A11952" s="234"/>
      <c r="B11952" s="233"/>
      <c r="C11952" s="238"/>
      <c r="E11952" s="545"/>
      <c r="F11952" s="546"/>
      <c r="G11952" s="234"/>
      <c r="H11952" s="238"/>
      <c r="I11952" s="237"/>
    </row>
    <row r="11953" spans="1:9" s="232" customFormat="1" ht="17" customHeight="1">
      <c r="A11953" s="234"/>
      <c r="B11953" s="233"/>
      <c r="C11953" s="238"/>
      <c r="E11953" s="545"/>
      <c r="F11953" s="546"/>
      <c r="G11953" s="234"/>
      <c r="H11953" s="238"/>
      <c r="I11953" s="237"/>
    </row>
    <row r="11954" spans="1:9" s="232" customFormat="1" ht="17" customHeight="1">
      <c r="A11954" s="234"/>
      <c r="B11954" s="233"/>
      <c r="C11954" s="238"/>
      <c r="E11954" s="545"/>
      <c r="F11954" s="546"/>
      <c r="G11954" s="234"/>
      <c r="H11954" s="238"/>
      <c r="I11954" s="237"/>
    </row>
    <row r="11955" spans="1:9" s="232" customFormat="1" ht="17" customHeight="1">
      <c r="A11955" s="234"/>
      <c r="B11955" s="233"/>
      <c r="C11955" s="238"/>
      <c r="E11955" s="545"/>
      <c r="F11955" s="546"/>
      <c r="G11955" s="234"/>
      <c r="H11955" s="238"/>
      <c r="I11955" s="237"/>
    </row>
    <row r="11956" spans="1:9" s="232" customFormat="1" ht="17" customHeight="1">
      <c r="A11956" s="234"/>
      <c r="B11956" s="233"/>
      <c r="C11956" s="238"/>
      <c r="E11956" s="545"/>
      <c r="F11956" s="546"/>
      <c r="G11956" s="234"/>
      <c r="H11956" s="238"/>
      <c r="I11956" s="237"/>
    </row>
    <row r="11957" spans="1:9" s="232" customFormat="1" ht="17" customHeight="1">
      <c r="A11957" s="234"/>
      <c r="B11957" s="233"/>
      <c r="C11957" s="238"/>
      <c r="E11957" s="545"/>
      <c r="F11957" s="546"/>
      <c r="G11957" s="234"/>
      <c r="H11957" s="238"/>
      <c r="I11957" s="237"/>
    </row>
    <row r="11958" spans="1:9" s="232" customFormat="1" ht="17" customHeight="1">
      <c r="A11958" s="234"/>
      <c r="B11958" s="233"/>
      <c r="C11958" s="238"/>
      <c r="E11958" s="545"/>
      <c r="F11958" s="546"/>
      <c r="G11958" s="234"/>
      <c r="H11958" s="238"/>
      <c r="I11958" s="237"/>
    </row>
    <row r="11959" spans="1:9" s="232" customFormat="1" ht="17" customHeight="1">
      <c r="A11959" s="234"/>
      <c r="B11959" s="233"/>
      <c r="C11959" s="238"/>
      <c r="E11959" s="545"/>
      <c r="F11959" s="546"/>
      <c r="G11959" s="234"/>
      <c r="H11959" s="238"/>
      <c r="I11959" s="237"/>
    </row>
    <row r="11960" spans="1:9" s="232" customFormat="1" ht="17" customHeight="1">
      <c r="A11960" s="234"/>
      <c r="B11960" s="233"/>
      <c r="C11960" s="238"/>
      <c r="E11960" s="545"/>
      <c r="F11960" s="546"/>
      <c r="G11960" s="234"/>
      <c r="H11960" s="238"/>
      <c r="I11960" s="237"/>
    </row>
    <row r="11961" spans="1:9" s="232" customFormat="1" ht="17" customHeight="1">
      <c r="A11961" s="234"/>
      <c r="B11961" s="233"/>
      <c r="C11961" s="238"/>
      <c r="E11961" s="545"/>
      <c r="F11961" s="546"/>
      <c r="G11961" s="234"/>
      <c r="H11961" s="238"/>
      <c r="I11961" s="237"/>
    </row>
    <row r="11962" spans="1:9" s="232" customFormat="1" ht="17" customHeight="1">
      <c r="A11962" s="234"/>
      <c r="B11962" s="233"/>
      <c r="C11962" s="238"/>
      <c r="E11962" s="545"/>
      <c r="F11962" s="546"/>
      <c r="G11962" s="234"/>
      <c r="H11962" s="238"/>
      <c r="I11962" s="237"/>
    </row>
    <row r="11963" spans="1:9" s="232" customFormat="1" ht="17" customHeight="1">
      <c r="A11963" s="234"/>
      <c r="B11963" s="233"/>
      <c r="C11963" s="238"/>
      <c r="E11963" s="545"/>
      <c r="F11963" s="546"/>
      <c r="G11963" s="234"/>
      <c r="H11963" s="238"/>
      <c r="I11963" s="237"/>
    </row>
    <row r="11964" spans="1:9" s="232" customFormat="1" ht="17" customHeight="1">
      <c r="A11964" s="234"/>
      <c r="B11964" s="233"/>
      <c r="C11964" s="238"/>
      <c r="E11964" s="545"/>
      <c r="F11964" s="546"/>
      <c r="G11964" s="234"/>
      <c r="H11964" s="238"/>
      <c r="I11964" s="237"/>
    </row>
    <row r="11965" spans="1:9" s="232" customFormat="1" ht="17" customHeight="1">
      <c r="A11965" s="234"/>
      <c r="B11965" s="233"/>
      <c r="C11965" s="238"/>
      <c r="E11965" s="545"/>
      <c r="F11965" s="546"/>
      <c r="G11965" s="234"/>
      <c r="H11965" s="238"/>
      <c r="I11965" s="237"/>
    </row>
    <row r="11966" spans="1:9" s="232" customFormat="1" ht="17" customHeight="1">
      <c r="A11966" s="234"/>
      <c r="B11966" s="233"/>
      <c r="C11966" s="238"/>
      <c r="E11966" s="545"/>
      <c r="F11966" s="546"/>
      <c r="G11966" s="234"/>
      <c r="H11966" s="238"/>
      <c r="I11966" s="237"/>
    </row>
    <row r="11967" spans="1:9" s="232" customFormat="1" ht="17" customHeight="1">
      <c r="A11967" s="234"/>
      <c r="B11967" s="233"/>
      <c r="C11967" s="238"/>
      <c r="E11967" s="545"/>
      <c r="F11967" s="546"/>
      <c r="G11967" s="234"/>
      <c r="H11967" s="238"/>
      <c r="I11967" s="237"/>
    </row>
    <row r="11968" spans="1:9" s="232" customFormat="1" ht="17" customHeight="1">
      <c r="A11968" s="234"/>
      <c r="B11968" s="233"/>
      <c r="C11968" s="238"/>
      <c r="E11968" s="545"/>
      <c r="F11968" s="546"/>
      <c r="G11968" s="234"/>
      <c r="H11968" s="238"/>
      <c r="I11968" s="237"/>
    </row>
    <row r="11969" spans="1:9" s="232" customFormat="1" ht="17" customHeight="1">
      <c r="A11969" s="234"/>
      <c r="B11969" s="233"/>
      <c r="C11969" s="238"/>
      <c r="E11969" s="545"/>
      <c r="F11969" s="546"/>
      <c r="G11969" s="234"/>
      <c r="H11969" s="238"/>
      <c r="I11969" s="237"/>
    </row>
    <row r="11970" spans="1:9" s="232" customFormat="1" ht="17" customHeight="1">
      <c r="A11970" s="234"/>
      <c r="B11970" s="233"/>
      <c r="C11970" s="238"/>
      <c r="E11970" s="545"/>
      <c r="F11970" s="546"/>
      <c r="G11970" s="234"/>
      <c r="H11970" s="238"/>
      <c r="I11970" s="237"/>
    </row>
    <row r="11971" spans="1:9" s="232" customFormat="1" ht="17" customHeight="1">
      <c r="A11971" s="234"/>
      <c r="B11971" s="233"/>
      <c r="C11971" s="238"/>
      <c r="E11971" s="545"/>
      <c r="F11971" s="546"/>
      <c r="G11971" s="234"/>
      <c r="H11971" s="238"/>
      <c r="I11971" s="237"/>
    </row>
    <row r="11972" spans="1:9" s="232" customFormat="1" ht="17" customHeight="1">
      <c r="A11972" s="234"/>
      <c r="B11972" s="233"/>
      <c r="C11972" s="238"/>
      <c r="E11972" s="545"/>
      <c r="F11972" s="546"/>
      <c r="G11972" s="234"/>
      <c r="H11972" s="238"/>
      <c r="I11972" s="237"/>
    </row>
    <row r="11973" spans="1:9" s="232" customFormat="1" ht="17" customHeight="1">
      <c r="A11973" s="234"/>
      <c r="B11973" s="233"/>
      <c r="C11973" s="238"/>
      <c r="E11973" s="545"/>
      <c r="F11973" s="546"/>
      <c r="G11973" s="234"/>
      <c r="H11973" s="238"/>
      <c r="I11973" s="237"/>
    </row>
    <row r="11974" spans="1:9" s="232" customFormat="1" ht="17" customHeight="1">
      <c r="A11974" s="234"/>
      <c r="B11974" s="233"/>
      <c r="C11974" s="238"/>
      <c r="E11974" s="545"/>
      <c r="F11974" s="546"/>
      <c r="G11974" s="234"/>
      <c r="H11974" s="238"/>
      <c r="I11974" s="237"/>
    </row>
    <row r="11975" spans="1:9" s="232" customFormat="1" ht="17" customHeight="1">
      <c r="A11975" s="234"/>
      <c r="B11975" s="233"/>
      <c r="C11975" s="238"/>
      <c r="E11975" s="545"/>
      <c r="F11975" s="546"/>
      <c r="G11975" s="234"/>
      <c r="H11975" s="238"/>
      <c r="I11975" s="237"/>
    </row>
    <row r="11976" spans="1:9" s="232" customFormat="1" ht="17" customHeight="1">
      <c r="A11976" s="234"/>
      <c r="B11976" s="233"/>
      <c r="C11976" s="238"/>
      <c r="E11976" s="545"/>
      <c r="F11976" s="546"/>
      <c r="G11976" s="234"/>
      <c r="H11976" s="238"/>
      <c r="I11976" s="237"/>
    </row>
    <row r="11977" spans="1:9" s="232" customFormat="1" ht="17" customHeight="1">
      <c r="A11977" s="234"/>
      <c r="B11977" s="233"/>
      <c r="C11977" s="238"/>
      <c r="E11977" s="545"/>
      <c r="F11977" s="546"/>
      <c r="G11977" s="234"/>
      <c r="H11977" s="238"/>
      <c r="I11977" s="237"/>
    </row>
    <row r="11978" spans="1:9" s="232" customFormat="1" ht="17" customHeight="1">
      <c r="A11978" s="234"/>
      <c r="B11978" s="233"/>
      <c r="C11978" s="238"/>
      <c r="E11978" s="545"/>
      <c r="F11978" s="546"/>
      <c r="G11978" s="234"/>
      <c r="H11978" s="238"/>
      <c r="I11978" s="237"/>
    </row>
    <row r="11979" spans="1:9" s="232" customFormat="1" ht="17" customHeight="1">
      <c r="A11979" s="234"/>
      <c r="B11979" s="233"/>
      <c r="C11979" s="238"/>
      <c r="E11979" s="545"/>
      <c r="F11979" s="546"/>
      <c r="G11979" s="234"/>
      <c r="H11979" s="238"/>
      <c r="I11979" s="237"/>
    </row>
    <row r="11980" spans="1:9" s="232" customFormat="1" ht="17" customHeight="1">
      <c r="A11980" s="234"/>
      <c r="B11980" s="233"/>
      <c r="C11980" s="238"/>
      <c r="E11980" s="545"/>
      <c r="F11980" s="546"/>
      <c r="G11980" s="234"/>
      <c r="H11980" s="238"/>
      <c r="I11980" s="237"/>
    </row>
    <row r="11981" spans="1:9" s="232" customFormat="1" ht="17" customHeight="1">
      <c r="A11981" s="234"/>
      <c r="B11981" s="233"/>
      <c r="C11981" s="238"/>
      <c r="E11981" s="545"/>
      <c r="F11981" s="546"/>
      <c r="G11981" s="234"/>
      <c r="H11981" s="238"/>
      <c r="I11981" s="237"/>
    </row>
    <row r="11982" spans="1:9" s="232" customFormat="1" ht="17" customHeight="1">
      <c r="A11982" s="234"/>
      <c r="B11982" s="233"/>
      <c r="C11982" s="238"/>
      <c r="E11982" s="545"/>
      <c r="F11982" s="546"/>
      <c r="G11982" s="234"/>
      <c r="H11982" s="238"/>
      <c r="I11982" s="237"/>
    </row>
    <row r="11983" spans="1:9" s="232" customFormat="1" ht="17" customHeight="1">
      <c r="A11983" s="234"/>
      <c r="B11983" s="233"/>
      <c r="C11983" s="238"/>
      <c r="E11983" s="545"/>
      <c r="F11983" s="546"/>
      <c r="G11983" s="234"/>
      <c r="H11983" s="238"/>
      <c r="I11983" s="237"/>
    </row>
    <row r="11984" spans="1:9" s="232" customFormat="1" ht="17" customHeight="1">
      <c r="A11984" s="234"/>
      <c r="B11984" s="233"/>
      <c r="C11984" s="238"/>
      <c r="E11984" s="545"/>
      <c r="F11984" s="546"/>
      <c r="G11984" s="234"/>
      <c r="H11984" s="238"/>
      <c r="I11984" s="237"/>
    </row>
    <row r="11985" spans="1:9" s="232" customFormat="1" ht="17" customHeight="1">
      <c r="A11985" s="234"/>
      <c r="B11985" s="233"/>
      <c r="C11985" s="238"/>
      <c r="E11985" s="545"/>
      <c r="F11985" s="546"/>
      <c r="G11985" s="234"/>
      <c r="H11985" s="238"/>
      <c r="I11985" s="237"/>
    </row>
    <row r="11986" spans="1:9" s="232" customFormat="1" ht="17" customHeight="1">
      <c r="A11986" s="234"/>
      <c r="B11986" s="233"/>
      <c r="C11986" s="238"/>
      <c r="E11986" s="545"/>
      <c r="F11986" s="546"/>
      <c r="G11986" s="234"/>
      <c r="H11986" s="238"/>
      <c r="I11986" s="237"/>
    </row>
    <row r="11987" spans="1:9" s="232" customFormat="1" ht="17" customHeight="1">
      <c r="A11987" s="234"/>
      <c r="B11987" s="233"/>
      <c r="C11987" s="238"/>
      <c r="E11987" s="545"/>
      <c r="F11987" s="546"/>
      <c r="G11987" s="234"/>
      <c r="H11987" s="238"/>
      <c r="I11987" s="237"/>
    </row>
    <row r="11988" spans="1:9" s="232" customFormat="1" ht="17" customHeight="1">
      <c r="A11988" s="234"/>
      <c r="B11988" s="233"/>
      <c r="C11988" s="238"/>
      <c r="E11988" s="545"/>
      <c r="F11988" s="546"/>
      <c r="G11988" s="234"/>
      <c r="H11988" s="238"/>
      <c r="I11988" s="237"/>
    </row>
    <row r="11989" spans="1:9" s="232" customFormat="1" ht="17" customHeight="1">
      <c r="A11989" s="234"/>
      <c r="B11989" s="233"/>
      <c r="C11989" s="238"/>
      <c r="E11989" s="545"/>
      <c r="F11989" s="546"/>
      <c r="G11989" s="234"/>
      <c r="H11989" s="238"/>
      <c r="I11989" s="237"/>
    </row>
    <row r="11990" spans="1:9" s="232" customFormat="1" ht="17" customHeight="1">
      <c r="A11990" s="234"/>
      <c r="B11990" s="233"/>
      <c r="C11990" s="238"/>
      <c r="E11990" s="545"/>
      <c r="F11990" s="546"/>
      <c r="G11990" s="234"/>
      <c r="H11990" s="238"/>
      <c r="I11990" s="237"/>
    </row>
    <row r="11991" spans="1:9" s="232" customFormat="1" ht="17" customHeight="1">
      <c r="A11991" s="234"/>
      <c r="B11991" s="233"/>
      <c r="C11991" s="238"/>
      <c r="E11991" s="545"/>
      <c r="F11991" s="546"/>
      <c r="G11991" s="234"/>
      <c r="H11991" s="238"/>
      <c r="I11991" s="237"/>
    </row>
    <row r="11992" spans="1:9" s="232" customFormat="1" ht="17" customHeight="1">
      <c r="A11992" s="234"/>
      <c r="B11992" s="233"/>
      <c r="C11992" s="238"/>
      <c r="E11992" s="545"/>
      <c r="F11992" s="546"/>
      <c r="G11992" s="234"/>
      <c r="H11992" s="238"/>
      <c r="I11992" s="237"/>
    </row>
    <row r="11993" spans="1:9" s="232" customFormat="1" ht="17" customHeight="1">
      <c r="A11993" s="234"/>
      <c r="B11993" s="233"/>
      <c r="C11993" s="238"/>
      <c r="E11993" s="545"/>
      <c r="F11993" s="546"/>
      <c r="G11993" s="234"/>
      <c r="H11993" s="238"/>
      <c r="I11993" s="237"/>
    </row>
    <row r="11994" spans="1:9" s="232" customFormat="1" ht="17" customHeight="1">
      <c r="A11994" s="234"/>
      <c r="B11994" s="233"/>
      <c r="C11994" s="238"/>
      <c r="E11994" s="545"/>
      <c r="F11994" s="546"/>
      <c r="G11994" s="234"/>
      <c r="H11994" s="238"/>
      <c r="I11994" s="237"/>
    </row>
    <row r="11995" spans="1:9" s="232" customFormat="1" ht="17" customHeight="1">
      <c r="A11995" s="234"/>
      <c r="B11995" s="233"/>
      <c r="C11995" s="238"/>
      <c r="E11995" s="545"/>
      <c r="F11995" s="546"/>
      <c r="G11995" s="234"/>
      <c r="H11995" s="238"/>
      <c r="I11995" s="237"/>
    </row>
    <row r="11996" spans="1:9" s="232" customFormat="1" ht="17" customHeight="1">
      <c r="A11996" s="234"/>
      <c r="B11996" s="233"/>
      <c r="C11996" s="238"/>
      <c r="E11996" s="545"/>
      <c r="F11996" s="546"/>
      <c r="G11996" s="234"/>
      <c r="H11996" s="238"/>
      <c r="I11996" s="237"/>
    </row>
    <row r="11997" spans="1:9" s="232" customFormat="1" ht="17" customHeight="1">
      <c r="A11997" s="234"/>
      <c r="B11997" s="233"/>
      <c r="C11997" s="238"/>
      <c r="E11997" s="545"/>
      <c r="F11997" s="546"/>
      <c r="G11997" s="234"/>
      <c r="H11997" s="238"/>
      <c r="I11997" s="237"/>
    </row>
    <row r="11998" spans="1:9" s="232" customFormat="1" ht="17" customHeight="1">
      <c r="A11998" s="234"/>
      <c r="B11998" s="233"/>
      <c r="C11998" s="238"/>
      <c r="E11998" s="545"/>
      <c r="F11998" s="546"/>
      <c r="G11998" s="234"/>
      <c r="H11998" s="238"/>
      <c r="I11998" s="237"/>
    </row>
    <row r="11999" spans="1:9" s="232" customFormat="1" ht="17" customHeight="1">
      <c r="A11999" s="234"/>
      <c r="B11999" s="233"/>
      <c r="C11999" s="238"/>
      <c r="E11999" s="545"/>
      <c r="F11999" s="546"/>
      <c r="G11999" s="234"/>
      <c r="H11999" s="238"/>
      <c r="I11999" s="237"/>
    </row>
    <row r="12000" spans="1:9" s="232" customFormat="1" ht="17" customHeight="1">
      <c r="A12000" s="234"/>
      <c r="B12000" s="233"/>
      <c r="C12000" s="238"/>
      <c r="E12000" s="545"/>
      <c r="F12000" s="546"/>
      <c r="G12000" s="234"/>
      <c r="H12000" s="238"/>
      <c r="I12000" s="237"/>
    </row>
    <row r="12001" spans="1:9" s="232" customFormat="1" ht="17" customHeight="1">
      <c r="A12001" s="234"/>
      <c r="B12001" s="233"/>
      <c r="C12001" s="238"/>
      <c r="E12001" s="545"/>
      <c r="F12001" s="546"/>
      <c r="G12001" s="234"/>
      <c r="H12001" s="238"/>
      <c r="I12001" s="237"/>
    </row>
    <row r="12002" spans="1:9" s="232" customFormat="1" ht="17" customHeight="1">
      <c r="A12002" s="234"/>
      <c r="B12002" s="233"/>
      <c r="C12002" s="238"/>
      <c r="E12002" s="545"/>
      <c r="F12002" s="546"/>
      <c r="G12002" s="234"/>
      <c r="H12002" s="238"/>
      <c r="I12002" s="237"/>
    </row>
    <row r="12003" spans="1:9" s="232" customFormat="1" ht="17" customHeight="1">
      <c r="A12003" s="234"/>
      <c r="B12003" s="233"/>
      <c r="C12003" s="238"/>
      <c r="E12003" s="545"/>
      <c r="F12003" s="546"/>
      <c r="G12003" s="234"/>
      <c r="H12003" s="238"/>
      <c r="I12003" s="237"/>
    </row>
    <row r="12004" spans="1:9" s="232" customFormat="1" ht="17" customHeight="1">
      <c r="A12004" s="234"/>
      <c r="B12004" s="233"/>
      <c r="C12004" s="238"/>
      <c r="E12004" s="545"/>
      <c r="F12004" s="546"/>
      <c r="G12004" s="234"/>
      <c r="H12004" s="238"/>
      <c r="I12004" s="237"/>
    </row>
    <row r="12005" spans="1:9" s="232" customFormat="1" ht="17" customHeight="1">
      <c r="A12005" s="234"/>
      <c r="B12005" s="233"/>
      <c r="C12005" s="238"/>
      <c r="E12005" s="545"/>
      <c r="F12005" s="546"/>
      <c r="G12005" s="234"/>
      <c r="H12005" s="238"/>
      <c r="I12005" s="237"/>
    </row>
    <row r="12006" spans="1:9" s="232" customFormat="1" ht="17" customHeight="1">
      <c r="A12006" s="234"/>
      <c r="B12006" s="233"/>
      <c r="C12006" s="238"/>
      <c r="E12006" s="545"/>
      <c r="F12006" s="546"/>
      <c r="G12006" s="234"/>
      <c r="H12006" s="238"/>
      <c r="I12006" s="237"/>
    </row>
    <row r="12007" spans="1:9" s="232" customFormat="1" ht="17" customHeight="1">
      <c r="A12007" s="234"/>
      <c r="B12007" s="233"/>
      <c r="C12007" s="238"/>
      <c r="E12007" s="545"/>
      <c r="F12007" s="546"/>
      <c r="G12007" s="234"/>
      <c r="H12007" s="238"/>
      <c r="I12007" s="237"/>
    </row>
    <row r="12008" spans="1:9" s="232" customFormat="1" ht="17" customHeight="1">
      <c r="A12008" s="234"/>
      <c r="B12008" s="233"/>
      <c r="C12008" s="238"/>
      <c r="E12008" s="545"/>
      <c r="F12008" s="546"/>
      <c r="G12008" s="234"/>
      <c r="H12008" s="238"/>
      <c r="I12008" s="237"/>
    </row>
    <row r="12009" spans="1:9" s="232" customFormat="1" ht="17" customHeight="1">
      <c r="A12009" s="234"/>
      <c r="B12009" s="233"/>
      <c r="C12009" s="238"/>
      <c r="E12009" s="545"/>
      <c r="F12009" s="546"/>
      <c r="G12009" s="234"/>
      <c r="H12009" s="238"/>
      <c r="I12009" s="237"/>
    </row>
    <row r="12010" spans="1:9" s="232" customFormat="1" ht="17" customHeight="1">
      <c r="A12010" s="234"/>
      <c r="B12010" s="233"/>
      <c r="C12010" s="238"/>
      <c r="E12010" s="545"/>
      <c r="F12010" s="546"/>
      <c r="G12010" s="234"/>
      <c r="H12010" s="238"/>
      <c r="I12010" s="237"/>
    </row>
    <row r="12011" spans="1:9" s="232" customFormat="1" ht="17" customHeight="1">
      <c r="A12011" s="234"/>
      <c r="B12011" s="233"/>
      <c r="C12011" s="238"/>
      <c r="E12011" s="545"/>
      <c r="F12011" s="546"/>
      <c r="G12011" s="234"/>
      <c r="H12011" s="238"/>
      <c r="I12011" s="237"/>
    </row>
    <row r="12012" spans="1:9" s="232" customFormat="1" ht="17" customHeight="1">
      <c r="A12012" s="234"/>
      <c r="B12012" s="233"/>
      <c r="C12012" s="238"/>
      <c r="E12012" s="545"/>
      <c r="F12012" s="546"/>
      <c r="G12012" s="234"/>
      <c r="H12012" s="238"/>
      <c r="I12012" s="237"/>
    </row>
    <row r="12013" spans="1:9" s="232" customFormat="1" ht="17" customHeight="1">
      <c r="A12013" s="234"/>
      <c r="B12013" s="233"/>
      <c r="C12013" s="238"/>
      <c r="E12013" s="545"/>
      <c r="F12013" s="546"/>
      <c r="G12013" s="234"/>
      <c r="H12013" s="238"/>
      <c r="I12013" s="237"/>
    </row>
    <row r="12014" spans="1:9" s="232" customFormat="1" ht="17" customHeight="1">
      <c r="A12014" s="234"/>
      <c r="B12014" s="233"/>
      <c r="C12014" s="238"/>
      <c r="E12014" s="545"/>
      <c r="F12014" s="546"/>
      <c r="G12014" s="234"/>
      <c r="H12014" s="238"/>
      <c r="I12014" s="237"/>
    </row>
    <row r="12015" spans="1:9" s="232" customFormat="1" ht="17" customHeight="1">
      <c r="A12015" s="234"/>
      <c r="B12015" s="233"/>
      <c r="C12015" s="238"/>
      <c r="E12015" s="545"/>
      <c r="F12015" s="546"/>
      <c r="G12015" s="234"/>
      <c r="H12015" s="238"/>
      <c r="I12015" s="237"/>
    </row>
    <row r="12016" spans="1:9" s="232" customFormat="1" ht="17" customHeight="1">
      <c r="A12016" s="234"/>
      <c r="B12016" s="233"/>
      <c r="C12016" s="238"/>
      <c r="E12016" s="545"/>
      <c r="F12016" s="546"/>
      <c r="G12016" s="234"/>
      <c r="H12016" s="238"/>
      <c r="I12016" s="237"/>
    </row>
    <row r="12017" spans="1:9" s="232" customFormat="1" ht="17" customHeight="1">
      <c r="A12017" s="234"/>
      <c r="B12017" s="233"/>
      <c r="C12017" s="238"/>
      <c r="E12017" s="545"/>
      <c r="F12017" s="546"/>
      <c r="G12017" s="234"/>
      <c r="H12017" s="238"/>
      <c r="I12017" s="237"/>
    </row>
    <row r="12018" spans="1:9" s="232" customFormat="1" ht="17" customHeight="1">
      <c r="A12018" s="234"/>
      <c r="B12018" s="233"/>
      <c r="C12018" s="238"/>
      <c r="E12018" s="545"/>
      <c r="F12018" s="546"/>
      <c r="G12018" s="234"/>
      <c r="H12018" s="238"/>
      <c r="I12018" s="237"/>
    </row>
    <row r="12019" spans="1:9" s="232" customFormat="1" ht="17" customHeight="1">
      <c r="A12019" s="234"/>
      <c r="B12019" s="233"/>
      <c r="C12019" s="238"/>
      <c r="E12019" s="545"/>
      <c r="F12019" s="546"/>
      <c r="G12019" s="234"/>
      <c r="H12019" s="238"/>
      <c r="I12019" s="237"/>
    </row>
    <row r="12020" spans="1:9" s="232" customFormat="1" ht="17" customHeight="1">
      <c r="A12020" s="234"/>
      <c r="B12020" s="233"/>
      <c r="C12020" s="238"/>
      <c r="E12020" s="545"/>
      <c r="F12020" s="546"/>
      <c r="G12020" s="234"/>
      <c r="H12020" s="238"/>
      <c r="I12020" s="237"/>
    </row>
    <row r="12021" spans="1:9" s="232" customFormat="1" ht="17" customHeight="1">
      <c r="A12021" s="234"/>
      <c r="B12021" s="233"/>
      <c r="C12021" s="238"/>
      <c r="E12021" s="545"/>
      <c r="F12021" s="546"/>
      <c r="G12021" s="234"/>
      <c r="H12021" s="238"/>
      <c r="I12021" s="237"/>
    </row>
    <row r="12022" spans="1:9" s="232" customFormat="1" ht="17" customHeight="1">
      <c r="A12022" s="234"/>
      <c r="B12022" s="233"/>
      <c r="C12022" s="238"/>
      <c r="E12022" s="545"/>
      <c r="F12022" s="546"/>
      <c r="G12022" s="234"/>
      <c r="H12022" s="238"/>
      <c r="I12022" s="237"/>
    </row>
    <row r="12023" spans="1:9" s="232" customFormat="1" ht="17" customHeight="1">
      <c r="A12023" s="234"/>
      <c r="B12023" s="233"/>
      <c r="C12023" s="238"/>
      <c r="E12023" s="545"/>
      <c r="F12023" s="546"/>
      <c r="G12023" s="234"/>
      <c r="H12023" s="238"/>
      <c r="I12023" s="237"/>
    </row>
    <row r="12024" spans="1:9" s="232" customFormat="1" ht="17" customHeight="1">
      <c r="A12024" s="234"/>
      <c r="B12024" s="233"/>
      <c r="C12024" s="238"/>
      <c r="E12024" s="545"/>
      <c r="F12024" s="546"/>
      <c r="G12024" s="234"/>
      <c r="H12024" s="238"/>
      <c r="I12024" s="237"/>
    </row>
    <row r="12025" spans="1:9" s="232" customFormat="1" ht="17" customHeight="1">
      <c r="A12025" s="234"/>
      <c r="B12025" s="233"/>
      <c r="C12025" s="238"/>
      <c r="E12025" s="545"/>
      <c r="F12025" s="546"/>
      <c r="G12025" s="234"/>
      <c r="H12025" s="238"/>
      <c r="I12025" s="237"/>
    </row>
    <row r="12026" spans="1:9" s="232" customFormat="1" ht="17" customHeight="1">
      <c r="A12026" s="234"/>
      <c r="B12026" s="233"/>
      <c r="C12026" s="238"/>
      <c r="E12026" s="545"/>
      <c r="F12026" s="546"/>
      <c r="G12026" s="234"/>
      <c r="H12026" s="238"/>
      <c r="I12026" s="237"/>
    </row>
    <row r="12027" spans="1:9" s="232" customFormat="1" ht="17" customHeight="1">
      <c r="A12027" s="234"/>
      <c r="B12027" s="233"/>
      <c r="C12027" s="238"/>
      <c r="E12027" s="545"/>
      <c r="F12027" s="546"/>
      <c r="G12027" s="234"/>
      <c r="H12027" s="238"/>
      <c r="I12027" s="237"/>
    </row>
    <row r="12028" spans="1:9" s="232" customFormat="1" ht="17" customHeight="1">
      <c r="A12028" s="234"/>
      <c r="B12028" s="233"/>
      <c r="C12028" s="238"/>
      <c r="E12028" s="545"/>
      <c r="F12028" s="546"/>
      <c r="G12028" s="234"/>
      <c r="H12028" s="238"/>
      <c r="I12028" s="237"/>
    </row>
    <row r="12029" spans="1:9" s="232" customFormat="1" ht="17" customHeight="1">
      <c r="A12029" s="234"/>
      <c r="B12029" s="233"/>
      <c r="C12029" s="238"/>
      <c r="E12029" s="545"/>
      <c r="F12029" s="546"/>
      <c r="G12029" s="234"/>
      <c r="H12029" s="238"/>
      <c r="I12029" s="237"/>
    </row>
    <row r="12030" spans="1:9" s="232" customFormat="1" ht="17" customHeight="1">
      <c r="A12030" s="234"/>
      <c r="B12030" s="233"/>
      <c r="C12030" s="238"/>
      <c r="E12030" s="545"/>
      <c r="F12030" s="546"/>
      <c r="G12030" s="234"/>
      <c r="H12030" s="238"/>
      <c r="I12030" s="237"/>
    </row>
    <row r="12031" spans="1:9" s="232" customFormat="1" ht="17" customHeight="1">
      <c r="A12031" s="234"/>
      <c r="B12031" s="233"/>
      <c r="C12031" s="238"/>
      <c r="E12031" s="545"/>
      <c r="F12031" s="546"/>
      <c r="G12031" s="234"/>
      <c r="H12031" s="238"/>
      <c r="I12031" s="237"/>
    </row>
    <row r="12032" spans="1:9" s="232" customFormat="1" ht="17" customHeight="1">
      <c r="A12032" s="234"/>
      <c r="B12032" s="233"/>
      <c r="C12032" s="238"/>
      <c r="E12032" s="545"/>
      <c r="F12032" s="546"/>
      <c r="G12032" s="234"/>
      <c r="H12032" s="238"/>
      <c r="I12032" s="237"/>
    </row>
    <row r="12033" spans="1:9" s="232" customFormat="1" ht="17" customHeight="1">
      <c r="A12033" s="234"/>
      <c r="B12033" s="233"/>
      <c r="C12033" s="238"/>
      <c r="E12033" s="545"/>
      <c r="F12033" s="546"/>
      <c r="G12033" s="234"/>
      <c r="H12033" s="238"/>
      <c r="I12033" s="237"/>
    </row>
    <row r="12034" spans="1:9" s="232" customFormat="1" ht="17" customHeight="1">
      <c r="A12034" s="234"/>
      <c r="B12034" s="233"/>
      <c r="C12034" s="238"/>
      <c r="E12034" s="545"/>
      <c r="F12034" s="546"/>
      <c r="G12034" s="234"/>
      <c r="H12034" s="238"/>
      <c r="I12034" s="237"/>
    </row>
    <row r="12035" spans="1:9" s="232" customFormat="1" ht="17" customHeight="1">
      <c r="A12035" s="234"/>
      <c r="B12035" s="233"/>
      <c r="C12035" s="238"/>
      <c r="E12035" s="545"/>
      <c r="F12035" s="546"/>
      <c r="G12035" s="234"/>
      <c r="H12035" s="238"/>
      <c r="I12035" s="237"/>
    </row>
    <row r="12036" spans="1:9" s="232" customFormat="1" ht="17" customHeight="1">
      <c r="A12036" s="234"/>
      <c r="B12036" s="233"/>
      <c r="C12036" s="238"/>
      <c r="E12036" s="545"/>
      <c r="F12036" s="546"/>
      <c r="G12036" s="234"/>
      <c r="H12036" s="238"/>
      <c r="I12036" s="237"/>
    </row>
    <row r="12037" spans="1:9" s="232" customFormat="1" ht="17" customHeight="1">
      <c r="A12037" s="234"/>
      <c r="B12037" s="233"/>
      <c r="C12037" s="238"/>
      <c r="E12037" s="545"/>
      <c r="F12037" s="546"/>
      <c r="G12037" s="234"/>
      <c r="H12037" s="238"/>
      <c r="I12037" s="237"/>
    </row>
    <row r="12038" spans="1:9" s="232" customFormat="1" ht="17" customHeight="1">
      <c r="A12038" s="234"/>
      <c r="B12038" s="233"/>
      <c r="C12038" s="238"/>
      <c r="E12038" s="545"/>
      <c r="F12038" s="546"/>
      <c r="G12038" s="234"/>
      <c r="H12038" s="238"/>
      <c r="I12038" s="237"/>
    </row>
    <row r="12039" spans="1:9" s="232" customFormat="1" ht="17" customHeight="1">
      <c r="A12039" s="234"/>
      <c r="B12039" s="233"/>
      <c r="C12039" s="238"/>
      <c r="E12039" s="545"/>
      <c r="F12039" s="546"/>
      <c r="G12039" s="234"/>
      <c r="H12039" s="238"/>
      <c r="I12039" s="237"/>
    </row>
    <row r="12040" spans="1:9" s="232" customFormat="1" ht="17" customHeight="1">
      <c r="A12040" s="234"/>
      <c r="B12040" s="233"/>
      <c r="C12040" s="238"/>
      <c r="E12040" s="545"/>
      <c r="F12040" s="546"/>
      <c r="G12040" s="234"/>
      <c r="H12040" s="238"/>
      <c r="I12040" s="237"/>
    </row>
    <row r="12041" spans="1:9" s="232" customFormat="1" ht="17" customHeight="1">
      <c r="A12041" s="234"/>
      <c r="B12041" s="233"/>
      <c r="C12041" s="238"/>
      <c r="E12041" s="545"/>
      <c r="F12041" s="546"/>
      <c r="G12041" s="234"/>
      <c r="H12041" s="238"/>
      <c r="I12041" s="237"/>
    </row>
    <row r="12042" spans="1:9" s="232" customFormat="1" ht="17" customHeight="1">
      <c r="A12042" s="234"/>
      <c r="B12042" s="233"/>
      <c r="C12042" s="238"/>
      <c r="E12042" s="545"/>
      <c r="F12042" s="546"/>
      <c r="G12042" s="234"/>
      <c r="H12042" s="238"/>
      <c r="I12042" s="237"/>
    </row>
    <row r="12043" spans="1:9" s="232" customFormat="1" ht="17" customHeight="1">
      <c r="A12043" s="234"/>
      <c r="B12043" s="233"/>
      <c r="C12043" s="238"/>
      <c r="E12043" s="545"/>
      <c r="F12043" s="546"/>
      <c r="G12043" s="234"/>
      <c r="H12043" s="238"/>
      <c r="I12043" s="237"/>
    </row>
    <row r="12044" spans="1:9" s="232" customFormat="1" ht="17" customHeight="1">
      <c r="A12044" s="234"/>
      <c r="B12044" s="233"/>
      <c r="C12044" s="238"/>
      <c r="E12044" s="545"/>
      <c r="F12044" s="546"/>
      <c r="G12044" s="234"/>
      <c r="H12044" s="238"/>
      <c r="I12044" s="237"/>
    </row>
    <row r="12045" spans="1:9" s="232" customFormat="1" ht="17" customHeight="1">
      <c r="A12045" s="234"/>
      <c r="B12045" s="233"/>
      <c r="C12045" s="238"/>
      <c r="E12045" s="545"/>
      <c r="F12045" s="546"/>
      <c r="G12045" s="234"/>
      <c r="H12045" s="238"/>
      <c r="I12045" s="237"/>
    </row>
    <row r="12046" spans="1:9" s="232" customFormat="1" ht="17" customHeight="1">
      <c r="A12046" s="234"/>
      <c r="B12046" s="233"/>
      <c r="C12046" s="238"/>
      <c r="E12046" s="545"/>
      <c r="F12046" s="546"/>
      <c r="G12046" s="234"/>
      <c r="H12046" s="238"/>
      <c r="I12046" s="237"/>
    </row>
    <row r="12047" spans="1:9" s="232" customFormat="1" ht="17" customHeight="1">
      <c r="A12047" s="234"/>
      <c r="B12047" s="233"/>
      <c r="C12047" s="238"/>
      <c r="E12047" s="545"/>
      <c r="F12047" s="546"/>
      <c r="G12047" s="234"/>
      <c r="H12047" s="238"/>
      <c r="I12047" s="237"/>
    </row>
    <row r="12048" spans="1:9" s="232" customFormat="1" ht="17" customHeight="1">
      <c r="A12048" s="234"/>
      <c r="B12048" s="233"/>
      <c r="C12048" s="238"/>
      <c r="E12048" s="545"/>
      <c r="F12048" s="546"/>
      <c r="G12048" s="234"/>
      <c r="H12048" s="238"/>
      <c r="I12048" s="237"/>
    </row>
    <row r="12049" spans="1:9" s="232" customFormat="1" ht="17" customHeight="1">
      <c r="A12049" s="234"/>
      <c r="B12049" s="233"/>
      <c r="C12049" s="238"/>
      <c r="E12049" s="545"/>
      <c r="F12049" s="546"/>
      <c r="G12049" s="234"/>
      <c r="H12049" s="238"/>
      <c r="I12049" s="237"/>
    </row>
    <row r="12050" spans="1:9" s="232" customFormat="1" ht="17" customHeight="1">
      <c r="A12050" s="234"/>
      <c r="B12050" s="233"/>
      <c r="C12050" s="238"/>
      <c r="E12050" s="545"/>
      <c r="F12050" s="546"/>
      <c r="G12050" s="234"/>
      <c r="H12050" s="238"/>
      <c r="I12050" s="237"/>
    </row>
    <row r="12051" spans="1:9" s="232" customFormat="1" ht="17" customHeight="1">
      <c r="A12051" s="234"/>
      <c r="B12051" s="233"/>
      <c r="C12051" s="238"/>
      <c r="E12051" s="545"/>
      <c r="F12051" s="546"/>
      <c r="G12051" s="234"/>
      <c r="H12051" s="238"/>
      <c r="I12051" s="237"/>
    </row>
    <row r="12052" spans="1:9" s="232" customFormat="1" ht="17" customHeight="1">
      <c r="A12052" s="234"/>
      <c r="B12052" s="233"/>
      <c r="C12052" s="238"/>
      <c r="E12052" s="545"/>
      <c r="F12052" s="546"/>
      <c r="G12052" s="234"/>
      <c r="H12052" s="238"/>
      <c r="I12052" s="237"/>
    </row>
    <row r="12053" spans="1:9" s="232" customFormat="1" ht="17" customHeight="1">
      <c r="A12053" s="234"/>
      <c r="B12053" s="233"/>
      <c r="C12053" s="238"/>
      <c r="E12053" s="545"/>
      <c r="F12053" s="546"/>
      <c r="G12053" s="234"/>
      <c r="H12053" s="238"/>
      <c r="I12053" s="237"/>
    </row>
    <row r="12054" spans="1:9" s="232" customFormat="1" ht="17" customHeight="1">
      <c r="A12054" s="234"/>
      <c r="B12054" s="233"/>
      <c r="C12054" s="238"/>
      <c r="E12054" s="545"/>
      <c r="F12054" s="546"/>
      <c r="G12054" s="234"/>
      <c r="H12054" s="238"/>
      <c r="I12054" s="237"/>
    </row>
    <row r="12055" spans="1:9" s="232" customFormat="1" ht="17" customHeight="1">
      <c r="A12055" s="234"/>
      <c r="B12055" s="233"/>
      <c r="C12055" s="238"/>
      <c r="E12055" s="545"/>
      <c r="F12055" s="546"/>
      <c r="G12055" s="234"/>
      <c r="H12055" s="238"/>
      <c r="I12055" s="237"/>
    </row>
    <row r="12056" spans="1:9" s="232" customFormat="1" ht="17" customHeight="1">
      <c r="A12056" s="234"/>
      <c r="B12056" s="233"/>
      <c r="C12056" s="238"/>
      <c r="E12056" s="545"/>
      <c r="F12056" s="546"/>
      <c r="G12056" s="234"/>
      <c r="H12056" s="238"/>
      <c r="I12056" s="237"/>
    </row>
    <row r="12057" spans="1:9" s="232" customFormat="1" ht="17" customHeight="1">
      <c r="A12057" s="234"/>
      <c r="B12057" s="233"/>
      <c r="C12057" s="238"/>
      <c r="E12057" s="545"/>
      <c r="F12057" s="546"/>
      <c r="G12057" s="234"/>
      <c r="H12057" s="238"/>
      <c r="I12057" s="237"/>
    </row>
    <row r="12058" spans="1:9" s="232" customFormat="1" ht="17" customHeight="1">
      <c r="A12058" s="234"/>
      <c r="B12058" s="233"/>
      <c r="C12058" s="238"/>
      <c r="E12058" s="545"/>
      <c r="F12058" s="546"/>
      <c r="G12058" s="234"/>
      <c r="H12058" s="238"/>
      <c r="I12058" s="237"/>
    </row>
    <row r="12059" spans="1:9" s="232" customFormat="1" ht="17" customHeight="1">
      <c r="A12059" s="234"/>
      <c r="B12059" s="233"/>
      <c r="C12059" s="238"/>
      <c r="E12059" s="545"/>
      <c r="F12059" s="546"/>
      <c r="G12059" s="234"/>
      <c r="H12059" s="238"/>
      <c r="I12059" s="237"/>
    </row>
    <row r="12060" spans="1:9" s="232" customFormat="1" ht="17" customHeight="1">
      <c r="A12060" s="234"/>
      <c r="B12060" s="233"/>
      <c r="C12060" s="238"/>
      <c r="E12060" s="545"/>
      <c r="F12060" s="546"/>
      <c r="G12060" s="234"/>
      <c r="H12060" s="238"/>
      <c r="I12060" s="237"/>
    </row>
    <row r="12061" spans="1:9" s="232" customFormat="1" ht="17" customHeight="1">
      <c r="A12061" s="234"/>
      <c r="B12061" s="233"/>
      <c r="C12061" s="238"/>
      <c r="E12061" s="545"/>
      <c r="F12061" s="546"/>
      <c r="G12061" s="234"/>
      <c r="H12061" s="238"/>
      <c r="I12061" s="237"/>
    </row>
    <row r="12062" spans="1:9" s="232" customFormat="1" ht="17" customHeight="1">
      <c r="A12062" s="234"/>
      <c r="B12062" s="233"/>
      <c r="C12062" s="238"/>
      <c r="E12062" s="545"/>
      <c r="F12062" s="546"/>
      <c r="G12062" s="234"/>
      <c r="H12062" s="238"/>
      <c r="I12062" s="237"/>
    </row>
    <row r="12063" spans="1:9" s="232" customFormat="1" ht="17" customHeight="1">
      <c r="A12063" s="234"/>
      <c r="B12063" s="233"/>
      <c r="C12063" s="238"/>
      <c r="E12063" s="545"/>
      <c r="F12063" s="546"/>
      <c r="G12063" s="234"/>
      <c r="H12063" s="238"/>
      <c r="I12063" s="237"/>
    </row>
    <row r="12064" spans="1:9" s="232" customFormat="1" ht="17" customHeight="1">
      <c r="A12064" s="234"/>
      <c r="B12064" s="233"/>
      <c r="C12064" s="238"/>
      <c r="E12064" s="545"/>
      <c r="F12064" s="546"/>
      <c r="G12064" s="234"/>
      <c r="H12064" s="238"/>
      <c r="I12064" s="237"/>
    </row>
    <row r="12065" spans="1:9" s="232" customFormat="1" ht="17" customHeight="1">
      <c r="A12065" s="234"/>
      <c r="B12065" s="233"/>
      <c r="C12065" s="238"/>
      <c r="E12065" s="545"/>
      <c r="F12065" s="546"/>
      <c r="G12065" s="234"/>
      <c r="H12065" s="238"/>
      <c r="I12065" s="237"/>
    </row>
    <row r="12066" spans="1:9" s="232" customFormat="1" ht="17" customHeight="1">
      <c r="A12066" s="234"/>
      <c r="B12066" s="233"/>
      <c r="C12066" s="238"/>
      <c r="E12066" s="545"/>
      <c r="F12066" s="546"/>
      <c r="G12066" s="234"/>
      <c r="H12066" s="238"/>
      <c r="I12066" s="237"/>
    </row>
    <row r="12067" spans="1:9" s="232" customFormat="1" ht="17" customHeight="1">
      <c r="A12067" s="234"/>
      <c r="B12067" s="233"/>
      <c r="C12067" s="238"/>
      <c r="E12067" s="545"/>
      <c r="F12067" s="546"/>
      <c r="G12067" s="234"/>
      <c r="H12067" s="238"/>
      <c r="I12067" s="237"/>
    </row>
    <row r="12068" spans="1:9" s="232" customFormat="1" ht="17" customHeight="1">
      <c r="A12068" s="234"/>
      <c r="B12068" s="233"/>
      <c r="C12068" s="238"/>
      <c r="E12068" s="545"/>
      <c r="F12068" s="546"/>
      <c r="G12068" s="234"/>
      <c r="H12068" s="238"/>
      <c r="I12068" s="237"/>
    </row>
    <row r="12069" spans="1:9" s="232" customFormat="1" ht="17" customHeight="1">
      <c r="A12069" s="234"/>
      <c r="B12069" s="233"/>
      <c r="C12069" s="238"/>
      <c r="E12069" s="545"/>
      <c r="F12069" s="546"/>
      <c r="G12069" s="234"/>
      <c r="H12069" s="238"/>
      <c r="I12069" s="237"/>
    </row>
    <row r="12070" spans="1:9" s="232" customFormat="1" ht="17" customHeight="1">
      <c r="A12070" s="234"/>
      <c r="B12070" s="233"/>
      <c r="C12070" s="238"/>
      <c r="E12070" s="545"/>
      <c r="F12070" s="546"/>
      <c r="G12070" s="234"/>
      <c r="H12070" s="238"/>
      <c r="I12070" s="237"/>
    </row>
    <row r="12071" spans="1:9" s="232" customFormat="1" ht="17" customHeight="1">
      <c r="A12071" s="234"/>
      <c r="B12071" s="233"/>
      <c r="C12071" s="238"/>
      <c r="E12071" s="545"/>
      <c r="F12071" s="546"/>
      <c r="G12071" s="234"/>
      <c r="H12071" s="238"/>
      <c r="I12071" s="237"/>
    </row>
    <row r="12072" spans="1:9" s="232" customFormat="1" ht="17" customHeight="1">
      <c r="A12072" s="234"/>
      <c r="B12072" s="233"/>
      <c r="C12072" s="238"/>
      <c r="E12072" s="545"/>
      <c r="F12072" s="546"/>
      <c r="G12072" s="234"/>
      <c r="H12072" s="238"/>
      <c r="I12072" s="237"/>
    </row>
    <row r="12073" spans="1:9" s="232" customFormat="1" ht="17" customHeight="1">
      <c r="A12073" s="234"/>
      <c r="B12073" s="233"/>
      <c r="C12073" s="238"/>
      <c r="E12073" s="545"/>
      <c r="F12073" s="546"/>
      <c r="G12073" s="234"/>
      <c r="H12073" s="238"/>
      <c r="I12073" s="237"/>
    </row>
    <row r="12074" spans="1:9" s="232" customFormat="1" ht="17" customHeight="1">
      <c r="A12074" s="234"/>
      <c r="B12074" s="233"/>
      <c r="C12074" s="238"/>
      <c r="E12074" s="545"/>
      <c r="F12074" s="546"/>
      <c r="G12074" s="234"/>
      <c r="H12074" s="238"/>
      <c r="I12074" s="237"/>
    </row>
    <row r="12075" spans="1:9" s="232" customFormat="1" ht="17" customHeight="1">
      <c r="A12075" s="234"/>
      <c r="B12075" s="233"/>
      <c r="C12075" s="238"/>
      <c r="E12075" s="545"/>
      <c r="F12075" s="546"/>
      <c r="G12075" s="234"/>
      <c r="H12075" s="238"/>
      <c r="I12075" s="237"/>
    </row>
    <row r="12076" spans="1:9" s="232" customFormat="1" ht="17" customHeight="1">
      <c r="A12076" s="234"/>
      <c r="B12076" s="233"/>
      <c r="C12076" s="238"/>
      <c r="E12076" s="545"/>
      <c r="F12076" s="546"/>
      <c r="G12076" s="234"/>
      <c r="H12076" s="238"/>
      <c r="I12076" s="237"/>
    </row>
    <row r="12077" spans="1:9" s="232" customFormat="1" ht="17" customHeight="1">
      <c r="A12077" s="234"/>
      <c r="B12077" s="233"/>
      <c r="C12077" s="238"/>
      <c r="E12077" s="545"/>
      <c r="F12077" s="546"/>
      <c r="G12077" s="234"/>
      <c r="H12077" s="238"/>
      <c r="I12077" s="237"/>
    </row>
    <row r="12078" spans="1:9" s="232" customFormat="1" ht="17" customHeight="1">
      <c r="A12078" s="234"/>
      <c r="B12078" s="233"/>
      <c r="C12078" s="238"/>
      <c r="E12078" s="545"/>
      <c r="F12078" s="546"/>
      <c r="G12078" s="234"/>
      <c r="H12078" s="238"/>
      <c r="I12078" s="237"/>
    </row>
    <row r="12079" spans="1:9" s="232" customFormat="1" ht="17" customHeight="1">
      <c r="A12079" s="234"/>
      <c r="B12079" s="233"/>
      <c r="C12079" s="238"/>
      <c r="E12079" s="545"/>
      <c r="F12079" s="546"/>
      <c r="G12079" s="234"/>
      <c r="H12079" s="238"/>
      <c r="I12079" s="237"/>
    </row>
    <row r="12080" spans="1:9" s="232" customFormat="1" ht="17" customHeight="1">
      <c r="A12080" s="234"/>
      <c r="B12080" s="233"/>
      <c r="C12080" s="238"/>
      <c r="E12080" s="545"/>
      <c r="F12080" s="546"/>
      <c r="G12080" s="234"/>
      <c r="H12080" s="238"/>
      <c r="I12080" s="237"/>
    </row>
    <row r="12081" spans="1:9" s="232" customFormat="1" ht="17" customHeight="1">
      <c r="A12081" s="234"/>
      <c r="B12081" s="233"/>
      <c r="C12081" s="238"/>
      <c r="E12081" s="545"/>
      <c r="F12081" s="546"/>
      <c r="G12081" s="234"/>
      <c r="H12081" s="238"/>
      <c r="I12081" s="237"/>
    </row>
    <row r="12082" spans="1:9" s="232" customFormat="1" ht="17" customHeight="1">
      <c r="A12082" s="234"/>
      <c r="B12082" s="233"/>
      <c r="C12082" s="238"/>
      <c r="E12082" s="545"/>
      <c r="F12082" s="546"/>
      <c r="G12082" s="234"/>
      <c r="H12082" s="238"/>
      <c r="I12082" s="237"/>
    </row>
    <row r="12083" spans="1:9" s="232" customFormat="1" ht="17" customHeight="1">
      <c r="A12083" s="234"/>
      <c r="B12083" s="233"/>
      <c r="C12083" s="238"/>
      <c r="E12083" s="545"/>
      <c r="F12083" s="546"/>
      <c r="G12083" s="234"/>
      <c r="H12083" s="238"/>
      <c r="I12083" s="237"/>
    </row>
    <row r="12084" spans="1:9" s="232" customFormat="1" ht="17" customHeight="1">
      <c r="A12084" s="234"/>
      <c r="B12084" s="233"/>
      <c r="C12084" s="238"/>
      <c r="E12084" s="545"/>
      <c r="F12084" s="546"/>
      <c r="G12084" s="234"/>
      <c r="H12084" s="238"/>
      <c r="I12084" s="237"/>
    </row>
    <row r="12085" spans="1:9" s="232" customFormat="1" ht="17" customHeight="1">
      <c r="A12085" s="234"/>
      <c r="B12085" s="233"/>
      <c r="C12085" s="238"/>
      <c r="E12085" s="545"/>
      <c r="F12085" s="546"/>
      <c r="G12085" s="234"/>
      <c r="H12085" s="238"/>
      <c r="I12085" s="237"/>
    </row>
    <row r="12086" spans="1:9" s="232" customFormat="1" ht="17" customHeight="1">
      <c r="A12086" s="234"/>
      <c r="B12086" s="233"/>
      <c r="C12086" s="238"/>
      <c r="E12086" s="545"/>
      <c r="F12086" s="546"/>
      <c r="G12086" s="234"/>
      <c r="H12086" s="238"/>
      <c r="I12086" s="237"/>
    </row>
    <row r="12087" spans="1:9" s="232" customFormat="1" ht="17" customHeight="1">
      <c r="A12087" s="234"/>
      <c r="B12087" s="233"/>
      <c r="C12087" s="238"/>
      <c r="E12087" s="545"/>
      <c r="F12087" s="546"/>
      <c r="G12087" s="234"/>
      <c r="H12087" s="238"/>
      <c r="I12087" s="237"/>
    </row>
    <row r="12088" spans="1:9" s="232" customFormat="1" ht="17" customHeight="1">
      <c r="A12088" s="234"/>
      <c r="B12088" s="233"/>
      <c r="C12088" s="238"/>
      <c r="E12088" s="545"/>
      <c r="F12088" s="546"/>
      <c r="G12088" s="234"/>
      <c r="H12088" s="238"/>
      <c r="I12088" s="237"/>
    </row>
    <row r="12089" spans="1:9" s="232" customFormat="1" ht="17" customHeight="1">
      <c r="A12089" s="234"/>
      <c r="B12089" s="233"/>
      <c r="C12089" s="238"/>
      <c r="E12089" s="545"/>
      <c r="F12089" s="546"/>
      <c r="G12089" s="234"/>
      <c r="H12089" s="238"/>
      <c r="I12089" s="237"/>
    </row>
    <row r="12090" spans="1:9" s="232" customFormat="1" ht="17" customHeight="1">
      <c r="A12090" s="234"/>
      <c r="B12090" s="233"/>
      <c r="C12090" s="238"/>
      <c r="E12090" s="545"/>
      <c r="F12090" s="546"/>
      <c r="G12090" s="234"/>
      <c r="H12090" s="238"/>
      <c r="I12090" s="237"/>
    </row>
    <row r="12091" spans="1:9" s="232" customFormat="1" ht="17" customHeight="1">
      <c r="A12091" s="234"/>
      <c r="B12091" s="233"/>
      <c r="C12091" s="238"/>
      <c r="E12091" s="545"/>
      <c r="F12091" s="546"/>
      <c r="G12091" s="234"/>
      <c r="H12091" s="238"/>
      <c r="I12091" s="237"/>
    </row>
    <row r="12092" spans="1:9" s="232" customFormat="1" ht="17" customHeight="1">
      <c r="A12092" s="234"/>
      <c r="B12092" s="233"/>
      <c r="C12092" s="238"/>
      <c r="E12092" s="545"/>
      <c r="F12092" s="546"/>
      <c r="G12092" s="234"/>
      <c r="H12092" s="238"/>
      <c r="I12092" s="237"/>
    </row>
    <row r="12093" spans="1:9" s="232" customFormat="1" ht="17" customHeight="1">
      <c r="A12093" s="234"/>
      <c r="B12093" s="233"/>
      <c r="C12093" s="238"/>
      <c r="E12093" s="545"/>
      <c r="F12093" s="546"/>
      <c r="G12093" s="234"/>
      <c r="H12093" s="238"/>
      <c r="I12093" s="237"/>
    </row>
    <row r="12094" spans="1:9" s="232" customFormat="1" ht="17" customHeight="1">
      <c r="A12094" s="234"/>
      <c r="B12094" s="233"/>
      <c r="C12094" s="238"/>
      <c r="E12094" s="545"/>
      <c r="F12094" s="546"/>
      <c r="G12094" s="234"/>
      <c r="H12094" s="238"/>
      <c r="I12094" s="237"/>
    </row>
    <row r="12095" spans="1:9" s="232" customFormat="1" ht="17" customHeight="1">
      <c r="A12095" s="234"/>
      <c r="B12095" s="233"/>
      <c r="C12095" s="238"/>
      <c r="E12095" s="545"/>
      <c r="F12095" s="546"/>
      <c r="G12095" s="234"/>
      <c r="H12095" s="238"/>
      <c r="I12095" s="237"/>
    </row>
    <row r="12096" spans="1:9" s="232" customFormat="1" ht="17" customHeight="1">
      <c r="A12096" s="234"/>
      <c r="B12096" s="233"/>
      <c r="C12096" s="238"/>
      <c r="E12096" s="545"/>
      <c r="F12096" s="546"/>
      <c r="G12096" s="234"/>
      <c r="H12096" s="238"/>
      <c r="I12096" s="237"/>
    </row>
    <row r="12097" spans="1:9" s="232" customFormat="1" ht="17" customHeight="1">
      <c r="A12097" s="234"/>
      <c r="B12097" s="233"/>
      <c r="C12097" s="238"/>
      <c r="E12097" s="545"/>
      <c r="F12097" s="546"/>
      <c r="G12097" s="234"/>
      <c r="H12097" s="238"/>
      <c r="I12097" s="237"/>
    </row>
    <row r="12098" spans="1:9" s="232" customFormat="1" ht="17" customHeight="1">
      <c r="A12098" s="234"/>
      <c r="B12098" s="233"/>
      <c r="C12098" s="238"/>
      <c r="E12098" s="545"/>
      <c r="F12098" s="546"/>
      <c r="G12098" s="234"/>
      <c r="H12098" s="238"/>
      <c r="I12098" s="237"/>
    </row>
    <row r="12099" spans="1:9" s="232" customFormat="1" ht="17" customHeight="1">
      <c r="A12099" s="234"/>
      <c r="B12099" s="233"/>
      <c r="C12099" s="238"/>
      <c r="E12099" s="545"/>
      <c r="F12099" s="546"/>
      <c r="G12099" s="234"/>
      <c r="H12099" s="238"/>
      <c r="I12099" s="237"/>
    </row>
    <row r="12100" spans="1:9" s="232" customFormat="1" ht="17" customHeight="1">
      <c r="A12100" s="234"/>
      <c r="B12100" s="233"/>
      <c r="C12100" s="238"/>
      <c r="E12100" s="545"/>
      <c r="F12100" s="546"/>
      <c r="G12100" s="234"/>
      <c r="H12100" s="238"/>
      <c r="I12100" s="237"/>
    </row>
    <row r="12101" spans="1:9" s="232" customFormat="1" ht="17" customHeight="1">
      <c r="A12101" s="234"/>
      <c r="B12101" s="233"/>
      <c r="C12101" s="238"/>
      <c r="E12101" s="545"/>
      <c r="F12101" s="546"/>
      <c r="G12101" s="234"/>
      <c r="H12101" s="238"/>
      <c r="I12101" s="237"/>
    </row>
    <row r="12102" spans="1:9" s="232" customFormat="1" ht="17" customHeight="1">
      <c r="A12102" s="234"/>
      <c r="B12102" s="233"/>
      <c r="C12102" s="238"/>
      <c r="E12102" s="545"/>
      <c r="F12102" s="546"/>
      <c r="G12102" s="234"/>
      <c r="H12102" s="238"/>
      <c r="I12102" s="237"/>
    </row>
    <row r="12103" spans="1:9" s="232" customFormat="1" ht="17" customHeight="1">
      <c r="A12103" s="234"/>
      <c r="B12103" s="233"/>
      <c r="C12103" s="238"/>
      <c r="E12103" s="545"/>
      <c r="F12103" s="546"/>
      <c r="G12103" s="234"/>
      <c r="H12103" s="238"/>
      <c r="I12103" s="237"/>
    </row>
    <row r="12104" spans="1:9" s="232" customFormat="1" ht="17" customHeight="1">
      <c r="A12104" s="234"/>
      <c r="B12104" s="233"/>
      <c r="C12104" s="238"/>
      <c r="E12104" s="545"/>
      <c r="F12104" s="546"/>
      <c r="G12104" s="234"/>
      <c r="H12104" s="238"/>
      <c r="I12104" s="237"/>
    </row>
    <row r="12105" spans="1:9" s="232" customFormat="1" ht="17" customHeight="1">
      <c r="A12105" s="234"/>
      <c r="B12105" s="233"/>
      <c r="C12105" s="238"/>
      <c r="E12105" s="545"/>
      <c r="F12105" s="546"/>
      <c r="G12105" s="234"/>
      <c r="H12105" s="238"/>
      <c r="I12105" s="237"/>
    </row>
    <row r="12106" spans="1:9" s="232" customFormat="1" ht="17" customHeight="1">
      <c r="A12106" s="234"/>
      <c r="B12106" s="233"/>
      <c r="C12106" s="238"/>
      <c r="E12106" s="545"/>
      <c r="F12106" s="546"/>
      <c r="G12106" s="234"/>
      <c r="H12106" s="238"/>
      <c r="I12106" s="237"/>
    </row>
    <row r="12107" spans="1:9" s="232" customFormat="1" ht="17" customHeight="1">
      <c r="A12107" s="234"/>
      <c r="B12107" s="233"/>
      <c r="C12107" s="238"/>
      <c r="E12107" s="545"/>
      <c r="F12107" s="546"/>
      <c r="G12107" s="234"/>
      <c r="H12107" s="238"/>
      <c r="I12107" s="237"/>
    </row>
    <row r="12108" spans="1:9" s="232" customFormat="1" ht="17" customHeight="1">
      <c r="A12108" s="234"/>
      <c r="B12108" s="233"/>
      <c r="C12108" s="238"/>
      <c r="E12108" s="545"/>
      <c r="F12108" s="546"/>
      <c r="G12108" s="234"/>
      <c r="H12108" s="238"/>
      <c r="I12108" s="237"/>
    </row>
    <row r="12109" spans="1:9" s="232" customFormat="1" ht="17" customHeight="1">
      <c r="A12109" s="234"/>
      <c r="B12109" s="233"/>
      <c r="C12109" s="238"/>
      <c r="E12109" s="545"/>
      <c r="F12109" s="546"/>
      <c r="G12109" s="234"/>
      <c r="H12109" s="238"/>
      <c r="I12109" s="237"/>
    </row>
    <row r="12110" spans="1:9" s="232" customFormat="1" ht="17" customHeight="1">
      <c r="A12110" s="234"/>
      <c r="B12110" s="233"/>
      <c r="C12110" s="238"/>
      <c r="E12110" s="545"/>
      <c r="F12110" s="546"/>
      <c r="G12110" s="234"/>
      <c r="H12110" s="238"/>
      <c r="I12110" s="237"/>
    </row>
    <row r="12111" spans="1:9" s="232" customFormat="1" ht="17" customHeight="1">
      <c r="A12111" s="234"/>
      <c r="B12111" s="233"/>
      <c r="C12111" s="238"/>
      <c r="E12111" s="545"/>
      <c r="F12111" s="546"/>
      <c r="G12111" s="234"/>
      <c r="H12111" s="238"/>
      <c r="I12111" s="237"/>
    </row>
    <row r="12112" spans="1:9" s="232" customFormat="1" ht="17" customHeight="1">
      <c r="A12112" s="234"/>
      <c r="B12112" s="233"/>
      <c r="C12112" s="238"/>
      <c r="E12112" s="545"/>
      <c r="F12112" s="546"/>
      <c r="G12112" s="234"/>
      <c r="H12112" s="238"/>
      <c r="I12112" s="237"/>
    </row>
    <row r="12113" spans="1:9" s="232" customFormat="1" ht="17" customHeight="1">
      <c r="A12113" s="234"/>
      <c r="B12113" s="233"/>
      <c r="C12113" s="238"/>
      <c r="E12113" s="545"/>
      <c r="F12113" s="546"/>
      <c r="G12113" s="234"/>
      <c r="H12113" s="238"/>
      <c r="I12113" s="237"/>
    </row>
    <row r="12114" spans="1:9" s="232" customFormat="1" ht="17" customHeight="1">
      <c r="A12114" s="234"/>
      <c r="B12114" s="233"/>
      <c r="C12114" s="238"/>
      <c r="E12114" s="545"/>
      <c r="F12114" s="546"/>
      <c r="G12114" s="234"/>
      <c r="H12114" s="238"/>
      <c r="I12114" s="237"/>
    </row>
    <row r="12115" spans="1:9" s="232" customFormat="1" ht="17" customHeight="1">
      <c r="A12115" s="234"/>
      <c r="B12115" s="233"/>
      <c r="C12115" s="238"/>
      <c r="E12115" s="545"/>
      <c r="F12115" s="546"/>
      <c r="G12115" s="234"/>
      <c r="H12115" s="238"/>
      <c r="I12115" s="237"/>
    </row>
    <row r="12116" spans="1:9" s="232" customFormat="1" ht="17" customHeight="1">
      <c r="A12116" s="234"/>
      <c r="B12116" s="233"/>
      <c r="C12116" s="238"/>
      <c r="E12116" s="545"/>
      <c r="F12116" s="546"/>
      <c r="G12116" s="234"/>
      <c r="H12116" s="238"/>
      <c r="I12116" s="237"/>
    </row>
    <row r="12117" spans="1:9" s="232" customFormat="1" ht="17" customHeight="1">
      <c r="A12117" s="234"/>
      <c r="B12117" s="233"/>
      <c r="C12117" s="238"/>
      <c r="E12117" s="545"/>
      <c r="F12117" s="546"/>
      <c r="G12117" s="234"/>
      <c r="H12117" s="238"/>
      <c r="I12117" s="237"/>
    </row>
    <row r="12118" spans="1:9" s="232" customFormat="1" ht="17" customHeight="1">
      <c r="A12118" s="234"/>
      <c r="B12118" s="233"/>
      <c r="C12118" s="238"/>
      <c r="E12118" s="545"/>
      <c r="F12118" s="546"/>
      <c r="G12118" s="234"/>
      <c r="H12118" s="238"/>
      <c r="I12118" s="237"/>
    </row>
    <row r="12119" spans="1:9" s="232" customFormat="1" ht="17" customHeight="1">
      <c r="A12119" s="234"/>
      <c r="B12119" s="233"/>
      <c r="C12119" s="238"/>
      <c r="E12119" s="545"/>
      <c r="F12119" s="546"/>
      <c r="G12119" s="234"/>
      <c r="H12119" s="238"/>
      <c r="I12119" s="237"/>
    </row>
    <row r="12120" spans="1:9" s="232" customFormat="1" ht="17" customHeight="1">
      <c r="A12120" s="234"/>
      <c r="B12120" s="233"/>
      <c r="C12120" s="238"/>
      <c r="E12120" s="545"/>
      <c r="F12120" s="546"/>
      <c r="G12120" s="234"/>
      <c r="H12120" s="238"/>
      <c r="I12120" s="237"/>
    </row>
    <row r="12121" spans="1:9" s="232" customFormat="1" ht="17" customHeight="1">
      <c r="A12121" s="234"/>
      <c r="B12121" s="233"/>
      <c r="C12121" s="238"/>
      <c r="E12121" s="545"/>
      <c r="F12121" s="546"/>
      <c r="G12121" s="234"/>
      <c r="H12121" s="238"/>
      <c r="I12121" s="237"/>
    </row>
    <row r="12122" spans="1:9" s="232" customFormat="1" ht="17" customHeight="1">
      <c r="A12122" s="234"/>
      <c r="B12122" s="233"/>
      <c r="C12122" s="238"/>
      <c r="E12122" s="545"/>
      <c r="F12122" s="546"/>
      <c r="G12122" s="234"/>
      <c r="H12122" s="238"/>
      <c r="I12122" s="237"/>
    </row>
    <row r="12123" spans="1:9" s="232" customFormat="1" ht="17" customHeight="1">
      <c r="A12123" s="234"/>
      <c r="B12123" s="233"/>
      <c r="C12123" s="238"/>
      <c r="E12123" s="545"/>
      <c r="F12123" s="546"/>
      <c r="G12123" s="234"/>
      <c r="H12123" s="238"/>
      <c r="I12123" s="237"/>
    </row>
    <row r="12124" spans="1:9" s="232" customFormat="1" ht="17" customHeight="1">
      <c r="A12124" s="234"/>
      <c r="B12124" s="233"/>
      <c r="C12124" s="238"/>
      <c r="E12124" s="545"/>
      <c r="F12124" s="546"/>
      <c r="G12124" s="234"/>
      <c r="H12124" s="238"/>
      <c r="I12124" s="237"/>
    </row>
    <row r="12125" spans="1:9" s="232" customFormat="1" ht="17" customHeight="1">
      <c r="A12125" s="234"/>
      <c r="B12125" s="233"/>
      <c r="C12125" s="238"/>
      <c r="E12125" s="545"/>
      <c r="F12125" s="546"/>
      <c r="G12125" s="234"/>
      <c r="H12125" s="238"/>
      <c r="I12125" s="237"/>
    </row>
    <row r="12126" spans="1:9" s="232" customFormat="1" ht="17" customHeight="1">
      <c r="A12126" s="234"/>
      <c r="B12126" s="233"/>
      <c r="C12126" s="238"/>
      <c r="E12126" s="545"/>
      <c r="F12126" s="546"/>
      <c r="G12126" s="234"/>
      <c r="H12126" s="238"/>
      <c r="I12126" s="237"/>
    </row>
    <row r="12127" spans="1:9" s="232" customFormat="1" ht="17" customHeight="1">
      <c r="A12127" s="234"/>
      <c r="B12127" s="233"/>
      <c r="C12127" s="238"/>
      <c r="E12127" s="545"/>
      <c r="F12127" s="546"/>
      <c r="G12127" s="234"/>
      <c r="H12127" s="238"/>
      <c r="I12127" s="237"/>
    </row>
    <row r="12128" spans="1:9" s="232" customFormat="1" ht="17" customHeight="1">
      <c r="A12128" s="234"/>
      <c r="B12128" s="233"/>
      <c r="C12128" s="238"/>
      <c r="E12128" s="545"/>
      <c r="F12128" s="546"/>
      <c r="G12128" s="234"/>
      <c r="H12128" s="238"/>
      <c r="I12128" s="237"/>
    </row>
    <row r="12129" spans="1:9" s="232" customFormat="1" ht="17" customHeight="1">
      <c r="A12129" s="234"/>
      <c r="B12129" s="233"/>
      <c r="C12129" s="238"/>
      <c r="E12129" s="545"/>
      <c r="F12129" s="546"/>
      <c r="G12129" s="234"/>
      <c r="H12129" s="238"/>
      <c r="I12129" s="237"/>
    </row>
    <row r="12130" spans="1:9" s="232" customFormat="1" ht="17" customHeight="1">
      <c r="A12130" s="234"/>
      <c r="B12130" s="233"/>
      <c r="C12130" s="238"/>
      <c r="E12130" s="545"/>
      <c r="F12130" s="546"/>
      <c r="G12130" s="234"/>
      <c r="H12130" s="238"/>
      <c r="I12130" s="237"/>
    </row>
    <row r="12131" spans="1:9" s="232" customFormat="1" ht="17" customHeight="1">
      <c r="A12131" s="234"/>
      <c r="B12131" s="233"/>
      <c r="C12131" s="238"/>
      <c r="E12131" s="545"/>
      <c r="F12131" s="546"/>
      <c r="G12131" s="234"/>
      <c r="H12131" s="238"/>
      <c r="I12131" s="237"/>
    </row>
    <row r="12132" spans="1:9" s="232" customFormat="1" ht="17" customHeight="1">
      <c r="A12132" s="234"/>
      <c r="B12132" s="233"/>
      <c r="C12132" s="238"/>
      <c r="E12132" s="545"/>
      <c r="F12132" s="546"/>
      <c r="G12132" s="234"/>
      <c r="H12132" s="238"/>
      <c r="I12132" s="237"/>
    </row>
    <row r="12133" spans="1:9" s="232" customFormat="1" ht="17" customHeight="1">
      <c r="A12133" s="234"/>
      <c r="B12133" s="233"/>
      <c r="C12133" s="238"/>
      <c r="E12133" s="545"/>
      <c r="F12133" s="546"/>
      <c r="G12133" s="234"/>
      <c r="H12133" s="238"/>
      <c r="I12133" s="237"/>
    </row>
    <row r="12134" spans="1:9" s="232" customFormat="1" ht="17" customHeight="1">
      <c r="A12134" s="234"/>
      <c r="B12134" s="233"/>
      <c r="C12134" s="238"/>
      <c r="E12134" s="545"/>
      <c r="F12134" s="546"/>
      <c r="G12134" s="234"/>
      <c r="H12134" s="238"/>
      <c r="I12134" s="237"/>
    </row>
    <row r="12135" spans="1:9" s="232" customFormat="1" ht="17" customHeight="1">
      <c r="A12135" s="234"/>
      <c r="B12135" s="233"/>
      <c r="C12135" s="238"/>
      <c r="E12135" s="545"/>
      <c r="F12135" s="546"/>
      <c r="G12135" s="234"/>
      <c r="H12135" s="238"/>
      <c r="I12135" s="237"/>
    </row>
    <row r="12136" spans="1:9" s="232" customFormat="1" ht="17" customHeight="1">
      <c r="A12136" s="234"/>
      <c r="B12136" s="233"/>
      <c r="C12136" s="238"/>
      <c r="E12136" s="545"/>
      <c r="F12136" s="546"/>
      <c r="G12136" s="234"/>
      <c r="H12136" s="238"/>
      <c r="I12136" s="237"/>
    </row>
    <row r="12137" spans="1:9" s="232" customFormat="1" ht="17" customHeight="1">
      <c r="A12137" s="234"/>
      <c r="B12137" s="233"/>
      <c r="C12137" s="238"/>
      <c r="E12137" s="545"/>
      <c r="F12137" s="546"/>
      <c r="G12137" s="234"/>
      <c r="H12137" s="238"/>
      <c r="I12137" s="237"/>
    </row>
    <row r="12138" spans="1:9" s="232" customFormat="1" ht="17" customHeight="1">
      <c r="A12138" s="234"/>
      <c r="B12138" s="233"/>
      <c r="C12138" s="238"/>
      <c r="E12138" s="545"/>
      <c r="F12138" s="546"/>
      <c r="G12138" s="234"/>
      <c r="H12138" s="238"/>
      <c r="I12138" s="237"/>
    </row>
    <row r="12139" spans="1:9" s="232" customFormat="1" ht="17" customHeight="1">
      <c r="A12139" s="234"/>
      <c r="B12139" s="233"/>
      <c r="C12139" s="238"/>
      <c r="E12139" s="545"/>
      <c r="F12139" s="546"/>
      <c r="G12139" s="234"/>
      <c r="H12139" s="238"/>
      <c r="I12139" s="237"/>
    </row>
    <row r="12140" spans="1:9" s="232" customFormat="1" ht="17" customHeight="1">
      <c r="A12140" s="234"/>
      <c r="B12140" s="233"/>
      <c r="C12140" s="238"/>
      <c r="E12140" s="545"/>
      <c r="F12140" s="546"/>
      <c r="G12140" s="234"/>
      <c r="H12140" s="238"/>
      <c r="I12140" s="237"/>
    </row>
    <row r="12141" spans="1:9" s="232" customFormat="1" ht="17" customHeight="1">
      <c r="A12141" s="234"/>
      <c r="B12141" s="233"/>
      <c r="C12141" s="238"/>
      <c r="E12141" s="545"/>
      <c r="F12141" s="546"/>
      <c r="G12141" s="234"/>
      <c r="H12141" s="238"/>
      <c r="I12141" s="237"/>
    </row>
    <row r="12142" spans="1:9" s="232" customFormat="1" ht="17" customHeight="1">
      <c r="A12142" s="234"/>
      <c r="B12142" s="233"/>
      <c r="C12142" s="238"/>
      <c r="E12142" s="545"/>
      <c r="F12142" s="546"/>
      <c r="G12142" s="234"/>
      <c r="H12142" s="238"/>
      <c r="I12142" s="237"/>
    </row>
    <row r="12143" spans="1:9" s="232" customFormat="1" ht="17" customHeight="1">
      <c r="A12143" s="234"/>
      <c r="B12143" s="233"/>
      <c r="C12143" s="238"/>
      <c r="E12143" s="545"/>
      <c r="F12143" s="546"/>
      <c r="G12143" s="234"/>
      <c r="H12143" s="238"/>
      <c r="I12143" s="237"/>
    </row>
    <row r="12144" spans="1:9" s="232" customFormat="1" ht="17" customHeight="1">
      <c r="A12144" s="234"/>
      <c r="B12144" s="233"/>
      <c r="C12144" s="238"/>
      <c r="E12144" s="545"/>
      <c r="F12144" s="546"/>
      <c r="G12144" s="234"/>
      <c r="H12144" s="238"/>
      <c r="I12144" s="237"/>
    </row>
    <row r="12145" spans="1:9" s="232" customFormat="1" ht="17" customHeight="1">
      <c r="A12145" s="234"/>
      <c r="B12145" s="233"/>
      <c r="C12145" s="238"/>
      <c r="E12145" s="545"/>
      <c r="F12145" s="546"/>
      <c r="G12145" s="234"/>
      <c r="H12145" s="238"/>
      <c r="I12145" s="237"/>
    </row>
    <row r="12146" spans="1:9" s="232" customFormat="1" ht="17" customHeight="1">
      <c r="A12146" s="234"/>
      <c r="B12146" s="233"/>
      <c r="C12146" s="238"/>
      <c r="E12146" s="545"/>
      <c r="F12146" s="546"/>
      <c r="G12146" s="234"/>
      <c r="H12146" s="238"/>
      <c r="I12146" s="237"/>
    </row>
    <row r="12147" spans="1:9" s="232" customFormat="1" ht="17" customHeight="1">
      <c r="A12147" s="234"/>
      <c r="B12147" s="233"/>
      <c r="C12147" s="238"/>
      <c r="E12147" s="545"/>
      <c r="F12147" s="546"/>
      <c r="G12147" s="234"/>
      <c r="H12147" s="238"/>
      <c r="I12147" s="237"/>
    </row>
    <row r="12148" spans="1:9" s="232" customFormat="1" ht="17" customHeight="1">
      <c r="A12148" s="234"/>
      <c r="B12148" s="233"/>
      <c r="C12148" s="238"/>
      <c r="E12148" s="545"/>
      <c r="F12148" s="546"/>
      <c r="G12148" s="234"/>
      <c r="H12148" s="238"/>
      <c r="I12148" s="237"/>
    </row>
    <row r="12149" spans="1:9" s="232" customFormat="1" ht="17" customHeight="1">
      <c r="A12149" s="234"/>
      <c r="B12149" s="233"/>
      <c r="C12149" s="238"/>
      <c r="E12149" s="545"/>
      <c r="F12149" s="546"/>
      <c r="G12149" s="234"/>
      <c r="H12149" s="238"/>
      <c r="I12149" s="237"/>
    </row>
    <row r="12150" spans="1:9" s="232" customFormat="1" ht="17" customHeight="1">
      <c r="A12150" s="234"/>
      <c r="B12150" s="233"/>
      <c r="C12150" s="238"/>
      <c r="E12150" s="545"/>
      <c r="F12150" s="546"/>
      <c r="G12150" s="234"/>
      <c r="H12150" s="238"/>
      <c r="I12150" s="237"/>
    </row>
    <row r="12151" spans="1:9" s="232" customFormat="1" ht="17" customHeight="1">
      <c r="A12151" s="234"/>
      <c r="B12151" s="233"/>
      <c r="C12151" s="238"/>
      <c r="E12151" s="545"/>
      <c r="F12151" s="546"/>
      <c r="G12151" s="234"/>
      <c r="H12151" s="238"/>
      <c r="I12151" s="237"/>
    </row>
    <row r="12152" spans="1:9" s="232" customFormat="1" ht="17" customHeight="1">
      <c r="A12152" s="234"/>
      <c r="B12152" s="233"/>
      <c r="C12152" s="238"/>
      <c r="E12152" s="545"/>
      <c r="F12152" s="546"/>
      <c r="G12152" s="234"/>
      <c r="H12152" s="238"/>
      <c r="I12152" s="237"/>
    </row>
    <row r="12153" spans="1:9" s="232" customFormat="1" ht="17" customHeight="1">
      <c r="A12153" s="234"/>
      <c r="B12153" s="233"/>
      <c r="C12153" s="238"/>
      <c r="E12153" s="545"/>
      <c r="F12153" s="546"/>
      <c r="G12153" s="234"/>
      <c r="H12153" s="238"/>
      <c r="I12153" s="237"/>
    </row>
    <row r="12154" spans="1:9" s="232" customFormat="1" ht="17" customHeight="1">
      <c r="A12154" s="234"/>
      <c r="B12154" s="233"/>
      <c r="C12154" s="238"/>
      <c r="E12154" s="545"/>
      <c r="F12154" s="546"/>
      <c r="G12154" s="234"/>
      <c r="H12154" s="238"/>
      <c r="I12154" s="237"/>
    </row>
    <row r="12155" spans="1:9" s="232" customFormat="1" ht="17" customHeight="1">
      <c r="A12155" s="234"/>
      <c r="B12155" s="233"/>
      <c r="C12155" s="238"/>
      <c r="E12155" s="545"/>
      <c r="F12155" s="546"/>
      <c r="G12155" s="234"/>
      <c r="H12155" s="238"/>
      <c r="I12155" s="237"/>
    </row>
    <row r="12156" spans="1:9" s="232" customFormat="1" ht="17" customHeight="1">
      <c r="A12156" s="234"/>
      <c r="B12156" s="233"/>
      <c r="C12156" s="238"/>
      <c r="E12156" s="545"/>
      <c r="F12156" s="546"/>
      <c r="G12156" s="234"/>
      <c r="H12156" s="238"/>
      <c r="I12156" s="237"/>
    </row>
    <row r="12157" spans="1:9" s="232" customFormat="1" ht="17" customHeight="1">
      <c r="A12157" s="234"/>
      <c r="B12157" s="233"/>
      <c r="C12157" s="238"/>
      <c r="E12157" s="545"/>
      <c r="F12157" s="546"/>
      <c r="G12157" s="234"/>
      <c r="H12157" s="238"/>
      <c r="I12157" s="237"/>
    </row>
    <row r="12158" spans="1:9" s="232" customFormat="1" ht="17" customHeight="1">
      <c r="A12158" s="234"/>
      <c r="B12158" s="233"/>
      <c r="C12158" s="238"/>
      <c r="E12158" s="545"/>
      <c r="F12158" s="546"/>
      <c r="G12158" s="234"/>
      <c r="H12158" s="238"/>
      <c r="I12158" s="237"/>
    </row>
    <row r="12159" spans="1:9" s="232" customFormat="1" ht="17" customHeight="1">
      <c r="A12159" s="234"/>
      <c r="B12159" s="233"/>
      <c r="C12159" s="238"/>
      <c r="E12159" s="545"/>
      <c r="F12159" s="546"/>
      <c r="G12159" s="234"/>
      <c r="H12159" s="238"/>
      <c r="I12159" s="237"/>
    </row>
    <row r="12160" spans="1:9" s="232" customFormat="1" ht="17" customHeight="1">
      <c r="A12160" s="234"/>
      <c r="B12160" s="233"/>
      <c r="C12160" s="238"/>
      <c r="E12160" s="545"/>
      <c r="F12160" s="546"/>
      <c r="G12160" s="234"/>
      <c r="H12160" s="238"/>
      <c r="I12160" s="237"/>
    </row>
    <row r="12161" spans="1:9" s="232" customFormat="1" ht="17" customHeight="1">
      <c r="A12161" s="234"/>
      <c r="B12161" s="233"/>
      <c r="C12161" s="238"/>
      <c r="E12161" s="545"/>
      <c r="F12161" s="546"/>
      <c r="G12161" s="234"/>
      <c r="H12161" s="238"/>
      <c r="I12161" s="237"/>
    </row>
    <row r="12162" spans="1:9" s="232" customFormat="1" ht="17" customHeight="1">
      <c r="A12162" s="234"/>
      <c r="B12162" s="233"/>
      <c r="C12162" s="238"/>
      <c r="E12162" s="545"/>
      <c r="F12162" s="546"/>
      <c r="G12162" s="234"/>
      <c r="H12162" s="238"/>
      <c r="I12162" s="237"/>
    </row>
    <row r="12163" spans="1:9" s="232" customFormat="1" ht="17" customHeight="1">
      <c r="A12163" s="234"/>
      <c r="B12163" s="233"/>
      <c r="C12163" s="238"/>
      <c r="E12163" s="545"/>
      <c r="F12163" s="546"/>
      <c r="G12163" s="234"/>
      <c r="H12163" s="238"/>
      <c r="I12163" s="237"/>
    </row>
    <row r="12164" spans="1:9" s="232" customFormat="1" ht="17" customHeight="1">
      <c r="A12164" s="234"/>
      <c r="B12164" s="233"/>
      <c r="C12164" s="238"/>
      <c r="E12164" s="545"/>
      <c r="F12164" s="546"/>
      <c r="G12164" s="234"/>
      <c r="H12164" s="238"/>
      <c r="I12164" s="237"/>
    </row>
    <row r="12165" spans="1:9" s="232" customFormat="1" ht="17" customHeight="1">
      <c r="A12165" s="234"/>
      <c r="B12165" s="233"/>
      <c r="C12165" s="238"/>
      <c r="E12165" s="545"/>
      <c r="F12165" s="546"/>
      <c r="G12165" s="234"/>
      <c r="H12165" s="238"/>
      <c r="I12165" s="237"/>
    </row>
    <row r="12166" spans="1:9" s="232" customFormat="1" ht="17" customHeight="1">
      <c r="A12166" s="234"/>
      <c r="B12166" s="233"/>
      <c r="C12166" s="238"/>
      <c r="E12166" s="545"/>
      <c r="F12166" s="546"/>
      <c r="G12166" s="234"/>
      <c r="H12166" s="238"/>
      <c r="I12166" s="237"/>
    </row>
    <row r="12167" spans="1:9" s="232" customFormat="1" ht="17" customHeight="1">
      <c r="A12167" s="234"/>
      <c r="B12167" s="233"/>
      <c r="C12167" s="238"/>
      <c r="E12167" s="545"/>
      <c r="F12167" s="546"/>
      <c r="G12167" s="234"/>
      <c r="H12167" s="238"/>
      <c r="I12167" s="237"/>
    </row>
    <row r="12168" spans="1:9" s="232" customFormat="1" ht="17" customHeight="1">
      <c r="A12168" s="234"/>
      <c r="B12168" s="233"/>
      <c r="C12168" s="238"/>
      <c r="E12168" s="545"/>
      <c r="F12168" s="546"/>
      <c r="G12168" s="234"/>
      <c r="H12168" s="238"/>
      <c r="I12168" s="237"/>
    </row>
    <row r="12169" spans="1:9" s="232" customFormat="1" ht="17" customHeight="1">
      <c r="A12169" s="234"/>
      <c r="B12169" s="233"/>
      <c r="C12169" s="238"/>
      <c r="E12169" s="545"/>
      <c r="F12169" s="546"/>
      <c r="G12169" s="234"/>
      <c r="H12169" s="238"/>
      <c r="I12169" s="237"/>
    </row>
    <row r="12170" spans="1:9" s="232" customFormat="1" ht="17" customHeight="1">
      <c r="A12170" s="234"/>
      <c r="B12170" s="233"/>
      <c r="C12170" s="238"/>
      <c r="E12170" s="545"/>
      <c r="F12170" s="546"/>
      <c r="G12170" s="234"/>
      <c r="H12170" s="238"/>
      <c r="I12170" s="237"/>
    </row>
    <row r="12171" spans="1:9" s="232" customFormat="1" ht="17" customHeight="1">
      <c r="A12171" s="234"/>
      <c r="B12171" s="233"/>
      <c r="C12171" s="238"/>
      <c r="E12171" s="545"/>
      <c r="F12171" s="546"/>
      <c r="G12171" s="234"/>
      <c r="H12171" s="238"/>
      <c r="I12171" s="237"/>
    </row>
    <row r="12172" spans="1:9" s="232" customFormat="1" ht="17" customHeight="1">
      <c r="A12172" s="234"/>
      <c r="B12172" s="233"/>
      <c r="C12172" s="238"/>
      <c r="E12172" s="545"/>
      <c r="F12172" s="546"/>
      <c r="G12172" s="234"/>
      <c r="H12172" s="238"/>
      <c r="I12172" s="237"/>
    </row>
    <row r="12173" spans="1:9" s="232" customFormat="1" ht="17" customHeight="1">
      <c r="A12173" s="234"/>
      <c r="B12173" s="233"/>
      <c r="C12173" s="238"/>
      <c r="E12173" s="545"/>
      <c r="F12173" s="546"/>
      <c r="G12173" s="234"/>
      <c r="H12173" s="238"/>
      <c r="I12173" s="237"/>
    </row>
    <row r="12174" spans="1:9" s="232" customFormat="1" ht="17" customHeight="1">
      <c r="A12174" s="234"/>
      <c r="B12174" s="233"/>
      <c r="C12174" s="238"/>
      <c r="E12174" s="545"/>
      <c r="F12174" s="546"/>
      <c r="G12174" s="234"/>
      <c r="H12174" s="238"/>
      <c r="I12174" s="237"/>
    </row>
    <row r="12175" spans="1:9" s="232" customFormat="1" ht="17" customHeight="1">
      <c r="A12175" s="234"/>
      <c r="B12175" s="233"/>
      <c r="C12175" s="238"/>
      <c r="E12175" s="545"/>
      <c r="F12175" s="546"/>
      <c r="G12175" s="234"/>
      <c r="H12175" s="238"/>
      <c r="I12175" s="237"/>
    </row>
    <row r="12176" spans="1:9" s="232" customFormat="1" ht="17" customHeight="1">
      <c r="A12176" s="234"/>
      <c r="B12176" s="233"/>
      <c r="C12176" s="238"/>
      <c r="E12176" s="545"/>
      <c r="F12176" s="546"/>
      <c r="G12176" s="234"/>
      <c r="H12176" s="238"/>
      <c r="I12176" s="237"/>
    </row>
    <row r="12177" spans="1:9" s="232" customFormat="1" ht="17" customHeight="1">
      <c r="A12177" s="234"/>
      <c r="B12177" s="233"/>
      <c r="C12177" s="238"/>
      <c r="E12177" s="545"/>
      <c r="F12177" s="546"/>
      <c r="G12177" s="234"/>
      <c r="H12177" s="238"/>
      <c r="I12177" s="237"/>
    </row>
    <row r="12178" spans="1:9" s="232" customFormat="1" ht="17" customHeight="1">
      <c r="A12178" s="234"/>
      <c r="B12178" s="233"/>
      <c r="C12178" s="238"/>
      <c r="E12178" s="545"/>
      <c r="F12178" s="546"/>
      <c r="G12178" s="234"/>
      <c r="H12178" s="238"/>
      <c r="I12178" s="237"/>
    </row>
    <row r="12179" spans="1:9" s="232" customFormat="1" ht="17" customHeight="1">
      <c r="A12179" s="234"/>
      <c r="B12179" s="233"/>
      <c r="C12179" s="238"/>
      <c r="E12179" s="545"/>
      <c r="F12179" s="546"/>
      <c r="G12179" s="234"/>
      <c r="H12179" s="238"/>
      <c r="I12179" s="237"/>
    </row>
    <row r="12180" spans="1:9" s="232" customFormat="1" ht="17" customHeight="1">
      <c r="A12180" s="234"/>
      <c r="B12180" s="233"/>
      <c r="C12180" s="238"/>
      <c r="E12180" s="545"/>
      <c r="F12180" s="546"/>
      <c r="G12180" s="234"/>
      <c r="H12180" s="238"/>
      <c r="I12180" s="237"/>
    </row>
    <row r="12181" spans="1:9" s="232" customFormat="1" ht="17" customHeight="1">
      <c r="A12181" s="234"/>
      <c r="B12181" s="233"/>
      <c r="C12181" s="238"/>
      <c r="E12181" s="545"/>
      <c r="F12181" s="546"/>
      <c r="G12181" s="234"/>
      <c r="H12181" s="238"/>
      <c r="I12181" s="237"/>
    </row>
    <row r="12182" spans="1:9" s="232" customFormat="1" ht="17" customHeight="1">
      <c r="A12182" s="234"/>
      <c r="B12182" s="233"/>
      <c r="C12182" s="238"/>
      <c r="E12182" s="545"/>
      <c r="F12182" s="546"/>
      <c r="G12182" s="234"/>
      <c r="H12182" s="238"/>
      <c r="I12182" s="237"/>
    </row>
    <row r="12183" spans="1:9" s="232" customFormat="1" ht="17" customHeight="1">
      <c r="A12183" s="234"/>
      <c r="B12183" s="233"/>
      <c r="C12183" s="238"/>
      <c r="E12183" s="545"/>
      <c r="F12183" s="546"/>
      <c r="G12183" s="234"/>
      <c r="H12183" s="238"/>
      <c r="I12183" s="237"/>
    </row>
    <row r="12184" spans="1:9" s="232" customFormat="1" ht="17" customHeight="1">
      <c r="A12184" s="234"/>
      <c r="B12184" s="233"/>
      <c r="C12184" s="238"/>
      <c r="E12184" s="545"/>
      <c r="F12184" s="546"/>
      <c r="G12184" s="234"/>
      <c r="H12184" s="238"/>
      <c r="I12184" s="237"/>
    </row>
    <row r="12185" spans="1:9" s="232" customFormat="1" ht="17" customHeight="1">
      <c r="A12185" s="234"/>
      <c r="B12185" s="233"/>
      <c r="C12185" s="238"/>
      <c r="E12185" s="545"/>
      <c r="F12185" s="546"/>
      <c r="G12185" s="234"/>
      <c r="H12185" s="238"/>
      <c r="I12185" s="237"/>
    </row>
    <row r="12186" spans="1:9" s="232" customFormat="1" ht="17" customHeight="1">
      <c r="A12186" s="234"/>
      <c r="B12186" s="233"/>
      <c r="C12186" s="238"/>
      <c r="E12186" s="545"/>
      <c r="F12186" s="546"/>
      <c r="G12186" s="234"/>
      <c r="H12186" s="238"/>
      <c r="I12186" s="237"/>
    </row>
    <row r="12187" spans="1:9" s="232" customFormat="1" ht="17" customHeight="1">
      <c r="A12187" s="234"/>
      <c r="B12187" s="233"/>
      <c r="C12187" s="238"/>
      <c r="E12187" s="545"/>
      <c r="F12187" s="546"/>
      <c r="G12187" s="234"/>
      <c r="H12187" s="238"/>
      <c r="I12187" s="237"/>
    </row>
    <row r="12188" spans="1:9" s="232" customFormat="1" ht="17" customHeight="1">
      <c r="A12188" s="234"/>
      <c r="B12188" s="233"/>
      <c r="C12188" s="238"/>
      <c r="E12188" s="545"/>
      <c r="F12188" s="546"/>
      <c r="G12188" s="234"/>
      <c r="H12188" s="238"/>
      <c r="I12188" s="237"/>
    </row>
    <row r="12189" spans="1:9" s="232" customFormat="1" ht="17" customHeight="1">
      <c r="A12189" s="234"/>
      <c r="B12189" s="233"/>
      <c r="C12189" s="238"/>
      <c r="E12189" s="545"/>
      <c r="F12189" s="546"/>
      <c r="G12189" s="234"/>
      <c r="H12189" s="238"/>
      <c r="I12189" s="237"/>
    </row>
    <row r="12190" spans="1:9" s="232" customFormat="1" ht="17" customHeight="1">
      <c r="A12190" s="234"/>
      <c r="B12190" s="233"/>
      <c r="C12190" s="238"/>
      <c r="E12190" s="545"/>
      <c r="F12190" s="546"/>
      <c r="G12190" s="234"/>
      <c r="H12190" s="238"/>
      <c r="I12190" s="237"/>
    </row>
    <row r="12191" spans="1:9" s="232" customFormat="1" ht="17" customHeight="1">
      <c r="A12191" s="234"/>
      <c r="B12191" s="233"/>
      <c r="C12191" s="238"/>
      <c r="E12191" s="545"/>
      <c r="F12191" s="546"/>
      <c r="G12191" s="234"/>
      <c r="H12191" s="238"/>
      <c r="I12191" s="237"/>
    </row>
    <row r="12192" spans="1:9" s="232" customFormat="1" ht="17" customHeight="1">
      <c r="A12192" s="234"/>
      <c r="B12192" s="233"/>
      <c r="C12192" s="238"/>
      <c r="E12192" s="545"/>
      <c r="F12192" s="546"/>
      <c r="G12192" s="234"/>
      <c r="H12192" s="238"/>
      <c r="I12192" s="237"/>
    </row>
    <row r="12193" spans="1:9" s="232" customFormat="1" ht="17" customHeight="1">
      <c r="A12193" s="234"/>
      <c r="B12193" s="233"/>
      <c r="C12193" s="238"/>
      <c r="E12193" s="545"/>
      <c r="F12193" s="546"/>
      <c r="G12193" s="234"/>
      <c r="H12193" s="238"/>
      <c r="I12193" s="237"/>
    </row>
    <row r="12194" spans="1:9" s="232" customFormat="1" ht="17" customHeight="1">
      <c r="A12194" s="234"/>
      <c r="B12194" s="233"/>
      <c r="C12194" s="238"/>
      <c r="E12194" s="545"/>
      <c r="F12194" s="546"/>
      <c r="G12194" s="234"/>
      <c r="H12194" s="238"/>
      <c r="I12194" s="237"/>
    </row>
    <row r="12195" spans="1:9" s="232" customFormat="1" ht="17" customHeight="1">
      <c r="A12195" s="234"/>
      <c r="B12195" s="233"/>
      <c r="C12195" s="238"/>
      <c r="E12195" s="545"/>
      <c r="F12195" s="546"/>
      <c r="G12195" s="234"/>
      <c r="H12195" s="238"/>
      <c r="I12195" s="237"/>
    </row>
    <row r="12196" spans="1:9" s="232" customFormat="1" ht="17" customHeight="1">
      <c r="A12196" s="234"/>
      <c r="B12196" s="233"/>
      <c r="C12196" s="238"/>
      <c r="E12196" s="545"/>
      <c r="F12196" s="546"/>
      <c r="G12196" s="234"/>
      <c r="H12196" s="238"/>
      <c r="I12196" s="237"/>
    </row>
    <row r="12197" spans="1:9" s="232" customFormat="1" ht="17" customHeight="1">
      <c r="A12197" s="234"/>
      <c r="B12197" s="233"/>
      <c r="C12197" s="238"/>
      <c r="E12197" s="545"/>
      <c r="F12197" s="546"/>
      <c r="G12197" s="234"/>
      <c r="H12197" s="238"/>
      <c r="I12197" s="237"/>
    </row>
    <row r="12198" spans="1:9" s="232" customFormat="1" ht="17" customHeight="1">
      <c r="A12198" s="234"/>
      <c r="B12198" s="233"/>
      <c r="C12198" s="238"/>
      <c r="E12198" s="545"/>
      <c r="F12198" s="546"/>
      <c r="G12198" s="234"/>
      <c r="H12198" s="238"/>
      <c r="I12198" s="237"/>
    </row>
    <row r="12199" spans="1:9" s="232" customFormat="1" ht="17" customHeight="1">
      <c r="A12199" s="234"/>
      <c r="B12199" s="233"/>
      <c r="C12199" s="238"/>
      <c r="E12199" s="545"/>
      <c r="F12199" s="546"/>
      <c r="G12199" s="234"/>
      <c r="H12199" s="238"/>
      <c r="I12199" s="237"/>
    </row>
    <row r="12200" spans="1:9" s="232" customFormat="1" ht="17" customHeight="1">
      <c r="A12200" s="234"/>
      <c r="B12200" s="233"/>
      <c r="C12200" s="238"/>
      <c r="E12200" s="545"/>
      <c r="F12200" s="546"/>
      <c r="G12200" s="234"/>
      <c r="H12200" s="238"/>
      <c r="I12200" s="237"/>
    </row>
    <row r="12201" spans="1:9" s="232" customFormat="1" ht="17" customHeight="1">
      <c r="A12201" s="234"/>
      <c r="B12201" s="233"/>
      <c r="C12201" s="238"/>
      <c r="E12201" s="545"/>
      <c r="F12201" s="546"/>
      <c r="G12201" s="234"/>
      <c r="H12201" s="238"/>
      <c r="I12201" s="237"/>
    </row>
    <row r="12202" spans="1:9" s="232" customFormat="1" ht="17" customHeight="1">
      <c r="A12202" s="234"/>
      <c r="B12202" s="233"/>
      <c r="C12202" s="238"/>
      <c r="E12202" s="545"/>
      <c r="F12202" s="546"/>
      <c r="G12202" s="234"/>
      <c r="H12202" s="238"/>
      <c r="I12202" s="237"/>
    </row>
    <row r="12203" spans="1:9" s="232" customFormat="1" ht="17" customHeight="1">
      <c r="A12203" s="234"/>
      <c r="B12203" s="233"/>
      <c r="C12203" s="238"/>
      <c r="E12203" s="545"/>
      <c r="F12203" s="546"/>
      <c r="G12203" s="234"/>
      <c r="H12203" s="238"/>
      <c r="I12203" s="237"/>
    </row>
    <row r="12204" spans="1:9" s="232" customFormat="1" ht="17" customHeight="1">
      <c r="A12204" s="234"/>
      <c r="B12204" s="233"/>
      <c r="C12204" s="238"/>
      <c r="E12204" s="545"/>
      <c r="F12204" s="546"/>
      <c r="G12204" s="234"/>
      <c r="H12204" s="238"/>
      <c r="I12204" s="237"/>
    </row>
    <row r="12205" spans="1:9" s="232" customFormat="1" ht="17" customHeight="1">
      <c r="A12205" s="234"/>
      <c r="B12205" s="233"/>
      <c r="C12205" s="238"/>
      <c r="E12205" s="545"/>
      <c r="F12205" s="546"/>
      <c r="G12205" s="234"/>
      <c r="H12205" s="238"/>
      <c r="I12205" s="237"/>
    </row>
    <row r="12206" spans="1:9" s="232" customFormat="1" ht="17" customHeight="1">
      <c r="A12206" s="234"/>
      <c r="B12206" s="233"/>
      <c r="C12206" s="238"/>
      <c r="E12206" s="545"/>
      <c r="F12206" s="546"/>
      <c r="G12206" s="234"/>
      <c r="H12206" s="238"/>
      <c r="I12206" s="237"/>
    </row>
    <row r="12207" spans="1:9" s="232" customFormat="1" ht="17" customHeight="1">
      <c r="A12207" s="234"/>
      <c r="B12207" s="233"/>
      <c r="C12207" s="238"/>
      <c r="E12207" s="545"/>
      <c r="F12207" s="546"/>
      <c r="G12207" s="234"/>
      <c r="H12207" s="238"/>
      <c r="I12207" s="237"/>
    </row>
    <row r="12208" spans="1:9" s="232" customFormat="1" ht="17" customHeight="1">
      <c r="A12208" s="234"/>
      <c r="B12208" s="233"/>
      <c r="C12208" s="238"/>
      <c r="E12208" s="545"/>
      <c r="F12208" s="546"/>
      <c r="G12208" s="234"/>
      <c r="H12208" s="238"/>
      <c r="I12208" s="237"/>
    </row>
    <row r="12209" spans="1:9" s="232" customFormat="1" ht="17" customHeight="1">
      <c r="A12209" s="234"/>
      <c r="B12209" s="233"/>
      <c r="C12209" s="238"/>
      <c r="E12209" s="545"/>
      <c r="F12209" s="546"/>
      <c r="G12209" s="234"/>
      <c r="H12209" s="238"/>
      <c r="I12209" s="237"/>
    </row>
    <row r="12210" spans="1:9" s="232" customFormat="1" ht="17" customHeight="1">
      <c r="A12210" s="234"/>
      <c r="B12210" s="233"/>
      <c r="C12210" s="238"/>
      <c r="E12210" s="545"/>
      <c r="F12210" s="546"/>
      <c r="G12210" s="234"/>
      <c r="H12210" s="238"/>
      <c r="I12210" s="237"/>
    </row>
    <row r="12211" spans="1:9" s="232" customFormat="1" ht="17" customHeight="1">
      <c r="A12211" s="234"/>
      <c r="B12211" s="233"/>
      <c r="C12211" s="238"/>
      <c r="E12211" s="545"/>
      <c r="F12211" s="546"/>
      <c r="G12211" s="234"/>
      <c r="H12211" s="238"/>
      <c r="I12211" s="237"/>
    </row>
    <row r="12212" spans="1:9" s="232" customFormat="1" ht="17" customHeight="1">
      <c r="A12212" s="234"/>
      <c r="B12212" s="233"/>
      <c r="C12212" s="238"/>
      <c r="E12212" s="545"/>
      <c r="F12212" s="546"/>
      <c r="G12212" s="234"/>
      <c r="H12212" s="238"/>
      <c r="I12212" s="237"/>
    </row>
    <row r="12213" spans="1:9" s="232" customFormat="1" ht="17" customHeight="1">
      <c r="A12213" s="234"/>
      <c r="B12213" s="233"/>
      <c r="C12213" s="238"/>
      <c r="E12213" s="545"/>
      <c r="F12213" s="546"/>
      <c r="G12213" s="234"/>
      <c r="H12213" s="238"/>
      <c r="I12213" s="237"/>
    </row>
    <row r="12214" spans="1:9" s="232" customFormat="1" ht="17" customHeight="1">
      <c r="A12214" s="234"/>
      <c r="B12214" s="233"/>
      <c r="C12214" s="238"/>
      <c r="E12214" s="545"/>
      <c r="F12214" s="546"/>
      <c r="G12214" s="234"/>
      <c r="H12214" s="238"/>
      <c r="I12214" s="237"/>
    </row>
    <row r="12215" spans="1:9" s="232" customFormat="1" ht="17" customHeight="1">
      <c r="A12215" s="234"/>
      <c r="B12215" s="233"/>
      <c r="C12215" s="238"/>
      <c r="E12215" s="545"/>
      <c r="F12215" s="546"/>
      <c r="G12215" s="234"/>
      <c r="H12215" s="238"/>
      <c r="I12215" s="237"/>
    </row>
    <row r="12216" spans="1:9" s="232" customFormat="1" ht="17" customHeight="1">
      <c r="A12216" s="234"/>
      <c r="B12216" s="233"/>
      <c r="C12216" s="238"/>
      <c r="E12216" s="545"/>
      <c r="F12216" s="546"/>
      <c r="G12216" s="234"/>
      <c r="H12216" s="238"/>
      <c r="I12216" s="237"/>
    </row>
    <row r="12217" spans="1:9" s="232" customFormat="1" ht="17" customHeight="1">
      <c r="A12217" s="234"/>
      <c r="B12217" s="233"/>
      <c r="C12217" s="238"/>
      <c r="E12217" s="545"/>
      <c r="F12217" s="546"/>
      <c r="G12217" s="234"/>
      <c r="H12217" s="238"/>
      <c r="I12217" s="237"/>
    </row>
    <row r="12218" spans="1:9" s="232" customFormat="1" ht="17" customHeight="1">
      <c r="A12218" s="234"/>
      <c r="B12218" s="233"/>
      <c r="C12218" s="238"/>
      <c r="E12218" s="545"/>
      <c r="F12218" s="546"/>
      <c r="G12218" s="234"/>
      <c r="H12218" s="238"/>
      <c r="I12218" s="237"/>
    </row>
    <row r="12219" spans="1:9" s="232" customFormat="1" ht="17" customHeight="1">
      <c r="A12219" s="234"/>
      <c r="B12219" s="233"/>
      <c r="C12219" s="238"/>
      <c r="E12219" s="545"/>
      <c r="F12219" s="546"/>
      <c r="G12219" s="234"/>
      <c r="H12219" s="238"/>
      <c r="I12219" s="237"/>
    </row>
    <row r="12220" spans="1:9" s="232" customFormat="1" ht="17" customHeight="1">
      <c r="A12220" s="234"/>
      <c r="B12220" s="233"/>
      <c r="C12220" s="238"/>
      <c r="E12220" s="545"/>
      <c r="F12220" s="546"/>
      <c r="G12220" s="234"/>
      <c r="H12220" s="238"/>
      <c r="I12220" s="237"/>
    </row>
    <row r="12221" spans="1:9" s="232" customFormat="1" ht="17" customHeight="1">
      <c r="A12221" s="234"/>
      <c r="B12221" s="233"/>
      <c r="C12221" s="238"/>
      <c r="E12221" s="545"/>
      <c r="F12221" s="546"/>
      <c r="G12221" s="234"/>
      <c r="H12221" s="238"/>
      <c r="I12221" s="237"/>
    </row>
    <row r="12222" spans="1:9" s="232" customFormat="1" ht="17" customHeight="1">
      <c r="A12222" s="234"/>
      <c r="B12222" s="233"/>
      <c r="C12222" s="238"/>
      <c r="E12222" s="545"/>
      <c r="F12222" s="546"/>
      <c r="G12222" s="234"/>
      <c r="H12222" s="238"/>
      <c r="I12222" s="237"/>
    </row>
    <row r="12223" spans="1:9" s="232" customFormat="1" ht="17" customHeight="1">
      <c r="A12223" s="234"/>
      <c r="B12223" s="233"/>
      <c r="C12223" s="238"/>
      <c r="E12223" s="545"/>
      <c r="F12223" s="546"/>
      <c r="G12223" s="234"/>
      <c r="H12223" s="238"/>
      <c r="I12223" s="237"/>
    </row>
    <row r="12224" spans="1:9" s="232" customFormat="1" ht="17" customHeight="1">
      <c r="A12224" s="234"/>
      <c r="B12224" s="233"/>
      <c r="C12224" s="238"/>
      <c r="E12224" s="545"/>
      <c r="F12224" s="546"/>
      <c r="G12224" s="234"/>
      <c r="H12224" s="238"/>
      <c r="I12224" s="237"/>
    </row>
    <row r="12225" spans="1:9" s="232" customFormat="1" ht="17" customHeight="1">
      <c r="A12225" s="234"/>
      <c r="B12225" s="233"/>
      <c r="C12225" s="238"/>
      <c r="E12225" s="545"/>
      <c r="F12225" s="546"/>
      <c r="G12225" s="234"/>
      <c r="H12225" s="238"/>
      <c r="I12225" s="237"/>
    </row>
    <row r="12226" spans="1:9" s="232" customFormat="1" ht="17" customHeight="1">
      <c r="A12226" s="234"/>
      <c r="B12226" s="233"/>
      <c r="C12226" s="238"/>
      <c r="E12226" s="545"/>
      <c r="F12226" s="546"/>
      <c r="G12226" s="234"/>
      <c r="H12226" s="238"/>
      <c r="I12226" s="237"/>
    </row>
    <row r="12227" spans="1:9" s="232" customFormat="1" ht="17" customHeight="1">
      <c r="A12227" s="234"/>
      <c r="B12227" s="233"/>
      <c r="C12227" s="238"/>
      <c r="E12227" s="545"/>
      <c r="F12227" s="546"/>
      <c r="G12227" s="234"/>
      <c r="H12227" s="238"/>
      <c r="I12227" s="237"/>
    </row>
    <row r="12228" spans="1:9" s="232" customFormat="1" ht="17" customHeight="1">
      <c r="A12228" s="234"/>
      <c r="B12228" s="233"/>
      <c r="C12228" s="238"/>
      <c r="E12228" s="545"/>
      <c r="F12228" s="546"/>
      <c r="G12228" s="234"/>
      <c r="H12228" s="238"/>
      <c r="I12228" s="237"/>
    </row>
    <row r="12229" spans="1:9" s="232" customFormat="1" ht="17" customHeight="1">
      <c r="A12229" s="234"/>
      <c r="B12229" s="233"/>
      <c r="C12229" s="238"/>
      <c r="E12229" s="545"/>
      <c r="F12229" s="546"/>
      <c r="G12229" s="234"/>
      <c r="H12229" s="238"/>
      <c r="I12229" s="237"/>
    </row>
    <row r="12230" spans="1:9" s="232" customFormat="1" ht="17" customHeight="1">
      <c r="A12230" s="234"/>
      <c r="B12230" s="233"/>
      <c r="C12230" s="238"/>
      <c r="E12230" s="545"/>
      <c r="F12230" s="546"/>
      <c r="G12230" s="234"/>
      <c r="H12230" s="238"/>
      <c r="I12230" s="237"/>
    </row>
    <row r="12231" spans="1:9" s="232" customFormat="1" ht="17" customHeight="1">
      <c r="A12231" s="234"/>
      <c r="B12231" s="233"/>
      <c r="C12231" s="238"/>
      <c r="E12231" s="545"/>
      <c r="F12231" s="546"/>
      <c r="G12231" s="234"/>
      <c r="H12231" s="238"/>
      <c r="I12231" s="237"/>
    </row>
    <row r="12232" spans="1:9" s="232" customFormat="1" ht="17" customHeight="1">
      <c r="A12232" s="234"/>
      <c r="B12232" s="233"/>
      <c r="C12232" s="238"/>
      <c r="E12232" s="545"/>
      <c r="F12232" s="546"/>
      <c r="G12232" s="234"/>
      <c r="H12232" s="238"/>
      <c r="I12232" s="237"/>
    </row>
    <row r="12233" spans="1:9" s="232" customFormat="1" ht="17" customHeight="1">
      <c r="A12233" s="234"/>
      <c r="B12233" s="233"/>
      <c r="C12233" s="238"/>
      <c r="E12233" s="545"/>
      <c r="F12233" s="546"/>
      <c r="G12233" s="234"/>
      <c r="H12233" s="238"/>
      <c r="I12233" s="237"/>
    </row>
    <row r="12234" spans="1:9" s="232" customFormat="1" ht="17" customHeight="1">
      <c r="A12234" s="234"/>
      <c r="B12234" s="233"/>
      <c r="C12234" s="238"/>
      <c r="E12234" s="545"/>
      <c r="F12234" s="546"/>
      <c r="G12234" s="234"/>
      <c r="H12234" s="238"/>
      <c r="I12234" s="237"/>
    </row>
    <row r="12235" spans="1:9" s="232" customFormat="1" ht="17" customHeight="1">
      <c r="A12235" s="234"/>
      <c r="B12235" s="233"/>
      <c r="C12235" s="238"/>
      <c r="E12235" s="545"/>
      <c r="F12235" s="546"/>
      <c r="G12235" s="234"/>
      <c r="H12235" s="238"/>
      <c r="I12235" s="237"/>
    </row>
    <row r="12236" spans="1:9" s="232" customFormat="1" ht="17" customHeight="1">
      <c r="A12236" s="234"/>
      <c r="B12236" s="233"/>
      <c r="C12236" s="238"/>
      <c r="E12236" s="545"/>
      <c r="F12236" s="546"/>
      <c r="G12236" s="234"/>
      <c r="H12236" s="238"/>
      <c r="I12236" s="237"/>
    </row>
    <row r="12237" spans="1:9" s="232" customFormat="1" ht="17" customHeight="1">
      <c r="A12237" s="234"/>
      <c r="B12237" s="233"/>
      <c r="C12237" s="238"/>
      <c r="E12237" s="545"/>
      <c r="F12237" s="546"/>
      <c r="G12237" s="234"/>
      <c r="H12237" s="238"/>
      <c r="I12237" s="237"/>
    </row>
    <row r="12238" spans="1:9" s="232" customFormat="1" ht="17" customHeight="1">
      <c r="A12238" s="234"/>
      <c r="B12238" s="233"/>
      <c r="C12238" s="238"/>
      <c r="E12238" s="545"/>
      <c r="F12238" s="546"/>
      <c r="G12238" s="234"/>
      <c r="H12238" s="238"/>
      <c r="I12238" s="237"/>
    </row>
    <row r="12239" spans="1:9" s="232" customFormat="1" ht="17" customHeight="1">
      <c r="A12239" s="234"/>
      <c r="B12239" s="233"/>
      <c r="C12239" s="238"/>
      <c r="E12239" s="545"/>
      <c r="F12239" s="546"/>
      <c r="G12239" s="234"/>
      <c r="H12239" s="238"/>
      <c r="I12239" s="237"/>
    </row>
    <row r="12240" spans="1:9" s="232" customFormat="1" ht="17" customHeight="1">
      <c r="A12240" s="234"/>
      <c r="B12240" s="233"/>
      <c r="C12240" s="238"/>
      <c r="E12240" s="545"/>
      <c r="F12240" s="546"/>
      <c r="G12240" s="234"/>
      <c r="H12240" s="238"/>
      <c r="I12240" s="237"/>
    </row>
    <row r="12241" spans="1:9" s="232" customFormat="1" ht="17" customHeight="1">
      <c r="A12241" s="234"/>
      <c r="B12241" s="233"/>
      <c r="C12241" s="238"/>
      <c r="E12241" s="545"/>
      <c r="F12241" s="546"/>
      <c r="G12241" s="234"/>
      <c r="H12241" s="238"/>
      <c r="I12241" s="237"/>
    </row>
    <row r="12242" spans="1:9" s="232" customFormat="1" ht="17" customHeight="1">
      <c r="A12242" s="234"/>
      <c r="B12242" s="233"/>
      <c r="C12242" s="238"/>
      <c r="E12242" s="545"/>
      <c r="F12242" s="546"/>
      <c r="G12242" s="234"/>
      <c r="H12242" s="238"/>
      <c r="I12242" s="237"/>
    </row>
    <row r="12243" spans="1:9" s="232" customFormat="1" ht="17" customHeight="1">
      <c r="A12243" s="234"/>
      <c r="B12243" s="233"/>
      <c r="C12243" s="238"/>
      <c r="E12243" s="545"/>
      <c r="F12243" s="546"/>
      <c r="G12243" s="234"/>
      <c r="H12243" s="238"/>
      <c r="I12243" s="237"/>
    </row>
    <row r="12244" spans="1:9" s="232" customFormat="1" ht="17" customHeight="1">
      <c r="A12244" s="234"/>
      <c r="B12244" s="233"/>
      <c r="C12244" s="238"/>
      <c r="E12244" s="545"/>
      <c r="F12244" s="546"/>
      <c r="G12244" s="234"/>
      <c r="H12244" s="238"/>
      <c r="I12244" s="237"/>
    </row>
    <row r="12245" spans="1:9" s="232" customFormat="1" ht="17" customHeight="1">
      <c r="A12245" s="234"/>
      <c r="B12245" s="233"/>
      <c r="C12245" s="238"/>
      <c r="E12245" s="545"/>
      <c r="F12245" s="546"/>
      <c r="G12245" s="234"/>
      <c r="H12245" s="238"/>
      <c r="I12245" s="237"/>
    </row>
    <row r="12246" spans="1:9" s="232" customFormat="1" ht="17" customHeight="1">
      <c r="A12246" s="234"/>
      <c r="B12246" s="233"/>
      <c r="C12246" s="238"/>
      <c r="E12246" s="545"/>
      <c r="F12246" s="546"/>
      <c r="G12246" s="234"/>
      <c r="H12246" s="238"/>
      <c r="I12246" s="237"/>
    </row>
    <row r="12247" spans="1:9" s="232" customFormat="1" ht="17" customHeight="1">
      <c r="A12247" s="234"/>
      <c r="B12247" s="233"/>
      <c r="C12247" s="238"/>
      <c r="E12247" s="545"/>
      <c r="F12247" s="546"/>
      <c r="G12247" s="234"/>
      <c r="H12247" s="238"/>
      <c r="I12247" s="237"/>
    </row>
    <row r="12248" spans="1:9" s="232" customFormat="1" ht="17" customHeight="1">
      <c r="A12248" s="234"/>
      <c r="B12248" s="233"/>
      <c r="C12248" s="238"/>
      <c r="E12248" s="545"/>
      <c r="F12248" s="546"/>
      <c r="G12248" s="234"/>
      <c r="H12248" s="238"/>
      <c r="I12248" s="237"/>
    </row>
    <row r="12249" spans="1:9" s="232" customFormat="1" ht="17" customHeight="1">
      <c r="A12249" s="234"/>
      <c r="B12249" s="233"/>
      <c r="C12249" s="238"/>
      <c r="E12249" s="545"/>
      <c r="F12249" s="546"/>
      <c r="G12249" s="234"/>
      <c r="H12249" s="238"/>
      <c r="I12249" s="237"/>
    </row>
    <row r="12250" spans="1:9" s="232" customFormat="1" ht="17" customHeight="1">
      <c r="A12250" s="234"/>
      <c r="B12250" s="233"/>
      <c r="C12250" s="238"/>
      <c r="E12250" s="545"/>
      <c r="F12250" s="546"/>
      <c r="G12250" s="234"/>
      <c r="H12250" s="238"/>
      <c r="I12250" s="237"/>
    </row>
    <row r="12251" spans="1:9" s="232" customFormat="1" ht="17" customHeight="1">
      <c r="A12251" s="234"/>
      <c r="B12251" s="233"/>
      <c r="C12251" s="238"/>
      <c r="E12251" s="545"/>
      <c r="F12251" s="546"/>
      <c r="G12251" s="234"/>
      <c r="H12251" s="238"/>
      <c r="I12251" s="237"/>
    </row>
    <row r="12252" spans="1:9" s="232" customFormat="1" ht="17" customHeight="1">
      <c r="A12252" s="234"/>
      <c r="B12252" s="233"/>
      <c r="C12252" s="238"/>
      <c r="E12252" s="545"/>
      <c r="F12252" s="546"/>
      <c r="G12252" s="234"/>
      <c r="H12252" s="238"/>
      <c r="I12252" s="237"/>
    </row>
    <row r="12253" spans="1:9" s="232" customFormat="1" ht="17" customHeight="1">
      <c r="A12253" s="234"/>
      <c r="B12253" s="233"/>
      <c r="C12253" s="238"/>
      <c r="E12253" s="545"/>
      <c r="F12253" s="546"/>
      <c r="G12253" s="234"/>
      <c r="H12253" s="238"/>
      <c r="I12253" s="237"/>
    </row>
    <row r="12254" spans="1:9" s="232" customFormat="1" ht="17" customHeight="1">
      <c r="A12254" s="234"/>
      <c r="B12254" s="233"/>
      <c r="C12254" s="238"/>
      <c r="E12254" s="545"/>
      <c r="F12254" s="546"/>
      <c r="G12254" s="234"/>
      <c r="H12254" s="238"/>
      <c r="I12254" s="237"/>
    </row>
    <row r="12255" spans="1:9" s="232" customFormat="1" ht="17" customHeight="1">
      <c r="A12255" s="234"/>
      <c r="B12255" s="233"/>
      <c r="C12255" s="238"/>
      <c r="E12255" s="545"/>
      <c r="F12255" s="546"/>
      <c r="G12255" s="234"/>
      <c r="H12255" s="238"/>
      <c r="I12255" s="237"/>
    </row>
    <row r="12256" spans="1:9" s="232" customFormat="1" ht="17" customHeight="1">
      <c r="A12256" s="234"/>
      <c r="B12256" s="233"/>
      <c r="C12256" s="238"/>
      <c r="E12256" s="545"/>
      <c r="F12256" s="546"/>
      <c r="G12256" s="234"/>
      <c r="H12256" s="238"/>
      <c r="I12256" s="237"/>
    </row>
    <row r="12257" spans="1:9" s="232" customFormat="1" ht="17" customHeight="1">
      <c r="A12257" s="234"/>
      <c r="B12257" s="233"/>
      <c r="C12257" s="238"/>
      <c r="E12257" s="545"/>
      <c r="F12257" s="546"/>
      <c r="G12257" s="234"/>
      <c r="H12257" s="238"/>
      <c r="I12257" s="237"/>
    </row>
    <row r="12258" spans="1:9" s="232" customFormat="1" ht="17" customHeight="1">
      <c r="A12258" s="234"/>
      <c r="B12258" s="233"/>
      <c r="C12258" s="238"/>
      <c r="E12258" s="545"/>
      <c r="F12258" s="546"/>
      <c r="G12258" s="234"/>
      <c r="H12258" s="238"/>
      <c r="I12258" s="237"/>
    </row>
    <row r="12259" spans="1:9" s="232" customFormat="1" ht="17" customHeight="1">
      <c r="A12259" s="234"/>
      <c r="B12259" s="233"/>
      <c r="C12259" s="238"/>
      <c r="E12259" s="545"/>
      <c r="F12259" s="546"/>
      <c r="G12259" s="234"/>
      <c r="H12259" s="238"/>
      <c r="I12259" s="237"/>
    </row>
    <row r="12260" spans="1:9" s="232" customFormat="1" ht="17" customHeight="1">
      <c r="A12260" s="234"/>
      <c r="B12260" s="233"/>
      <c r="C12260" s="238"/>
      <c r="E12260" s="545"/>
      <c r="F12260" s="546"/>
      <c r="G12260" s="234"/>
      <c r="H12260" s="238"/>
      <c r="I12260" s="237"/>
    </row>
    <row r="12261" spans="1:9" s="232" customFormat="1" ht="17" customHeight="1">
      <c r="A12261" s="234"/>
      <c r="B12261" s="233"/>
      <c r="C12261" s="238"/>
      <c r="E12261" s="545"/>
      <c r="F12261" s="546"/>
      <c r="G12261" s="234"/>
      <c r="H12261" s="238"/>
      <c r="I12261" s="237"/>
    </row>
    <row r="12262" spans="1:9" s="232" customFormat="1" ht="17" customHeight="1">
      <c r="A12262" s="234"/>
      <c r="B12262" s="233"/>
      <c r="C12262" s="238"/>
      <c r="E12262" s="545"/>
      <c r="F12262" s="546"/>
      <c r="G12262" s="234"/>
      <c r="H12262" s="238"/>
      <c r="I12262" s="237"/>
    </row>
    <row r="12263" spans="1:9" s="232" customFormat="1" ht="17" customHeight="1">
      <c r="A12263" s="234"/>
      <c r="B12263" s="233"/>
      <c r="C12263" s="238"/>
      <c r="E12263" s="545"/>
      <c r="F12263" s="546"/>
      <c r="G12263" s="234"/>
      <c r="H12263" s="238"/>
      <c r="I12263" s="237"/>
    </row>
    <row r="12264" spans="1:9" s="232" customFormat="1" ht="17" customHeight="1">
      <c r="A12264" s="234"/>
      <c r="B12264" s="233"/>
      <c r="C12264" s="238"/>
      <c r="E12264" s="545"/>
      <c r="F12264" s="546"/>
      <c r="G12264" s="234"/>
      <c r="H12264" s="238"/>
      <c r="I12264" s="237"/>
    </row>
    <row r="12265" spans="1:9" s="232" customFormat="1" ht="17" customHeight="1">
      <c r="A12265" s="234"/>
      <c r="B12265" s="233"/>
      <c r="C12265" s="238"/>
      <c r="E12265" s="545"/>
      <c r="F12265" s="546"/>
      <c r="G12265" s="234"/>
      <c r="H12265" s="238"/>
      <c r="I12265" s="237"/>
    </row>
    <row r="12266" spans="1:9" s="232" customFormat="1" ht="17" customHeight="1">
      <c r="A12266" s="234"/>
      <c r="B12266" s="233"/>
      <c r="C12266" s="238"/>
      <c r="E12266" s="545"/>
      <c r="F12266" s="546"/>
      <c r="G12266" s="234"/>
      <c r="H12266" s="238"/>
      <c r="I12266" s="237"/>
    </row>
    <row r="12267" spans="1:9" s="232" customFormat="1" ht="17" customHeight="1">
      <c r="A12267" s="234"/>
      <c r="B12267" s="233"/>
      <c r="C12267" s="238"/>
      <c r="E12267" s="545"/>
      <c r="F12267" s="546"/>
      <c r="G12267" s="234"/>
      <c r="H12267" s="238"/>
      <c r="I12267" s="237"/>
    </row>
    <row r="12268" spans="1:9" s="232" customFormat="1" ht="17" customHeight="1">
      <c r="A12268" s="234"/>
      <c r="B12268" s="233"/>
      <c r="C12268" s="238"/>
      <c r="E12268" s="545"/>
      <c r="F12268" s="546"/>
      <c r="G12268" s="234"/>
      <c r="H12268" s="238"/>
      <c r="I12268" s="237"/>
    </row>
    <row r="12269" spans="1:9" s="232" customFormat="1" ht="17" customHeight="1">
      <c r="A12269" s="234"/>
      <c r="B12269" s="233"/>
      <c r="C12269" s="238"/>
      <c r="E12269" s="545"/>
      <c r="F12269" s="546"/>
      <c r="G12269" s="234"/>
      <c r="H12269" s="238"/>
      <c r="I12269" s="237"/>
    </row>
    <row r="12270" spans="1:9" s="232" customFormat="1" ht="17" customHeight="1">
      <c r="A12270" s="234"/>
      <c r="B12270" s="233"/>
      <c r="C12270" s="238"/>
      <c r="E12270" s="545"/>
      <c r="F12270" s="546"/>
      <c r="G12270" s="234"/>
      <c r="H12270" s="238"/>
      <c r="I12270" s="237"/>
    </row>
    <row r="12271" spans="1:9" s="232" customFormat="1" ht="17" customHeight="1">
      <c r="A12271" s="234"/>
      <c r="B12271" s="233"/>
      <c r="C12271" s="238"/>
      <c r="E12271" s="545"/>
      <c r="F12271" s="546"/>
      <c r="G12271" s="234"/>
      <c r="H12271" s="238"/>
      <c r="I12271" s="237"/>
    </row>
    <row r="12272" spans="1:9" s="232" customFormat="1" ht="17" customHeight="1">
      <c r="A12272" s="234"/>
      <c r="B12272" s="233"/>
      <c r="C12272" s="238"/>
      <c r="E12272" s="545"/>
      <c r="F12272" s="546"/>
      <c r="G12272" s="234"/>
      <c r="H12272" s="238"/>
      <c r="I12272" s="237"/>
    </row>
    <row r="12273" spans="1:9" s="232" customFormat="1" ht="17" customHeight="1">
      <c r="A12273" s="234"/>
      <c r="B12273" s="233"/>
      <c r="C12273" s="238"/>
      <c r="E12273" s="545"/>
      <c r="F12273" s="546"/>
      <c r="G12273" s="234"/>
      <c r="H12273" s="238"/>
      <c r="I12273" s="237"/>
    </row>
    <row r="12274" spans="1:9" s="232" customFormat="1" ht="17" customHeight="1">
      <c r="A12274" s="234"/>
      <c r="B12274" s="233"/>
      <c r="C12274" s="238"/>
      <c r="E12274" s="545"/>
      <c r="F12274" s="546"/>
      <c r="G12274" s="234"/>
      <c r="H12274" s="238"/>
      <c r="I12274" s="237"/>
    </row>
    <row r="12275" spans="1:9" s="232" customFormat="1" ht="17" customHeight="1">
      <c r="A12275" s="234"/>
      <c r="B12275" s="233"/>
      <c r="C12275" s="238"/>
      <c r="E12275" s="545"/>
      <c r="F12275" s="546"/>
      <c r="G12275" s="234"/>
      <c r="H12275" s="238"/>
      <c r="I12275" s="237"/>
    </row>
    <row r="12276" spans="1:9" s="232" customFormat="1" ht="17" customHeight="1">
      <c r="A12276" s="234"/>
      <c r="B12276" s="233"/>
      <c r="C12276" s="238"/>
      <c r="E12276" s="545"/>
      <c r="F12276" s="546"/>
      <c r="G12276" s="234"/>
      <c r="H12276" s="238"/>
      <c r="I12276" s="237"/>
    </row>
    <row r="12277" spans="1:9" s="232" customFormat="1" ht="17" customHeight="1">
      <c r="A12277" s="234"/>
      <c r="B12277" s="233"/>
      <c r="C12277" s="238"/>
      <c r="E12277" s="545"/>
      <c r="F12277" s="546"/>
      <c r="G12277" s="234"/>
      <c r="H12277" s="238"/>
      <c r="I12277" s="237"/>
    </row>
    <row r="12278" spans="1:9" s="232" customFormat="1" ht="17" customHeight="1">
      <c r="A12278" s="234"/>
      <c r="B12278" s="233"/>
      <c r="C12278" s="238"/>
      <c r="E12278" s="545"/>
      <c r="F12278" s="546"/>
      <c r="G12278" s="234"/>
      <c r="H12278" s="238"/>
      <c r="I12278" s="237"/>
    </row>
    <row r="12279" spans="1:9" s="232" customFormat="1" ht="17" customHeight="1">
      <c r="A12279" s="234"/>
      <c r="B12279" s="233"/>
      <c r="C12279" s="238"/>
      <c r="E12279" s="545"/>
      <c r="F12279" s="546"/>
      <c r="G12279" s="234"/>
      <c r="H12279" s="238"/>
      <c r="I12279" s="237"/>
    </row>
    <row r="12280" spans="1:9" s="232" customFormat="1" ht="17" customHeight="1">
      <c r="A12280" s="234"/>
      <c r="B12280" s="233"/>
      <c r="C12280" s="238"/>
      <c r="E12280" s="545"/>
      <c r="F12280" s="546"/>
      <c r="G12280" s="234"/>
      <c r="H12280" s="238"/>
      <c r="I12280" s="237"/>
    </row>
    <row r="12281" spans="1:9" s="232" customFormat="1" ht="17" customHeight="1">
      <c r="A12281" s="234"/>
      <c r="B12281" s="233"/>
      <c r="C12281" s="238"/>
      <c r="E12281" s="545"/>
      <c r="F12281" s="546"/>
      <c r="G12281" s="234"/>
      <c r="H12281" s="238"/>
      <c r="I12281" s="237"/>
    </row>
    <row r="12282" spans="1:9" s="232" customFormat="1" ht="17" customHeight="1">
      <c r="A12282" s="234"/>
      <c r="B12282" s="233"/>
      <c r="C12282" s="238"/>
      <c r="E12282" s="545"/>
      <c r="F12282" s="546"/>
      <c r="G12282" s="234"/>
      <c r="H12282" s="238"/>
      <c r="I12282" s="237"/>
    </row>
    <row r="12283" spans="1:9" s="232" customFormat="1" ht="17" customHeight="1">
      <c r="A12283" s="234"/>
      <c r="B12283" s="233"/>
      <c r="C12283" s="238"/>
      <c r="E12283" s="545"/>
      <c r="F12283" s="546"/>
      <c r="G12283" s="234"/>
      <c r="H12283" s="238"/>
      <c r="I12283" s="237"/>
    </row>
    <row r="12284" spans="1:9" s="232" customFormat="1" ht="17" customHeight="1">
      <c r="A12284" s="234"/>
      <c r="B12284" s="233"/>
      <c r="C12284" s="238"/>
      <c r="E12284" s="545"/>
      <c r="F12284" s="546"/>
      <c r="G12284" s="234"/>
      <c r="H12284" s="238"/>
      <c r="I12284" s="237"/>
    </row>
    <row r="12285" spans="1:9" s="232" customFormat="1" ht="17" customHeight="1">
      <c r="A12285" s="234"/>
      <c r="B12285" s="233"/>
      <c r="C12285" s="238"/>
      <c r="E12285" s="545"/>
      <c r="F12285" s="546"/>
      <c r="G12285" s="234"/>
      <c r="H12285" s="238"/>
      <c r="I12285" s="237"/>
    </row>
    <row r="12286" spans="1:9" s="232" customFormat="1" ht="17" customHeight="1">
      <c r="A12286" s="234"/>
      <c r="B12286" s="233"/>
      <c r="C12286" s="238"/>
      <c r="E12286" s="545"/>
      <c r="F12286" s="546"/>
      <c r="G12286" s="234"/>
      <c r="H12286" s="238"/>
      <c r="I12286" s="237"/>
    </row>
    <row r="12287" spans="1:9" s="232" customFormat="1" ht="17" customHeight="1">
      <c r="A12287" s="234"/>
      <c r="B12287" s="233"/>
      <c r="C12287" s="238"/>
      <c r="E12287" s="545"/>
      <c r="F12287" s="546"/>
      <c r="G12287" s="234"/>
      <c r="H12287" s="238"/>
      <c r="I12287" s="237"/>
    </row>
    <row r="12288" spans="1:9" s="232" customFormat="1" ht="17" customHeight="1">
      <c r="A12288" s="234"/>
      <c r="B12288" s="233"/>
      <c r="C12288" s="238"/>
      <c r="E12288" s="545"/>
      <c r="F12288" s="546"/>
      <c r="G12288" s="234"/>
      <c r="H12288" s="238"/>
      <c r="I12288" s="237"/>
    </row>
    <row r="12289" spans="1:9" s="232" customFormat="1" ht="17" customHeight="1">
      <c r="A12289" s="234"/>
      <c r="B12289" s="233"/>
      <c r="C12289" s="238"/>
      <c r="E12289" s="545"/>
      <c r="F12289" s="546"/>
      <c r="G12289" s="234"/>
      <c r="H12289" s="238"/>
      <c r="I12289" s="237"/>
    </row>
    <row r="12290" spans="1:9" s="232" customFormat="1" ht="17" customHeight="1">
      <c r="A12290" s="234"/>
      <c r="B12290" s="233"/>
      <c r="C12290" s="238"/>
      <c r="E12290" s="545"/>
      <c r="F12290" s="546"/>
      <c r="G12290" s="234"/>
      <c r="H12290" s="238"/>
      <c r="I12290" s="237"/>
    </row>
    <row r="12291" spans="1:9" s="232" customFormat="1" ht="17" customHeight="1">
      <c r="A12291" s="234"/>
      <c r="B12291" s="233"/>
      <c r="C12291" s="238"/>
      <c r="E12291" s="545"/>
      <c r="F12291" s="546"/>
      <c r="G12291" s="234"/>
      <c r="H12291" s="238"/>
      <c r="I12291" s="237"/>
    </row>
    <row r="12292" spans="1:9" s="232" customFormat="1" ht="17" customHeight="1">
      <c r="A12292" s="234"/>
      <c r="B12292" s="233"/>
      <c r="C12292" s="238"/>
      <c r="E12292" s="545"/>
      <c r="F12292" s="546"/>
      <c r="G12292" s="234"/>
      <c r="H12292" s="238"/>
      <c r="I12292" s="237"/>
    </row>
    <row r="12293" spans="1:9" s="232" customFormat="1" ht="17" customHeight="1">
      <c r="A12293" s="234"/>
      <c r="B12293" s="233"/>
      <c r="C12293" s="238"/>
      <c r="E12293" s="545"/>
      <c r="F12293" s="546"/>
      <c r="G12293" s="234"/>
      <c r="H12293" s="238"/>
      <c r="I12293" s="237"/>
    </row>
    <row r="12294" spans="1:9" s="232" customFormat="1" ht="17" customHeight="1">
      <c r="A12294" s="234"/>
      <c r="B12294" s="233"/>
      <c r="C12294" s="238"/>
      <c r="E12294" s="545"/>
      <c r="F12294" s="546"/>
      <c r="G12294" s="234"/>
      <c r="H12294" s="238"/>
      <c r="I12294" s="237"/>
    </row>
    <row r="12295" spans="1:9" s="232" customFormat="1" ht="17" customHeight="1">
      <c r="A12295" s="234"/>
      <c r="B12295" s="233"/>
      <c r="C12295" s="238"/>
      <c r="E12295" s="545"/>
      <c r="F12295" s="546"/>
      <c r="G12295" s="234"/>
      <c r="H12295" s="238"/>
      <c r="I12295" s="237"/>
    </row>
    <row r="12296" spans="1:9" s="232" customFormat="1" ht="17" customHeight="1">
      <c r="A12296" s="234"/>
      <c r="B12296" s="233"/>
      <c r="C12296" s="238"/>
      <c r="E12296" s="545"/>
      <c r="F12296" s="546"/>
      <c r="G12296" s="234"/>
      <c r="H12296" s="238"/>
      <c r="I12296" s="237"/>
    </row>
    <row r="12297" spans="1:9" s="232" customFormat="1" ht="17" customHeight="1">
      <c r="A12297" s="234"/>
      <c r="B12297" s="233"/>
      <c r="C12297" s="238"/>
      <c r="E12297" s="545"/>
      <c r="F12297" s="546"/>
      <c r="G12297" s="234"/>
      <c r="H12297" s="238"/>
      <c r="I12297" s="237"/>
    </row>
    <row r="12298" spans="1:9" s="232" customFormat="1" ht="17" customHeight="1">
      <c r="A12298" s="234"/>
      <c r="B12298" s="233"/>
      <c r="C12298" s="238"/>
      <c r="E12298" s="545"/>
      <c r="F12298" s="546"/>
      <c r="G12298" s="234"/>
      <c r="H12298" s="238"/>
      <c r="I12298" s="237"/>
    </row>
    <row r="12299" spans="1:9" s="232" customFormat="1" ht="17" customHeight="1">
      <c r="A12299" s="234"/>
      <c r="B12299" s="233"/>
      <c r="C12299" s="238"/>
      <c r="E12299" s="545"/>
      <c r="F12299" s="546"/>
      <c r="G12299" s="234"/>
      <c r="H12299" s="238"/>
      <c r="I12299" s="237"/>
    </row>
    <row r="12300" spans="1:9" s="232" customFormat="1" ht="17" customHeight="1">
      <c r="A12300" s="234"/>
      <c r="B12300" s="233"/>
      <c r="C12300" s="238"/>
      <c r="E12300" s="545"/>
      <c r="F12300" s="546"/>
      <c r="G12300" s="234"/>
      <c r="H12300" s="238"/>
      <c r="I12300" s="237"/>
    </row>
    <row r="12301" spans="1:9" s="232" customFormat="1" ht="17" customHeight="1">
      <c r="A12301" s="234"/>
      <c r="B12301" s="233"/>
      <c r="C12301" s="238"/>
      <c r="E12301" s="545"/>
      <c r="F12301" s="546"/>
      <c r="G12301" s="234"/>
      <c r="H12301" s="238"/>
      <c r="I12301" s="237"/>
    </row>
    <row r="12302" spans="1:9" s="232" customFormat="1" ht="17" customHeight="1">
      <c r="A12302" s="234"/>
      <c r="B12302" s="233"/>
      <c r="C12302" s="238"/>
      <c r="E12302" s="545"/>
      <c r="F12302" s="546"/>
      <c r="G12302" s="234"/>
      <c r="H12302" s="238"/>
      <c r="I12302" s="237"/>
    </row>
    <row r="12303" spans="1:9" s="232" customFormat="1" ht="17" customHeight="1">
      <c r="A12303" s="234"/>
      <c r="B12303" s="233"/>
      <c r="C12303" s="238"/>
      <c r="E12303" s="545"/>
      <c r="F12303" s="546"/>
      <c r="G12303" s="234"/>
      <c r="H12303" s="238"/>
      <c r="I12303" s="237"/>
    </row>
    <row r="12304" spans="1:9" s="232" customFormat="1" ht="17" customHeight="1">
      <c r="A12304" s="234"/>
      <c r="B12304" s="233"/>
      <c r="C12304" s="238"/>
      <c r="E12304" s="545"/>
      <c r="F12304" s="546"/>
      <c r="G12304" s="234"/>
      <c r="H12304" s="238"/>
      <c r="I12304" s="237"/>
    </row>
    <row r="12305" spans="1:9" s="232" customFormat="1" ht="17" customHeight="1">
      <c r="A12305" s="234"/>
      <c r="B12305" s="233"/>
      <c r="C12305" s="238"/>
      <c r="E12305" s="545"/>
      <c r="F12305" s="546"/>
      <c r="G12305" s="234"/>
      <c r="H12305" s="238"/>
      <c r="I12305" s="237"/>
    </row>
    <row r="12306" spans="1:9" s="232" customFormat="1" ht="17" customHeight="1">
      <c r="A12306" s="234"/>
      <c r="B12306" s="233"/>
      <c r="C12306" s="238"/>
      <c r="E12306" s="545"/>
      <c r="F12306" s="546"/>
      <c r="G12306" s="234"/>
      <c r="H12306" s="238"/>
      <c r="I12306" s="237"/>
    </row>
    <row r="12307" spans="1:9" s="232" customFormat="1" ht="17" customHeight="1">
      <c r="A12307" s="234"/>
      <c r="B12307" s="233"/>
      <c r="C12307" s="238"/>
      <c r="E12307" s="545"/>
      <c r="F12307" s="546"/>
      <c r="G12307" s="234"/>
      <c r="H12307" s="238"/>
      <c r="I12307" s="237"/>
    </row>
    <row r="12308" spans="1:9" s="232" customFormat="1" ht="17" customHeight="1">
      <c r="A12308" s="234"/>
      <c r="B12308" s="233"/>
      <c r="C12308" s="238"/>
      <c r="E12308" s="545"/>
      <c r="F12308" s="546"/>
      <c r="G12308" s="234"/>
      <c r="H12308" s="238"/>
      <c r="I12308" s="237"/>
    </row>
    <row r="12309" spans="1:9" s="232" customFormat="1" ht="17" customHeight="1">
      <c r="A12309" s="234"/>
      <c r="B12309" s="233"/>
      <c r="C12309" s="238"/>
      <c r="E12309" s="545"/>
      <c r="F12309" s="546"/>
      <c r="G12309" s="234"/>
      <c r="H12309" s="238"/>
      <c r="I12309" s="237"/>
    </row>
    <row r="12310" spans="1:9" s="232" customFormat="1" ht="17" customHeight="1">
      <c r="A12310" s="234"/>
      <c r="B12310" s="233"/>
      <c r="C12310" s="238"/>
      <c r="E12310" s="545"/>
      <c r="F12310" s="546"/>
      <c r="G12310" s="234"/>
      <c r="H12310" s="238"/>
      <c r="I12310" s="237"/>
    </row>
    <row r="12311" spans="1:9" s="232" customFormat="1" ht="17" customHeight="1">
      <c r="A12311" s="234"/>
      <c r="B12311" s="233"/>
      <c r="C12311" s="238"/>
      <c r="E12311" s="545"/>
      <c r="F12311" s="546"/>
      <c r="G12311" s="234"/>
      <c r="H12311" s="238"/>
      <c r="I12311" s="237"/>
    </row>
    <row r="12312" spans="1:9" s="232" customFormat="1" ht="17" customHeight="1">
      <c r="A12312" s="234"/>
      <c r="B12312" s="233"/>
      <c r="C12312" s="238"/>
      <c r="E12312" s="545"/>
      <c r="F12312" s="546"/>
      <c r="G12312" s="234"/>
      <c r="H12312" s="238"/>
      <c r="I12312" s="237"/>
    </row>
    <row r="12313" spans="1:9" s="232" customFormat="1" ht="17" customHeight="1">
      <c r="A12313" s="234"/>
      <c r="B12313" s="233"/>
      <c r="C12313" s="238"/>
      <c r="E12313" s="545"/>
      <c r="F12313" s="546"/>
      <c r="G12313" s="234"/>
      <c r="H12313" s="238"/>
      <c r="I12313" s="237"/>
    </row>
    <row r="12314" spans="1:9" s="232" customFormat="1" ht="17" customHeight="1">
      <c r="A12314" s="234"/>
      <c r="B12314" s="233"/>
      <c r="C12314" s="238"/>
      <c r="E12314" s="545"/>
      <c r="F12314" s="546"/>
      <c r="G12314" s="234"/>
      <c r="H12314" s="238"/>
      <c r="I12314" s="237"/>
    </row>
    <row r="12315" spans="1:9" s="232" customFormat="1" ht="17" customHeight="1">
      <c r="A12315" s="234"/>
      <c r="B12315" s="233"/>
      <c r="C12315" s="238"/>
      <c r="E12315" s="545"/>
      <c r="F12315" s="546"/>
      <c r="G12315" s="234"/>
      <c r="H12315" s="238"/>
      <c r="I12315" s="237"/>
    </row>
    <row r="12316" spans="1:9" s="232" customFormat="1" ht="17" customHeight="1">
      <c r="A12316" s="234"/>
      <c r="B12316" s="233"/>
      <c r="C12316" s="238"/>
      <c r="E12316" s="545"/>
      <c r="F12316" s="546"/>
      <c r="G12316" s="234"/>
      <c r="H12316" s="238"/>
      <c r="I12316" s="237"/>
    </row>
    <row r="12317" spans="1:9" s="232" customFormat="1" ht="17" customHeight="1">
      <c r="A12317" s="234"/>
      <c r="B12317" s="233"/>
      <c r="C12317" s="238"/>
      <c r="E12317" s="545"/>
      <c r="F12317" s="546"/>
      <c r="G12317" s="234"/>
      <c r="H12317" s="238"/>
      <c r="I12317" s="237"/>
    </row>
    <row r="12318" spans="1:9" s="232" customFormat="1" ht="17" customHeight="1">
      <c r="A12318" s="234"/>
      <c r="B12318" s="233"/>
      <c r="C12318" s="238"/>
      <c r="E12318" s="545"/>
      <c r="F12318" s="546"/>
      <c r="G12318" s="234"/>
      <c r="H12318" s="238"/>
      <c r="I12318" s="237"/>
    </row>
    <row r="12319" spans="1:9" s="232" customFormat="1" ht="17" customHeight="1">
      <c r="A12319" s="234"/>
      <c r="B12319" s="233"/>
      <c r="C12319" s="238"/>
      <c r="E12319" s="545"/>
      <c r="F12319" s="546"/>
      <c r="G12319" s="234"/>
      <c r="H12319" s="238"/>
      <c r="I12319" s="237"/>
    </row>
    <row r="12320" spans="1:9" s="232" customFormat="1" ht="17" customHeight="1">
      <c r="A12320" s="234"/>
      <c r="B12320" s="233"/>
      <c r="C12320" s="238"/>
      <c r="E12320" s="545"/>
      <c r="F12320" s="546"/>
      <c r="G12320" s="234"/>
      <c r="H12320" s="238"/>
      <c r="I12320" s="237"/>
    </row>
    <row r="12321" spans="1:9" s="232" customFormat="1" ht="17" customHeight="1">
      <c r="A12321" s="234"/>
      <c r="B12321" s="233"/>
      <c r="C12321" s="238"/>
      <c r="E12321" s="545"/>
      <c r="F12321" s="546"/>
      <c r="G12321" s="234"/>
      <c r="H12321" s="238"/>
      <c r="I12321" s="237"/>
    </row>
    <row r="12322" spans="1:9" s="232" customFormat="1" ht="17" customHeight="1">
      <c r="A12322" s="234"/>
      <c r="B12322" s="233"/>
      <c r="C12322" s="238"/>
      <c r="E12322" s="545"/>
      <c r="F12322" s="546"/>
      <c r="G12322" s="234"/>
      <c r="H12322" s="238"/>
      <c r="I12322" s="237"/>
    </row>
    <row r="12323" spans="1:9" s="232" customFormat="1" ht="17" customHeight="1">
      <c r="A12323" s="234"/>
      <c r="B12323" s="233"/>
      <c r="C12323" s="238"/>
      <c r="E12323" s="545"/>
      <c r="F12323" s="546"/>
      <c r="G12323" s="234"/>
      <c r="H12323" s="238"/>
      <c r="I12323" s="237"/>
    </row>
    <row r="12324" spans="1:9" s="232" customFormat="1" ht="17" customHeight="1">
      <c r="A12324" s="234"/>
      <c r="B12324" s="233"/>
      <c r="C12324" s="238"/>
      <c r="E12324" s="545"/>
      <c r="F12324" s="546"/>
      <c r="G12324" s="234"/>
      <c r="H12324" s="238"/>
      <c r="I12324" s="237"/>
    </row>
    <row r="12325" spans="1:9" s="232" customFormat="1" ht="17" customHeight="1">
      <c r="A12325" s="234"/>
      <c r="B12325" s="233"/>
      <c r="C12325" s="238"/>
      <c r="E12325" s="545"/>
      <c r="F12325" s="546"/>
      <c r="G12325" s="234"/>
      <c r="H12325" s="238"/>
      <c r="I12325" s="237"/>
    </row>
    <row r="12326" spans="1:9" s="232" customFormat="1" ht="17" customHeight="1">
      <c r="A12326" s="234"/>
      <c r="B12326" s="233"/>
      <c r="C12326" s="238"/>
      <c r="E12326" s="545"/>
      <c r="F12326" s="546"/>
      <c r="G12326" s="234"/>
      <c r="H12326" s="238"/>
      <c r="I12326" s="237"/>
    </row>
    <row r="12327" spans="1:9" s="232" customFormat="1" ht="17" customHeight="1">
      <c r="A12327" s="234"/>
      <c r="B12327" s="233"/>
      <c r="C12327" s="238"/>
      <c r="E12327" s="545"/>
      <c r="F12327" s="546"/>
      <c r="G12327" s="234"/>
      <c r="H12327" s="238"/>
      <c r="I12327" s="237"/>
    </row>
    <row r="12328" spans="1:9" s="232" customFormat="1" ht="17" customHeight="1">
      <c r="A12328" s="234"/>
      <c r="B12328" s="233"/>
      <c r="C12328" s="238"/>
      <c r="E12328" s="545"/>
      <c r="F12328" s="546"/>
      <c r="G12328" s="234"/>
      <c r="H12328" s="238"/>
      <c r="I12328" s="237"/>
    </row>
    <row r="12329" spans="1:9" s="232" customFormat="1" ht="17" customHeight="1">
      <c r="A12329" s="234"/>
      <c r="B12329" s="233"/>
      <c r="C12329" s="238"/>
      <c r="E12329" s="545"/>
      <c r="F12329" s="546"/>
      <c r="G12329" s="234"/>
      <c r="H12329" s="238"/>
      <c r="I12329" s="237"/>
    </row>
    <row r="12330" spans="1:9" s="232" customFormat="1" ht="17" customHeight="1">
      <c r="A12330" s="234"/>
      <c r="B12330" s="233"/>
      <c r="C12330" s="238"/>
      <c r="E12330" s="545"/>
      <c r="F12330" s="546"/>
      <c r="G12330" s="234"/>
      <c r="H12330" s="238"/>
      <c r="I12330" s="237"/>
    </row>
    <row r="12331" spans="1:9" s="232" customFormat="1" ht="17" customHeight="1">
      <c r="A12331" s="234"/>
      <c r="B12331" s="233"/>
      <c r="C12331" s="238"/>
      <c r="E12331" s="545"/>
      <c r="F12331" s="546"/>
      <c r="G12331" s="234"/>
      <c r="H12331" s="238"/>
      <c r="I12331" s="237"/>
    </row>
    <row r="12332" spans="1:9" s="232" customFormat="1" ht="17" customHeight="1">
      <c r="A12332" s="234"/>
      <c r="B12332" s="233"/>
      <c r="C12332" s="238"/>
      <c r="E12332" s="545"/>
      <c r="F12332" s="546"/>
      <c r="G12332" s="234"/>
      <c r="H12332" s="238"/>
      <c r="I12332" s="237"/>
    </row>
    <row r="12333" spans="1:9" s="232" customFormat="1" ht="17" customHeight="1">
      <c r="A12333" s="234"/>
      <c r="B12333" s="233"/>
      <c r="C12333" s="238"/>
      <c r="E12333" s="545"/>
      <c r="F12333" s="546"/>
      <c r="G12333" s="234"/>
      <c r="H12333" s="238"/>
      <c r="I12333" s="237"/>
    </row>
    <row r="12334" spans="1:9" s="232" customFormat="1" ht="17" customHeight="1">
      <c r="A12334" s="234"/>
      <c r="B12334" s="233"/>
      <c r="C12334" s="238"/>
      <c r="E12334" s="545"/>
      <c r="F12334" s="546"/>
      <c r="G12334" s="234"/>
      <c r="H12334" s="238"/>
      <c r="I12334" s="237"/>
    </row>
    <row r="12335" spans="1:9" s="232" customFormat="1" ht="17" customHeight="1">
      <c r="A12335" s="234"/>
      <c r="B12335" s="233"/>
      <c r="C12335" s="238"/>
      <c r="E12335" s="545"/>
      <c r="F12335" s="546"/>
      <c r="G12335" s="234"/>
      <c r="H12335" s="238"/>
      <c r="I12335" s="237"/>
    </row>
    <row r="12336" spans="1:9" s="232" customFormat="1" ht="17" customHeight="1">
      <c r="A12336" s="234"/>
      <c r="B12336" s="233"/>
      <c r="C12336" s="238"/>
      <c r="E12336" s="545"/>
      <c r="F12336" s="546"/>
      <c r="G12336" s="234"/>
      <c r="H12336" s="238"/>
      <c r="I12336" s="237"/>
    </row>
    <row r="12337" spans="1:9" s="232" customFormat="1" ht="17" customHeight="1">
      <c r="A12337" s="234"/>
      <c r="B12337" s="233"/>
      <c r="C12337" s="238"/>
      <c r="E12337" s="545"/>
      <c r="F12337" s="546"/>
      <c r="G12337" s="234"/>
      <c r="H12337" s="238"/>
      <c r="I12337" s="237"/>
    </row>
    <row r="12338" spans="1:9" s="232" customFormat="1" ht="17" customHeight="1">
      <c r="A12338" s="234"/>
      <c r="B12338" s="233"/>
      <c r="C12338" s="238"/>
      <c r="E12338" s="545"/>
      <c r="F12338" s="546"/>
      <c r="G12338" s="234"/>
      <c r="H12338" s="238"/>
      <c r="I12338" s="237"/>
    </row>
    <row r="12339" spans="1:9" s="232" customFormat="1" ht="17" customHeight="1">
      <c r="A12339" s="234"/>
      <c r="B12339" s="233"/>
      <c r="C12339" s="238"/>
      <c r="E12339" s="545"/>
      <c r="F12339" s="546"/>
      <c r="G12339" s="234"/>
      <c r="H12339" s="238"/>
      <c r="I12339" s="237"/>
    </row>
    <row r="12340" spans="1:9" s="232" customFormat="1" ht="17" customHeight="1">
      <c r="A12340" s="234"/>
      <c r="B12340" s="233"/>
      <c r="C12340" s="238"/>
      <c r="E12340" s="545"/>
      <c r="F12340" s="546"/>
      <c r="G12340" s="234"/>
      <c r="H12340" s="238"/>
      <c r="I12340" s="237"/>
    </row>
    <row r="12341" spans="1:9" s="232" customFormat="1" ht="17" customHeight="1">
      <c r="A12341" s="234"/>
      <c r="B12341" s="233"/>
      <c r="C12341" s="238"/>
      <c r="E12341" s="545"/>
      <c r="F12341" s="546"/>
      <c r="G12341" s="234"/>
      <c r="H12341" s="238"/>
      <c r="I12341" s="237"/>
    </row>
    <row r="12342" spans="1:9" s="232" customFormat="1" ht="17" customHeight="1">
      <c r="A12342" s="234"/>
      <c r="B12342" s="233"/>
      <c r="C12342" s="238"/>
      <c r="E12342" s="545"/>
      <c r="F12342" s="546"/>
      <c r="G12342" s="234"/>
      <c r="H12342" s="238"/>
      <c r="I12342" s="237"/>
    </row>
    <row r="12343" spans="1:9" s="232" customFormat="1" ht="17" customHeight="1">
      <c r="A12343" s="234"/>
      <c r="B12343" s="233"/>
      <c r="C12343" s="238"/>
      <c r="E12343" s="545"/>
      <c r="F12343" s="546"/>
      <c r="G12343" s="234"/>
      <c r="H12343" s="238"/>
      <c r="I12343" s="237"/>
    </row>
    <row r="12344" spans="1:9" s="232" customFormat="1" ht="17" customHeight="1">
      <c r="A12344" s="234"/>
      <c r="B12344" s="233"/>
      <c r="C12344" s="238"/>
      <c r="E12344" s="545"/>
      <c r="F12344" s="546"/>
      <c r="G12344" s="234"/>
      <c r="H12344" s="238"/>
      <c r="I12344" s="237"/>
    </row>
    <row r="12345" spans="1:9" s="232" customFormat="1" ht="17" customHeight="1">
      <c r="A12345" s="234"/>
      <c r="B12345" s="233"/>
      <c r="C12345" s="238"/>
      <c r="E12345" s="545"/>
      <c r="F12345" s="546"/>
      <c r="G12345" s="234"/>
      <c r="H12345" s="238"/>
      <c r="I12345" s="237"/>
    </row>
    <row r="12346" spans="1:9" s="232" customFormat="1" ht="17" customHeight="1">
      <c r="A12346" s="234"/>
      <c r="B12346" s="233"/>
      <c r="C12346" s="238"/>
      <c r="E12346" s="545"/>
      <c r="F12346" s="546"/>
      <c r="G12346" s="234"/>
      <c r="H12346" s="238"/>
      <c r="I12346" s="237"/>
    </row>
    <row r="12347" spans="1:9" s="232" customFormat="1" ht="17" customHeight="1">
      <c r="A12347" s="234"/>
      <c r="B12347" s="233"/>
      <c r="C12347" s="238"/>
      <c r="E12347" s="545"/>
      <c r="F12347" s="546"/>
      <c r="G12347" s="234"/>
      <c r="H12347" s="238"/>
      <c r="I12347" s="237"/>
    </row>
    <row r="12348" spans="1:9" s="232" customFormat="1" ht="17" customHeight="1">
      <c r="A12348" s="234"/>
      <c r="B12348" s="233"/>
      <c r="C12348" s="238"/>
      <c r="E12348" s="545"/>
      <c r="F12348" s="546"/>
      <c r="G12348" s="234"/>
      <c r="H12348" s="238"/>
      <c r="I12348" s="237"/>
    </row>
    <row r="12349" spans="1:9" s="232" customFormat="1" ht="17" customHeight="1">
      <c r="A12349" s="234"/>
      <c r="B12349" s="233"/>
      <c r="C12349" s="238"/>
      <c r="E12349" s="545"/>
      <c r="F12349" s="546"/>
      <c r="G12349" s="234"/>
      <c r="H12349" s="238"/>
      <c r="I12349" s="237"/>
    </row>
    <row r="12350" spans="1:9" s="232" customFormat="1" ht="17" customHeight="1">
      <c r="A12350" s="234"/>
      <c r="B12350" s="233"/>
      <c r="C12350" s="238"/>
      <c r="E12350" s="545"/>
      <c r="F12350" s="546"/>
      <c r="G12350" s="234"/>
      <c r="H12350" s="238"/>
      <c r="I12350" s="237"/>
    </row>
    <row r="12351" spans="1:9" s="232" customFormat="1" ht="17" customHeight="1">
      <c r="A12351" s="234"/>
      <c r="B12351" s="233"/>
      <c r="C12351" s="238"/>
      <c r="E12351" s="545"/>
      <c r="F12351" s="546"/>
      <c r="G12351" s="234"/>
      <c r="H12351" s="238"/>
      <c r="I12351" s="237"/>
    </row>
    <row r="12352" spans="1:9" s="232" customFormat="1" ht="17" customHeight="1">
      <c r="A12352" s="234"/>
      <c r="B12352" s="233"/>
      <c r="C12352" s="238"/>
      <c r="E12352" s="545"/>
      <c r="F12352" s="546"/>
      <c r="G12352" s="234"/>
      <c r="H12352" s="238"/>
      <c r="I12352" s="237"/>
    </row>
    <row r="12353" spans="1:9" s="232" customFormat="1" ht="17" customHeight="1">
      <c r="A12353" s="234"/>
      <c r="B12353" s="233"/>
      <c r="C12353" s="238"/>
      <c r="E12353" s="545"/>
      <c r="F12353" s="546"/>
      <c r="G12353" s="234"/>
      <c r="H12353" s="238"/>
      <c r="I12353" s="237"/>
    </row>
    <row r="12354" spans="1:9" s="232" customFormat="1" ht="17" customHeight="1">
      <c r="A12354" s="234"/>
      <c r="B12354" s="233"/>
      <c r="C12354" s="238"/>
      <c r="E12354" s="545"/>
      <c r="F12354" s="546"/>
      <c r="G12354" s="234"/>
      <c r="H12354" s="238"/>
      <c r="I12354" s="237"/>
    </row>
    <row r="12355" spans="1:9" s="232" customFormat="1" ht="17" customHeight="1">
      <c r="A12355" s="234"/>
      <c r="B12355" s="233"/>
      <c r="C12355" s="238"/>
      <c r="E12355" s="545"/>
      <c r="F12355" s="546"/>
      <c r="G12355" s="234"/>
      <c r="H12355" s="238"/>
      <c r="I12355" s="237"/>
    </row>
    <row r="12356" spans="1:9" s="232" customFormat="1" ht="17" customHeight="1">
      <c r="A12356" s="234"/>
      <c r="B12356" s="233"/>
      <c r="C12356" s="238"/>
      <c r="E12356" s="545"/>
      <c r="F12356" s="546"/>
      <c r="G12356" s="234"/>
      <c r="H12356" s="238"/>
      <c r="I12356" s="237"/>
    </row>
    <row r="12357" spans="1:9" s="232" customFormat="1" ht="17" customHeight="1">
      <c r="A12357" s="234"/>
      <c r="B12357" s="233"/>
      <c r="C12357" s="238"/>
      <c r="E12357" s="545"/>
      <c r="F12357" s="546"/>
      <c r="G12357" s="234"/>
      <c r="H12357" s="238"/>
      <c r="I12357" s="237"/>
    </row>
    <row r="12358" spans="1:9" s="232" customFormat="1" ht="17" customHeight="1">
      <c r="A12358" s="234"/>
      <c r="B12358" s="233"/>
      <c r="C12358" s="238"/>
      <c r="E12358" s="545"/>
      <c r="F12358" s="546"/>
      <c r="G12358" s="234"/>
      <c r="H12358" s="238"/>
      <c r="I12358" s="237"/>
    </row>
    <row r="12359" spans="1:9" s="232" customFormat="1" ht="17" customHeight="1">
      <c r="A12359" s="234"/>
      <c r="B12359" s="233"/>
      <c r="C12359" s="238"/>
      <c r="E12359" s="545"/>
      <c r="F12359" s="546"/>
      <c r="G12359" s="234"/>
      <c r="H12359" s="238"/>
      <c r="I12359" s="237"/>
    </row>
    <row r="12360" spans="1:9" s="232" customFormat="1" ht="17" customHeight="1">
      <c r="A12360" s="234"/>
      <c r="B12360" s="233"/>
      <c r="C12360" s="238"/>
      <c r="E12360" s="545"/>
      <c r="F12360" s="546"/>
      <c r="G12360" s="234"/>
      <c r="H12360" s="238"/>
      <c r="I12360" s="237"/>
    </row>
    <row r="12361" spans="1:9" s="232" customFormat="1" ht="17" customHeight="1">
      <c r="A12361" s="234"/>
      <c r="B12361" s="233"/>
      <c r="C12361" s="238"/>
      <c r="E12361" s="545"/>
      <c r="F12361" s="546"/>
      <c r="G12361" s="234"/>
      <c r="H12361" s="238"/>
      <c r="I12361" s="237"/>
    </row>
    <row r="12362" spans="1:9" s="232" customFormat="1" ht="17" customHeight="1">
      <c r="A12362" s="234"/>
      <c r="B12362" s="233"/>
      <c r="C12362" s="238"/>
      <c r="E12362" s="545"/>
      <c r="F12362" s="546"/>
      <c r="G12362" s="234"/>
      <c r="H12362" s="238"/>
      <c r="I12362" s="237"/>
    </row>
    <row r="12363" spans="1:9" s="232" customFormat="1" ht="17" customHeight="1">
      <c r="A12363" s="234"/>
      <c r="B12363" s="233"/>
      <c r="C12363" s="238"/>
      <c r="E12363" s="545"/>
      <c r="F12363" s="546"/>
      <c r="G12363" s="234"/>
      <c r="H12363" s="238"/>
      <c r="I12363" s="237"/>
    </row>
    <row r="12364" spans="1:9" s="232" customFormat="1" ht="17" customHeight="1">
      <c r="A12364" s="234"/>
      <c r="B12364" s="233"/>
      <c r="C12364" s="238"/>
      <c r="E12364" s="545"/>
      <c r="F12364" s="546"/>
      <c r="G12364" s="234"/>
      <c r="H12364" s="238"/>
      <c r="I12364" s="237"/>
    </row>
    <row r="12365" spans="1:9" s="232" customFormat="1" ht="17" customHeight="1">
      <c r="A12365" s="234"/>
      <c r="B12365" s="233"/>
      <c r="C12365" s="238"/>
      <c r="E12365" s="545"/>
      <c r="F12365" s="546"/>
      <c r="G12365" s="234"/>
      <c r="H12365" s="238"/>
      <c r="I12365" s="237"/>
    </row>
    <row r="12366" spans="1:9" s="232" customFormat="1" ht="17" customHeight="1">
      <c r="A12366" s="234"/>
      <c r="B12366" s="233"/>
      <c r="C12366" s="238"/>
      <c r="E12366" s="545"/>
      <c r="F12366" s="546"/>
      <c r="G12366" s="234"/>
      <c r="H12366" s="238"/>
      <c r="I12366" s="237"/>
    </row>
    <row r="12367" spans="1:9" s="232" customFormat="1" ht="17" customHeight="1">
      <c r="A12367" s="234"/>
      <c r="B12367" s="233"/>
      <c r="C12367" s="238"/>
      <c r="E12367" s="545"/>
      <c r="F12367" s="546"/>
      <c r="G12367" s="234"/>
      <c r="H12367" s="238"/>
      <c r="I12367" s="237"/>
    </row>
    <row r="12368" spans="1:9" s="232" customFormat="1" ht="17" customHeight="1">
      <c r="A12368" s="234"/>
      <c r="B12368" s="233"/>
      <c r="C12368" s="238"/>
      <c r="E12368" s="545"/>
      <c r="F12368" s="546"/>
      <c r="G12368" s="234"/>
      <c r="H12368" s="238"/>
      <c r="I12368" s="237"/>
    </row>
    <row r="12369" spans="1:9" s="232" customFormat="1" ht="17" customHeight="1">
      <c r="A12369" s="234"/>
      <c r="B12369" s="233"/>
      <c r="C12369" s="238"/>
      <c r="E12369" s="545"/>
      <c r="F12369" s="546"/>
      <c r="G12369" s="234"/>
      <c r="H12369" s="238"/>
      <c r="I12369" s="237"/>
    </row>
    <row r="12370" spans="1:9" s="232" customFormat="1" ht="17" customHeight="1">
      <c r="A12370" s="234"/>
      <c r="B12370" s="233"/>
      <c r="C12370" s="238"/>
      <c r="E12370" s="545"/>
      <c r="F12370" s="546"/>
      <c r="G12370" s="234"/>
      <c r="H12370" s="238"/>
      <c r="I12370" s="237"/>
    </row>
    <row r="12371" spans="1:9" s="232" customFormat="1" ht="17" customHeight="1">
      <c r="A12371" s="234"/>
      <c r="B12371" s="233"/>
      <c r="C12371" s="238"/>
      <c r="E12371" s="545"/>
      <c r="F12371" s="546"/>
      <c r="G12371" s="234"/>
      <c r="H12371" s="238"/>
      <c r="I12371" s="237"/>
    </row>
    <row r="12372" spans="1:9" s="232" customFormat="1" ht="17" customHeight="1">
      <c r="A12372" s="234"/>
      <c r="B12372" s="233"/>
      <c r="C12372" s="238"/>
      <c r="E12372" s="545"/>
      <c r="F12372" s="546"/>
      <c r="G12372" s="234"/>
      <c r="H12372" s="238"/>
      <c r="I12372" s="237"/>
    </row>
    <row r="12373" spans="1:9" s="232" customFormat="1" ht="17" customHeight="1">
      <c r="A12373" s="234"/>
      <c r="B12373" s="233"/>
      <c r="C12373" s="238"/>
      <c r="E12373" s="545"/>
      <c r="F12373" s="546"/>
      <c r="G12373" s="234"/>
      <c r="H12373" s="238"/>
      <c r="I12373" s="237"/>
    </row>
    <row r="12374" spans="1:9" s="232" customFormat="1" ht="17" customHeight="1">
      <c r="A12374" s="234"/>
      <c r="B12374" s="233"/>
      <c r="C12374" s="238"/>
      <c r="E12374" s="545"/>
      <c r="F12374" s="546"/>
      <c r="G12374" s="234"/>
      <c r="H12374" s="238"/>
      <c r="I12374" s="237"/>
    </row>
    <row r="12375" spans="1:9" s="232" customFormat="1" ht="17" customHeight="1">
      <c r="A12375" s="234"/>
      <c r="B12375" s="233"/>
      <c r="C12375" s="238"/>
      <c r="E12375" s="545"/>
      <c r="F12375" s="546"/>
      <c r="G12375" s="234"/>
      <c r="H12375" s="238"/>
      <c r="I12375" s="237"/>
    </row>
    <row r="12376" spans="1:9" s="232" customFormat="1" ht="17" customHeight="1">
      <c r="A12376" s="234"/>
      <c r="B12376" s="233"/>
      <c r="C12376" s="238"/>
      <c r="E12376" s="545"/>
      <c r="F12376" s="546"/>
      <c r="G12376" s="234"/>
      <c r="H12376" s="238"/>
      <c r="I12376" s="237"/>
    </row>
    <row r="12377" spans="1:9" s="232" customFormat="1" ht="17" customHeight="1">
      <c r="A12377" s="234"/>
      <c r="B12377" s="233"/>
      <c r="C12377" s="238"/>
      <c r="E12377" s="545"/>
      <c r="F12377" s="546"/>
      <c r="G12377" s="234"/>
      <c r="H12377" s="238"/>
      <c r="I12377" s="237"/>
    </row>
    <row r="12378" spans="1:9" s="232" customFormat="1" ht="17" customHeight="1">
      <c r="A12378" s="234"/>
      <c r="B12378" s="233"/>
      <c r="C12378" s="238"/>
      <c r="E12378" s="545"/>
      <c r="F12378" s="546"/>
      <c r="G12378" s="234"/>
      <c r="H12378" s="238"/>
      <c r="I12378" s="237"/>
    </row>
    <row r="12379" spans="1:9" s="232" customFormat="1" ht="17" customHeight="1">
      <c r="A12379" s="234"/>
      <c r="B12379" s="233"/>
      <c r="C12379" s="238"/>
      <c r="E12379" s="545"/>
      <c r="F12379" s="546"/>
      <c r="G12379" s="234"/>
      <c r="H12379" s="238"/>
      <c r="I12379" s="237"/>
    </row>
    <row r="12380" spans="1:9" s="232" customFormat="1" ht="17" customHeight="1">
      <c r="A12380" s="234"/>
      <c r="B12380" s="233"/>
      <c r="C12380" s="238"/>
      <c r="E12380" s="545"/>
      <c r="F12380" s="546"/>
      <c r="G12380" s="234"/>
      <c r="H12380" s="238"/>
      <c r="I12380" s="237"/>
    </row>
    <row r="12381" spans="1:9" s="232" customFormat="1" ht="17" customHeight="1">
      <c r="A12381" s="234"/>
      <c r="B12381" s="233"/>
      <c r="C12381" s="238"/>
      <c r="E12381" s="545"/>
      <c r="F12381" s="546"/>
      <c r="G12381" s="234"/>
      <c r="H12381" s="238"/>
      <c r="I12381" s="237"/>
    </row>
    <row r="12382" spans="1:9" s="232" customFormat="1" ht="17" customHeight="1">
      <c r="A12382" s="234"/>
      <c r="B12382" s="233"/>
      <c r="C12382" s="238"/>
      <c r="E12382" s="545"/>
      <c r="F12382" s="546"/>
      <c r="G12382" s="234"/>
      <c r="H12382" s="238"/>
      <c r="I12382" s="237"/>
    </row>
    <row r="12383" spans="1:9" s="232" customFormat="1" ht="17" customHeight="1">
      <c r="A12383" s="234"/>
      <c r="B12383" s="233"/>
      <c r="C12383" s="238"/>
      <c r="E12383" s="545"/>
      <c r="F12383" s="546"/>
      <c r="G12383" s="234"/>
      <c r="H12383" s="238"/>
      <c r="I12383" s="237"/>
    </row>
    <row r="12384" spans="1:9" s="232" customFormat="1" ht="17" customHeight="1">
      <c r="A12384" s="234"/>
      <c r="B12384" s="233"/>
      <c r="C12384" s="238"/>
      <c r="E12384" s="545"/>
      <c r="F12384" s="546"/>
      <c r="G12384" s="234"/>
      <c r="H12384" s="238"/>
      <c r="I12384" s="237"/>
    </row>
    <row r="12385" spans="1:9" s="232" customFormat="1" ht="17" customHeight="1">
      <c r="A12385" s="234"/>
      <c r="B12385" s="233"/>
      <c r="C12385" s="238"/>
      <c r="E12385" s="545"/>
      <c r="F12385" s="546"/>
      <c r="G12385" s="234"/>
      <c r="H12385" s="238"/>
      <c r="I12385" s="237"/>
    </row>
    <row r="12386" spans="1:9" s="232" customFormat="1" ht="17" customHeight="1">
      <c r="A12386" s="234"/>
      <c r="B12386" s="233"/>
      <c r="C12386" s="238"/>
      <c r="E12386" s="545"/>
      <c r="F12386" s="546"/>
      <c r="G12386" s="234"/>
      <c r="H12386" s="238"/>
      <c r="I12386" s="237"/>
    </row>
    <row r="12387" spans="1:9" s="232" customFormat="1" ht="17" customHeight="1">
      <c r="A12387" s="234"/>
      <c r="B12387" s="233"/>
      <c r="C12387" s="238"/>
      <c r="E12387" s="545"/>
      <c r="F12387" s="546"/>
      <c r="G12387" s="234"/>
      <c r="H12387" s="238"/>
      <c r="I12387" s="237"/>
    </row>
    <row r="12388" spans="1:9" s="232" customFormat="1" ht="17" customHeight="1">
      <c r="A12388" s="234"/>
      <c r="B12388" s="233"/>
      <c r="C12388" s="238"/>
      <c r="E12388" s="545"/>
      <c r="F12388" s="546"/>
      <c r="G12388" s="234"/>
      <c r="H12388" s="238"/>
      <c r="I12388" s="237"/>
    </row>
    <row r="12389" spans="1:9" s="232" customFormat="1" ht="17" customHeight="1">
      <c r="A12389" s="234"/>
      <c r="B12389" s="233"/>
      <c r="C12389" s="238"/>
      <c r="E12389" s="545"/>
      <c r="F12389" s="546"/>
      <c r="G12389" s="234"/>
      <c r="H12389" s="238"/>
      <c r="I12389" s="237"/>
    </row>
    <row r="12390" spans="1:9" s="232" customFormat="1" ht="17" customHeight="1">
      <c r="A12390" s="234"/>
      <c r="B12390" s="233"/>
      <c r="C12390" s="238"/>
      <c r="E12390" s="545"/>
      <c r="F12390" s="546"/>
      <c r="G12390" s="234"/>
      <c r="H12390" s="238"/>
      <c r="I12390" s="237"/>
    </row>
    <row r="12391" spans="1:9" s="232" customFormat="1" ht="17" customHeight="1">
      <c r="A12391" s="234"/>
      <c r="B12391" s="233"/>
      <c r="C12391" s="238"/>
      <c r="E12391" s="545"/>
      <c r="F12391" s="546"/>
      <c r="G12391" s="234"/>
      <c r="H12391" s="238"/>
      <c r="I12391" s="237"/>
    </row>
    <row r="12392" spans="1:9" s="232" customFormat="1" ht="17" customHeight="1">
      <c r="A12392" s="234"/>
      <c r="B12392" s="233"/>
      <c r="C12392" s="238"/>
      <c r="E12392" s="545"/>
      <c r="F12392" s="546"/>
      <c r="G12392" s="234"/>
      <c r="H12392" s="238"/>
      <c r="I12392" s="237"/>
    </row>
    <row r="12393" spans="1:9" s="232" customFormat="1" ht="17" customHeight="1">
      <c r="A12393" s="234"/>
      <c r="B12393" s="233"/>
      <c r="C12393" s="238"/>
      <c r="E12393" s="545"/>
      <c r="F12393" s="546"/>
      <c r="G12393" s="234"/>
      <c r="H12393" s="238"/>
      <c r="I12393" s="237"/>
    </row>
    <row r="12394" spans="1:9" s="232" customFormat="1" ht="17" customHeight="1">
      <c r="A12394" s="234"/>
      <c r="B12394" s="233"/>
      <c r="C12394" s="238"/>
      <c r="E12394" s="545"/>
      <c r="F12394" s="546"/>
      <c r="G12394" s="234"/>
      <c r="H12394" s="238"/>
      <c r="I12394" s="237"/>
    </row>
    <row r="12395" spans="1:9" s="232" customFormat="1" ht="17" customHeight="1">
      <c r="A12395" s="234"/>
      <c r="B12395" s="233"/>
      <c r="C12395" s="238"/>
      <c r="E12395" s="545"/>
      <c r="F12395" s="546"/>
      <c r="G12395" s="234"/>
      <c r="H12395" s="238"/>
      <c r="I12395" s="237"/>
    </row>
    <row r="12396" spans="1:9" s="232" customFormat="1" ht="17" customHeight="1">
      <c r="A12396" s="234"/>
      <c r="B12396" s="233"/>
      <c r="C12396" s="238"/>
      <c r="E12396" s="545"/>
      <c r="F12396" s="546"/>
      <c r="G12396" s="234"/>
      <c r="H12396" s="238"/>
      <c r="I12396" s="237"/>
    </row>
    <row r="12397" spans="1:9" s="232" customFormat="1" ht="17" customHeight="1">
      <c r="A12397" s="234"/>
      <c r="B12397" s="233"/>
      <c r="C12397" s="238"/>
      <c r="E12397" s="545"/>
      <c r="F12397" s="546"/>
      <c r="G12397" s="234"/>
      <c r="H12397" s="238"/>
      <c r="I12397" s="237"/>
    </row>
    <row r="12398" spans="1:9" s="232" customFormat="1" ht="17" customHeight="1">
      <c r="A12398" s="234"/>
      <c r="B12398" s="233"/>
      <c r="C12398" s="238"/>
      <c r="E12398" s="545"/>
      <c r="F12398" s="546"/>
      <c r="G12398" s="234"/>
      <c r="H12398" s="238"/>
      <c r="I12398" s="237"/>
    </row>
    <row r="12399" spans="1:9" s="232" customFormat="1" ht="17" customHeight="1">
      <c r="A12399" s="234"/>
      <c r="B12399" s="233"/>
      <c r="C12399" s="238"/>
      <c r="E12399" s="545"/>
      <c r="F12399" s="546"/>
      <c r="G12399" s="234"/>
      <c r="H12399" s="238"/>
      <c r="I12399" s="237"/>
    </row>
    <row r="12400" spans="1:9" s="232" customFormat="1" ht="17" customHeight="1">
      <c r="A12400" s="234"/>
      <c r="B12400" s="233"/>
      <c r="C12400" s="238"/>
      <c r="E12400" s="545"/>
      <c r="F12400" s="546"/>
      <c r="G12400" s="234"/>
      <c r="H12400" s="238"/>
      <c r="I12400" s="237"/>
    </row>
    <row r="12401" spans="1:9" s="232" customFormat="1" ht="17" customHeight="1">
      <c r="A12401" s="234"/>
      <c r="B12401" s="233"/>
      <c r="C12401" s="238"/>
      <c r="E12401" s="545"/>
      <c r="F12401" s="546"/>
      <c r="G12401" s="234"/>
      <c r="H12401" s="238"/>
      <c r="I12401" s="237"/>
    </row>
    <row r="12402" spans="1:9" s="232" customFormat="1" ht="17" customHeight="1">
      <c r="A12402" s="234"/>
      <c r="B12402" s="233"/>
      <c r="C12402" s="238"/>
      <c r="E12402" s="545"/>
      <c r="F12402" s="546"/>
      <c r="G12402" s="234"/>
      <c r="H12402" s="238"/>
      <c r="I12402" s="237"/>
    </row>
    <row r="12403" spans="1:9" s="232" customFormat="1" ht="17" customHeight="1">
      <c r="A12403" s="234"/>
      <c r="B12403" s="233"/>
      <c r="C12403" s="238"/>
      <c r="E12403" s="545"/>
      <c r="F12403" s="546"/>
      <c r="G12403" s="234"/>
      <c r="H12403" s="238"/>
      <c r="I12403" s="237"/>
    </row>
    <row r="12404" spans="1:9" s="232" customFormat="1" ht="17" customHeight="1">
      <c r="A12404" s="234"/>
      <c r="B12404" s="233"/>
      <c r="C12404" s="238"/>
      <c r="E12404" s="545"/>
      <c r="F12404" s="546"/>
      <c r="G12404" s="234"/>
      <c r="H12404" s="238"/>
      <c r="I12404" s="237"/>
    </row>
    <row r="12405" spans="1:9" s="232" customFormat="1" ht="17" customHeight="1">
      <c r="A12405" s="234"/>
      <c r="B12405" s="233"/>
      <c r="C12405" s="238"/>
      <c r="E12405" s="545"/>
      <c r="F12405" s="546"/>
      <c r="G12405" s="234"/>
      <c r="H12405" s="238"/>
      <c r="I12405" s="237"/>
    </row>
    <row r="12406" spans="1:9" s="232" customFormat="1" ht="17" customHeight="1">
      <c r="A12406" s="234"/>
      <c r="B12406" s="233"/>
      <c r="C12406" s="238"/>
      <c r="E12406" s="545"/>
      <c r="F12406" s="546"/>
      <c r="G12406" s="234"/>
      <c r="H12406" s="238"/>
      <c r="I12406" s="237"/>
    </row>
    <row r="12407" spans="1:9" s="232" customFormat="1" ht="17" customHeight="1">
      <c r="A12407" s="234"/>
      <c r="B12407" s="233"/>
      <c r="C12407" s="238"/>
      <c r="E12407" s="545"/>
      <c r="F12407" s="546"/>
      <c r="G12407" s="234"/>
      <c r="H12407" s="238"/>
      <c r="I12407" s="237"/>
    </row>
    <row r="12408" spans="1:9" s="232" customFormat="1" ht="17" customHeight="1">
      <c r="A12408" s="234"/>
      <c r="B12408" s="233"/>
      <c r="C12408" s="238"/>
      <c r="E12408" s="545"/>
      <c r="F12408" s="546"/>
      <c r="G12408" s="234"/>
      <c r="H12408" s="238"/>
      <c r="I12408" s="237"/>
    </row>
    <row r="12409" spans="1:9" s="232" customFormat="1" ht="17" customHeight="1">
      <c r="A12409" s="234"/>
      <c r="B12409" s="233"/>
      <c r="C12409" s="238"/>
      <c r="E12409" s="545"/>
      <c r="F12409" s="546"/>
      <c r="G12409" s="234"/>
      <c r="H12409" s="238"/>
      <c r="I12409" s="237"/>
    </row>
    <row r="12410" spans="1:9" s="232" customFormat="1" ht="17" customHeight="1">
      <c r="A12410" s="234"/>
      <c r="B12410" s="233"/>
      <c r="C12410" s="238"/>
      <c r="E12410" s="545"/>
      <c r="F12410" s="546"/>
      <c r="G12410" s="234"/>
      <c r="H12410" s="238"/>
      <c r="I12410" s="237"/>
    </row>
    <row r="12411" spans="1:9" s="232" customFormat="1" ht="17" customHeight="1">
      <c r="A12411" s="234"/>
      <c r="B12411" s="233"/>
      <c r="C12411" s="238"/>
      <c r="E12411" s="545"/>
      <c r="F12411" s="546"/>
      <c r="G12411" s="234"/>
      <c r="H12411" s="238"/>
      <c r="I12411" s="237"/>
    </row>
    <row r="12412" spans="1:9" s="232" customFormat="1" ht="17" customHeight="1">
      <c r="A12412" s="234"/>
      <c r="B12412" s="233"/>
      <c r="C12412" s="238"/>
      <c r="E12412" s="545"/>
      <c r="F12412" s="546"/>
      <c r="G12412" s="234"/>
      <c r="H12412" s="238"/>
      <c r="I12412" s="237"/>
    </row>
    <row r="12413" spans="1:9" s="232" customFormat="1" ht="17" customHeight="1">
      <c r="A12413" s="234"/>
      <c r="B12413" s="233"/>
      <c r="C12413" s="238"/>
      <c r="E12413" s="545"/>
      <c r="F12413" s="546"/>
      <c r="G12413" s="234"/>
      <c r="H12413" s="238"/>
      <c r="I12413" s="237"/>
    </row>
    <row r="12414" spans="1:9" s="232" customFormat="1" ht="17" customHeight="1">
      <c r="A12414" s="234"/>
      <c r="B12414" s="233"/>
      <c r="C12414" s="238"/>
      <c r="E12414" s="545"/>
      <c r="F12414" s="546"/>
      <c r="G12414" s="234"/>
      <c r="H12414" s="238"/>
      <c r="I12414" s="237"/>
    </row>
    <row r="12415" spans="1:9" s="232" customFormat="1" ht="17" customHeight="1">
      <c r="A12415" s="234"/>
      <c r="B12415" s="233"/>
      <c r="C12415" s="238"/>
      <c r="E12415" s="545"/>
      <c r="F12415" s="546"/>
      <c r="G12415" s="234"/>
      <c r="H12415" s="238"/>
      <c r="I12415" s="237"/>
    </row>
    <row r="12416" spans="1:9" s="232" customFormat="1" ht="17" customHeight="1">
      <c r="A12416" s="234"/>
      <c r="B12416" s="233"/>
      <c r="C12416" s="238"/>
      <c r="E12416" s="545"/>
      <c r="F12416" s="546"/>
      <c r="G12416" s="234"/>
      <c r="H12416" s="238"/>
      <c r="I12416" s="237"/>
    </row>
    <row r="12417" spans="1:9" s="232" customFormat="1" ht="17" customHeight="1">
      <c r="A12417" s="234"/>
      <c r="B12417" s="233"/>
      <c r="C12417" s="238"/>
      <c r="E12417" s="545"/>
      <c r="F12417" s="546"/>
      <c r="G12417" s="234"/>
      <c r="H12417" s="238"/>
      <c r="I12417" s="237"/>
    </row>
    <row r="12418" spans="1:9" s="232" customFormat="1" ht="17" customHeight="1">
      <c r="A12418" s="234"/>
      <c r="B12418" s="233"/>
      <c r="C12418" s="238"/>
      <c r="E12418" s="545"/>
      <c r="F12418" s="546"/>
      <c r="G12418" s="234"/>
      <c r="H12418" s="238"/>
      <c r="I12418" s="237"/>
    </row>
    <row r="12419" spans="1:9" s="232" customFormat="1" ht="17" customHeight="1">
      <c r="A12419" s="234"/>
      <c r="B12419" s="233"/>
      <c r="C12419" s="238"/>
      <c r="E12419" s="545"/>
      <c r="F12419" s="546"/>
      <c r="G12419" s="234"/>
      <c r="H12419" s="238"/>
      <c r="I12419" s="237"/>
    </row>
    <row r="12420" spans="1:9" s="232" customFormat="1" ht="17" customHeight="1">
      <c r="A12420" s="234"/>
      <c r="B12420" s="233"/>
      <c r="C12420" s="238"/>
      <c r="E12420" s="545"/>
      <c r="F12420" s="546"/>
      <c r="G12420" s="234"/>
      <c r="H12420" s="238"/>
      <c r="I12420" s="237"/>
    </row>
    <row r="12421" spans="1:9" s="232" customFormat="1" ht="17" customHeight="1">
      <c r="A12421" s="234"/>
      <c r="B12421" s="233"/>
      <c r="C12421" s="238"/>
      <c r="E12421" s="545"/>
      <c r="F12421" s="546"/>
      <c r="G12421" s="234"/>
      <c r="H12421" s="238"/>
      <c r="I12421" s="237"/>
    </row>
    <row r="12422" spans="1:9" s="232" customFormat="1" ht="17" customHeight="1">
      <c r="A12422" s="234"/>
      <c r="B12422" s="233"/>
      <c r="C12422" s="238"/>
      <c r="E12422" s="545"/>
      <c r="F12422" s="546"/>
      <c r="G12422" s="234"/>
      <c r="H12422" s="238"/>
      <c r="I12422" s="237"/>
    </row>
    <row r="12423" spans="1:9" s="232" customFormat="1" ht="17" customHeight="1">
      <c r="A12423" s="234"/>
      <c r="B12423" s="233"/>
      <c r="C12423" s="238"/>
      <c r="E12423" s="545"/>
      <c r="F12423" s="546"/>
      <c r="G12423" s="234"/>
      <c r="H12423" s="238"/>
      <c r="I12423" s="237"/>
    </row>
    <row r="12424" spans="1:9" s="232" customFormat="1" ht="17" customHeight="1">
      <c r="A12424" s="234"/>
      <c r="B12424" s="233"/>
      <c r="C12424" s="238"/>
      <c r="E12424" s="545"/>
      <c r="F12424" s="546"/>
      <c r="G12424" s="234"/>
      <c r="H12424" s="238"/>
      <c r="I12424" s="237"/>
    </row>
    <row r="12425" spans="1:9" s="232" customFormat="1" ht="17" customHeight="1">
      <c r="A12425" s="234"/>
      <c r="B12425" s="233"/>
      <c r="C12425" s="238"/>
      <c r="E12425" s="545"/>
      <c r="F12425" s="546"/>
      <c r="G12425" s="234"/>
      <c r="H12425" s="238"/>
      <c r="I12425" s="237"/>
    </row>
    <row r="12426" spans="1:9" s="232" customFormat="1" ht="17" customHeight="1">
      <c r="A12426" s="234"/>
      <c r="B12426" s="233"/>
      <c r="C12426" s="238"/>
      <c r="E12426" s="545"/>
      <c r="F12426" s="546"/>
      <c r="G12426" s="234"/>
      <c r="H12426" s="238"/>
      <c r="I12426" s="237"/>
    </row>
    <row r="12427" spans="1:9" s="232" customFormat="1" ht="17" customHeight="1">
      <c r="A12427" s="234"/>
      <c r="B12427" s="233"/>
      <c r="C12427" s="238"/>
      <c r="E12427" s="545"/>
      <c r="F12427" s="546"/>
      <c r="G12427" s="234"/>
      <c r="H12427" s="238"/>
      <c r="I12427" s="237"/>
    </row>
    <row r="12428" spans="1:9" s="232" customFormat="1" ht="17" customHeight="1">
      <c r="A12428" s="234"/>
      <c r="B12428" s="233"/>
      <c r="C12428" s="238"/>
      <c r="E12428" s="545"/>
      <c r="F12428" s="546"/>
      <c r="G12428" s="234"/>
      <c r="H12428" s="238"/>
      <c r="I12428" s="237"/>
    </row>
    <row r="12429" spans="1:9" s="232" customFormat="1" ht="17" customHeight="1">
      <c r="A12429" s="234"/>
      <c r="B12429" s="233"/>
      <c r="C12429" s="238"/>
      <c r="E12429" s="545"/>
      <c r="F12429" s="546"/>
      <c r="G12429" s="234"/>
      <c r="H12429" s="238"/>
      <c r="I12429" s="237"/>
    </row>
    <row r="12430" spans="1:9" s="232" customFormat="1" ht="17" customHeight="1">
      <c r="A12430" s="234"/>
      <c r="B12430" s="233"/>
      <c r="C12430" s="238"/>
      <c r="E12430" s="545"/>
      <c r="F12430" s="546"/>
      <c r="G12430" s="234"/>
      <c r="H12430" s="238"/>
      <c r="I12430" s="237"/>
    </row>
    <row r="12431" spans="1:9" s="232" customFormat="1" ht="17" customHeight="1">
      <c r="A12431" s="234"/>
      <c r="B12431" s="233"/>
      <c r="C12431" s="238"/>
      <c r="E12431" s="545"/>
      <c r="F12431" s="546"/>
      <c r="G12431" s="234"/>
      <c r="H12431" s="238"/>
      <c r="I12431" s="237"/>
    </row>
    <row r="12432" spans="1:9" s="232" customFormat="1" ht="17" customHeight="1">
      <c r="A12432" s="234"/>
      <c r="B12432" s="233"/>
      <c r="C12432" s="238"/>
      <c r="E12432" s="545"/>
      <c r="F12432" s="546"/>
      <c r="G12432" s="234"/>
      <c r="H12432" s="238"/>
      <c r="I12432" s="237"/>
    </row>
    <row r="12433" spans="1:9" s="232" customFormat="1" ht="17" customHeight="1">
      <c r="A12433" s="234"/>
      <c r="B12433" s="233"/>
      <c r="C12433" s="238"/>
      <c r="E12433" s="545"/>
      <c r="F12433" s="546"/>
      <c r="G12433" s="234"/>
      <c r="H12433" s="238"/>
      <c r="I12433" s="237"/>
    </row>
    <row r="12434" spans="1:9" s="232" customFormat="1" ht="17" customHeight="1">
      <c r="A12434" s="234"/>
      <c r="B12434" s="233"/>
      <c r="C12434" s="238"/>
      <c r="E12434" s="545"/>
      <c r="F12434" s="546"/>
      <c r="G12434" s="234"/>
      <c r="H12434" s="238"/>
      <c r="I12434" s="237"/>
    </row>
    <row r="12435" spans="1:9" s="232" customFormat="1" ht="17" customHeight="1">
      <c r="A12435" s="234"/>
      <c r="B12435" s="233"/>
      <c r="C12435" s="238"/>
      <c r="E12435" s="545"/>
      <c r="F12435" s="546"/>
      <c r="G12435" s="234"/>
      <c r="H12435" s="238"/>
      <c r="I12435" s="237"/>
    </row>
    <row r="12436" spans="1:9" s="232" customFormat="1" ht="17" customHeight="1">
      <c r="A12436" s="234"/>
      <c r="B12436" s="233"/>
      <c r="C12436" s="238"/>
      <c r="E12436" s="545"/>
      <c r="F12436" s="546"/>
      <c r="G12436" s="234"/>
      <c r="H12436" s="238"/>
      <c r="I12436" s="237"/>
    </row>
    <row r="12437" spans="1:9" s="232" customFormat="1" ht="17" customHeight="1">
      <c r="A12437" s="234"/>
      <c r="B12437" s="233"/>
      <c r="C12437" s="238"/>
      <c r="E12437" s="545"/>
      <c r="F12437" s="546"/>
      <c r="G12437" s="234"/>
      <c r="H12437" s="238"/>
      <c r="I12437" s="237"/>
    </row>
    <row r="12438" spans="1:9" s="232" customFormat="1" ht="17" customHeight="1">
      <c r="A12438" s="234"/>
      <c r="B12438" s="233"/>
      <c r="C12438" s="238"/>
      <c r="E12438" s="545"/>
      <c r="F12438" s="546"/>
      <c r="G12438" s="234"/>
      <c r="H12438" s="238"/>
      <c r="I12438" s="237"/>
    </row>
    <row r="12439" spans="1:9" s="232" customFormat="1" ht="17" customHeight="1">
      <c r="A12439" s="234"/>
      <c r="B12439" s="233"/>
      <c r="C12439" s="238"/>
      <c r="E12439" s="545"/>
      <c r="F12439" s="546"/>
      <c r="G12439" s="234"/>
      <c r="H12439" s="238"/>
      <c r="I12439" s="237"/>
    </row>
    <row r="12440" spans="1:9" s="232" customFormat="1" ht="17" customHeight="1">
      <c r="A12440" s="234"/>
      <c r="B12440" s="233"/>
      <c r="C12440" s="238"/>
      <c r="E12440" s="545"/>
      <c r="F12440" s="546"/>
      <c r="G12440" s="234"/>
      <c r="H12440" s="238"/>
      <c r="I12440" s="237"/>
    </row>
    <row r="12441" spans="1:9" s="232" customFormat="1" ht="17" customHeight="1">
      <c r="A12441" s="234"/>
      <c r="B12441" s="233"/>
      <c r="C12441" s="238"/>
      <c r="E12441" s="545"/>
      <c r="F12441" s="546"/>
      <c r="G12441" s="234"/>
      <c r="H12441" s="238"/>
      <c r="I12441" s="237"/>
    </row>
    <row r="12442" spans="1:9" s="232" customFormat="1" ht="17" customHeight="1">
      <c r="A12442" s="234"/>
      <c r="B12442" s="233"/>
      <c r="C12442" s="238"/>
      <c r="E12442" s="545"/>
      <c r="F12442" s="546"/>
      <c r="G12442" s="234"/>
      <c r="H12442" s="238"/>
      <c r="I12442" s="237"/>
    </row>
    <row r="12443" spans="1:9" s="232" customFormat="1" ht="17" customHeight="1">
      <c r="A12443" s="234"/>
      <c r="B12443" s="233"/>
      <c r="C12443" s="238"/>
      <c r="E12443" s="545"/>
      <c r="F12443" s="546"/>
      <c r="G12443" s="234"/>
      <c r="H12443" s="238"/>
      <c r="I12443" s="237"/>
    </row>
    <row r="12444" spans="1:9" s="232" customFormat="1" ht="17" customHeight="1">
      <c r="A12444" s="234"/>
      <c r="B12444" s="233"/>
      <c r="C12444" s="238"/>
      <c r="E12444" s="545"/>
      <c r="F12444" s="546"/>
      <c r="G12444" s="234"/>
      <c r="H12444" s="238"/>
      <c r="I12444" s="237"/>
    </row>
    <row r="12445" spans="1:9" s="232" customFormat="1" ht="17" customHeight="1">
      <c r="A12445" s="234"/>
      <c r="B12445" s="233"/>
      <c r="C12445" s="238"/>
      <c r="E12445" s="545"/>
      <c r="F12445" s="546"/>
      <c r="G12445" s="234"/>
      <c r="H12445" s="238"/>
      <c r="I12445" s="237"/>
    </row>
    <row r="12446" spans="1:9" s="232" customFormat="1" ht="17" customHeight="1">
      <c r="A12446" s="234"/>
      <c r="B12446" s="233"/>
      <c r="C12446" s="238"/>
      <c r="E12446" s="545"/>
      <c r="F12446" s="546"/>
      <c r="G12446" s="234"/>
      <c r="H12446" s="238"/>
      <c r="I12446" s="237"/>
    </row>
    <row r="12447" spans="1:9" s="232" customFormat="1" ht="17" customHeight="1">
      <c r="A12447" s="234"/>
      <c r="B12447" s="233"/>
      <c r="C12447" s="238"/>
      <c r="E12447" s="545"/>
      <c r="F12447" s="546"/>
      <c r="G12447" s="234"/>
      <c r="H12447" s="238"/>
      <c r="I12447" s="237"/>
    </row>
    <row r="12448" spans="1:9" s="232" customFormat="1" ht="17" customHeight="1">
      <c r="A12448" s="234"/>
      <c r="B12448" s="233"/>
      <c r="C12448" s="238"/>
      <c r="E12448" s="545"/>
      <c r="F12448" s="546"/>
      <c r="G12448" s="234"/>
      <c r="H12448" s="238"/>
      <c r="I12448" s="237"/>
    </row>
    <row r="12449" spans="1:9" s="232" customFormat="1" ht="17" customHeight="1">
      <c r="A12449" s="234"/>
      <c r="B12449" s="233"/>
      <c r="C12449" s="238"/>
      <c r="E12449" s="545"/>
      <c r="F12449" s="546"/>
      <c r="G12449" s="234"/>
      <c r="H12449" s="238"/>
      <c r="I12449" s="237"/>
    </row>
    <row r="12450" spans="1:9" s="232" customFormat="1" ht="17" customHeight="1">
      <c r="A12450" s="234"/>
      <c r="B12450" s="233"/>
      <c r="C12450" s="238"/>
      <c r="E12450" s="545"/>
      <c r="F12450" s="546"/>
      <c r="G12450" s="234"/>
      <c r="H12450" s="238"/>
      <c r="I12450" s="237"/>
    </row>
    <row r="12451" spans="1:9" s="232" customFormat="1" ht="17" customHeight="1">
      <c r="A12451" s="234"/>
      <c r="B12451" s="233"/>
      <c r="C12451" s="238"/>
      <c r="E12451" s="545"/>
      <c r="F12451" s="546"/>
      <c r="G12451" s="234"/>
      <c r="H12451" s="238"/>
      <c r="I12451" s="237"/>
    </row>
    <row r="12452" spans="1:9" s="232" customFormat="1" ht="17" customHeight="1">
      <c r="A12452" s="234"/>
      <c r="B12452" s="233"/>
      <c r="C12452" s="238"/>
      <c r="E12452" s="545"/>
      <c r="F12452" s="546"/>
      <c r="G12452" s="234"/>
      <c r="H12452" s="238"/>
      <c r="I12452" s="237"/>
    </row>
    <row r="12453" spans="1:9" s="232" customFormat="1" ht="17" customHeight="1">
      <c r="A12453" s="234"/>
      <c r="B12453" s="233"/>
      <c r="C12453" s="238"/>
      <c r="E12453" s="545"/>
      <c r="F12453" s="546"/>
      <c r="G12453" s="234"/>
      <c r="H12453" s="238"/>
      <c r="I12453" s="237"/>
    </row>
    <row r="12454" spans="1:9" s="232" customFormat="1" ht="17" customHeight="1">
      <c r="A12454" s="234"/>
      <c r="B12454" s="233"/>
      <c r="C12454" s="238"/>
      <c r="E12454" s="545"/>
      <c r="F12454" s="546"/>
      <c r="G12454" s="234"/>
      <c r="H12454" s="238"/>
      <c r="I12454" s="237"/>
    </row>
    <row r="12455" spans="1:9" s="232" customFormat="1" ht="17" customHeight="1">
      <c r="A12455" s="234"/>
      <c r="B12455" s="233"/>
      <c r="C12455" s="238"/>
      <c r="E12455" s="545"/>
      <c r="F12455" s="546"/>
      <c r="G12455" s="234"/>
      <c r="H12455" s="238"/>
      <c r="I12455" s="237"/>
    </row>
    <row r="12456" spans="1:9" s="232" customFormat="1" ht="17" customHeight="1">
      <c r="A12456" s="234"/>
      <c r="B12456" s="233"/>
      <c r="C12456" s="238"/>
      <c r="E12456" s="545"/>
      <c r="F12456" s="546"/>
      <c r="G12456" s="234"/>
      <c r="H12456" s="238"/>
      <c r="I12456" s="237"/>
    </row>
    <row r="12457" spans="1:9" s="232" customFormat="1" ht="17" customHeight="1">
      <c r="A12457" s="234"/>
      <c r="B12457" s="233"/>
      <c r="C12457" s="238"/>
      <c r="E12457" s="545"/>
      <c r="F12457" s="546"/>
      <c r="G12457" s="234"/>
      <c r="H12457" s="238"/>
      <c r="I12457" s="237"/>
    </row>
    <row r="12458" spans="1:9" s="232" customFormat="1" ht="17" customHeight="1">
      <c r="A12458" s="234"/>
      <c r="B12458" s="233"/>
      <c r="C12458" s="238"/>
      <c r="E12458" s="545"/>
      <c r="F12458" s="546"/>
      <c r="G12458" s="234"/>
      <c r="H12458" s="238"/>
      <c r="I12458" s="237"/>
    </row>
    <row r="12459" spans="1:9" s="232" customFormat="1" ht="17" customHeight="1">
      <c r="A12459" s="234"/>
      <c r="B12459" s="233"/>
      <c r="C12459" s="238"/>
      <c r="E12459" s="545"/>
      <c r="F12459" s="546"/>
      <c r="G12459" s="234"/>
      <c r="H12459" s="238"/>
      <c r="I12459" s="237"/>
    </row>
    <row r="12460" spans="1:9" s="232" customFormat="1" ht="17" customHeight="1">
      <c r="A12460" s="234"/>
      <c r="B12460" s="233"/>
      <c r="C12460" s="238"/>
      <c r="E12460" s="545"/>
      <c r="F12460" s="546"/>
      <c r="G12460" s="234"/>
      <c r="H12460" s="238"/>
      <c r="I12460" s="237"/>
    </row>
    <row r="12461" spans="1:9" s="232" customFormat="1" ht="17" customHeight="1">
      <c r="A12461" s="234"/>
      <c r="B12461" s="233"/>
      <c r="C12461" s="238"/>
      <c r="E12461" s="545"/>
      <c r="F12461" s="546"/>
      <c r="G12461" s="234"/>
      <c r="H12461" s="238"/>
      <c r="I12461" s="237"/>
    </row>
    <row r="12462" spans="1:9" s="232" customFormat="1" ht="17" customHeight="1">
      <c r="A12462" s="234"/>
      <c r="B12462" s="233"/>
      <c r="C12462" s="238"/>
      <c r="E12462" s="545"/>
      <c r="F12462" s="546"/>
      <c r="G12462" s="234"/>
      <c r="H12462" s="238"/>
      <c r="I12462" s="237"/>
    </row>
    <row r="12463" spans="1:9" s="232" customFormat="1" ht="17" customHeight="1">
      <c r="A12463" s="234"/>
      <c r="B12463" s="233"/>
      <c r="C12463" s="238"/>
      <c r="E12463" s="545"/>
      <c r="F12463" s="546"/>
      <c r="G12463" s="234"/>
      <c r="H12463" s="238"/>
      <c r="I12463" s="237"/>
    </row>
    <row r="12464" spans="1:9" s="232" customFormat="1" ht="17" customHeight="1">
      <c r="A12464" s="234"/>
      <c r="B12464" s="233"/>
      <c r="C12464" s="238"/>
      <c r="E12464" s="545"/>
      <c r="F12464" s="546"/>
      <c r="G12464" s="234"/>
      <c r="H12464" s="238"/>
      <c r="I12464" s="237"/>
    </row>
    <row r="12465" spans="1:9" s="232" customFormat="1" ht="17" customHeight="1">
      <c r="A12465" s="234"/>
      <c r="B12465" s="233"/>
      <c r="C12465" s="238"/>
      <c r="E12465" s="545"/>
      <c r="F12465" s="546"/>
      <c r="G12465" s="234"/>
      <c r="H12465" s="238"/>
      <c r="I12465" s="237"/>
    </row>
    <row r="12466" spans="1:9" s="232" customFormat="1" ht="17" customHeight="1">
      <c r="A12466" s="234"/>
      <c r="B12466" s="233"/>
      <c r="C12466" s="238"/>
      <c r="E12466" s="545"/>
      <c r="F12466" s="546"/>
      <c r="G12466" s="234"/>
      <c r="H12466" s="238"/>
      <c r="I12466" s="237"/>
    </row>
    <row r="12467" spans="1:9" s="232" customFormat="1" ht="17" customHeight="1">
      <c r="A12467" s="234"/>
      <c r="B12467" s="233"/>
      <c r="C12467" s="238"/>
      <c r="E12467" s="545"/>
      <c r="F12467" s="546"/>
      <c r="G12467" s="234"/>
      <c r="H12467" s="238"/>
      <c r="I12467" s="237"/>
    </row>
    <row r="12468" spans="1:9" s="232" customFormat="1" ht="17" customHeight="1">
      <c r="A12468" s="234"/>
      <c r="B12468" s="233"/>
      <c r="C12468" s="238"/>
      <c r="E12468" s="545"/>
      <c r="F12468" s="546"/>
      <c r="G12468" s="234"/>
      <c r="H12468" s="238"/>
      <c r="I12468" s="237"/>
    </row>
    <row r="12469" spans="1:9" s="232" customFormat="1" ht="17" customHeight="1">
      <c r="A12469" s="234"/>
      <c r="B12469" s="233"/>
      <c r="C12469" s="238"/>
      <c r="E12469" s="545"/>
      <c r="F12469" s="546"/>
      <c r="G12469" s="234"/>
      <c r="H12469" s="238"/>
      <c r="I12469" s="237"/>
    </row>
    <row r="12470" spans="1:9" s="232" customFormat="1" ht="17" customHeight="1">
      <c r="A12470" s="234"/>
      <c r="B12470" s="233"/>
      <c r="C12470" s="238"/>
      <c r="E12470" s="545"/>
      <c r="F12470" s="546"/>
      <c r="G12470" s="234"/>
      <c r="H12470" s="238"/>
      <c r="I12470" s="237"/>
    </row>
    <row r="12471" spans="1:9" s="232" customFormat="1" ht="17" customHeight="1">
      <c r="A12471" s="234"/>
      <c r="B12471" s="233"/>
      <c r="C12471" s="238"/>
      <c r="E12471" s="545"/>
      <c r="F12471" s="546"/>
      <c r="G12471" s="234"/>
      <c r="H12471" s="238"/>
      <c r="I12471" s="237"/>
    </row>
    <row r="12472" spans="1:9" s="232" customFormat="1" ht="17" customHeight="1">
      <c r="A12472" s="234"/>
      <c r="B12472" s="233"/>
      <c r="C12472" s="238"/>
      <c r="E12472" s="545"/>
      <c r="F12472" s="546"/>
      <c r="G12472" s="234"/>
      <c r="H12472" s="238"/>
      <c r="I12472" s="237"/>
    </row>
    <row r="12473" spans="1:9" s="232" customFormat="1" ht="17" customHeight="1">
      <c r="A12473" s="234"/>
      <c r="B12473" s="233"/>
      <c r="C12473" s="238"/>
      <c r="E12473" s="545"/>
      <c r="F12473" s="546"/>
      <c r="G12473" s="234"/>
      <c r="H12473" s="238"/>
      <c r="I12473" s="237"/>
    </row>
    <row r="12474" spans="1:9" s="232" customFormat="1" ht="17" customHeight="1">
      <c r="A12474" s="234"/>
      <c r="B12474" s="233"/>
      <c r="C12474" s="238"/>
      <c r="E12474" s="545"/>
      <c r="F12474" s="546"/>
      <c r="G12474" s="234"/>
      <c r="H12474" s="238"/>
      <c r="I12474" s="237"/>
    </row>
    <row r="12475" spans="1:9" s="232" customFormat="1" ht="17" customHeight="1">
      <c r="A12475" s="234"/>
      <c r="B12475" s="233"/>
      <c r="C12475" s="238"/>
      <c r="E12475" s="545"/>
      <c r="F12475" s="546"/>
      <c r="G12475" s="234"/>
      <c r="H12475" s="238"/>
      <c r="I12475" s="237"/>
    </row>
    <row r="12476" spans="1:9" s="232" customFormat="1" ht="17" customHeight="1">
      <c r="A12476" s="234"/>
      <c r="B12476" s="233"/>
      <c r="C12476" s="238"/>
      <c r="E12476" s="545"/>
      <c r="F12476" s="546"/>
      <c r="G12476" s="234"/>
      <c r="H12476" s="238"/>
      <c r="I12476" s="237"/>
    </row>
    <row r="12477" spans="1:9" s="232" customFormat="1" ht="17" customHeight="1">
      <c r="A12477" s="234"/>
      <c r="B12477" s="233"/>
      <c r="C12477" s="238"/>
      <c r="E12477" s="545"/>
      <c r="F12477" s="546"/>
      <c r="G12477" s="234"/>
      <c r="H12477" s="238"/>
      <c r="I12477" s="237"/>
    </row>
    <row r="12478" spans="1:9" s="232" customFormat="1" ht="17" customHeight="1">
      <c r="A12478" s="234"/>
      <c r="B12478" s="233"/>
      <c r="C12478" s="238"/>
      <c r="E12478" s="545"/>
      <c r="F12478" s="546"/>
      <c r="G12478" s="234"/>
      <c r="H12478" s="238"/>
      <c r="I12478" s="237"/>
    </row>
    <row r="12479" spans="1:9" s="232" customFormat="1" ht="17" customHeight="1">
      <c r="A12479" s="234"/>
      <c r="B12479" s="233"/>
      <c r="C12479" s="238"/>
      <c r="E12479" s="545"/>
      <c r="F12479" s="546"/>
      <c r="G12479" s="234"/>
      <c r="H12479" s="238"/>
      <c r="I12479" s="237"/>
    </row>
    <row r="12480" spans="1:9" s="232" customFormat="1" ht="17" customHeight="1">
      <c r="A12480" s="234"/>
      <c r="B12480" s="233"/>
      <c r="C12480" s="238"/>
      <c r="E12480" s="545"/>
      <c r="F12480" s="546"/>
      <c r="G12480" s="234"/>
      <c r="H12480" s="238"/>
      <c r="I12480" s="237"/>
    </row>
    <row r="12481" spans="1:9" s="232" customFormat="1" ht="17" customHeight="1">
      <c r="A12481" s="234"/>
      <c r="B12481" s="233"/>
      <c r="C12481" s="238"/>
      <c r="E12481" s="545"/>
      <c r="F12481" s="546"/>
      <c r="G12481" s="234"/>
      <c r="H12481" s="238"/>
      <c r="I12481" s="237"/>
    </row>
    <row r="12482" spans="1:9" s="232" customFormat="1" ht="17" customHeight="1">
      <c r="A12482" s="234"/>
      <c r="B12482" s="233"/>
      <c r="C12482" s="238"/>
      <c r="E12482" s="545"/>
      <c r="F12482" s="546"/>
      <c r="G12482" s="234"/>
      <c r="H12482" s="238"/>
      <c r="I12482" s="237"/>
    </row>
    <row r="12483" spans="1:9" s="232" customFormat="1" ht="17" customHeight="1">
      <c r="A12483" s="234"/>
      <c r="B12483" s="233"/>
      <c r="C12483" s="238"/>
      <c r="E12483" s="545"/>
      <c r="F12483" s="546"/>
      <c r="G12483" s="234"/>
      <c r="H12483" s="238"/>
      <c r="I12483" s="237"/>
    </row>
    <row r="12484" spans="1:9" s="232" customFormat="1" ht="17" customHeight="1">
      <c r="A12484" s="234"/>
      <c r="B12484" s="233"/>
      <c r="C12484" s="238"/>
      <c r="E12484" s="545"/>
      <c r="F12484" s="546"/>
      <c r="G12484" s="234"/>
      <c r="H12484" s="238"/>
      <c r="I12484" s="237"/>
    </row>
    <row r="12485" spans="1:9" s="232" customFormat="1" ht="17" customHeight="1">
      <c r="A12485" s="234"/>
      <c r="B12485" s="233"/>
      <c r="C12485" s="238"/>
      <c r="E12485" s="545"/>
      <c r="F12485" s="546"/>
      <c r="G12485" s="234"/>
      <c r="H12485" s="238"/>
      <c r="I12485" s="237"/>
    </row>
    <row r="12486" spans="1:9" s="232" customFormat="1" ht="17" customHeight="1">
      <c r="A12486" s="234"/>
      <c r="B12486" s="233"/>
      <c r="C12486" s="238"/>
      <c r="E12486" s="545"/>
      <c r="F12486" s="546"/>
      <c r="G12486" s="234"/>
      <c r="H12486" s="238"/>
      <c r="I12486" s="237"/>
    </row>
    <row r="12487" spans="1:9" s="232" customFormat="1" ht="17" customHeight="1">
      <c r="A12487" s="234"/>
      <c r="B12487" s="233"/>
      <c r="C12487" s="238"/>
      <c r="E12487" s="545"/>
      <c r="F12487" s="546"/>
      <c r="G12487" s="234"/>
      <c r="H12487" s="238"/>
      <c r="I12487" s="237"/>
    </row>
    <row r="12488" spans="1:9" s="232" customFormat="1" ht="17" customHeight="1">
      <c r="A12488" s="234"/>
      <c r="B12488" s="233"/>
      <c r="C12488" s="238"/>
      <c r="E12488" s="545"/>
      <c r="F12488" s="546"/>
      <c r="G12488" s="234"/>
      <c r="H12488" s="238"/>
      <c r="I12488" s="237"/>
    </row>
    <row r="12489" spans="1:9" s="232" customFormat="1" ht="17" customHeight="1">
      <c r="A12489" s="234"/>
      <c r="B12489" s="233"/>
      <c r="C12489" s="238"/>
      <c r="E12489" s="545"/>
      <c r="F12489" s="546"/>
      <c r="G12489" s="234"/>
      <c r="H12489" s="238"/>
      <c r="I12489" s="237"/>
    </row>
    <row r="12490" spans="1:9" s="232" customFormat="1" ht="17" customHeight="1">
      <c r="A12490" s="234"/>
      <c r="B12490" s="233"/>
      <c r="C12490" s="238"/>
      <c r="E12490" s="545"/>
      <c r="F12490" s="546"/>
      <c r="G12490" s="234"/>
      <c r="H12490" s="238"/>
      <c r="I12490" s="237"/>
    </row>
    <row r="12491" spans="1:9" s="232" customFormat="1" ht="17" customHeight="1">
      <c r="A12491" s="234"/>
      <c r="B12491" s="233"/>
      <c r="C12491" s="238"/>
      <c r="E12491" s="545"/>
      <c r="F12491" s="546"/>
      <c r="G12491" s="234"/>
      <c r="H12491" s="238"/>
      <c r="I12491" s="237"/>
    </row>
    <row r="12492" spans="1:9" s="232" customFormat="1" ht="17" customHeight="1">
      <c r="A12492" s="234"/>
      <c r="B12492" s="233"/>
      <c r="C12492" s="238"/>
      <c r="E12492" s="545"/>
      <c r="F12492" s="546"/>
      <c r="G12492" s="234"/>
      <c r="H12492" s="238"/>
      <c r="I12492" s="237"/>
    </row>
    <row r="12493" spans="1:9" s="232" customFormat="1" ht="17" customHeight="1">
      <c r="A12493" s="234"/>
      <c r="B12493" s="233"/>
      <c r="C12493" s="238"/>
      <c r="E12493" s="545"/>
      <c r="F12493" s="546"/>
      <c r="G12493" s="234"/>
      <c r="H12493" s="238"/>
      <c r="I12493" s="237"/>
    </row>
    <row r="12494" spans="1:9" s="232" customFormat="1" ht="17" customHeight="1">
      <c r="A12494" s="234"/>
      <c r="B12494" s="233"/>
      <c r="C12494" s="238"/>
      <c r="E12494" s="545"/>
      <c r="F12494" s="546"/>
      <c r="G12494" s="234"/>
      <c r="H12494" s="238"/>
      <c r="I12494" s="237"/>
    </row>
    <row r="12495" spans="1:9" s="232" customFormat="1" ht="17" customHeight="1">
      <c r="A12495" s="234"/>
      <c r="B12495" s="233"/>
      <c r="C12495" s="238"/>
      <c r="E12495" s="545"/>
      <c r="F12495" s="546"/>
      <c r="G12495" s="234"/>
      <c r="H12495" s="238"/>
      <c r="I12495" s="237"/>
    </row>
    <row r="12496" spans="1:9" s="232" customFormat="1" ht="17" customHeight="1">
      <c r="A12496" s="234"/>
      <c r="B12496" s="233"/>
      <c r="C12496" s="238"/>
      <c r="E12496" s="545"/>
      <c r="F12496" s="546"/>
      <c r="G12496" s="234"/>
      <c r="H12496" s="238"/>
      <c r="I12496" s="237"/>
    </row>
    <row r="12497" spans="1:9" s="232" customFormat="1" ht="17" customHeight="1">
      <c r="A12497" s="234"/>
      <c r="B12497" s="233"/>
      <c r="C12497" s="238"/>
      <c r="E12497" s="545"/>
      <c r="F12497" s="546"/>
      <c r="G12497" s="234"/>
      <c r="H12497" s="238"/>
      <c r="I12497" s="237"/>
    </row>
    <row r="12498" spans="1:9" s="232" customFormat="1" ht="17" customHeight="1">
      <c r="A12498" s="234"/>
      <c r="B12498" s="233"/>
      <c r="C12498" s="238"/>
      <c r="E12498" s="545"/>
      <c r="F12498" s="546"/>
      <c r="G12498" s="234"/>
      <c r="H12498" s="238"/>
      <c r="I12498" s="237"/>
    </row>
    <row r="12499" spans="1:9" s="232" customFormat="1" ht="17" customHeight="1">
      <c r="A12499" s="234"/>
      <c r="B12499" s="233"/>
      <c r="C12499" s="238"/>
      <c r="E12499" s="545"/>
      <c r="F12499" s="546"/>
      <c r="G12499" s="234"/>
      <c r="H12499" s="238"/>
      <c r="I12499" s="237"/>
    </row>
    <row r="12500" spans="1:9" s="232" customFormat="1" ht="17" customHeight="1">
      <c r="A12500" s="234"/>
      <c r="B12500" s="233"/>
      <c r="C12500" s="238"/>
      <c r="E12500" s="545"/>
      <c r="F12500" s="546"/>
      <c r="G12500" s="234"/>
      <c r="H12500" s="238"/>
      <c r="I12500" s="237"/>
    </row>
    <row r="12501" spans="1:9" s="232" customFormat="1" ht="17" customHeight="1">
      <c r="A12501" s="234"/>
      <c r="B12501" s="233"/>
      <c r="C12501" s="238"/>
      <c r="E12501" s="545"/>
      <c r="F12501" s="546"/>
      <c r="G12501" s="234"/>
      <c r="H12501" s="238"/>
      <c r="I12501" s="237"/>
    </row>
    <row r="12502" spans="1:9" s="232" customFormat="1" ht="17" customHeight="1">
      <c r="A12502" s="234"/>
      <c r="B12502" s="233"/>
      <c r="C12502" s="238"/>
      <c r="E12502" s="545"/>
      <c r="F12502" s="546"/>
      <c r="G12502" s="234"/>
      <c r="H12502" s="238"/>
      <c r="I12502" s="237"/>
    </row>
    <row r="12503" spans="1:9" s="232" customFormat="1" ht="17" customHeight="1">
      <c r="A12503" s="234"/>
      <c r="B12503" s="233"/>
      <c r="C12503" s="238"/>
      <c r="E12503" s="545"/>
      <c r="F12503" s="546"/>
      <c r="G12503" s="234"/>
      <c r="H12503" s="238"/>
      <c r="I12503" s="237"/>
    </row>
    <row r="12504" spans="1:9" s="232" customFormat="1" ht="17" customHeight="1">
      <c r="A12504" s="234"/>
      <c r="B12504" s="233"/>
      <c r="C12504" s="238"/>
      <c r="E12504" s="545"/>
      <c r="F12504" s="546"/>
      <c r="G12504" s="234"/>
      <c r="H12504" s="238"/>
      <c r="I12504" s="237"/>
    </row>
    <row r="12505" spans="1:9" s="232" customFormat="1" ht="17" customHeight="1">
      <c r="A12505" s="234"/>
      <c r="B12505" s="233"/>
      <c r="C12505" s="238"/>
      <c r="E12505" s="545"/>
      <c r="F12505" s="546"/>
      <c r="G12505" s="234"/>
      <c r="H12505" s="238"/>
      <c r="I12505" s="237"/>
    </row>
    <row r="12506" spans="1:9" s="232" customFormat="1" ht="17" customHeight="1">
      <c r="A12506" s="234"/>
      <c r="B12506" s="233"/>
      <c r="C12506" s="238"/>
      <c r="E12506" s="545"/>
      <c r="F12506" s="546"/>
      <c r="G12506" s="234"/>
      <c r="H12506" s="238"/>
      <c r="I12506" s="237"/>
    </row>
    <row r="12507" spans="1:9" s="232" customFormat="1" ht="17" customHeight="1">
      <c r="A12507" s="234"/>
      <c r="B12507" s="233"/>
      <c r="C12507" s="238"/>
      <c r="E12507" s="545"/>
      <c r="F12507" s="546"/>
      <c r="G12507" s="234"/>
      <c r="H12507" s="238"/>
      <c r="I12507" s="237"/>
    </row>
    <row r="12508" spans="1:9" s="232" customFormat="1" ht="17" customHeight="1">
      <c r="A12508" s="234"/>
      <c r="B12508" s="233"/>
      <c r="C12508" s="238"/>
      <c r="E12508" s="545"/>
      <c r="F12508" s="546"/>
      <c r="G12508" s="234"/>
      <c r="H12508" s="238"/>
      <c r="I12508" s="237"/>
    </row>
    <row r="12509" spans="1:9" s="232" customFormat="1" ht="17" customHeight="1">
      <c r="A12509" s="234"/>
      <c r="B12509" s="233"/>
      <c r="C12509" s="238"/>
      <c r="E12509" s="545"/>
      <c r="F12509" s="546"/>
      <c r="G12509" s="234"/>
      <c r="H12509" s="238"/>
      <c r="I12509" s="237"/>
    </row>
    <row r="12510" spans="1:9" s="232" customFormat="1" ht="17" customHeight="1">
      <c r="A12510" s="234"/>
      <c r="B12510" s="233"/>
      <c r="C12510" s="238"/>
      <c r="E12510" s="545"/>
      <c r="F12510" s="546"/>
      <c r="G12510" s="234"/>
      <c r="H12510" s="238"/>
      <c r="I12510" s="237"/>
    </row>
    <row r="12511" spans="1:9" s="232" customFormat="1" ht="17" customHeight="1">
      <c r="A12511" s="234"/>
      <c r="B12511" s="233"/>
      <c r="C12511" s="238"/>
      <c r="E12511" s="545"/>
      <c r="F12511" s="546"/>
      <c r="G12511" s="234"/>
      <c r="H12511" s="238"/>
      <c r="I12511" s="237"/>
    </row>
    <row r="12512" spans="1:9" s="232" customFormat="1" ht="17" customHeight="1">
      <c r="A12512" s="234"/>
      <c r="B12512" s="233"/>
      <c r="C12512" s="238"/>
      <c r="E12512" s="545"/>
      <c r="F12512" s="546"/>
      <c r="G12512" s="234"/>
      <c r="H12512" s="238"/>
      <c r="I12512" s="237"/>
    </row>
    <row r="12513" spans="1:9" s="232" customFormat="1" ht="17" customHeight="1">
      <c r="A12513" s="234"/>
      <c r="B12513" s="233"/>
      <c r="C12513" s="238"/>
      <c r="E12513" s="545"/>
      <c r="F12513" s="546"/>
      <c r="G12513" s="234"/>
      <c r="H12513" s="238"/>
      <c r="I12513" s="237"/>
    </row>
    <row r="12514" spans="1:9" s="232" customFormat="1" ht="17" customHeight="1">
      <c r="A12514" s="234"/>
      <c r="B12514" s="233"/>
      <c r="C12514" s="238"/>
      <c r="E12514" s="545"/>
      <c r="F12514" s="546"/>
      <c r="G12514" s="234"/>
      <c r="H12514" s="238"/>
      <c r="I12514" s="237"/>
    </row>
    <row r="12515" spans="1:9" s="232" customFormat="1" ht="17" customHeight="1">
      <c r="A12515" s="234"/>
      <c r="B12515" s="233"/>
      <c r="C12515" s="238"/>
      <c r="E12515" s="545"/>
      <c r="F12515" s="546"/>
      <c r="G12515" s="234"/>
      <c r="H12515" s="238"/>
      <c r="I12515" s="237"/>
    </row>
    <row r="12516" spans="1:9" s="232" customFormat="1" ht="17" customHeight="1">
      <c r="A12516" s="234"/>
      <c r="B12516" s="233"/>
      <c r="C12516" s="238"/>
      <c r="E12516" s="545"/>
      <c r="F12516" s="546"/>
      <c r="G12516" s="234"/>
      <c r="H12516" s="238"/>
      <c r="I12516" s="237"/>
    </row>
    <row r="12517" spans="1:9" s="232" customFormat="1" ht="17" customHeight="1">
      <c r="A12517" s="234"/>
      <c r="B12517" s="233"/>
      <c r="C12517" s="238"/>
      <c r="E12517" s="545"/>
      <c r="F12517" s="546"/>
      <c r="G12517" s="234"/>
      <c r="H12517" s="238"/>
      <c r="I12517" s="237"/>
    </row>
    <row r="12518" spans="1:9" s="232" customFormat="1" ht="17" customHeight="1">
      <c r="A12518" s="234"/>
      <c r="B12518" s="233"/>
      <c r="C12518" s="238"/>
      <c r="E12518" s="545"/>
      <c r="F12518" s="546"/>
      <c r="G12518" s="234"/>
      <c r="H12518" s="238"/>
      <c r="I12518" s="237"/>
    </row>
    <row r="12519" spans="1:9" s="232" customFormat="1" ht="17" customHeight="1">
      <c r="A12519" s="234"/>
      <c r="B12519" s="233"/>
      <c r="C12519" s="238"/>
      <c r="E12519" s="545"/>
      <c r="F12519" s="546"/>
      <c r="G12519" s="234"/>
      <c r="H12519" s="238"/>
      <c r="I12519" s="237"/>
    </row>
    <row r="12520" spans="1:9" s="232" customFormat="1" ht="17" customHeight="1">
      <c r="A12520" s="234"/>
      <c r="B12520" s="233"/>
      <c r="C12520" s="238"/>
      <c r="E12520" s="545"/>
      <c r="F12520" s="546"/>
      <c r="G12520" s="234"/>
      <c r="H12520" s="238"/>
      <c r="I12520" s="237"/>
    </row>
    <row r="12521" spans="1:9" s="232" customFormat="1" ht="17" customHeight="1">
      <c r="A12521" s="234"/>
      <c r="B12521" s="233"/>
      <c r="C12521" s="238"/>
      <c r="E12521" s="545"/>
      <c r="F12521" s="546"/>
      <c r="G12521" s="234"/>
      <c r="H12521" s="238"/>
      <c r="I12521" s="237"/>
    </row>
    <row r="12522" spans="1:9" s="232" customFormat="1" ht="17" customHeight="1">
      <c r="A12522" s="234"/>
      <c r="B12522" s="233"/>
      <c r="C12522" s="238"/>
      <c r="E12522" s="545"/>
      <c r="F12522" s="546"/>
      <c r="G12522" s="234"/>
      <c r="H12522" s="238"/>
      <c r="I12522" s="237"/>
    </row>
    <row r="12523" spans="1:9" s="232" customFormat="1" ht="17" customHeight="1">
      <c r="A12523" s="234"/>
      <c r="B12523" s="233"/>
      <c r="C12523" s="238"/>
      <c r="E12523" s="545"/>
      <c r="F12523" s="546"/>
      <c r="G12523" s="234"/>
      <c r="H12523" s="238"/>
      <c r="I12523" s="237"/>
    </row>
    <row r="12524" spans="1:9" s="232" customFormat="1" ht="17" customHeight="1">
      <c r="A12524" s="234"/>
      <c r="B12524" s="233"/>
      <c r="C12524" s="238"/>
      <c r="E12524" s="545"/>
      <c r="F12524" s="546"/>
      <c r="G12524" s="234"/>
      <c r="H12524" s="238"/>
      <c r="I12524" s="237"/>
    </row>
    <row r="12525" spans="1:9" s="232" customFormat="1" ht="17" customHeight="1">
      <c r="A12525" s="234"/>
      <c r="B12525" s="233"/>
      <c r="C12525" s="238"/>
      <c r="E12525" s="545"/>
      <c r="F12525" s="546"/>
      <c r="G12525" s="234"/>
      <c r="H12525" s="238"/>
      <c r="I12525" s="237"/>
    </row>
    <row r="12526" spans="1:9" s="232" customFormat="1" ht="17" customHeight="1">
      <c r="A12526" s="234"/>
      <c r="B12526" s="233"/>
      <c r="C12526" s="238"/>
      <c r="E12526" s="545"/>
      <c r="F12526" s="546"/>
      <c r="G12526" s="234"/>
      <c r="H12526" s="238"/>
      <c r="I12526" s="237"/>
    </row>
    <row r="12527" spans="1:9" s="232" customFormat="1" ht="17" customHeight="1">
      <c r="A12527" s="234"/>
      <c r="B12527" s="233"/>
      <c r="C12527" s="238"/>
      <c r="E12527" s="545"/>
      <c r="F12527" s="546"/>
      <c r="G12527" s="234"/>
      <c r="H12527" s="238"/>
      <c r="I12527" s="237"/>
    </row>
    <row r="12528" spans="1:9" s="232" customFormat="1" ht="17" customHeight="1">
      <c r="A12528" s="234"/>
      <c r="B12528" s="233"/>
      <c r="C12528" s="238"/>
      <c r="E12528" s="545"/>
      <c r="F12528" s="546"/>
      <c r="G12528" s="234"/>
      <c r="H12528" s="238"/>
      <c r="I12528" s="237"/>
    </row>
    <row r="12529" spans="1:9" s="232" customFormat="1" ht="17" customHeight="1">
      <c r="A12529" s="234"/>
      <c r="B12529" s="233"/>
      <c r="C12529" s="238"/>
      <c r="E12529" s="545"/>
      <c r="F12529" s="546"/>
      <c r="G12529" s="234"/>
      <c r="H12529" s="238"/>
      <c r="I12529" s="237"/>
    </row>
    <row r="12530" spans="1:9" s="232" customFormat="1" ht="17" customHeight="1">
      <c r="A12530" s="234"/>
      <c r="B12530" s="233"/>
      <c r="C12530" s="238"/>
      <c r="E12530" s="545"/>
      <c r="F12530" s="546"/>
      <c r="G12530" s="234"/>
      <c r="H12530" s="238"/>
      <c r="I12530" s="237"/>
    </row>
    <row r="12531" spans="1:9" s="232" customFormat="1" ht="17" customHeight="1">
      <c r="A12531" s="234"/>
      <c r="B12531" s="233"/>
      <c r="C12531" s="238"/>
      <c r="E12531" s="545"/>
      <c r="F12531" s="546"/>
      <c r="G12531" s="234"/>
      <c r="H12531" s="238"/>
      <c r="I12531" s="237"/>
    </row>
    <row r="12532" spans="1:9" s="232" customFormat="1" ht="17" customHeight="1">
      <c r="A12532" s="234"/>
      <c r="B12532" s="233"/>
      <c r="C12532" s="238"/>
      <c r="E12532" s="545"/>
      <c r="F12532" s="546"/>
      <c r="G12532" s="234"/>
      <c r="H12532" s="238"/>
      <c r="I12532" s="237"/>
    </row>
    <row r="12533" spans="1:9" s="232" customFormat="1" ht="17" customHeight="1">
      <c r="A12533" s="234"/>
      <c r="B12533" s="233"/>
      <c r="C12533" s="238"/>
      <c r="E12533" s="545"/>
      <c r="F12533" s="546"/>
      <c r="G12533" s="234"/>
      <c r="H12533" s="238"/>
      <c r="I12533" s="237"/>
    </row>
    <row r="12534" spans="1:9" s="232" customFormat="1" ht="17" customHeight="1">
      <c r="A12534" s="234"/>
      <c r="B12534" s="233"/>
      <c r="C12534" s="238"/>
      <c r="E12534" s="545"/>
      <c r="F12534" s="546"/>
      <c r="G12534" s="234"/>
      <c r="H12534" s="238"/>
      <c r="I12534" s="237"/>
    </row>
    <row r="12535" spans="1:9" s="232" customFormat="1" ht="17" customHeight="1">
      <c r="A12535" s="234"/>
      <c r="B12535" s="233"/>
      <c r="C12535" s="238"/>
      <c r="E12535" s="545"/>
      <c r="F12535" s="546"/>
      <c r="G12535" s="234"/>
      <c r="H12535" s="238"/>
      <c r="I12535" s="237"/>
    </row>
    <row r="12536" spans="1:9" s="232" customFormat="1" ht="17" customHeight="1">
      <c r="A12536" s="234"/>
      <c r="B12536" s="233"/>
      <c r="C12536" s="238"/>
      <c r="E12536" s="545"/>
      <c r="F12536" s="546"/>
      <c r="G12536" s="234"/>
      <c r="H12536" s="238"/>
      <c r="I12536" s="237"/>
    </row>
    <row r="12537" spans="1:9" s="232" customFormat="1" ht="17" customHeight="1">
      <c r="A12537" s="234"/>
      <c r="B12537" s="233"/>
      <c r="C12537" s="238"/>
      <c r="E12537" s="545"/>
      <c r="F12537" s="546"/>
      <c r="G12537" s="234"/>
      <c r="H12537" s="238"/>
      <c r="I12537" s="237"/>
    </row>
    <row r="12538" spans="1:9" s="232" customFormat="1" ht="17" customHeight="1">
      <c r="A12538" s="234"/>
      <c r="B12538" s="233"/>
      <c r="C12538" s="238"/>
      <c r="E12538" s="545"/>
      <c r="F12538" s="546"/>
      <c r="G12538" s="234"/>
      <c r="H12538" s="238"/>
      <c r="I12538" s="237"/>
    </row>
    <row r="12539" spans="1:9" s="232" customFormat="1" ht="17" customHeight="1">
      <c r="A12539" s="234"/>
      <c r="B12539" s="233"/>
      <c r="C12539" s="238"/>
      <c r="E12539" s="545"/>
      <c r="F12539" s="546"/>
      <c r="G12539" s="234"/>
      <c r="H12539" s="238"/>
      <c r="I12539" s="237"/>
    </row>
    <row r="12540" spans="1:9" s="232" customFormat="1" ht="17" customHeight="1">
      <c r="A12540" s="234"/>
      <c r="B12540" s="233"/>
      <c r="C12540" s="238"/>
      <c r="E12540" s="545"/>
      <c r="F12540" s="546"/>
      <c r="G12540" s="234"/>
      <c r="H12540" s="238"/>
      <c r="I12540" s="237"/>
    </row>
    <row r="12541" spans="1:9" s="232" customFormat="1" ht="17" customHeight="1">
      <c r="A12541" s="234"/>
      <c r="B12541" s="233"/>
      <c r="C12541" s="238"/>
      <c r="E12541" s="545"/>
      <c r="F12541" s="546"/>
      <c r="G12541" s="234"/>
      <c r="H12541" s="238"/>
      <c r="I12541" s="237"/>
    </row>
    <row r="12542" spans="1:9" s="232" customFormat="1" ht="17" customHeight="1">
      <c r="A12542" s="234"/>
      <c r="B12542" s="233"/>
      <c r="C12542" s="238"/>
      <c r="E12542" s="545"/>
      <c r="F12542" s="546"/>
      <c r="G12542" s="234"/>
      <c r="H12542" s="238"/>
      <c r="I12542" s="237"/>
    </row>
    <row r="12543" spans="1:9" s="232" customFormat="1" ht="17" customHeight="1">
      <c r="A12543" s="234"/>
      <c r="B12543" s="233"/>
      <c r="C12543" s="238"/>
      <c r="E12543" s="545"/>
      <c r="F12543" s="546"/>
      <c r="G12543" s="234"/>
      <c r="H12543" s="238"/>
      <c r="I12543" s="237"/>
    </row>
    <row r="12544" spans="1:9" s="232" customFormat="1" ht="17" customHeight="1">
      <c r="A12544" s="234"/>
      <c r="B12544" s="233"/>
      <c r="C12544" s="238"/>
      <c r="E12544" s="545"/>
      <c r="F12544" s="546"/>
      <c r="G12544" s="234"/>
      <c r="H12544" s="238"/>
      <c r="I12544" s="237"/>
    </row>
    <row r="12545" spans="1:9" s="232" customFormat="1" ht="17" customHeight="1">
      <c r="A12545" s="234"/>
      <c r="B12545" s="233"/>
      <c r="C12545" s="238"/>
      <c r="E12545" s="545"/>
      <c r="F12545" s="546"/>
      <c r="G12545" s="234"/>
      <c r="H12545" s="238"/>
      <c r="I12545" s="237"/>
    </row>
    <row r="12546" spans="1:9" s="232" customFormat="1" ht="17" customHeight="1">
      <c r="A12546" s="234"/>
      <c r="B12546" s="233"/>
      <c r="C12546" s="238"/>
      <c r="E12546" s="545"/>
      <c r="F12546" s="546"/>
      <c r="G12546" s="234"/>
      <c r="H12546" s="238"/>
      <c r="I12546" s="237"/>
    </row>
    <row r="12547" spans="1:9" s="232" customFormat="1" ht="17" customHeight="1">
      <c r="A12547" s="234"/>
      <c r="B12547" s="233"/>
      <c r="C12547" s="238"/>
      <c r="E12547" s="545"/>
      <c r="F12547" s="546"/>
      <c r="G12547" s="234"/>
      <c r="H12547" s="238"/>
      <c r="I12547" s="237"/>
    </row>
    <row r="12548" spans="1:9" s="232" customFormat="1" ht="17" customHeight="1">
      <c r="A12548" s="234"/>
      <c r="B12548" s="233"/>
      <c r="C12548" s="238"/>
      <c r="E12548" s="545"/>
      <c r="F12548" s="546"/>
      <c r="G12548" s="234"/>
      <c r="H12548" s="238"/>
      <c r="I12548" s="237"/>
    </row>
    <row r="12549" spans="1:9" s="232" customFormat="1" ht="17" customHeight="1">
      <c r="A12549" s="234"/>
      <c r="B12549" s="233"/>
      <c r="C12549" s="238"/>
      <c r="E12549" s="545"/>
      <c r="F12549" s="546"/>
      <c r="G12549" s="234"/>
      <c r="H12549" s="238"/>
      <c r="I12549" s="237"/>
    </row>
    <row r="12550" spans="1:9" s="232" customFormat="1" ht="17" customHeight="1">
      <c r="A12550" s="234"/>
      <c r="B12550" s="233"/>
      <c r="C12550" s="238"/>
      <c r="E12550" s="545"/>
      <c r="F12550" s="546"/>
      <c r="G12550" s="234"/>
      <c r="H12550" s="238"/>
      <c r="I12550" s="237"/>
    </row>
    <row r="12551" spans="1:9" s="232" customFormat="1" ht="17" customHeight="1">
      <c r="A12551" s="234"/>
      <c r="B12551" s="233"/>
      <c r="C12551" s="238"/>
      <c r="E12551" s="545"/>
      <c r="F12551" s="546"/>
      <c r="G12551" s="234"/>
      <c r="H12551" s="238"/>
      <c r="I12551" s="237"/>
    </row>
    <row r="12552" spans="1:9" s="232" customFormat="1" ht="17" customHeight="1">
      <c r="A12552" s="234"/>
      <c r="B12552" s="233"/>
      <c r="C12552" s="238"/>
      <c r="E12552" s="545"/>
      <c r="F12552" s="546"/>
      <c r="G12552" s="234"/>
      <c r="H12552" s="238"/>
      <c r="I12552" s="237"/>
    </row>
    <row r="12553" spans="1:9" s="232" customFormat="1" ht="17" customHeight="1">
      <c r="A12553" s="234"/>
      <c r="B12553" s="233"/>
      <c r="C12553" s="238"/>
      <c r="E12553" s="545"/>
      <c r="F12553" s="546"/>
      <c r="G12553" s="234"/>
      <c r="H12553" s="238"/>
      <c r="I12553" s="237"/>
    </row>
    <row r="12554" spans="1:9" s="232" customFormat="1" ht="17" customHeight="1">
      <c r="A12554" s="234"/>
      <c r="B12554" s="233"/>
      <c r="C12554" s="238"/>
      <c r="E12554" s="545"/>
      <c r="F12554" s="546"/>
      <c r="G12554" s="234"/>
      <c r="H12554" s="238"/>
      <c r="I12554" s="237"/>
    </row>
    <row r="12555" spans="1:9" s="232" customFormat="1" ht="17" customHeight="1">
      <c r="A12555" s="234"/>
      <c r="B12555" s="233"/>
      <c r="C12555" s="238"/>
      <c r="E12555" s="545"/>
      <c r="F12555" s="546"/>
      <c r="G12555" s="234"/>
      <c r="H12555" s="238"/>
      <c r="I12555" s="237"/>
    </row>
    <row r="12556" spans="1:9" s="232" customFormat="1" ht="17" customHeight="1">
      <c r="A12556" s="234"/>
      <c r="B12556" s="233"/>
      <c r="C12556" s="238"/>
      <c r="E12556" s="545"/>
      <c r="F12556" s="546"/>
      <c r="G12556" s="234"/>
      <c r="H12556" s="238"/>
      <c r="I12556" s="237"/>
    </row>
    <row r="12557" spans="1:9" s="232" customFormat="1" ht="17" customHeight="1">
      <c r="A12557" s="234"/>
      <c r="B12557" s="233"/>
      <c r="C12557" s="238"/>
      <c r="E12557" s="545"/>
      <c r="F12557" s="546"/>
      <c r="G12557" s="234"/>
      <c r="H12557" s="238"/>
      <c r="I12557" s="237"/>
    </row>
    <row r="12558" spans="1:9" s="232" customFormat="1" ht="17" customHeight="1">
      <c r="A12558" s="234"/>
      <c r="B12558" s="233"/>
      <c r="C12558" s="238"/>
      <c r="E12558" s="545"/>
      <c r="F12558" s="546"/>
      <c r="G12558" s="234"/>
      <c r="H12558" s="238"/>
      <c r="I12558" s="237"/>
    </row>
    <row r="12559" spans="1:9" s="232" customFormat="1" ht="17" customHeight="1">
      <c r="A12559" s="234"/>
      <c r="B12559" s="233"/>
      <c r="C12559" s="238"/>
      <c r="E12559" s="545"/>
      <c r="F12559" s="546"/>
      <c r="G12559" s="234"/>
      <c r="H12559" s="238"/>
      <c r="I12559" s="237"/>
    </row>
    <row r="12560" spans="1:9" s="232" customFormat="1" ht="17" customHeight="1">
      <c r="A12560" s="234"/>
      <c r="B12560" s="233"/>
      <c r="C12560" s="238"/>
      <c r="E12560" s="545"/>
      <c r="F12560" s="546"/>
      <c r="G12560" s="234"/>
      <c r="H12560" s="238"/>
      <c r="I12560" s="237"/>
    </row>
    <row r="12561" spans="1:9" s="232" customFormat="1" ht="17" customHeight="1">
      <c r="A12561" s="234"/>
      <c r="B12561" s="233"/>
      <c r="C12561" s="238"/>
      <c r="E12561" s="545"/>
      <c r="F12561" s="546"/>
      <c r="G12561" s="234"/>
      <c r="H12561" s="238"/>
      <c r="I12561" s="237"/>
    </row>
    <row r="12562" spans="1:9" s="232" customFormat="1" ht="17" customHeight="1">
      <c r="A12562" s="234"/>
      <c r="B12562" s="233"/>
      <c r="C12562" s="238"/>
      <c r="E12562" s="545"/>
      <c r="F12562" s="546"/>
      <c r="G12562" s="234"/>
      <c r="H12562" s="238"/>
      <c r="I12562" s="237"/>
    </row>
    <row r="12563" spans="1:9" s="232" customFormat="1" ht="17" customHeight="1">
      <c r="A12563" s="234"/>
      <c r="B12563" s="233"/>
      <c r="C12563" s="238"/>
      <c r="E12563" s="545"/>
      <c r="F12563" s="546"/>
      <c r="G12563" s="234"/>
      <c r="H12563" s="238"/>
      <c r="I12563" s="237"/>
    </row>
    <row r="12564" spans="1:9" s="232" customFormat="1" ht="17" customHeight="1">
      <c r="A12564" s="234"/>
      <c r="B12564" s="233"/>
      <c r="C12564" s="238"/>
      <c r="E12564" s="545"/>
      <c r="F12564" s="546"/>
      <c r="G12564" s="234"/>
      <c r="H12564" s="238"/>
      <c r="I12564" s="237"/>
    </row>
    <row r="12565" spans="1:9" s="232" customFormat="1" ht="17" customHeight="1">
      <c r="A12565" s="234"/>
      <c r="B12565" s="233"/>
      <c r="C12565" s="238"/>
      <c r="E12565" s="545"/>
      <c r="F12565" s="546"/>
      <c r="G12565" s="234"/>
      <c r="H12565" s="238"/>
      <c r="I12565" s="237"/>
    </row>
    <row r="12566" spans="1:9" s="232" customFormat="1" ht="17" customHeight="1">
      <c r="A12566" s="234"/>
      <c r="B12566" s="233"/>
      <c r="C12566" s="238"/>
      <c r="E12566" s="545"/>
      <c r="F12566" s="546"/>
      <c r="G12566" s="234"/>
      <c r="H12566" s="238"/>
      <c r="I12566" s="237"/>
    </row>
    <row r="12567" spans="1:9" s="232" customFormat="1" ht="17" customHeight="1">
      <c r="A12567" s="234"/>
      <c r="B12567" s="233"/>
      <c r="C12567" s="238"/>
      <c r="E12567" s="545"/>
      <c r="F12567" s="546"/>
      <c r="G12567" s="234"/>
      <c r="H12567" s="238"/>
      <c r="I12567" s="237"/>
    </row>
    <row r="12568" spans="1:9" s="232" customFormat="1" ht="17" customHeight="1">
      <c r="A12568" s="234"/>
      <c r="B12568" s="233"/>
      <c r="C12568" s="238"/>
      <c r="E12568" s="545"/>
      <c r="F12568" s="546"/>
      <c r="G12568" s="234"/>
      <c r="H12568" s="238"/>
      <c r="I12568" s="237"/>
    </row>
    <row r="12569" spans="1:9" s="232" customFormat="1" ht="17" customHeight="1">
      <c r="A12569" s="234"/>
      <c r="B12569" s="233"/>
      <c r="C12569" s="238"/>
      <c r="E12569" s="545"/>
      <c r="F12569" s="546"/>
      <c r="G12569" s="234"/>
      <c r="H12569" s="238"/>
      <c r="I12569" s="237"/>
    </row>
    <row r="12570" spans="1:9" s="232" customFormat="1" ht="17" customHeight="1">
      <c r="A12570" s="234"/>
      <c r="B12570" s="233"/>
      <c r="C12570" s="238"/>
      <c r="E12570" s="545"/>
      <c r="F12570" s="546"/>
      <c r="G12570" s="234"/>
      <c r="H12570" s="238"/>
      <c r="I12570" s="237"/>
    </row>
    <row r="12571" spans="1:9" s="232" customFormat="1" ht="17" customHeight="1">
      <c r="A12571" s="234"/>
      <c r="B12571" s="233"/>
      <c r="C12571" s="238"/>
      <c r="E12571" s="545"/>
      <c r="F12571" s="546"/>
      <c r="G12571" s="234"/>
      <c r="H12571" s="238"/>
      <c r="I12571" s="237"/>
    </row>
    <row r="12572" spans="1:9" s="232" customFormat="1" ht="17" customHeight="1">
      <c r="A12572" s="234"/>
      <c r="B12572" s="233"/>
      <c r="C12572" s="238"/>
      <c r="E12572" s="545"/>
      <c r="F12572" s="546"/>
      <c r="G12572" s="234"/>
      <c r="H12572" s="238"/>
      <c r="I12572" s="237"/>
    </row>
    <row r="12573" spans="1:9" s="232" customFormat="1" ht="17" customHeight="1">
      <c r="A12573" s="234"/>
      <c r="B12573" s="233"/>
      <c r="C12573" s="238"/>
      <c r="E12573" s="545"/>
      <c r="F12573" s="546"/>
      <c r="G12573" s="234"/>
      <c r="H12573" s="238"/>
      <c r="I12573" s="237"/>
    </row>
    <row r="12574" spans="1:9" s="232" customFormat="1" ht="17" customHeight="1">
      <c r="A12574" s="234"/>
      <c r="B12574" s="233"/>
      <c r="C12574" s="238"/>
      <c r="E12574" s="545"/>
      <c r="F12574" s="546"/>
      <c r="G12574" s="234"/>
      <c r="H12574" s="238"/>
      <c r="I12574" s="237"/>
    </row>
    <row r="12575" spans="1:9" s="232" customFormat="1" ht="17" customHeight="1">
      <c r="A12575" s="234"/>
      <c r="B12575" s="233"/>
      <c r="C12575" s="238"/>
      <c r="E12575" s="545"/>
      <c r="F12575" s="546"/>
      <c r="G12575" s="234"/>
      <c r="H12575" s="238"/>
      <c r="I12575" s="237"/>
    </row>
    <row r="12576" spans="1:9" s="232" customFormat="1" ht="17" customHeight="1">
      <c r="A12576" s="234"/>
      <c r="B12576" s="233"/>
      <c r="C12576" s="238"/>
      <c r="E12576" s="545"/>
      <c r="F12576" s="546"/>
      <c r="G12576" s="234"/>
      <c r="H12576" s="238"/>
      <c r="I12576" s="237"/>
    </row>
    <row r="12577" spans="1:9" s="232" customFormat="1" ht="17" customHeight="1">
      <c r="A12577" s="234"/>
      <c r="B12577" s="233"/>
      <c r="C12577" s="238"/>
      <c r="E12577" s="545"/>
      <c r="F12577" s="546"/>
      <c r="G12577" s="234"/>
      <c r="H12577" s="238"/>
      <c r="I12577" s="237"/>
    </row>
    <row r="12578" spans="1:9" s="232" customFormat="1" ht="17" customHeight="1">
      <c r="A12578" s="234"/>
      <c r="B12578" s="233"/>
      <c r="C12578" s="238"/>
      <c r="E12578" s="545"/>
      <c r="F12578" s="546"/>
      <c r="G12578" s="234"/>
      <c r="H12578" s="238"/>
      <c r="I12578" s="237"/>
    </row>
    <row r="12579" spans="1:9" s="232" customFormat="1" ht="17" customHeight="1">
      <c r="A12579" s="234"/>
      <c r="B12579" s="233"/>
      <c r="C12579" s="238"/>
      <c r="E12579" s="545"/>
      <c r="F12579" s="546"/>
      <c r="G12579" s="234"/>
      <c r="H12579" s="238"/>
      <c r="I12579" s="237"/>
    </row>
    <row r="12580" spans="1:9" s="232" customFormat="1" ht="17" customHeight="1">
      <c r="A12580" s="234"/>
      <c r="B12580" s="233"/>
      <c r="C12580" s="238"/>
      <c r="E12580" s="545"/>
      <c r="F12580" s="546"/>
      <c r="G12580" s="234"/>
      <c r="H12580" s="238"/>
      <c r="I12580" s="237"/>
    </row>
    <row r="12581" spans="1:9" s="232" customFormat="1" ht="17" customHeight="1">
      <c r="A12581" s="234"/>
      <c r="B12581" s="233"/>
      <c r="C12581" s="238"/>
      <c r="E12581" s="545"/>
      <c r="F12581" s="546"/>
      <c r="G12581" s="234"/>
      <c r="H12581" s="238"/>
      <c r="I12581" s="237"/>
    </row>
    <row r="12582" spans="1:9" s="232" customFormat="1" ht="17" customHeight="1">
      <c r="A12582" s="234"/>
      <c r="B12582" s="233"/>
      <c r="C12582" s="238"/>
      <c r="E12582" s="545"/>
      <c r="F12582" s="546"/>
      <c r="G12582" s="234"/>
      <c r="H12582" s="238"/>
      <c r="I12582" s="237"/>
    </row>
    <row r="12583" spans="1:9" s="232" customFormat="1" ht="17" customHeight="1">
      <c r="A12583" s="234"/>
      <c r="B12583" s="233"/>
      <c r="C12583" s="238"/>
      <c r="E12583" s="545"/>
      <c r="F12583" s="546"/>
      <c r="G12583" s="234"/>
      <c r="H12583" s="238"/>
      <c r="I12583" s="237"/>
    </row>
    <row r="12584" spans="1:9" s="232" customFormat="1" ht="17" customHeight="1">
      <c r="A12584" s="234"/>
      <c r="B12584" s="233"/>
      <c r="C12584" s="238"/>
      <c r="E12584" s="545"/>
      <c r="F12584" s="546"/>
      <c r="G12584" s="234"/>
      <c r="H12584" s="238"/>
      <c r="I12584" s="237"/>
    </row>
    <row r="12585" spans="1:9" s="232" customFormat="1" ht="17" customHeight="1">
      <c r="A12585" s="234"/>
      <c r="B12585" s="233"/>
      <c r="C12585" s="238"/>
      <c r="E12585" s="545"/>
      <c r="F12585" s="546"/>
      <c r="G12585" s="234"/>
      <c r="H12585" s="238"/>
      <c r="I12585" s="237"/>
    </row>
    <row r="12586" spans="1:9" s="232" customFormat="1" ht="17" customHeight="1">
      <c r="A12586" s="234"/>
      <c r="B12586" s="233"/>
      <c r="C12586" s="238"/>
      <c r="E12586" s="545"/>
      <c r="F12586" s="546"/>
      <c r="G12586" s="234"/>
      <c r="H12586" s="238"/>
      <c r="I12586" s="237"/>
    </row>
    <row r="12587" spans="1:9" s="232" customFormat="1" ht="17" customHeight="1">
      <c r="A12587" s="234"/>
      <c r="B12587" s="233"/>
      <c r="C12587" s="238"/>
      <c r="E12587" s="545"/>
      <c r="F12587" s="546"/>
      <c r="G12587" s="234"/>
      <c r="H12587" s="238"/>
      <c r="I12587" s="237"/>
    </row>
    <row r="12588" spans="1:9" s="232" customFormat="1" ht="17" customHeight="1">
      <c r="A12588" s="234"/>
      <c r="B12588" s="233"/>
      <c r="C12588" s="238"/>
      <c r="E12588" s="545"/>
      <c r="F12588" s="546"/>
      <c r="G12588" s="234"/>
      <c r="H12588" s="238"/>
      <c r="I12588" s="237"/>
    </row>
    <row r="12589" spans="1:9" s="232" customFormat="1" ht="17" customHeight="1">
      <c r="A12589" s="234"/>
      <c r="B12589" s="233"/>
      <c r="C12589" s="238"/>
      <c r="E12589" s="545"/>
      <c r="F12589" s="546"/>
      <c r="G12589" s="234"/>
      <c r="H12589" s="238"/>
      <c r="I12589" s="237"/>
    </row>
    <row r="12590" spans="1:9" s="232" customFormat="1" ht="17" customHeight="1">
      <c r="A12590" s="234"/>
      <c r="B12590" s="233"/>
      <c r="C12590" s="238"/>
      <c r="E12590" s="545"/>
      <c r="F12590" s="546"/>
      <c r="G12590" s="234"/>
      <c r="H12590" s="238"/>
      <c r="I12590" s="237"/>
    </row>
    <row r="12591" spans="1:9" s="232" customFormat="1" ht="17" customHeight="1">
      <c r="A12591" s="234"/>
      <c r="B12591" s="233"/>
      <c r="C12591" s="238"/>
      <c r="E12591" s="545"/>
      <c r="F12591" s="546"/>
      <c r="G12591" s="234"/>
      <c r="H12591" s="238"/>
      <c r="I12591" s="237"/>
    </row>
    <row r="12592" spans="1:9" s="232" customFormat="1" ht="17" customHeight="1">
      <c r="A12592" s="234"/>
      <c r="B12592" s="233"/>
      <c r="C12592" s="238"/>
      <c r="E12592" s="545"/>
      <c r="F12592" s="546"/>
      <c r="G12592" s="234"/>
      <c r="H12592" s="238"/>
      <c r="I12592" s="237"/>
    </row>
    <row r="12593" spans="1:9" s="232" customFormat="1" ht="17" customHeight="1">
      <c r="A12593" s="234"/>
      <c r="B12593" s="233"/>
      <c r="C12593" s="238"/>
      <c r="E12593" s="545"/>
      <c r="F12593" s="546"/>
      <c r="G12593" s="234"/>
      <c r="H12593" s="238"/>
      <c r="I12593" s="237"/>
    </row>
    <row r="12594" spans="1:9" s="232" customFormat="1" ht="17" customHeight="1">
      <c r="A12594" s="234"/>
      <c r="B12594" s="233"/>
      <c r="C12594" s="238"/>
      <c r="E12594" s="545"/>
      <c r="F12594" s="546"/>
      <c r="G12594" s="234"/>
      <c r="H12594" s="238"/>
      <c r="I12594" s="237"/>
    </row>
    <row r="12595" spans="1:9" s="232" customFormat="1" ht="17" customHeight="1">
      <c r="A12595" s="234"/>
      <c r="B12595" s="233"/>
      <c r="C12595" s="238"/>
      <c r="E12595" s="545"/>
      <c r="F12595" s="546"/>
      <c r="G12595" s="234"/>
      <c r="H12595" s="238"/>
      <c r="I12595" s="237"/>
    </row>
    <row r="12596" spans="1:9" s="232" customFormat="1" ht="17" customHeight="1">
      <c r="A12596" s="234"/>
      <c r="B12596" s="233"/>
      <c r="C12596" s="238"/>
      <c r="E12596" s="545"/>
      <c r="F12596" s="546"/>
      <c r="G12596" s="234"/>
      <c r="H12596" s="238"/>
      <c r="I12596" s="237"/>
    </row>
    <row r="12597" spans="1:9" s="232" customFormat="1" ht="17" customHeight="1">
      <c r="A12597" s="234"/>
      <c r="B12597" s="233"/>
      <c r="C12597" s="238"/>
      <c r="E12597" s="545"/>
      <c r="F12597" s="546"/>
      <c r="G12597" s="234"/>
      <c r="H12597" s="238"/>
      <c r="I12597" s="237"/>
    </row>
    <row r="12598" spans="1:9" s="232" customFormat="1" ht="17" customHeight="1">
      <c r="A12598" s="234"/>
      <c r="B12598" s="233"/>
      <c r="C12598" s="238"/>
      <c r="E12598" s="545"/>
      <c r="F12598" s="546"/>
      <c r="G12598" s="234"/>
      <c r="H12598" s="238"/>
      <c r="I12598" s="237"/>
    </row>
    <row r="12599" spans="1:9" s="232" customFormat="1" ht="17" customHeight="1">
      <c r="A12599" s="234"/>
      <c r="B12599" s="233"/>
      <c r="C12599" s="238"/>
      <c r="E12599" s="545"/>
      <c r="F12599" s="546"/>
      <c r="G12599" s="234"/>
      <c r="H12599" s="238"/>
      <c r="I12599" s="237"/>
    </row>
    <row r="12600" spans="1:9" s="232" customFormat="1" ht="17" customHeight="1">
      <c r="A12600" s="234"/>
      <c r="B12600" s="233"/>
      <c r="C12600" s="238"/>
      <c r="E12600" s="545"/>
      <c r="F12600" s="546"/>
      <c r="G12600" s="234"/>
      <c r="H12600" s="238"/>
      <c r="I12600" s="237"/>
    </row>
    <row r="12601" spans="1:9" s="232" customFormat="1" ht="17" customHeight="1">
      <c r="A12601" s="234"/>
      <c r="B12601" s="233"/>
      <c r="C12601" s="238"/>
      <c r="E12601" s="545"/>
      <c r="F12601" s="546"/>
      <c r="G12601" s="234"/>
      <c r="H12601" s="238"/>
      <c r="I12601" s="237"/>
    </row>
    <row r="12602" spans="1:9" s="232" customFormat="1" ht="17" customHeight="1">
      <c r="A12602" s="234"/>
      <c r="B12602" s="233"/>
      <c r="C12602" s="238"/>
      <c r="E12602" s="545"/>
      <c r="F12602" s="546"/>
      <c r="G12602" s="234"/>
      <c r="H12602" s="238"/>
      <c r="I12602" s="237"/>
    </row>
    <row r="12603" spans="1:9" s="232" customFormat="1" ht="17" customHeight="1">
      <c r="A12603" s="234"/>
      <c r="B12603" s="233"/>
      <c r="C12603" s="238"/>
      <c r="E12603" s="545"/>
      <c r="F12603" s="546"/>
      <c r="G12603" s="234"/>
      <c r="H12603" s="238"/>
      <c r="I12603" s="237"/>
    </row>
    <row r="12604" spans="1:9" s="232" customFormat="1" ht="17" customHeight="1">
      <c r="A12604" s="234"/>
      <c r="B12604" s="233"/>
      <c r="C12604" s="238"/>
      <c r="E12604" s="545"/>
      <c r="F12604" s="546"/>
      <c r="G12604" s="234"/>
      <c r="H12604" s="238"/>
      <c r="I12604" s="237"/>
    </row>
    <row r="12605" spans="1:9" s="232" customFormat="1" ht="17" customHeight="1">
      <c r="A12605" s="234"/>
      <c r="B12605" s="233"/>
      <c r="C12605" s="238"/>
      <c r="E12605" s="545"/>
      <c r="F12605" s="546"/>
      <c r="G12605" s="234"/>
      <c r="H12605" s="238"/>
      <c r="I12605" s="237"/>
    </row>
    <row r="12606" spans="1:9" s="232" customFormat="1" ht="17" customHeight="1">
      <c r="A12606" s="234"/>
      <c r="B12606" s="233"/>
      <c r="C12606" s="238"/>
      <c r="E12606" s="545"/>
      <c r="F12606" s="546"/>
      <c r="G12606" s="234"/>
      <c r="H12606" s="238"/>
      <c r="I12606" s="237"/>
    </row>
    <row r="12607" spans="1:9" s="232" customFormat="1" ht="17" customHeight="1">
      <c r="A12607" s="234"/>
      <c r="B12607" s="233"/>
      <c r="C12607" s="238"/>
      <c r="E12607" s="545"/>
      <c r="F12607" s="546"/>
      <c r="G12607" s="234"/>
      <c r="H12607" s="238"/>
      <c r="I12607" s="237"/>
    </row>
    <row r="12608" spans="1:9" s="232" customFormat="1" ht="17" customHeight="1">
      <c r="A12608" s="234"/>
      <c r="B12608" s="233"/>
      <c r="C12608" s="238"/>
      <c r="E12608" s="545"/>
      <c r="F12608" s="546"/>
      <c r="G12608" s="234"/>
      <c r="H12608" s="238"/>
      <c r="I12608" s="237"/>
    </row>
    <row r="12609" spans="1:9" s="232" customFormat="1" ht="17" customHeight="1">
      <c r="A12609" s="234"/>
      <c r="B12609" s="233"/>
      <c r="C12609" s="238"/>
      <c r="E12609" s="545"/>
      <c r="F12609" s="546"/>
      <c r="G12609" s="234"/>
      <c r="H12609" s="238"/>
      <c r="I12609" s="237"/>
    </row>
    <row r="12610" spans="1:9" s="232" customFormat="1" ht="17" customHeight="1">
      <c r="A12610" s="234"/>
      <c r="B12610" s="233"/>
      <c r="C12610" s="238"/>
      <c r="E12610" s="545"/>
      <c r="F12610" s="546"/>
      <c r="G12610" s="234"/>
      <c r="H12610" s="238"/>
      <c r="I12610" s="237"/>
    </row>
    <row r="12611" spans="1:9" s="232" customFormat="1" ht="17" customHeight="1">
      <c r="A12611" s="234"/>
      <c r="B12611" s="233"/>
      <c r="C12611" s="238"/>
      <c r="E12611" s="545"/>
      <c r="F12611" s="546"/>
      <c r="G12611" s="234"/>
      <c r="H12611" s="238"/>
      <c r="I12611" s="237"/>
    </row>
    <row r="12612" spans="1:9" s="232" customFormat="1" ht="17" customHeight="1">
      <c r="A12612" s="234"/>
      <c r="B12612" s="233"/>
      <c r="C12612" s="238"/>
      <c r="E12612" s="545"/>
      <c r="F12612" s="546"/>
      <c r="G12612" s="234"/>
      <c r="H12612" s="238"/>
      <c r="I12612" s="237"/>
    </row>
    <row r="12613" spans="1:9" s="232" customFormat="1" ht="17" customHeight="1">
      <c r="A12613" s="234"/>
      <c r="B12613" s="233"/>
      <c r="C12613" s="238"/>
      <c r="E12613" s="545"/>
      <c r="F12613" s="546"/>
      <c r="G12613" s="234"/>
      <c r="H12613" s="238"/>
      <c r="I12613" s="237"/>
    </row>
    <row r="12614" spans="1:9" s="232" customFormat="1" ht="17" customHeight="1">
      <c r="A12614" s="234"/>
      <c r="B12614" s="233"/>
      <c r="C12614" s="238"/>
      <c r="E12614" s="545"/>
      <c r="F12614" s="546"/>
      <c r="G12614" s="234"/>
      <c r="H12614" s="238"/>
      <c r="I12614" s="237"/>
    </row>
    <row r="12615" spans="1:9" s="232" customFormat="1" ht="17" customHeight="1">
      <c r="A12615" s="234"/>
      <c r="B12615" s="233"/>
      <c r="C12615" s="238"/>
      <c r="E12615" s="545"/>
      <c r="F12615" s="546"/>
      <c r="G12615" s="234"/>
      <c r="H12615" s="238"/>
      <c r="I12615" s="237"/>
    </row>
    <row r="12616" spans="1:9" s="232" customFormat="1" ht="17" customHeight="1">
      <c r="A12616" s="234"/>
      <c r="B12616" s="233"/>
      <c r="C12616" s="238"/>
      <c r="E12616" s="545"/>
      <c r="F12616" s="546"/>
      <c r="G12616" s="234"/>
      <c r="H12616" s="238"/>
      <c r="I12616" s="237"/>
    </row>
    <row r="12617" spans="1:9" s="232" customFormat="1" ht="17" customHeight="1">
      <c r="A12617" s="234"/>
      <c r="B12617" s="233"/>
      <c r="C12617" s="238"/>
      <c r="E12617" s="545"/>
      <c r="F12617" s="546"/>
      <c r="G12617" s="234"/>
      <c r="H12617" s="238"/>
      <c r="I12617" s="237"/>
    </row>
    <row r="12618" spans="1:9" s="232" customFormat="1" ht="17" customHeight="1">
      <c r="A12618" s="234"/>
      <c r="B12618" s="233"/>
      <c r="C12618" s="238"/>
      <c r="E12618" s="545"/>
      <c r="F12618" s="546"/>
      <c r="G12618" s="234"/>
      <c r="H12618" s="238"/>
      <c r="I12618" s="237"/>
    </row>
    <row r="12619" spans="1:9" s="232" customFormat="1" ht="17" customHeight="1">
      <c r="A12619" s="234"/>
      <c r="B12619" s="233"/>
      <c r="C12619" s="238"/>
      <c r="E12619" s="545"/>
      <c r="F12619" s="546"/>
      <c r="G12619" s="234"/>
      <c r="H12619" s="238"/>
      <c r="I12619" s="237"/>
    </row>
    <row r="12620" spans="1:9" s="232" customFormat="1" ht="17" customHeight="1">
      <c r="A12620" s="234"/>
      <c r="B12620" s="233"/>
      <c r="C12620" s="238"/>
      <c r="E12620" s="545"/>
      <c r="F12620" s="546"/>
      <c r="G12620" s="234"/>
      <c r="H12620" s="238"/>
      <c r="I12620" s="237"/>
    </row>
    <row r="12621" spans="1:9" s="232" customFormat="1" ht="17" customHeight="1">
      <c r="A12621" s="234"/>
      <c r="B12621" s="233"/>
      <c r="C12621" s="238"/>
      <c r="E12621" s="545"/>
      <c r="F12621" s="546"/>
      <c r="G12621" s="234"/>
      <c r="H12621" s="238"/>
      <c r="I12621" s="237"/>
    </row>
    <row r="12622" spans="1:9" s="232" customFormat="1" ht="17" customHeight="1">
      <c r="A12622" s="234"/>
      <c r="B12622" s="233"/>
      <c r="C12622" s="238"/>
      <c r="E12622" s="545"/>
      <c r="F12622" s="546"/>
      <c r="G12622" s="234"/>
      <c r="H12622" s="238"/>
      <c r="I12622" s="237"/>
    </row>
    <row r="12623" spans="1:9" s="232" customFormat="1" ht="17" customHeight="1">
      <c r="A12623" s="234"/>
      <c r="B12623" s="233"/>
      <c r="C12623" s="238"/>
      <c r="E12623" s="545"/>
      <c r="F12623" s="546"/>
      <c r="G12623" s="234"/>
      <c r="H12623" s="238"/>
      <c r="I12623" s="237"/>
    </row>
    <row r="12624" spans="1:9" s="232" customFormat="1" ht="17" customHeight="1">
      <c r="A12624" s="234"/>
      <c r="B12624" s="233"/>
      <c r="C12624" s="238"/>
      <c r="E12624" s="545"/>
      <c r="F12624" s="546"/>
      <c r="G12624" s="234"/>
      <c r="H12624" s="238"/>
      <c r="I12624" s="237"/>
    </row>
    <row r="12625" spans="1:9" s="232" customFormat="1" ht="17" customHeight="1">
      <c r="A12625" s="234"/>
      <c r="B12625" s="233"/>
      <c r="C12625" s="238"/>
      <c r="E12625" s="545"/>
      <c r="F12625" s="546"/>
      <c r="G12625" s="234"/>
      <c r="H12625" s="238"/>
      <c r="I12625" s="237"/>
    </row>
    <row r="12626" spans="1:9" s="232" customFormat="1" ht="17" customHeight="1">
      <c r="A12626" s="234"/>
      <c r="B12626" s="233"/>
      <c r="C12626" s="238"/>
      <c r="E12626" s="545"/>
      <c r="F12626" s="546"/>
      <c r="G12626" s="234"/>
      <c r="H12626" s="238"/>
      <c r="I12626" s="237"/>
    </row>
    <row r="12627" spans="1:9" s="232" customFormat="1" ht="17" customHeight="1">
      <c r="A12627" s="234"/>
      <c r="B12627" s="233"/>
      <c r="C12627" s="238"/>
      <c r="E12627" s="545"/>
      <c r="F12627" s="546"/>
      <c r="G12627" s="234"/>
      <c r="H12627" s="238"/>
      <c r="I12627" s="237"/>
    </row>
    <row r="12628" spans="1:9" s="232" customFormat="1" ht="17" customHeight="1">
      <c r="A12628" s="234"/>
      <c r="B12628" s="233"/>
      <c r="C12628" s="238"/>
      <c r="E12628" s="545"/>
      <c r="F12628" s="546"/>
      <c r="G12628" s="234"/>
      <c r="H12628" s="238"/>
      <c r="I12628" s="237"/>
    </row>
    <row r="12629" spans="1:9" s="232" customFormat="1" ht="17" customHeight="1">
      <c r="A12629" s="234"/>
      <c r="B12629" s="233"/>
      <c r="C12629" s="238"/>
      <c r="E12629" s="545"/>
      <c r="F12629" s="546"/>
      <c r="G12629" s="234"/>
      <c r="H12629" s="238"/>
      <c r="I12629" s="237"/>
    </row>
    <row r="12630" spans="1:9" s="232" customFormat="1" ht="17" customHeight="1">
      <c r="A12630" s="234"/>
      <c r="B12630" s="233"/>
      <c r="C12630" s="238"/>
      <c r="E12630" s="545"/>
      <c r="F12630" s="546"/>
      <c r="G12630" s="234"/>
      <c r="H12630" s="238"/>
      <c r="I12630" s="237"/>
    </row>
    <row r="12631" spans="1:9" s="232" customFormat="1" ht="17" customHeight="1">
      <c r="A12631" s="234"/>
      <c r="B12631" s="233"/>
      <c r="C12631" s="238"/>
      <c r="E12631" s="545"/>
      <c r="F12631" s="546"/>
      <c r="G12631" s="234"/>
      <c r="H12631" s="238"/>
      <c r="I12631" s="237"/>
    </row>
    <row r="12632" spans="1:9" s="232" customFormat="1" ht="17" customHeight="1">
      <c r="A12632" s="234"/>
      <c r="B12632" s="233"/>
      <c r="C12632" s="238"/>
      <c r="E12632" s="545"/>
      <c r="F12632" s="546"/>
      <c r="G12632" s="234"/>
      <c r="H12632" s="238"/>
      <c r="I12632" s="237"/>
    </row>
    <row r="12633" spans="1:9" s="232" customFormat="1" ht="17" customHeight="1">
      <c r="A12633" s="234"/>
      <c r="B12633" s="233"/>
      <c r="C12633" s="238"/>
      <c r="E12633" s="545"/>
      <c r="F12633" s="546"/>
      <c r="G12633" s="234"/>
      <c r="H12633" s="238"/>
      <c r="I12633" s="237"/>
    </row>
    <row r="12634" spans="1:9" s="232" customFormat="1" ht="17" customHeight="1">
      <c r="A12634" s="234"/>
      <c r="B12634" s="233"/>
      <c r="C12634" s="238"/>
      <c r="E12634" s="545"/>
      <c r="F12634" s="546"/>
      <c r="G12634" s="234"/>
      <c r="H12634" s="238"/>
      <c r="I12634" s="237"/>
    </row>
    <row r="12635" spans="1:9" s="232" customFormat="1" ht="17" customHeight="1">
      <c r="A12635" s="234"/>
      <c r="B12635" s="233"/>
      <c r="C12635" s="238"/>
      <c r="E12635" s="545"/>
      <c r="F12635" s="546"/>
      <c r="G12635" s="234"/>
      <c r="H12635" s="238"/>
      <c r="I12635" s="237"/>
    </row>
    <row r="12636" spans="1:9" s="232" customFormat="1" ht="17" customHeight="1">
      <c r="A12636" s="234"/>
      <c r="B12636" s="233"/>
      <c r="C12636" s="238"/>
      <c r="E12636" s="545"/>
      <c r="F12636" s="546"/>
      <c r="G12636" s="234"/>
      <c r="H12636" s="238"/>
      <c r="I12636" s="237"/>
    </row>
    <row r="12637" spans="1:9" s="232" customFormat="1" ht="17" customHeight="1">
      <c r="A12637" s="234"/>
      <c r="B12637" s="233"/>
      <c r="C12637" s="238"/>
      <c r="E12637" s="545"/>
      <c r="F12637" s="546"/>
      <c r="G12637" s="234"/>
      <c r="H12637" s="238"/>
      <c r="I12637" s="237"/>
    </row>
    <row r="12638" spans="1:9" s="232" customFormat="1" ht="17" customHeight="1">
      <c r="A12638" s="234"/>
      <c r="B12638" s="233"/>
      <c r="C12638" s="238"/>
      <c r="E12638" s="545"/>
      <c r="F12638" s="546"/>
      <c r="G12638" s="234"/>
      <c r="H12638" s="238"/>
      <c r="I12638" s="237"/>
    </row>
    <row r="12639" spans="1:9" s="232" customFormat="1" ht="17" customHeight="1">
      <c r="A12639" s="234"/>
      <c r="B12639" s="233"/>
      <c r="C12639" s="238"/>
      <c r="E12639" s="545"/>
      <c r="F12639" s="546"/>
      <c r="G12639" s="234"/>
      <c r="H12639" s="238"/>
      <c r="I12639" s="237"/>
    </row>
    <row r="12640" spans="1:9" s="232" customFormat="1" ht="17" customHeight="1">
      <c r="A12640" s="234"/>
      <c r="B12640" s="233"/>
      <c r="C12640" s="238"/>
      <c r="E12640" s="545"/>
      <c r="F12640" s="546"/>
      <c r="G12640" s="234"/>
      <c r="H12640" s="238"/>
      <c r="I12640" s="237"/>
    </row>
    <row r="12641" spans="1:9" s="232" customFormat="1" ht="17" customHeight="1">
      <c r="A12641" s="234"/>
      <c r="B12641" s="233"/>
      <c r="C12641" s="238"/>
      <c r="E12641" s="545"/>
      <c r="F12641" s="546"/>
      <c r="G12641" s="234"/>
      <c r="H12641" s="238"/>
      <c r="I12641" s="237"/>
    </row>
    <row r="12642" spans="1:9" s="232" customFormat="1" ht="17" customHeight="1">
      <c r="A12642" s="234"/>
      <c r="B12642" s="233"/>
      <c r="C12642" s="238"/>
      <c r="E12642" s="545"/>
      <c r="F12642" s="546"/>
      <c r="G12642" s="234"/>
      <c r="H12642" s="238"/>
      <c r="I12642" s="237"/>
    </row>
    <row r="12643" spans="1:9" s="232" customFormat="1" ht="17" customHeight="1">
      <c r="A12643" s="234"/>
      <c r="B12643" s="233"/>
      <c r="C12643" s="238"/>
      <c r="E12643" s="545"/>
      <c r="F12643" s="546"/>
      <c r="G12643" s="234"/>
      <c r="H12643" s="238"/>
      <c r="I12643" s="237"/>
    </row>
    <row r="12644" spans="1:9" s="232" customFormat="1" ht="17" customHeight="1">
      <c r="A12644" s="234"/>
      <c r="B12644" s="233"/>
      <c r="C12644" s="238"/>
      <c r="E12644" s="545"/>
      <c r="F12644" s="546"/>
      <c r="G12644" s="234"/>
      <c r="H12644" s="238"/>
      <c r="I12644" s="237"/>
    </row>
    <row r="12645" spans="1:9" s="232" customFormat="1" ht="17" customHeight="1">
      <c r="A12645" s="234"/>
      <c r="B12645" s="233"/>
      <c r="C12645" s="238"/>
      <c r="E12645" s="545"/>
      <c r="F12645" s="546"/>
      <c r="G12645" s="234"/>
      <c r="H12645" s="238"/>
      <c r="I12645" s="237"/>
    </row>
    <row r="12646" spans="1:9" s="232" customFormat="1" ht="17" customHeight="1">
      <c r="A12646" s="234"/>
      <c r="B12646" s="233"/>
      <c r="C12646" s="238"/>
      <c r="E12646" s="545"/>
      <c r="F12646" s="546"/>
      <c r="G12646" s="234"/>
      <c r="H12646" s="238"/>
      <c r="I12646" s="237"/>
    </row>
    <row r="12647" spans="1:9" s="232" customFormat="1" ht="17" customHeight="1">
      <c r="A12647" s="234"/>
      <c r="B12647" s="233"/>
      <c r="C12647" s="238"/>
      <c r="E12647" s="545"/>
      <c r="F12647" s="546"/>
      <c r="G12647" s="234"/>
      <c r="H12647" s="238"/>
      <c r="I12647" s="237"/>
    </row>
    <row r="12648" spans="1:9" s="232" customFormat="1" ht="17" customHeight="1">
      <c r="A12648" s="234"/>
      <c r="B12648" s="233"/>
      <c r="C12648" s="238"/>
      <c r="E12648" s="545"/>
      <c r="F12648" s="546"/>
      <c r="G12648" s="234"/>
      <c r="H12648" s="238"/>
      <c r="I12648" s="237"/>
    </row>
    <row r="12649" spans="1:9" s="232" customFormat="1" ht="17" customHeight="1">
      <c r="A12649" s="234"/>
      <c r="B12649" s="233"/>
      <c r="C12649" s="238"/>
      <c r="E12649" s="545"/>
      <c r="F12649" s="546"/>
      <c r="G12649" s="234"/>
      <c r="H12649" s="238"/>
      <c r="I12649" s="237"/>
    </row>
    <row r="12650" spans="1:9" s="232" customFormat="1" ht="17" customHeight="1">
      <c r="A12650" s="234"/>
      <c r="B12650" s="233"/>
      <c r="C12650" s="238"/>
      <c r="E12650" s="545"/>
      <c r="F12650" s="546"/>
      <c r="G12650" s="234"/>
      <c r="H12650" s="238"/>
      <c r="I12650" s="237"/>
    </row>
    <row r="12651" spans="1:9" s="232" customFormat="1" ht="17" customHeight="1">
      <c r="A12651" s="234"/>
      <c r="B12651" s="233"/>
      <c r="C12651" s="238"/>
      <c r="E12651" s="545"/>
      <c r="F12651" s="546"/>
      <c r="G12651" s="234"/>
      <c r="H12651" s="238"/>
      <c r="I12651" s="237"/>
    </row>
    <row r="12652" spans="1:9" s="232" customFormat="1" ht="17" customHeight="1">
      <c r="A12652" s="234"/>
      <c r="B12652" s="233"/>
      <c r="C12652" s="238"/>
      <c r="E12652" s="545"/>
      <c r="F12652" s="546"/>
      <c r="G12652" s="234"/>
      <c r="H12652" s="238"/>
      <c r="I12652" s="237"/>
    </row>
    <row r="12653" spans="1:9" s="232" customFormat="1" ht="17" customHeight="1">
      <c r="A12653" s="234"/>
      <c r="B12653" s="233"/>
      <c r="C12653" s="238"/>
      <c r="E12653" s="545"/>
      <c r="F12653" s="546"/>
      <c r="G12653" s="234"/>
      <c r="H12653" s="238"/>
      <c r="I12653" s="237"/>
    </row>
    <row r="12654" spans="1:9" s="232" customFormat="1" ht="17" customHeight="1">
      <c r="A12654" s="234"/>
      <c r="B12654" s="233"/>
      <c r="C12654" s="238"/>
      <c r="E12654" s="545"/>
      <c r="F12654" s="546"/>
      <c r="G12654" s="234"/>
      <c r="H12654" s="238"/>
      <c r="I12654" s="237"/>
    </row>
    <row r="12655" spans="1:9" s="232" customFormat="1" ht="17" customHeight="1">
      <c r="A12655" s="234"/>
      <c r="B12655" s="233"/>
      <c r="C12655" s="238"/>
      <c r="E12655" s="545"/>
      <c r="F12655" s="546"/>
      <c r="G12655" s="234"/>
      <c r="H12655" s="238"/>
      <c r="I12655" s="237"/>
    </row>
    <row r="12656" spans="1:9" s="232" customFormat="1" ht="17" customHeight="1">
      <c r="A12656" s="234"/>
      <c r="B12656" s="233"/>
      <c r="C12656" s="238"/>
      <c r="E12656" s="545"/>
      <c r="F12656" s="546"/>
      <c r="G12656" s="234"/>
      <c r="H12656" s="238"/>
      <c r="I12656" s="237"/>
    </row>
    <row r="12657" spans="1:9" s="232" customFormat="1" ht="17" customHeight="1">
      <c r="A12657" s="234"/>
      <c r="B12657" s="233"/>
      <c r="C12657" s="238"/>
      <c r="E12657" s="545"/>
      <c r="F12657" s="546"/>
      <c r="G12657" s="234"/>
      <c r="H12657" s="238"/>
      <c r="I12657" s="237"/>
    </row>
    <row r="12658" spans="1:9" s="232" customFormat="1" ht="17" customHeight="1">
      <c r="A12658" s="234"/>
      <c r="B12658" s="233"/>
      <c r="C12658" s="238"/>
      <c r="E12658" s="545"/>
      <c r="F12658" s="546"/>
      <c r="G12658" s="234"/>
      <c r="H12658" s="238"/>
      <c r="I12658" s="237"/>
    </row>
    <row r="12659" spans="1:9" s="232" customFormat="1" ht="17" customHeight="1">
      <c r="A12659" s="234"/>
      <c r="B12659" s="233"/>
      <c r="C12659" s="238"/>
      <c r="E12659" s="545"/>
      <c r="F12659" s="546"/>
      <c r="G12659" s="234"/>
      <c r="H12659" s="238"/>
      <c r="I12659" s="237"/>
    </row>
    <row r="12660" spans="1:9" s="232" customFormat="1" ht="17" customHeight="1">
      <c r="A12660" s="234"/>
      <c r="B12660" s="233"/>
      <c r="C12660" s="238"/>
      <c r="E12660" s="545"/>
      <c r="F12660" s="546"/>
      <c r="G12660" s="234"/>
      <c r="H12660" s="238"/>
      <c r="I12660" s="237"/>
    </row>
    <row r="12661" spans="1:9" s="232" customFormat="1" ht="17" customHeight="1">
      <c r="A12661" s="234"/>
      <c r="B12661" s="233"/>
      <c r="C12661" s="238"/>
      <c r="E12661" s="545"/>
      <c r="F12661" s="546"/>
      <c r="G12661" s="234"/>
      <c r="H12661" s="238"/>
      <c r="I12661" s="237"/>
    </row>
    <row r="12662" spans="1:9" s="232" customFormat="1" ht="17" customHeight="1">
      <c r="A12662" s="234"/>
      <c r="B12662" s="233"/>
      <c r="C12662" s="238"/>
      <c r="E12662" s="545"/>
      <c r="F12662" s="546"/>
      <c r="G12662" s="234"/>
      <c r="H12662" s="238"/>
      <c r="I12662" s="237"/>
    </row>
    <row r="12663" spans="1:9" s="232" customFormat="1" ht="17" customHeight="1">
      <c r="A12663" s="234"/>
      <c r="B12663" s="233"/>
      <c r="C12663" s="238"/>
      <c r="E12663" s="545"/>
      <c r="F12663" s="546"/>
      <c r="G12663" s="234"/>
      <c r="H12663" s="238"/>
      <c r="I12663" s="237"/>
    </row>
    <row r="12664" spans="1:9" s="232" customFormat="1" ht="17" customHeight="1">
      <c r="A12664" s="234"/>
      <c r="B12664" s="233"/>
      <c r="C12664" s="238"/>
      <c r="E12664" s="545"/>
      <c r="F12664" s="546"/>
      <c r="G12664" s="234"/>
      <c r="H12664" s="238"/>
      <c r="I12664" s="237"/>
    </row>
    <row r="12665" spans="1:9" s="232" customFormat="1" ht="17" customHeight="1">
      <c r="A12665" s="234"/>
      <c r="B12665" s="233"/>
      <c r="C12665" s="238"/>
      <c r="E12665" s="545"/>
      <c r="F12665" s="546"/>
      <c r="G12665" s="234"/>
      <c r="H12665" s="238"/>
      <c r="I12665" s="237"/>
    </row>
    <row r="12666" spans="1:9" s="232" customFormat="1" ht="17" customHeight="1">
      <c r="A12666" s="234"/>
      <c r="B12666" s="233"/>
      <c r="C12666" s="238"/>
      <c r="E12666" s="545"/>
      <c r="F12666" s="546"/>
      <c r="G12666" s="234"/>
      <c r="H12666" s="238"/>
      <c r="I12666" s="237"/>
    </row>
    <row r="12667" spans="1:9" s="232" customFormat="1" ht="17" customHeight="1">
      <c r="A12667" s="234"/>
      <c r="B12667" s="233"/>
      <c r="C12667" s="238"/>
      <c r="E12667" s="545"/>
      <c r="F12667" s="546"/>
      <c r="G12667" s="234"/>
      <c r="H12667" s="238"/>
      <c r="I12667" s="237"/>
    </row>
    <row r="12668" spans="1:9" s="232" customFormat="1" ht="17" customHeight="1">
      <c r="A12668" s="234"/>
      <c r="B12668" s="233"/>
      <c r="C12668" s="238"/>
      <c r="E12668" s="545"/>
      <c r="F12668" s="546"/>
      <c r="G12668" s="234"/>
      <c r="H12668" s="238"/>
      <c r="I12668" s="237"/>
    </row>
    <row r="12669" spans="1:9" s="232" customFormat="1" ht="17" customHeight="1">
      <c r="A12669" s="234"/>
      <c r="B12669" s="233"/>
      <c r="C12669" s="238"/>
      <c r="E12669" s="545"/>
      <c r="F12669" s="546"/>
      <c r="G12669" s="234"/>
      <c r="H12669" s="238"/>
      <c r="I12669" s="237"/>
    </row>
    <row r="12670" spans="1:9" s="232" customFormat="1" ht="17" customHeight="1">
      <c r="A12670" s="234"/>
      <c r="B12670" s="233"/>
      <c r="C12670" s="238"/>
      <c r="E12670" s="545"/>
      <c r="F12670" s="546"/>
      <c r="G12670" s="234"/>
      <c r="H12670" s="238"/>
      <c r="I12670" s="237"/>
    </row>
    <row r="12671" spans="1:9" s="232" customFormat="1" ht="17" customHeight="1">
      <c r="A12671" s="234"/>
      <c r="B12671" s="233"/>
      <c r="C12671" s="238"/>
      <c r="E12671" s="545"/>
      <c r="F12671" s="546"/>
      <c r="G12671" s="234"/>
      <c r="H12671" s="238"/>
      <c r="I12671" s="237"/>
    </row>
    <row r="12672" spans="1:9" s="232" customFormat="1" ht="17" customHeight="1">
      <c r="A12672" s="234"/>
      <c r="B12672" s="233"/>
      <c r="C12672" s="238"/>
      <c r="E12672" s="545"/>
      <c r="F12672" s="546"/>
      <c r="G12672" s="234"/>
      <c r="H12672" s="238"/>
      <c r="I12672" s="237"/>
    </row>
    <row r="12673" spans="1:9" s="232" customFormat="1" ht="17" customHeight="1">
      <c r="A12673" s="234"/>
      <c r="B12673" s="233"/>
      <c r="C12673" s="238"/>
      <c r="E12673" s="545"/>
      <c r="F12673" s="546"/>
      <c r="G12673" s="234"/>
      <c r="H12673" s="238"/>
      <c r="I12673" s="237"/>
    </row>
    <row r="12674" spans="1:9" s="232" customFormat="1" ht="17" customHeight="1">
      <c r="A12674" s="234"/>
      <c r="B12674" s="233"/>
      <c r="C12674" s="238"/>
      <c r="E12674" s="545"/>
      <c r="F12674" s="546"/>
      <c r="G12674" s="234"/>
      <c r="H12674" s="238"/>
      <c r="I12674" s="237"/>
    </row>
    <row r="12675" spans="1:9" s="232" customFormat="1" ht="17" customHeight="1">
      <c r="A12675" s="234"/>
      <c r="B12675" s="233"/>
      <c r="C12675" s="238"/>
      <c r="E12675" s="545"/>
      <c r="F12675" s="546"/>
      <c r="G12675" s="234"/>
      <c r="H12675" s="238"/>
      <c r="I12675" s="237"/>
    </row>
    <row r="12676" spans="1:9" s="232" customFormat="1" ht="17" customHeight="1">
      <c r="A12676" s="234"/>
      <c r="B12676" s="233"/>
      <c r="C12676" s="238"/>
      <c r="E12676" s="545"/>
      <c r="F12676" s="546"/>
      <c r="G12676" s="234"/>
      <c r="H12676" s="238"/>
      <c r="I12676" s="237"/>
    </row>
    <row r="12677" spans="1:9" s="232" customFormat="1" ht="17" customHeight="1">
      <c r="A12677" s="234"/>
      <c r="B12677" s="233"/>
      <c r="C12677" s="238"/>
      <c r="E12677" s="545"/>
      <c r="F12677" s="546"/>
      <c r="G12677" s="234"/>
      <c r="H12677" s="238"/>
      <c r="I12677" s="237"/>
    </row>
    <row r="12678" spans="1:9" s="232" customFormat="1" ht="17" customHeight="1">
      <c r="A12678" s="234"/>
      <c r="B12678" s="233"/>
      <c r="C12678" s="238"/>
      <c r="E12678" s="545"/>
      <c r="F12678" s="546"/>
      <c r="G12678" s="234"/>
      <c r="H12678" s="238"/>
      <c r="I12678" s="237"/>
    </row>
    <row r="12679" spans="1:9" s="232" customFormat="1" ht="17" customHeight="1">
      <c r="A12679" s="234"/>
      <c r="B12679" s="233"/>
      <c r="C12679" s="238"/>
      <c r="E12679" s="545"/>
      <c r="F12679" s="546"/>
      <c r="G12679" s="234"/>
      <c r="H12679" s="238"/>
      <c r="I12679" s="237"/>
    </row>
    <row r="12680" spans="1:9" s="232" customFormat="1" ht="17" customHeight="1">
      <c r="A12680" s="234"/>
      <c r="B12680" s="233"/>
      <c r="C12680" s="238"/>
      <c r="E12680" s="545"/>
      <c r="F12680" s="546"/>
      <c r="G12680" s="234"/>
      <c r="H12680" s="238"/>
      <c r="I12680" s="237"/>
    </row>
    <row r="12681" spans="1:9" s="232" customFormat="1" ht="17" customHeight="1">
      <c r="A12681" s="234"/>
      <c r="B12681" s="233"/>
      <c r="C12681" s="238"/>
      <c r="E12681" s="545"/>
      <c r="F12681" s="546"/>
      <c r="G12681" s="234"/>
      <c r="H12681" s="238"/>
      <c r="I12681" s="237"/>
    </row>
    <row r="12682" spans="1:9" s="232" customFormat="1" ht="17" customHeight="1">
      <c r="A12682" s="234"/>
      <c r="B12682" s="233"/>
      <c r="C12682" s="238"/>
      <c r="E12682" s="545"/>
      <c r="F12682" s="546"/>
      <c r="G12682" s="234"/>
      <c r="H12682" s="238"/>
      <c r="I12682" s="237"/>
    </row>
    <row r="12683" spans="1:9" s="232" customFormat="1" ht="17" customHeight="1">
      <c r="A12683" s="234"/>
      <c r="B12683" s="233"/>
      <c r="C12683" s="238"/>
      <c r="E12683" s="545"/>
      <c r="F12683" s="546"/>
      <c r="G12683" s="234"/>
      <c r="H12683" s="238"/>
      <c r="I12683" s="237"/>
    </row>
    <row r="12684" spans="1:9" s="232" customFormat="1" ht="17" customHeight="1">
      <c r="A12684" s="234"/>
      <c r="B12684" s="233"/>
      <c r="C12684" s="238"/>
      <c r="E12684" s="545"/>
      <c r="F12684" s="546"/>
      <c r="G12684" s="234"/>
      <c r="H12684" s="238"/>
      <c r="I12684" s="237"/>
    </row>
    <row r="12685" spans="1:9" s="232" customFormat="1" ht="17" customHeight="1">
      <c r="A12685" s="234"/>
      <c r="B12685" s="233"/>
      <c r="C12685" s="238"/>
      <c r="E12685" s="545"/>
      <c r="F12685" s="546"/>
      <c r="G12685" s="234"/>
      <c r="H12685" s="238"/>
      <c r="I12685" s="237"/>
    </row>
    <row r="12686" spans="1:9" s="232" customFormat="1" ht="17" customHeight="1">
      <c r="A12686" s="234"/>
      <c r="B12686" s="233"/>
      <c r="C12686" s="238"/>
      <c r="E12686" s="545"/>
      <c r="F12686" s="546"/>
      <c r="G12686" s="234"/>
      <c r="H12686" s="238"/>
      <c r="I12686" s="237"/>
    </row>
    <row r="12687" spans="1:9" s="232" customFormat="1" ht="17" customHeight="1">
      <c r="A12687" s="234"/>
      <c r="B12687" s="233"/>
      <c r="C12687" s="238"/>
      <c r="E12687" s="545"/>
      <c r="F12687" s="546"/>
      <c r="G12687" s="234"/>
      <c r="H12687" s="238"/>
      <c r="I12687" s="237"/>
    </row>
    <row r="12688" spans="1:9" s="232" customFormat="1" ht="17" customHeight="1">
      <c r="A12688" s="234"/>
      <c r="B12688" s="233"/>
      <c r="C12688" s="238"/>
      <c r="E12688" s="545"/>
      <c r="F12688" s="546"/>
      <c r="G12688" s="234"/>
      <c r="H12688" s="238"/>
      <c r="I12688" s="237"/>
    </row>
    <row r="12689" spans="1:9" s="232" customFormat="1" ht="17" customHeight="1">
      <c r="A12689" s="234"/>
      <c r="B12689" s="233"/>
      <c r="C12689" s="238"/>
      <c r="E12689" s="545"/>
      <c r="F12689" s="546"/>
      <c r="G12689" s="234"/>
      <c r="H12689" s="238"/>
      <c r="I12689" s="237"/>
    </row>
    <row r="12690" spans="1:9" s="232" customFormat="1" ht="17" customHeight="1">
      <c r="A12690" s="234"/>
      <c r="B12690" s="233"/>
      <c r="C12690" s="238"/>
      <c r="E12690" s="545"/>
      <c r="F12690" s="546"/>
      <c r="G12690" s="234"/>
      <c r="H12690" s="238"/>
      <c r="I12690" s="237"/>
    </row>
    <row r="12691" spans="1:9" s="232" customFormat="1" ht="17" customHeight="1">
      <c r="A12691" s="234"/>
      <c r="B12691" s="233"/>
      <c r="C12691" s="238"/>
      <c r="E12691" s="545"/>
      <c r="F12691" s="546"/>
      <c r="G12691" s="234"/>
      <c r="H12691" s="238"/>
      <c r="I12691" s="237"/>
    </row>
    <row r="12692" spans="1:9" s="232" customFormat="1" ht="17" customHeight="1">
      <c r="A12692" s="234"/>
      <c r="B12692" s="233"/>
      <c r="C12692" s="238"/>
      <c r="E12692" s="545"/>
      <c r="F12692" s="546"/>
      <c r="G12692" s="234"/>
      <c r="H12692" s="238"/>
      <c r="I12692" s="237"/>
    </row>
    <row r="12693" spans="1:9" s="232" customFormat="1" ht="17" customHeight="1">
      <c r="A12693" s="234"/>
      <c r="B12693" s="233"/>
      <c r="C12693" s="238"/>
      <c r="E12693" s="545"/>
      <c r="F12693" s="546"/>
      <c r="G12693" s="234"/>
      <c r="H12693" s="238"/>
      <c r="I12693" s="237"/>
    </row>
    <row r="12694" spans="1:9" s="232" customFormat="1" ht="17" customHeight="1">
      <c r="A12694" s="234"/>
      <c r="B12694" s="233"/>
      <c r="C12694" s="238"/>
      <c r="E12694" s="545"/>
      <c r="F12694" s="546"/>
      <c r="G12694" s="234"/>
      <c r="H12694" s="238"/>
      <c r="I12694" s="237"/>
    </row>
    <row r="12695" spans="1:9" s="232" customFormat="1" ht="17" customHeight="1">
      <c r="A12695" s="234"/>
      <c r="B12695" s="233"/>
      <c r="C12695" s="238"/>
      <c r="E12695" s="545"/>
      <c r="F12695" s="546"/>
      <c r="G12695" s="234"/>
      <c r="H12695" s="238"/>
      <c r="I12695" s="237"/>
    </row>
    <row r="12696" spans="1:9" s="232" customFormat="1" ht="17" customHeight="1">
      <c r="A12696" s="234"/>
      <c r="B12696" s="233"/>
      <c r="C12696" s="238"/>
      <c r="E12696" s="545"/>
      <c r="F12696" s="546"/>
      <c r="G12696" s="234"/>
      <c r="H12696" s="238"/>
      <c r="I12696" s="237"/>
    </row>
    <row r="12697" spans="1:9" s="232" customFormat="1" ht="17" customHeight="1">
      <c r="A12697" s="234"/>
      <c r="B12697" s="233"/>
      <c r="C12697" s="238"/>
      <c r="E12697" s="545"/>
      <c r="F12697" s="546"/>
      <c r="G12697" s="234"/>
      <c r="H12697" s="238"/>
      <c r="I12697" s="237"/>
    </row>
    <row r="12698" spans="1:9" s="232" customFormat="1" ht="17" customHeight="1">
      <c r="A12698" s="234"/>
      <c r="B12698" s="233"/>
      <c r="C12698" s="238"/>
      <c r="E12698" s="545"/>
      <c r="F12698" s="546"/>
      <c r="G12698" s="234"/>
      <c r="H12698" s="238"/>
      <c r="I12698" s="237"/>
    </row>
    <row r="12699" spans="1:9" s="232" customFormat="1" ht="17" customHeight="1">
      <c r="A12699" s="234"/>
      <c r="B12699" s="233"/>
      <c r="C12699" s="238"/>
      <c r="E12699" s="545"/>
      <c r="F12699" s="546"/>
      <c r="G12699" s="234"/>
      <c r="H12699" s="238"/>
      <c r="I12699" s="237"/>
    </row>
    <row r="12700" spans="1:9" s="232" customFormat="1" ht="17" customHeight="1">
      <c r="A12700" s="234"/>
      <c r="B12700" s="233"/>
      <c r="C12700" s="238"/>
      <c r="E12700" s="545"/>
      <c r="F12700" s="546"/>
      <c r="G12700" s="234"/>
      <c r="H12700" s="238"/>
      <c r="I12700" s="237"/>
    </row>
    <row r="12701" spans="1:9" s="232" customFormat="1" ht="17" customHeight="1">
      <c r="A12701" s="234"/>
      <c r="B12701" s="233"/>
      <c r="C12701" s="238"/>
      <c r="E12701" s="545"/>
      <c r="F12701" s="546"/>
      <c r="G12701" s="234"/>
      <c r="H12701" s="238"/>
      <c r="I12701" s="237"/>
    </row>
    <row r="12702" spans="1:9" s="232" customFormat="1" ht="17" customHeight="1">
      <c r="A12702" s="234"/>
      <c r="B12702" s="233"/>
      <c r="C12702" s="238"/>
      <c r="E12702" s="545"/>
      <c r="F12702" s="546"/>
      <c r="G12702" s="234"/>
      <c r="H12702" s="238"/>
      <c r="I12702" s="237"/>
    </row>
    <row r="12703" spans="1:9" s="232" customFormat="1" ht="17" customHeight="1">
      <c r="A12703" s="234"/>
      <c r="B12703" s="233"/>
      <c r="C12703" s="238"/>
      <c r="E12703" s="545"/>
      <c r="F12703" s="546"/>
      <c r="G12703" s="234"/>
      <c r="H12703" s="238"/>
      <c r="I12703" s="237"/>
    </row>
    <row r="12704" spans="1:9" s="232" customFormat="1" ht="17" customHeight="1">
      <c r="A12704" s="234"/>
      <c r="B12704" s="233"/>
      <c r="C12704" s="238"/>
      <c r="E12704" s="545"/>
      <c r="F12704" s="546"/>
      <c r="G12704" s="234"/>
      <c r="H12704" s="238"/>
      <c r="I12704" s="237"/>
    </row>
    <row r="12705" spans="1:9" s="232" customFormat="1" ht="17" customHeight="1">
      <c r="A12705" s="234"/>
      <c r="B12705" s="233"/>
      <c r="C12705" s="238"/>
      <c r="E12705" s="545"/>
      <c r="F12705" s="546"/>
      <c r="G12705" s="234"/>
      <c r="H12705" s="238"/>
      <c r="I12705" s="237"/>
    </row>
    <row r="12706" spans="1:9" s="232" customFormat="1" ht="17" customHeight="1">
      <c r="A12706" s="234"/>
      <c r="B12706" s="233"/>
      <c r="C12706" s="238"/>
      <c r="E12706" s="545"/>
      <c r="F12706" s="546"/>
      <c r="G12706" s="234"/>
      <c r="H12706" s="238"/>
      <c r="I12706" s="237"/>
    </row>
    <row r="12707" spans="1:9" s="232" customFormat="1" ht="17" customHeight="1">
      <c r="A12707" s="234"/>
      <c r="B12707" s="233"/>
      <c r="C12707" s="238"/>
      <c r="E12707" s="545"/>
      <c r="F12707" s="546"/>
      <c r="G12707" s="234"/>
      <c r="H12707" s="238"/>
      <c r="I12707" s="237"/>
    </row>
    <row r="12708" spans="1:9" s="232" customFormat="1" ht="17" customHeight="1">
      <c r="A12708" s="234"/>
      <c r="B12708" s="233"/>
      <c r="C12708" s="238"/>
      <c r="E12708" s="545"/>
      <c r="F12708" s="546"/>
      <c r="G12708" s="234"/>
      <c r="H12708" s="238"/>
      <c r="I12708" s="237"/>
    </row>
    <row r="12709" spans="1:9" s="232" customFormat="1" ht="17" customHeight="1">
      <c r="A12709" s="234"/>
      <c r="B12709" s="233"/>
      <c r="C12709" s="238"/>
      <c r="E12709" s="545"/>
      <c r="F12709" s="546"/>
      <c r="G12709" s="234"/>
      <c r="H12709" s="238"/>
      <c r="I12709" s="237"/>
    </row>
    <row r="12710" spans="1:9" s="232" customFormat="1" ht="17" customHeight="1">
      <c r="A12710" s="234"/>
      <c r="B12710" s="233"/>
      <c r="C12710" s="238"/>
      <c r="E12710" s="545"/>
      <c r="F12710" s="546"/>
      <c r="G12710" s="234"/>
      <c r="H12710" s="238"/>
      <c r="I12710" s="237"/>
    </row>
    <row r="12711" spans="1:9" s="232" customFormat="1" ht="17" customHeight="1">
      <c r="A12711" s="234"/>
      <c r="B12711" s="233"/>
      <c r="C12711" s="238"/>
      <c r="E12711" s="545"/>
      <c r="F12711" s="546"/>
      <c r="G12711" s="234"/>
      <c r="H12711" s="238"/>
      <c r="I12711" s="237"/>
    </row>
    <row r="12712" spans="1:9" s="232" customFormat="1" ht="17" customHeight="1">
      <c r="A12712" s="234"/>
      <c r="B12712" s="233"/>
      <c r="C12712" s="238"/>
      <c r="E12712" s="545"/>
      <c r="F12712" s="546"/>
      <c r="G12712" s="234"/>
      <c r="H12712" s="238"/>
      <c r="I12712" s="237"/>
    </row>
    <row r="12713" spans="1:9" s="232" customFormat="1" ht="17" customHeight="1">
      <c r="A12713" s="234"/>
      <c r="B12713" s="233"/>
      <c r="C12713" s="238"/>
      <c r="E12713" s="545"/>
      <c r="F12713" s="546"/>
      <c r="G12713" s="234"/>
      <c r="H12713" s="238"/>
      <c r="I12713" s="237"/>
    </row>
    <row r="12714" spans="1:9" s="232" customFormat="1" ht="17" customHeight="1">
      <c r="A12714" s="234"/>
      <c r="B12714" s="233"/>
      <c r="C12714" s="238"/>
      <c r="E12714" s="545"/>
      <c r="F12714" s="546"/>
      <c r="G12714" s="234"/>
      <c r="H12714" s="238"/>
      <c r="I12714" s="237"/>
    </row>
    <row r="12715" spans="1:9" s="232" customFormat="1" ht="17" customHeight="1">
      <c r="A12715" s="234"/>
      <c r="B12715" s="233"/>
      <c r="C12715" s="238"/>
      <c r="E12715" s="545"/>
      <c r="F12715" s="546"/>
      <c r="G12715" s="234"/>
      <c r="H12715" s="238"/>
      <c r="I12715" s="237"/>
    </row>
    <row r="12716" spans="1:9" s="232" customFormat="1" ht="17" customHeight="1">
      <c r="A12716" s="234"/>
      <c r="B12716" s="233"/>
      <c r="C12716" s="238"/>
      <c r="E12716" s="545"/>
      <c r="F12716" s="546"/>
      <c r="G12716" s="234"/>
      <c r="H12716" s="238"/>
      <c r="I12716" s="237"/>
    </row>
    <row r="12717" spans="1:9" s="232" customFormat="1" ht="17" customHeight="1">
      <c r="A12717" s="234"/>
      <c r="B12717" s="233"/>
      <c r="C12717" s="238"/>
      <c r="E12717" s="545"/>
      <c r="F12717" s="546"/>
      <c r="G12717" s="234"/>
      <c r="H12717" s="238"/>
      <c r="I12717" s="237"/>
    </row>
    <row r="12718" spans="1:9" s="232" customFormat="1" ht="17" customHeight="1">
      <c r="A12718" s="234"/>
      <c r="B12718" s="233"/>
      <c r="C12718" s="238"/>
      <c r="E12718" s="545"/>
      <c r="F12718" s="546"/>
      <c r="G12718" s="234"/>
      <c r="H12718" s="238"/>
      <c r="I12718" s="237"/>
    </row>
    <row r="12719" spans="1:9" s="232" customFormat="1" ht="17" customHeight="1">
      <c r="A12719" s="234"/>
      <c r="B12719" s="233"/>
      <c r="C12719" s="238"/>
      <c r="E12719" s="545"/>
      <c r="F12719" s="546"/>
      <c r="G12719" s="234"/>
      <c r="H12719" s="238"/>
      <c r="I12719" s="237"/>
    </row>
    <row r="12720" spans="1:9" s="232" customFormat="1" ht="17" customHeight="1">
      <c r="A12720" s="234"/>
      <c r="B12720" s="233"/>
      <c r="C12720" s="238"/>
      <c r="E12720" s="545"/>
      <c r="F12720" s="546"/>
      <c r="G12720" s="234"/>
      <c r="H12720" s="238"/>
      <c r="I12720" s="237"/>
    </row>
    <row r="12721" spans="1:9" s="232" customFormat="1" ht="17" customHeight="1">
      <c r="A12721" s="234"/>
      <c r="B12721" s="233"/>
      <c r="C12721" s="238"/>
      <c r="E12721" s="545"/>
      <c r="F12721" s="546"/>
      <c r="G12721" s="234"/>
      <c r="H12721" s="238"/>
      <c r="I12721" s="237"/>
    </row>
    <row r="12722" spans="1:9" s="232" customFormat="1" ht="17" customHeight="1">
      <c r="A12722" s="234"/>
      <c r="B12722" s="233"/>
      <c r="C12722" s="238"/>
      <c r="E12722" s="545"/>
      <c r="F12722" s="546"/>
      <c r="G12722" s="234"/>
      <c r="H12722" s="238"/>
      <c r="I12722" s="237"/>
    </row>
    <row r="12723" spans="1:9" s="232" customFormat="1" ht="17" customHeight="1">
      <c r="A12723" s="234"/>
      <c r="B12723" s="233"/>
      <c r="C12723" s="238"/>
      <c r="E12723" s="545"/>
      <c r="F12723" s="546"/>
      <c r="G12723" s="234"/>
      <c r="H12723" s="238"/>
      <c r="I12723" s="237"/>
    </row>
    <row r="12724" spans="1:9" s="232" customFormat="1" ht="17" customHeight="1">
      <c r="A12724" s="234"/>
      <c r="B12724" s="233"/>
      <c r="C12724" s="238"/>
      <c r="E12724" s="545"/>
      <c r="F12724" s="546"/>
      <c r="G12724" s="234"/>
      <c r="H12724" s="238"/>
      <c r="I12724" s="237"/>
    </row>
    <row r="12725" spans="1:9" s="232" customFormat="1" ht="17" customHeight="1">
      <c r="A12725" s="234"/>
      <c r="B12725" s="233"/>
      <c r="C12725" s="238"/>
      <c r="E12725" s="545"/>
      <c r="F12725" s="546"/>
      <c r="G12725" s="234"/>
      <c r="H12725" s="238"/>
      <c r="I12725" s="237"/>
    </row>
    <row r="12726" spans="1:9" s="232" customFormat="1" ht="17" customHeight="1">
      <c r="A12726" s="234"/>
      <c r="B12726" s="233"/>
      <c r="C12726" s="238"/>
      <c r="E12726" s="545"/>
      <c r="F12726" s="546"/>
      <c r="G12726" s="234"/>
      <c r="H12726" s="238"/>
      <c r="I12726" s="237"/>
    </row>
    <row r="12727" spans="1:9" s="232" customFormat="1" ht="17" customHeight="1">
      <c r="A12727" s="234"/>
      <c r="B12727" s="233"/>
      <c r="C12727" s="238"/>
      <c r="E12727" s="545"/>
      <c r="F12727" s="546"/>
      <c r="G12727" s="234"/>
      <c r="H12727" s="238"/>
      <c r="I12727" s="237"/>
    </row>
    <row r="12728" spans="1:9" s="232" customFormat="1" ht="17" customHeight="1">
      <c r="A12728" s="234"/>
      <c r="B12728" s="233"/>
      <c r="C12728" s="238"/>
      <c r="E12728" s="545"/>
      <c r="F12728" s="546"/>
      <c r="G12728" s="234"/>
      <c r="H12728" s="238"/>
      <c r="I12728" s="237"/>
    </row>
    <row r="12729" spans="1:9" s="232" customFormat="1" ht="17" customHeight="1">
      <c r="A12729" s="234"/>
      <c r="B12729" s="233"/>
      <c r="C12729" s="238"/>
      <c r="E12729" s="545"/>
      <c r="F12729" s="546"/>
      <c r="G12729" s="234"/>
      <c r="H12729" s="238"/>
      <c r="I12729" s="237"/>
    </row>
    <row r="12730" spans="1:9" s="232" customFormat="1" ht="17" customHeight="1">
      <c r="A12730" s="234"/>
      <c r="B12730" s="233"/>
      <c r="C12730" s="238"/>
      <c r="E12730" s="545"/>
      <c r="F12730" s="546"/>
      <c r="G12730" s="234"/>
      <c r="H12730" s="238"/>
      <c r="I12730" s="237"/>
    </row>
    <row r="12731" spans="1:9" s="232" customFormat="1" ht="17" customHeight="1">
      <c r="A12731" s="234"/>
      <c r="B12731" s="233"/>
      <c r="C12731" s="238"/>
      <c r="E12731" s="545"/>
      <c r="F12731" s="546"/>
      <c r="G12731" s="234"/>
      <c r="H12731" s="238"/>
      <c r="I12731" s="237"/>
    </row>
    <row r="12732" spans="1:9" s="232" customFormat="1" ht="17" customHeight="1">
      <c r="A12732" s="234"/>
      <c r="B12732" s="233"/>
      <c r="C12732" s="238"/>
      <c r="E12732" s="545"/>
      <c r="F12732" s="546"/>
      <c r="G12732" s="234"/>
      <c r="H12732" s="238"/>
      <c r="I12732" s="237"/>
    </row>
    <row r="12733" spans="1:9" s="232" customFormat="1" ht="17" customHeight="1">
      <c r="A12733" s="234"/>
      <c r="B12733" s="233"/>
      <c r="C12733" s="238"/>
      <c r="E12733" s="545"/>
      <c r="F12733" s="546"/>
      <c r="G12733" s="234"/>
      <c r="H12733" s="238"/>
      <c r="I12733" s="237"/>
    </row>
    <row r="12734" spans="1:9" s="232" customFormat="1" ht="17" customHeight="1">
      <c r="A12734" s="234"/>
      <c r="B12734" s="233"/>
      <c r="C12734" s="238"/>
      <c r="E12734" s="545"/>
      <c r="F12734" s="546"/>
      <c r="G12734" s="234"/>
      <c r="H12734" s="238"/>
      <c r="I12734" s="237"/>
    </row>
    <row r="12735" spans="1:9" s="232" customFormat="1" ht="17" customHeight="1">
      <c r="A12735" s="234"/>
      <c r="B12735" s="233"/>
      <c r="C12735" s="238"/>
      <c r="E12735" s="545"/>
      <c r="F12735" s="546"/>
      <c r="G12735" s="234"/>
      <c r="H12735" s="238"/>
      <c r="I12735" s="237"/>
    </row>
    <row r="12736" spans="1:9" s="232" customFormat="1" ht="17" customHeight="1">
      <c r="A12736" s="234"/>
      <c r="B12736" s="233"/>
      <c r="C12736" s="238"/>
      <c r="E12736" s="545"/>
      <c r="F12736" s="546"/>
      <c r="G12736" s="234"/>
      <c r="H12736" s="238"/>
      <c r="I12736" s="237"/>
    </row>
    <row r="12737" spans="1:9" s="232" customFormat="1" ht="17" customHeight="1">
      <c r="A12737" s="234"/>
      <c r="B12737" s="233"/>
      <c r="C12737" s="238"/>
      <c r="E12737" s="545"/>
      <c r="F12737" s="546"/>
      <c r="G12737" s="234"/>
      <c r="H12737" s="238"/>
      <c r="I12737" s="237"/>
    </row>
    <row r="12738" spans="1:9" s="232" customFormat="1" ht="17" customHeight="1">
      <c r="A12738" s="234"/>
      <c r="B12738" s="233"/>
      <c r="C12738" s="238"/>
      <c r="E12738" s="545"/>
      <c r="F12738" s="546"/>
      <c r="G12738" s="234"/>
      <c r="H12738" s="238"/>
      <c r="I12738" s="237"/>
    </row>
    <row r="12739" spans="1:9" s="232" customFormat="1" ht="17" customHeight="1">
      <c r="A12739" s="234"/>
      <c r="B12739" s="233"/>
      <c r="C12739" s="238"/>
      <c r="E12739" s="545"/>
      <c r="F12739" s="546"/>
      <c r="G12739" s="234"/>
      <c r="H12739" s="238"/>
      <c r="I12739" s="237"/>
    </row>
    <row r="12740" spans="1:9" s="232" customFormat="1" ht="17" customHeight="1">
      <c r="A12740" s="234"/>
      <c r="B12740" s="233"/>
      <c r="C12740" s="238"/>
      <c r="E12740" s="545"/>
      <c r="F12740" s="546"/>
      <c r="G12740" s="234"/>
      <c r="H12740" s="238"/>
      <c r="I12740" s="237"/>
    </row>
    <row r="12741" spans="1:9" s="232" customFormat="1" ht="17" customHeight="1">
      <c r="A12741" s="234"/>
      <c r="B12741" s="233"/>
      <c r="C12741" s="238"/>
      <c r="E12741" s="545"/>
      <c r="F12741" s="546"/>
      <c r="G12741" s="234"/>
      <c r="H12741" s="238"/>
      <c r="I12741" s="237"/>
    </row>
    <row r="12742" spans="1:9" s="232" customFormat="1" ht="17" customHeight="1">
      <c r="A12742" s="234"/>
      <c r="B12742" s="233"/>
      <c r="C12742" s="238"/>
      <c r="E12742" s="545"/>
      <c r="F12742" s="546"/>
      <c r="G12742" s="234"/>
      <c r="H12742" s="238"/>
      <c r="I12742" s="237"/>
    </row>
    <row r="12743" spans="1:9" s="232" customFormat="1" ht="17" customHeight="1">
      <c r="A12743" s="234"/>
      <c r="B12743" s="233"/>
      <c r="C12743" s="238"/>
      <c r="E12743" s="545"/>
      <c r="F12743" s="546"/>
      <c r="G12743" s="234"/>
      <c r="H12743" s="238"/>
      <c r="I12743" s="237"/>
    </row>
    <row r="12744" spans="1:9" s="232" customFormat="1" ht="17" customHeight="1">
      <c r="A12744" s="234"/>
      <c r="B12744" s="233"/>
      <c r="C12744" s="238"/>
      <c r="E12744" s="545"/>
      <c r="F12744" s="546"/>
      <c r="G12744" s="234"/>
      <c r="H12744" s="238"/>
      <c r="I12744" s="237"/>
    </row>
    <row r="12745" spans="1:9" s="232" customFormat="1" ht="17" customHeight="1">
      <c r="A12745" s="234"/>
      <c r="B12745" s="233"/>
      <c r="C12745" s="238"/>
      <c r="E12745" s="545"/>
      <c r="F12745" s="546"/>
      <c r="G12745" s="234"/>
      <c r="H12745" s="238"/>
      <c r="I12745" s="237"/>
    </row>
    <row r="12746" spans="1:9" s="232" customFormat="1" ht="17" customHeight="1">
      <c r="A12746" s="234"/>
      <c r="B12746" s="233"/>
      <c r="C12746" s="238"/>
      <c r="E12746" s="545"/>
      <c r="F12746" s="546"/>
      <c r="G12746" s="234"/>
      <c r="H12746" s="238"/>
      <c r="I12746" s="237"/>
    </row>
    <row r="12747" spans="1:9" s="232" customFormat="1" ht="17" customHeight="1">
      <c r="A12747" s="234"/>
      <c r="B12747" s="233"/>
      <c r="C12747" s="238"/>
      <c r="E12747" s="545"/>
      <c r="F12747" s="546"/>
      <c r="G12747" s="234"/>
      <c r="H12747" s="238"/>
      <c r="I12747" s="237"/>
    </row>
    <row r="12748" spans="1:9" s="232" customFormat="1" ht="17" customHeight="1">
      <c r="A12748" s="234"/>
      <c r="B12748" s="233"/>
      <c r="C12748" s="238"/>
      <c r="E12748" s="545"/>
      <c r="F12748" s="546"/>
      <c r="G12748" s="234"/>
      <c r="H12748" s="238"/>
      <c r="I12748" s="237"/>
    </row>
    <row r="12749" spans="1:9" s="232" customFormat="1" ht="17" customHeight="1">
      <c r="A12749" s="234"/>
      <c r="B12749" s="233"/>
      <c r="C12749" s="238"/>
      <c r="E12749" s="545"/>
      <c r="F12749" s="546"/>
      <c r="G12749" s="234"/>
      <c r="H12749" s="238"/>
      <c r="I12749" s="237"/>
    </row>
    <row r="12750" spans="1:9" s="232" customFormat="1" ht="17" customHeight="1">
      <c r="A12750" s="234"/>
      <c r="B12750" s="233"/>
      <c r="C12750" s="238"/>
      <c r="E12750" s="545"/>
      <c r="F12750" s="546"/>
      <c r="G12750" s="234"/>
      <c r="H12750" s="238"/>
      <c r="I12750" s="237"/>
    </row>
    <row r="12751" spans="1:9" s="232" customFormat="1" ht="17" customHeight="1">
      <c r="A12751" s="234"/>
      <c r="B12751" s="233"/>
      <c r="C12751" s="238"/>
      <c r="E12751" s="545"/>
      <c r="F12751" s="546"/>
      <c r="G12751" s="234"/>
      <c r="H12751" s="238"/>
      <c r="I12751" s="237"/>
    </row>
    <row r="12752" spans="1:9" s="232" customFormat="1" ht="17" customHeight="1">
      <c r="A12752" s="234"/>
      <c r="B12752" s="233"/>
      <c r="C12752" s="238"/>
      <c r="E12752" s="545"/>
      <c r="F12752" s="546"/>
      <c r="G12752" s="234"/>
      <c r="H12752" s="238"/>
      <c r="I12752" s="237"/>
    </row>
    <row r="12753" spans="1:9" s="232" customFormat="1" ht="17" customHeight="1">
      <c r="A12753" s="234"/>
      <c r="B12753" s="233"/>
      <c r="C12753" s="238"/>
      <c r="E12753" s="545"/>
      <c r="F12753" s="546"/>
      <c r="G12753" s="234"/>
      <c r="H12753" s="238"/>
      <c r="I12753" s="237"/>
    </row>
    <row r="12754" spans="1:9" s="232" customFormat="1" ht="17" customHeight="1">
      <c r="A12754" s="234"/>
      <c r="B12754" s="233"/>
      <c r="C12754" s="238"/>
      <c r="E12754" s="545"/>
      <c r="F12754" s="546"/>
      <c r="G12754" s="234"/>
      <c r="H12754" s="238"/>
      <c r="I12754" s="237"/>
    </row>
    <row r="12755" spans="1:9" s="232" customFormat="1" ht="17" customHeight="1">
      <c r="A12755" s="234"/>
      <c r="B12755" s="233"/>
      <c r="C12755" s="238"/>
      <c r="E12755" s="545"/>
      <c r="F12755" s="546"/>
      <c r="G12755" s="234"/>
      <c r="H12755" s="238"/>
      <c r="I12755" s="237"/>
    </row>
    <row r="12756" spans="1:9" s="232" customFormat="1" ht="17" customHeight="1">
      <c r="A12756" s="234"/>
      <c r="B12756" s="233"/>
      <c r="C12756" s="238"/>
      <c r="E12756" s="545"/>
      <c r="F12756" s="546"/>
      <c r="G12756" s="234"/>
      <c r="H12756" s="238"/>
      <c r="I12756" s="237"/>
    </row>
    <row r="12757" spans="1:9" s="232" customFormat="1" ht="17" customHeight="1">
      <c r="A12757" s="234"/>
      <c r="B12757" s="233"/>
      <c r="C12757" s="238"/>
      <c r="E12757" s="545"/>
      <c r="F12757" s="546"/>
      <c r="G12757" s="234"/>
      <c r="H12757" s="238"/>
      <c r="I12757" s="237"/>
    </row>
    <row r="12758" spans="1:9" s="232" customFormat="1" ht="17" customHeight="1">
      <c r="A12758" s="234"/>
      <c r="B12758" s="233"/>
      <c r="C12758" s="238"/>
      <c r="E12758" s="545"/>
      <c r="F12758" s="546"/>
      <c r="G12758" s="234"/>
      <c r="H12758" s="238"/>
      <c r="I12758" s="237"/>
    </row>
    <row r="12759" spans="1:9" s="232" customFormat="1" ht="17" customHeight="1">
      <c r="A12759" s="234"/>
      <c r="B12759" s="233"/>
      <c r="C12759" s="238"/>
      <c r="E12759" s="545"/>
      <c r="F12759" s="546"/>
      <c r="G12759" s="234"/>
      <c r="H12759" s="238"/>
      <c r="I12759" s="237"/>
    </row>
    <row r="12760" spans="1:9" s="232" customFormat="1" ht="17" customHeight="1">
      <c r="A12760" s="234"/>
      <c r="B12760" s="233"/>
      <c r="C12760" s="238"/>
      <c r="E12760" s="545"/>
      <c r="F12760" s="546"/>
      <c r="G12760" s="234"/>
      <c r="H12760" s="238"/>
      <c r="I12760" s="237"/>
    </row>
    <row r="12761" spans="1:9" s="232" customFormat="1" ht="17" customHeight="1">
      <c r="A12761" s="234"/>
      <c r="B12761" s="233"/>
      <c r="C12761" s="238"/>
      <c r="E12761" s="545"/>
      <c r="F12761" s="546"/>
      <c r="G12761" s="234"/>
      <c r="H12761" s="238"/>
      <c r="I12761" s="237"/>
    </row>
    <row r="12762" spans="1:9" s="232" customFormat="1" ht="17" customHeight="1">
      <c r="A12762" s="234"/>
      <c r="B12762" s="233"/>
      <c r="C12762" s="238"/>
      <c r="E12762" s="545"/>
      <c r="F12762" s="546"/>
      <c r="G12762" s="234"/>
      <c r="H12762" s="238"/>
      <c r="I12762" s="237"/>
    </row>
    <row r="12763" spans="1:9" s="232" customFormat="1" ht="17" customHeight="1">
      <c r="A12763" s="234"/>
      <c r="B12763" s="233"/>
      <c r="C12763" s="238"/>
      <c r="E12763" s="545"/>
      <c r="F12763" s="546"/>
      <c r="G12763" s="234"/>
      <c r="H12763" s="238"/>
      <c r="I12763" s="237"/>
    </row>
    <row r="12764" spans="1:9" s="232" customFormat="1" ht="17" customHeight="1">
      <c r="A12764" s="234"/>
      <c r="B12764" s="233"/>
      <c r="C12764" s="238"/>
      <c r="E12764" s="545"/>
      <c r="F12764" s="546"/>
      <c r="G12764" s="234"/>
      <c r="H12764" s="238"/>
      <c r="I12764" s="237"/>
    </row>
    <row r="12765" spans="1:9" s="232" customFormat="1" ht="17" customHeight="1">
      <c r="A12765" s="234"/>
      <c r="B12765" s="233"/>
      <c r="C12765" s="238"/>
      <c r="E12765" s="545"/>
      <c r="F12765" s="546"/>
      <c r="G12765" s="234"/>
      <c r="H12765" s="238"/>
      <c r="I12765" s="237"/>
    </row>
    <row r="12766" spans="1:9" s="232" customFormat="1" ht="17" customHeight="1">
      <c r="A12766" s="234"/>
      <c r="B12766" s="233"/>
      <c r="C12766" s="238"/>
      <c r="E12766" s="545"/>
      <c r="F12766" s="546"/>
      <c r="G12766" s="234"/>
      <c r="H12766" s="238"/>
      <c r="I12766" s="237"/>
    </row>
    <row r="12767" spans="1:9" s="232" customFormat="1" ht="17" customHeight="1">
      <c r="A12767" s="234"/>
      <c r="B12767" s="233"/>
      <c r="C12767" s="238"/>
      <c r="E12767" s="545"/>
      <c r="F12767" s="546"/>
      <c r="G12767" s="234"/>
      <c r="H12767" s="238"/>
      <c r="I12767" s="237"/>
    </row>
    <row r="12768" spans="1:9" s="232" customFormat="1" ht="17" customHeight="1">
      <c r="A12768" s="234"/>
      <c r="B12768" s="233"/>
      <c r="C12768" s="238"/>
      <c r="E12768" s="545"/>
      <c r="F12768" s="546"/>
      <c r="G12768" s="234"/>
      <c r="H12768" s="238"/>
      <c r="I12768" s="237"/>
    </row>
    <row r="12769" spans="1:9" s="232" customFormat="1" ht="17" customHeight="1">
      <c r="A12769" s="234"/>
      <c r="B12769" s="233"/>
      <c r="C12769" s="238"/>
      <c r="E12769" s="545"/>
      <c r="F12769" s="546"/>
      <c r="G12769" s="234"/>
      <c r="H12769" s="238"/>
      <c r="I12769" s="237"/>
    </row>
    <row r="12770" spans="1:9" s="232" customFormat="1" ht="17" customHeight="1">
      <c r="A12770" s="234"/>
      <c r="B12770" s="233"/>
      <c r="C12770" s="238"/>
      <c r="E12770" s="545"/>
      <c r="F12770" s="546"/>
      <c r="G12770" s="234"/>
      <c r="H12770" s="238"/>
      <c r="I12770" s="237"/>
    </row>
    <row r="12771" spans="1:9" s="232" customFormat="1" ht="17" customHeight="1">
      <c r="A12771" s="234"/>
      <c r="B12771" s="233"/>
      <c r="C12771" s="238"/>
      <c r="E12771" s="545"/>
      <c r="F12771" s="546"/>
      <c r="G12771" s="234"/>
      <c r="H12771" s="238"/>
      <c r="I12771" s="237"/>
    </row>
    <row r="12772" spans="1:9" s="232" customFormat="1" ht="17" customHeight="1">
      <c r="A12772" s="234"/>
      <c r="B12772" s="233"/>
      <c r="C12772" s="238"/>
      <c r="E12772" s="545"/>
      <c r="F12772" s="546"/>
      <c r="G12772" s="234"/>
      <c r="H12772" s="238"/>
      <c r="I12772" s="237"/>
    </row>
    <row r="12773" spans="1:9" s="232" customFormat="1" ht="17" customHeight="1">
      <c r="A12773" s="234"/>
      <c r="B12773" s="233"/>
      <c r="C12773" s="238"/>
      <c r="E12773" s="545"/>
      <c r="F12773" s="546"/>
      <c r="G12773" s="234"/>
      <c r="H12773" s="238"/>
      <c r="I12773" s="237"/>
    </row>
    <row r="12774" spans="1:9" s="232" customFormat="1" ht="17" customHeight="1">
      <c r="A12774" s="234"/>
      <c r="B12774" s="233"/>
      <c r="C12774" s="238"/>
      <c r="E12774" s="545"/>
      <c r="F12774" s="546"/>
      <c r="G12774" s="234"/>
      <c r="H12774" s="238"/>
      <c r="I12774" s="237"/>
    </row>
    <row r="12775" spans="1:9" s="232" customFormat="1" ht="17" customHeight="1">
      <c r="A12775" s="234"/>
      <c r="B12775" s="233"/>
      <c r="C12775" s="238"/>
      <c r="E12775" s="545"/>
      <c r="F12775" s="546"/>
      <c r="G12775" s="234"/>
      <c r="H12775" s="238"/>
      <c r="I12775" s="237"/>
    </row>
    <row r="12776" spans="1:9" s="232" customFormat="1" ht="17" customHeight="1">
      <c r="A12776" s="234"/>
      <c r="B12776" s="233"/>
      <c r="C12776" s="238"/>
      <c r="E12776" s="545"/>
      <c r="F12776" s="546"/>
      <c r="G12776" s="234"/>
      <c r="H12776" s="238"/>
      <c r="I12776" s="237"/>
    </row>
    <row r="12777" spans="1:9" s="232" customFormat="1" ht="17" customHeight="1">
      <c r="A12777" s="234"/>
      <c r="B12777" s="233"/>
      <c r="C12777" s="238"/>
      <c r="E12777" s="545"/>
      <c r="F12777" s="546"/>
      <c r="G12777" s="234"/>
      <c r="H12777" s="238"/>
      <c r="I12777" s="237"/>
    </row>
    <row r="12778" spans="1:9" s="232" customFormat="1" ht="17" customHeight="1">
      <c r="A12778" s="234"/>
      <c r="B12778" s="233"/>
      <c r="C12778" s="238"/>
      <c r="E12778" s="545"/>
      <c r="F12778" s="546"/>
      <c r="G12778" s="234"/>
      <c r="H12778" s="238"/>
      <c r="I12778" s="237"/>
    </row>
    <row r="12779" spans="1:9" s="232" customFormat="1" ht="17" customHeight="1">
      <c r="A12779" s="234"/>
      <c r="B12779" s="233"/>
      <c r="C12779" s="238"/>
      <c r="E12779" s="545"/>
      <c r="F12779" s="546"/>
      <c r="G12779" s="234"/>
      <c r="H12779" s="238"/>
      <c r="I12779" s="237"/>
    </row>
    <row r="12780" spans="1:9" s="232" customFormat="1" ht="17" customHeight="1">
      <c r="A12780" s="234"/>
      <c r="B12780" s="233"/>
      <c r="C12780" s="238"/>
      <c r="E12780" s="545"/>
      <c r="F12780" s="546"/>
      <c r="G12780" s="234"/>
      <c r="H12780" s="238"/>
      <c r="I12780" s="237"/>
    </row>
    <row r="12781" spans="1:9" s="232" customFormat="1" ht="17" customHeight="1">
      <c r="A12781" s="234"/>
      <c r="B12781" s="233"/>
      <c r="C12781" s="238"/>
      <c r="E12781" s="545"/>
      <c r="F12781" s="546"/>
      <c r="G12781" s="234"/>
      <c r="H12781" s="238"/>
      <c r="I12781" s="237"/>
    </row>
    <row r="12782" spans="1:9" s="232" customFormat="1" ht="17" customHeight="1">
      <c r="A12782" s="234"/>
      <c r="B12782" s="233"/>
      <c r="C12782" s="238"/>
      <c r="E12782" s="545"/>
      <c r="F12782" s="546"/>
      <c r="G12782" s="234"/>
      <c r="H12782" s="238"/>
      <c r="I12782" s="237"/>
    </row>
    <row r="12783" spans="1:9" s="232" customFormat="1" ht="17" customHeight="1">
      <c r="A12783" s="234"/>
      <c r="B12783" s="233"/>
      <c r="C12783" s="238"/>
      <c r="E12783" s="545"/>
      <c r="F12783" s="546"/>
      <c r="G12783" s="234"/>
      <c r="H12783" s="238"/>
      <c r="I12783" s="237"/>
    </row>
    <row r="12784" spans="1:9" s="232" customFormat="1" ht="17" customHeight="1">
      <c r="A12784" s="234"/>
      <c r="B12784" s="233"/>
      <c r="C12784" s="238"/>
      <c r="E12784" s="545"/>
      <c r="F12784" s="546"/>
      <c r="G12784" s="234"/>
      <c r="H12784" s="238"/>
      <c r="I12784" s="237"/>
    </row>
    <row r="12785" spans="1:9" s="232" customFormat="1" ht="17" customHeight="1">
      <c r="A12785" s="234"/>
      <c r="B12785" s="233"/>
      <c r="C12785" s="238"/>
      <c r="E12785" s="545"/>
      <c r="F12785" s="546"/>
      <c r="G12785" s="234"/>
      <c r="H12785" s="238"/>
      <c r="I12785" s="237"/>
    </row>
    <row r="12786" spans="1:9" s="232" customFormat="1" ht="17" customHeight="1">
      <c r="A12786" s="234"/>
      <c r="B12786" s="233"/>
      <c r="C12786" s="238"/>
      <c r="E12786" s="545"/>
      <c r="F12786" s="546"/>
      <c r="G12786" s="234"/>
      <c r="H12786" s="238"/>
      <c r="I12786" s="237"/>
    </row>
    <row r="12787" spans="1:9" s="232" customFormat="1" ht="17" customHeight="1">
      <c r="A12787" s="234"/>
      <c r="B12787" s="233"/>
      <c r="C12787" s="238"/>
      <c r="E12787" s="545"/>
      <c r="F12787" s="546"/>
      <c r="G12787" s="234"/>
      <c r="H12787" s="238"/>
      <c r="I12787" s="237"/>
    </row>
    <row r="12788" spans="1:9" s="232" customFormat="1" ht="17" customHeight="1">
      <c r="A12788" s="234"/>
      <c r="B12788" s="233"/>
      <c r="C12788" s="238"/>
      <c r="E12788" s="545"/>
      <c r="F12788" s="546"/>
      <c r="G12788" s="234"/>
      <c r="H12788" s="238"/>
      <c r="I12788" s="237"/>
    </row>
    <row r="12789" spans="1:9" s="232" customFormat="1" ht="17" customHeight="1">
      <c r="A12789" s="234"/>
      <c r="B12789" s="233"/>
      <c r="C12789" s="238"/>
      <c r="E12789" s="545"/>
      <c r="F12789" s="546"/>
      <c r="G12789" s="234"/>
      <c r="H12789" s="238"/>
      <c r="I12789" s="237"/>
    </row>
    <row r="12790" spans="1:9" s="232" customFormat="1" ht="17" customHeight="1">
      <c r="A12790" s="234"/>
      <c r="B12790" s="233"/>
      <c r="C12790" s="238"/>
      <c r="E12790" s="545"/>
      <c r="F12790" s="546"/>
      <c r="G12790" s="234"/>
      <c r="H12790" s="238"/>
      <c r="I12790" s="237"/>
    </row>
    <row r="12791" spans="1:9" s="232" customFormat="1" ht="17" customHeight="1">
      <c r="A12791" s="234"/>
      <c r="B12791" s="233"/>
      <c r="C12791" s="238"/>
      <c r="E12791" s="545"/>
      <c r="F12791" s="546"/>
      <c r="G12791" s="234"/>
      <c r="H12791" s="238"/>
      <c r="I12791" s="237"/>
    </row>
    <row r="12792" spans="1:9" s="232" customFormat="1" ht="17" customHeight="1">
      <c r="A12792" s="234"/>
      <c r="B12792" s="233"/>
      <c r="C12792" s="238"/>
      <c r="E12792" s="545"/>
      <c r="F12792" s="546"/>
      <c r="G12792" s="234"/>
      <c r="H12792" s="238"/>
      <c r="I12792" s="237"/>
    </row>
    <row r="12793" spans="1:9" s="232" customFormat="1" ht="17" customHeight="1">
      <c r="A12793" s="234"/>
      <c r="B12793" s="233"/>
      <c r="C12793" s="238"/>
      <c r="E12793" s="545"/>
      <c r="F12793" s="546"/>
      <c r="G12793" s="234"/>
      <c r="H12793" s="238"/>
      <c r="I12793" s="237"/>
    </row>
    <row r="12794" spans="1:9" s="232" customFormat="1" ht="17" customHeight="1">
      <c r="A12794" s="234"/>
      <c r="B12794" s="233"/>
      <c r="C12794" s="238"/>
      <c r="E12794" s="545"/>
      <c r="F12794" s="546"/>
      <c r="G12794" s="234"/>
      <c r="H12794" s="238"/>
      <c r="I12794" s="237"/>
    </row>
    <row r="12795" spans="1:9" s="232" customFormat="1" ht="17" customHeight="1">
      <c r="A12795" s="234"/>
      <c r="B12795" s="233"/>
      <c r="C12795" s="238"/>
      <c r="E12795" s="545"/>
      <c r="F12795" s="546"/>
      <c r="G12795" s="234"/>
      <c r="H12795" s="238"/>
      <c r="I12795" s="237"/>
    </row>
    <row r="12796" spans="1:9" s="232" customFormat="1" ht="17" customHeight="1">
      <c r="A12796" s="234"/>
      <c r="B12796" s="233"/>
      <c r="C12796" s="238"/>
      <c r="E12796" s="545"/>
      <c r="F12796" s="546"/>
      <c r="G12796" s="234"/>
      <c r="H12796" s="238"/>
      <c r="I12796" s="237"/>
    </row>
    <row r="12797" spans="1:9" s="232" customFormat="1" ht="17" customHeight="1">
      <c r="A12797" s="234"/>
      <c r="B12797" s="233"/>
      <c r="C12797" s="238"/>
      <c r="E12797" s="545"/>
      <c r="F12797" s="546"/>
      <c r="G12797" s="234"/>
      <c r="H12797" s="238"/>
      <c r="I12797" s="237"/>
    </row>
    <row r="12798" spans="1:9" s="232" customFormat="1" ht="17" customHeight="1">
      <c r="A12798" s="234"/>
      <c r="B12798" s="233"/>
      <c r="C12798" s="238"/>
      <c r="E12798" s="545"/>
      <c r="F12798" s="546"/>
      <c r="G12798" s="234"/>
      <c r="H12798" s="238"/>
      <c r="I12798" s="237"/>
    </row>
    <row r="12799" spans="1:9" s="232" customFormat="1" ht="17" customHeight="1">
      <c r="A12799" s="234"/>
      <c r="B12799" s="233"/>
      <c r="C12799" s="238"/>
      <c r="E12799" s="545"/>
      <c r="F12799" s="546"/>
      <c r="G12799" s="234"/>
      <c r="H12799" s="238"/>
      <c r="I12799" s="237"/>
    </row>
    <row r="12800" spans="1:9" s="232" customFormat="1" ht="17" customHeight="1">
      <c r="A12800" s="234"/>
      <c r="B12800" s="233"/>
      <c r="C12800" s="238"/>
      <c r="E12800" s="545"/>
      <c r="F12800" s="546"/>
      <c r="G12800" s="234"/>
      <c r="H12800" s="238"/>
      <c r="I12800" s="237"/>
    </row>
    <row r="12801" spans="1:9" s="232" customFormat="1" ht="17" customHeight="1">
      <c r="A12801" s="234"/>
      <c r="B12801" s="233"/>
      <c r="C12801" s="238"/>
      <c r="E12801" s="545"/>
      <c r="F12801" s="546"/>
      <c r="G12801" s="234"/>
      <c r="H12801" s="238"/>
      <c r="I12801" s="237"/>
    </row>
    <row r="12802" spans="1:9" s="232" customFormat="1" ht="17" customHeight="1">
      <c r="A12802" s="234"/>
      <c r="B12802" s="233"/>
      <c r="C12802" s="238"/>
      <c r="E12802" s="545"/>
      <c r="F12802" s="546"/>
      <c r="G12802" s="234"/>
      <c r="H12802" s="238"/>
      <c r="I12802" s="237"/>
    </row>
    <row r="12803" spans="1:9" s="232" customFormat="1" ht="17" customHeight="1">
      <c r="A12803" s="234"/>
      <c r="B12803" s="233"/>
      <c r="C12803" s="238"/>
      <c r="E12803" s="545"/>
      <c r="F12803" s="546"/>
      <c r="G12803" s="234"/>
      <c r="H12803" s="238"/>
      <c r="I12803" s="237"/>
    </row>
    <row r="12804" spans="1:9" s="232" customFormat="1" ht="17" customHeight="1">
      <c r="A12804" s="234"/>
      <c r="B12804" s="233"/>
      <c r="C12804" s="238"/>
      <c r="E12804" s="545"/>
      <c r="F12804" s="546"/>
      <c r="G12804" s="234"/>
      <c r="H12804" s="238"/>
      <c r="I12804" s="237"/>
    </row>
    <row r="12805" spans="1:9" s="232" customFormat="1" ht="17" customHeight="1">
      <c r="A12805" s="234"/>
      <c r="B12805" s="233"/>
      <c r="C12805" s="238"/>
      <c r="E12805" s="545"/>
      <c r="F12805" s="546"/>
      <c r="G12805" s="234"/>
      <c r="H12805" s="238"/>
      <c r="I12805" s="237"/>
    </row>
    <row r="12806" spans="1:9" s="232" customFormat="1" ht="17" customHeight="1">
      <c r="A12806" s="234"/>
      <c r="B12806" s="233"/>
      <c r="C12806" s="238"/>
      <c r="E12806" s="545"/>
      <c r="F12806" s="546"/>
      <c r="G12806" s="234"/>
      <c r="H12806" s="238"/>
      <c r="I12806" s="237"/>
    </row>
    <row r="12807" spans="1:9" s="232" customFormat="1" ht="17" customHeight="1">
      <c r="A12807" s="234"/>
      <c r="B12807" s="233"/>
      <c r="C12807" s="238"/>
      <c r="E12807" s="545"/>
      <c r="F12807" s="546"/>
      <c r="G12807" s="234"/>
      <c r="H12807" s="238"/>
      <c r="I12807" s="237"/>
    </row>
    <row r="12808" spans="1:9" s="232" customFormat="1" ht="17" customHeight="1">
      <c r="A12808" s="234"/>
      <c r="B12808" s="233"/>
      <c r="C12808" s="238"/>
      <c r="E12808" s="545"/>
      <c r="F12808" s="546"/>
      <c r="G12808" s="234"/>
      <c r="H12808" s="238"/>
      <c r="I12808" s="237"/>
    </row>
    <row r="12809" spans="1:9" s="232" customFormat="1" ht="17" customHeight="1">
      <c r="A12809" s="234"/>
      <c r="B12809" s="233"/>
      <c r="C12809" s="238"/>
      <c r="E12809" s="545"/>
      <c r="F12809" s="546"/>
      <c r="G12809" s="234"/>
      <c r="H12809" s="238"/>
      <c r="I12809" s="237"/>
    </row>
    <row r="12810" spans="1:9" s="232" customFormat="1" ht="17" customHeight="1">
      <c r="A12810" s="234"/>
      <c r="B12810" s="233"/>
      <c r="C12810" s="238"/>
      <c r="E12810" s="545"/>
      <c r="F12810" s="546"/>
      <c r="G12810" s="234"/>
      <c r="H12810" s="238"/>
      <c r="I12810" s="237"/>
    </row>
    <row r="12811" spans="1:9" s="232" customFormat="1" ht="17" customHeight="1">
      <c r="A12811" s="234"/>
      <c r="B12811" s="233"/>
      <c r="C12811" s="238"/>
      <c r="E12811" s="545"/>
      <c r="F12811" s="546"/>
      <c r="G12811" s="234"/>
      <c r="H12811" s="238"/>
      <c r="I12811" s="237"/>
    </row>
    <row r="12812" spans="1:9" s="232" customFormat="1" ht="17" customHeight="1">
      <c r="A12812" s="234"/>
      <c r="B12812" s="233"/>
      <c r="C12812" s="238"/>
      <c r="E12812" s="545"/>
      <c r="F12812" s="546"/>
      <c r="G12812" s="234"/>
      <c r="H12812" s="238"/>
      <c r="I12812" s="237"/>
    </row>
    <row r="12813" spans="1:9" s="232" customFormat="1" ht="17" customHeight="1">
      <c r="A12813" s="234"/>
      <c r="B12813" s="233"/>
      <c r="C12813" s="238"/>
      <c r="E12813" s="545"/>
      <c r="F12813" s="546"/>
      <c r="G12813" s="234"/>
      <c r="H12813" s="238"/>
      <c r="I12813" s="237"/>
    </row>
    <row r="12814" spans="1:9" s="232" customFormat="1" ht="17" customHeight="1">
      <c r="A12814" s="234"/>
      <c r="B12814" s="233"/>
      <c r="C12814" s="238"/>
      <c r="E12814" s="545"/>
      <c r="F12814" s="546"/>
      <c r="G12814" s="234"/>
      <c r="H12814" s="238"/>
      <c r="I12814" s="237"/>
    </row>
    <row r="12815" spans="1:9" s="232" customFormat="1" ht="17" customHeight="1">
      <c r="A12815" s="234"/>
      <c r="B12815" s="233"/>
      <c r="C12815" s="238"/>
      <c r="E12815" s="545"/>
      <c r="F12815" s="546"/>
      <c r="G12815" s="234"/>
      <c r="H12815" s="238"/>
      <c r="I12815" s="237"/>
    </row>
    <row r="12816" spans="1:9" s="232" customFormat="1" ht="17" customHeight="1">
      <c r="A12816" s="234"/>
      <c r="B12816" s="233"/>
      <c r="C12816" s="238"/>
      <c r="E12816" s="545"/>
      <c r="F12816" s="546"/>
      <c r="G12816" s="234"/>
      <c r="H12816" s="238"/>
      <c r="I12816" s="237"/>
    </row>
    <row r="12817" spans="1:9" s="232" customFormat="1" ht="17" customHeight="1">
      <c r="A12817" s="234"/>
      <c r="B12817" s="233"/>
      <c r="C12817" s="238"/>
      <c r="E12817" s="545"/>
      <c r="F12817" s="546"/>
      <c r="G12817" s="234"/>
      <c r="H12817" s="238"/>
      <c r="I12817" s="237"/>
    </row>
    <row r="12818" spans="1:9" s="232" customFormat="1" ht="17" customHeight="1">
      <c r="A12818" s="234"/>
      <c r="B12818" s="233"/>
      <c r="C12818" s="238"/>
      <c r="E12818" s="545"/>
      <c r="F12818" s="546"/>
      <c r="G12818" s="234"/>
      <c r="H12818" s="238"/>
      <c r="I12818" s="237"/>
    </row>
    <row r="12819" spans="1:9" s="232" customFormat="1" ht="17" customHeight="1">
      <c r="A12819" s="234"/>
      <c r="B12819" s="233"/>
      <c r="C12819" s="238"/>
      <c r="E12819" s="545"/>
      <c r="F12819" s="546"/>
      <c r="G12819" s="234"/>
      <c r="H12819" s="238"/>
      <c r="I12819" s="237"/>
    </row>
    <row r="12820" spans="1:9" s="232" customFormat="1" ht="17" customHeight="1">
      <c r="A12820" s="234"/>
      <c r="B12820" s="233"/>
      <c r="C12820" s="238"/>
      <c r="E12820" s="545"/>
      <c r="F12820" s="546"/>
      <c r="G12820" s="234"/>
      <c r="H12820" s="238"/>
      <c r="I12820" s="237"/>
    </row>
    <row r="12821" spans="1:9" s="232" customFormat="1" ht="17" customHeight="1">
      <c r="A12821" s="234"/>
      <c r="B12821" s="233"/>
      <c r="C12821" s="238"/>
      <c r="E12821" s="545"/>
      <c r="F12821" s="546"/>
      <c r="G12821" s="234"/>
      <c r="H12821" s="238"/>
      <c r="I12821" s="237"/>
    </row>
    <row r="12822" spans="1:9" s="232" customFormat="1" ht="17" customHeight="1">
      <c r="A12822" s="234"/>
      <c r="B12822" s="233"/>
      <c r="C12822" s="238"/>
      <c r="E12822" s="545"/>
      <c r="F12822" s="546"/>
      <c r="G12822" s="234"/>
      <c r="H12822" s="238"/>
      <c r="I12822" s="237"/>
    </row>
    <row r="12823" spans="1:9" s="232" customFormat="1" ht="17" customHeight="1">
      <c r="A12823" s="234"/>
      <c r="B12823" s="233"/>
      <c r="C12823" s="238"/>
      <c r="E12823" s="545"/>
      <c r="F12823" s="546"/>
      <c r="G12823" s="234"/>
      <c r="H12823" s="238"/>
      <c r="I12823" s="237"/>
    </row>
    <row r="12824" spans="1:9" s="232" customFormat="1" ht="17" customHeight="1">
      <c r="A12824" s="234"/>
      <c r="B12824" s="233"/>
      <c r="C12824" s="238"/>
      <c r="E12824" s="545"/>
      <c r="F12824" s="546"/>
      <c r="G12824" s="234"/>
      <c r="H12824" s="238"/>
      <c r="I12824" s="237"/>
    </row>
    <row r="12825" spans="1:9" s="232" customFormat="1" ht="17" customHeight="1">
      <c r="A12825" s="234"/>
      <c r="B12825" s="233"/>
      <c r="C12825" s="238"/>
      <c r="E12825" s="545"/>
      <c r="F12825" s="546"/>
      <c r="G12825" s="234"/>
      <c r="H12825" s="238"/>
      <c r="I12825" s="237"/>
    </row>
    <row r="12826" spans="1:9" s="232" customFormat="1" ht="17" customHeight="1">
      <c r="A12826" s="234"/>
      <c r="B12826" s="233"/>
      <c r="C12826" s="238"/>
      <c r="E12826" s="545"/>
      <c r="F12826" s="546"/>
      <c r="G12826" s="234"/>
      <c r="H12826" s="238"/>
      <c r="I12826" s="237"/>
    </row>
    <row r="12827" spans="1:9" s="232" customFormat="1" ht="17" customHeight="1">
      <c r="A12827" s="234"/>
      <c r="B12827" s="233"/>
      <c r="C12827" s="238"/>
      <c r="E12827" s="545"/>
      <c r="F12827" s="546"/>
      <c r="G12827" s="234"/>
      <c r="H12827" s="238"/>
      <c r="I12827" s="237"/>
    </row>
    <row r="12828" spans="1:9" s="232" customFormat="1" ht="17" customHeight="1">
      <c r="A12828" s="234"/>
      <c r="B12828" s="233"/>
      <c r="C12828" s="238"/>
      <c r="E12828" s="545"/>
      <c r="F12828" s="546"/>
      <c r="G12828" s="234"/>
      <c r="H12828" s="238"/>
      <c r="I12828" s="237"/>
    </row>
    <row r="12829" spans="1:9" s="232" customFormat="1" ht="17" customHeight="1">
      <c r="A12829" s="234"/>
      <c r="B12829" s="233"/>
      <c r="C12829" s="238"/>
      <c r="E12829" s="545"/>
      <c r="F12829" s="546"/>
      <c r="G12829" s="234"/>
      <c r="H12829" s="238"/>
      <c r="I12829" s="237"/>
    </row>
    <row r="12830" spans="1:9" s="232" customFormat="1" ht="17" customHeight="1">
      <c r="A12830" s="234"/>
      <c r="B12830" s="233"/>
      <c r="C12830" s="238"/>
      <c r="E12830" s="545"/>
      <c r="F12830" s="546"/>
      <c r="G12830" s="234"/>
      <c r="H12830" s="238"/>
      <c r="I12830" s="237"/>
    </row>
    <row r="12831" spans="1:9" s="232" customFormat="1" ht="17" customHeight="1">
      <c r="A12831" s="234"/>
      <c r="B12831" s="233"/>
      <c r="C12831" s="238"/>
      <c r="E12831" s="545"/>
      <c r="F12831" s="546"/>
      <c r="G12831" s="234"/>
      <c r="H12831" s="238"/>
      <c r="I12831" s="237"/>
    </row>
    <row r="12832" spans="1:9" s="232" customFormat="1" ht="17" customHeight="1">
      <c r="A12832" s="234"/>
      <c r="B12832" s="233"/>
      <c r="C12832" s="238"/>
      <c r="E12832" s="545"/>
      <c r="F12832" s="546"/>
      <c r="G12832" s="234"/>
      <c r="H12832" s="238"/>
      <c r="I12832" s="237"/>
    </row>
    <row r="12833" spans="1:9" s="232" customFormat="1" ht="17" customHeight="1">
      <c r="A12833" s="234"/>
      <c r="B12833" s="233"/>
      <c r="C12833" s="238"/>
      <c r="E12833" s="545"/>
      <c r="F12833" s="546"/>
      <c r="G12833" s="234"/>
      <c r="H12833" s="238"/>
      <c r="I12833" s="237"/>
    </row>
    <row r="12834" spans="1:9" s="232" customFormat="1" ht="17" customHeight="1">
      <c r="A12834" s="234"/>
      <c r="B12834" s="233"/>
      <c r="C12834" s="238"/>
      <c r="E12834" s="545"/>
      <c r="F12834" s="546"/>
      <c r="G12834" s="234"/>
      <c r="H12834" s="238"/>
      <c r="I12834" s="237"/>
    </row>
    <row r="12835" spans="1:9" s="232" customFormat="1" ht="17" customHeight="1">
      <c r="A12835" s="234"/>
      <c r="B12835" s="233"/>
      <c r="C12835" s="238"/>
      <c r="E12835" s="545"/>
      <c r="F12835" s="546"/>
      <c r="G12835" s="234"/>
      <c r="H12835" s="238"/>
      <c r="I12835" s="237"/>
    </row>
    <row r="12836" spans="1:9" s="232" customFormat="1" ht="17" customHeight="1">
      <c r="A12836" s="234"/>
      <c r="B12836" s="233"/>
      <c r="C12836" s="238"/>
      <c r="E12836" s="545"/>
      <c r="F12836" s="546"/>
      <c r="G12836" s="234"/>
      <c r="H12836" s="238"/>
      <c r="I12836" s="237"/>
    </row>
    <row r="12837" spans="1:9" s="232" customFormat="1" ht="17" customHeight="1">
      <c r="A12837" s="234"/>
      <c r="B12837" s="233"/>
      <c r="C12837" s="238"/>
      <c r="E12837" s="545"/>
      <c r="F12837" s="546"/>
      <c r="G12837" s="234"/>
      <c r="H12837" s="238"/>
      <c r="I12837" s="237"/>
    </row>
    <row r="12838" spans="1:9" s="232" customFormat="1" ht="17" customHeight="1">
      <c r="A12838" s="234"/>
      <c r="B12838" s="233"/>
      <c r="C12838" s="238"/>
      <c r="E12838" s="545"/>
      <c r="F12838" s="546"/>
      <c r="G12838" s="234"/>
      <c r="H12838" s="238"/>
      <c r="I12838" s="237"/>
    </row>
    <row r="12839" spans="1:9" s="232" customFormat="1" ht="17" customHeight="1">
      <c r="A12839" s="234"/>
      <c r="B12839" s="233"/>
      <c r="C12839" s="238"/>
      <c r="E12839" s="545"/>
      <c r="F12839" s="546"/>
      <c r="G12839" s="234"/>
      <c r="H12839" s="238"/>
      <c r="I12839" s="237"/>
    </row>
    <row r="12840" spans="1:9" s="232" customFormat="1" ht="17" customHeight="1">
      <c r="A12840" s="234"/>
      <c r="B12840" s="233"/>
      <c r="C12840" s="238"/>
      <c r="E12840" s="545"/>
      <c r="F12840" s="546"/>
      <c r="G12840" s="234"/>
      <c r="H12840" s="238"/>
      <c r="I12840" s="237"/>
    </row>
    <row r="12841" spans="1:9" s="232" customFormat="1" ht="17" customHeight="1">
      <c r="A12841" s="234"/>
      <c r="B12841" s="233"/>
      <c r="C12841" s="238"/>
      <c r="E12841" s="545"/>
      <c r="F12841" s="546"/>
      <c r="G12841" s="234"/>
      <c r="H12841" s="238"/>
      <c r="I12841" s="237"/>
    </row>
    <row r="12842" spans="1:9" s="232" customFormat="1" ht="17" customHeight="1">
      <c r="A12842" s="234"/>
      <c r="B12842" s="233"/>
      <c r="C12842" s="238"/>
      <c r="E12842" s="545"/>
      <c r="F12842" s="546"/>
      <c r="G12842" s="234"/>
      <c r="H12842" s="238"/>
      <c r="I12842" s="237"/>
    </row>
    <row r="12843" spans="1:9" s="232" customFormat="1" ht="17" customHeight="1">
      <c r="A12843" s="234"/>
      <c r="B12843" s="233"/>
      <c r="C12843" s="238"/>
      <c r="E12843" s="545"/>
      <c r="F12843" s="546"/>
      <c r="G12843" s="234"/>
      <c r="H12843" s="238"/>
      <c r="I12843" s="237"/>
    </row>
    <row r="12844" spans="1:9" s="232" customFormat="1" ht="17" customHeight="1">
      <c r="A12844" s="234"/>
      <c r="B12844" s="233"/>
      <c r="C12844" s="238"/>
      <c r="E12844" s="545"/>
      <c r="F12844" s="546"/>
      <c r="G12844" s="234"/>
      <c r="H12844" s="238"/>
      <c r="I12844" s="237"/>
    </row>
    <row r="12845" spans="1:9" s="232" customFormat="1" ht="17" customHeight="1">
      <c r="A12845" s="234"/>
      <c r="B12845" s="233"/>
      <c r="C12845" s="238"/>
      <c r="E12845" s="545"/>
      <c r="F12845" s="546"/>
      <c r="G12845" s="234"/>
      <c r="H12845" s="238"/>
      <c r="I12845" s="237"/>
    </row>
    <row r="12846" spans="1:9" s="232" customFormat="1" ht="17" customHeight="1">
      <c r="A12846" s="234"/>
      <c r="B12846" s="233"/>
      <c r="C12846" s="238"/>
      <c r="E12846" s="545"/>
      <c r="F12846" s="546"/>
      <c r="G12846" s="234"/>
      <c r="H12846" s="238"/>
      <c r="I12846" s="237"/>
    </row>
    <row r="12847" spans="1:9" s="232" customFormat="1" ht="17" customHeight="1">
      <c r="A12847" s="234"/>
      <c r="B12847" s="233"/>
      <c r="C12847" s="238"/>
      <c r="E12847" s="545"/>
      <c r="F12847" s="546"/>
      <c r="G12847" s="234"/>
      <c r="H12847" s="238"/>
      <c r="I12847" s="237"/>
    </row>
    <row r="12848" spans="1:9" s="232" customFormat="1" ht="17" customHeight="1">
      <c r="A12848" s="234"/>
      <c r="B12848" s="233"/>
      <c r="C12848" s="238"/>
      <c r="E12848" s="545"/>
      <c r="F12848" s="546"/>
      <c r="G12848" s="234"/>
      <c r="H12848" s="238"/>
      <c r="I12848" s="237"/>
    </row>
    <row r="12849" spans="1:9" s="232" customFormat="1" ht="17" customHeight="1">
      <c r="A12849" s="234"/>
      <c r="B12849" s="233"/>
      <c r="C12849" s="238"/>
      <c r="E12849" s="545"/>
      <c r="F12849" s="546"/>
      <c r="G12849" s="234"/>
      <c r="H12849" s="238"/>
      <c r="I12849" s="237"/>
    </row>
    <row r="12850" spans="1:9" s="232" customFormat="1" ht="17" customHeight="1">
      <c r="A12850" s="234"/>
      <c r="B12850" s="233"/>
      <c r="C12850" s="238"/>
      <c r="E12850" s="545"/>
      <c r="F12850" s="546"/>
      <c r="G12850" s="234"/>
      <c r="H12850" s="238"/>
      <c r="I12850" s="237"/>
    </row>
    <row r="12851" spans="1:9" s="232" customFormat="1" ht="17" customHeight="1">
      <c r="A12851" s="234"/>
      <c r="B12851" s="233"/>
      <c r="C12851" s="238"/>
      <c r="E12851" s="545"/>
      <c r="F12851" s="546"/>
      <c r="G12851" s="234"/>
      <c r="H12851" s="238"/>
      <c r="I12851" s="237"/>
    </row>
    <row r="12852" spans="1:9" s="232" customFormat="1" ht="17" customHeight="1">
      <c r="A12852" s="234"/>
      <c r="B12852" s="233"/>
      <c r="C12852" s="238"/>
      <c r="E12852" s="545"/>
      <c r="F12852" s="546"/>
      <c r="G12852" s="234"/>
      <c r="H12852" s="238"/>
      <c r="I12852" s="237"/>
    </row>
    <row r="12853" spans="1:9" s="232" customFormat="1" ht="17" customHeight="1">
      <c r="A12853" s="234"/>
      <c r="B12853" s="233"/>
      <c r="C12853" s="238"/>
      <c r="E12853" s="545"/>
      <c r="F12853" s="546"/>
      <c r="G12853" s="234"/>
      <c r="H12853" s="238"/>
      <c r="I12853" s="237"/>
    </row>
    <row r="12854" spans="1:9" s="232" customFormat="1" ht="17" customHeight="1">
      <c r="A12854" s="234"/>
      <c r="B12854" s="233"/>
      <c r="C12854" s="238"/>
      <c r="E12854" s="545"/>
      <c r="F12854" s="546"/>
      <c r="G12854" s="234"/>
      <c r="H12854" s="238"/>
      <c r="I12854" s="237"/>
    </row>
    <row r="12855" spans="1:9" s="232" customFormat="1" ht="17" customHeight="1">
      <c r="A12855" s="234"/>
      <c r="B12855" s="233"/>
      <c r="C12855" s="238"/>
      <c r="E12855" s="545"/>
      <c r="F12855" s="546"/>
      <c r="G12855" s="234"/>
      <c r="H12855" s="238"/>
      <c r="I12855" s="237"/>
    </row>
    <row r="12856" spans="1:9" s="232" customFormat="1" ht="17" customHeight="1">
      <c r="A12856" s="234"/>
      <c r="B12856" s="233"/>
      <c r="C12856" s="238"/>
      <c r="E12856" s="545"/>
      <c r="F12856" s="546"/>
      <c r="G12856" s="234"/>
      <c r="H12856" s="238"/>
      <c r="I12856" s="237"/>
    </row>
    <row r="12857" spans="1:9" s="232" customFormat="1" ht="17" customHeight="1">
      <c r="A12857" s="234"/>
      <c r="B12857" s="233"/>
      <c r="C12857" s="238"/>
      <c r="E12857" s="545"/>
      <c r="F12857" s="546"/>
      <c r="G12857" s="234"/>
      <c r="H12857" s="238"/>
      <c r="I12857" s="237"/>
    </row>
    <row r="12858" spans="1:9" s="232" customFormat="1" ht="17" customHeight="1">
      <c r="A12858" s="234"/>
      <c r="B12858" s="233"/>
      <c r="C12858" s="238"/>
      <c r="E12858" s="545"/>
      <c r="F12858" s="546"/>
      <c r="G12858" s="234"/>
      <c r="H12858" s="238"/>
      <c r="I12858" s="237"/>
    </row>
    <row r="12859" spans="1:9" s="232" customFormat="1" ht="17" customHeight="1">
      <c r="A12859" s="234"/>
      <c r="B12859" s="233"/>
      <c r="C12859" s="238"/>
      <c r="E12859" s="545"/>
      <c r="F12859" s="546"/>
      <c r="G12859" s="234"/>
      <c r="H12859" s="238"/>
      <c r="I12859" s="237"/>
    </row>
    <row r="12860" spans="1:9" s="232" customFormat="1" ht="17" customHeight="1">
      <c r="A12860" s="234"/>
      <c r="B12860" s="233"/>
      <c r="C12860" s="238"/>
      <c r="E12860" s="545"/>
      <c r="F12860" s="546"/>
      <c r="G12860" s="234"/>
      <c r="H12860" s="238"/>
      <c r="I12860" s="237"/>
    </row>
    <row r="12861" spans="1:9" s="232" customFormat="1" ht="17" customHeight="1">
      <c r="A12861" s="234"/>
      <c r="B12861" s="233"/>
      <c r="C12861" s="238"/>
      <c r="E12861" s="545"/>
      <c r="F12861" s="546"/>
      <c r="G12861" s="234"/>
      <c r="H12861" s="238"/>
      <c r="I12861" s="237"/>
    </row>
    <row r="12862" spans="1:9" s="232" customFormat="1" ht="17" customHeight="1">
      <c r="A12862" s="234"/>
      <c r="B12862" s="233"/>
      <c r="C12862" s="238"/>
      <c r="E12862" s="545"/>
      <c r="F12862" s="546"/>
      <c r="G12862" s="234"/>
      <c r="H12862" s="238"/>
      <c r="I12862" s="237"/>
    </row>
    <row r="12863" spans="1:9" s="232" customFormat="1" ht="17" customHeight="1">
      <c r="A12863" s="234"/>
      <c r="B12863" s="233"/>
      <c r="C12863" s="238"/>
      <c r="E12863" s="545"/>
      <c r="F12863" s="546"/>
      <c r="G12863" s="234"/>
      <c r="H12863" s="238"/>
      <c r="I12863" s="237"/>
    </row>
    <row r="12864" spans="1:9" s="232" customFormat="1" ht="17" customHeight="1">
      <c r="A12864" s="234"/>
      <c r="B12864" s="233"/>
      <c r="C12864" s="238"/>
      <c r="E12864" s="545"/>
      <c r="F12864" s="546"/>
      <c r="G12864" s="234"/>
      <c r="H12864" s="238"/>
      <c r="I12864" s="237"/>
    </row>
    <row r="12865" spans="1:9" s="232" customFormat="1" ht="17" customHeight="1">
      <c r="A12865" s="234"/>
      <c r="B12865" s="233"/>
      <c r="C12865" s="238"/>
      <c r="E12865" s="545"/>
      <c r="F12865" s="546"/>
      <c r="G12865" s="234"/>
      <c r="H12865" s="238"/>
      <c r="I12865" s="237"/>
    </row>
    <row r="12866" spans="1:9" s="232" customFormat="1" ht="17" customHeight="1">
      <c r="A12866" s="234"/>
      <c r="B12866" s="233"/>
      <c r="C12866" s="238"/>
      <c r="E12866" s="545"/>
      <c r="F12866" s="546"/>
      <c r="G12866" s="234"/>
      <c r="H12866" s="238"/>
      <c r="I12866" s="237"/>
    </row>
    <row r="12867" spans="1:9" s="232" customFormat="1" ht="17" customHeight="1">
      <c r="A12867" s="234"/>
      <c r="B12867" s="233"/>
      <c r="C12867" s="238"/>
      <c r="E12867" s="545"/>
      <c r="F12867" s="546"/>
      <c r="G12867" s="234"/>
      <c r="H12867" s="238"/>
      <c r="I12867" s="237"/>
    </row>
    <row r="12868" spans="1:9" s="232" customFormat="1" ht="17" customHeight="1">
      <c r="A12868" s="234"/>
      <c r="B12868" s="233"/>
      <c r="C12868" s="238"/>
      <c r="E12868" s="545"/>
      <c r="F12868" s="546"/>
      <c r="G12868" s="234"/>
      <c r="H12868" s="238"/>
      <c r="I12868" s="237"/>
    </row>
    <row r="12869" spans="1:9" s="232" customFormat="1" ht="17" customHeight="1">
      <c r="A12869" s="234"/>
      <c r="B12869" s="233"/>
      <c r="C12869" s="238"/>
      <c r="E12869" s="545"/>
      <c r="F12869" s="546"/>
      <c r="G12869" s="234"/>
      <c r="H12869" s="238"/>
      <c r="I12869" s="237"/>
    </row>
    <row r="12870" spans="1:9" s="232" customFormat="1" ht="17" customHeight="1">
      <c r="A12870" s="234"/>
      <c r="B12870" s="233"/>
      <c r="C12870" s="238"/>
      <c r="E12870" s="545"/>
      <c r="F12870" s="546"/>
      <c r="G12870" s="234"/>
      <c r="H12870" s="238"/>
      <c r="I12870" s="237"/>
    </row>
    <row r="12871" spans="1:9" s="232" customFormat="1" ht="17" customHeight="1">
      <c r="A12871" s="234"/>
      <c r="B12871" s="233"/>
      <c r="C12871" s="238"/>
      <c r="E12871" s="545"/>
      <c r="F12871" s="546"/>
      <c r="G12871" s="234"/>
      <c r="H12871" s="238"/>
      <c r="I12871" s="237"/>
    </row>
    <row r="12872" spans="1:9" s="232" customFormat="1" ht="17" customHeight="1">
      <c r="A12872" s="234"/>
      <c r="B12872" s="233"/>
      <c r="C12872" s="238"/>
      <c r="E12872" s="545"/>
      <c r="F12872" s="546"/>
      <c r="G12872" s="234"/>
      <c r="H12872" s="238"/>
      <c r="I12872" s="237"/>
    </row>
    <row r="12873" spans="1:9" s="232" customFormat="1" ht="17" customHeight="1">
      <c r="A12873" s="234"/>
      <c r="B12873" s="233"/>
      <c r="C12873" s="238"/>
      <c r="E12873" s="545"/>
      <c r="F12873" s="546"/>
      <c r="G12873" s="234"/>
      <c r="H12873" s="238"/>
      <c r="I12873" s="237"/>
    </row>
    <row r="12874" spans="1:9" s="232" customFormat="1" ht="17" customHeight="1">
      <c r="A12874" s="234"/>
      <c r="B12874" s="233"/>
      <c r="C12874" s="238"/>
      <c r="E12874" s="545"/>
      <c r="F12874" s="546"/>
      <c r="G12874" s="234"/>
      <c r="H12874" s="238"/>
      <c r="I12874" s="237"/>
    </row>
    <row r="12875" spans="1:9" s="232" customFormat="1" ht="17" customHeight="1">
      <c r="A12875" s="234"/>
      <c r="B12875" s="233"/>
      <c r="C12875" s="238"/>
      <c r="E12875" s="545"/>
      <c r="F12875" s="546"/>
      <c r="G12875" s="234"/>
      <c r="H12875" s="238"/>
      <c r="I12875" s="237"/>
    </row>
    <row r="12876" spans="1:9" s="232" customFormat="1" ht="17" customHeight="1">
      <c r="A12876" s="234"/>
      <c r="B12876" s="233"/>
      <c r="C12876" s="238"/>
      <c r="E12876" s="545"/>
      <c r="F12876" s="546"/>
      <c r="G12876" s="234"/>
      <c r="H12876" s="238"/>
      <c r="I12876" s="237"/>
    </row>
    <row r="12877" spans="1:9" s="232" customFormat="1" ht="17" customHeight="1">
      <c r="A12877" s="234"/>
      <c r="B12877" s="233"/>
      <c r="C12877" s="238"/>
      <c r="E12877" s="545"/>
      <c r="F12877" s="546"/>
      <c r="G12877" s="234"/>
      <c r="H12877" s="238"/>
      <c r="I12877" s="237"/>
    </row>
    <row r="12878" spans="1:9" s="232" customFormat="1" ht="17" customHeight="1">
      <c r="A12878" s="234"/>
      <c r="B12878" s="233"/>
      <c r="C12878" s="238"/>
      <c r="E12878" s="545"/>
      <c r="F12878" s="546"/>
      <c r="G12878" s="234"/>
      <c r="H12878" s="238"/>
      <c r="I12878" s="237"/>
    </row>
    <row r="12879" spans="1:9" s="232" customFormat="1" ht="17" customHeight="1">
      <c r="A12879" s="234"/>
      <c r="B12879" s="233"/>
      <c r="C12879" s="238"/>
      <c r="E12879" s="545"/>
      <c r="F12879" s="546"/>
      <c r="G12879" s="234"/>
      <c r="H12879" s="238"/>
      <c r="I12879" s="237"/>
    </row>
    <row r="12880" spans="1:9" s="232" customFormat="1" ht="17" customHeight="1">
      <c r="A12880" s="234"/>
      <c r="B12880" s="233"/>
      <c r="C12880" s="238"/>
      <c r="E12880" s="545"/>
      <c r="F12880" s="546"/>
      <c r="G12880" s="234"/>
      <c r="H12880" s="238"/>
      <c r="I12880" s="237"/>
    </row>
    <row r="12881" spans="1:9" s="232" customFormat="1" ht="17" customHeight="1">
      <c r="A12881" s="234"/>
      <c r="B12881" s="233"/>
      <c r="C12881" s="238"/>
      <c r="E12881" s="545"/>
      <c r="F12881" s="546"/>
      <c r="G12881" s="234"/>
      <c r="H12881" s="238"/>
      <c r="I12881" s="237"/>
    </row>
    <row r="12882" spans="1:9" s="232" customFormat="1" ht="17" customHeight="1">
      <c r="A12882" s="234"/>
      <c r="B12882" s="233"/>
      <c r="C12882" s="238"/>
      <c r="E12882" s="545"/>
      <c r="F12882" s="546"/>
      <c r="G12882" s="234"/>
      <c r="H12882" s="238"/>
      <c r="I12882" s="237"/>
    </row>
    <row r="12883" spans="1:9" s="232" customFormat="1" ht="17" customHeight="1">
      <c r="A12883" s="234"/>
      <c r="B12883" s="233"/>
      <c r="C12883" s="238"/>
      <c r="E12883" s="545"/>
      <c r="F12883" s="546"/>
      <c r="G12883" s="234"/>
      <c r="H12883" s="238"/>
      <c r="I12883" s="237"/>
    </row>
    <row r="12884" spans="1:9" s="232" customFormat="1" ht="17" customHeight="1">
      <c r="A12884" s="234"/>
      <c r="B12884" s="233"/>
      <c r="C12884" s="238"/>
      <c r="E12884" s="545"/>
      <c r="F12884" s="546"/>
      <c r="G12884" s="234"/>
      <c r="H12884" s="238"/>
      <c r="I12884" s="237"/>
    </row>
    <row r="12885" spans="1:9" s="232" customFormat="1" ht="17" customHeight="1">
      <c r="A12885" s="234"/>
      <c r="B12885" s="233"/>
      <c r="C12885" s="238"/>
      <c r="E12885" s="545"/>
      <c r="F12885" s="546"/>
      <c r="G12885" s="234"/>
      <c r="H12885" s="238"/>
      <c r="I12885" s="237"/>
    </row>
    <row r="12886" spans="1:9" s="232" customFormat="1" ht="17" customHeight="1">
      <c r="A12886" s="234"/>
      <c r="B12886" s="233"/>
      <c r="C12886" s="238"/>
      <c r="E12886" s="545"/>
      <c r="F12886" s="546"/>
      <c r="G12886" s="234"/>
      <c r="H12886" s="238"/>
      <c r="I12886" s="237"/>
    </row>
    <row r="12887" spans="1:9" s="232" customFormat="1" ht="17" customHeight="1">
      <c r="A12887" s="234"/>
      <c r="B12887" s="233"/>
      <c r="C12887" s="238"/>
      <c r="E12887" s="545"/>
      <c r="F12887" s="546"/>
      <c r="G12887" s="234"/>
      <c r="H12887" s="238"/>
      <c r="I12887" s="237"/>
    </row>
    <row r="12888" spans="1:9" s="232" customFormat="1" ht="17" customHeight="1">
      <c r="A12888" s="234"/>
      <c r="B12888" s="233"/>
      <c r="C12888" s="238"/>
      <c r="E12888" s="545"/>
      <c r="F12888" s="546"/>
      <c r="G12888" s="234"/>
      <c r="H12888" s="238"/>
      <c r="I12888" s="237"/>
    </row>
    <row r="12889" spans="1:9" s="232" customFormat="1" ht="17" customHeight="1">
      <c r="A12889" s="234"/>
      <c r="B12889" s="233"/>
      <c r="C12889" s="238"/>
      <c r="E12889" s="545"/>
      <c r="F12889" s="546"/>
      <c r="G12889" s="234"/>
      <c r="H12889" s="238"/>
      <c r="I12889" s="237"/>
    </row>
    <row r="12890" spans="1:9" s="232" customFormat="1" ht="17" customHeight="1">
      <c r="A12890" s="234"/>
      <c r="B12890" s="233"/>
      <c r="C12890" s="238"/>
      <c r="E12890" s="545"/>
      <c r="F12890" s="546"/>
      <c r="G12890" s="234"/>
      <c r="H12890" s="238"/>
      <c r="I12890" s="237"/>
    </row>
    <row r="12891" spans="1:9" s="232" customFormat="1" ht="17" customHeight="1">
      <c r="A12891" s="234"/>
      <c r="B12891" s="233"/>
      <c r="C12891" s="238"/>
      <c r="E12891" s="545"/>
      <c r="F12891" s="546"/>
      <c r="G12891" s="234"/>
      <c r="H12891" s="238"/>
      <c r="I12891" s="237"/>
    </row>
    <row r="12892" spans="1:9" s="232" customFormat="1" ht="17" customHeight="1">
      <c r="A12892" s="234"/>
      <c r="B12892" s="233"/>
      <c r="C12892" s="238"/>
      <c r="E12892" s="545"/>
      <c r="F12892" s="546"/>
      <c r="G12892" s="234"/>
      <c r="H12892" s="238"/>
      <c r="I12892" s="237"/>
    </row>
    <row r="12893" spans="1:9" s="232" customFormat="1" ht="17" customHeight="1">
      <c r="A12893" s="234"/>
      <c r="B12893" s="233"/>
      <c r="C12893" s="238"/>
      <c r="E12893" s="545"/>
      <c r="F12893" s="546"/>
      <c r="G12893" s="234"/>
      <c r="H12893" s="238"/>
      <c r="I12893" s="237"/>
    </row>
    <row r="12894" spans="1:9" s="232" customFormat="1" ht="17" customHeight="1">
      <c r="A12894" s="234"/>
      <c r="B12894" s="233"/>
      <c r="C12894" s="238"/>
      <c r="E12894" s="545"/>
      <c r="F12894" s="546"/>
      <c r="G12894" s="234"/>
      <c r="H12894" s="238"/>
      <c r="I12894" s="237"/>
    </row>
    <row r="12895" spans="1:9" s="232" customFormat="1" ht="17" customHeight="1">
      <c r="A12895" s="234"/>
      <c r="B12895" s="233"/>
      <c r="C12895" s="238"/>
      <c r="E12895" s="545"/>
      <c r="F12895" s="546"/>
      <c r="G12895" s="234"/>
      <c r="H12895" s="238"/>
      <c r="I12895" s="237"/>
    </row>
    <row r="12896" spans="1:9" s="232" customFormat="1" ht="17" customHeight="1">
      <c r="A12896" s="234"/>
      <c r="B12896" s="233"/>
      <c r="C12896" s="238"/>
      <c r="E12896" s="545"/>
      <c r="F12896" s="546"/>
      <c r="G12896" s="234"/>
      <c r="H12896" s="238"/>
      <c r="I12896" s="237"/>
    </row>
    <row r="12897" spans="1:9" s="232" customFormat="1" ht="17" customHeight="1">
      <c r="A12897" s="234"/>
      <c r="B12897" s="233"/>
      <c r="C12897" s="238"/>
      <c r="E12897" s="545"/>
      <c r="F12897" s="546"/>
      <c r="G12897" s="234"/>
      <c r="H12897" s="238"/>
      <c r="I12897" s="237"/>
    </row>
    <row r="12898" spans="1:9" s="232" customFormat="1" ht="17" customHeight="1">
      <c r="A12898" s="234"/>
      <c r="B12898" s="233"/>
      <c r="C12898" s="238"/>
      <c r="E12898" s="545"/>
      <c r="F12898" s="546"/>
      <c r="G12898" s="234"/>
      <c r="H12898" s="238"/>
      <c r="I12898" s="237"/>
    </row>
    <row r="12899" spans="1:9" s="232" customFormat="1" ht="17" customHeight="1">
      <c r="A12899" s="234"/>
      <c r="B12899" s="233"/>
      <c r="C12899" s="238"/>
      <c r="E12899" s="545"/>
      <c r="F12899" s="546"/>
      <c r="G12899" s="234"/>
      <c r="H12899" s="238"/>
      <c r="I12899" s="237"/>
    </row>
    <row r="12900" spans="1:9" s="232" customFormat="1" ht="17" customHeight="1">
      <c r="A12900" s="234"/>
      <c r="B12900" s="233"/>
      <c r="C12900" s="238"/>
      <c r="E12900" s="545"/>
      <c r="F12900" s="546"/>
      <c r="G12900" s="234"/>
      <c r="H12900" s="238"/>
      <c r="I12900" s="237"/>
    </row>
    <row r="12901" spans="1:9" s="232" customFormat="1" ht="17" customHeight="1">
      <c r="A12901" s="234"/>
      <c r="B12901" s="233"/>
      <c r="C12901" s="238"/>
      <c r="E12901" s="545"/>
      <c r="F12901" s="546"/>
      <c r="G12901" s="234"/>
      <c r="H12901" s="238"/>
      <c r="I12901" s="237"/>
    </row>
    <row r="12902" spans="1:9" s="232" customFormat="1" ht="17" customHeight="1">
      <c r="A12902" s="234"/>
      <c r="B12902" s="233"/>
      <c r="C12902" s="238"/>
      <c r="E12902" s="545"/>
      <c r="F12902" s="546"/>
      <c r="G12902" s="234"/>
      <c r="H12902" s="238"/>
      <c r="I12902" s="237"/>
    </row>
    <row r="12903" spans="1:9" s="232" customFormat="1" ht="17" customHeight="1">
      <c r="A12903" s="234"/>
      <c r="B12903" s="233"/>
      <c r="C12903" s="238"/>
      <c r="E12903" s="545"/>
      <c r="F12903" s="546"/>
      <c r="G12903" s="234"/>
      <c r="H12903" s="238"/>
      <c r="I12903" s="237"/>
    </row>
    <row r="12904" spans="1:9" s="232" customFormat="1" ht="17" customHeight="1">
      <c r="A12904" s="234"/>
      <c r="B12904" s="233"/>
      <c r="C12904" s="238"/>
      <c r="E12904" s="545"/>
      <c r="F12904" s="546"/>
      <c r="G12904" s="234"/>
      <c r="H12904" s="238"/>
      <c r="I12904" s="237"/>
    </row>
    <row r="12905" spans="1:9" s="232" customFormat="1" ht="17" customHeight="1">
      <c r="A12905" s="234"/>
      <c r="B12905" s="233"/>
      <c r="C12905" s="238"/>
      <c r="E12905" s="545"/>
      <c r="F12905" s="546"/>
      <c r="G12905" s="234"/>
      <c r="H12905" s="238"/>
      <c r="I12905" s="237"/>
    </row>
    <row r="12906" spans="1:9" s="232" customFormat="1" ht="17" customHeight="1">
      <c r="A12906" s="234"/>
      <c r="B12906" s="233"/>
      <c r="C12906" s="238"/>
      <c r="E12906" s="545"/>
      <c r="F12906" s="546"/>
      <c r="G12906" s="234"/>
      <c r="H12906" s="238"/>
      <c r="I12906" s="237"/>
    </row>
    <row r="12907" spans="1:9" s="232" customFormat="1" ht="17" customHeight="1">
      <c r="A12907" s="234"/>
      <c r="B12907" s="233"/>
      <c r="C12907" s="238"/>
      <c r="E12907" s="545"/>
      <c r="F12907" s="546"/>
      <c r="G12907" s="234"/>
      <c r="H12907" s="238"/>
      <c r="I12907" s="237"/>
    </row>
    <row r="12908" spans="1:9" s="232" customFormat="1" ht="17" customHeight="1">
      <c r="A12908" s="234"/>
      <c r="B12908" s="233"/>
      <c r="C12908" s="238"/>
      <c r="E12908" s="545"/>
      <c r="F12908" s="546"/>
      <c r="G12908" s="234"/>
      <c r="H12908" s="238"/>
      <c r="I12908" s="237"/>
    </row>
    <row r="12909" spans="1:9" s="232" customFormat="1" ht="17" customHeight="1">
      <c r="A12909" s="234"/>
      <c r="B12909" s="233"/>
      <c r="C12909" s="238"/>
      <c r="E12909" s="545"/>
      <c r="F12909" s="546"/>
      <c r="G12909" s="234"/>
      <c r="H12909" s="238"/>
      <c r="I12909" s="237"/>
    </row>
    <row r="12910" spans="1:9" s="232" customFormat="1" ht="17" customHeight="1">
      <c r="A12910" s="234"/>
      <c r="B12910" s="233"/>
      <c r="C12910" s="238"/>
      <c r="E12910" s="545"/>
      <c r="F12910" s="546"/>
      <c r="G12910" s="234"/>
      <c r="H12910" s="238"/>
      <c r="I12910" s="237"/>
    </row>
    <row r="12911" spans="1:9" s="232" customFormat="1" ht="17" customHeight="1">
      <c r="A12911" s="234"/>
      <c r="B12911" s="233"/>
      <c r="C12911" s="238"/>
      <c r="E12911" s="545"/>
      <c r="F12911" s="546"/>
      <c r="G12911" s="234"/>
      <c r="H12911" s="238"/>
      <c r="I12911" s="237"/>
    </row>
    <row r="12912" spans="1:9" s="232" customFormat="1" ht="17" customHeight="1">
      <c r="A12912" s="234"/>
      <c r="B12912" s="233"/>
      <c r="C12912" s="238"/>
      <c r="E12912" s="545"/>
      <c r="F12912" s="546"/>
      <c r="G12912" s="234"/>
      <c r="H12912" s="238"/>
      <c r="I12912" s="237"/>
    </row>
    <row r="12913" spans="1:9" s="232" customFormat="1" ht="17" customHeight="1">
      <c r="A12913" s="234"/>
      <c r="B12913" s="233"/>
      <c r="C12913" s="238"/>
      <c r="E12913" s="545"/>
      <c r="F12913" s="546"/>
      <c r="G12913" s="234"/>
      <c r="H12913" s="238"/>
      <c r="I12913" s="237"/>
    </row>
    <row r="12914" spans="1:9" s="232" customFormat="1" ht="17" customHeight="1">
      <c r="A12914" s="234"/>
      <c r="B12914" s="233"/>
      <c r="C12914" s="238"/>
      <c r="E12914" s="545"/>
      <c r="F12914" s="546"/>
      <c r="G12914" s="234"/>
      <c r="H12914" s="238"/>
      <c r="I12914" s="237"/>
    </row>
    <row r="12915" spans="1:9" s="232" customFormat="1" ht="17" customHeight="1">
      <c r="A12915" s="234"/>
      <c r="B12915" s="233"/>
      <c r="C12915" s="238"/>
      <c r="E12915" s="545"/>
      <c r="F12915" s="546"/>
      <c r="G12915" s="234"/>
      <c r="H12915" s="238"/>
      <c r="I12915" s="237"/>
    </row>
    <row r="12916" spans="1:9" s="232" customFormat="1" ht="17" customHeight="1">
      <c r="A12916" s="234"/>
      <c r="B12916" s="233"/>
      <c r="C12916" s="238"/>
      <c r="E12916" s="545"/>
      <c r="F12916" s="546"/>
      <c r="G12916" s="234"/>
      <c r="H12916" s="238"/>
      <c r="I12916" s="237"/>
    </row>
    <row r="12917" spans="1:9" s="232" customFormat="1" ht="17" customHeight="1">
      <c r="A12917" s="234"/>
      <c r="B12917" s="233"/>
      <c r="C12917" s="238"/>
      <c r="E12917" s="545"/>
      <c r="F12917" s="546"/>
      <c r="G12917" s="234"/>
      <c r="H12917" s="238"/>
      <c r="I12917" s="237"/>
    </row>
    <row r="12918" spans="1:9" s="232" customFormat="1" ht="17" customHeight="1">
      <c r="A12918" s="234"/>
      <c r="B12918" s="233"/>
      <c r="C12918" s="238"/>
      <c r="E12918" s="545"/>
      <c r="F12918" s="546"/>
      <c r="G12918" s="234"/>
      <c r="H12918" s="238"/>
      <c r="I12918" s="237"/>
    </row>
    <row r="12919" spans="1:9" s="232" customFormat="1" ht="17" customHeight="1">
      <c r="A12919" s="234"/>
      <c r="B12919" s="233"/>
      <c r="C12919" s="238"/>
      <c r="E12919" s="545"/>
      <c r="F12919" s="546"/>
      <c r="G12919" s="234"/>
      <c r="H12919" s="238"/>
      <c r="I12919" s="237"/>
    </row>
    <row r="12920" spans="1:9" s="232" customFormat="1" ht="17" customHeight="1">
      <c r="A12920" s="234"/>
      <c r="B12920" s="233"/>
      <c r="C12920" s="238"/>
      <c r="E12920" s="545"/>
      <c r="F12920" s="546"/>
      <c r="G12920" s="234"/>
      <c r="H12920" s="238"/>
      <c r="I12920" s="237"/>
    </row>
    <row r="12921" spans="1:9" s="232" customFormat="1" ht="17" customHeight="1">
      <c r="A12921" s="234"/>
      <c r="B12921" s="233"/>
      <c r="C12921" s="238"/>
      <c r="E12921" s="545"/>
      <c r="F12921" s="546"/>
      <c r="G12921" s="234"/>
      <c r="H12921" s="238"/>
      <c r="I12921" s="237"/>
    </row>
    <row r="12922" spans="1:9" s="232" customFormat="1" ht="17" customHeight="1">
      <c r="A12922" s="234"/>
      <c r="B12922" s="233"/>
      <c r="C12922" s="238"/>
      <c r="E12922" s="545"/>
      <c r="F12922" s="546"/>
      <c r="G12922" s="234"/>
      <c r="H12922" s="238"/>
      <c r="I12922" s="237"/>
    </row>
    <row r="12923" spans="1:9" s="232" customFormat="1" ht="17" customHeight="1">
      <c r="A12923" s="234"/>
      <c r="B12923" s="233"/>
      <c r="C12923" s="238"/>
      <c r="E12923" s="545"/>
      <c r="F12923" s="546"/>
      <c r="G12923" s="234"/>
      <c r="H12923" s="238"/>
      <c r="I12923" s="237"/>
    </row>
    <row r="12924" spans="1:9" s="232" customFormat="1" ht="17" customHeight="1">
      <c r="A12924" s="234"/>
      <c r="B12924" s="233"/>
      <c r="C12924" s="238"/>
      <c r="E12924" s="545"/>
      <c r="F12924" s="546"/>
      <c r="G12924" s="234"/>
      <c r="H12924" s="238"/>
      <c r="I12924" s="237"/>
    </row>
    <row r="12925" spans="1:9" s="232" customFormat="1" ht="17" customHeight="1">
      <c r="A12925" s="234"/>
      <c r="B12925" s="233"/>
      <c r="C12925" s="238"/>
      <c r="E12925" s="545"/>
      <c r="F12925" s="546"/>
      <c r="G12925" s="234"/>
      <c r="H12925" s="238"/>
      <c r="I12925" s="237"/>
    </row>
    <row r="12926" spans="1:9" s="232" customFormat="1" ht="17" customHeight="1">
      <c r="A12926" s="234"/>
      <c r="B12926" s="233"/>
      <c r="C12926" s="238"/>
      <c r="E12926" s="545"/>
      <c r="F12926" s="546"/>
      <c r="G12926" s="234"/>
      <c r="H12926" s="238"/>
      <c r="I12926" s="237"/>
    </row>
    <row r="12927" spans="1:9" s="232" customFormat="1" ht="17" customHeight="1">
      <c r="A12927" s="234"/>
      <c r="B12927" s="233"/>
      <c r="C12927" s="238"/>
      <c r="E12927" s="545"/>
      <c r="F12927" s="546"/>
      <c r="G12927" s="234"/>
      <c r="H12927" s="238"/>
      <c r="I12927" s="237"/>
    </row>
    <row r="12928" spans="1:9" s="232" customFormat="1" ht="17" customHeight="1">
      <c r="A12928" s="234"/>
      <c r="B12928" s="233"/>
      <c r="C12928" s="238"/>
      <c r="E12928" s="545"/>
      <c r="F12928" s="546"/>
      <c r="G12928" s="234"/>
      <c r="H12928" s="238"/>
      <c r="I12928" s="237"/>
    </row>
    <row r="12929" spans="1:9" s="232" customFormat="1" ht="17" customHeight="1">
      <c r="A12929" s="234"/>
      <c r="B12929" s="233"/>
      <c r="C12929" s="238"/>
      <c r="E12929" s="545"/>
      <c r="F12929" s="546"/>
      <c r="G12929" s="234"/>
      <c r="H12929" s="238"/>
      <c r="I12929" s="237"/>
    </row>
    <row r="12930" spans="1:9" s="232" customFormat="1" ht="17" customHeight="1">
      <c r="A12930" s="234"/>
      <c r="B12930" s="233"/>
      <c r="C12930" s="238"/>
      <c r="E12930" s="545"/>
      <c r="F12930" s="546"/>
      <c r="G12930" s="234"/>
      <c r="H12930" s="238"/>
      <c r="I12930" s="237"/>
    </row>
    <row r="12931" spans="1:9" s="232" customFormat="1" ht="17" customHeight="1">
      <c r="A12931" s="234"/>
      <c r="B12931" s="233"/>
      <c r="C12931" s="238"/>
      <c r="E12931" s="545"/>
      <c r="F12931" s="546"/>
      <c r="G12931" s="234"/>
      <c r="H12931" s="238"/>
      <c r="I12931" s="237"/>
    </row>
    <row r="12932" spans="1:9" s="232" customFormat="1" ht="17" customHeight="1">
      <c r="A12932" s="234"/>
      <c r="B12932" s="233"/>
      <c r="C12932" s="238"/>
      <c r="E12932" s="545"/>
      <c r="F12932" s="546"/>
      <c r="G12932" s="234"/>
      <c r="H12932" s="238"/>
      <c r="I12932" s="237"/>
    </row>
    <row r="12933" spans="1:9" s="232" customFormat="1" ht="17" customHeight="1">
      <c r="A12933" s="234"/>
      <c r="B12933" s="233"/>
      <c r="C12933" s="238"/>
      <c r="E12933" s="545"/>
      <c r="F12933" s="546"/>
      <c r="G12933" s="234"/>
      <c r="H12933" s="238"/>
      <c r="I12933" s="237"/>
    </row>
    <row r="12934" spans="1:9" s="232" customFormat="1" ht="17" customHeight="1">
      <c r="A12934" s="234"/>
      <c r="B12934" s="233"/>
      <c r="C12934" s="238"/>
      <c r="E12934" s="545"/>
      <c r="F12934" s="546"/>
      <c r="G12934" s="234"/>
      <c r="H12934" s="238"/>
      <c r="I12934" s="237"/>
    </row>
    <row r="12935" spans="1:9" s="232" customFormat="1" ht="17" customHeight="1">
      <c r="A12935" s="234"/>
      <c r="B12935" s="233"/>
      <c r="C12935" s="238"/>
      <c r="E12935" s="545"/>
      <c r="F12935" s="546"/>
      <c r="G12935" s="234"/>
      <c r="H12935" s="238"/>
      <c r="I12935" s="237"/>
    </row>
    <row r="12936" spans="1:9" s="232" customFormat="1" ht="17" customHeight="1">
      <c r="A12936" s="234"/>
      <c r="B12936" s="233"/>
      <c r="C12936" s="238"/>
      <c r="E12936" s="545"/>
      <c r="F12936" s="546"/>
      <c r="G12936" s="234"/>
      <c r="H12936" s="238"/>
      <c r="I12936" s="237"/>
    </row>
    <row r="12937" spans="1:9" s="232" customFormat="1" ht="17" customHeight="1">
      <c r="A12937" s="234"/>
      <c r="B12937" s="233"/>
      <c r="C12937" s="238"/>
      <c r="E12937" s="545"/>
      <c r="F12937" s="546"/>
      <c r="G12937" s="234"/>
      <c r="H12937" s="238"/>
      <c r="I12937" s="237"/>
    </row>
    <row r="12938" spans="1:9" s="232" customFormat="1" ht="17" customHeight="1">
      <c r="A12938" s="234"/>
      <c r="B12938" s="233"/>
      <c r="C12938" s="238"/>
      <c r="E12938" s="545"/>
      <c r="F12938" s="546"/>
      <c r="G12938" s="234"/>
      <c r="H12938" s="238"/>
      <c r="I12938" s="237"/>
    </row>
    <row r="12939" spans="1:9" s="232" customFormat="1" ht="17" customHeight="1">
      <c r="A12939" s="234"/>
      <c r="B12939" s="233"/>
      <c r="C12939" s="238"/>
      <c r="E12939" s="545"/>
      <c r="F12939" s="546"/>
      <c r="G12939" s="234"/>
      <c r="H12939" s="238"/>
      <c r="I12939" s="237"/>
    </row>
    <row r="12940" spans="1:9" s="232" customFormat="1" ht="17" customHeight="1">
      <c r="A12940" s="234"/>
      <c r="B12940" s="233"/>
      <c r="C12940" s="238"/>
      <c r="E12940" s="545"/>
      <c r="F12940" s="546"/>
      <c r="G12940" s="234"/>
      <c r="H12940" s="238"/>
      <c r="I12940" s="237"/>
    </row>
    <row r="12941" spans="1:9" s="232" customFormat="1" ht="17" customHeight="1">
      <c r="A12941" s="234"/>
      <c r="B12941" s="233"/>
      <c r="C12941" s="238"/>
      <c r="E12941" s="545"/>
      <c r="F12941" s="546"/>
      <c r="G12941" s="234"/>
      <c r="H12941" s="238"/>
      <c r="I12941" s="237"/>
    </row>
    <row r="12942" spans="1:9" s="232" customFormat="1" ht="17" customHeight="1">
      <c r="A12942" s="234"/>
      <c r="B12942" s="233"/>
      <c r="C12942" s="238"/>
      <c r="E12942" s="545"/>
      <c r="F12942" s="546"/>
      <c r="G12942" s="234"/>
      <c r="H12942" s="238"/>
      <c r="I12942" s="237"/>
    </row>
    <row r="12943" spans="1:9" s="232" customFormat="1" ht="17" customHeight="1">
      <c r="A12943" s="234"/>
      <c r="B12943" s="233"/>
      <c r="C12943" s="238"/>
      <c r="E12943" s="545"/>
      <c r="F12943" s="546"/>
      <c r="G12943" s="234"/>
      <c r="H12943" s="238"/>
      <c r="I12943" s="237"/>
    </row>
    <row r="12944" spans="1:9" s="232" customFormat="1" ht="17" customHeight="1">
      <c r="A12944" s="234"/>
      <c r="B12944" s="233"/>
      <c r="C12944" s="238"/>
      <c r="E12944" s="545"/>
      <c r="F12944" s="546"/>
      <c r="G12944" s="234"/>
      <c r="H12944" s="238"/>
      <c r="I12944" s="237"/>
    </row>
    <row r="12945" spans="1:9" s="232" customFormat="1" ht="17" customHeight="1">
      <c r="A12945" s="234"/>
      <c r="B12945" s="233"/>
      <c r="C12945" s="238"/>
      <c r="E12945" s="545"/>
      <c r="F12945" s="546"/>
      <c r="G12945" s="234"/>
      <c r="H12945" s="238"/>
      <c r="I12945" s="237"/>
    </row>
    <row r="12946" spans="1:9" s="232" customFormat="1" ht="17" customHeight="1">
      <c r="A12946" s="234"/>
      <c r="B12946" s="233"/>
      <c r="C12946" s="238"/>
      <c r="E12946" s="545"/>
      <c r="F12946" s="546"/>
      <c r="G12946" s="234"/>
      <c r="H12946" s="238"/>
      <c r="I12946" s="237"/>
    </row>
    <row r="12947" spans="1:9" s="232" customFormat="1" ht="17" customHeight="1">
      <c r="A12947" s="234"/>
      <c r="B12947" s="233"/>
      <c r="C12947" s="238"/>
      <c r="E12947" s="545"/>
      <c r="F12947" s="546"/>
      <c r="G12947" s="234"/>
      <c r="H12947" s="238"/>
      <c r="I12947" s="237"/>
    </row>
    <row r="12948" spans="1:9" s="232" customFormat="1" ht="17" customHeight="1">
      <c r="A12948" s="234"/>
      <c r="B12948" s="233"/>
      <c r="C12948" s="238"/>
      <c r="E12948" s="545"/>
      <c r="F12948" s="546"/>
      <c r="G12948" s="234"/>
      <c r="H12948" s="238"/>
      <c r="I12948" s="237"/>
    </row>
    <row r="12949" spans="1:9" s="232" customFormat="1" ht="17" customHeight="1">
      <c r="A12949" s="234"/>
      <c r="B12949" s="233"/>
      <c r="C12949" s="238"/>
      <c r="E12949" s="545"/>
      <c r="F12949" s="546"/>
      <c r="G12949" s="234"/>
      <c r="H12949" s="238"/>
      <c r="I12949" s="237"/>
    </row>
    <row r="12950" spans="1:9" s="232" customFormat="1" ht="17" customHeight="1">
      <c r="A12950" s="234"/>
      <c r="B12950" s="233"/>
      <c r="C12950" s="238"/>
      <c r="E12950" s="545"/>
      <c r="F12950" s="546"/>
      <c r="G12950" s="234"/>
      <c r="H12950" s="238"/>
      <c r="I12950" s="237"/>
    </row>
    <row r="12951" spans="1:9" s="232" customFormat="1" ht="17" customHeight="1">
      <c r="A12951" s="234"/>
      <c r="B12951" s="233"/>
      <c r="C12951" s="238"/>
      <c r="E12951" s="545"/>
      <c r="F12951" s="546"/>
      <c r="G12951" s="234"/>
      <c r="H12951" s="238"/>
      <c r="I12951" s="237"/>
    </row>
    <row r="12952" spans="1:9" s="232" customFormat="1" ht="17" customHeight="1">
      <c r="A12952" s="234"/>
      <c r="B12952" s="233"/>
      <c r="C12952" s="238"/>
      <c r="E12952" s="545"/>
      <c r="F12952" s="546"/>
      <c r="G12952" s="234"/>
      <c r="H12952" s="238"/>
      <c r="I12952" s="237"/>
    </row>
    <row r="12953" spans="1:9" s="232" customFormat="1" ht="17" customHeight="1">
      <c r="A12953" s="234"/>
      <c r="B12953" s="233"/>
      <c r="C12953" s="238"/>
      <c r="E12953" s="545"/>
      <c r="F12953" s="546"/>
      <c r="G12953" s="234"/>
      <c r="H12953" s="238"/>
      <c r="I12953" s="237"/>
    </row>
    <row r="12954" spans="1:9" s="232" customFormat="1" ht="17" customHeight="1">
      <c r="A12954" s="234"/>
      <c r="B12954" s="233"/>
      <c r="C12954" s="238"/>
      <c r="E12954" s="545"/>
      <c r="F12954" s="546"/>
      <c r="G12954" s="234"/>
      <c r="H12954" s="238"/>
      <c r="I12954" s="237"/>
    </row>
    <row r="12955" spans="1:9" s="232" customFormat="1" ht="17" customHeight="1">
      <c r="A12955" s="234"/>
      <c r="B12955" s="233"/>
      <c r="C12955" s="238"/>
      <c r="E12955" s="545"/>
      <c r="F12955" s="546"/>
      <c r="G12955" s="234"/>
      <c r="H12955" s="238"/>
      <c r="I12955" s="237"/>
    </row>
    <row r="12956" spans="1:9" s="232" customFormat="1" ht="17" customHeight="1">
      <c r="A12956" s="234"/>
      <c r="B12956" s="233"/>
      <c r="C12956" s="238"/>
      <c r="E12956" s="545"/>
      <c r="F12956" s="546"/>
      <c r="G12956" s="234"/>
      <c r="H12956" s="238"/>
      <c r="I12956" s="237"/>
    </row>
    <row r="12957" spans="1:9" s="232" customFormat="1" ht="17" customHeight="1">
      <c r="A12957" s="234"/>
      <c r="B12957" s="233"/>
      <c r="C12957" s="238"/>
      <c r="E12957" s="545"/>
      <c r="F12957" s="546"/>
      <c r="G12957" s="234"/>
      <c r="H12957" s="238"/>
      <c r="I12957" s="237"/>
    </row>
    <row r="12958" spans="1:9" s="232" customFormat="1" ht="17" customHeight="1">
      <c r="A12958" s="234"/>
      <c r="B12958" s="233"/>
      <c r="C12958" s="238"/>
      <c r="E12958" s="545"/>
      <c r="F12958" s="546"/>
      <c r="G12958" s="234"/>
      <c r="H12958" s="238"/>
      <c r="I12958" s="237"/>
    </row>
    <row r="12959" spans="1:9" s="232" customFormat="1" ht="17" customHeight="1">
      <c r="A12959" s="234"/>
      <c r="B12959" s="233"/>
      <c r="C12959" s="238"/>
      <c r="E12959" s="545"/>
      <c r="F12959" s="546"/>
      <c r="G12959" s="234"/>
      <c r="H12959" s="238"/>
      <c r="I12959" s="237"/>
    </row>
    <row r="12960" spans="1:9" s="232" customFormat="1" ht="17" customHeight="1">
      <c r="A12960" s="234"/>
      <c r="B12960" s="233"/>
      <c r="C12960" s="238"/>
      <c r="E12960" s="545"/>
      <c r="F12960" s="546"/>
      <c r="G12960" s="234"/>
      <c r="H12960" s="238"/>
      <c r="I12960" s="237"/>
    </row>
    <row r="12961" spans="1:9" s="232" customFormat="1" ht="17" customHeight="1">
      <c r="A12961" s="234"/>
      <c r="B12961" s="233"/>
      <c r="C12961" s="238"/>
      <c r="E12961" s="545"/>
      <c r="F12961" s="546"/>
      <c r="G12961" s="234"/>
      <c r="H12961" s="238"/>
      <c r="I12961" s="237"/>
    </row>
    <row r="12962" spans="1:9" s="232" customFormat="1" ht="17" customHeight="1">
      <c r="A12962" s="234"/>
      <c r="B12962" s="233"/>
      <c r="C12962" s="238"/>
      <c r="E12962" s="545"/>
      <c r="F12962" s="546"/>
      <c r="G12962" s="234"/>
      <c r="H12962" s="238"/>
      <c r="I12962" s="237"/>
    </row>
    <row r="12963" spans="1:9" s="232" customFormat="1" ht="17" customHeight="1">
      <c r="A12963" s="234"/>
      <c r="B12963" s="233"/>
      <c r="C12963" s="238"/>
      <c r="E12963" s="545"/>
      <c r="F12963" s="546"/>
      <c r="G12963" s="234"/>
      <c r="H12963" s="238"/>
      <c r="I12963" s="237"/>
    </row>
    <row r="12964" spans="1:9" s="232" customFormat="1" ht="17" customHeight="1">
      <c r="A12964" s="234"/>
      <c r="B12964" s="233"/>
      <c r="C12964" s="238"/>
      <c r="E12964" s="545"/>
      <c r="F12964" s="546"/>
      <c r="G12964" s="234"/>
      <c r="H12964" s="238"/>
      <c r="I12964" s="237"/>
    </row>
    <row r="12965" spans="1:9" s="232" customFormat="1" ht="17" customHeight="1">
      <c r="A12965" s="234"/>
      <c r="B12965" s="233"/>
      <c r="C12965" s="238"/>
      <c r="E12965" s="545"/>
      <c r="F12965" s="546"/>
      <c r="G12965" s="234"/>
      <c r="H12965" s="238"/>
      <c r="I12965" s="237"/>
    </row>
    <row r="12966" spans="1:9" s="232" customFormat="1" ht="17" customHeight="1">
      <c r="A12966" s="234"/>
      <c r="B12966" s="233"/>
      <c r="C12966" s="238"/>
      <c r="E12966" s="545"/>
      <c r="F12966" s="546"/>
      <c r="G12966" s="234"/>
      <c r="H12966" s="238"/>
      <c r="I12966" s="237"/>
    </row>
    <row r="12967" spans="1:9" s="232" customFormat="1" ht="17" customHeight="1">
      <c r="A12967" s="234"/>
      <c r="B12967" s="233"/>
      <c r="C12967" s="238"/>
      <c r="E12967" s="545"/>
      <c r="F12967" s="546"/>
      <c r="G12967" s="234"/>
      <c r="H12967" s="238"/>
      <c r="I12967" s="237"/>
    </row>
    <row r="12968" spans="1:9" s="232" customFormat="1" ht="17" customHeight="1">
      <c r="A12968" s="234"/>
      <c r="B12968" s="233"/>
      <c r="C12968" s="238"/>
      <c r="E12968" s="545"/>
      <c r="F12968" s="546"/>
      <c r="G12968" s="234"/>
      <c r="H12968" s="238"/>
      <c r="I12968" s="237"/>
    </row>
    <row r="12969" spans="1:9" s="232" customFormat="1" ht="17" customHeight="1">
      <c r="A12969" s="234"/>
      <c r="B12969" s="233"/>
      <c r="C12969" s="238"/>
      <c r="E12969" s="545"/>
      <c r="F12969" s="546"/>
      <c r="G12969" s="234"/>
      <c r="H12969" s="238"/>
      <c r="I12969" s="237"/>
    </row>
    <row r="12970" spans="1:9" s="232" customFormat="1" ht="17" customHeight="1">
      <c r="A12970" s="234"/>
      <c r="B12970" s="233"/>
      <c r="C12970" s="238"/>
      <c r="E12970" s="545"/>
      <c r="F12970" s="546"/>
      <c r="G12970" s="234"/>
      <c r="H12970" s="238"/>
      <c r="I12970" s="237"/>
    </row>
    <row r="12971" spans="1:9" s="232" customFormat="1" ht="17" customHeight="1">
      <c r="A12971" s="234"/>
      <c r="B12971" s="233"/>
      <c r="C12971" s="238"/>
      <c r="E12971" s="545"/>
      <c r="F12971" s="546"/>
      <c r="G12971" s="234"/>
      <c r="H12971" s="238"/>
      <c r="I12971" s="237"/>
    </row>
    <row r="12972" spans="1:9" s="232" customFormat="1" ht="17" customHeight="1">
      <c r="A12972" s="234"/>
      <c r="B12972" s="233"/>
      <c r="C12972" s="238"/>
      <c r="E12972" s="545"/>
      <c r="F12972" s="546"/>
      <c r="G12972" s="234"/>
      <c r="H12972" s="238"/>
      <c r="I12972" s="237"/>
    </row>
    <row r="12973" spans="1:9" s="232" customFormat="1" ht="17" customHeight="1">
      <c r="A12973" s="234"/>
      <c r="B12973" s="233"/>
      <c r="C12973" s="238"/>
      <c r="E12973" s="545"/>
      <c r="F12973" s="546"/>
      <c r="G12973" s="234"/>
      <c r="H12973" s="238"/>
      <c r="I12973" s="237"/>
    </row>
    <row r="12974" spans="1:9" s="232" customFormat="1" ht="17" customHeight="1">
      <c r="A12974" s="234"/>
      <c r="B12974" s="233"/>
      <c r="C12974" s="238"/>
      <c r="E12974" s="545"/>
      <c r="F12974" s="546"/>
      <c r="G12974" s="234"/>
      <c r="H12974" s="238"/>
      <c r="I12974" s="237"/>
    </row>
    <row r="12975" spans="1:9" s="232" customFormat="1" ht="17" customHeight="1">
      <c r="A12975" s="234"/>
      <c r="B12975" s="233"/>
      <c r="C12975" s="238"/>
      <c r="E12975" s="545"/>
      <c r="F12975" s="546"/>
      <c r="G12975" s="234"/>
      <c r="H12975" s="238"/>
      <c r="I12975" s="237"/>
    </row>
    <row r="12976" spans="1:9" s="232" customFormat="1" ht="17" customHeight="1">
      <c r="A12976" s="234"/>
      <c r="B12976" s="233"/>
      <c r="C12976" s="238"/>
      <c r="E12976" s="545"/>
      <c r="F12976" s="546"/>
      <c r="G12976" s="234"/>
      <c r="H12976" s="238"/>
      <c r="I12976" s="237"/>
    </row>
    <row r="12977" spans="1:9" s="232" customFormat="1" ht="17" customHeight="1">
      <c r="A12977" s="234"/>
      <c r="B12977" s="233"/>
      <c r="C12977" s="238"/>
      <c r="E12977" s="545"/>
      <c r="F12977" s="546"/>
      <c r="G12977" s="234"/>
      <c r="H12977" s="238"/>
      <c r="I12977" s="237"/>
    </row>
    <row r="12978" spans="1:9" s="232" customFormat="1" ht="17" customHeight="1">
      <c r="A12978" s="234"/>
      <c r="B12978" s="233"/>
      <c r="C12978" s="238"/>
      <c r="E12978" s="545"/>
      <c r="F12978" s="546"/>
      <c r="G12978" s="234"/>
      <c r="H12978" s="238"/>
      <c r="I12978" s="237"/>
    </row>
    <row r="12979" spans="1:9" s="232" customFormat="1" ht="17" customHeight="1">
      <c r="A12979" s="234"/>
      <c r="B12979" s="233"/>
      <c r="C12979" s="238"/>
      <c r="E12979" s="545"/>
      <c r="F12979" s="546"/>
      <c r="G12979" s="234"/>
      <c r="H12979" s="238"/>
      <c r="I12979" s="237"/>
    </row>
    <row r="12980" spans="1:9" s="232" customFormat="1" ht="17" customHeight="1">
      <c r="A12980" s="234"/>
      <c r="B12980" s="233"/>
      <c r="C12980" s="238"/>
      <c r="E12980" s="545"/>
      <c r="F12980" s="546"/>
      <c r="G12980" s="234"/>
      <c r="H12980" s="238"/>
      <c r="I12980" s="237"/>
    </row>
    <row r="12981" spans="1:9" s="232" customFormat="1" ht="17" customHeight="1">
      <c r="A12981" s="234"/>
      <c r="B12981" s="233"/>
      <c r="C12981" s="238"/>
      <c r="E12981" s="545"/>
      <c r="F12981" s="546"/>
      <c r="G12981" s="234"/>
      <c r="H12981" s="238"/>
      <c r="I12981" s="237"/>
    </row>
    <row r="12982" spans="1:9" s="232" customFormat="1" ht="17" customHeight="1">
      <c r="A12982" s="234"/>
      <c r="B12982" s="233"/>
      <c r="C12982" s="238"/>
      <c r="E12982" s="545"/>
      <c r="F12982" s="546"/>
      <c r="G12982" s="234"/>
      <c r="H12982" s="238"/>
      <c r="I12982" s="237"/>
    </row>
    <row r="12983" spans="1:9" s="232" customFormat="1" ht="17" customHeight="1">
      <c r="A12983" s="234"/>
      <c r="B12983" s="233"/>
      <c r="C12983" s="238"/>
      <c r="E12983" s="545"/>
      <c r="F12983" s="546"/>
      <c r="G12983" s="234"/>
      <c r="H12983" s="238"/>
      <c r="I12983" s="237"/>
    </row>
    <row r="12984" spans="1:9" s="232" customFormat="1" ht="17" customHeight="1">
      <c r="A12984" s="234"/>
      <c r="B12984" s="233"/>
      <c r="C12984" s="238"/>
      <c r="E12984" s="545"/>
      <c r="F12984" s="546"/>
      <c r="G12984" s="234"/>
      <c r="H12984" s="238"/>
      <c r="I12984" s="237"/>
    </row>
    <row r="12985" spans="1:9" s="232" customFormat="1" ht="17" customHeight="1">
      <c r="A12985" s="234"/>
      <c r="B12985" s="233"/>
      <c r="C12985" s="238"/>
      <c r="E12985" s="545"/>
      <c r="F12985" s="546"/>
      <c r="G12985" s="234"/>
      <c r="H12985" s="238"/>
      <c r="I12985" s="237"/>
    </row>
    <row r="12986" spans="1:9" s="232" customFormat="1" ht="17" customHeight="1">
      <c r="A12986" s="234"/>
      <c r="B12986" s="233"/>
      <c r="C12986" s="238"/>
      <c r="E12986" s="545"/>
      <c r="F12986" s="546"/>
      <c r="G12986" s="234"/>
      <c r="H12986" s="238"/>
      <c r="I12986" s="237"/>
    </row>
    <row r="12987" spans="1:9" s="232" customFormat="1" ht="17" customHeight="1">
      <c r="A12987" s="234"/>
      <c r="B12987" s="233"/>
      <c r="C12987" s="238"/>
      <c r="E12987" s="545"/>
      <c r="F12987" s="546"/>
      <c r="G12987" s="234"/>
      <c r="H12987" s="238"/>
      <c r="I12987" s="237"/>
    </row>
    <row r="12988" spans="1:9" s="232" customFormat="1" ht="17" customHeight="1">
      <c r="A12988" s="234"/>
      <c r="B12988" s="233"/>
      <c r="C12988" s="238"/>
      <c r="E12988" s="545"/>
      <c r="F12988" s="546"/>
      <c r="G12988" s="234"/>
      <c r="H12988" s="238"/>
      <c r="I12988" s="237"/>
    </row>
    <row r="12989" spans="1:9" s="232" customFormat="1" ht="17" customHeight="1">
      <c r="A12989" s="234"/>
      <c r="B12989" s="233"/>
      <c r="C12989" s="238"/>
      <c r="E12989" s="545"/>
      <c r="F12989" s="546"/>
      <c r="G12989" s="234"/>
      <c r="H12989" s="238"/>
      <c r="I12989" s="237"/>
    </row>
    <row r="12990" spans="1:9" s="232" customFormat="1" ht="17" customHeight="1">
      <c r="A12990" s="234"/>
      <c r="B12990" s="233"/>
      <c r="C12990" s="238"/>
      <c r="E12990" s="545"/>
      <c r="F12990" s="546"/>
      <c r="G12990" s="234"/>
      <c r="H12990" s="238"/>
      <c r="I12990" s="237"/>
    </row>
    <row r="12991" spans="1:9" s="232" customFormat="1" ht="17" customHeight="1">
      <c r="A12991" s="234"/>
      <c r="B12991" s="233"/>
      <c r="C12991" s="238"/>
      <c r="E12991" s="545"/>
      <c r="F12991" s="546"/>
      <c r="G12991" s="234"/>
      <c r="H12991" s="238"/>
      <c r="I12991" s="237"/>
    </row>
    <row r="12992" spans="1:9" s="232" customFormat="1" ht="17" customHeight="1">
      <c r="A12992" s="234"/>
      <c r="B12992" s="233"/>
      <c r="C12992" s="238"/>
      <c r="E12992" s="545"/>
      <c r="F12992" s="546"/>
      <c r="G12992" s="234"/>
      <c r="H12992" s="238"/>
      <c r="I12992" s="237"/>
    </row>
    <row r="12993" spans="1:9" s="232" customFormat="1" ht="17" customHeight="1">
      <c r="A12993" s="234"/>
      <c r="B12993" s="233"/>
      <c r="C12993" s="238"/>
      <c r="E12993" s="545"/>
      <c r="F12993" s="546"/>
      <c r="G12993" s="234"/>
      <c r="H12993" s="238"/>
      <c r="I12993" s="237"/>
    </row>
    <row r="12994" spans="1:9" s="232" customFormat="1" ht="17" customHeight="1">
      <c r="A12994" s="234"/>
      <c r="B12994" s="233"/>
      <c r="C12994" s="238"/>
      <c r="E12994" s="545"/>
      <c r="F12994" s="546"/>
      <c r="G12994" s="234"/>
      <c r="H12994" s="238"/>
      <c r="I12994" s="237"/>
    </row>
    <row r="12995" spans="1:9" s="232" customFormat="1" ht="17" customHeight="1">
      <c r="A12995" s="234"/>
      <c r="B12995" s="233"/>
      <c r="C12995" s="238"/>
      <c r="E12995" s="545"/>
      <c r="F12995" s="546"/>
      <c r="G12995" s="234"/>
      <c r="H12995" s="238"/>
      <c r="I12995" s="237"/>
    </row>
    <row r="12996" spans="1:9" s="232" customFormat="1" ht="17" customHeight="1">
      <c r="A12996" s="234"/>
      <c r="B12996" s="233"/>
      <c r="C12996" s="238"/>
      <c r="E12996" s="545"/>
      <c r="F12996" s="546"/>
      <c r="G12996" s="234"/>
      <c r="H12996" s="238"/>
      <c r="I12996" s="237"/>
    </row>
    <row r="12997" spans="1:9" s="232" customFormat="1" ht="17" customHeight="1">
      <c r="A12997" s="234"/>
      <c r="B12997" s="233"/>
      <c r="C12997" s="238"/>
      <c r="E12997" s="545"/>
      <c r="F12997" s="546"/>
      <c r="G12997" s="234"/>
      <c r="H12997" s="238"/>
      <c r="I12997" s="237"/>
    </row>
    <row r="12998" spans="1:9" s="232" customFormat="1" ht="17" customHeight="1">
      <c r="A12998" s="234"/>
      <c r="B12998" s="233"/>
      <c r="C12998" s="238"/>
      <c r="E12998" s="545"/>
      <c r="F12998" s="546"/>
      <c r="G12998" s="234"/>
      <c r="H12998" s="238"/>
      <c r="I12998" s="237"/>
    </row>
    <row r="12999" spans="1:9" s="232" customFormat="1" ht="17" customHeight="1">
      <c r="A12999" s="234"/>
      <c r="B12999" s="233"/>
      <c r="C12999" s="238"/>
      <c r="E12999" s="545"/>
      <c r="F12999" s="546"/>
      <c r="G12999" s="234"/>
      <c r="H12999" s="238"/>
      <c r="I12999" s="237"/>
    </row>
    <row r="13000" spans="1:9" s="232" customFormat="1" ht="17" customHeight="1">
      <c r="A13000" s="234"/>
      <c r="B13000" s="233"/>
      <c r="C13000" s="238"/>
      <c r="E13000" s="545"/>
      <c r="F13000" s="546"/>
      <c r="G13000" s="234"/>
      <c r="H13000" s="238"/>
      <c r="I13000" s="237"/>
    </row>
    <row r="13001" spans="1:9" s="232" customFormat="1" ht="17" customHeight="1">
      <c r="A13001" s="234"/>
      <c r="B13001" s="233"/>
      <c r="C13001" s="238"/>
      <c r="E13001" s="545"/>
      <c r="F13001" s="546"/>
      <c r="G13001" s="234"/>
      <c r="H13001" s="238"/>
      <c r="I13001" s="237"/>
    </row>
    <row r="13002" spans="1:9" s="232" customFormat="1" ht="17" customHeight="1">
      <c r="A13002" s="234"/>
      <c r="B13002" s="233"/>
      <c r="C13002" s="238"/>
      <c r="E13002" s="545"/>
      <c r="F13002" s="546"/>
      <c r="G13002" s="234"/>
      <c r="H13002" s="238"/>
      <c r="I13002" s="237"/>
    </row>
    <row r="13003" spans="1:9" s="232" customFormat="1" ht="17" customHeight="1">
      <c r="A13003" s="234"/>
      <c r="B13003" s="233"/>
      <c r="C13003" s="238"/>
      <c r="E13003" s="545"/>
      <c r="F13003" s="546"/>
      <c r="G13003" s="234"/>
      <c r="H13003" s="238"/>
      <c r="I13003" s="237"/>
    </row>
    <row r="13004" spans="1:9" s="232" customFormat="1" ht="17" customHeight="1">
      <c r="A13004" s="234"/>
      <c r="B13004" s="233"/>
      <c r="C13004" s="238"/>
      <c r="E13004" s="545"/>
      <c r="F13004" s="546"/>
      <c r="G13004" s="234"/>
      <c r="H13004" s="238"/>
      <c r="I13004" s="237"/>
    </row>
    <row r="13005" spans="1:9" s="232" customFormat="1" ht="17" customHeight="1">
      <c r="A13005" s="234"/>
      <c r="B13005" s="233"/>
      <c r="C13005" s="238"/>
      <c r="E13005" s="545"/>
      <c r="F13005" s="546"/>
      <c r="G13005" s="234"/>
      <c r="H13005" s="238"/>
      <c r="I13005" s="237"/>
    </row>
    <row r="13006" spans="1:9" s="232" customFormat="1" ht="17" customHeight="1">
      <c r="A13006" s="234"/>
      <c r="B13006" s="233"/>
      <c r="C13006" s="238"/>
      <c r="E13006" s="545"/>
      <c r="F13006" s="546"/>
      <c r="G13006" s="234"/>
      <c r="H13006" s="238"/>
      <c r="I13006" s="237"/>
    </row>
    <row r="13007" spans="1:9" s="232" customFormat="1" ht="17" customHeight="1">
      <c r="A13007" s="234"/>
      <c r="B13007" s="233"/>
      <c r="C13007" s="238"/>
      <c r="E13007" s="545"/>
      <c r="F13007" s="546"/>
      <c r="G13007" s="234"/>
      <c r="H13007" s="238"/>
      <c r="I13007" s="237"/>
    </row>
    <row r="13008" spans="1:9" s="232" customFormat="1" ht="17" customHeight="1">
      <c r="A13008" s="234"/>
      <c r="B13008" s="233"/>
      <c r="C13008" s="238"/>
      <c r="E13008" s="545"/>
      <c r="F13008" s="546"/>
      <c r="G13008" s="234"/>
      <c r="H13008" s="238"/>
      <c r="I13008" s="237"/>
    </row>
    <row r="13009" spans="1:9" s="232" customFormat="1" ht="17" customHeight="1">
      <c r="A13009" s="234"/>
      <c r="B13009" s="233"/>
      <c r="C13009" s="238"/>
      <c r="E13009" s="545"/>
      <c r="F13009" s="546"/>
      <c r="G13009" s="234"/>
      <c r="H13009" s="238"/>
      <c r="I13009" s="237"/>
    </row>
    <row r="13010" spans="1:9" s="232" customFormat="1" ht="17" customHeight="1">
      <c r="A13010" s="234"/>
      <c r="B13010" s="233"/>
      <c r="C13010" s="238"/>
      <c r="E13010" s="545"/>
      <c r="F13010" s="546"/>
      <c r="G13010" s="234"/>
      <c r="H13010" s="238"/>
      <c r="I13010" s="237"/>
    </row>
    <row r="13011" spans="1:9" s="232" customFormat="1" ht="17" customHeight="1">
      <c r="A13011" s="234"/>
      <c r="B13011" s="233"/>
      <c r="C13011" s="238"/>
      <c r="E13011" s="545"/>
      <c r="F13011" s="546"/>
      <c r="G13011" s="234"/>
      <c r="H13011" s="238"/>
      <c r="I13011" s="237"/>
    </row>
    <row r="13012" spans="1:9" s="232" customFormat="1" ht="17" customHeight="1">
      <c r="A13012" s="234"/>
      <c r="B13012" s="233"/>
      <c r="C13012" s="238"/>
      <c r="E13012" s="545"/>
      <c r="F13012" s="546"/>
      <c r="G13012" s="234"/>
      <c r="H13012" s="238"/>
      <c r="I13012" s="237"/>
    </row>
    <row r="13013" spans="1:9" s="232" customFormat="1" ht="17" customHeight="1">
      <c r="A13013" s="234"/>
      <c r="B13013" s="233"/>
      <c r="C13013" s="238"/>
      <c r="E13013" s="545"/>
      <c r="F13013" s="546"/>
      <c r="G13013" s="234"/>
      <c r="H13013" s="238"/>
      <c r="I13013" s="237"/>
    </row>
    <row r="13014" spans="1:9" s="232" customFormat="1" ht="17" customHeight="1">
      <c r="A13014" s="234"/>
      <c r="B13014" s="233"/>
      <c r="C13014" s="238"/>
      <c r="E13014" s="545"/>
      <c r="F13014" s="546"/>
      <c r="G13014" s="234"/>
      <c r="H13014" s="238"/>
      <c r="I13014" s="237"/>
    </row>
    <row r="13015" spans="1:9" s="232" customFormat="1" ht="17" customHeight="1">
      <c r="A13015" s="234"/>
      <c r="B13015" s="233"/>
      <c r="C13015" s="238"/>
      <c r="E13015" s="545"/>
      <c r="F13015" s="546"/>
      <c r="G13015" s="234"/>
      <c r="H13015" s="238"/>
      <c r="I13015" s="237"/>
    </row>
    <row r="13016" spans="1:9" s="232" customFormat="1" ht="17" customHeight="1">
      <c r="A13016" s="234"/>
      <c r="B13016" s="233"/>
      <c r="C13016" s="238"/>
      <c r="E13016" s="545"/>
      <c r="F13016" s="546"/>
      <c r="G13016" s="234"/>
      <c r="H13016" s="238"/>
      <c r="I13016" s="237"/>
    </row>
    <row r="13017" spans="1:9" s="232" customFormat="1" ht="17" customHeight="1">
      <c r="A13017" s="234"/>
      <c r="B13017" s="233"/>
      <c r="C13017" s="238"/>
      <c r="E13017" s="545"/>
      <c r="F13017" s="546"/>
      <c r="G13017" s="234"/>
      <c r="H13017" s="238"/>
      <c r="I13017" s="237"/>
    </row>
    <row r="13018" spans="1:9" s="232" customFormat="1" ht="17" customHeight="1">
      <c r="A13018" s="234"/>
      <c r="B13018" s="233"/>
      <c r="C13018" s="238"/>
      <c r="E13018" s="545"/>
      <c r="F13018" s="546"/>
      <c r="G13018" s="234"/>
      <c r="H13018" s="238"/>
      <c r="I13018" s="237"/>
    </row>
    <row r="13019" spans="1:9" s="232" customFormat="1" ht="17" customHeight="1">
      <c r="A13019" s="234"/>
      <c r="B13019" s="233"/>
      <c r="C13019" s="238"/>
      <c r="E13019" s="545"/>
      <c r="F13019" s="546"/>
      <c r="G13019" s="234"/>
      <c r="H13019" s="238"/>
      <c r="I13019" s="237"/>
    </row>
    <row r="13020" spans="1:9" s="232" customFormat="1" ht="17" customHeight="1">
      <c r="A13020" s="234"/>
      <c r="B13020" s="233"/>
      <c r="C13020" s="238"/>
      <c r="E13020" s="545"/>
      <c r="F13020" s="546"/>
      <c r="G13020" s="234"/>
      <c r="H13020" s="238"/>
      <c r="I13020" s="237"/>
    </row>
    <row r="13021" spans="1:9" s="232" customFormat="1" ht="17" customHeight="1">
      <c r="A13021" s="234"/>
      <c r="B13021" s="233"/>
      <c r="C13021" s="238"/>
      <c r="E13021" s="545"/>
      <c r="F13021" s="546"/>
      <c r="G13021" s="234"/>
      <c r="H13021" s="238"/>
      <c r="I13021" s="237"/>
    </row>
    <row r="13022" spans="1:9" s="232" customFormat="1" ht="17" customHeight="1">
      <c r="A13022" s="234"/>
      <c r="B13022" s="233"/>
      <c r="C13022" s="238"/>
      <c r="E13022" s="545"/>
      <c r="F13022" s="546"/>
      <c r="G13022" s="234"/>
      <c r="H13022" s="238"/>
      <c r="I13022" s="237"/>
    </row>
    <row r="13023" spans="1:9" s="232" customFormat="1" ht="17" customHeight="1">
      <c r="A13023" s="234"/>
      <c r="B13023" s="233"/>
      <c r="C13023" s="238"/>
      <c r="E13023" s="545"/>
      <c r="F13023" s="546"/>
      <c r="G13023" s="234"/>
      <c r="H13023" s="238"/>
      <c r="I13023" s="237"/>
    </row>
    <row r="13024" spans="1:9" s="232" customFormat="1" ht="17" customHeight="1">
      <c r="A13024" s="234"/>
      <c r="B13024" s="233"/>
      <c r="C13024" s="238"/>
      <c r="E13024" s="545"/>
      <c r="F13024" s="546"/>
      <c r="G13024" s="234"/>
      <c r="H13024" s="238"/>
      <c r="I13024" s="237"/>
    </row>
    <row r="13025" spans="1:9" s="232" customFormat="1" ht="17" customHeight="1">
      <c r="A13025" s="234"/>
      <c r="B13025" s="233"/>
      <c r="C13025" s="238"/>
      <c r="E13025" s="545"/>
      <c r="F13025" s="546"/>
      <c r="G13025" s="234"/>
      <c r="H13025" s="238"/>
      <c r="I13025" s="237"/>
    </row>
    <row r="13026" spans="1:9" s="232" customFormat="1" ht="17" customHeight="1">
      <c r="A13026" s="234"/>
      <c r="B13026" s="233"/>
      <c r="C13026" s="238"/>
      <c r="E13026" s="545"/>
      <c r="F13026" s="546"/>
      <c r="G13026" s="234"/>
      <c r="H13026" s="238"/>
      <c r="I13026" s="237"/>
    </row>
    <row r="13027" spans="1:9" s="232" customFormat="1" ht="17" customHeight="1">
      <c r="A13027" s="234"/>
      <c r="B13027" s="233"/>
      <c r="C13027" s="238"/>
      <c r="E13027" s="545"/>
      <c r="F13027" s="546"/>
      <c r="G13027" s="234"/>
      <c r="H13027" s="238"/>
      <c r="I13027" s="237"/>
    </row>
    <row r="13028" spans="1:9" s="232" customFormat="1" ht="17" customHeight="1">
      <c r="A13028" s="234"/>
      <c r="B13028" s="233"/>
      <c r="C13028" s="238"/>
      <c r="E13028" s="545"/>
      <c r="F13028" s="546"/>
      <c r="G13028" s="234"/>
      <c r="H13028" s="238"/>
      <c r="I13028" s="237"/>
    </row>
    <row r="13029" spans="1:9" s="232" customFormat="1" ht="17" customHeight="1">
      <c r="A13029" s="234"/>
      <c r="B13029" s="233"/>
      <c r="C13029" s="238"/>
      <c r="E13029" s="545"/>
      <c r="F13029" s="546"/>
      <c r="G13029" s="234"/>
      <c r="H13029" s="238"/>
      <c r="I13029" s="237"/>
    </row>
    <row r="13030" spans="1:9" s="232" customFormat="1" ht="17" customHeight="1">
      <c r="A13030" s="234"/>
      <c r="B13030" s="233"/>
      <c r="C13030" s="238"/>
      <c r="E13030" s="545"/>
      <c r="F13030" s="546"/>
      <c r="G13030" s="234"/>
      <c r="H13030" s="238"/>
      <c r="I13030" s="237"/>
    </row>
    <row r="13031" spans="1:9" s="232" customFormat="1" ht="17" customHeight="1">
      <c r="A13031" s="234"/>
      <c r="B13031" s="233"/>
      <c r="C13031" s="238"/>
      <c r="E13031" s="545"/>
      <c r="F13031" s="546"/>
      <c r="G13031" s="234"/>
      <c r="H13031" s="238"/>
      <c r="I13031" s="237"/>
    </row>
    <row r="13032" spans="1:9" s="232" customFormat="1" ht="17" customHeight="1">
      <c r="A13032" s="234"/>
      <c r="B13032" s="233"/>
      <c r="C13032" s="238"/>
      <c r="E13032" s="545"/>
      <c r="F13032" s="546"/>
      <c r="G13032" s="234"/>
      <c r="H13032" s="238"/>
      <c r="I13032" s="237"/>
    </row>
    <row r="13033" spans="1:9" s="232" customFormat="1" ht="17" customHeight="1">
      <c r="A13033" s="234"/>
      <c r="B13033" s="233"/>
      <c r="C13033" s="238"/>
      <c r="E13033" s="545"/>
      <c r="F13033" s="546"/>
      <c r="G13033" s="234"/>
      <c r="H13033" s="238"/>
      <c r="I13033" s="237"/>
    </row>
    <row r="13034" spans="1:9" s="232" customFormat="1" ht="17" customHeight="1">
      <c r="A13034" s="234"/>
      <c r="B13034" s="233"/>
      <c r="C13034" s="238"/>
      <c r="E13034" s="545"/>
      <c r="F13034" s="546"/>
      <c r="G13034" s="234"/>
      <c r="H13034" s="238"/>
      <c r="I13034" s="237"/>
    </row>
    <row r="13035" spans="1:9" s="232" customFormat="1" ht="17" customHeight="1">
      <c r="A13035" s="234"/>
      <c r="B13035" s="233"/>
      <c r="C13035" s="238"/>
      <c r="E13035" s="545"/>
      <c r="F13035" s="546"/>
      <c r="G13035" s="234"/>
      <c r="H13035" s="238"/>
      <c r="I13035" s="237"/>
    </row>
    <row r="13036" spans="1:9" s="232" customFormat="1" ht="17" customHeight="1">
      <c r="A13036" s="234"/>
      <c r="B13036" s="233"/>
      <c r="C13036" s="238"/>
      <c r="E13036" s="545"/>
      <c r="F13036" s="546"/>
      <c r="G13036" s="234"/>
      <c r="H13036" s="238"/>
      <c r="I13036" s="237"/>
    </row>
    <row r="13037" spans="1:9" s="232" customFormat="1" ht="17" customHeight="1">
      <c r="A13037" s="234"/>
      <c r="B13037" s="233"/>
      <c r="C13037" s="238"/>
      <c r="E13037" s="545"/>
      <c r="F13037" s="546"/>
      <c r="G13037" s="234"/>
      <c r="H13037" s="238"/>
      <c r="I13037" s="237"/>
    </row>
    <row r="13038" spans="1:9" s="232" customFormat="1" ht="17" customHeight="1">
      <c r="A13038" s="234"/>
      <c r="B13038" s="233"/>
      <c r="C13038" s="238"/>
      <c r="E13038" s="545"/>
      <c r="F13038" s="546"/>
      <c r="G13038" s="234"/>
      <c r="H13038" s="238"/>
      <c r="I13038" s="237"/>
    </row>
    <row r="13039" spans="1:9" s="232" customFormat="1" ht="17" customHeight="1">
      <c r="A13039" s="234"/>
      <c r="B13039" s="233"/>
      <c r="C13039" s="238"/>
      <c r="E13039" s="545"/>
      <c r="F13039" s="546"/>
      <c r="G13039" s="234"/>
      <c r="H13039" s="238"/>
      <c r="I13039" s="237"/>
    </row>
    <row r="13040" spans="1:9" s="232" customFormat="1" ht="17" customHeight="1">
      <c r="A13040" s="234"/>
      <c r="B13040" s="233"/>
      <c r="C13040" s="238"/>
      <c r="E13040" s="545"/>
      <c r="F13040" s="546"/>
      <c r="G13040" s="234"/>
      <c r="H13040" s="238"/>
      <c r="I13040" s="237"/>
    </row>
    <row r="13041" spans="1:9" s="232" customFormat="1" ht="17" customHeight="1">
      <c r="A13041" s="234"/>
      <c r="B13041" s="233"/>
      <c r="C13041" s="238"/>
      <c r="E13041" s="545"/>
      <c r="F13041" s="546"/>
      <c r="G13041" s="234"/>
      <c r="H13041" s="238"/>
      <c r="I13041" s="237"/>
    </row>
    <row r="13042" spans="1:9" s="232" customFormat="1" ht="17" customHeight="1">
      <c r="A13042" s="234"/>
      <c r="B13042" s="233"/>
      <c r="C13042" s="238"/>
      <c r="E13042" s="545"/>
      <c r="F13042" s="546"/>
      <c r="G13042" s="234"/>
      <c r="H13042" s="238"/>
      <c r="I13042" s="237"/>
    </row>
    <row r="13043" spans="1:9" s="232" customFormat="1" ht="17" customHeight="1">
      <c r="A13043" s="234"/>
      <c r="B13043" s="233"/>
      <c r="C13043" s="238"/>
      <c r="E13043" s="545"/>
      <c r="F13043" s="546"/>
      <c r="G13043" s="234"/>
      <c r="H13043" s="238"/>
      <c r="I13043" s="237"/>
    </row>
    <row r="13044" spans="1:9" s="232" customFormat="1" ht="17" customHeight="1">
      <c r="A13044" s="234"/>
      <c r="B13044" s="233"/>
      <c r="C13044" s="238"/>
      <c r="E13044" s="545"/>
      <c r="F13044" s="546"/>
      <c r="G13044" s="234"/>
      <c r="H13044" s="238"/>
      <c r="I13044" s="237"/>
    </row>
    <row r="13045" spans="1:9" s="232" customFormat="1" ht="17" customHeight="1">
      <c r="A13045" s="234"/>
      <c r="B13045" s="233"/>
      <c r="C13045" s="238"/>
      <c r="E13045" s="545"/>
      <c r="F13045" s="546"/>
      <c r="G13045" s="234"/>
      <c r="H13045" s="238"/>
      <c r="I13045" s="237"/>
    </row>
    <row r="13046" spans="1:9" s="232" customFormat="1" ht="17" customHeight="1">
      <c r="A13046" s="234"/>
      <c r="B13046" s="233"/>
      <c r="C13046" s="238"/>
      <c r="E13046" s="545"/>
      <c r="F13046" s="546"/>
      <c r="G13046" s="234"/>
      <c r="H13046" s="238"/>
      <c r="I13046" s="237"/>
    </row>
    <row r="13047" spans="1:9" s="232" customFormat="1" ht="17" customHeight="1">
      <c r="A13047" s="234"/>
      <c r="B13047" s="233"/>
      <c r="C13047" s="238"/>
      <c r="E13047" s="545"/>
      <c r="F13047" s="546"/>
      <c r="G13047" s="234"/>
      <c r="H13047" s="238"/>
      <c r="I13047" s="237"/>
    </row>
    <row r="13048" spans="1:9" s="232" customFormat="1" ht="17" customHeight="1">
      <c r="A13048" s="234"/>
      <c r="B13048" s="233"/>
      <c r="C13048" s="238"/>
      <c r="E13048" s="545"/>
      <c r="F13048" s="546"/>
      <c r="G13048" s="234"/>
      <c r="H13048" s="238"/>
      <c r="I13048" s="237"/>
    </row>
    <row r="13049" spans="1:9" s="232" customFormat="1" ht="17" customHeight="1">
      <c r="A13049" s="234"/>
      <c r="B13049" s="233"/>
      <c r="C13049" s="238"/>
      <c r="E13049" s="545"/>
      <c r="F13049" s="546"/>
      <c r="G13049" s="234"/>
      <c r="H13049" s="238"/>
      <c r="I13049" s="237"/>
    </row>
    <row r="13050" spans="1:9" s="232" customFormat="1" ht="17" customHeight="1">
      <c r="A13050" s="234"/>
      <c r="B13050" s="233"/>
      <c r="C13050" s="238"/>
      <c r="E13050" s="545"/>
      <c r="F13050" s="546"/>
      <c r="G13050" s="234"/>
      <c r="H13050" s="238"/>
      <c r="I13050" s="237"/>
    </row>
    <row r="13051" spans="1:9" s="232" customFormat="1" ht="17" customHeight="1">
      <c r="A13051" s="234"/>
      <c r="B13051" s="233"/>
      <c r="C13051" s="238"/>
      <c r="E13051" s="545"/>
      <c r="F13051" s="546"/>
      <c r="G13051" s="234"/>
      <c r="H13051" s="238"/>
      <c r="I13051" s="237"/>
    </row>
    <row r="13052" spans="1:9" s="232" customFormat="1" ht="17" customHeight="1">
      <c r="A13052" s="234"/>
      <c r="B13052" s="233"/>
      <c r="C13052" s="238"/>
      <c r="E13052" s="545"/>
      <c r="F13052" s="546"/>
      <c r="G13052" s="234"/>
      <c r="H13052" s="238"/>
      <c r="I13052" s="237"/>
    </row>
    <row r="13053" spans="1:9" s="232" customFormat="1" ht="17" customHeight="1">
      <c r="A13053" s="234"/>
      <c r="B13053" s="233"/>
      <c r="C13053" s="238"/>
      <c r="E13053" s="545"/>
      <c r="F13053" s="546"/>
      <c r="G13053" s="234"/>
      <c r="H13053" s="238"/>
      <c r="I13053" s="237"/>
    </row>
    <row r="13054" spans="1:9" s="232" customFormat="1" ht="17" customHeight="1">
      <c r="A13054" s="234"/>
      <c r="B13054" s="233"/>
      <c r="C13054" s="238"/>
      <c r="E13054" s="545"/>
      <c r="F13054" s="546"/>
      <c r="G13054" s="234"/>
      <c r="H13054" s="238"/>
      <c r="I13054" s="237"/>
    </row>
    <row r="13055" spans="1:9" s="232" customFormat="1" ht="17" customHeight="1">
      <c r="A13055" s="234"/>
      <c r="B13055" s="233"/>
      <c r="C13055" s="238"/>
      <c r="E13055" s="545"/>
      <c r="F13055" s="546"/>
      <c r="G13055" s="234"/>
      <c r="H13055" s="238"/>
      <c r="I13055" s="237"/>
    </row>
    <row r="13056" spans="1:9" s="232" customFormat="1" ht="17" customHeight="1">
      <c r="A13056" s="234"/>
      <c r="B13056" s="233"/>
      <c r="C13056" s="238"/>
      <c r="E13056" s="545"/>
      <c r="F13056" s="546"/>
      <c r="G13056" s="234"/>
      <c r="H13056" s="238"/>
      <c r="I13056" s="237"/>
    </row>
    <row r="13057" spans="1:9" s="232" customFormat="1" ht="17" customHeight="1">
      <c r="A13057" s="234"/>
      <c r="B13057" s="233"/>
      <c r="C13057" s="238"/>
      <c r="E13057" s="545"/>
      <c r="F13057" s="546"/>
      <c r="G13057" s="234"/>
      <c r="H13057" s="238"/>
      <c r="I13057" s="237"/>
    </row>
    <row r="13058" spans="1:9" s="232" customFormat="1" ht="17" customHeight="1">
      <c r="A13058" s="234"/>
      <c r="B13058" s="233"/>
      <c r="C13058" s="238"/>
      <c r="E13058" s="545"/>
      <c r="F13058" s="546"/>
      <c r="G13058" s="234"/>
      <c r="H13058" s="238"/>
      <c r="I13058" s="237"/>
    </row>
    <row r="13059" spans="1:9" s="232" customFormat="1" ht="17" customHeight="1">
      <c r="A13059" s="234"/>
      <c r="B13059" s="233"/>
      <c r="C13059" s="238"/>
      <c r="E13059" s="545"/>
      <c r="F13059" s="546"/>
      <c r="G13059" s="234"/>
      <c r="H13059" s="238"/>
      <c r="I13059" s="237"/>
    </row>
    <row r="13060" spans="1:9" s="232" customFormat="1" ht="17" customHeight="1">
      <c r="A13060" s="234"/>
      <c r="B13060" s="233"/>
      <c r="C13060" s="238"/>
      <c r="E13060" s="545"/>
      <c r="F13060" s="546"/>
      <c r="G13060" s="234"/>
      <c r="H13060" s="238"/>
      <c r="I13060" s="237"/>
    </row>
    <row r="13061" spans="1:9" s="232" customFormat="1" ht="17" customHeight="1">
      <c r="A13061" s="234"/>
      <c r="B13061" s="233"/>
      <c r="C13061" s="238"/>
      <c r="E13061" s="545"/>
      <c r="F13061" s="546"/>
      <c r="G13061" s="234"/>
      <c r="H13061" s="238"/>
      <c r="I13061" s="237"/>
    </row>
    <row r="13062" spans="1:9" s="232" customFormat="1" ht="17" customHeight="1">
      <c r="A13062" s="234"/>
      <c r="B13062" s="233"/>
      <c r="C13062" s="238"/>
      <c r="E13062" s="545"/>
      <c r="F13062" s="546"/>
      <c r="G13062" s="234"/>
      <c r="H13062" s="238"/>
      <c r="I13062" s="237"/>
    </row>
    <row r="13063" spans="1:9" s="232" customFormat="1" ht="17" customHeight="1">
      <c r="A13063" s="234"/>
      <c r="B13063" s="233"/>
      <c r="C13063" s="238"/>
      <c r="E13063" s="545"/>
      <c r="F13063" s="546"/>
      <c r="G13063" s="234"/>
      <c r="H13063" s="238"/>
      <c r="I13063" s="237"/>
    </row>
    <row r="13064" spans="1:9" s="232" customFormat="1" ht="17" customHeight="1">
      <c r="A13064" s="234"/>
      <c r="B13064" s="233"/>
      <c r="C13064" s="238"/>
      <c r="E13064" s="545"/>
      <c r="F13064" s="546"/>
      <c r="G13064" s="234"/>
      <c r="H13064" s="238"/>
      <c r="I13064" s="237"/>
    </row>
    <row r="13065" spans="1:9" s="232" customFormat="1" ht="17" customHeight="1">
      <c r="A13065" s="234"/>
      <c r="B13065" s="233"/>
      <c r="C13065" s="238"/>
      <c r="E13065" s="545"/>
      <c r="F13065" s="546"/>
      <c r="G13065" s="234"/>
      <c r="H13065" s="238"/>
      <c r="I13065" s="237"/>
    </row>
    <row r="13066" spans="1:9" s="232" customFormat="1" ht="17" customHeight="1">
      <c r="A13066" s="234"/>
      <c r="B13066" s="233"/>
      <c r="C13066" s="238"/>
      <c r="E13066" s="545"/>
      <c r="F13066" s="546"/>
      <c r="G13066" s="234"/>
      <c r="H13066" s="238"/>
      <c r="I13066" s="237"/>
    </row>
    <row r="13067" spans="1:9" s="232" customFormat="1" ht="17" customHeight="1">
      <c r="A13067" s="234"/>
      <c r="B13067" s="233"/>
      <c r="C13067" s="238"/>
      <c r="E13067" s="545"/>
      <c r="F13067" s="546"/>
      <c r="G13067" s="234"/>
      <c r="H13067" s="238"/>
      <c r="I13067" s="237"/>
    </row>
    <row r="13068" spans="1:9" s="232" customFormat="1" ht="17" customHeight="1">
      <c r="A13068" s="234"/>
      <c r="B13068" s="233"/>
      <c r="C13068" s="238"/>
      <c r="E13068" s="545"/>
      <c r="F13068" s="546"/>
      <c r="G13068" s="234"/>
      <c r="H13068" s="238"/>
      <c r="I13068" s="237"/>
    </row>
    <row r="13069" spans="1:9" s="232" customFormat="1" ht="17" customHeight="1">
      <c r="A13069" s="234"/>
      <c r="B13069" s="233"/>
      <c r="C13069" s="238"/>
      <c r="E13069" s="545"/>
      <c r="F13069" s="546"/>
      <c r="G13069" s="234"/>
      <c r="H13069" s="238"/>
      <c r="I13069" s="237"/>
    </row>
    <row r="13070" spans="1:9" s="232" customFormat="1" ht="17" customHeight="1">
      <c r="A13070" s="234"/>
      <c r="B13070" s="233"/>
      <c r="C13070" s="238"/>
      <c r="E13070" s="545"/>
      <c r="F13070" s="546"/>
      <c r="G13070" s="234"/>
      <c r="H13070" s="238"/>
      <c r="I13070" s="237"/>
    </row>
    <row r="13071" spans="1:9" s="232" customFormat="1" ht="17" customHeight="1">
      <c r="A13071" s="234"/>
      <c r="B13071" s="233"/>
      <c r="C13071" s="238"/>
      <c r="E13071" s="545"/>
      <c r="F13071" s="546"/>
      <c r="G13071" s="234"/>
      <c r="H13071" s="238"/>
      <c r="I13071" s="237"/>
    </row>
    <row r="13072" spans="1:9" s="232" customFormat="1" ht="17" customHeight="1">
      <c r="A13072" s="234"/>
      <c r="B13072" s="233"/>
      <c r="C13072" s="238"/>
      <c r="E13072" s="545"/>
      <c r="F13072" s="546"/>
      <c r="G13072" s="234"/>
      <c r="H13072" s="238"/>
      <c r="I13072" s="237"/>
    </row>
    <row r="13073" spans="1:9" s="232" customFormat="1" ht="17" customHeight="1">
      <c r="A13073" s="234"/>
      <c r="B13073" s="233"/>
      <c r="C13073" s="238"/>
      <c r="E13073" s="545"/>
      <c r="F13073" s="546"/>
      <c r="G13073" s="234"/>
      <c r="H13073" s="238"/>
      <c r="I13073" s="237"/>
    </row>
    <row r="13074" spans="1:9" s="232" customFormat="1" ht="17" customHeight="1">
      <c r="A13074" s="234"/>
      <c r="B13074" s="233"/>
      <c r="C13074" s="238"/>
      <c r="E13074" s="545"/>
      <c r="F13074" s="546"/>
      <c r="G13074" s="234"/>
      <c r="H13074" s="238"/>
      <c r="I13074" s="237"/>
    </row>
    <row r="13075" spans="1:9" s="232" customFormat="1" ht="17" customHeight="1">
      <c r="A13075" s="234"/>
      <c r="B13075" s="233"/>
      <c r="C13075" s="238"/>
      <c r="E13075" s="545"/>
      <c r="F13075" s="546"/>
      <c r="G13075" s="234"/>
      <c r="H13075" s="238"/>
      <c r="I13075" s="237"/>
    </row>
    <row r="13076" spans="1:9" s="232" customFormat="1" ht="17" customHeight="1">
      <c r="A13076" s="234"/>
      <c r="B13076" s="233"/>
      <c r="C13076" s="238"/>
      <c r="E13076" s="545"/>
      <c r="F13076" s="546"/>
      <c r="G13076" s="234"/>
      <c r="H13076" s="238"/>
      <c r="I13076" s="237"/>
    </row>
    <row r="13077" spans="1:9" s="232" customFormat="1" ht="17" customHeight="1">
      <c r="A13077" s="234"/>
      <c r="B13077" s="233"/>
      <c r="C13077" s="238"/>
      <c r="E13077" s="545"/>
      <c r="F13077" s="546"/>
      <c r="G13077" s="234"/>
      <c r="H13077" s="238"/>
      <c r="I13077" s="237"/>
    </row>
    <row r="13078" spans="1:9" s="232" customFormat="1" ht="17" customHeight="1">
      <c r="A13078" s="234"/>
      <c r="B13078" s="233"/>
      <c r="C13078" s="238"/>
      <c r="E13078" s="545"/>
      <c r="F13078" s="546"/>
      <c r="G13078" s="234"/>
      <c r="H13078" s="238"/>
      <c r="I13078" s="237"/>
    </row>
    <row r="13079" spans="1:9" s="232" customFormat="1" ht="17" customHeight="1">
      <c r="A13079" s="234"/>
      <c r="B13079" s="233"/>
      <c r="C13079" s="238"/>
      <c r="E13079" s="545"/>
      <c r="F13079" s="546"/>
      <c r="G13079" s="234"/>
      <c r="H13079" s="238"/>
      <c r="I13079" s="237"/>
    </row>
    <row r="13080" spans="1:9" s="232" customFormat="1" ht="17" customHeight="1">
      <c r="A13080" s="234"/>
      <c r="B13080" s="233"/>
      <c r="C13080" s="238"/>
      <c r="E13080" s="545"/>
      <c r="F13080" s="546"/>
      <c r="G13080" s="234"/>
      <c r="H13080" s="238"/>
      <c r="I13080" s="237"/>
    </row>
    <row r="13081" spans="1:9" s="232" customFormat="1" ht="17" customHeight="1">
      <c r="A13081" s="234"/>
      <c r="B13081" s="233"/>
      <c r="C13081" s="238"/>
      <c r="E13081" s="545"/>
      <c r="F13081" s="546"/>
      <c r="G13081" s="234"/>
      <c r="H13081" s="238"/>
      <c r="I13081" s="237"/>
    </row>
    <row r="13082" spans="1:9" s="232" customFormat="1" ht="17" customHeight="1">
      <c r="A13082" s="234"/>
      <c r="B13082" s="233"/>
      <c r="C13082" s="238"/>
      <c r="E13082" s="545"/>
      <c r="F13082" s="546"/>
      <c r="G13082" s="234"/>
      <c r="H13082" s="238"/>
      <c r="I13082" s="237"/>
    </row>
    <row r="13083" spans="1:9" s="232" customFormat="1" ht="17" customHeight="1">
      <c r="A13083" s="234"/>
      <c r="B13083" s="233"/>
      <c r="C13083" s="238"/>
      <c r="E13083" s="545"/>
      <c r="F13083" s="546"/>
      <c r="G13083" s="234"/>
      <c r="H13083" s="238"/>
      <c r="I13083" s="237"/>
    </row>
    <row r="13084" spans="1:9" s="232" customFormat="1" ht="17" customHeight="1">
      <c r="A13084" s="234"/>
      <c r="B13084" s="233"/>
      <c r="C13084" s="238"/>
      <c r="E13084" s="545"/>
      <c r="F13084" s="546"/>
      <c r="G13084" s="234"/>
      <c r="H13084" s="238"/>
      <c r="I13084" s="237"/>
    </row>
    <row r="13085" spans="1:9" s="232" customFormat="1" ht="17" customHeight="1">
      <c r="A13085" s="234"/>
      <c r="B13085" s="233"/>
      <c r="C13085" s="238"/>
      <c r="E13085" s="545"/>
      <c r="F13085" s="546"/>
      <c r="G13085" s="234"/>
      <c r="H13085" s="238"/>
      <c r="I13085" s="237"/>
    </row>
    <row r="13086" spans="1:9" s="232" customFormat="1" ht="17" customHeight="1">
      <c r="A13086" s="234"/>
      <c r="B13086" s="233"/>
      <c r="C13086" s="238"/>
      <c r="E13086" s="545"/>
      <c r="F13086" s="546"/>
      <c r="G13086" s="234"/>
      <c r="H13086" s="238"/>
      <c r="I13086" s="237"/>
    </row>
    <row r="13087" spans="1:9" s="232" customFormat="1" ht="17" customHeight="1">
      <c r="A13087" s="234"/>
      <c r="B13087" s="233"/>
      <c r="C13087" s="238"/>
      <c r="E13087" s="545"/>
      <c r="F13087" s="546"/>
      <c r="G13087" s="234"/>
      <c r="H13087" s="238"/>
      <c r="I13087" s="237"/>
    </row>
    <row r="13088" spans="1:9" s="232" customFormat="1" ht="17" customHeight="1">
      <c r="A13088" s="234"/>
      <c r="B13088" s="233"/>
      <c r="C13088" s="238"/>
      <c r="E13088" s="545"/>
      <c r="F13088" s="546"/>
      <c r="G13088" s="234"/>
      <c r="H13088" s="238"/>
      <c r="I13088" s="237"/>
    </row>
    <row r="13089" spans="1:9" s="232" customFormat="1" ht="17" customHeight="1">
      <c r="A13089" s="234"/>
      <c r="B13089" s="233"/>
      <c r="C13089" s="238"/>
      <c r="E13089" s="545"/>
      <c r="F13089" s="546"/>
      <c r="G13089" s="234"/>
      <c r="H13089" s="238"/>
      <c r="I13089" s="237"/>
    </row>
    <row r="13090" spans="1:9" s="232" customFormat="1" ht="17" customHeight="1">
      <c r="A13090" s="234"/>
      <c r="B13090" s="233"/>
      <c r="C13090" s="238"/>
      <c r="E13090" s="545"/>
      <c r="F13090" s="546"/>
      <c r="G13090" s="234"/>
      <c r="H13090" s="238"/>
      <c r="I13090" s="237"/>
    </row>
    <row r="13091" spans="1:9" s="232" customFormat="1" ht="17" customHeight="1">
      <c r="A13091" s="234"/>
      <c r="B13091" s="233"/>
      <c r="C13091" s="238"/>
      <c r="E13091" s="545"/>
      <c r="F13091" s="546"/>
      <c r="G13091" s="234"/>
      <c r="H13091" s="238"/>
      <c r="I13091" s="237"/>
    </row>
    <row r="13092" spans="1:9" s="232" customFormat="1" ht="17" customHeight="1">
      <c r="A13092" s="234"/>
      <c r="B13092" s="233"/>
      <c r="C13092" s="238"/>
      <c r="E13092" s="545"/>
      <c r="F13092" s="546"/>
      <c r="G13092" s="234"/>
      <c r="H13092" s="238"/>
      <c r="I13092" s="237"/>
    </row>
    <row r="13093" spans="1:9" s="232" customFormat="1" ht="17" customHeight="1">
      <c r="A13093" s="234"/>
      <c r="B13093" s="233"/>
      <c r="C13093" s="238"/>
      <c r="E13093" s="545"/>
      <c r="F13093" s="546"/>
      <c r="G13093" s="234"/>
      <c r="H13093" s="238"/>
      <c r="I13093" s="237"/>
    </row>
    <row r="13094" spans="1:9" s="232" customFormat="1" ht="17" customHeight="1">
      <c r="A13094" s="234"/>
      <c r="B13094" s="233"/>
      <c r="C13094" s="238"/>
      <c r="E13094" s="545"/>
      <c r="F13094" s="546"/>
      <c r="G13094" s="234"/>
      <c r="H13094" s="238"/>
      <c r="I13094" s="237"/>
    </row>
    <row r="13095" spans="1:9" s="232" customFormat="1" ht="17" customHeight="1">
      <c r="A13095" s="234"/>
      <c r="B13095" s="233"/>
      <c r="C13095" s="238"/>
      <c r="E13095" s="545"/>
      <c r="F13095" s="546"/>
      <c r="G13095" s="234"/>
      <c r="H13095" s="238"/>
      <c r="I13095" s="237"/>
    </row>
    <row r="13096" spans="1:9" s="232" customFormat="1" ht="17" customHeight="1">
      <c r="A13096" s="234"/>
      <c r="B13096" s="233"/>
      <c r="C13096" s="238"/>
      <c r="E13096" s="545"/>
      <c r="F13096" s="546"/>
      <c r="G13096" s="234"/>
      <c r="H13096" s="238"/>
      <c r="I13096" s="237"/>
    </row>
    <row r="13097" spans="1:9" s="232" customFormat="1" ht="17" customHeight="1">
      <c r="A13097" s="234"/>
      <c r="B13097" s="233"/>
      <c r="C13097" s="238"/>
      <c r="E13097" s="545"/>
      <c r="F13097" s="546"/>
      <c r="G13097" s="234"/>
      <c r="H13097" s="238"/>
      <c r="I13097" s="237"/>
    </row>
    <row r="13098" spans="1:9" s="232" customFormat="1" ht="17" customHeight="1">
      <c r="A13098" s="234"/>
      <c r="B13098" s="233"/>
      <c r="C13098" s="238"/>
      <c r="E13098" s="545"/>
      <c r="F13098" s="546"/>
      <c r="G13098" s="234"/>
      <c r="H13098" s="238"/>
      <c r="I13098" s="237"/>
    </row>
    <row r="13099" spans="1:9" s="232" customFormat="1" ht="17" customHeight="1">
      <c r="A13099" s="234"/>
      <c r="B13099" s="233"/>
      <c r="C13099" s="238"/>
      <c r="E13099" s="545"/>
      <c r="F13099" s="546"/>
      <c r="G13099" s="234"/>
      <c r="H13099" s="238"/>
      <c r="I13099" s="237"/>
    </row>
    <row r="13100" spans="1:9" s="232" customFormat="1" ht="17" customHeight="1">
      <c r="A13100" s="234"/>
      <c r="B13100" s="233"/>
      <c r="C13100" s="238"/>
      <c r="E13100" s="545"/>
      <c r="F13100" s="546"/>
      <c r="G13100" s="234"/>
      <c r="H13100" s="238"/>
      <c r="I13100" s="237"/>
    </row>
    <row r="13101" spans="1:9" s="232" customFormat="1" ht="17" customHeight="1">
      <c r="A13101" s="234"/>
      <c r="B13101" s="233"/>
      <c r="C13101" s="238"/>
      <c r="E13101" s="545"/>
      <c r="F13101" s="546"/>
      <c r="G13101" s="234"/>
      <c r="H13101" s="238"/>
      <c r="I13101" s="237"/>
    </row>
    <row r="13102" spans="1:9" s="232" customFormat="1" ht="17" customHeight="1">
      <c r="A13102" s="234"/>
      <c r="B13102" s="233"/>
      <c r="C13102" s="238"/>
      <c r="E13102" s="545"/>
      <c r="F13102" s="546"/>
      <c r="G13102" s="234"/>
      <c r="H13102" s="238"/>
      <c r="I13102" s="237"/>
    </row>
    <row r="13103" spans="1:9" s="232" customFormat="1" ht="17" customHeight="1">
      <c r="A13103" s="234"/>
      <c r="B13103" s="233"/>
      <c r="C13103" s="238"/>
      <c r="E13103" s="545"/>
      <c r="F13103" s="546"/>
      <c r="G13103" s="234"/>
      <c r="H13103" s="238"/>
      <c r="I13103" s="237"/>
    </row>
    <row r="13104" spans="1:9" s="232" customFormat="1" ht="17" customHeight="1">
      <c r="A13104" s="234"/>
      <c r="B13104" s="233"/>
      <c r="C13104" s="238"/>
      <c r="E13104" s="545"/>
      <c r="F13104" s="546"/>
      <c r="G13104" s="234"/>
      <c r="H13104" s="238"/>
      <c r="I13104" s="237"/>
    </row>
    <row r="13105" spans="1:9" s="232" customFormat="1" ht="17" customHeight="1">
      <c r="A13105" s="234"/>
      <c r="B13105" s="233"/>
      <c r="C13105" s="238"/>
      <c r="E13105" s="545"/>
      <c r="F13105" s="546"/>
      <c r="G13105" s="234"/>
      <c r="H13105" s="238"/>
      <c r="I13105" s="237"/>
    </row>
    <row r="13106" spans="1:9" s="232" customFormat="1" ht="17" customHeight="1">
      <c r="A13106" s="234"/>
      <c r="B13106" s="233"/>
      <c r="C13106" s="238"/>
      <c r="E13106" s="545"/>
      <c r="F13106" s="546"/>
      <c r="G13106" s="234"/>
      <c r="H13106" s="238"/>
      <c r="I13106" s="237"/>
    </row>
    <row r="13107" spans="1:9" s="232" customFormat="1" ht="17" customHeight="1">
      <c r="A13107" s="234"/>
      <c r="B13107" s="233"/>
      <c r="C13107" s="238"/>
      <c r="E13107" s="545"/>
      <c r="F13107" s="546"/>
      <c r="G13107" s="234"/>
      <c r="H13107" s="238"/>
      <c r="I13107" s="237"/>
    </row>
    <row r="13108" spans="1:9" s="232" customFormat="1" ht="17" customHeight="1">
      <c r="A13108" s="234"/>
      <c r="B13108" s="233"/>
      <c r="C13108" s="238"/>
      <c r="E13108" s="545"/>
      <c r="F13108" s="546"/>
      <c r="G13108" s="234"/>
      <c r="H13108" s="238"/>
      <c r="I13108" s="237"/>
    </row>
    <row r="13109" spans="1:9" s="232" customFormat="1" ht="17" customHeight="1">
      <c r="A13109" s="234"/>
      <c r="B13109" s="233"/>
      <c r="C13109" s="238"/>
      <c r="E13109" s="545"/>
      <c r="F13109" s="546"/>
      <c r="G13109" s="234"/>
      <c r="H13109" s="238"/>
      <c r="I13109" s="237"/>
    </row>
    <row r="13110" spans="1:9" s="232" customFormat="1" ht="17" customHeight="1">
      <c r="A13110" s="234"/>
      <c r="B13110" s="233"/>
      <c r="C13110" s="238"/>
      <c r="E13110" s="545"/>
      <c r="F13110" s="546"/>
      <c r="G13110" s="234"/>
      <c r="H13110" s="238"/>
      <c r="I13110" s="237"/>
    </row>
    <row r="13111" spans="1:9" s="232" customFormat="1" ht="17" customHeight="1">
      <c r="A13111" s="234"/>
      <c r="B13111" s="233"/>
      <c r="C13111" s="238"/>
      <c r="E13111" s="545"/>
      <c r="F13111" s="546"/>
      <c r="G13111" s="234"/>
      <c r="H13111" s="238"/>
      <c r="I13111" s="237"/>
    </row>
    <row r="13112" spans="1:9" s="232" customFormat="1" ht="17" customHeight="1">
      <c r="A13112" s="234"/>
      <c r="B13112" s="233"/>
      <c r="C13112" s="238"/>
      <c r="E13112" s="545"/>
      <c r="F13112" s="546"/>
      <c r="G13112" s="234"/>
      <c r="H13112" s="238"/>
      <c r="I13112" s="237"/>
    </row>
    <row r="13113" spans="1:9" s="232" customFormat="1" ht="17" customHeight="1">
      <c r="A13113" s="234"/>
      <c r="B13113" s="233"/>
      <c r="C13113" s="238"/>
      <c r="E13113" s="545"/>
      <c r="F13113" s="546"/>
      <c r="G13113" s="234"/>
      <c r="H13113" s="238"/>
      <c r="I13113" s="237"/>
    </row>
    <row r="13114" spans="1:9" s="232" customFormat="1" ht="17" customHeight="1">
      <c r="A13114" s="234"/>
      <c r="B13114" s="233"/>
      <c r="C13114" s="238"/>
      <c r="E13114" s="545"/>
      <c r="F13114" s="546"/>
      <c r="G13114" s="234"/>
      <c r="H13114" s="238"/>
      <c r="I13114" s="237"/>
    </row>
    <row r="13115" spans="1:9" s="232" customFormat="1" ht="17" customHeight="1">
      <c r="A13115" s="234"/>
      <c r="B13115" s="233"/>
      <c r="C13115" s="238"/>
      <c r="E13115" s="545"/>
      <c r="F13115" s="546"/>
      <c r="G13115" s="234"/>
      <c r="H13115" s="238"/>
      <c r="I13115" s="237"/>
    </row>
    <row r="13116" spans="1:9" s="232" customFormat="1" ht="17" customHeight="1">
      <c r="A13116" s="234"/>
      <c r="B13116" s="233"/>
      <c r="C13116" s="238"/>
      <c r="E13116" s="545"/>
      <c r="F13116" s="546"/>
      <c r="G13116" s="234"/>
      <c r="H13116" s="238"/>
      <c r="I13116" s="237"/>
    </row>
    <row r="13117" spans="1:9" s="232" customFormat="1" ht="17" customHeight="1">
      <c r="A13117" s="234"/>
      <c r="B13117" s="233"/>
      <c r="C13117" s="238"/>
      <c r="E13117" s="545"/>
      <c r="F13117" s="546"/>
      <c r="G13117" s="234"/>
      <c r="H13117" s="238"/>
      <c r="I13117" s="237"/>
    </row>
    <row r="13118" spans="1:9" s="232" customFormat="1" ht="17" customHeight="1">
      <c r="A13118" s="234"/>
      <c r="B13118" s="233"/>
      <c r="C13118" s="238"/>
      <c r="E13118" s="545"/>
      <c r="F13118" s="546"/>
      <c r="G13118" s="234"/>
      <c r="H13118" s="238"/>
      <c r="I13118" s="237"/>
    </row>
    <row r="13119" spans="1:9" s="232" customFormat="1" ht="17" customHeight="1">
      <c r="A13119" s="234"/>
      <c r="B13119" s="233"/>
      <c r="C13119" s="238"/>
      <c r="E13119" s="545"/>
      <c r="F13119" s="546"/>
      <c r="G13119" s="234"/>
      <c r="H13119" s="238"/>
      <c r="I13119" s="237"/>
    </row>
    <row r="13120" spans="1:9" s="232" customFormat="1" ht="17" customHeight="1">
      <c r="A13120" s="234"/>
      <c r="B13120" s="233"/>
      <c r="C13120" s="238"/>
      <c r="E13120" s="545"/>
      <c r="F13120" s="546"/>
      <c r="G13120" s="234"/>
      <c r="H13120" s="238"/>
      <c r="I13120" s="237"/>
    </row>
    <row r="13121" spans="1:9" s="232" customFormat="1" ht="17" customHeight="1">
      <c r="A13121" s="234"/>
      <c r="B13121" s="233"/>
      <c r="C13121" s="238"/>
      <c r="E13121" s="545"/>
      <c r="F13121" s="546"/>
      <c r="G13121" s="234"/>
      <c r="H13121" s="238"/>
      <c r="I13121" s="237"/>
    </row>
    <row r="13122" spans="1:9" s="232" customFormat="1" ht="17" customHeight="1">
      <c r="A13122" s="234"/>
      <c r="B13122" s="233"/>
      <c r="C13122" s="238"/>
      <c r="E13122" s="545"/>
      <c r="F13122" s="546"/>
      <c r="G13122" s="234"/>
      <c r="H13122" s="238"/>
      <c r="I13122" s="237"/>
    </row>
    <row r="13123" spans="1:9" s="232" customFormat="1" ht="17" customHeight="1">
      <c r="A13123" s="234"/>
      <c r="B13123" s="233"/>
      <c r="C13123" s="238"/>
      <c r="E13123" s="545"/>
      <c r="F13123" s="546"/>
      <c r="G13123" s="234"/>
      <c r="H13123" s="238"/>
      <c r="I13123" s="237"/>
    </row>
    <row r="13124" spans="1:9" s="232" customFormat="1" ht="17" customHeight="1">
      <c r="A13124" s="234"/>
      <c r="B13124" s="233"/>
      <c r="C13124" s="238"/>
      <c r="E13124" s="545"/>
      <c r="F13124" s="546"/>
      <c r="G13124" s="234"/>
      <c r="H13124" s="238"/>
      <c r="I13124" s="237"/>
    </row>
    <row r="13125" spans="1:9" s="232" customFormat="1" ht="17" customHeight="1">
      <c r="A13125" s="234"/>
      <c r="B13125" s="233"/>
      <c r="C13125" s="238"/>
      <c r="E13125" s="545"/>
      <c r="F13125" s="546"/>
      <c r="G13125" s="234"/>
      <c r="H13125" s="238"/>
      <c r="I13125" s="237"/>
    </row>
    <row r="13126" spans="1:9" s="232" customFormat="1" ht="17" customHeight="1">
      <c r="A13126" s="234"/>
      <c r="B13126" s="233"/>
      <c r="C13126" s="238"/>
      <c r="E13126" s="545"/>
      <c r="F13126" s="546"/>
      <c r="G13126" s="234"/>
      <c r="H13126" s="238"/>
      <c r="I13126" s="237"/>
    </row>
    <row r="13127" spans="1:9" s="232" customFormat="1" ht="17" customHeight="1">
      <c r="A13127" s="234"/>
      <c r="B13127" s="233"/>
      <c r="C13127" s="238"/>
      <c r="E13127" s="545"/>
      <c r="F13127" s="546"/>
      <c r="G13127" s="234"/>
      <c r="H13127" s="238"/>
      <c r="I13127" s="237"/>
    </row>
    <row r="13128" spans="1:9" s="232" customFormat="1" ht="17" customHeight="1">
      <c r="A13128" s="234"/>
      <c r="B13128" s="233"/>
      <c r="C13128" s="238"/>
      <c r="E13128" s="545"/>
      <c r="F13128" s="546"/>
      <c r="G13128" s="234"/>
      <c r="H13128" s="238"/>
      <c r="I13128" s="237"/>
    </row>
    <row r="13129" spans="1:9" s="232" customFormat="1" ht="17" customHeight="1">
      <c r="A13129" s="234"/>
      <c r="B13129" s="233"/>
      <c r="C13129" s="238"/>
      <c r="E13129" s="545"/>
      <c r="F13129" s="546"/>
      <c r="G13129" s="234"/>
      <c r="H13129" s="238"/>
      <c r="I13129" s="237"/>
    </row>
    <row r="13130" spans="1:9" s="232" customFormat="1" ht="17" customHeight="1">
      <c r="A13130" s="234"/>
      <c r="B13130" s="233"/>
      <c r="C13130" s="238"/>
      <c r="E13130" s="545"/>
      <c r="F13130" s="546"/>
      <c r="G13130" s="234"/>
      <c r="H13130" s="238"/>
      <c r="I13130" s="237"/>
    </row>
    <row r="13131" spans="1:9" s="232" customFormat="1" ht="17" customHeight="1">
      <c r="A13131" s="234"/>
      <c r="B13131" s="233"/>
      <c r="C13131" s="238"/>
      <c r="E13131" s="545"/>
      <c r="F13131" s="546"/>
      <c r="G13131" s="234"/>
      <c r="H13131" s="238"/>
      <c r="I13131" s="237"/>
    </row>
    <row r="13132" spans="1:9" s="232" customFormat="1" ht="17" customHeight="1">
      <c r="A13132" s="234"/>
      <c r="B13132" s="233"/>
      <c r="C13132" s="238"/>
      <c r="E13132" s="545"/>
      <c r="F13132" s="546"/>
      <c r="G13132" s="234"/>
      <c r="H13132" s="238"/>
      <c r="I13132" s="237"/>
    </row>
    <row r="13133" spans="1:9" s="232" customFormat="1" ht="17" customHeight="1">
      <c r="A13133" s="234"/>
      <c r="B13133" s="233"/>
      <c r="C13133" s="238"/>
      <c r="E13133" s="545"/>
      <c r="F13133" s="546"/>
      <c r="G13133" s="234"/>
      <c r="H13133" s="238"/>
      <c r="I13133" s="237"/>
    </row>
    <row r="13134" spans="1:9" s="232" customFormat="1" ht="17" customHeight="1">
      <c r="A13134" s="234"/>
      <c r="B13134" s="233"/>
      <c r="C13134" s="238"/>
      <c r="E13134" s="545"/>
      <c r="F13134" s="546"/>
      <c r="G13134" s="234"/>
      <c r="H13134" s="238"/>
      <c r="I13134" s="237"/>
    </row>
    <row r="13135" spans="1:9" s="232" customFormat="1" ht="17" customHeight="1">
      <c r="A13135" s="234"/>
      <c r="B13135" s="233"/>
      <c r="C13135" s="238"/>
      <c r="E13135" s="545"/>
      <c r="F13135" s="546"/>
      <c r="G13135" s="234"/>
      <c r="H13135" s="238"/>
      <c r="I13135" s="237"/>
    </row>
    <row r="13136" spans="1:9" s="232" customFormat="1" ht="17" customHeight="1">
      <c r="A13136" s="234"/>
      <c r="B13136" s="233"/>
      <c r="C13136" s="238"/>
      <c r="E13136" s="545"/>
      <c r="F13136" s="546"/>
      <c r="G13136" s="234"/>
      <c r="H13136" s="238"/>
      <c r="I13136" s="237"/>
    </row>
    <row r="13137" spans="1:9" s="232" customFormat="1" ht="17" customHeight="1">
      <c r="A13137" s="234"/>
      <c r="B13137" s="233"/>
      <c r="C13137" s="238"/>
      <c r="E13137" s="545"/>
      <c r="F13137" s="546"/>
      <c r="G13137" s="234"/>
      <c r="H13137" s="238"/>
      <c r="I13137" s="237"/>
    </row>
    <row r="13138" spans="1:9" s="232" customFormat="1" ht="17" customHeight="1">
      <c r="A13138" s="234"/>
      <c r="B13138" s="233"/>
      <c r="C13138" s="238"/>
      <c r="E13138" s="545"/>
      <c r="F13138" s="546"/>
      <c r="G13138" s="234"/>
      <c r="H13138" s="238"/>
      <c r="I13138" s="237"/>
    </row>
    <row r="13139" spans="1:9" s="232" customFormat="1" ht="17" customHeight="1">
      <c r="A13139" s="234"/>
      <c r="B13139" s="233"/>
      <c r="C13139" s="238"/>
      <c r="E13139" s="545"/>
      <c r="F13139" s="546"/>
      <c r="G13139" s="234"/>
      <c r="H13139" s="238"/>
      <c r="I13139" s="237"/>
    </row>
    <row r="13140" spans="1:9" s="232" customFormat="1" ht="17" customHeight="1">
      <c r="A13140" s="234"/>
      <c r="B13140" s="233"/>
      <c r="C13140" s="238"/>
      <c r="E13140" s="545"/>
      <c r="F13140" s="546"/>
      <c r="G13140" s="234"/>
      <c r="H13140" s="238"/>
      <c r="I13140" s="237"/>
    </row>
    <row r="13141" spans="1:9" s="232" customFormat="1" ht="17" customHeight="1">
      <c r="A13141" s="234"/>
      <c r="B13141" s="233"/>
      <c r="C13141" s="238"/>
      <c r="E13141" s="545"/>
      <c r="F13141" s="546"/>
      <c r="G13141" s="234"/>
      <c r="H13141" s="238"/>
      <c r="I13141" s="237"/>
    </row>
    <row r="13142" spans="1:9" s="232" customFormat="1" ht="17" customHeight="1">
      <c r="A13142" s="234"/>
      <c r="B13142" s="233"/>
      <c r="C13142" s="238"/>
      <c r="E13142" s="545"/>
      <c r="F13142" s="546"/>
      <c r="G13142" s="234"/>
      <c r="H13142" s="238"/>
      <c r="I13142" s="237"/>
    </row>
    <row r="13143" spans="1:9" s="232" customFormat="1" ht="17" customHeight="1">
      <c r="A13143" s="234"/>
      <c r="B13143" s="233"/>
      <c r="C13143" s="238"/>
      <c r="E13143" s="545"/>
      <c r="F13143" s="546"/>
      <c r="G13143" s="234"/>
      <c r="H13143" s="238"/>
      <c r="I13143" s="237"/>
    </row>
    <row r="13144" spans="1:9" s="232" customFormat="1" ht="17" customHeight="1">
      <c r="A13144" s="234"/>
      <c r="B13144" s="233"/>
      <c r="C13144" s="238"/>
      <c r="E13144" s="545"/>
      <c r="F13144" s="546"/>
      <c r="G13144" s="234"/>
      <c r="H13144" s="238"/>
      <c r="I13144" s="237"/>
    </row>
    <row r="13145" spans="1:9" s="232" customFormat="1" ht="17" customHeight="1">
      <c r="A13145" s="234"/>
      <c r="B13145" s="233"/>
      <c r="C13145" s="238"/>
      <c r="E13145" s="545"/>
      <c r="F13145" s="546"/>
      <c r="G13145" s="234"/>
      <c r="H13145" s="238"/>
      <c r="I13145" s="237"/>
    </row>
    <row r="13146" spans="1:9" s="232" customFormat="1" ht="17" customHeight="1">
      <c r="A13146" s="234"/>
      <c r="B13146" s="233"/>
      <c r="C13146" s="238"/>
      <c r="E13146" s="545"/>
      <c r="F13146" s="546"/>
      <c r="G13146" s="234"/>
      <c r="H13146" s="238"/>
      <c r="I13146" s="237"/>
    </row>
    <row r="13147" spans="1:9" s="232" customFormat="1" ht="17" customHeight="1">
      <c r="A13147" s="234"/>
      <c r="B13147" s="233"/>
      <c r="C13147" s="238"/>
      <c r="E13147" s="545"/>
      <c r="F13147" s="546"/>
      <c r="G13147" s="234"/>
      <c r="H13147" s="238"/>
      <c r="I13147" s="237"/>
    </row>
    <row r="13148" spans="1:9" s="232" customFormat="1" ht="17" customHeight="1">
      <c r="A13148" s="234"/>
      <c r="B13148" s="233"/>
      <c r="C13148" s="238"/>
      <c r="E13148" s="545"/>
      <c r="F13148" s="546"/>
      <c r="G13148" s="234"/>
      <c r="H13148" s="238"/>
      <c r="I13148" s="237"/>
    </row>
    <row r="13149" spans="1:9" s="232" customFormat="1" ht="17" customHeight="1">
      <c r="A13149" s="234"/>
      <c r="B13149" s="233"/>
      <c r="C13149" s="238"/>
      <c r="E13149" s="545"/>
      <c r="F13149" s="546"/>
      <c r="G13149" s="234"/>
      <c r="H13149" s="238"/>
      <c r="I13149" s="237"/>
    </row>
    <row r="13150" spans="1:9" s="232" customFormat="1" ht="17" customHeight="1">
      <c r="A13150" s="234"/>
      <c r="B13150" s="233"/>
      <c r="C13150" s="238"/>
      <c r="E13150" s="545"/>
      <c r="F13150" s="546"/>
      <c r="G13150" s="234"/>
      <c r="H13150" s="238"/>
      <c r="I13150" s="237"/>
    </row>
    <row r="13151" spans="1:9" s="232" customFormat="1" ht="17" customHeight="1">
      <c r="A13151" s="234"/>
      <c r="B13151" s="233"/>
      <c r="C13151" s="238"/>
      <c r="E13151" s="545"/>
      <c r="F13151" s="546"/>
      <c r="G13151" s="234"/>
      <c r="H13151" s="238"/>
      <c r="I13151" s="237"/>
    </row>
    <row r="13152" spans="1:9" s="232" customFormat="1" ht="17" customHeight="1">
      <c r="A13152" s="234"/>
      <c r="B13152" s="233"/>
      <c r="C13152" s="238"/>
      <c r="E13152" s="545"/>
      <c r="F13152" s="546"/>
      <c r="G13152" s="234"/>
      <c r="H13152" s="238"/>
      <c r="I13152" s="237"/>
    </row>
    <row r="13153" spans="1:9" s="232" customFormat="1" ht="17" customHeight="1">
      <c r="A13153" s="234"/>
      <c r="B13153" s="233"/>
      <c r="C13153" s="238"/>
      <c r="E13153" s="545"/>
      <c r="F13153" s="546"/>
      <c r="G13153" s="234"/>
      <c r="H13153" s="238"/>
      <c r="I13153" s="237"/>
    </row>
    <row r="13154" spans="1:9" s="232" customFormat="1" ht="17" customHeight="1">
      <c r="A13154" s="234"/>
      <c r="B13154" s="233"/>
      <c r="C13154" s="238"/>
      <c r="E13154" s="545"/>
      <c r="F13154" s="546"/>
      <c r="G13154" s="234"/>
      <c r="H13154" s="238"/>
      <c r="I13154" s="237"/>
    </row>
    <row r="13155" spans="1:9" s="232" customFormat="1" ht="17" customHeight="1">
      <c r="A13155" s="234"/>
      <c r="B13155" s="233"/>
      <c r="C13155" s="238"/>
      <c r="E13155" s="545"/>
      <c r="F13155" s="546"/>
      <c r="G13155" s="234"/>
      <c r="H13155" s="238"/>
      <c r="I13155" s="237"/>
    </row>
    <row r="13156" spans="1:9" s="232" customFormat="1" ht="17" customHeight="1">
      <c r="A13156" s="234"/>
      <c r="B13156" s="233"/>
      <c r="C13156" s="238"/>
      <c r="E13156" s="545"/>
      <c r="F13156" s="546"/>
      <c r="G13156" s="234"/>
      <c r="H13156" s="238"/>
      <c r="I13156" s="237"/>
    </row>
    <row r="13157" spans="1:9" s="232" customFormat="1" ht="17" customHeight="1">
      <c r="A13157" s="234"/>
      <c r="B13157" s="233"/>
      <c r="C13157" s="238"/>
      <c r="E13157" s="545"/>
      <c r="F13157" s="546"/>
      <c r="G13157" s="234"/>
      <c r="H13157" s="238"/>
      <c r="I13157" s="237"/>
    </row>
    <row r="13158" spans="1:9" s="232" customFormat="1" ht="17" customHeight="1">
      <c r="A13158" s="234"/>
      <c r="B13158" s="233"/>
      <c r="C13158" s="238"/>
      <c r="E13158" s="545"/>
      <c r="F13158" s="546"/>
      <c r="G13158" s="234"/>
      <c r="H13158" s="238"/>
      <c r="I13158" s="237"/>
    </row>
    <row r="13159" spans="1:9" s="232" customFormat="1" ht="17" customHeight="1">
      <c r="A13159" s="234"/>
      <c r="B13159" s="233"/>
      <c r="C13159" s="238"/>
      <c r="E13159" s="545"/>
      <c r="F13159" s="546"/>
      <c r="G13159" s="234"/>
      <c r="H13159" s="238"/>
      <c r="I13159" s="237"/>
    </row>
    <row r="13160" spans="1:9" s="232" customFormat="1" ht="17" customHeight="1">
      <c r="A13160" s="234"/>
      <c r="B13160" s="233"/>
      <c r="C13160" s="238"/>
      <c r="E13160" s="545"/>
      <c r="F13160" s="546"/>
      <c r="G13160" s="234"/>
      <c r="H13160" s="238"/>
      <c r="I13160" s="237"/>
    </row>
    <row r="13161" spans="1:9" s="232" customFormat="1" ht="17" customHeight="1">
      <c r="A13161" s="234"/>
      <c r="B13161" s="233"/>
      <c r="C13161" s="238"/>
      <c r="E13161" s="545"/>
      <c r="F13161" s="546"/>
      <c r="G13161" s="234"/>
      <c r="H13161" s="238"/>
      <c r="I13161" s="237"/>
    </row>
    <row r="13162" spans="1:9" s="232" customFormat="1" ht="17" customHeight="1">
      <c r="A13162" s="234"/>
      <c r="B13162" s="233"/>
      <c r="C13162" s="238"/>
      <c r="E13162" s="545"/>
      <c r="F13162" s="546"/>
      <c r="G13162" s="234"/>
      <c r="H13162" s="238"/>
      <c r="I13162" s="237"/>
    </row>
    <row r="13163" spans="1:9" s="232" customFormat="1" ht="17" customHeight="1">
      <c r="A13163" s="234"/>
      <c r="B13163" s="233"/>
      <c r="C13163" s="238"/>
      <c r="E13163" s="545"/>
      <c r="F13163" s="546"/>
      <c r="G13163" s="234"/>
      <c r="H13163" s="238"/>
      <c r="I13163" s="237"/>
    </row>
    <row r="13164" spans="1:9" s="232" customFormat="1" ht="17" customHeight="1">
      <c r="A13164" s="234"/>
      <c r="B13164" s="233"/>
      <c r="C13164" s="238"/>
      <c r="E13164" s="545"/>
      <c r="F13164" s="546"/>
      <c r="G13164" s="234"/>
      <c r="H13164" s="238"/>
      <c r="I13164" s="237"/>
    </row>
    <row r="13165" spans="1:9" s="232" customFormat="1" ht="17" customHeight="1">
      <c r="A13165" s="234"/>
      <c r="B13165" s="233"/>
      <c r="C13165" s="238"/>
      <c r="E13165" s="545"/>
      <c r="F13165" s="546"/>
      <c r="G13165" s="234"/>
      <c r="H13165" s="238"/>
      <c r="I13165" s="237"/>
    </row>
    <row r="13166" spans="1:9" s="232" customFormat="1" ht="17" customHeight="1">
      <c r="A13166" s="234"/>
      <c r="B13166" s="233"/>
      <c r="C13166" s="238"/>
      <c r="E13166" s="545"/>
      <c r="F13166" s="546"/>
      <c r="G13166" s="234"/>
      <c r="H13166" s="238"/>
      <c r="I13166" s="237"/>
    </row>
    <row r="13167" spans="1:9" s="232" customFormat="1" ht="17" customHeight="1">
      <c r="A13167" s="234"/>
      <c r="B13167" s="233"/>
      <c r="C13167" s="238"/>
      <c r="E13167" s="545"/>
      <c r="F13167" s="546"/>
      <c r="G13167" s="234"/>
      <c r="H13167" s="238"/>
      <c r="I13167" s="237"/>
    </row>
    <row r="13168" spans="1:9" s="232" customFormat="1" ht="17" customHeight="1">
      <c r="A13168" s="234"/>
      <c r="B13168" s="233"/>
      <c r="C13168" s="238"/>
      <c r="E13168" s="545"/>
      <c r="F13168" s="546"/>
      <c r="G13168" s="234"/>
      <c r="H13168" s="238"/>
      <c r="I13168" s="237"/>
    </row>
    <row r="13169" spans="1:9" s="232" customFormat="1" ht="17" customHeight="1">
      <c r="A13169" s="234"/>
      <c r="B13169" s="233"/>
      <c r="C13169" s="238"/>
      <c r="E13169" s="545"/>
      <c r="F13169" s="546"/>
      <c r="G13169" s="234"/>
      <c r="H13169" s="238"/>
      <c r="I13169" s="237"/>
    </row>
    <row r="13170" spans="1:9" s="232" customFormat="1" ht="17" customHeight="1">
      <c r="A13170" s="234"/>
      <c r="B13170" s="233"/>
      <c r="C13170" s="238"/>
      <c r="E13170" s="545"/>
      <c r="F13170" s="546"/>
      <c r="G13170" s="234"/>
      <c r="H13170" s="238"/>
      <c r="I13170" s="237"/>
    </row>
    <row r="13171" spans="1:9" s="232" customFormat="1" ht="17" customHeight="1">
      <c r="A13171" s="234"/>
      <c r="B13171" s="233"/>
      <c r="C13171" s="238"/>
      <c r="E13171" s="545"/>
      <c r="F13171" s="546"/>
      <c r="G13171" s="234"/>
      <c r="H13171" s="238"/>
      <c r="I13171" s="237"/>
    </row>
    <row r="13172" spans="1:9" s="232" customFormat="1" ht="17" customHeight="1">
      <c r="A13172" s="234"/>
      <c r="B13172" s="233"/>
      <c r="C13172" s="238"/>
      <c r="E13172" s="545"/>
      <c r="F13172" s="546"/>
      <c r="G13172" s="234"/>
      <c r="H13172" s="238"/>
      <c r="I13172" s="237"/>
    </row>
    <row r="13173" spans="1:9" s="232" customFormat="1" ht="17" customHeight="1">
      <c r="A13173" s="234"/>
      <c r="B13173" s="233"/>
      <c r="C13173" s="238"/>
      <c r="E13173" s="545"/>
      <c r="F13173" s="546"/>
      <c r="G13173" s="234"/>
      <c r="H13173" s="238"/>
      <c r="I13173" s="237"/>
    </row>
    <row r="13174" spans="1:9" s="232" customFormat="1" ht="17" customHeight="1">
      <c r="A13174" s="234"/>
      <c r="B13174" s="233"/>
      <c r="C13174" s="238"/>
      <c r="E13174" s="545"/>
      <c r="F13174" s="546"/>
      <c r="G13174" s="234"/>
      <c r="H13174" s="238"/>
      <c r="I13174" s="237"/>
    </row>
    <row r="13175" spans="1:9" s="232" customFormat="1" ht="17" customHeight="1">
      <c r="A13175" s="234"/>
      <c r="B13175" s="233"/>
      <c r="C13175" s="238"/>
      <c r="E13175" s="545"/>
      <c r="F13175" s="546"/>
      <c r="G13175" s="234"/>
      <c r="H13175" s="238"/>
      <c r="I13175" s="237"/>
    </row>
    <row r="13176" spans="1:9" s="232" customFormat="1" ht="17" customHeight="1">
      <c r="A13176" s="234"/>
      <c r="B13176" s="233"/>
      <c r="C13176" s="238"/>
      <c r="E13176" s="545"/>
      <c r="F13176" s="546"/>
      <c r="G13176" s="234"/>
      <c r="H13176" s="238"/>
      <c r="I13176" s="237"/>
    </row>
    <row r="13177" spans="1:9" s="232" customFormat="1" ht="17" customHeight="1">
      <c r="A13177" s="234"/>
      <c r="B13177" s="233"/>
      <c r="C13177" s="238"/>
      <c r="E13177" s="545"/>
      <c r="F13177" s="546"/>
      <c r="G13177" s="234"/>
      <c r="H13177" s="238"/>
      <c r="I13177" s="237"/>
    </row>
    <row r="13178" spans="1:9" s="232" customFormat="1" ht="17" customHeight="1">
      <c r="A13178" s="234"/>
      <c r="B13178" s="233"/>
      <c r="C13178" s="238"/>
      <c r="E13178" s="545"/>
      <c r="F13178" s="546"/>
      <c r="G13178" s="234"/>
      <c r="H13178" s="238"/>
      <c r="I13178" s="237"/>
    </row>
    <row r="13179" spans="1:9" s="232" customFormat="1" ht="17" customHeight="1">
      <c r="A13179" s="234"/>
      <c r="B13179" s="233"/>
      <c r="C13179" s="238"/>
      <c r="E13179" s="545"/>
      <c r="F13179" s="546"/>
      <c r="G13179" s="234"/>
      <c r="H13179" s="238"/>
      <c r="I13179" s="237"/>
    </row>
    <row r="13180" spans="1:9" s="232" customFormat="1" ht="17" customHeight="1">
      <c r="A13180" s="234"/>
      <c r="B13180" s="233"/>
      <c r="C13180" s="238"/>
      <c r="E13180" s="545"/>
      <c r="F13180" s="546"/>
      <c r="G13180" s="234"/>
      <c r="H13180" s="238"/>
      <c r="I13180" s="237"/>
    </row>
    <row r="13181" spans="1:9" s="232" customFormat="1" ht="17" customHeight="1">
      <c r="A13181" s="234"/>
      <c r="B13181" s="233"/>
      <c r="C13181" s="238"/>
      <c r="E13181" s="545"/>
      <c r="F13181" s="546"/>
      <c r="G13181" s="234"/>
      <c r="H13181" s="238"/>
      <c r="I13181" s="237"/>
    </row>
    <row r="13182" spans="1:9" s="232" customFormat="1" ht="17" customHeight="1">
      <c r="A13182" s="234"/>
      <c r="B13182" s="233"/>
      <c r="C13182" s="238"/>
      <c r="E13182" s="545"/>
      <c r="F13182" s="546"/>
      <c r="G13182" s="234"/>
      <c r="H13182" s="238"/>
      <c r="I13182" s="237"/>
    </row>
    <row r="13183" spans="1:9" s="232" customFormat="1" ht="17" customHeight="1">
      <c r="A13183" s="234"/>
      <c r="B13183" s="233"/>
      <c r="C13183" s="238"/>
      <c r="E13183" s="545"/>
      <c r="F13183" s="546"/>
      <c r="G13183" s="234"/>
      <c r="H13183" s="238"/>
      <c r="I13183" s="237"/>
    </row>
    <row r="13184" spans="1:9" s="232" customFormat="1" ht="17" customHeight="1">
      <c r="A13184" s="234"/>
      <c r="B13184" s="233"/>
      <c r="C13184" s="238"/>
      <c r="E13184" s="545"/>
      <c r="F13184" s="546"/>
      <c r="G13184" s="234"/>
      <c r="H13184" s="238"/>
      <c r="I13184" s="237"/>
    </row>
    <row r="13185" spans="1:9" s="232" customFormat="1" ht="17" customHeight="1">
      <c r="A13185" s="234"/>
      <c r="B13185" s="233"/>
      <c r="C13185" s="238"/>
      <c r="E13185" s="545"/>
      <c r="F13185" s="546"/>
      <c r="G13185" s="234"/>
      <c r="H13185" s="238"/>
      <c r="I13185" s="237"/>
    </row>
    <row r="13186" spans="1:9" s="232" customFormat="1" ht="17" customHeight="1">
      <c r="A13186" s="234"/>
      <c r="B13186" s="233"/>
      <c r="C13186" s="238"/>
      <c r="E13186" s="545"/>
      <c r="F13186" s="546"/>
      <c r="G13186" s="234"/>
      <c r="H13186" s="238"/>
      <c r="I13186" s="237"/>
    </row>
    <row r="13187" spans="1:9" s="232" customFormat="1" ht="17" customHeight="1">
      <c r="A13187" s="234"/>
      <c r="B13187" s="233"/>
      <c r="C13187" s="238"/>
      <c r="E13187" s="545"/>
      <c r="F13187" s="546"/>
      <c r="G13187" s="234"/>
      <c r="H13187" s="238"/>
      <c r="I13187" s="237"/>
    </row>
    <row r="13188" spans="1:9" s="232" customFormat="1" ht="17" customHeight="1">
      <c r="A13188" s="234"/>
      <c r="B13188" s="233"/>
      <c r="C13188" s="238"/>
      <c r="E13188" s="545"/>
      <c r="F13188" s="546"/>
      <c r="G13188" s="234"/>
      <c r="H13188" s="238"/>
      <c r="I13188" s="237"/>
    </row>
    <row r="13189" spans="1:9" s="232" customFormat="1" ht="17" customHeight="1">
      <c r="A13189" s="234"/>
      <c r="B13189" s="233"/>
      <c r="C13189" s="238"/>
      <c r="E13189" s="545"/>
      <c r="F13189" s="546"/>
      <c r="G13189" s="234"/>
      <c r="H13189" s="238"/>
      <c r="I13189" s="237"/>
    </row>
    <row r="13190" spans="1:9" s="232" customFormat="1" ht="17" customHeight="1">
      <c r="A13190" s="234"/>
      <c r="B13190" s="233"/>
      <c r="C13190" s="238"/>
      <c r="E13190" s="545"/>
      <c r="F13190" s="546"/>
      <c r="G13190" s="234"/>
      <c r="H13190" s="238"/>
      <c r="I13190" s="237"/>
    </row>
    <row r="13191" spans="1:9" s="232" customFormat="1" ht="17" customHeight="1">
      <c r="A13191" s="234"/>
      <c r="B13191" s="233"/>
      <c r="C13191" s="238"/>
      <c r="E13191" s="545"/>
      <c r="F13191" s="546"/>
      <c r="G13191" s="234"/>
      <c r="H13191" s="238"/>
      <c r="I13191" s="237"/>
    </row>
    <row r="13192" spans="1:9" s="232" customFormat="1" ht="17" customHeight="1">
      <c r="A13192" s="234"/>
      <c r="B13192" s="233"/>
      <c r="C13192" s="238"/>
      <c r="E13192" s="545"/>
      <c r="F13192" s="546"/>
      <c r="G13192" s="234"/>
      <c r="H13192" s="238"/>
      <c r="I13192" s="237"/>
    </row>
    <row r="13193" spans="1:9" s="232" customFormat="1" ht="17" customHeight="1">
      <c r="A13193" s="234"/>
      <c r="B13193" s="233"/>
      <c r="C13193" s="238"/>
      <c r="E13193" s="545"/>
      <c r="F13193" s="546"/>
      <c r="G13193" s="234"/>
      <c r="H13193" s="238"/>
      <c r="I13193" s="237"/>
    </row>
    <row r="13194" spans="1:9" s="232" customFormat="1" ht="17" customHeight="1">
      <c r="A13194" s="234"/>
      <c r="B13194" s="233"/>
      <c r="C13194" s="238"/>
      <c r="E13194" s="545"/>
      <c r="F13194" s="546"/>
      <c r="G13194" s="234"/>
      <c r="H13194" s="238"/>
      <c r="I13194" s="237"/>
    </row>
    <row r="13195" spans="1:9" s="232" customFormat="1" ht="17" customHeight="1">
      <c r="A13195" s="234"/>
      <c r="B13195" s="233"/>
      <c r="C13195" s="238"/>
      <c r="E13195" s="545"/>
      <c r="F13195" s="546"/>
      <c r="G13195" s="234"/>
      <c r="H13195" s="238"/>
      <c r="I13195" s="237"/>
    </row>
    <row r="13196" spans="1:9" s="232" customFormat="1" ht="17" customHeight="1">
      <c r="A13196" s="234"/>
      <c r="B13196" s="233"/>
      <c r="C13196" s="238"/>
      <c r="E13196" s="545"/>
      <c r="F13196" s="546"/>
      <c r="G13196" s="234"/>
      <c r="H13196" s="238"/>
      <c r="I13196" s="237"/>
    </row>
    <row r="13197" spans="1:9" s="232" customFormat="1" ht="17" customHeight="1">
      <c r="A13197" s="234"/>
      <c r="B13197" s="233"/>
      <c r="C13197" s="238"/>
      <c r="E13197" s="545"/>
      <c r="F13197" s="546"/>
      <c r="G13197" s="234"/>
      <c r="H13197" s="238"/>
      <c r="I13197" s="237"/>
    </row>
    <row r="13198" spans="1:9" s="232" customFormat="1" ht="17" customHeight="1">
      <c r="A13198" s="234"/>
      <c r="B13198" s="233"/>
      <c r="C13198" s="238"/>
      <c r="E13198" s="545"/>
      <c r="F13198" s="546"/>
      <c r="G13198" s="234"/>
      <c r="H13198" s="238"/>
      <c r="I13198" s="237"/>
    </row>
    <row r="13199" spans="1:9" s="232" customFormat="1" ht="17" customHeight="1">
      <c r="A13199" s="234"/>
      <c r="B13199" s="233"/>
      <c r="C13199" s="238"/>
      <c r="E13199" s="545"/>
      <c r="F13199" s="546"/>
      <c r="G13199" s="234"/>
      <c r="H13199" s="238"/>
      <c r="I13199" s="237"/>
    </row>
    <row r="13200" spans="1:9" s="232" customFormat="1" ht="17" customHeight="1">
      <c r="A13200" s="234"/>
      <c r="B13200" s="233"/>
      <c r="C13200" s="238"/>
      <c r="E13200" s="545"/>
      <c r="F13200" s="546"/>
      <c r="G13200" s="234"/>
      <c r="H13200" s="238"/>
      <c r="I13200" s="237"/>
    </row>
    <row r="13201" spans="1:9" s="232" customFormat="1" ht="17" customHeight="1">
      <c r="A13201" s="234"/>
      <c r="B13201" s="233"/>
      <c r="C13201" s="238"/>
      <c r="E13201" s="545"/>
      <c r="F13201" s="546"/>
      <c r="G13201" s="234"/>
      <c r="H13201" s="238"/>
      <c r="I13201" s="237"/>
    </row>
    <row r="13202" spans="1:9" s="232" customFormat="1" ht="17" customHeight="1">
      <c r="A13202" s="234"/>
      <c r="B13202" s="233"/>
      <c r="C13202" s="238"/>
      <c r="E13202" s="545"/>
      <c r="F13202" s="546"/>
      <c r="G13202" s="234"/>
      <c r="H13202" s="238"/>
      <c r="I13202" s="237"/>
    </row>
    <row r="13203" spans="1:9" s="232" customFormat="1" ht="17" customHeight="1">
      <c r="A13203" s="234"/>
      <c r="B13203" s="233"/>
      <c r="C13203" s="238"/>
      <c r="E13203" s="545"/>
      <c r="F13203" s="546"/>
      <c r="G13203" s="234"/>
      <c r="H13203" s="238"/>
      <c r="I13203" s="237"/>
    </row>
    <row r="13204" spans="1:9" s="232" customFormat="1" ht="17" customHeight="1">
      <c r="A13204" s="234"/>
      <c r="B13204" s="233"/>
      <c r="C13204" s="238"/>
      <c r="E13204" s="545"/>
      <c r="F13204" s="546"/>
      <c r="G13204" s="234"/>
      <c r="H13204" s="238"/>
      <c r="I13204" s="237"/>
    </row>
    <row r="13205" spans="1:9" s="232" customFormat="1" ht="17" customHeight="1">
      <c r="A13205" s="234"/>
      <c r="B13205" s="233"/>
      <c r="C13205" s="238"/>
      <c r="E13205" s="545"/>
      <c r="F13205" s="546"/>
      <c r="G13205" s="234"/>
      <c r="H13205" s="238"/>
      <c r="I13205" s="237"/>
    </row>
    <row r="13206" spans="1:9" s="232" customFormat="1" ht="17" customHeight="1">
      <c r="A13206" s="234"/>
      <c r="B13206" s="233"/>
      <c r="C13206" s="238"/>
      <c r="E13206" s="545"/>
      <c r="F13206" s="546"/>
      <c r="G13206" s="234"/>
      <c r="H13206" s="238"/>
      <c r="I13206" s="237"/>
    </row>
    <row r="13207" spans="1:9" s="232" customFormat="1" ht="17" customHeight="1">
      <c r="A13207" s="234"/>
      <c r="B13207" s="233"/>
      <c r="C13207" s="238"/>
      <c r="E13207" s="545"/>
      <c r="F13207" s="546"/>
      <c r="G13207" s="234"/>
      <c r="H13207" s="238"/>
      <c r="I13207" s="237"/>
    </row>
    <row r="13208" spans="1:9" s="232" customFormat="1" ht="17" customHeight="1">
      <c r="A13208" s="234"/>
      <c r="B13208" s="233"/>
      <c r="C13208" s="238"/>
      <c r="E13208" s="545"/>
      <c r="F13208" s="546"/>
      <c r="G13208" s="234"/>
      <c r="H13208" s="238"/>
      <c r="I13208" s="237"/>
    </row>
    <row r="13209" spans="1:9" s="232" customFormat="1" ht="17" customHeight="1">
      <c r="A13209" s="234"/>
      <c r="B13209" s="233"/>
      <c r="C13209" s="238"/>
      <c r="E13209" s="545"/>
      <c r="F13209" s="546"/>
      <c r="G13209" s="234"/>
      <c r="H13209" s="238"/>
      <c r="I13209" s="237"/>
    </row>
    <row r="13210" spans="1:9" s="232" customFormat="1" ht="17" customHeight="1">
      <c r="A13210" s="234"/>
      <c r="B13210" s="233"/>
      <c r="C13210" s="238"/>
      <c r="E13210" s="545"/>
      <c r="F13210" s="546"/>
      <c r="G13210" s="234"/>
      <c r="H13210" s="238"/>
      <c r="I13210" s="237"/>
    </row>
    <row r="13211" spans="1:9" s="232" customFormat="1" ht="17" customHeight="1">
      <c r="A13211" s="234"/>
      <c r="B13211" s="233"/>
      <c r="C13211" s="238"/>
      <c r="E13211" s="545"/>
      <c r="F13211" s="546"/>
      <c r="G13211" s="234"/>
      <c r="H13211" s="238"/>
      <c r="I13211" s="237"/>
    </row>
    <row r="13212" spans="1:9" s="232" customFormat="1" ht="17" customHeight="1">
      <c r="A13212" s="234"/>
      <c r="B13212" s="233"/>
      <c r="C13212" s="238"/>
      <c r="E13212" s="545"/>
      <c r="F13212" s="546"/>
      <c r="G13212" s="234"/>
      <c r="H13212" s="238"/>
      <c r="I13212" s="237"/>
    </row>
    <row r="13213" spans="1:9" s="232" customFormat="1" ht="17" customHeight="1">
      <c r="A13213" s="234"/>
      <c r="B13213" s="233"/>
      <c r="C13213" s="238"/>
      <c r="E13213" s="545"/>
      <c r="F13213" s="546"/>
      <c r="G13213" s="234"/>
      <c r="H13213" s="238"/>
      <c r="I13213" s="237"/>
    </row>
    <row r="13214" spans="1:9" s="232" customFormat="1" ht="17" customHeight="1">
      <c r="A13214" s="234"/>
      <c r="B13214" s="233"/>
      <c r="C13214" s="238"/>
      <c r="E13214" s="545"/>
      <c r="F13214" s="546"/>
      <c r="G13214" s="234"/>
      <c r="H13214" s="238"/>
      <c r="I13214" s="237"/>
    </row>
    <row r="13215" spans="1:9" s="232" customFormat="1" ht="17" customHeight="1">
      <c r="A13215" s="234"/>
      <c r="B13215" s="233"/>
      <c r="C13215" s="238"/>
      <c r="E13215" s="545"/>
      <c r="F13215" s="546"/>
      <c r="G13215" s="234"/>
      <c r="H13215" s="238"/>
      <c r="I13215" s="237"/>
    </row>
    <row r="13216" spans="1:9" s="232" customFormat="1" ht="17" customHeight="1">
      <c r="A13216" s="234"/>
      <c r="B13216" s="233"/>
      <c r="C13216" s="238"/>
      <c r="E13216" s="545"/>
      <c r="F13216" s="546"/>
      <c r="G13216" s="234"/>
      <c r="H13216" s="238"/>
      <c r="I13216" s="237"/>
    </row>
    <row r="13217" spans="1:9" s="232" customFormat="1" ht="17" customHeight="1">
      <c r="A13217" s="234"/>
      <c r="B13217" s="233"/>
      <c r="C13217" s="238"/>
      <c r="E13217" s="545"/>
      <c r="F13217" s="546"/>
      <c r="G13217" s="234"/>
      <c r="H13217" s="238"/>
      <c r="I13217" s="237"/>
    </row>
    <row r="13218" spans="1:9" s="232" customFormat="1" ht="17" customHeight="1">
      <c r="A13218" s="234"/>
      <c r="B13218" s="233"/>
      <c r="C13218" s="238"/>
      <c r="E13218" s="545"/>
      <c r="F13218" s="546"/>
      <c r="G13218" s="234"/>
      <c r="H13218" s="238"/>
      <c r="I13218" s="237"/>
    </row>
    <row r="13219" spans="1:9" s="232" customFormat="1" ht="17" customHeight="1">
      <c r="A13219" s="234"/>
      <c r="B13219" s="233"/>
      <c r="C13219" s="238"/>
      <c r="E13219" s="545"/>
      <c r="F13219" s="546"/>
      <c r="G13219" s="234"/>
      <c r="H13219" s="238"/>
      <c r="I13219" s="237"/>
    </row>
    <row r="13220" spans="1:9" s="232" customFormat="1" ht="17" customHeight="1">
      <c r="A13220" s="234"/>
      <c r="B13220" s="233"/>
      <c r="C13220" s="238"/>
      <c r="E13220" s="545"/>
      <c r="F13220" s="546"/>
      <c r="G13220" s="234"/>
      <c r="H13220" s="238"/>
      <c r="I13220" s="237"/>
    </row>
    <row r="13221" spans="1:9" s="232" customFormat="1" ht="17" customHeight="1">
      <c r="A13221" s="234"/>
      <c r="B13221" s="233"/>
      <c r="C13221" s="238"/>
      <c r="E13221" s="545"/>
      <c r="F13221" s="546"/>
      <c r="G13221" s="234"/>
      <c r="H13221" s="238"/>
      <c r="I13221" s="237"/>
    </row>
    <row r="13222" spans="1:9" s="232" customFormat="1" ht="17" customHeight="1">
      <c r="A13222" s="234"/>
      <c r="B13222" s="233"/>
      <c r="C13222" s="238"/>
      <c r="E13222" s="545"/>
      <c r="F13222" s="546"/>
      <c r="G13222" s="234"/>
      <c r="H13222" s="238"/>
      <c r="I13222" s="237"/>
    </row>
    <row r="13223" spans="1:9" s="232" customFormat="1" ht="17" customHeight="1">
      <c r="A13223" s="234"/>
      <c r="B13223" s="233"/>
      <c r="C13223" s="238"/>
      <c r="E13223" s="545"/>
      <c r="F13223" s="546"/>
      <c r="G13223" s="234"/>
      <c r="H13223" s="238"/>
      <c r="I13223" s="237"/>
    </row>
    <row r="13224" spans="1:9" s="232" customFormat="1" ht="17" customHeight="1">
      <c r="A13224" s="234"/>
      <c r="B13224" s="233"/>
      <c r="C13224" s="238"/>
      <c r="E13224" s="545"/>
      <c r="F13224" s="546"/>
      <c r="G13224" s="234"/>
      <c r="H13224" s="238"/>
      <c r="I13224" s="237"/>
    </row>
    <row r="13225" spans="1:9" s="232" customFormat="1" ht="17" customHeight="1">
      <c r="A13225" s="234"/>
      <c r="B13225" s="233"/>
      <c r="C13225" s="238"/>
      <c r="E13225" s="545"/>
      <c r="F13225" s="546"/>
      <c r="G13225" s="234"/>
      <c r="H13225" s="238"/>
      <c r="I13225" s="237"/>
    </row>
    <row r="13226" spans="1:9" s="232" customFormat="1" ht="17" customHeight="1">
      <c r="A13226" s="234"/>
      <c r="B13226" s="233"/>
      <c r="C13226" s="238"/>
      <c r="E13226" s="545"/>
      <c r="F13226" s="546"/>
      <c r="G13226" s="234"/>
      <c r="H13226" s="238"/>
      <c r="I13226" s="237"/>
    </row>
    <row r="13227" spans="1:9" s="232" customFormat="1" ht="17" customHeight="1">
      <c r="A13227" s="234"/>
      <c r="B13227" s="233"/>
      <c r="C13227" s="238"/>
      <c r="E13227" s="545"/>
      <c r="F13227" s="546"/>
      <c r="G13227" s="234"/>
      <c r="H13227" s="238"/>
      <c r="I13227" s="237"/>
    </row>
    <row r="13228" spans="1:9" s="232" customFormat="1" ht="17" customHeight="1">
      <c r="A13228" s="234"/>
      <c r="B13228" s="233"/>
      <c r="C13228" s="238"/>
      <c r="E13228" s="545"/>
      <c r="F13228" s="546"/>
      <c r="G13228" s="234"/>
      <c r="H13228" s="238"/>
      <c r="I13228" s="237"/>
    </row>
    <row r="13229" spans="1:9" s="232" customFormat="1" ht="17" customHeight="1">
      <c r="A13229" s="234"/>
      <c r="B13229" s="233"/>
      <c r="C13229" s="238"/>
      <c r="E13229" s="545"/>
      <c r="F13229" s="546"/>
      <c r="G13229" s="234"/>
      <c r="H13229" s="238"/>
      <c r="I13229" s="237"/>
    </row>
    <row r="13230" spans="1:9" s="232" customFormat="1" ht="17" customHeight="1">
      <c r="A13230" s="234"/>
      <c r="B13230" s="233"/>
      <c r="C13230" s="238"/>
      <c r="E13230" s="545"/>
      <c r="F13230" s="546"/>
      <c r="G13230" s="234"/>
      <c r="H13230" s="238"/>
      <c r="I13230" s="237"/>
    </row>
    <row r="13231" spans="1:9" s="232" customFormat="1" ht="17" customHeight="1">
      <c r="A13231" s="234"/>
      <c r="B13231" s="233"/>
      <c r="C13231" s="238"/>
      <c r="E13231" s="545"/>
      <c r="F13231" s="546"/>
      <c r="G13231" s="234"/>
      <c r="H13231" s="238"/>
      <c r="I13231" s="237"/>
    </row>
    <row r="13232" spans="1:9" s="232" customFormat="1" ht="17" customHeight="1">
      <c r="A13232" s="234"/>
      <c r="B13232" s="233"/>
      <c r="C13232" s="238"/>
      <c r="E13232" s="545"/>
      <c r="F13232" s="546"/>
      <c r="G13232" s="234"/>
      <c r="H13232" s="238"/>
      <c r="I13232" s="237"/>
    </row>
    <row r="13233" spans="1:9" s="232" customFormat="1" ht="17" customHeight="1">
      <c r="A13233" s="234"/>
      <c r="B13233" s="233"/>
      <c r="C13233" s="238"/>
      <c r="E13233" s="545"/>
      <c r="F13233" s="546"/>
      <c r="G13233" s="234"/>
      <c r="H13233" s="238"/>
      <c r="I13233" s="237"/>
    </row>
    <row r="13234" spans="1:9" s="232" customFormat="1" ht="17" customHeight="1">
      <c r="A13234" s="234"/>
      <c r="B13234" s="233"/>
      <c r="C13234" s="238"/>
      <c r="E13234" s="545"/>
      <c r="F13234" s="546"/>
      <c r="G13234" s="234"/>
      <c r="H13234" s="238"/>
      <c r="I13234" s="237"/>
    </row>
    <row r="13235" spans="1:9" s="232" customFormat="1" ht="17" customHeight="1">
      <c r="A13235" s="234"/>
      <c r="B13235" s="233"/>
      <c r="C13235" s="238"/>
      <c r="E13235" s="545"/>
      <c r="F13235" s="546"/>
      <c r="G13235" s="234"/>
      <c r="H13235" s="238"/>
      <c r="I13235" s="237"/>
    </row>
    <row r="13236" spans="1:9" s="232" customFormat="1" ht="17" customHeight="1">
      <c r="A13236" s="234"/>
      <c r="B13236" s="233"/>
      <c r="C13236" s="238"/>
      <c r="E13236" s="545"/>
      <c r="F13236" s="546"/>
      <c r="G13236" s="234"/>
      <c r="H13236" s="238"/>
      <c r="I13236" s="237"/>
    </row>
    <row r="13237" spans="1:9" s="232" customFormat="1" ht="17" customHeight="1">
      <c r="A13237" s="234"/>
      <c r="B13237" s="233"/>
      <c r="C13237" s="238"/>
      <c r="E13237" s="545"/>
      <c r="F13237" s="546"/>
      <c r="G13237" s="234"/>
      <c r="H13237" s="238"/>
      <c r="I13237" s="237"/>
    </row>
    <row r="13238" spans="1:9" s="232" customFormat="1" ht="17" customHeight="1">
      <c r="A13238" s="234"/>
      <c r="B13238" s="233"/>
      <c r="C13238" s="238"/>
      <c r="E13238" s="545"/>
      <c r="F13238" s="546"/>
      <c r="G13238" s="234"/>
      <c r="H13238" s="238"/>
      <c r="I13238" s="237"/>
    </row>
    <row r="13239" spans="1:9" s="232" customFormat="1" ht="17" customHeight="1">
      <c r="A13239" s="234"/>
      <c r="B13239" s="233"/>
      <c r="C13239" s="238"/>
      <c r="E13239" s="545"/>
      <c r="F13239" s="546"/>
      <c r="G13239" s="234"/>
      <c r="H13239" s="238"/>
      <c r="I13239" s="237"/>
    </row>
    <row r="13240" spans="1:9" s="232" customFormat="1" ht="17" customHeight="1">
      <c r="A13240" s="234"/>
      <c r="B13240" s="233"/>
      <c r="C13240" s="238"/>
      <c r="E13240" s="545"/>
      <c r="F13240" s="546"/>
      <c r="G13240" s="234"/>
      <c r="H13240" s="238"/>
      <c r="I13240" s="237"/>
    </row>
    <row r="13241" spans="1:9" s="232" customFormat="1" ht="17" customHeight="1">
      <c r="A13241" s="234"/>
      <c r="B13241" s="233"/>
      <c r="C13241" s="238"/>
      <c r="E13241" s="545"/>
      <c r="F13241" s="546"/>
      <c r="G13241" s="234"/>
      <c r="H13241" s="238"/>
      <c r="I13241" s="237"/>
    </row>
    <row r="13242" spans="1:9" s="232" customFormat="1" ht="17" customHeight="1">
      <c r="A13242" s="234"/>
      <c r="B13242" s="233"/>
      <c r="C13242" s="238"/>
      <c r="E13242" s="545"/>
      <c r="F13242" s="546"/>
      <c r="G13242" s="234"/>
      <c r="H13242" s="238"/>
      <c r="I13242" s="237"/>
    </row>
    <row r="13243" spans="1:9" s="232" customFormat="1" ht="17" customHeight="1">
      <c r="A13243" s="234"/>
      <c r="B13243" s="233"/>
      <c r="C13243" s="238"/>
      <c r="E13243" s="545"/>
      <c r="F13243" s="546"/>
      <c r="G13243" s="234"/>
      <c r="H13243" s="238"/>
      <c r="I13243" s="237"/>
    </row>
    <row r="13244" spans="1:9" s="232" customFormat="1" ht="17" customHeight="1">
      <c r="A13244" s="234"/>
      <c r="B13244" s="233"/>
      <c r="C13244" s="238"/>
      <c r="E13244" s="545"/>
      <c r="F13244" s="546"/>
      <c r="G13244" s="234"/>
      <c r="H13244" s="238"/>
      <c r="I13244" s="237"/>
    </row>
    <row r="13245" spans="1:9" s="232" customFormat="1" ht="17" customHeight="1">
      <c r="A13245" s="234"/>
      <c r="B13245" s="233"/>
      <c r="C13245" s="238"/>
      <c r="E13245" s="545"/>
      <c r="F13245" s="546"/>
      <c r="G13245" s="234"/>
      <c r="H13245" s="238"/>
      <c r="I13245" s="237"/>
    </row>
    <row r="13246" spans="1:9" s="232" customFormat="1" ht="17" customHeight="1">
      <c r="A13246" s="234"/>
      <c r="B13246" s="233"/>
      <c r="C13246" s="238"/>
      <c r="E13246" s="545"/>
      <c r="F13246" s="546"/>
      <c r="G13246" s="234"/>
      <c r="H13246" s="238"/>
      <c r="I13246" s="237"/>
    </row>
    <row r="13247" spans="1:9" s="232" customFormat="1" ht="17" customHeight="1">
      <c r="A13247" s="234"/>
      <c r="B13247" s="233"/>
      <c r="C13247" s="238"/>
      <c r="E13247" s="545"/>
      <c r="F13247" s="546"/>
      <c r="G13247" s="234"/>
      <c r="H13247" s="238"/>
      <c r="I13247" s="237"/>
    </row>
    <row r="13248" spans="1:9" s="232" customFormat="1" ht="17" customHeight="1">
      <c r="A13248" s="234"/>
      <c r="B13248" s="233"/>
      <c r="C13248" s="238"/>
      <c r="E13248" s="545"/>
      <c r="F13248" s="546"/>
      <c r="G13248" s="234"/>
      <c r="H13248" s="238"/>
      <c r="I13248" s="237"/>
    </row>
    <row r="13249" spans="1:9" s="232" customFormat="1" ht="17" customHeight="1">
      <c r="A13249" s="234"/>
      <c r="B13249" s="233"/>
      <c r="C13249" s="238"/>
      <c r="E13249" s="545"/>
      <c r="F13249" s="546"/>
      <c r="G13249" s="234"/>
      <c r="H13249" s="238"/>
      <c r="I13249" s="237"/>
    </row>
    <row r="13250" spans="1:9" s="232" customFormat="1" ht="17" customHeight="1">
      <c r="A13250" s="234"/>
      <c r="B13250" s="233"/>
      <c r="C13250" s="238"/>
      <c r="E13250" s="545"/>
      <c r="F13250" s="546"/>
      <c r="G13250" s="234"/>
      <c r="H13250" s="238"/>
      <c r="I13250" s="237"/>
    </row>
    <row r="13251" spans="1:9" s="232" customFormat="1" ht="17" customHeight="1">
      <c r="A13251" s="234"/>
      <c r="B13251" s="233"/>
      <c r="C13251" s="238"/>
      <c r="E13251" s="545"/>
      <c r="F13251" s="546"/>
      <c r="G13251" s="234"/>
      <c r="H13251" s="238"/>
      <c r="I13251" s="237"/>
    </row>
    <row r="13252" spans="1:9" s="232" customFormat="1" ht="17" customHeight="1">
      <c r="A13252" s="234"/>
      <c r="B13252" s="233"/>
      <c r="C13252" s="238"/>
      <c r="E13252" s="545"/>
      <c r="F13252" s="546"/>
      <c r="G13252" s="234"/>
      <c r="H13252" s="238"/>
      <c r="I13252" s="237"/>
    </row>
    <row r="13253" spans="1:9" s="232" customFormat="1" ht="17" customHeight="1">
      <c r="A13253" s="234"/>
      <c r="B13253" s="233"/>
      <c r="C13253" s="238"/>
      <c r="E13253" s="545"/>
      <c r="F13253" s="546"/>
      <c r="G13253" s="234"/>
      <c r="H13253" s="238"/>
      <c r="I13253" s="237"/>
    </row>
    <row r="13254" spans="1:9" s="232" customFormat="1" ht="17" customHeight="1">
      <c r="A13254" s="234"/>
      <c r="B13254" s="233"/>
      <c r="C13254" s="238"/>
      <c r="E13254" s="545"/>
      <c r="F13254" s="546"/>
      <c r="G13254" s="234"/>
      <c r="H13254" s="238"/>
      <c r="I13254" s="237"/>
    </row>
    <row r="13255" spans="1:9" s="232" customFormat="1" ht="17" customHeight="1">
      <c r="A13255" s="234"/>
      <c r="B13255" s="233"/>
      <c r="C13255" s="238"/>
      <c r="E13255" s="545"/>
      <c r="F13255" s="546"/>
      <c r="G13255" s="234"/>
      <c r="H13255" s="238"/>
      <c r="I13255" s="237"/>
    </row>
    <row r="13256" spans="1:9" s="232" customFormat="1" ht="17" customHeight="1">
      <c r="A13256" s="234"/>
      <c r="B13256" s="233"/>
      <c r="C13256" s="238"/>
      <c r="E13256" s="545"/>
      <c r="F13256" s="546"/>
      <c r="G13256" s="234"/>
      <c r="H13256" s="238"/>
      <c r="I13256" s="237"/>
    </row>
    <row r="13257" spans="1:9" s="232" customFormat="1" ht="17" customHeight="1">
      <c r="A13257" s="234"/>
      <c r="B13257" s="233"/>
      <c r="C13257" s="238"/>
      <c r="E13257" s="545"/>
      <c r="F13257" s="546"/>
      <c r="G13257" s="234"/>
      <c r="H13257" s="238"/>
      <c r="I13257" s="237"/>
    </row>
    <row r="13258" spans="1:9" s="232" customFormat="1" ht="17" customHeight="1">
      <c r="A13258" s="234"/>
      <c r="B13258" s="233"/>
      <c r="C13258" s="238"/>
      <c r="E13258" s="545"/>
      <c r="F13258" s="546"/>
      <c r="G13258" s="234"/>
      <c r="H13258" s="238"/>
      <c r="I13258" s="237"/>
    </row>
    <row r="13259" spans="1:9" s="232" customFormat="1" ht="17" customHeight="1">
      <c r="A13259" s="234"/>
      <c r="B13259" s="233"/>
      <c r="C13259" s="238"/>
      <c r="E13259" s="545"/>
      <c r="F13259" s="546"/>
      <c r="G13259" s="234"/>
      <c r="H13259" s="238"/>
      <c r="I13259" s="237"/>
    </row>
    <row r="13260" spans="1:9" s="232" customFormat="1" ht="17" customHeight="1">
      <c r="A13260" s="234"/>
      <c r="B13260" s="233"/>
      <c r="C13260" s="238"/>
      <c r="E13260" s="545"/>
      <c r="F13260" s="546"/>
      <c r="G13260" s="234"/>
      <c r="H13260" s="238"/>
      <c r="I13260" s="237"/>
    </row>
    <row r="13261" spans="1:9" s="232" customFormat="1" ht="17" customHeight="1">
      <c r="A13261" s="234"/>
      <c r="B13261" s="233"/>
      <c r="C13261" s="238"/>
      <c r="E13261" s="545"/>
      <c r="F13261" s="546"/>
      <c r="G13261" s="234"/>
      <c r="H13261" s="238"/>
      <c r="I13261" s="237"/>
    </row>
    <row r="13262" spans="1:9" s="232" customFormat="1" ht="17" customHeight="1">
      <c r="A13262" s="234"/>
      <c r="B13262" s="233"/>
      <c r="C13262" s="238"/>
      <c r="E13262" s="545"/>
      <c r="F13262" s="546"/>
      <c r="G13262" s="234"/>
      <c r="H13262" s="238"/>
      <c r="I13262" s="237"/>
    </row>
    <row r="13263" spans="1:9" s="232" customFormat="1" ht="17" customHeight="1">
      <c r="A13263" s="234"/>
      <c r="B13263" s="233"/>
      <c r="C13263" s="238"/>
      <c r="E13263" s="545"/>
      <c r="F13263" s="546"/>
      <c r="G13263" s="234"/>
      <c r="H13263" s="238"/>
      <c r="I13263" s="237"/>
    </row>
    <row r="13264" spans="1:9" s="232" customFormat="1" ht="17" customHeight="1">
      <c r="A13264" s="234"/>
      <c r="B13264" s="233"/>
      <c r="C13264" s="238"/>
      <c r="E13264" s="545"/>
      <c r="F13264" s="546"/>
      <c r="G13264" s="234"/>
      <c r="H13264" s="238"/>
      <c r="I13264" s="237"/>
    </row>
    <row r="13265" spans="1:9" s="232" customFormat="1" ht="17" customHeight="1">
      <c r="A13265" s="234"/>
      <c r="B13265" s="233"/>
      <c r="C13265" s="238"/>
      <c r="E13265" s="545"/>
      <c r="F13265" s="546"/>
      <c r="G13265" s="234"/>
      <c r="H13265" s="238"/>
      <c r="I13265" s="237"/>
    </row>
    <row r="13266" spans="1:9" s="232" customFormat="1" ht="17" customHeight="1">
      <c r="A13266" s="234"/>
      <c r="B13266" s="233"/>
      <c r="C13266" s="238"/>
      <c r="E13266" s="545"/>
      <c r="F13266" s="546"/>
      <c r="G13266" s="234"/>
      <c r="H13266" s="238"/>
      <c r="I13266" s="237"/>
    </row>
    <row r="13267" spans="1:9" s="232" customFormat="1" ht="17" customHeight="1">
      <c r="A13267" s="234"/>
      <c r="B13267" s="233"/>
      <c r="C13267" s="238"/>
      <c r="E13267" s="545"/>
      <c r="F13267" s="546"/>
      <c r="G13267" s="234"/>
      <c r="H13267" s="238"/>
      <c r="I13267" s="237"/>
    </row>
    <row r="13268" spans="1:9" s="232" customFormat="1" ht="17" customHeight="1">
      <c r="A13268" s="234"/>
      <c r="B13268" s="233"/>
      <c r="C13268" s="238"/>
      <c r="E13268" s="545"/>
      <c r="F13268" s="546"/>
      <c r="G13268" s="234"/>
      <c r="H13268" s="238"/>
      <c r="I13268" s="237"/>
    </row>
    <row r="13269" spans="1:9" s="232" customFormat="1" ht="17" customHeight="1">
      <c r="A13269" s="234"/>
      <c r="B13269" s="233"/>
      <c r="C13269" s="238"/>
      <c r="E13269" s="545"/>
      <c r="F13269" s="546"/>
      <c r="G13269" s="234"/>
      <c r="H13269" s="238"/>
      <c r="I13269" s="237"/>
    </row>
    <row r="13270" spans="1:9" s="232" customFormat="1" ht="17" customHeight="1">
      <c r="A13270" s="234"/>
      <c r="B13270" s="233"/>
      <c r="C13270" s="238"/>
      <c r="E13270" s="545"/>
      <c r="F13270" s="546"/>
      <c r="G13270" s="234"/>
      <c r="H13270" s="238"/>
      <c r="I13270" s="237"/>
    </row>
    <row r="13271" spans="1:9" s="232" customFormat="1" ht="17" customHeight="1">
      <c r="A13271" s="234"/>
      <c r="B13271" s="233"/>
      <c r="C13271" s="238"/>
      <c r="E13271" s="545"/>
      <c r="F13271" s="546"/>
      <c r="G13271" s="234"/>
      <c r="H13271" s="238"/>
      <c r="I13271" s="237"/>
    </row>
    <row r="13272" spans="1:9" s="232" customFormat="1" ht="17" customHeight="1">
      <c r="A13272" s="234"/>
      <c r="B13272" s="233"/>
      <c r="C13272" s="238"/>
      <c r="E13272" s="545"/>
      <c r="F13272" s="546"/>
      <c r="G13272" s="234"/>
      <c r="H13272" s="238"/>
      <c r="I13272" s="237"/>
    </row>
    <row r="13273" spans="1:9" s="232" customFormat="1" ht="17" customHeight="1">
      <c r="A13273" s="234"/>
      <c r="B13273" s="233"/>
      <c r="C13273" s="238"/>
      <c r="E13273" s="545"/>
      <c r="F13273" s="546"/>
      <c r="G13273" s="234"/>
      <c r="H13273" s="238"/>
      <c r="I13273" s="237"/>
    </row>
    <row r="13274" spans="1:9" s="232" customFormat="1" ht="17" customHeight="1">
      <c r="A13274" s="234"/>
      <c r="B13274" s="233"/>
      <c r="C13274" s="238"/>
      <c r="E13274" s="545"/>
      <c r="F13274" s="546"/>
      <c r="G13274" s="234"/>
      <c r="H13274" s="238"/>
      <c r="I13274" s="237"/>
    </row>
    <row r="13275" spans="1:9" s="232" customFormat="1" ht="17" customHeight="1">
      <c r="A13275" s="234"/>
      <c r="B13275" s="233"/>
      <c r="C13275" s="238"/>
      <c r="E13275" s="545"/>
      <c r="F13275" s="546"/>
      <c r="G13275" s="234"/>
      <c r="H13275" s="238"/>
      <c r="I13275" s="237"/>
    </row>
    <row r="13276" spans="1:9" s="232" customFormat="1" ht="17" customHeight="1">
      <c r="A13276" s="234"/>
      <c r="B13276" s="233"/>
      <c r="C13276" s="238"/>
      <c r="E13276" s="545"/>
      <c r="F13276" s="546"/>
      <c r="G13276" s="234"/>
      <c r="H13276" s="238"/>
      <c r="I13276" s="237"/>
    </row>
    <row r="13277" spans="1:9" s="232" customFormat="1" ht="17" customHeight="1">
      <c r="A13277" s="234"/>
      <c r="B13277" s="233"/>
      <c r="C13277" s="238"/>
      <c r="E13277" s="545"/>
      <c r="F13277" s="546"/>
      <c r="G13277" s="234"/>
      <c r="H13277" s="238"/>
      <c r="I13277" s="237"/>
    </row>
    <row r="13278" spans="1:9" s="232" customFormat="1" ht="17" customHeight="1">
      <c r="A13278" s="234"/>
      <c r="B13278" s="233"/>
      <c r="C13278" s="238"/>
      <c r="E13278" s="545"/>
      <c r="F13278" s="546"/>
      <c r="G13278" s="234"/>
      <c r="H13278" s="238"/>
      <c r="I13278" s="237"/>
    </row>
    <row r="13279" spans="1:9" s="232" customFormat="1" ht="17" customHeight="1">
      <c r="A13279" s="234"/>
      <c r="B13279" s="233"/>
      <c r="C13279" s="238"/>
      <c r="E13279" s="545"/>
      <c r="F13279" s="546"/>
      <c r="G13279" s="234"/>
      <c r="H13279" s="238"/>
      <c r="I13279" s="237"/>
    </row>
    <row r="13280" spans="1:9" s="232" customFormat="1" ht="17" customHeight="1">
      <c r="A13280" s="234"/>
      <c r="B13280" s="233"/>
      <c r="C13280" s="238"/>
      <c r="E13280" s="545"/>
      <c r="F13280" s="546"/>
      <c r="G13280" s="234"/>
      <c r="H13280" s="238"/>
      <c r="I13280" s="237"/>
    </row>
    <row r="13281" spans="1:9" s="232" customFormat="1" ht="17" customHeight="1">
      <c r="A13281" s="234"/>
      <c r="B13281" s="233"/>
      <c r="C13281" s="238"/>
      <c r="E13281" s="545"/>
      <c r="F13281" s="546"/>
      <c r="G13281" s="234"/>
      <c r="H13281" s="238"/>
      <c r="I13281" s="237"/>
    </row>
    <row r="13282" spans="1:9" s="232" customFormat="1" ht="17" customHeight="1">
      <c r="A13282" s="234"/>
      <c r="B13282" s="233"/>
      <c r="C13282" s="238"/>
      <c r="E13282" s="545"/>
      <c r="F13282" s="546"/>
      <c r="G13282" s="234"/>
      <c r="H13282" s="238"/>
      <c r="I13282" s="237"/>
    </row>
    <row r="13283" spans="1:9" s="232" customFormat="1" ht="17" customHeight="1">
      <c r="A13283" s="234"/>
      <c r="B13283" s="233"/>
      <c r="C13283" s="238"/>
      <c r="E13283" s="545"/>
      <c r="F13283" s="546"/>
      <c r="G13283" s="234"/>
      <c r="H13283" s="238"/>
      <c r="I13283" s="237"/>
    </row>
    <row r="13284" spans="1:9" s="232" customFormat="1" ht="17" customHeight="1">
      <c r="A13284" s="234"/>
      <c r="B13284" s="233"/>
      <c r="C13284" s="238"/>
      <c r="E13284" s="545"/>
      <c r="F13284" s="546"/>
      <c r="G13284" s="234"/>
      <c r="H13284" s="238"/>
      <c r="I13284" s="237"/>
    </row>
    <row r="13285" spans="1:9" s="232" customFormat="1" ht="17" customHeight="1">
      <c r="A13285" s="234"/>
      <c r="B13285" s="233"/>
      <c r="C13285" s="238"/>
      <c r="E13285" s="545"/>
      <c r="F13285" s="546"/>
      <c r="G13285" s="234"/>
      <c r="H13285" s="238"/>
      <c r="I13285" s="237"/>
    </row>
    <row r="13286" spans="1:9" s="232" customFormat="1" ht="17" customHeight="1">
      <c r="A13286" s="234"/>
      <c r="B13286" s="233"/>
      <c r="C13286" s="238"/>
      <c r="E13286" s="545"/>
      <c r="F13286" s="546"/>
      <c r="G13286" s="234"/>
      <c r="H13286" s="238"/>
      <c r="I13286" s="237"/>
    </row>
    <row r="13287" spans="1:9" s="232" customFormat="1" ht="17" customHeight="1">
      <c r="A13287" s="234"/>
      <c r="B13287" s="233"/>
      <c r="C13287" s="238"/>
      <c r="E13287" s="545"/>
      <c r="F13287" s="546"/>
      <c r="G13287" s="234"/>
      <c r="H13287" s="238"/>
      <c r="I13287" s="237"/>
    </row>
    <row r="13288" spans="1:9" s="232" customFormat="1" ht="17" customHeight="1">
      <c r="A13288" s="234"/>
      <c r="B13288" s="233"/>
      <c r="C13288" s="238"/>
      <c r="E13288" s="545"/>
      <c r="F13288" s="546"/>
      <c r="G13288" s="234"/>
      <c r="H13288" s="238"/>
      <c r="I13288" s="237"/>
    </row>
    <row r="13289" spans="1:9" s="232" customFormat="1" ht="17" customHeight="1">
      <c r="A13289" s="234"/>
      <c r="B13289" s="233"/>
      <c r="C13289" s="238"/>
      <c r="E13289" s="545"/>
      <c r="F13289" s="546"/>
      <c r="G13289" s="234"/>
      <c r="H13289" s="238"/>
      <c r="I13289" s="237"/>
    </row>
    <row r="13290" spans="1:9" s="232" customFormat="1" ht="17" customHeight="1">
      <c r="A13290" s="234"/>
      <c r="B13290" s="233"/>
      <c r="C13290" s="238"/>
      <c r="E13290" s="545"/>
      <c r="F13290" s="546"/>
      <c r="G13290" s="234"/>
      <c r="H13290" s="238"/>
      <c r="I13290" s="237"/>
    </row>
    <row r="13291" spans="1:9" s="232" customFormat="1" ht="17" customHeight="1">
      <c r="A13291" s="234"/>
      <c r="B13291" s="233"/>
      <c r="C13291" s="238"/>
      <c r="E13291" s="545"/>
      <c r="F13291" s="546"/>
      <c r="G13291" s="234"/>
      <c r="H13291" s="238"/>
      <c r="I13291" s="237"/>
    </row>
    <row r="13292" spans="1:9" s="232" customFormat="1" ht="17" customHeight="1">
      <c r="A13292" s="234"/>
      <c r="B13292" s="233"/>
      <c r="C13292" s="238"/>
      <c r="E13292" s="545"/>
      <c r="F13292" s="546"/>
      <c r="G13292" s="234"/>
      <c r="H13292" s="238"/>
      <c r="I13292" s="237"/>
    </row>
    <row r="13293" spans="1:9" s="232" customFormat="1" ht="17" customHeight="1">
      <c r="A13293" s="234"/>
      <c r="B13293" s="233"/>
      <c r="C13293" s="238"/>
      <c r="E13293" s="545"/>
      <c r="F13293" s="546"/>
      <c r="G13293" s="234"/>
      <c r="H13293" s="238"/>
      <c r="I13293" s="237"/>
    </row>
    <row r="13294" spans="1:9" s="232" customFormat="1" ht="17" customHeight="1">
      <c r="A13294" s="234"/>
      <c r="B13294" s="233"/>
      <c r="C13294" s="238"/>
      <c r="E13294" s="545"/>
      <c r="F13294" s="546"/>
      <c r="G13294" s="234"/>
      <c r="H13294" s="238"/>
      <c r="I13294" s="237"/>
    </row>
    <row r="13295" spans="1:9" s="232" customFormat="1" ht="17" customHeight="1">
      <c r="A13295" s="234"/>
      <c r="B13295" s="233"/>
      <c r="C13295" s="238"/>
      <c r="E13295" s="545"/>
      <c r="F13295" s="546"/>
      <c r="G13295" s="234"/>
      <c r="H13295" s="238"/>
      <c r="I13295" s="237"/>
    </row>
    <row r="13296" spans="1:9" s="232" customFormat="1" ht="17" customHeight="1">
      <c r="A13296" s="234"/>
      <c r="B13296" s="233"/>
      <c r="C13296" s="238"/>
      <c r="E13296" s="545"/>
      <c r="F13296" s="546"/>
      <c r="G13296" s="234"/>
      <c r="H13296" s="238"/>
      <c r="I13296" s="237"/>
    </row>
    <row r="13297" spans="1:9" s="232" customFormat="1" ht="17" customHeight="1">
      <c r="A13297" s="234"/>
      <c r="B13297" s="233"/>
      <c r="C13297" s="238"/>
      <c r="E13297" s="545"/>
      <c r="F13297" s="546"/>
      <c r="G13297" s="234"/>
      <c r="H13297" s="238"/>
      <c r="I13297" s="237"/>
    </row>
    <row r="13298" spans="1:9" s="232" customFormat="1" ht="17" customHeight="1">
      <c r="A13298" s="234"/>
      <c r="B13298" s="233"/>
      <c r="C13298" s="238"/>
      <c r="E13298" s="545"/>
      <c r="F13298" s="546"/>
      <c r="G13298" s="234"/>
      <c r="H13298" s="238"/>
      <c r="I13298" s="237"/>
    </row>
    <row r="13299" spans="1:9" s="232" customFormat="1" ht="17" customHeight="1">
      <c r="A13299" s="234"/>
      <c r="B13299" s="233"/>
      <c r="C13299" s="238"/>
      <c r="E13299" s="545"/>
      <c r="F13299" s="546"/>
      <c r="G13299" s="234"/>
      <c r="H13299" s="238"/>
      <c r="I13299" s="237"/>
    </row>
    <row r="13300" spans="1:9" s="232" customFormat="1" ht="17" customHeight="1">
      <c r="A13300" s="234"/>
      <c r="B13300" s="233"/>
      <c r="C13300" s="238"/>
      <c r="E13300" s="545"/>
      <c r="F13300" s="546"/>
      <c r="G13300" s="234"/>
      <c r="H13300" s="238"/>
      <c r="I13300" s="237"/>
    </row>
    <row r="13301" spans="1:9" s="232" customFormat="1" ht="17" customHeight="1">
      <c r="A13301" s="234"/>
      <c r="B13301" s="233"/>
      <c r="C13301" s="238"/>
      <c r="E13301" s="545"/>
      <c r="F13301" s="546"/>
      <c r="G13301" s="234"/>
      <c r="H13301" s="238"/>
      <c r="I13301" s="237"/>
    </row>
    <row r="13302" spans="1:9" s="232" customFormat="1" ht="17" customHeight="1">
      <c r="A13302" s="234"/>
      <c r="B13302" s="233"/>
      <c r="C13302" s="238"/>
      <c r="E13302" s="545"/>
      <c r="F13302" s="546"/>
      <c r="G13302" s="234"/>
      <c r="H13302" s="238"/>
      <c r="I13302" s="237"/>
    </row>
    <row r="13303" spans="1:9" s="232" customFormat="1" ht="17" customHeight="1">
      <c r="A13303" s="234"/>
      <c r="B13303" s="233"/>
      <c r="C13303" s="238"/>
      <c r="E13303" s="545"/>
      <c r="F13303" s="546"/>
      <c r="G13303" s="234"/>
      <c r="H13303" s="238"/>
      <c r="I13303" s="237"/>
    </row>
    <row r="13304" spans="1:9" s="232" customFormat="1" ht="17" customHeight="1">
      <c r="A13304" s="234"/>
      <c r="B13304" s="233"/>
      <c r="C13304" s="238"/>
      <c r="E13304" s="545"/>
      <c r="F13304" s="546"/>
      <c r="G13304" s="234"/>
      <c r="H13304" s="238"/>
      <c r="I13304" s="237"/>
    </row>
    <row r="13305" spans="1:9" s="232" customFormat="1" ht="17" customHeight="1">
      <c r="A13305" s="234"/>
      <c r="B13305" s="233"/>
      <c r="C13305" s="238"/>
      <c r="E13305" s="545"/>
      <c r="F13305" s="546"/>
      <c r="G13305" s="234"/>
      <c r="H13305" s="238"/>
      <c r="I13305" s="237"/>
    </row>
    <row r="13306" spans="1:9" s="232" customFormat="1" ht="17" customHeight="1">
      <c r="A13306" s="234"/>
      <c r="B13306" s="233"/>
      <c r="C13306" s="238"/>
      <c r="E13306" s="545"/>
      <c r="F13306" s="546"/>
      <c r="G13306" s="234"/>
      <c r="H13306" s="238"/>
      <c r="I13306" s="237"/>
    </row>
    <row r="13307" spans="1:9" s="232" customFormat="1" ht="17" customHeight="1">
      <c r="A13307" s="234"/>
      <c r="B13307" s="233"/>
      <c r="C13307" s="238"/>
      <c r="E13307" s="545"/>
      <c r="F13307" s="546"/>
      <c r="G13307" s="234"/>
      <c r="H13307" s="238"/>
      <c r="I13307" s="237"/>
    </row>
    <row r="13308" spans="1:9" s="232" customFormat="1" ht="17" customHeight="1">
      <c r="A13308" s="234"/>
      <c r="B13308" s="233"/>
      <c r="C13308" s="238"/>
      <c r="E13308" s="545"/>
      <c r="F13308" s="546"/>
      <c r="G13308" s="234"/>
      <c r="H13308" s="238"/>
      <c r="I13308" s="237"/>
    </row>
    <row r="13309" spans="1:9" s="232" customFormat="1" ht="17" customHeight="1">
      <c r="A13309" s="234"/>
      <c r="B13309" s="233"/>
      <c r="C13309" s="238"/>
      <c r="E13309" s="545"/>
      <c r="F13309" s="546"/>
      <c r="G13309" s="234"/>
      <c r="H13309" s="238"/>
      <c r="I13309" s="237"/>
    </row>
    <row r="13310" spans="1:9" s="232" customFormat="1" ht="17" customHeight="1">
      <c r="A13310" s="234"/>
      <c r="B13310" s="233"/>
      <c r="C13310" s="238"/>
      <c r="E13310" s="545"/>
      <c r="F13310" s="546"/>
      <c r="G13310" s="234"/>
      <c r="H13310" s="238"/>
      <c r="I13310" s="237"/>
    </row>
    <row r="13311" spans="1:9" s="232" customFormat="1" ht="17" customHeight="1">
      <c r="A13311" s="234"/>
      <c r="B13311" s="233"/>
      <c r="C13311" s="238"/>
      <c r="E13311" s="545"/>
      <c r="F13311" s="546"/>
      <c r="G13311" s="234"/>
      <c r="H13311" s="238"/>
      <c r="I13311" s="237"/>
    </row>
    <row r="13312" spans="1:9" s="232" customFormat="1" ht="17" customHeight="1">
      <c r="A13312" s="234"/>
      <c r="B13312" s="233"/>
      <c r="C13312" s="238"/>
      <c r="E13312" s="545"/>
      <c r="F13312" s="546"/>
      <c r="G13312" s="234"/>
      <c r="H13312" s="238"/>
      <c r="I13312" s="237"/>
    </row>
    <row r="13313" spans="1:9" s="232" customFormat="1" ht="17" customHeight="1">
      <c r="A13313" s="234"/>
      <c r="B13313" s="233"/>
      <c r="C13313" s="238"/>
      <c r="E13313" s="545"/>
      <c r="F13313" s="546"/>
      <c r="G13313" s="234"/>
      <c r="H13313" s="238"/>
      <c r="I13313" s="237"/>
    </row>
    <row r="13314" spans="1:9" s="232" customFormat="1" ht="17" customHeight="1">
      <c r="A13314" s="234"/>
      <c r="B13314" s="233"/>
      <c r="C13314" s="238"/>
      <c r="E13314" s="545"/>
      <c r="F13314" s="546"/>
      <c r="G13314" s="234"/>
      <c r="H13314" s="238"/>
      <c r="I13314" s="237"/>
    </row>
    <row r="13315" spans="1:9" s="232" customFormat="1" ht="17" customHeight="1">
      <c r="A13315" s="234"/>
      <c r="B13315" s="233"/>
      <c r="C13315" s="238"/>
      <c r="E13315" s="545"/>
      <c r="F13315" s="546"/>
      <c r="G13315" s="234"/>
      <c r="H13315" s="238"/>
      <c r="I13315" s="237"/>
    </row>
    <row r="13316" spans="1:9" s="232" customFormat="1" ht="17" customHeight="1">
      <c r="A13316" s="234"/>
      <c r="B13316" s="233"/>
      <c r="C13316" s="238"/>
      <c r="E13316" s="545"/>
      <c r="F13316" s="546"/>
      <c r="G13316" s="234"/>
      <c r="H13316" s="238"/>
      <c r="I13316" s="237"/>
    </row>
    <row r="13317" spans="1:9" s="232" customFormat="1" ht="17" customHeight="1">
      <c r="A13317" s="234"/>
      <c r="B13317" s="233"/>
      <c r="C13317" s="238"/>
      <c r="E13317" s="545"/>
      <c r="F13317" s="546"/>
      <c r="G13317" s="234"/>
      <c r="H13317" s="238"/>
      <c r="I13317" s="237"/>
    </row>
    <row r="13318" spans="1:9" s="232" customFormat="1" ht="17" customHeight="1">
      <c r="A13318" s="234"/>
      <c r="B13318" s="233"/>
      <c r="C13318" s="238"/>
      <c r="E13318" s="545"/>
      <c r="F13318" s="546"/>
      <c r="G13318" s="234"/>
      <c r="H13318" s="238"/>
      <c r="I13318" s="237"/>
    </row>
    <row r="13319" spans="1:9" s="232" customFormat="1" ht="17" customHeight="1">
      <c r="A13319" s="234"/>
      <c r="B13319" s="233"/>
      <c r="C13319" s="238"/>
      <c r="E13319" s="545"/>
      <c r="F13319" s="546"/>
      <c r="G13319" s="234"/>
      <c r="H13319" s="238"/>
      <c r="I13319" s="237"/>
    </row>
    <row r="13320" spans="1:9" s="232" customFormat="1" ht="17" customHeight="1">
      <c r="A13320" s="234"/>
      <c r="B13320" s="233"/>
      <c r="C13320" s="238"/>
      <c r="E13320" s="545"/>
      <c r="F13320" s="546"/>
      <c r="G13320" s="234"/>
      <c r="H13320" s="238"/>
      <c r="I13320" s="237"/>
    </row>
    <row r="13321" spans="1:9" s="232" customFormat="1" ht="17" customHeight="1">
      <c r="A13321" s="234"/>
      <c r="B13321" s="233"/>
      <c r="C13321" s="238"/>
      <c r="E13321" s="545"/>
      <c r="F13321" s="546"/>
      <c r="G13321" s="234"/>
      <c r="H13321" s="238"/>
      <c r="I13321" s="237"/>
    </row>
    <row r="13322" spans="1:9" s="232" customFormat="1" ht="17" customHeight="1">
      <c r="A13322" s="234"/>
      <c r="B13322" s="233"/>
      <c r="C13322" s="238"/>
      <c r="E13322" s="545"/>
      <c r="F13322" s="546"/>
      <c r="G13322" s="234"/>
      <c r="H13322" s="238"/>
      <c r="I13322" s="237"/>
    </row>
    <row r="13323" spans="1:9" s="232" customFormat="1" ht="17" customHeight="1">
      <c r="A13323" s="234"/>
      <c r="B13323" s="233"/>
      <c r="C13323" s="238"/>
      <c r="E13323" s="545"/>
      <c r="F13323" s="546"/>
      <c r="G13323" s="234"/>
      <c r="H13323" s="238"/>
      <c r="I13323" s="237"/>
    </row>
    <row r="13324" spans="1:9" s="232" customFormat="1" ht="17" customHeight="1">
      <c r="A13324" s="234"/>
      <c r="B13324" s="233"/>
      <c r="C13324" s="238"/>
      <c r="E13324" s="545"/>
      <c r="F13324" s="546"/>
      <c r="G13324" s="234"/>
      <c r="H13324" s="238"/>
      <c r="I13324" s="237"/>
    </row>
    <row r="13325" spans="1:9" s="232" customFormat="1" ht="17" customHeight="1">
      <c r="A13325" s="234"/>
      <c r="B13325" s="233"/>
      <c r="C13325" s="238"/>
      <c r="E13325" s="545"/>
      <c r="F13325" s="546"/>
      <c r="G13325" s="234"/>
      <c r="H13325" s="238"/>
      <c r="I13325" s="237"/>
    </row>
    <row r="13326" spans="1:9" s="232" customFormat="1" ht="17" customHeight="1">
      <c r="A13326" s="234"/>
      <c r="B13326" s="233"/>
      <c r="C13326" s="238"/>
      <c r="E13326" s="545"/>
      <c r="F13326" s="546"/>
      <c r="G13326" s="234"/>
      <c r="H13326" s="238"/>
      <c r="I13326" s="237"/>
    </row>
    <row r="13327" spans="1:9" s="232" customFormat="1" ht="17" customHeight="1">
      <c r="A13327" s="234"/>
      <c r="B13327" s="233"/>
      <c r="C13327" s="238"/>
      <c r="E13327" s="545"/>
      <c r="F13327" s="546"/>
      <c r="G13327" s="234"/>
      <c r="H13327" s="238"/>
      <c r="I13327" s="237"/>
    </row>
    <row r="13328" spans="1:9" s="232" customFormat="1" ht="17" customHeight="1">
      <c r="A13328" s="234"/>
      <c r="B13328" s="233"/>
      <c r="C13328" s="238"/>
      <c r="E13328" s="545"/>
      <c r="F13328" s="546"/>
      <c r="G13328" s="234"/>
      <c r="H13328" s="238"/>
      <c r="I13328" s="237"/>
    </row>
    <row r="13329" spans="1:9" s="232" customFormat="1" ht="17" customHeight="1">
      <c r="A13329" s="234"/>
      <c r="B13329" s="233"/>
      <c r="C13329" s="238"/>
      <c r="E13329" s="545"/>
      <c r="F13329" s="546"/>
      <c r="G13329" s="234"/>
      <c r="H13329" s="238"/>
      <c r="I13329" s="237"/>
    </row>
    <row r="13330" spans="1:9" s="232" customFormat="1" ht="17" customHeight="1">
      <c r="A13330" s="234"/>
      <c r="B13330" s="233"/>
      <c r="C13330" s="238"/>
      <c r="E13330" s="545"/>
      <c r="F13330" s="546"/>
      <c r="G13330" s="234"/>
      <c r="H13330" s="238"/>
      <c r="I13330" s="237"/>
    </row>
    <row r="13331" spans="1:9" s="232" customFormat="1" ht="17" customHeight="1">
      <c r="A13331" s="234"/>
      <c r="B13331" s="233"/>
      <c r="C13331" s="238"/>
      <c r="E13331" s="545"/>
      <c r="F13331" s="546"/>
      <c r="G13331" s="234"/>
      <c r="H13331" s="238"/>
      <c r="I13331" s="237"/>
    </row>
    <row r="13332" spans="1:9" s="232" customFormat="1" ht="17" customHeight="1">
      <c r="A13332" s="234"/>
      <c r="B13332" s="233"/>
      <c r="C13332" s="238"/>
      <c r="E13332" s="545"/>
      <c r="F13332" s="546"/>
      <c r="G13332" s="234"/>
      <c r="H13332" s="238"/>
      <c r="I13332" s="237"/>
    </row>
    <row r="13333" spans="1:9" s="232" customFormat="1" ht="17" customHeight="1">
      <c r="A13333" s="234"/>
      <c r="B13333" s="233"/>
      <c r="C13333" s="238"/>
      <c r="E13333" s="545"/>
      <c r="F13333" s="546"/>
      <c r="G13333" s="234"/>
      <c r="H13333" s="238"/>
      <c r="I13333" s="237"/>
    </row>
    <row r="13334" spans="1:9" s="232" customFormat="1" ht="17" customHeight="1">
      <c r="A13334" s="234"/>
      <c r="B13334" s="233"/>
      <c r="C13334" s="238"/>
      <c r="E13334" s="545"/>
      <c r="F13334" s="546"/>
      <c r="G13334" s="234"/>
      <c r="H13334" s="238"/>
      <c r="I13334" s="237"/>
    </row>
    <row r="13335" spans="1:9" s="232" customFormat="1" ht="17" customHeight="1">
      <c r="A13335" s="234"/>
      <c r="B13335" s="233"/>
      <c r="C13335" s="238"/>
      <c r="E13335" s="545"/>
      <c r="F13335" s="546"/>
      <c r="G13335" s="234"/>
      <c r="H13335" s="238"/>
      <c r="I13335" s="237"/>
    </row>
    <row r="13336" spans="1:9" s="232" customFormat="1" ht="17" customHeight="1">
      <c r="A13336" s="234"/>
      <c r="B13336" s="233"/>
      <c r="C13336" s="238"/>
      <c r="E13336" s="545"/>
      <c r="F13336" s="546"/>
      <c r="G13336" s="234"/>
      <c r="H13336" s="238"/>
      <c r="I13336" s="237"/>
    </row>
    <row r="13337" spans="1:9" s="232" customFormat="1" ht="17" customHeight="1">
      <c r="A13337" s="234"/>
      <c r="B13337" s="233"/>
      <c r="C13337" s="238"/>
      <c r="E13337" s="545"/>
      <c r="F13337" s="546"/>
      <c r="G13337" s="234"/>
      <c r="H13337" s="238"/>
      <c r="I13337" s="237"/>
    </row>
    <row r="13338" spans="1:9" s="232" customFormat="1" ht="17" customHeight="1">
      <c r="A13338" s="234"/>
      <c r="B13338" s="233"/>
      <c r="C13338" s="238"/>
      <c r="E13338" s="545"/>
      <c r="F13338" s="546"/>
      <c r="G13338" s="234"/>
      <c r="H13338" s="238"/>
      <c r="I13338" s="237"/>
    </row>
    <row r="13339" spans="1:9" s="232" customFormat="1" ht="17" customHeight="1">
      <c r="A13339" s="234"/>
      <c r="B13339" s="233"/>
      <c r="C13339" s="238"/>
      <c r="E13339" s="545"/>
      <c r="F13339" s="546"/>
      <c r="G13339" s="234"/>
      <c r="H13339" s="238"/>
      <c r="I13339" s="237"/>
    </row>
    <row r="13340" spans="1:9" s="232" customFormat="1" ht="17" customHeight="1">
      <c r="A13340" s="234"/>
      <c r="B13340" s="233"/>
      <c r="C13340" s="238"/>
      <c r="E13340" s="545"/>
      <c r="F13340" s="546"/>
      <c r="G13340" s="234"/>
      <c r="H13340" s="238"/>
      <c r="I13340" s="237"/>
    </row>
    <row r="13341" spans="1:9" s="232" customFormat="1" ht="17" customHeight="1">
      <c r="A13341" s="234"/>
      <c r="B13341" s="233"/>
      <c r="C13341" s="238"/>
      <c r="E13341" s="545"/>
      <c r="F13341" s="546"/>
      <c r="G13341" s="234"/>
      <c r="H13341" s="238"/>
      <c r="I13341" s="237"/>
    </row>
    <row r="13342" spans="1:9" s="232" customFormat="1" ht="17" customHeight="1">
      <c r="A13342" s="234"/>
      <c r="B13342" s="233"/>
      <c r="C13342" s="238"/>
      <c r="E13342" s="545"/>
      <c r="F13342" s="546"/>
      <c r="G13342" s="234"/>
      <c r="H13342" s="238"/>
      <c r="I13342" s="237"/>
    </row>
    <row r="13343" spans="1:9" s="232" customFormat="1" ht="17" customHeight="1">
      <c r="A13343" s="234"/>
      <c r="B13343" s="233"/>
      <c r="C13343" s="238"/>
      <c r="E13343" s="545"/>
      <c r="F13343" s="546"/>
      <c r="G13343" s="234"/>
      <c r="H13343" s="238"/>
      <c r="I13343" s="237"/>
    </row>
    <row r="13344" spans="1:9" s="232" customFormat="1" ht="17" customHeight="1">
      <c r="A13344" s="234"/>
      <c r="B13344" s="233"/>
      <c r="C13344" s="238"/>
      <c r="E13344" s="545"/>
      <c r="F13344" s="546"/>
      <c r="G13344" s="234"/>
      <c r="H13344" s="238"/>
      <c r="I13344" s="237"/>
    </row>
    <row r="13345" spans="1:9" s="232" customFormat="1" ht="17" customHeight="1">
      <c r="A13345" s="234"/>
      <c r="B13345" s="233"/>
      <c r="C13345" s="238"/>
      <c r="E13345" s="545"/>
      <c r="F13345" s="546"/>
      <c r="G13345" s="234"/>
      <c r="H13345" s="238"/>
      <c r="I13345" s="237"/>
    </row>
    <row r="13346" spans="1:9" s="232" customFormat="1" ht="17" customHeight="1">
      <c r="A13346" s="234"/>
      <c r="B13346" s="233"/>
      <c r="C13346" s="238"/>
      <c r="E13346" s="545"/>
      <c r="F13346" s="546"/>
      <c r="G13346" s="234"/>
      <c r="H13346" s="238"/>
      <c r="I13346" s="237"/>
    </row>
    <row r="13347" spans="1:9" s="232" customFormat="1" ht="17" customHeight="1">
      <c r="A13347" s="234"/>
      <c r="B13347" s="233"/>
      <c r="C13347" s="238"/>
      <c r="E13347" s="545"/>
      <c r="F13347" s="546"/>
      <c r="G13347" s="234"/>
      <c r="H13347" s="238"/>
      <c r="I13347" s="237"/>
    </row>
    <row r="13348" spans="1:9" s="232" customFormat="1" ht="17" customHeight="1">
      <c r="A13348" s="234"/>
      <c r="B13348" s="233"/>
      <c r="C13348" s="238"/>
      <c r="E13348" s="545"/>
      <c r="F13348" s="546"/>
      <c r="G13348" s="234"/>
      <c r="H13348" s="238"/>
      <c r="I13348" s="237"/>
    </row>
    <row r="13349" spans="1:9" s="232" customFormat="1" ht="17" customHeight="1">
      <c r="A13349" s="234"/>
      <c r="B13349" s="233"/>
      <c r="C13349" s="238"/>
      <c r="E13349" s="545"/>
      <c r="F13349" s="546"/>
      <c r="G13349" s="234"/>
      <c r="H13349" s="238"/>
      <c r="I13349" s="237"/>
    </row>
    <row r="13350" spans="1:9" s="232" customFormat="1" ht="17" customHeight="1">
      <c r="A13350" s="234"/>
      <c r="B13350" s="233"/>
      <c r="C13350" s="238"/>
      <c r="E13350" s="545"/>
      <c r="F13350" s="546"/>
      <c r="G13350" s="234"/>
      <c r="H13350" s="238"/>
      <c r="I13350" s="237"/>
    </row>
    <row r="13351" spans="1:9" s="232" customFormat="1" ht="17" customHeight="1">
      <c r="A13351" s="234"/>
      <c r="B13351" s="233"/>
      <c r="C13351" s="238"/>
      <c r="E13351" s="545"/>
      <c r="F13351" s="546"/>
      <c r="G13351" s="234"/>
      <c r="H13351" s="238"/>
      <c r="I13351" s="237"/>
    </row>
    <row r="13352" spans="1:9" s="232" customFormat="1" ht="17" customHeight="1">
      <c r="A13352" s="234"/>
      <c r="B13352" s="233"/>
      <c r="C13352" s="238"/>
      <c r="E13352" s="545"/>
      <c r="F13352" s="546"/>
      <c r="G13352" s="234"/>
      <c r="H13352" s="238"/>
      <c r="I13352" s="237"/>
    </row>
    <row r="13353" spans="1:9" s="232" customFormat="1" ht="17" customHeight="1">
      <c r="A13353" s="234"/>
      <c r="B13353" s="233"/>
      <c r="C13353" s="238"/>
      <c r="E13353" s="545"/>
      <c r="F13353" s="546"/>
      <c r="G13353" s="234"/>
      <c r="H13353" s="238"/>
      <c r="I13353" s="237"/>
    </row>
    <row r="13354" spans="1:9" s="232" customFormat="1" ht="17" customHeight="1">
      <c r="A13354" s="234"/>
      <c r="B13354" s="233"/>
      <c r="C13354" s="238"/>
      <c r="E13354" s="545"/>
      <c r="F13354" s="546"/>
      <c r="G13354" s="234"/>
      <c r="H13354" s="238"/>
      <c r="I13354" s="237"/>
    </row>
    <row r="13355" spans="1:9" s="232" customFormat="1" ht="17" customHeight="1">
      <c r="A13355" s="234"/>
      <c r="B13355" s="233"/>
      <c r="C13355" s="238"/>
      <c r="E13355" s="545"/>
      <c r="F13355" s="546"/>
      <c r="G13355" s="234"/>
      <c r="H13355" s="238"/>
      <c r="I13355" s="237"/>
    </row>
    <row r="13356" spans="1:9" s="232" customFormat="1" ht="17" customHeight="1">
      <c r="A13356" s="234"/>
      <c r="B13356" s="233"/>
      <c r="C13356" s="238"/>
      <c r="E13356" s="545"/>
      <c r="F13356" s="546"/>
      <c r="G13356" s="234"/>
      <c r="H13356" s="238"/>
      <c r="I13356" s="237"/>
    </row>
    <row r="13357" spans="1:9" s="232" customFormat="1" ht="17" customHeight="1">
      <c r="A13357" s="234"/>
      <c r="B13357" s="233"/>
      <c r="C13357" s="238"/>
      <c r="E13357" s="545"/>
      <c r="F13357" s="546"/>
      <c r="G13357" s="234"/>
      <c r="H13357" s="238"/>
      <c r="I13357" s="237"/>
    </row>
    <row r="13358" spans="1:9" s="232" customFormat="1" ht="17" customHeight="1">
      <c r="A13358" s="234"/>
      <c r="B13358" s="233"/>
      <c r="C13358" s="238"/>
      <c r="E13358" s="545"/>
      <c r="F13358" s="546"/>
      <c r="G13358" s="234"/>
      <c r="H13358" s="238"/>
      <c r="I13358" s="237"/>
    </row>
    <row r="13359" spans="1:9" s="232" customFormat="1" ht="17" customHeight="1">
      <c r="A13359" s="234"/>
      <c r="B13359" s="233"/>
      <c r="C13359" s="238"/>
      <c r="E13359" s="545"/>
      <c r="F13359" s="546"/>
      <c r="G13359" s="234"/>
      <c r="H13359" s="238"/>
      <c r="I13359" s="237"/>
    </row>
    <row r="13360" spans="1:9" s="232" customFormat="1" ht="17" customHeight="1">
      <c r="A13360" s="234"/>
      <c r="B13360" s="233"/>
      <c r="C13360" s="238"/>
      <c r="E13360" s="545"/>
      <c r="F13360" s="546"/>
      <c r="G13360" s="234"/>
      <c r="H13360" s="238"/>
      <c r="I13360" s="237"/>
    </row>
    <row r="13361" spans="1:9" s="232" customFormat="1" ht="17" customHeight="1">
      <c r="A13361" s="234"/>
      <c r="B13361" s="233"/>
      <c r="C13361" s="238"/>
      <c r="E13361" s="545"/>
      <c r="F13361" s="546"/>
      <c r="G13361" s="234"/>
      <c r="H13361" s="238"/>
      <c r="I13361" s="237"/>
    </row>
    <row r="13362" spans="1:9" s="232" customFormat="1" ht="17" customHeight="1">
      <c r="A13362" s="234"/>
      <c r="B13362" s="233"/>
      <c r="C13362" s="238"/>
      <c r="E13362" s="545"/>
      <c r="F13362" s="546"/>
      <c r="G13362" s="234"/>
      <c r="H13362" s="238"/>
      <c r="I13362" s="237"/>
    </row>
    <row r="13363" spans="1:9" s="232" customFormat="1" ht="17" customHeight="1">
      <c r="A13363" s="234"/>
      <c r="B13363" s="233"/>
      <c r="C13363" s="238"/>
      <c r="E13363" s="545"/>
      <c r="F13363" s="546"/>
      <c r="G13363" s="234"/>
      <c r="H13363" s="238"/>
      <c r="I13363" s="237"/>
    </row>
    <row r="13364" spans="1:9" s="232" customFormat="1" ht="17" customHeight="1">
      <c r="A13364" s="234"/>
      <c r="B13364" s="233"/>
      <c r="C13364" s="238"/>
      <c r="E13364" s="545"/>
      <c r="F13364" s="546"/>
      <c r="G13364" s="234"/>
      <c r="H13364" s="238"/>
      <c r="I13364" s="237"/>
    </row>
    <row r="13365" spans="1:9" s="232" customFormat="1" ht="17" customHeight="1">
      <c r="A13365" s="234"/>
      <c r="B13365" s="233"/>
      <c r="C13365" s="238"/>
      <c r="E13365" s="545"/>
      <c r="F13365" s="546"/>
      <c r="G13365" s="234"/>
      <c r="H13365" s="238"/>
      <c r="I13365" s="237"/>
    </row>
    <row r="13366" spans="1:9" s="232" customFormat="1" ht="17" customHeight="1">
      <c r="A13366" s="234"/>
      <c r="B13366" s="233"/>
      <c r="C13366" s="238"/>
      <c r="E13366" s="545"/>
      <c r="F13366" s="546"/>
      <c r="G13366" s="234"/>
      <c r="H13366" s="238"/>
      <c r="I13366" s="237"/>
    </row>
    <row r="13367" spans="1:9" s="232" customFormat="1" ht="17" customHeight="1">
      <c r="A13367" s="234"/>
      <c r="B13367" s="233"/>
      <c r="C13367" s="238"/>
      <c r="E13367" s="545"/>
      <c r="F13367" s="546"/>
      <c r="G13367" s="234"/>
      <c r="H13367" s="238"/>
      <c r="I13367" s="237"/>
    </row>
    <row r="13368" spans="1:9" s="232" customFormat="1" ht="17" customHeight="1">
      <c r="A13368" s="234"/>
      <c r="B13368" s="233"/>
      <c r="C13368" s="238"/>
      <c r="E13368" s="545"/>
      <c r="F13368" s="546"/>
      <c r="G13368" s="234"/>
      <c r="H13368" s="238"/>
      <c r="I13368" s="237"/>
    </row>
    <row r="13369" spans="1:9" s="232" customFormat="1" ht="17" customHeight="1">
      <c r="A13369" s="234"/>
      <c r="B13369" s="233"/>
      <c r="C13369" s="238"/>
      <c r="E13369" s="545"/>
      <c r="F13369" s="546"/>
      <c r="G13369" s="234"/>
      <c r="H13369" s="238"/>
      <c r="I13369" s="237"/>
    </row>
    <row r="13370" spans="1:9" s="232" customFormat="1" ht="17" customHeight="1">
      <c r="A13370" s="234"/>
      <c r="B13370" s="233"/>
      <c r="C13370" s="238"/>
      <c r="E13370" s="545"/>
      <c r="F13370" s="546"/>
      <c r="G13370" s="234"/>
      <c r="H13370" s="238"/>
      <c r="I13370" s="237"/>
    </row>
    <row r="13371" spans="1:9" s="232" customFormat="1" ht="17" customHeight="1">
      <c r="A13371" s="234"/>
      <c r="B13371" s="233"/>
      <c r="C13371" s="238"/>
      <c r="E13371" s="545"/>
      <c r="F13371" s="546"/>
      <c r="G13371" s="234"/>
      <c r="H13371" s="238"/>
      <c r="I13371" s="237"/>
    </row>
    <row r="13372" spans="1:9" s="232" customFormat="1" ht="17" customHeight="1">
      <c r="A13372" s="234"/>
      <c r="B13372" s="233"/>
      <c r="C13372" s="238"/>
      <c r="E13372" s="545"/>
      <c r="F13372" s="546"/>
      <c r="G13372" s="234"/>
      <c r="H13372" s="238"/>
      <c r="I13372" s="237"/>
    </row>
    <row r="13373" spans="1:9" s="232" customFormat="1" ht="17" customHeight="1">
      <c r="A13373" s="234"/>
      <c r="B13373" s="233"/>
      <c r="C13373" s="238"/>
      <c r="E13373" s="545"/>
      <c r="F13373" s="546"/>
      <c r="G13373" s="234"/>
      <c r="H13373" s="238"/>
      <c r="I13373" s="237"/>
    </row>
    <row r="13374" spans="1:9" s="232" customFormat="1" ht="17" customHeight="1">
      <c r="A13374" s="234"/>
      <c r="B13374" s="233"/>
      <c r="C13374" s="238"/>
      <c r="E13374" s="545"/>
      <c r="F13374" s="546"/>
      <c r="G13374" s="234"/>
      <c r="H13374" s="238"/>
      <c r="I13374" s="237"/>
    </row>
    <row r="13375" spans="1:9" s="232" customFormat="1" ht="17" customHeight="1">
      <c r="A13375" s="234"/>
      <c r="B13375" s="233"/>
      <c r="C13375" s="238"/>
      <c r="E13375" s="545"/>
      <c r="F13375" s="546"/>
      <c r="G13375" s="234"/>
      <c r="H13375" s="238"/>
      <c r="I13375" s="237"/>
    </row>
    <row r="13376" spans="1:9" s="232" customFormat="1" ht="17" customHeight="1">
      <c r="A13376" s="234"/>
      <c r="B13376" s="233"/>
      <c r="C13376" s="238"/>
      <c r="E13376" s="545"/>
      <c r="F13376" s="546"/>
      <c r="G13376" s="234"/>
      <c r="H13376" s="238"/>
      <c r="I13376" s="237"/>
    </row>
    <row r="13377" spans="1:9" s="232" customFormat="1" ht="17" customHeight="1">
      <c r="A13377" s="234"/>
      <c r="B13377" s="233"/>
      <c r="C13377" s="238"/>
      <c r="E13377" s="545"/>
      <c r="F13377" s="546"/>
      <c r="G13377" s="234"/>
      <c r="H13377" s="238"/>
      <c r="I13377" s="237"/>
    </row>
    <row r="13378" spans="1:9" s="232" customFormat="1" ht="17" customHeight="1">
      <c r="A13378" s="234"/>
      <c r="B13378" s="233"/>
      <c r="C13378" s="238"/>
      <c r="E13378" s="545"/>
      <c r="F13378" s="546"/>
      <c r="G13378" s="234"/>
      <c r="H13378" s="238"/>
      <c r="I13378" s="237"/>
    </row>
    <row r="13379" spans="1:9" s="232" customFormat="1" ht="17" customHeight="1">
      <c r="A13379" s="234"/>
      <c r="B13379" s="233"/>
      <c r="C13379" s="238"/>
      <c r="E13379" s="545"/>
      <c r="F13379" s="546"/>
      <c r="G13379" s="234"/>
      <c r="H13379" s="238"/>
      <c r="I13379" s="237"/>
    </row>
    <row r="13380" spans="1:9" s="232" customFormat="1" ht="17" customHeight="1">
      <c r="A13380" s="234"/>
      <c r="B13380" s="233"/>
      <c r="C13380" s="238"/>
      <c r="E13380" s="545"/>
      <c r="F13380" s="546"/>
      <c r="G13380" s="234"/>
      <c r="H13380" s="238"/>
      <c r="I13380" s="237"/>
    </row>
    <row r="13381" spans="1:9" s="232" customFormat="1" ht="17" customHeight="1">
      <c r="A13381" s="234"/>
      <c r="B13381" s="233"/>
      <c r="C13381" s="238"/>
      <c r="E13381" s="545"/>
      <c r="F13381" s="546"/>
      <c r="G13381" s="234"/>
      <c r="H13381" s="238"/>
      <c r="I13381" s="237"/>
    </row>
    <row r="13382" spans="1:9" s="232" customFormat="1" ht="17" customHeight="1">
      <c r="A13382" s="234"/>
      <c r="B13382" s="233"/>
      <c r="C13382" s="238"/>
      <c r="E13382" s="545"/>
      <c r="F13382" s="546"/>
      <c r="G13382" s="234"/>
      <c r="H13382" s="238"/>
      <c r="I13382" s="237"/>
    </row>
    <row r="13383" spans="1:9" s="232" customFormat="1" ht="17" customHeight="1">
      <c r="A13383" s="234"/>
      <c r="B13383" s="233"/>
      <c r="C13383" s="238"/>
      <c r="E13383" s="545"/>
      <c r="F13383" s="546"/>
      <c r="G13383" s="234"/>
      <c r="H13383" s="238"/>
      <c r="I13383" s="237"/>
    </row>
    <row r="13384" spans="1:9" s="232" customFormat="1" ht="17" customHeight="1">
      <c r="A13384" s="234"/>
      <c r="B13384" s="233"/>
      <c r="C13384" s="238"/>
      <c r="E13384" s="545"/>
      <c r="F13384" s="546"/>
      <c r="G13384" s="234"/>
      <c r="H13384" s="238"/>
      <c r="I13384" s="237"/>
    </row>
    <row r="13385" spans="1:9" s="232" customFormat="1" ht="17" customHeight="1">
      <c r="A13385" s="234"/>
      <c r="B13385" s="233"/>
      <c r="C13385" s="238"/>
      <c r="E13385" s="545"/>
      <c r="F13385" s="546"/>
      <c r="G13385" s="234"/>
      <c r="H13385" s="238"/>
      <c r="I13385" s="237"/>
    </row>
    <row r="13386" spans="1:9" s="232" customFormat="1" ht="17" customHeight="1">
      <c r="A13386" s="234"/>
      <c r="B13386" s="233"/>
      <c r="C13386" s="238"/>
      <c r="E13386" s="545"/>
      <c r="F13386" s="546"/>
      <c r="G13386" s="234"/>
      <c r="H13386" s="238"/>
      <c r="I13386" s="237"/>
    </row>
    <row r="13387" spans="1:9" s="232" customFormat="1" ht="17" customHeight="1">
      <c r="A13387" s="234"/>
      <c r="B13387" s="233"/>
      <c r="C13387" s="238"/>
      <c r="E13387" s="545"/>
      <c r="F13387" s="546"/>
      <c r="G13387" s="234"/>
      <c r="H13387" s="238"/>
      <c r="I13387" s="237"/>
    </row>
    <row r="13388" spans="1:9" s="232" customFormat="1" ht="17" customHeight="1">
      <c r="A13388" s="234"/>
      <c r="B13388" s="233"/>
      <c r="C13388" s="238"/>
      <c r="E13388" s="545"/>
      <c r="F13388" s="546"/>
      <c r="G13388" s="234"/>
      <c r="H13388" s="238"/>
      <c r="I13388" s="237"/>
    </row>
    <row r="13389" spans="1:9" s="232" customFormat="1" ht="17" customHeight="1">
      <c r="A13389" s="234"/>
      <c r="B13389" s="233"/>
      <c r="C13389" s="238"/>
      <c r="E13389" s="545"/>
      <c r="F13389" s="546"/>
      <c r="G13389" s="234"/>
      <c r="H13389" s="238"/>
      <c r="I13389" s="237"/>
    </row>
    <row r="13390" spans="1:9" s="232" customFormat="1" ht="17" customHeight="1">
      <c r="A13390" s="234"/>
      <c r="B13390" s="233"/>
      <c r="C13390" s="238"/>
      <c r="E13390" s="545"/>
      <c r="F13390" s="546"/>
      <c r="G13390" s="234"/>
      <c r="H13390" s="238"/>
      <c r="I13390" s="237"/>
    </row>
    <row r="13391" spans="1:9" s="232" customFormat="1" ht="17" customHeight="1">
      <c r="A13391" s="234"/>
      <c r="B13391" s="233"/>
      <c r="C13391" s="238"/>
      <c r="E13391" s="545"/>
      <c r="F13391" s="546"/>
      <c r="G13391" s="234"/>
      <c r="H13391" s="238"/>
      <c r="I13391" s="237"/>
    </row>
    <row r="13392" spans="1:9" s="232" customFormat="1" ht="17" customHeight="1">
      <c r="A13392" s="234"/>
      <c r="B13392" s="233"/>
      <c r="C13392" s="238"/>
      <c r="E13392" s="545"/>
      <c r="F13392" s="546"/>
      <c r="G13392" s="234"/>
      <c r="H13392" s="238"/>
      <c r="I13392" s="237"/>
    </row>
    <row r="13393" spans="1:9" s="232" customFormat="1" ht="17" customHeight="1">
      <c r="A13393" s="234"/>
      <c r="B13393" s="233"/>
      <c r="C13393" s="238"/>
      <c r="E13393" s="545"/>
      <c r="F13393" s="546"/>
      <c r="G13393" s="234"/>
      <c r="H13393" s="238"/>
      <c r="I13393" s="237"/>
    </row>
    <row r="13394" spans="1:9" s="232" customFormat="1" ht="17" customHeight="1">
      <c r="A13394" s="234"/>
      <c r="B13394" s="233"/>
      <c r="C13394" s="238"/>
      <c r="E13394" s="545"/>
      <c r="F13394" s="546"/>
      <c r="G13394" s="234"/>
      <c r="H13394" s="238"/>
      <c r="I13394" s="237"/>
    </row>
    <row r="13395" spans="1:9" s="232" customFormat="1" ht="17" customHeight="1">
      <c r="A13395" s="234"/>
      <c r="B13395" s="233"/>
      <c r="C13395" s="238"/>
      <c r="E13395" s="545"/>
      <c r="F13395" s="546"/>
      <c r="G13395" s="234"/>
      <c r="H13395" s="238"/>
      <c r="I13395" s="237"/>
    </row>
    <row r="13396" spans="1:9" s="232" customFormat="1" ht="17" customHeight="1">
      <c r="A13396" s="234"/>
      <c r="B13396" s="233"/>
      <c r="C13396" s="238"/>
      <c r="E13396" s="545"/>
      <c r="F13396" s="546"/>
      <c r="G13396" s="234"/>
      <c r="H13396" s="238"/>
      <c r="I13396" s="237"/>
    </row>
    <row r="13397" spans="1:9" s="232" customFormat="1" ht="17" customHeight="1">
      <c r="A13397" s="234"/>
      <c r="B13397" s="233"/>
      <c r="C13397" s="238"/>
      <c r="E13397" s="545"/>
      <c r="F13397" s="546"/>
      <c r="G13397" s="234"/>
      <c r="H13397" s="238"/>
      <c r="I13397" s="237"/>
    </row>
    <row r="13398" spans="1:9" s="232" customFormat="1" ht="17" customHeight="1">
      <c r="A13398" s="234"/>
      <c r="B13398" s="233"/>
      <c r="C13398" s="238"/>
      <c r="E13398" s="545"/>
      <c r="F13398" s="546"/>
      <c r="G13398" s="234"/>
      <c r="H13398" s="238"/>
      <c r="I13398" s="237"/>
    </row>
    <row r="13399" spans="1:9" s="232" customFormat="1" ht="17" customHeight="1">
      <c r="A13399" s="234"/>
      <c r="B13399" s="233"/>
      <c r="C13399" s="238"/>
      <c r="E13399" s="545"/>
      <c r="F13399" s="546"/>
      <c r="G13399" s="234"/>
      <c r="H13399" s="238"/>
      <c r="I13399" s="237"/>
    </row>
    <row r="13400" spans="1:9" s="232" customFormat="1" ht="17" customHeight="1">
      <c r="A13400" s="234"/>
      <c r="B13400" s="233"/>
      <c r="C13400" s="238"/>
      <c r="E13400" s="545"/>
      <c r="F13400" s="546"/>
      <c r="G13400" s="234"/>
      <c r="H13400" s="238"/>
      <c r="I13400" s="237"/>
    </row>
    <row r="13401" spans="1:9" s="232" customFormat="1" ht="17" customHeight="1">
      <c r="A13401" s="234"/>
      <c r="B13401" s="233"/>
      <c r="C13401" s="238"/>
      <c r="E13401" s="545"/>
      <c r="F13401" s="546"/>
      <c r="G13401" s="234"/>
      <c r="H13401" s="238"/>
      <c r="I13401" s="237"/>
    </row>
    <row r="13402" spans="1:9" s="232" customFormat="1" ht="17" customHeight="1">
      <c r="A13402" s="234"/>
      <c r="B13402" s="233"/>
      <c r="C13402" s="238"/>
      <c r="E13402" s="545"/>
      <c r="F13402" s="546"/>
      <c r="G13402" s="234"/>
      <c r="H13402" s="238"/>
      <c r="I13402" s="237"/>
    </row>
    <row r="13403" spans="1:9" s="232" customFormat="1" ht="17" customHeight="1">
      <c r="A13403" s="234"/>
      <c r="B13403" s="233"/>
      <c r="C13403" s="238"/>
      <c r="E13403" s="545"/>
      <c r="F13403" s="546"/>
      <c r="G13403" s="234"/>
      <c r="H13403" s="238"/>
      <c r="I13403" s="237"/>
    </row>
    <row r="13404" spans="1:9" s="232" customFormat="1" ht="17" customHeight="1">
      <c r="A13404" s="234"/>
      <c r="B13404" s="233"/>
      <c r="C13404" s="238"/>
      <c r="E13404" s="545"/>
      <c r="F13404" s="546"/>
      <c r="G13404" s="234"/>
      <c r="H13404" s="238"/>
      <c r="I13404" s="237"/>
    </row>
    <row r="13405" spans="1:9" s="232" customFormat="1" ht="17" customHeight="1">
      <c r="A13405" s="234"/>
      <c r="B13405" s="233"/>
      <c r="C13405" s="238"/>
      <c r="E13405" s="545"/>
      <c r="F13405" s="546"/>
      <c r="G13405" s="234"/>
      <c r="H13405" s="238"/>
      <c r="I13405" s="237"/>
    </row>
    <row r="13406" spans="1:9" s="232" customFormat="1" ht="17" customHeight="1">
      <c r="A13406" s="234"/>
      <c r="B13406" s="233"/>
      <c r="C13406" s="238"/>
      <c r="E13406" s="545"/>
      <c r="F13406" s="546"/>
      <c r="G13406" s="234"/>
      <c r="H13406" s="238"/>
      <c r="I13406" s="237"/>
    </row>
    <row r="13407" spans="1:9" s="232" customFormat="1" ht="17" customHeight="1">
      <c r="A13407" s="234"/>
      <c r="B13407" s="233"/>
      <c r="C13407" s="238"/>
      <c r="E13407" s="545"/>
      <c r="F13407" s="546"/>
      <c r="G13407" s="234"/>
      <c r="H13407" s="238"/>
      <c r="I13407" s="237"/>
    </row>
    <row r="13408" spans="1:9" s="232" customFormat="1" ht="17" customHeight="1">
      <c r="A13408" s="234"/>
      <c r="B13408" s="233"/>
      <c r="C13408" s="238"/>
      <c r="E13408" s="545"/>
      <c r="F13408" s="546"/>
      <c r="G13408" s="234"/>
      <c r="H13408" s="238"/>
      <c r="I13408" s="237"/>
    </row>
    <row r="13409" spans="1:9" s="232" customFormat="1" ht="17" customHeight="1">
      <c r="A13409" s="234"/>
      <c r="B13409" s="233"/>
      <c r="C13409" s="238"/>
      <c r="E13409" s="545"/>
      <c r="F13409" s="546"/>
      <c r="G13409" s="234"/>
      <c r="H13409" s="238"/>
      <c r="I13409" s="237"/>
    </row>
    <row r="13410" spans="1:9" s="232" customFormat="1" ht="17" customHeight="1">
      <c r="A13410" s="234"/>
      <c r="B13410" s="233"/>
      <c r="C13410" s="238"/>
      <c r="E13410" s="545"/>
      <c r="F13410" s="546"/>
      <c r="G13410" s="234"/>
      <c r="H13410" s="238"/>
      <c r="I13410" s="237"/>
    </row>
    <row r="13411" spans="1:9" s="232" customFormat="1" ht="17" customHeight="1">
      <c r="A13411" s="234"/>
      <c r="B13411" s="233"/>
      <c r="C13411" s="238"/>
      <c r="E13411" s="545"/>
      <c r="F13411" s="546"/>
      <c r="G13411" s="234"/>
      <c r="H13411" s="238"/>
      <c r="I13411" s="237"/>
    </row>
    <row r="13412" spans="1:9" s="232" customFormat="1" ht="17" customHeight="1">
      <c r="A13412" s="234"/>
      <c r="B13412" s="233"/>
      <c r="C13412" s="238"/>
      <c r="E13412" s="545"/>
      <c r="F13412" s="546"/>
      <c r="G13412" s="234"/>
      <c r="H13412" s="238"/>
      <c r="I13412" s="237"/>
    </row>
    <row r="13413" spans="1:9" s="232" customFormat="1" ht="17" customHeight="1">
      <c r="A13413" s="234"/>
      <c r="B13413" s="233"/>
      <c r="C13413" s="238"/>
      <c r="E13413" s="545"/>
      <c r="F13413" s="546"/>
      <c r="G13413" s="234"/>
      <c r="H13413" s="238"/>
      <c r="I13413" s="237"/>
    </row>
    <row r="13414" spans="1:9" s="232" customFormat="1" ht="17" customHeight="1">
      <c r="A13414" s="234"/>
      <c r="B13414" s="233"/>
      <c r="C13414" s="238"/>
      <c r="E13414" s="545"/>
      <c r="F13414" s="546"/>
      <c r="G13414" s="234"/>
      <c r="H13414" s="238"/>
      <c r="I13414" s="237"/>
    </row>
    <row r="13415" spans="1:9" s="232" customFormat="1" ht="17" customHeight="1">
      <c r="A13415" s="234"/>
      <c r="B13415" s="233"/>
      <c r="C13415" s="238"/>
      <c r="E13415" s="545"/>
      <c r="F13415" s="546"/>
      <c r="G13415" s="234"/>
      <c r="H13415" s="238"/>
      <c r="I13415" s="237"/>
    </row>
    <row r="13416" spans="1:9" s="232" customFormat="1" ht="17" customHeight="1">
      <c r="A13416" s="234"/>
      <c r="B13416" s="233"/>
      <c r="C13416" s="238"/>
      <c r="E13416" s="545"/>
      <c r="F13416" s="546"/>
      <c r="G13416" s="234"/>
      <c r="H13416" s="238"/>
      <c r="I13416" s="237"/>
    </row>
    <row r="13417" spans="1:9" s="232" customFormat="1" ht="17" customHeight="1">
      <c r="A13417" s="234"/>
      <c r="B13417" s="233"/>
      <c r="C13417" s="238"/>
      <c r="E13417" s="545"/>
      <c r="F13417" s="546"/>
      <c r="G13417" s="234"/>
      <c r="H13417" s="238"/>
      <c r="I13417" s="237"/>
    </row>
    <row r="13418" spans="1:9" s="232" customFormat="1" ht="17" customHeight="1">
      <c r="A13418" s="234"/>
      <c r="B13418" s="233"/>
      <c r="C13418" s="238"/>
      <c r="E13418" s="545"/>
      <c r="F13418" s="546"/>
      <c r="G13418" s="234"/>
      <c r="H13418" s="238"/>
      <c r="I13418" s="237"/>
    </row>
    <row r="13419" spans="1:9" s="232" customFormat="1" ht="17" customHeight="1">
      <c r="A13419" s="234"/>
      <c r="B13419" s="233"/>
      <c r="C13419" s="238"/>
      <c r="E13419" s="545"/>
      <c r="F13419" s="546"/>
      <c r="G13419" s="234"/>
      <c r="H13419" s="238"/>
      <c r="I13419" s="237"/>
    </row>
    <row r="13420" spans="1:9" s="232" customFormat="1" ht="17" customHeight="1">
      <c r="A13420" s="234"/>
      <c r="B13420" s="233"/>
      <c r="C13420" s="238"/>
      <c r="E13420" s="545"/>
      <c r="F13420" s="546"/>
      <c r="G13420" s="234"/>
      <c r="H13420" s="238"/>
      <c r="I13420" s="237"/>
    </row>
    <row r="13421" spans="1:9" s="232" customFormat="1" ht="17" customHeight="1">
      <c r="A13421" s="234"/>
      <c r="B13421" s="233"/>
      <c r="C13421" s="238"/>
      <c r="E13421" s="545"/>
      <c r="F13421" s="546"/>
      <c r="G13421" s="234"/>
      <c r="H13421" s="238"/>
      <c r="I13421" s="237"/>
    </row>
    <row r="13422" spans="1:9" s="232" customFormat="1" ht="17" customHeight="1">
      <c r="A13422" s="234"/>
      <c r="B13422" s="233"/>
      <c r="C13422" s="238"/>
      <c r="E13422" s="545"/>
      <c r="F13422" s="546"/>
      <c r="G13422" s="234"/>
      <c r="H13422" s="238"/>
      <c r="I13422" s="237"/>
    </row>
    <row r="13423" spans="1:9" s="232" customFormat="1" ht="17" customHeight="1">
      <c r="A13423" s="234"/>
      <c r="B13423" s="233"/>
      <c r="C13423" s="238"/>
      <c r="E13423" s="545"/>
      <c r="F13423" s="546"/>
      <c r="G13423" s="234"/>
      <c r="H13423" s="238"/>
      <c r="I13423" s="237"/>
    </row>
    <row r="13424" spans="1:9" s="232" customFormat="1" ht="17" customHeight="1">
      <c r="A13424" s="234"/>
      <c r="B13424" s="233"/>
      <c r="C13424" s="238"/>
      <c r="E13424" s="545"/>
      <c r="F13424" s="546"/>
      <c r="G13424" s="234"/>
      <c r="H13424" s="238"/>
      <c r="I13424" s="237"/>
    </row>
    <row r="13425" spans="1:9" s="232" customFormat="1" ht="17" customHeight="1">
      <c r="A13425" s="234"/>
      <c r="B13425" s="233"/>
      <c r="C13425" s="238"/>
      <c r="E13425" s="545"/>
      <c r="F13425" s="546"/>
      <c r="G13425" s="234"/>
      <c r="H13425" s="238"/>
      <c r="I13425" s="237"/>
    </row>
    <row r="13426" spans="1:9" s="232" customFormat="1" ht="17" customHeight="1">
      <c r="A13426" s="234"/>
      <c r="B13426" s="233"/>
      <c r="C13426" s="238"/>
      <c r="E13426" s="545"/>
      <c r="F13426" s="546"/>
      <c r="G13426" s="234"/>
      <c r="H13426" s="238"/>
      <c r="I13426" s="237"/>
    </row>
    <row r="13427" spans="1:9" s="232" customFormat="1" ht="17" customHeight="1">
      <c r="A13427" s="234"/>
      <c r="B13427" s="233"/>
      <c r="C13427" s="238"/>
      <c r="E13427" s="545"/>
      <c r="F13427" s="546"/>
      <c r="G13427" s="234"/>
      <c r="H13427" s="238"/>
      <c r="I13427" s="237"/>
    </row>
    <row r="13428" spans="1:9" s="232" customFormat="1" ht="17" customHeight="1">
      <c r="A13428" s="234"/>
      <c r="B13428" s="233"/>
      <c r="C13428" s="238"/>
      <c r="E13428" s="545"/>
      <c r="F13428" s="546"/>
      <c r="G13428" s="234"/>
      <c r="H13428" s="238"/>
      <c r="I13428" s="237"/>
    </row>
    <row r="13429" spans="1:9" s="232" customFormat="1" ht="17" customHeight="1">
      <c r="A13429" s="234"/>
      <c r="B13429" s="233"/>
      <c r="C13429" s="238"/>
      <c r="E13429" s="545"/>
      <c r="F13429" s="546"/>
      <c r="G13429" s="234"/>
      <c r="H13429" s="238"/>
      <c r="I13429" s="237"/>
    </row>
    <row r="13430" spans="1:9" s="232" customFormat="1" ht="17" customHeight="1">
      <c r="A13430" s="234"/>
      <c r="B13430" s="233"/>
      <c r="C13430" s="238"/>
      <c r="E13430" s="545"/>
      <c r="F13430" s="546"/>
      <c r="G13430" s="234"/>
      <c r="H13430" s="238"/>
      <c r="I13430" s="237"/>
    </row>
    <row r="13431" spans="1:9" s="232" customFormat="1" ht="17" customHeight="1">
      <c r="A13431" s="234"/>
      <c r="B13431" s="233"/>
      <c r="C13431" s="238"/>
      <c r="E13431" s="545"/>
      <c r="F13431" s="546"/>
      <c r="G13431" s="234"/>
      <c r="H13431" s="238"/>
      <c r="I13431" s="237"/>
    </row>
    <row r="13432" spans="1:9" s="232" customFormat="1" ht="17" customHeight="1">
      <c r="A13432" s="234"/>
      <c r="B13432" s="233"/>
      <c r="C13432" s="238"/>
      <c r="E13432" s="545"/>
      <c r="F13432" s="546"/>
      <c r="G13432" s="234"/>
      <c r="H13432" s="238"/>
      <c r="I13432" s="237"/>
    </row>
    <row r="13433" spans="1:9" s="232" customFormat="1" ht="17" customHeight="1">
      <c r="A13433" s="234"/>
      <c r="B13433" s="233"/>
      <c r="C13433" s="238"/>
      <c r="E13433" s="545"/>
      <c r="F13433" s="546"/>
      <c r="G13433" s="234"/>
      <c r="H13433" s="238"/>
      <c r="I13433" s="237"/>
    </row>
    <row r="13434" spans="1:9" s="232" customFormat="1" ht="17" customHeight="1">
      <c r="A13434" s="234"/>
      <c r="B13434" s="233"/>
      <c r="C13434" s="238"/>
      <c r="E13434" s="545"/>
      <c r="F13434" s="546"/>
      <c r="G13434" s="234"/>
      <c r="H13434" s="238"/>
      <c r="I13434" s="237"/>
    </row>
    <row r="13435" spans="1:9" s="232" customFormat="1" ht="17" customHeight="1">
      <c r="A13435" s="234"/>
      <c r="B13435" s="233"/>
      <c r="C13435" s="238"/>
      <c r="E13435" s="545"/>
      <c r="F13435" s="546"/>
      <c r="G13435" s="234"/>
      <c r="H13435" s="238"/>
      <c r="I13435" s="237"/>
    </row>
    <row r="13436" spans="1:9" s="232" customFormat="1" ht="17" customHeight="1">
      <c r="A13436" s="234"/>
      <c r="B13436" s="233"/>
      <c r="C13436" s="238"/>
      <c r="E13436" s="545"/>
      <c r="F13436" s="546"/>
      <c r="G13436" s="234"/>
      <c r="H13436" s="238"/>
      <c r="I13436" s="237"/>
    </row>
    <row r="13437" spans="1:9" s="232" customFormat="1" ht="17" customHeight="1">
      <c r="A13437" s="234"/>
      <c r="B13437" s="233"/>
      <c r="C13437" s="238"/>
      <c r="E13437" s="545"/>
      <c r="F13437" s="546"/>
      <c r="G13437" s="234"/>
      <c r="H13437" s="238"/>
      <c r="I13437" s="237"/>
    </row>
    <row r="13438" spans="1:9" s="232" customFormat="1" ht="17" customHeight="1">
      <c r="A13438" s="234"/>
      <c r="B13438" s="233"/>
      <c r="C13438" s="238"/>
      <c r="E13438" s="545"/>
      <c r="F13438" s="546"/>
      <c r="G13438" s="234"/>
      <c r="H13438" s="238"/>
      <c r="I13438" s="237"/>
    </row>
    <row r="13439" spans="1:9" s="232" customFormat="1" ht="17" customHeight="1">
      <c r="A13439" s="234"/>
      <c r="B13439" s="233"/>
      <c r="C13439" s="238"/>
      <c r="E13439" s="545"/>
      <c r="F13439" s="546"/>
      <c r="G13439" s="234"/>
      <c r="H13439" s="238"/>
      <c r="I13439" s="237"/>
    </row>
    <row r="13440" spans="1:9" s="232" customFormat="1" ht="17" customHeight="1">
      <c r="A13440" s="234"/>
      <c r="B13440" s="233"/>
      <c r="C13440" s="238"/>
      <c r="E13440" s="545"/>
      <c r="F13440" s="546"/>
      <c r="G13440" s="234"/>
      <c r="H13440" s="238"/>
      <c r="I13440" s="237"/>
    </row>
    <row r="13441" spans="1:9" s="232" customFormat="1" ht="17" customHeight="1">
      <c r="A13441" s="234"/>
      <c r="B13441" s="233"/>
      <c r="C13441" s="238"/>
      <c r="E13441" s="545"/>
      <c r="F13441" s="546"/>
      <c r="G13441" s="234"/>
      <c r="H13441" s="238"/>
      <c r="I13441" s="237"/>
    </row>
    <row r="13442" spans="1:9" s="232" customFormat="1" ht="17" customHeight="1">
      <c r="A13442" s="234"/>
      <c r="B13442" s="233"/>
      <c r="C13442" s="238"/>
      <c r="E13442" s="545"/>
      <c r="F13442" s="546"/>
      <c r="G13442" s="234"/>
      <c r="H13442" s="238"/>
      <c r="I13442" s="237"/>
    </row>
    <row r="13443" spans="1:9" s="232" customFormat="1" ht="17" customHeight="1">
      <c r="A13443" s="234"/>
      <c r="B13443" s="233"/>
      <c r="C13443" s="238"/>
      <c r="E13443" s="545"/>
      <c r="F13443" s="546"/>
      <c r="G13443" s="234"/>
      <c r="H13443" s="238"/>
      <c r="I13443" s="237"/>
    </row>
    <row r="13444" spans="1:9" s="232" customFormat="1" ht="17" customHeight="1">
      <c r="A13444" s="234"/>
      <c r="B13444" s="233"/>
      <c r="C13444" s="238"/>
      <c r="E13444" s="545"/>
      <c r="F13444" s="546"/>
      <c r="G13444" s="234"/>
      <c r="H13444" s="238"/>
      <c r="I13444" s="237"/>
    </row>
    <row r="13445" spans="1:9" s="232" customFormat="1" ht="17" customHeight="1">
      <c r="A13445" s="234"/>
      <c r="B13445" s="233"/>
      <c r="C13445" s="238"/>
      <c r="E13445" s="545"/>
      <c r="F13445" s="546"/>
      <c r="G13445" s="234"/>
      <c r="H13445" s="238"/>
      <c r="I13445" s="237"/>
    </row>
    <row r="13446" spans="1:9" s="232" customFormat="1" ht="17" customHeight="1">
      <c r="A13446" s="234"/>
      <c r="B13446" s="233"/>
      <c r="C13446" s="238"/>
      <c r="E13446" s="545"/>
      <c r="F13446" s="546"/>
      <c r="G13446" s="234"/>
      <c r="H13446" s="238"/>
      <c r="I13446" s="237"/>
    </row>
    <row r="13447" spans="1:9" s="232" customFormat="1" ht="17" customHeight="1">
      <c r="A13447" s="234"/>
      <c r="B13447" s="233"/>
      <c r="C13447" s="238"/>
      <c r="E13447" s="545"/>
      <c r="F13447" s="546"/>
      <c r="G13447" s="234"/>
      <c r="H13447" s="238"/>
      <c r="I13447" s="237"/>
    </row>
    <row r="13448" spans="1:9" s="232" customFormat="1" ht="17" customHeight="1">
      <c r="A13448" s="234"/>
      <c r="B13448" s="233"/>
      <c r="C13448" s="238"/>
      <c r="E13448" s="545"/>
      <c r="F13448" s="546"/>
      <c r="G13448" s="234"/>
      <c r="H13448" s="238"/>
      <c r="I13448" s="237"/>
    </row>
    <row r="13449" spans="1:9" s="232" customFormat="1" ht="17" customHeight="1">
      <c r="A13449" s="234"/>
      <c r="B13449" s="233"/>
      <c r="C13449" s="238"/>
      <c r="E13449" s="545"/>
      <c r="F13449" s="546"/>
      <c r="G13449" s="234"/>
      <c r="H13449" s="238"/>
      <c r="I13449" s="237"/>
    </row>
    <row r="13450" spans="1:9" s="232" customFormat="1" ht="17" customHeight="1">
      <c r="A13450" s="234"/>
      <c r="B13450" s="233"/>
      <c r="C13450" s="238"/>
      <c r="E13450" s="545"/>
      <c r="F13450" s="546"/>
      <c r="G13450" s="234"/>
      <c r="H13450" s="238"/>
      <c r="I13450" s="237"/>
    </row>
    <row r="13451" spans="1:9" s="232" customFormat="1" ht="17" customHeight="1">
      <c r="A13451" s="234"/>
      <c r="B13451" s="233"/>
      <c r="C13451" s="238"/>
      <c r="E13451" s="545"/>
      <c r="F13451" s="546"/>
      <c r="G13451" s="234"/>
      <c r="H13451" s="238"/>
      <c r="I13451" s="237"/>
    </row>
    <row r="13452" spans="1:9" s="232" customFormat="1" ht="17" customHeight="1">
      <c r="A13452" s="234"/>
      <c r="B13452" s="233"/>
      <c r="C13452" s="238"/>
      <c r="E13452" s="545"/>
      <c r="F13452" s="546"/>
      <c r="G13452" s="234"/>
      <c r="H13452" s="238"/>
      <c r="I13452" s="237"/>
    </row>
    <row r="13453" spans="1:9" s="232" customFormat="1" ht="17" customHeight="1">
      <c r="A13453" s="234"/>
      <c r="B13453" s="233"/>
      <c r="C13453" s="238"/>
      <c r="E13453" s="545"/>
      <c r="F13453" s="546"/>
      <c r="G13453" s="234"/>
      <c r="H13453" s="238"/>
      <c r="I13453" s="237"/>
    </row>
    <row r="13454" spans="1:9" s="232" customFormat="1" ht="17" customHeight="1">
      <c r="A13454" s="234"/>
      <c r="B13454" s="233"/>
      <c r="C13454" s="238"/>
      <c r="E13454" s="545"/>
      <c r="F13454" s="546"/>
      <c r="G13454" s="234"/>
      <c r="H13454" s="238"/>
      <c r="I13454" s="237"/>
    </row>
    <row r="13455" spans="1:9" s="232" customFormat="1" ht="17" customHeight="1">
      <c r="A13455" s="234"/>
      <c r="B13455" s="233"/>
      <c r="C13455" s="238"/>
      <c r="E13455" s="545"/>
      <c r="F13455" s="546"/>
      <c r="G13455" s="234"/>
      <c r="H13455" s="238"/>
      <c r="I13455" s="237"/>
    </row>
    <row r="13456" spans="1:9" s="232" customFormat="1" ht="17" customHeight="1">
      <c r="A13456" s="234"/>
      <c r="B13456" s="233"/>
      <c r="C13456" s="238"/>
      <c r="E13456" s="545"/>
      <c r="F13456" s="546"/>
      <c r="G13456" s="234"/>
      <c r="H13456" s="238"/>
      <c r="I13456" s="237"/>
    </row>
    <row r="13457" spans="1:9" s="232" customFormat="1" ht="17" customHeight="1">
      <c r="A13457" s="234"/>
      <c r="B13457" s="233"/>
      <c r="C13457" s="238"/>
      <c r="E13457" s="545"/>
      <c r="F13457" s="546"/>
      <c r="G13457" s="234"/>
      <c r="H13457" s="238"/>
      <c r="I13457" s="237"/>
    </row>
    <row r="13458" spans="1:9" s="232" customFormat="1" ht="17" customHeight="1">
      <c r="A13458" s="234"/>
      <c r="B13458" s="233"/>
      <c r="C13458" s="238"/>
      <c r="E13458" s="545"/>
      <c r="F13458" s="546"/>
      <c r="G13458" s="234"/>
      <c r="H13458" s="238"/>
      <c r="I13458" s="237"/>
    </row>
    <row r="13459" spans="1:9" s="232" customFormat="1" ht="17" customHeight="1">
      <c r="A13459" s="234"/>
      <c r="B13459" s="233"/>
      <c r="C13459" s="238"/>
      <c r="E13459" s="545"/>
      <c r="F13459" s="546"/>
      <c r="G13459" s="234"/>
      <c r="H13459" s="238"/>
      <c r="I13459" s="237"/>
    </row>
    <row r="13460" spans="1:9" s="232" customFormat="1" ht="17" customHeight="1">
      <c r="A13460" s="234"/>
      <c r="B13460" s="233"/>
      <c r="C13460" s="238"/>
      <c r="E13460" s="545"/>
      <c r="F13460" s="546"/>
      <c r="G13460" s="234"/>
      <c r="H13460" s="238"/>
      <c r="I13460" s="237"/>
    </row>
    <row r="13461" spans="1:9" s="232" customFormat="1" ht="17" customHeight="1">
      <c r="A13461" s="234"/>
      <c r="B13461" s="233"/>
      <c r="C13461" s="238"/>
      <c r="E13461" s="545"/>
      <c r="F13461" s="546"/>
      <c r="G13461" s="234"/>
      <c r="H13461" s="238"/>
      <c r="I13461" s="237"/>
    </row>
    <row r="13462" spans="1:9" s="232" customFormat="1" ht="17" customHeight="1">
      <c r="A13462" s="234"/>
      <c r="B13462" s="233"/>
      <c r="C13462" s="238"/>
      <c r="E13462" s="545"/>
      <c r="F13462" s="546"/>
      <c r="G13462" s="234"/>
      <c r="H13462" s="238"/>
      <c r="I13462" s="237"/>
    </row>
    <row r="13463" spans="1:9" s="232" customFormat="1" ht="17" customHeight="1">
      <c r="A13463" s="234"/>
      <c r="B13463" s="233"/>
      <c r="C13463" s="238"/>
      <c r="E13463" s="545"/>
      <c r="F13463" s="546"/>
      <c r="G13463" s="234"/>
      <c r="H13463" s="238"/>
      <c r="I13463" s="237"/>
    </row>
    <row r="13464" spans="1:9" s="232" customFormat="1" ht="17" customHeight="1">
      <c r="A13464" s="234"/>
      <c r="B13464" s="233"/>
      <c r="C13464" s="238"/>
      <c r="E13464" s="545"/>
      <c r="F13464" s="546"/>
      <c r="G13464" s="234"/>
      <c r="H13464" s="238"/>
      <c r="I13464" s="237"/>
    </row>
    <row r="13465" spans="1:9" s="232" customFormat="1" ht="17" customHeight="1">
      <c r="A13465" s="234"/>
      <c r="B13465" s="233"/>
      <c r="C13465" s="238"/>
      <c r="E13465" s="545"/>
      <c r="F13465" s="546"/>
      <c r="G13465" s="234"/>
      <c r="H13465" s="238"/>
      <c r="I13465" s="237"/>
    </row>
    <row r="13466" spans="1:9" s="232" customFormat="1" ht="17" customHeight="1">
      <c r="A13466" s="234"/>
      <c r="B13466" s="233"/>
      <c r="C13466" s="238"/>
      <c r="E13466" s="545"/>
      <c r="F13466" s="546"/>
      <c r="G13466" s="234"/>
      <c r="H13466" s="238"/>
      <c r="I13466" s="237"/>
    </row>
    <row r="13467" spans="1:9" s="232" customFormat="1" ht="17" customHeight="1">
      <c r="A13467" s="234"/>
      <c r="B13467" s="233"/>
      <c r="C13467" s="238"/>
      <c r="E13467" s="545"/>
      <c r="F13467" s="546"/>
      <c r="G13467" s="234"/>
      <c r="H13467" s="238"/>
      <c r="I13467" s="237"/>
    </row>
    <row r="13468" spans="1:9" s="232" customFormat="1" ht="17" customHeight="1">
      <c r="A13468" s="234"/>
      <c r="B13468" s="233"/>
      <c r="C13468" s="238"/>
      <c r="E13468" s="545"/>
      <c r="F13468" s="546"/>
      <c r="G13468" s="234"/>
      <c r="H13468" s="238"/>
      <c r="I13468" s="237"/>
    </row>
    <row r="13469" spans="1:9" s="232" customFormat="1" ht="17" customHeight="1">
      <c r="A13469" s="234"/>
      <c r="B13469" s="233"/>
      <c r="C13469" s="238"/>
      <c r="E13469" s="545"/>
      <c r="F13469" s="546"/>
      <c r="G13469" s="234"/>
      <c r="H13469" s="238"/>
      <c r="I13469" s="237"/>
    </row>
    <row r="13470" spans="1:9" s="232" customFormat="1" ht="17" customHeight="1">
      <c r="A13470" s="234"/>
      <c r="B13470" s="233"/>
      <c r="C13470" s="238"/>
      <c r="E13470" s="545"/>
      <c r="F13470" s="546"/>
      <c r="G13470" s="234"/>
      <c r="H13470" s="238"/>
      <c r="I13470" s="237"/>
    </row>
    <row r="13471" spans="1:9" s="232" customFormat="1" ht="17" customHeight="1">
      <c r="A13471" s="234"/>
      <c r="B13471" s="233"/>
      <c r="C13471" s="238"/>
      <c r="E13471" s="545"/>
      <c r="F13471" s="546"/>
      <c r="G13471" s="234"/>
      <c r="H13471" s="238"/>
      <c r="I13471" s="237"/>
    </row>
    <row r="13472" spans="1:9" s="232" customFormat="1" ht="17" customHeight="1">
      <c r="A13472" s="234"/>
      <c r="B13472" s="233"/>
      <c r="C13472" s="238"/>
      <c r="E13472" s="545"/>
      <c r="F13472" s="546"/>
      <c r="G13472" s="234"/>
      <c r="H13472" s="238"/>
      <c r="I13472" s="237"/>
    </row>
    <row r="13473" spans="1:9" s="232" customFormat="1" ht="17" customHeight="1">
      <c r="A13473" s="234"/>
      <c r="B13473" s="233"/>
      <c r="C13473" s="238"/>
      <c r="E13473" s="545"/>
      <c r="F13473" s="546"/>
      <c r="G13473" s="234"/>
      <c r="H13473" s="238"/>
      <c r="I13473" s="237"/>
    </row>
    <row r="13474" spans="1:9" s="232" customFormat="1" ht="17" customHeight="1">
      <c r="A13474" s="234"/>
      <c r="B13474" s="233"/>
      <c r="C13474" s="238"/>
      <c r="E13474" s="545"/>
      <c r="F13474" s="546"/>
      <c r="G13474" s="234"/>
      <c r="H13474" s="238"/>
      <c r="I13474" s="237"/>
    </row>
    <row r="13475" spans="1:9" s="232" customFormat="1" ht="17" customHeight="1">
      <c r="A13475" s="234"/>
      <c r="B13475" s="233"/>
      <c r="C13475" s="238"/>
      <c r="E13475" s="545"/>
      <c r="F13475" s="546"/>
      <c r="G13475" s="234"/>
      <c r="H13475" s="238"/>
      <c r="I13475" s="237"/>
    </row>
    <row r="13476" spans="1:9" s="232" customFormat="1" ht="17" customHeight="1">
      <c r="A13476" s="234"/>
      <c r="B13476" s="233"/>
      <c r="C13476" s="238"/>
      <c r="E13476" s="545"/>
      <c r="F13476" s="546"/>
      <c r="G13476" s="234"/>
      <c r="H13476" s="238"/>
      <c r="I13476" s="237"/>
    </row>
    <row r="13477" spans="1:9" s="232" customFormat="1" ht="17" customHeight="1">
      <c r="A13477" s="234"/>
      <c r="B13477" s="233"/>
      <c r="C13477" s="238"/>
      <c r="E13477" s="545"/>
      <c r="F13477" s="546"/>
      <c r="G13477" s="234"/>
      <c r="H13477" s="238"/>
      <c r="I13477" s="237"/>
    </row>
    <row r="13478" spans="1:9" s="232" customFormat="1" ht="17" customHeight="1">
      <c r="A13478" s="234"/>
      <c r="B13478" s="233"/>
      <c r="C13478" s="238"/>
      <c r="E13478" s="545"/>
      <c r="F13478" s="546"/>
      <c r="G13478" s="234"/>
      <c r="H13478" s="238"/>
      <c r="I13478" s="237"/>
    </row>
    <row r="13479" spans="1:9" s="232" customFormat="1" ht="17" customHeight="1">
      <c r="A13479" s="234"/>
      <c r="B13479" s="233"/>
      <c r="C13479" s="238"/>
      <c r="E13479" s="545"/>
      <c r="F13479" s="546"/>
      <c r="G13479" s="234"/>
      <c r="H13479" s="238"/>
      <c r="I13479" s="237"/>
    </row>
    <row r="13480" spans="1:9" s="232" customFormat="1" ht="17" customHeight="1">
      <c r="A13480" s="234"/>
      <c r="B13480" s="233"/>
      <c r="C13480" s="238"/>
      <c r="E13480" s="545"/>
      <c r="F13480" s="546"/>
      <c r="G13480" s="234"/>
      <c r="H13480" s="238"/>
      <c r="I13480" s="237"/>
    </row>
    <row r="13481" spans="1:9" s="232" customFormat="1" ht="17" customHeight="1">
      <c r="A13481" s="234"/>
      <c r="B13481" s="233"/>
      <c r="C13481" s="238"/>
      <c r="E13481" s="545"/>
      <c r="F13481" s="546"/>
      <c r="G13481" s="234"/>
      <c r="H13481" s="238"/>
      <c r="I13481" s="237"/>
    </row>
    <row r="13482" spans="1:9" s="232" customFormat="1" ht="17" customHeight="1">
      <c r="A13482" s="234"/>
      <c r="B13482" s="233"/>
      <c r="C13482" s="238"/>
      <c r="E13482" s="545"/>
      <c r="F13482" s="546"/>
      <c r="G13482" s="234"/>
      <c r="H13482" s="238"/>
      <c r="I13482" s="237"/>
    </row>
    <row r="13483" spans="1:9" s="232" customFormat="1" ht="17" customHeight="1">
      <c r="A13483" s="234"/>
      <c r="B13483" s="233"/>
      <c r="C13483" s="238"/>
      <c r="E13483" s="545"/>
      <c r="F13483" s="546"/>
      <c r="G13483" s="234"/>
      <c r="H13483" s="238"/>
      <c r="I13483" s="237"/>
    </row>
    <row r="13484" spans="1:9" s="232" customFormat="1" ht="17" customHeight="1">
      <c r="A13484" s="234"/>
      <c r="B13484" s="233"/>
      <c r="C13484" s="238"/>
      <c r="E13484" s="545"/>
      <c r="F13484" s="546"/>
      <c r="G13484" s="234"/>
      <c r="H13484" s="238"/>
      <c r="I13484" s="237"/>
    </row>
    <row r="13485" spans="1:9" s="232" customFormat="1" ht="17" customHeight="1">
      <c r="A13485" s="234"/>
      <c r="B13485" s="233"/>
      <c r="C13485" s="238"/>
      <c r="E13485" s="545"/>
      <c r="F13485" s="546"/>
      <c r="G13485" s="234"/>
      <c r="H13485" s="238"/>
      <c r="I13485" s="237"/>
    </row>
    <row r="13486" spans="1:9" s="232" customFormat="1" ht="17" customHeight="1">
      <c r="A13486" s="234"/>
      <c r="B13486" s="233"/>
      <c r="C13486" s="238"/>
      <c r="E13486" s="545"/>
      <c r="F13486" s="546"/>
      <c r="G13486" s="234"/>
      <c r="H13486" s="238"/>
      <c r="I13486" s="237"/>
    </row>
    <row r="13487" spans="1:9" s="232" customFormat="1" ht="17" customHeight="1">
      <c r="A13487" s="234"/>
      <c r="B13487" s="233"/>
      <c r="C13487" s="238"/>
      <c r="E13487" s="545"/>
      <c r="F13487" s="546"/>
      <c r="G13487" s="234"/>
      <c r="H13487" s="238"/>
      <c r="I13487" s="237"/>
    </row>
    <row r="13488" spans="1:9" s="232" customFormat="1" ht="17" customHeight="1">
      <c r="A13488" s="234"/>
      <c r="B13488" s="233"/>
      <c r="C13488" s="238"/>
      <c r="E13488" s="545"/>
      <c r="F13488" s="546"/>
      <c r="G13488" s="234"/>
      <c r="H13488" s="238"/>
      <c r="I13488" s="237"/>
    </row>
    <row r="13489" spans="1:9" s="232" customFormat="1" ht="17" customHeight="1">
      <c r="A13489" s="234"/>
      <c r="B13489" s="233"/>
      <c r="C13489" s="238"/>
      <c r="E13489" s="545"/>
      <c r="F13489" s="546"/>
      <c r="G13489" s="234"/>
      <c r="H13489" s="238"/>
      <c r="I13489" s="237"/>
    </row>
    <row r="13490" spans="1:9" s="232" customFormat="1" ht="17" customHeight="1">
      <c r="A13490" s="234"/>
      <c r="B13490" s="233"/>
      <c r="C13490" s="238"/>
      <c r="E13490" s="545"/>
      <c r="F13490" s="546"/>
      <c r="G13490" s="234"/>
      <c r="H13490" s="238"/>
      <c r="I13490" s="237"/>
    </row>
    <row r="13491" spans="1:9" s="232" customFormat="1" ht="17" customHeight="1">
      <c r="A13491" s="234"/>
      <c r="B13491" s="233"/>
      <c r="C13491" s="238"/>
      <c r="E13491" s="545"/>
      <c r="F13491" s="546"/>
      <c r="G13491" s="234"/>
      <c r="H13491" s="238"/>
      <c r="I13491" s="237"/>
    </row>
    <row r="13492" spans="1:9" s="232" customFormat="1" ht="17" customHeight="1">
      <c r="A13492" s="234"/>
      <c r="B13492" s="233"/>
      <c r="C13492" s="238"/>
      <c r="E13492" s="545"/>
      <c r="F13492" s="546"/>
      <c r="G13492" s="234"/>
      <c r="H13492" s="238"/>
      <c r="I13492" s="237"/>
    </row>
    <row r="13493" spans="1:9" s="232" customFormat="1" ht="17" customHeight="1">
      <c r="A13493" s="234"/>
      <c r="B13493" s="233"/>
      <c r="C13493" s="238"/>
      <c r="E13493" s="545"/>
      <c r="F13493" s="546"/>
      <c r="G13493" s="234"/>
      <c r="H13493" s="238"/>
      <c r="I13493" s="237"/>
    </row>
    <row r="13494" spans="1:9" s="232" customFormat="1" ht="17" customHeight="1">
      <c r="A13494" s="234"/>
      <c r="B13494" s="233"/>
      <c r="C13494" s="238"/>
      <c r="E13494" s="545"/>
      <c r="F13494" s="546"/>
      <c r="G13494" s="234"/>
      <c r="H13494" s="238"/>
      <c r="I13494" s="237"/>
    </row>
    <row r="13495" spans="1:9" s="232" customFormat="1" ht="17" customHeight="1">
      <c r="A13495" s="234"/>
      <c r="B13495" s="233"/>
      <c r="C13495" s="238"/>
      <c r="E13495" s="545"/>
      <c r="F13495" s="546"/>
      <c r="G13495" s="234"/>
      <c r="H13495" s="238"/>
      <c r="I13495" s="237"/>
    </row>
    <row r="13496" spans="1:9" s="232" customFormat="1" ht="17" customHeight="1">
      <c r="A13496" s="234"/>
      <c r="B13496" s="233"/>
      <c r="C13496" s="238"/>
      <c r="E13496" s="545"/>
      <c r="F13496" s="546"/>
      <c r="G13496" s="234"/>
      <c r="H13496" s="238"/>
      <c r="I13496" s="237"/>
    </row>
    <row r="13497" spans="1:9" s="232" customFormat="1" ht="17" customHeight="1">
      <c r="A13497" s="234"/>
      <c r="B13497" s="233"/>
      <c r="C13497" s="238"/>
      <c r="E13497" s="545"/>
      <c r="F13497" s="546"/>
      <c r="G13497" s="234"/>
      <c r="H13497" s="238"/>
      <c r="I13497" s="237"/>
    </row>
    <row r="13498" spans="1:9" s="232" customFormat="1" ht="17" customHeight="1">
      <c r="A13498" s="234"/>
      <c r="B13498" s="233"/>
      <c r="C13498" s="238"/>
      <c r="E13498" s="545"/>
      <c r="F13498" s="546"/>
      <c r="G13498" s="234"/>
      <c r="H13498" s="238"/>
      <c r="I13498" s="237"/>
    </row>
    <row r="13499" spans="1:9" s="232" customFormat="1" ht="17" customHeight="1">
      <c r="A13499" s="234"/>
      <c r="B13499" s="233"/>
      <c r="C13499" s="238"/>
      <c r="E13499" s="545"/>
      <c r="F13499" s="546"/>
      <c r="G13499" s="234"/>
      <c r="H13499" s="238"/>
      <c r="I13499" s="237"/>
    </row>
    <row r="13500" spans="1:9" s="232" customFormat="1" ht="17" customHeight="1">
      <c r="A13500" s="234"/>
      <c r="B13500" s="233"/>
      <c r="C13500" s="238"/>
      <c r="E13500" s="545"/>
      <c r="F13500" s="546"/>
      <c r="G13500" s="234"/>
      <c r="H13500" s="238"/>
      <c r="I13500" s="237"/>
    </row>
    <row r="13501" spans="1:9" s="232" customFormat="1" ht="17" customHeight="1">
      <c r="A13501" s="234"/>
      <c r="B13501" s="233"/>
      <c r="C13501" s="238"/>
      <c r="E13501" s="545"/>
      <c r="F13501" s="546"/>
      <c r="G13501" s="234"/>
      <c r="H13501" s="238"/>
      <c r="I13501" s="237"/>
    </row>
    <row r="13502" spans="1:9" s="232" customFormat="1" ht="17" customHeight="1">
      <c r="A13502" s="234"/>
      <c r="B13502" s="233"/>
      <c r="C13502" s="238"/>
      <c r="E13502" s="545"/>
      <c r="F13502" s="546"/>
      <c r="G13502" s="234"/>
      <c r="H13502" s="238"/>
      <c r="I13502" s="237"/>
    </row>
    <row r="13503" spans="1:9" s="232" customFormat="1" ht="17" customHeight="1">
      <c r="A13503" s="234"/>
      <c r="B13503" s="233"/>
      <c r="C13503" s="238"/>
      <c r="E13503" s="545"/>
      <c r="F13503" s="546"/>
      <c r="G13503" s="234"/>
      <c r="H13503" s="238"/>
      <c r="I13503" s="237"/>
    </row>
    <row r="13504" spans="1:9" s="232" customFormat="1" ht="17" customHeight="1">
      <c r="A13504" s="234"/>
      <c r="B13504" s="233"/>
      <c r="C13504" s="238"/>
      <c r="E13504" s="545"/>
      <c r="F13504" s="546"/>
      <c r="G13504" s="234"/>
      <c r="H13504" s="238"/>
      <c r="I13504" s="237"/>
    </row>
    <row r="13505" spans="1:9" s="232" customFormat="1" ht="17" customHeight="1">
      <c r="A13505" s="234"/>
      <c r="B13505" s="233"/>
      <c r="C13505" s="238"/>
      <c r="E13505" s="545"/>
      <c r="F13505" s="546"/>
      <c r="G13505" s="234"/>
      <c r="H13505" s="238"/>
      <c r="I13505" s="237"/>
    </row>
    <row r="13506" spans="1:9" s="232" customFormat="1" ht="17" customHeight="1">
      <c r="A13506" s="234"/>
      <c r="B13506" s="233"/>
      <c r="C13506" s="238"/>
      <c r="E13506" s="545"/>
      <c r="F13506" s="546"/>
      <c r="G13506" s="234"/>
      <c r="H13506" s="238"/>
      <c r="I13506" s="237"/>
    </row>
    <row r="13507" spans="1:9" s="232" customFormat="1" ht="17" customHeight="1">
      <c r="A13507" s="234"/>
      <c r="B13507" s="233"/>
      <c r="C13507" s="238"/>
      <c r="E13507" s="545"/>
      <c r="F13507" s="546"/>
      <c r="G13507" s="234"/>
      <c r="H13507" s="238"/>
      <c r="I13507" s="237"/>
    </row>
    <row r="13508" spans="1:9" s="232" customFormat="1" ht="17" customHeight="1">
      <c r="A13508" s="234"/>
      <c r="B13508" s="233"/>
      <c r="C13508" s="238"/>
      <c r="E13508" s="545"/>
      <c r="F13508" s="546"/>
      <c r="G13508" s="234"/>
      <c r="H13508" s="238"/>
      <c r="I13508" s="237"/>
    </row>
    <row r="13509" spans="1:9" s="232" customFormat="1" ht="17" customHeight="1">
      <c r="A13509" s="234"/>
      <c r="B13509" s="233"/>
      <c r="C13509" s="238"/>
      <c r="E13509" s="545"/>
      <c r="F13509" s="546"/>
      <c r="G13509" s="234"/>
      <c r="H13509" s="238"/>
      <c r="I13509" s="237"/>
    </row>
    <row r="13510" spans="1:9" s="232" customFormat="1" ht="17" customHeight="1">
      <c r="A13510" s="234"/>
      <c r="B13510" s="233"/>
      <c r="C13510" s="238"/>
      <c r="E13510" s="545"/>
      <c r="F13510" s="546"/>
      <c r="G13510" s="234"/>
      <c r="H13510" s="238"/>
      <c r="I13510" s="237"/>
    </row>
    <row r="13511" spans="1:9" s="232" customFormat="1" ht="17" customHeight="1">
      <c r="A13511" s="234"/>
      <c r="B13511" s="233"/>
      <c r="C13511" s="238"/>
      <c r="E13511" s="545"/>
      <c r="F13511" s="546"/>
      <c r="G13511" s="234"/>
      <c r="H13511" s="238"/>
      <c r="I13511" s="237"/>
    </row>
    <row r="13512" spans="1:9" s="232" customFormat="1" ht="17" customHeight="1">
      <c r="A13512" s="234"/>
      <c r="B13512" s="233"/>
      <c r="C13512" s="238"/>
      <c r="E13512" s="545"/>
      <c r="F13512" s="546"/>
      <c r="G13512" s="234"/>
      <c r="H13512" s="238"/>
      <c r="I13512" s="237"/>
    </row>
    <row r="13513" spans="1:9" s="232" customFormat="1" ht="17" customHeight="1">
      <c r="A13513" s="234"/>
      <c r="B13513" s="233"/>
      <c r="C13513" s="238"/>
      <c r="E13513" s="545"/>
      <c r="F13513" s="546"/>
      <c r="G13513" s="234"/>
      <c r="H13513" s="238"/>
      <c r="I13513" s="237"/>
    </row>
    <row r="13514" spans="1:9" s="232" customFormat="1" ht="17" customHeight="1">
      <c r="A13514" s="234"/>
      <c r="B13514" s="233"/>
      <c r="C13514" s="238"/>
      <c r="E13514" s="545"/>
      <c r="F13514" s="546"/>
      <c r="G13514" s="234"/>
      <c r="H13514" s="238"/>
      <c r="I13514" s="237"/>
    </row>
    <row r="13515" spans="1:9" s="232" customFormat="1" ht="17" customHeight="1">
      <c r="A13515" s="234"/>
      <c r="B13515" s="233"/>
      <c r="C13515" s="238"/>
      <c r="E13515" s="545"/>
      <c r="F13515" s="546"/>
      <c r="G13515" s="234"/>
      <c r="H13515" s="238"/>
      <c r="I13515" s="237"/>
    </row>
    <row r="13516" spans="1:9" s="232" customFormat="1" ht="17" customHeight="1">
      <c r="A13516" s="234"/>
      <c r="B13516" s="233"/>
      <c r="C13516" s="238"/>
      <c r="E13516" s="545"/>
      <c r="F13516" s="546"/>
      <c r="G13516" s="234"/>
      <c r="H13516" s="238"/>
      <c r="I13516" s="237"/>
    </row>
    <row r="13517" spans="1:9" s="232" customFormat="1" ht="17" customHeight="1">
      <c r="A13517" s="234"/>
      <c r="B13517" s="233"/>
      <c r="C13517" s="238"/>
      <c r="E13517" s="545"/>
      <c r="F13517" s="546"/>
      <c r="G13517" s="234"/>
      <c r="H13517" s="238"/>
      <c r="I13517" s="237"/>
    </row>
    <row r="13518" spans="1:9" s="232" customFormat="1" ht="17" customHeight="1">
      <c r="A13518" s="234"/>
      <c r="B13518" s="233"/>
      <c r="C13518" s="238"/>
      <c r="E13518" s="545"/>
      <c r="F13518" s="546"/>
      <c r="G13518" s="234"/>
      <c r="H13518" s="238"/>
      <c r="I13518" s="237"/>
    </row>
    <row r="13519" spans="1:9" s="232" customFormat="1" ht="17" customHeight="1">
      <c r="A13519" s="234"/>
      <c r="B13519" s="233"/>
      <c r="C13519" s="238"/>
      <c r="E13519" s="545"/>
      <c r="F13519" s="546"/>
      <c r="G13519" s="234"/>
      <c r="H13519" s="238"/>
      <c r="I13519" s="237"/>
    </row>
    <row r="13520" spans="1:9" s="232" customFormat="1" ht="17" customHeight="1">
      <c r="A13520" s="234"/>
      <c r="B13520" s="233"/>
      <c r="C13520" s="238"/>
      <c r="E13520" s="545"/>
      <c r="F13520" s="546"/>
      <c r="G13520" s="234"/>
      <c r="H13520" s="238"/>
      <c r="I13520" s="237"/>
    </row>
    <row r="13521" spans="1:9" s="232" customFormat="1" ht="17" customHeight="1">
      <c r="A13521" s="234"/>
      <c r="B13521" s="233"/>
      <c r="C13521" s="238"/>
      <c r="E13521" s="545"/>
      <c r="F13521" s="546"/>
      <c r="G13521" s="234"/>
      <c r="H13521" s="238"/>
      <c r="I13521" s="237"/>
    </row>
    <row r="13522" spans="1:9" s="232" customFormat="1" ht="17" customHeight="1">
      <c r="A13522" s="234"/>
      <c r="B13522" s="233"/>
      <c r="C13522" s="238"/>
      <c r="E13522" s="545"/>
      <c r="F13522" s="546"/>
      <c r="G13522" s="234"/>
      <c r="H13522" s="238"/>
      <c r="I13522" s="237"/>
    </row>
    <row r="13523" spans="1:9" s="232" customFormat="1" ht="17" customHeight="1">
      <c r="A13523" s="234"/>
      <c r="B13523" s="233"/>
      <c r="C13523" s="238"/>
      <c r="E13523" s="545"/>
      <c r="F13523" s="546"/>
      <c r="G13523" s="234"/>
      <c r="H13523" s="238"/>
      <c r="I13523" s="237"/>
    </row>
    <row r="13524" spans="1:9" s="232" customFormat="1" ht="17" customHeight="1">
      <c r="A13524" s="234"/>
      <c r="B13524" s="233"/>
      <c r="C13524" s="238"/>
      <c r="E13524" s="545"/>
      <c r="F13524" s="546"/>
      <c r="G13524" s="234"/>
      <c r="H13524" s="238"/>
      <c r="I13524" s="237"/>
    </row>
    <row r="13525" spans="1:9" s="232" customFormat="1" ht="17" customHeight="1">
      <c r="A13525" s="234"/>
      <c r="B13525" s="233"/>
      <c r="C13525" s="238"/>
      <c r="E13525" s="545"/>
      <c r="F13525" s="546"/>
      <c r="G13525" s="234"/>
      <c r="H13525" s="238"/>
      <c r="I13525" s="237"/>
    </row>
    <row r="13526" spans="1:9" s="232" customFormat="1" ht="17" customHeight="1">
      <c r="A13526" s="234"/>
      <c r="B13526" s="233"/>
      <c r="C13526" s="238"/>
      <c r="E13526" s="545"/>
      <c r="F13526" s="546"/>
      <c r="G13526" s="234"/>
      <c r="H13526" s="238"/>
      <c r="I13526" s="237"/>
    </row>
    <row r="13527" spans="1:9" s="232" customFormat="1" ht="17" customHeight="1">
      <c r="A13527" s="234"/>
      <c r="B13527" s="233"/>
      <c r="C13527" s="238"/>
      <c r="E13527" s="545"/>
      <c r="F13527" s="546"/>
      <c r="G13527" s="234"/>
      <c r="H13527" s="238"/>
      <c r="I13527" s="237"/>
    </row>
    <row r="13528" spans="1:9" s="232" customFormat="1" ht="17" customHeight="1">
      <c r="A13528" s="234"/>
      <c r="B13528" s="233"/>
      <c r="C13528" s="238"/>
      <c r="E13528" s="545"/>
      <c r="F13528" s="546"/>
      <c r="G13528" s="234"/>
      <c r="H13528" s="238"/>
      <c r="I13528" s="237"/>
    </row>
    <row r="13529" spans="1:9" s="232" customFormat="1" ht="17" customHeight="1">
      <c r="A13529" s="234"/>
      <c r="B13529" s="233"/>
      <c r="C13529" s="238"/>
      <c r="E13529" s="545"/>
      <c r="F13529" s="546"/>
      <c r="G13529" s="234"/>
      <c r="H13529" s="238"/>
      <c r="I13529" s="237"/>
    </row>
    <row r="13530" spans="1:9" s="232" customFormat="1" ht="17" customHeight="1">
      <c r="A13530" s="234"/>
      <c r="B13530" s="233"/>
      <c r="C13530" s="238"/>
      <c r="E13530" s="545"/>
      <c r="F13530" s="546"/>
      <c r="G13530" s="234"/>
      <c r="H13530" s="238"/>
      <c r="I13530" s="237"/>
    </row>
    <row r="13531" spans="1:9" s="232" customFormat="1" ht="17" customHeight="1">
      <c r="A13531" s="234"/>
      <c r="B13531" s="233"/>
      <c r="C13531" s="238"/>
      <c r="E13531" s="545"/>
      <c r="F13531" s="546"/>
      <c r="G13531" s="234"/>
      <c r="H13531" s="238"/>
      <c r="I13531" s="237"/>
    </row>
    <row r="13532" spans="1:9" s="232" customFormat="1" ht="17" customHeight="1">
      <c r="A13532" s="234"/>
      <c r="B13532" s="233"/>
      <c r="C13532" s="238"/>
      <c r="E13532" s="545"/>
      <c r="F13532" s="546"/>
      <c r="G13532" s="234"/>
      <c r="H13532" s="238"/>
      <c r="I13532" s="237"/>
    </row>
    <row r="13533" spans="1:9" s="232" customFormat="1" ht="17" customHeight="1">
      <c r="A13533" s="234"/>
      <c r="B13533" s="233"/>
      <c r="C13533" s="238"/>
      <c r="E13533" s="545"/>
      <c r="F13533" s="546"/>
      <c r="G13533" s="234"/>
      <c r="H13533" s="238"/>
      <c r="I13533" s="237"/>
    </row>
    <row r="13534" spans="1:9" s="232" customFormat="1" ht="17" customHeight="1">
      <c r="A13534" s="234"/>
      <c r="B13534" s="233"/>
      <c r="C13534" s="238"/>
      <c r="E13534" s="545"/>
      <c r="F13534" s="546"/>
      <c r="G13534" s="234"/>
      <c r="H13534" s="238"/>
      <c r="I13534" s="237"/>
    </row>
    <row r="13535" spans="1:9" s="232" customFormat="1" ht="17" customHeight="1">
      <c r="A13535" s="234"/>
      <c r="B13535" s="233"/>
      <c r="C13535" s="238"/>
      <c r="E13535" s="545"/>
      <c r="F13535" s="546"/>
      <c r="G13535" s="234"/>
      <c r="H13535" s="238"/>
      <c r="I13535" s="237"/>
    </row>
    <row r="13536" spans="1:9" s="232" customFormat="1" ht="17" customHeight="1">
      <c r="A13536" s="234"/>
      <c r="B13536" s="233"/>
      <c r="C13536" s="238"/>
      <c r="E13536" s="545"/>
      <c r="F13536" s="546"/>
      <c r="G13536" s="234"/>
      <c r="H13536" s="238"/>
      <c r="I13536" s="237"/>
    </row>
    <row r="13537" spans="1:9" s="232" customFormat="1" ht="17" customHeight="1">
      <c r="A13537" s="234"/>
      <c r="B13537" s="233"/>
      <c r="C13537" s="238"/>
      <c r="E13537" s="545"/>
      <c r="F13537" s="546"/>
      <c r="G13537" s="234"/>
      <c r="H13537" s="238"/>
      <c r="I13537" s="237"/>
    </row>
    <row r="13538" spans="1:9" s="232" customFormat="1" ht="17" customHeight="1">
      <c r="A13538" s="234"/>
      <c r="B13538" s="233"/>
      <c r="C13538" s="238"/>
      <c r="E13538" s="545"/>
      <c r="F13538" s="546"/>
      <c r="G13538" s="234"/>
      <c r="H13538" s="238"/>
      <c r="I13538" s="237"/>
    </row>
    <row r="13539" spans="1:9" s="232" customFormat="1" ht="17" customHeight="1">
      <c r="A13539" s="234"/>
      <c r="B13539" s="233"/>
      <c r="C13539" s="238"/>
      <c r="E13539" s="545"/>
      <c r="F13539" s="546"/>
      <c r="G13539" s="234"/>
      <c r="H13539" s="238"/>
      <c r="I13539" s="237"/>
    </row>
    <row r="13540" spans="1:9" s="232" customFormat="1" ht="17" customHeight="1">
      <c r="A13540" s="234"/>
      <c r="B13540" s="233"/>
      <c r="C13540" s="238"/>
      <c r="E13540" s="545"/>
      <c r="F13540" s="546"/>
      <c r="G13540" s="234"/>
      <c r="H13540" s="238"/>
      <c r="I13540" s="237"/>
    </row>
    <row r="13541" spans="1:9" s="232" customFormat="1" ht="17" customHeight="1">
      <c r="A13541" s="234"/>
      <c r="B13541" s="233"/>
      <c r="C13541" s="238"/>
      <c r="E13541" s="545"/>
      <c r="F13541" s="546"/>
      <c r="G13541" s="234"/>
      <c r="H13541" s="238"/>
      <c r="I13541" s="237"/>
    </row>
    <row r="13542" spans="1:9" s="232" customFormat="1" ht="17" customHeight="1">
      <c r="A13542" s="234"/>
      <c r="B13542" s="233"/>
      <c r="C13542" s="238"/>
      <c r="E13542" s="545"/>
      <c r="F13542" s="546"/>
      <c r="G13542" s="234"/>
      <c r="H13542" s="238"/>
      <c r="I13542" s="237"/>
    </row>
    <row r="13543" spans="1:9" s="232" customFormat="1" ht="17" customHeight="1">
      <c r="A13543" s="234"/>
      <c r="B13543" s="233"/>
      <c r="C13543" s="238"/>
      <c r="E13543" s="545"/>
      <c r="F13543" s="546"/>
      <c r="G13543" s="234"/>
      <c r="H13543" s="238"/>
      <c r="I13543" s="237"/>
    </row>
    <row r="13544" spans="1:9" s="232" customFormat="1" ht="17" customHeight="1">
      <c r="A13544" s="234"/>
      <c r="B13544" s="233"/>
      <c r="C13544" s="238"/>
      <c r="E13544" s="545"/>
      <c r="F13544" s="546"/>
      <c r="G13544" s="234"/>
      <c r="H13544" s="238"/>
      <c r="I13544" s="237"/>
    </row>
    <row r="13545" spans="1:9" s="232" customFormat="1" ht="17" customHeight="1">
      <c r="A13545" s="234"/>
      <c r="B13545" s="233"/>
      <c r="C13545" s="238"/>
      <c r="E13545" s="545"/>
      <c r="F13545" s="546"/>
      <c r="G13545" s="234"/>
      <c r="H13545" s="238"/>
      <c r="I13545" s="237"/>
    </row>
    <row r="13546" spans="1:9" s="232" customFormat="1" ht="17" customHeight="1">
      <c r="A13546" s="234"/>
      <c r="B13546" s="233"/>
      <c r="C13546" s="238"/>
      <c r="E13546" s="545"/>
      <c r="F13546" s="546"/>
      <c r="G13546" s="234"/>
      <c r="H13546" s="238"/>
      <c r="I13546" s="237"/>
    </row>
    <row r="13547" spans="1:9" s="232" customFormat="1" ht="17" customHeight="1">
      <c r="A13547" s="234"/>
      <c r="B13547" s="233"/>
      <c r="C13547" s="238"/>
      <c r="E13547" s="545"/>
      <c r="F13547" s="546"/>
      <c r="G13547" s="234"/>
      <c r="H13547" s="238"/>
      <c r="I13547" s="237"/>
    </row>
    <row r="13548" spans="1:9" s="232" customFormat="1" ht="17" customHeight="1">
      <c r="A13548" s="234"/>
      <c r="B13548" s="233"/>
      <c r="C13548" s="238"/>
      <c r="E13548" s="545"/>
      <c r="F13548" s="546"/>
      <c r="G13548" s="234"/>
      <c r="H13548" s="238"/>
      <c r="I13548" s="237"/>
    </row>
    <row r="13549" spans="1:9" s="232" customFormat="1" ht="17" customHeight="1">
      <c r="A13549" s="234"/>
      <c r="B13549" s="233"/>
      <c r="C13549" s="238"/>
      <c r="E13549" s="545"/>
      <c r="F13549" s="546"/>
      <c r="G13549" s="234"/>
      <c r="H13549" s="238"/>
      <c r="I13549" s="237"/>
    </row>
    <row r="13550" spans="1:9" s="232" customFormat="1" ht="17" customHeight="1">
      <c r="A13550" s="234"/>
      <c r="B13550" s="233"/>
      <c r="C13550" s="238"/>
      <c r="E13550" s="545"/>
      <c r="F13550" s="546"/>
      <c r="G13550" s="234"/>
      <c r="H13550" s="238"/>
      <c r="I13550" s="237"/>
    </row>
    <row r="13551" spans="1:9" s="232" customFormat="1" ht="17" customHeight="1">
      <c r="A13551" s="234"/>
      <c r="B13551" s="233"/>
      <c r="C13551" s="238"/>
      <c r="E13551" s="545"/>
      <c r="F13551" s="546"/>
      <c r="G13551" s="234"/>
      <c r="H13551" s="238"/>
      <c r="I13551" s="237"/>
    </row>
    <row r="13552" spans="1:9" s="232" customFormat="1" ht="17" customHeight="1">
      <c r="A13552" s="234"/>
      <c r="B13552" s="233"/>
      <c r="C13552" s="238"/>
      <c r="E13552" s="545"/>
      <c r="F13552" s="546"/>
      <c r="G13552" s="234"/>
      <c r="H13552" s="238"/>
      <c r="I13552" s="237"/>
    </row>
    <row r="13553" spans="1:9" s="232" customFormat="1" ht="17" customHeight="1">
      <c r="A13553" s="234"/>
      <c r="B13553" s="233"/>
      <c r="C13553" s="238"/>
      <c r="E13553" s="545"/>
      <c r="F13553" s="546"/>
      <c r="G13553" s="234"/>
      <c r="H13553" s="238"/>
      <c r="I13553" s="237"/>
    </row>
    <row r="13554" spans="1:9" s="232" customFormat="1" ht="17" customHeight="1">
      <c r="A13554" s="234"/>
      <c r="B13554" s="233"/>
      <c r="C13554" s="238"/>
      <c r="E13554" s="545"/>
      <c r="F13554" s="546"/>
      <c r="G13554" s="234"/>
      <c r="H13554" s="238"/>
      <c r="I13554" s="237"/>
    </row>
    <row r="13555" spans="1:9" s="232" customFormat="1" ht="17" customHeight="1">
      <c r="A13555" s="234"/>
      <c r="B13555" s="233"/>
      <c r="C13555" s="238"/>
      <c r="E13555" s="545"/>
      <c r="F13555" s="546"/>
      <c r="G13555" s="234"/>
      <c r="H13555" s="238"/>
      <c r="I13555" s="237"/>
    </row>
    <row r="13556" spans="1:9" s="232" customFormat="1" ht="17" customHeight="1">
      <c r="A13556" s="234"/>
      <c r="B13556" s="233"/>
      <c r="C13556" s="238"/>
      <c r="E13556" s="545"/>
      <c r="F13556" s="546"/>
      <c r="G13556" s="234"/>
      <c r="H13556" s="238"/>
      <c r="I13556" s="237"/>
    </row>
    <row r="13557" spans="1:9" s="232" customFormat="1" ht="17" customHeight="1">
      <c r="A13557" s="234"/>
      <c r="B13557" s="233"/>
      <c r="C13557" s="238"/>
      <c r="E13557" s="545"/>
      <c r="F13557" s="546"/>
      <c r="G13557" s="234"/>
      <c r="H13557" s="238"/>
      <c r="I13557" s="237"/>
    </row>
    <row r="13558" spans="1:9" s="232" customFormat="1" ht="17" customHeight="1">
      <c r="A13558" s="234"/>
      <c r="B13558" s="233"/>
      <c r="C13558" s="238"/>
      <c r="E13558" s="545"/>
      <c r="F13558" s="546"/>
      <c r="G13558" s="234"/>
      <c r="H13558" s="238"/>
      <c r="I13558" s="237"/>
    </row>
    <row r="13559" spans="1:9" s="232" customFormat="1" ht="17" customHeight="1">
      <c r="A13559" s="234"/>
      <c r="B13559" s="233"/>
      <c r="C13559" s="238"/>
      <c r="E13559" s="545"/>
      <c r="F13559" s="546"/>
      <c r="G13559" s="234"/>
      <c r="H13559" s="238"/>
      <c r="I13559" s="237"/>
    </row>
    <row r="13560" spans="1:9" s="232" customFormat="1" ht="17" customHeight="1">
      <c r="A13560" s="234"/>
      <c r="B13560" s="233"/>
      <c r="C13560" s="238"/>
      <c r="E13560" s="545"/>
      <c r="F13560" s="546"/>
      <c r="G13560" s="234"/>
      <c r="H13560" s="238"/>
      <c r="I13560" s="237"/>
    </row>
    <row r="13561" spans="1:9" s="232" customFormat="1" ht="17" customHeight="1">
      <c r="A13561" s="234"/>
      <c r="B13561" s="233"/>
      <c r="C13561" s="238"/>
      <c r="E13561" s="545"/>
      <c r="F13561" s="546"/>
      <c r="G13561" s="234"/>
      <c r="H13561" s="238"/>
      <c r="I13561" s="237"/>
    </row>
    <row r="13562" spans="1:9" s="232" customFormat="1" ht="17" customHeight="1">
      <c r="A13562" s="234"/>
      <c r="B13562" s="233"/>
      <c r="C13562" s="238"/>
      <c r="E13562" s="545"/>
      <c r="F13562" s="546"/>
      <c r="G13562" s="234"/>
      <c r="H13562" s="238"/>
      <c r="I13562" s="237"/>
    </row>
    <row r="13563" spans="1:9" s="232" customFormat="1" ht="17" customHeight="1">
      <c r="A13563" s="234"/>
      <c r="B13563" s="233"/>
      <c r="C13563" s="238"/>
      <c r="E13563" s="545"/>
      <c r="F13563" s="546"/>
      <c r="G13563" s="234"/>
      <c r="H13563" s="238"/>
      <c r="I13563" s="237"/>
    </row>
    <row r="13564" spans="1:9" s="232" customFormat="1" ht="17" customHeight="1">
      <c r="A13564" s="234"/>
      <c r="B13564" s="233"/>
      <c r="C13564" s="238"/>
      <c r="E13564" s="545"/>
      <c r="F13564" s="546"/>
      <c r="G13564" s="234"/>
      <c r="H13564" s="238"/>
      <c r="I13564" s="237"/>
    </row>
    <row r="13565" spans="1:9" s="232" customFormat="1" ht="17" customHeight="1">
      <c r="A13565" s="234"/>
      <c r="B13565" s="233"/>
      <c r="C13565" s="238"/>
      <c r="E13565" s="545"/>
      <c r="F13565" s="546"/>
      <c r="G13565" s="234"/>
      <c r="H13565" s="238"/>
      <c r="I13565" s="237"/>
    </row>
    <row r="13566" spans="1:9" s="232" customFormat="1" ht="17" customHeight="1">
      <c r="A13566" s="234"/>
      <c r="B13566" s="233"/>
      <c r="C13566" s="238"/>
      <c r="E13566" s="545"/>
      <c r="F13566" s="546"/>
      <c r="G13566" s="234"/>
      <c r="H13566" s="238"/>
      <c r="I13566" s="237"/>
    </row>
    <row r="13567" spans="1:9" s="232" customFormat="1" ht="17" customHeight="1">
      <c r="A13567" s="234"/>
      <c r="B13567" s="233"/>
      <c r="C13567" s="238"/>
      <c r="E13567" s="545"/>
      <c r="F13567" s="546"/>
      <c r="G13567" s="234"/>
      <c r="H13567" s="238"/>
      <c r="I13567" s="237"/>
    </row>
    <row r="13568" spans="1:9" s="232" customFormat="1" ht="17" customHeight="1">
      <c r="A13568" s="234"/>
      <c r="B13568" s="233"/>
      <c r="C13568" s="238"/>
      <c r="E13568" s="545"/>
      <c r="F13568" s="546"/>
      <c r="G13568" s="234"/>
      <c r="H13568" s="238"/>
      <c r="I13568" s="237"/>
    </row>
    <row r="13569" spans="1:9" s="232" customFormat="1" ht="17" customHeight="1">
      <c r="A13569" s="234"/>
      <c r="B13569" s="233"/>
      <c r="C13569" s="238"/>
      <c r="E13569" s="545"/>
      <c r="F13569" s="546"/>
      <c r="G13569" s="234"/>
      <c r="H13569" s="238"/>
      <c r="I13569" s="237"/>
    </row>
    <row r="13570" spans="1:9" s="232" customFormat="1" ht="17" customHeight="1">
      <c r="A13570" s="234"/>
      <c r="B13570" s="233"/>
      <c r="C13570" s="238"/>
      <c r="E13570" s="545"/>
      <c r="F13570" s="546"/>
      <c r="G13570" s="234"/>
      <c r="H13570" s="238"/>
      <c r="I13570" s="237"/>
    </row>
    <row r="13571" spans="1:9" s="232" customFormat="1" ht="17" customHeight="1">
      <c r="A13571" s="234"/>
      <c r="B13571" s="233"/>
      <c r="C13571" s="238"/>
      <c r="E13571" s="545"/>
      <c r="F13571" s="546"/>
      <c r="G13571" s="234"/>
      <c r="H13571" s="238"/>
      <c r="I13571" s="237"/>
    </row>
    <row r="13572" spans="1:9" s="232" customFormat="1" ht="17" customHeight="1">
      <c r="A13572" s="234"/>
      <c r="B13572" s="233"/>
      <c r="C13572" s="238"/>
      <c r="E13572" s="545"/>
      <c r="F13572" s="546"/>
      <c r="G13572" s="234"/>
      <c r="H13572" s="238"/>
      <c r="I13572" s="237"/>
    </row>
    <row r="13573" spans="1:9" s="232" customFormat="1" ht="17" customHeight="1">
      <c r="A13573" s="234"/>
      <c r="B13573" s="233"/>
      <c r="C13573" s="238"/>
      <c r="E13573" s="545"/>
      <c r="F13573" s="546"/>
      <c r="G13573" s="234"/>
      <c r="H13573" s="238"/>
      <c r="I13573" s="237"/>
    </row>
    <row r="13574" spans="1:9" s="232" customFormat="1" ht="17" customHeight="1">
      <c r="A13574" s="234"/>
      <c r="B13574" s="233"/>
      <c r="C13574" s="238"/>
      <c r="E13574" s="545"/>
      <c r="F13574" s="546"/>
      <c r="G13574" s="234"/>
      <c r="H13574" s="238"/>
      <c r="I13574" s="237"/>
    </row>
    <row r="13575" spans="1:9" s="232" customFormat="1" ht="17" customHeight="1">
      <c r="A13575" s="234"/>
      <c r="B13575" s="233"/>
      <c r="C13575" s="238"/>
      <c r="E13575" s="545"/>
      <c r="F13575" s="546"/>
      <c r="G13575" s="234"/>
      <c r="H13575" s="238"/>
      <c r="I13575" s="237"/>
    </row>
    <row r="13576" spans="1:9" s="232" customFormat="1" ht="17" customHeight="1">
      <c r="A13576" s="234"/>
      <c r="B13576" s="233"/>
      <c r="C13576" s="238"/>
      <c r="E13576" s="545"/>
      <c r="F13576" s="546"/>
      <c r="G13576" s="234"/>
      <c r="H13576" s="238"/>
      <c r="I13576" s="237"/>
    </row>
    <row r="13577" spans="1:9" s="232" customFormat="1" ht="17" customHeight="1">
      <c r="A13577" s="234"/>
      <c r="B13577" s="233"/>
      <c r="C13577" s="238"/>
      <c r="E13577" s="545"/>
      <c r="F13577" s="546"/>
      <c r="G13577" s="234"/>
      <c r="H13577" s="238"/>
      <c r="I13577" s="237"/>
    </row>
    <row r="13578" spans="1:9" s="232" customFormat="1" ht="17" customHeight="1">
      <c r="A13578" s="234"/>
      <c r="B13578" s="233"/>
      <c r="C13578" s="238"/>
      <c r="E13578" s="545"/>
      <c r="F13578" s="546"/>
      <c r="G13578" s="234"/>
      <c r="H13578" s="238"/>
      <c r="I13578" s="237"/>
    </row>
    <row r="13579" spans="1:9" s="232" customFormat="1" ht="17" customHeight="1">
      <c r="A13579" s="234"/>
      <c r="B13579" s="233"/>
      <c r="C13579" s="238"/>
      <c r="E13579" s="545"/>
      <c r="F13579" s="546"/>
      <c r="G13579" s="234"/>
      <c r="H13579" s="238"/>
      <c r="I13579" s="237"/>
    </row>
    <row r="13580" spans="1:9" s="232" customFormat="1" ht="17" customHeight="1">
      <c r="A13580" s="234"/>
      <c r="B13580" s="233"/>
      <c r="C13580" s="238"/>
      <c r="E13580" s="545"/>
      <c r="F13580" s="546"/>
      <c r="G13580" s="234"/>
      <c r="H13580" s="238"/>
      <c r="I13580" s="237"/>
    </row>
    <row r="13581" spans="1:9" s="232" customFormat="1" ht="17" customHeight="1">
      <c r="A13581" s="234"/>
      <c r="B13581" s="233"/>
      <c r="C13581" s="238"/>
      <c r="E13581" s="545"/>
      <c r="F13581" s="546"/>
      <c r="G13581" s="234"/>
      <c r="H13581" s="238"/>
      <c r="I13581" s="237"/>
    </row>
    <row r="13582" spans="1:9" s="232" customFormat="1" ht="17" customHeight="1">
      <c r="A13582" s="234"/>
      <c r="B13582" s="233"/>
      <c r="C13582" s="238"/>
      <c r="E13582" s="545"/>
      <c r="F13582" s="546"/>
      <c r="G13582" s="234"/>
      <c r="H13582" s="238"/>
      <c r="I13582" s="237"/>
    </row>
    <row r="13583" spans="1:9" s="232" customFormat="1" ht="17" customHeight="1">
      <c r="A13583" s="234"/>
      <c r="B13583" s="233"/>
      <c r="C13583" s="238"/>
      <c r="E13583" s="545"/>
      <c r="F13583" s="546"/>
      <c r="G13583" s="234"/>
      <c r="H13583" s="238"/>
      <c r="I13583" s="237"/>
    </row>
    <row r="13584" spans="1:9" s="232" customFormat="1" ht="17" customHeight="1">
      <c r="A13584" s="234"/>
      <c r="B13584" s="233"/>
      <c r="C13584" s="238"/>
      <c r="E13584" s="545"/>
      <c r="F13584" s="546"/>
      <c r="G13584" s="234"/>
      <c r="H13584" s="238"/>
      <c r="I13584" s="237"/>
    </row>
    <row r="13585" spans="1:9" s="232" customFormat="1" ht="17" customHeight="1">
      <c r="A13585" s="234"/>
      <c r="B13585" s="233"/>
      <c r="C13585" s="238"/>
      <c r="E13585" s="545"/>
      <c r="F13585" s="546"/>
      <c r="G13585" s="234"/>
      <c r="H13585" s="238"/>
      <c r="I13585" s="237"/>
    </row>
    <row r="13586" spans="1:9" s="232" customFormat="1" ht="17" customHeight="1">
      <c r="A13586" s="234"/>
      <c r="B13586" s="233"/>
      <c r="C13586" s="238"/>
      <c r="E13586" s="545"/>
      <c r="F13586" s="546"/>
      <c r="G13586" s="234"/>
      <c r="H13586" s="238"/>
      <c r="I13586" s="237"/>
    </row>
    <row r="13587" spans="1:9" s="232" customFormat="1" ht="17" customHeight="1">
      <c r="A13587" s="234"/>
      <c r="B13587" s="233"/>
      <c r="C13587" s="238"/>
      <c r="E13587" s="545"/>
      <c r="F13587" s="546"/>
      <c r="G13587" s="234"/>
      <c r="H13587" s="238"/>
      <c r="I13587" s="237"/>
    </row>
    <row r="13588" spans="1:9" s="232" customFormat="1" ht="17" customHeight="1">
      <c r="A13588" s="234"/>
      <c r="B13588" s="233"/>
      <c r="C13588" s="238"/>
      <c r="E13588" s="545"/>
      <c r="F13588" s="546"/>
      <c r="G13588" s="234"/>
      <c r="H13588" s="238"/>
      <c r="I13588" s="237"/>
    </row>
    <row r="13589" spans="1:9" s="232" customFormat="1" ht="17" customHeight="1">
      <c r="A13589" s="234"/>
      <c r="B13589" s="233"/>
      <c r="C13589" s="238"/>
      <c r="E13589" s="545"/>
      <c r="F13589" s="546"/>
      <c r="G13589" s="234"/>
      <c r="H13589" s="238"/>
      <c r="I13589" s="237"/>
    </row>
    <row r="13590" spans="1:9" s="232" customFormat="1" ht="17" customHeight="1">
      <c r="A13590" s="234"/>
      <c r="B13590" s="233"/>
      <c r="C13590" s="238"/>
      <c r="E13590" s="545"/>
      <c r="F13590" s="546"/>
      <c r="G13590" s="234"/>
      <c r="H13590" s="238"/>
      <c r="I13590" s="237"/>
    </row>
    <row r="13591" spans="1:9" s="232" customFormat="1" ht="17" customHeight="1">
      <c r="A13591" s="234"/>
      <c r="B13591" s="233"/>
      <c r="C13591" s="238"/>
      <c r="E13591" s="545"/>
      <c r="F13591" s="546"/>
      <c r="G13591" s="234"/>
      <c r="H13591" s="238"/>
      <c r="I13591" s="237"/>
    </row>
    <row r="13592" spans="1:9" s="232" customFormat="1" ht="17" customHeight="1">
      <c r="A13592" s="234"/>
      <c r="B13592" s="233"/>
      <c r="C13592" s="238"/>
      <c r="E13592" s="545"/>
      <c r="F13592" s="546"/>
      <c r="G13592" s="234"/>
      <c r="H13592" s="238"/>
      <c r="I13592" s="237"/>
    </row>
    <row r="13593" spans="1:9" s="232" customFormat="1" ht="17" customHeight="1">
      <c r="A13593" s="234"/>
      <c r="B13593" s="233"/>
      <c r="C13593" s="238"/>
      <c r="E13593" s="545"/>
      <c r="F13593" s="546"/>
      <c r="G13593" s="234"/>
      <c r="H13593" s="238"/>
      <c r="I13593" s="237"/>
    </row>
    <row r="13594" spans="1:9" s="232" customFormat="1" ht="17" customHeight="1">
      <c r="A13594" s="234"/>
      <c r="B13594" s="233"/>
      <c r="C13594" s="238"/>
      <c r="E13594" s="545"/>
      <c r="F13594" s="546"/>
      <c r="G13594" s="234"/>
      <c r="H13594" s="238"/>
      <c r="I13594" s="237"/>
    </row>
    <row r="13595" spans="1:9" s="232" customFormat="1" ht="17" customHeight="1">
      <c r="A13595" s="234"/>
      <c r="B13595" s="233"/>
      <c r="C13595" s="238"/>
      <c r="E13595" s="545"/>
      <c r="F13595" s="546"/>
      <c r="G13595" s="234"/>
      <c r="H13595" s="238"/>
      <c r="I13595" s="237"/>
    </row>
    <row r="13596" spans="1:9" s="232" customFormat="1" ht="17" customHeight="1">
      <c r="A13596" s="234"/>
      <c r="B13596" s="233"/>
      <c r="C13596" s="238"/>
      <c r="E13596" s="545"/>
      <c r="F13596" s="546"/>
      <c r="G13596" s="234"/>
      <c r="H13596" s="238"/>
      <c r="I13596" s="237"/>
    </row>
    <row r="13597" spans="1:9" s="232" customFormat="1" ht="17" customHeight="1">
      <c r="A13597" s="234"/>
      <c r="B13597" s="233"/>
      <c r="C13597" s="238"/>
      <c r="E13597" s="545"/>
      <c r="F13597" s="546"/>
      <c r="G13597" s="234"/>
      <c r="H13597" s="238"/>
      <c r="I13597" s="237"/>
    </row>
    <row r="13598" spans="1:9" s="232" customFormat="1" ht="17" customHeight="1">
      <c r="A13598" s="234"/>
      <c r="B13598" s="233"/>
      <c r="C13598" s="238"/>
      <c r="E13598" s="545"/>
      <c r="F13598" s="546"/>
      <c r="G13598" s="234"/>
      <c r="H13598" s="238"/>
      <c r="I13598" s="237"/>
    </row>
    <row r="13599" spans="1:9" s="232" customFormat="1" ht="17" customHeight="1">
      <c r="A13599" s="234"/>
      <c r="B13599" s="233"/>
      <c r="C13599" s="238"/>
      <c r="E13599" s="545"/>
      <c r="F13599" s="546"/>
      <c r="G13599" s="234"/>
      <c r="H13599" s="238"/>
      <c r="I13599" s="237"/>
    </row>
    <row r="13600" spans="1:9" s="232" customFormat="1" ht="17" customHeight="1">
      <c r="A13600" s="234"/>
      <c r="B13600" s="233"/>
      <c r="C13600" s="238"/>
      <c r="E13600" s="545"/>
      <c r="F13600" s="546"/>
      <c r="G13600" s="234"/>
      <c r="H13600" s="238"/>
      <c r="I13600" s="237"/>
    </row>
    <row r="13601" spans="1:9" s="232" customFormat="1" ht="17" customHeight="1">
      <c r="A13601" s="234"/>
      <c r="B13601" s="233"/>
      <c r="C13601" s="238"/>
      <c r="E13601" s="545"/>
      <c r="F13601" s="546"/>
      <c r="G13601" s="234"/>
      <c r="H13601" s="238"/>
      <c r="I13601" s="237"/>
    </row>
    <row r="13602" spans="1:9" s="232" customFormat="1" ht="17" customHeight="1">
      <c r="A13602" s="234"/>
      <c r="B13602" s="233"/>
      <c r="C13602" s="238"/>
      <c r="E13602" s="545"/>
      <c r="F13602" s="546"/>
      <c r="G13602" s="234"/>
      <c r="H13602" s="238"/>
      <c r="I13602" s="237"/>
    </row>
    <row r="13603" spans="1:9" s="232" customFormat="1" ht="17" customHeight="1">
      <c r="A13603" s="234"/>
      <c r="B13603" s="233"/>
      <c r="C13603" s="238"/>
      <c r="E13603" s="545"/>
      <c r="F13603" s="546"/>
      <c r="G13603" s="234"/>
      <c r="H13603" s="238"/>
      <c r="I13603" s="237"/>
    </row>
    <row r="13604" spans="1:9" s="232" customFormat="1" ht="17" customHeight="1">
      <c r="A13604" s="234"/>
      <c r="B13604" s="233"/>
      <c r="C13604" s="238"/>
      <c r="E13604" s="545"/>
      <c r="F13604" s="546"/>
      <c r="G13604" s="234"/>
      <c r="H13604" s="238"/>
      <c r="I13604" s="237"/>
    </row>
    <row r="13605" spans="1:9" s="232" customFormat="1" ht="17" customHeight="1">
      <c r="A13605" s="234"/>
      <c r="B13605" s="233"/>
      <c r="C13605" s="238"/>
      <c r="E13605" s="545"/>
      <c r="F13605" s="546"/>
      <c r="G13605" s="234"/>
      <c r="H13605" s="238"/>
      <c r="I13605" s="237"/>
    </row>
    <row r="13606" spans="1:9" s="232" customFormat="1" ht="17" customHeight="1">
      <c r="A13606" s="234"/>
      <c r="B13606" s="233"/>
      <c r="C13606" s="238"/>
      <c r="E13606" s="545"/>
      <c r="F13606" s="546"/>
      <c r="G13606" s="234"/>
      <c r="H13606" s="238"/>
      <c r="I13606" s="237"/>
    </row>
    <row r="13607" spans="1:9" s="232" customFormat="1" ht="17" customHeight="1">
      <c r="A13607" s="234"/>
      <c r="B13607" s="233"/>
      <c r="C13607" s="238"/>
      <c r="E13607" s="545"/>
      <c r="F13607" s="546"/>
      <c r="G13607" s="234"/>
      <c r="H13607" s="238"/>
      <c r="I13607" s="237"/>
    </row>
    <row r="13608" spans="1:9" s="232" customFormat="1" ht="17" customHeight="1">
      <c r="A13608" s="234"/>
      <c r="B13608" s="233"/>
      <c r="C13608" s="238"/>
      <c r="E13608" s="545"/>
      <c r="F13608" s="546"/>
      <c r="G13608" s="234"/>
      <c r="H13608" s="238"/>
      <c r="I13608" s="237"/>
    </row>
    <row r="13609" spans="1:9" s="232" customFormat="1" ht="17" customHeight="1">
      <c r="A13609" s="234"/>
      <c r="B13609" s="233"/>
      <c r="C13609" s="238"/>
      <c r="E13609" s="545"/>
      <c r="F13609" s="546"/>
      <c r="G13609" s="234"/>
      <c r="H13609" s="238"/>
      <c r="I13609" s="237"/>
    </row>
    <row r="13610" spans="1:9" s="232" customFormat="1" ht="17" customHeight="1">
      <c r="A13610" s="234"/>
      <c r="B13610" s="233"/>
      <c r="C13610" s="238"/>
      <c r="E13610" s="545"/>
      <c r="F13610" s="546"/>
      <c r="G13610" s="234"/>
      <c r="H13610" s="238"/>
      <c r="I13610" s="237"/>
    </row>
    <row r="13611" spans="1:9" s="232" customFormat="1" ht="17" customHeight="1">
      <c r="A13611" s="234"/>
      <c r="B13611" s="233"/>
      <c r="C13611" s="238"/>
      <c r="E13611" s="545"/>
      <c r="F13611" s="546"/>
      <c r="G13611" s="234"/>
      <c r="H13611" s="238"/>
      <c r="I13611" s="237"/>
    </row>
    <row r="13612" spans="1:9" s="232" customFormat="1" ht="17" customHeight="1">
      <c r="A13612" s="234"/>
      <c r="B13612" s="233"/>
      <c r="C13612" s="238"/>
      <c r="E13612" s="545"/>
      <c r="F13612" s="546"/>
      <c r="G13612" s="234"/>
      <c r="H13612" s="238"/>
      <c r="I13612" s="237"/>
    </row>
    <row r="13613" spans="1:9" s="232" customFormat="1" ht="17" customHeight="1">
      <c r="A13613" s="234"/>
      <c r="B13613" s="233"/>
      <c r="C13613" s="238"/>
      <c r="E13613" s="545"/>
      <c r="F13613" s="546"/>
      <c r="G13613" s="234"/>
      <c r="H13613" s="238"/>
      <c r="I13613" s="237"/>
    </row>
    <row r="13614" spans="1:9" s="232" customFormat="1" ht="17" customHeight="1">
      <c r="A13614" s="234"/>
      <c r="B13614" s="233"/>
      <c r="C13614" s="238"/>
      <c r="E13614" s="545"/>
      <c r="F13614" s="546"/>
      <c r="G13614" s="234"/>
      <c r="H13614" s="238"/>
      <c r="I13614" s="237"/>
    </row>
    <row r="13615" spans="1:9" s="232" customFormat="1" ht="17" customHeight="1">
      <c r="A13615" s="234"/>
      <c r="B13615" s="233"/>
      <c r="C13615" s="238"/>
      <c r="E13615" s="545"/>
      <c r="F13615" s="546"/>
      <c r="G13615" s="234"/>
      <c r="H13615" s="238"/>
      <c r="I13615" s="237"/>
    </row>
    <row r="13616" spans="1:9" s="232" customFormat="1" ht="17" customHeight="1">
      <c r="A13616" s="234"/>
      <c r="B13616" s="233"/>
      <c r="C13616" s="238"/>
      <c r="E13616" s="545"/>
      <c r="F13616" s="546"/>
      <c r="G13616" s="234"/>
      <c r="H13616" s="238"/>
      <c r="I13616" s="237"/>
    </row>
    <row r="13617" spans="1:9" s="232" customFormat="1" ht="17" customHeight="1">
      <c r="A13617" s="234"/>
      <c r="B13617" s="233"/>
      <c r="C13617" s="238"/>
      <c r="E13617" s="545"/>
      <c r="F13617" s="546"/>
      <c r="G13617" s="234"/>
      <c r="H13617" s="238"/>
      <c r="I13617" s="237"/>
    </row>
    <row r="13618" spans="1:9" s="232" customFormat="1" ht="17" customHeight="1">
      <c r="A13618" s="234"/>
      <c r="B13618" s="233"/>
      <c r="C13618" s="238"/>
      <c r="E13618" s="545"/>
      <c r="F13618" s="546"/>
      <c r="G13618" s="234"/>
      <c r="H13618" s="238"/>
      <c r="I13618" s="237"/>
    </row>
    <row r="13619" spans="1:9" s="232" customFormat="1" ht="17" customHeight="1">
      <c r="A13619" s="234"/>
      <c r="B13619" s="233"/>
      <c r="C13619" s="238"/>
      <c r="E13619" s="545"/>
      <c r="F13619" s="546"/>
      <c r="G13619" s="234"/>
      <c r="H13619" s="238"/>
      <c r="I13619" s="237"/>
    </row>
    <row r="13620" spans="1:9" s="232" customFormat="1" ht="17" customHeight="1">
      <c r="A13620" s="234"/>
      <c r="B13620" s="233"/>
      <c r="C13620" s="238"/>
      <c r="E13620" s="545"/>
      <c r="F13620" s="546"/>
      <c r="G13620" s="234"/>
      <c r="H13620" s="238"/>
      <c r="I13620" s="237"/>
    </row>
    <row r="13621" spans="1:9" s="232" customFormat="1" ht="17" customHeight="1">
      <c r="A13621" s="234"/>
      <c r="B13621" s="233"/>
      <c r="C13621" s="238"/>
      <c r="E13621" s="545"/>
      <c r="F13621" s="546"/>
      <c r="G13621" s="234"/>
      <c r="H13621" s="238"/>
      <c r="I13621" s="237"/>
    </row>
    <row r="13622" spans="1:9" s="232" customFormat="1" ht="17" customHeight="1">
      <c r="A13622" s="234"/>
      <c r="B13622" s="233"/>
      <c r="C13622" s="238"/>
      <c r="E13622" s="545"/>
      <c r="F13622" s="546"/>
      <c r="G13622" s="234"/>
      <c r="H13622" s="238"/>
      <c r="I13622" s="237"/>
    </row>
    <row r="13623" spans="1:9" s="232" customFormat="1" ht="17" customHeight="1">
      <c r="A13623" s="234"/>
      <c r="B13623" s="233"/>
      <c r="C13623" s="238"/>
      <c r="E13623" s="545"/>
      <c r="F13623" s="546"/>
      <c r="G13623" s="234"/>
      <c r="H13623" s="238"/>
      <c r="I13623" s="237"/>
    </row>
    <row r="13624" spans="1:9" s="232" customFormat="1" ht="17" customHeight="1">
      <c r="A13624" s="234"/>
      <c r="B13624" s="233"/>
      <c r="C13624" s="238"/>
      <c r="E13624" s="545"/>
      <c r="F13624" s="546"/>
      <c r="G13624" s="234"/>
      <c r="H13624" s="238"/>
      <c r="I13624" s="237"/>
    </row>
    <row r="13625" spans="1:9" s="232" customFormat="1" ht="17" customHeight="1">
      <c r="A13625" s="234"/>
      <c r="B13625" s="233"/>
      <c r="C13625" s="238"/>
      <c r="E13625" s="545"/>
      <c r="F13625" s="546"/>
      <c r="G13625" s="234"/>
      <c r="H13625" s="238"/>
      <c r="I13625" s="237"/>
    </row>
    <row r="13626" spans="1:9" s="232" customFormat="1" ht="17" customHeight="1">
      <c r="A13626" s="234"/>
      <c r="B13626" s="233"/>
      <c r="C13626" s="238"/>
      <c r="E13626" s="545"/>
      <c r="F13626" s="546"/>
      <c r="G13626" s="234"/>
      <c r="H13626" s="238"/>
      <c r="I13626" s="237"/>
    </row>
    <row r="13627" spans="1:9" s="232" customFormat="1" ht="17" customHeight="1">
      <c r="A13627" s="234"/>
      <c r="B13627" s="233"/>
      <c r="C13627" s="238"/>
      <c r="E13627" s="545"/>
      <c r="F13627" s="546"/>
      <c r="G13627" s="234"/>
      <c r="H13627" s="238"/>
      <c r="I13627" s="237"/>
    </row>
    <row r="13628" spans="1:9" s="232" customFormat="1" ht="17" customHeight="1">
      <c r="A13628" s="234"/>
      <c r="B13628" s="233"/>
      <c r="C13628" s="238"/>
      <c r="E13628" s="545"/>
      <c r="F13628" s="546"/>
      <c r="G13628" s="234"/>
      <c r="H13628" s="238"/>
      <c r="I13628" s="237"/>
    </row>
    <row r="13629" spans="1:9" s="232" customFormat="1" ht="17" customHeight="1">
      <c r="A13629" s="234"/>
      <c r="B13629" s="233"/>
      <c r="C13629" s="238"/>
      <c r="E13629" s="545"/>
      <c r="F13629" s="546"/>
      <c r="G13629" s="234"/>
      <c r="H13629" s="238"/>
      <c r="I13629" s="237"/>
    </row>
    <row r="13630" spans="1:9" s="232" customFormat="1" ht="17" customHeight="1">
      <c r="A13630" s="234"/>
      <c r="B13630" s="233"/>
      <c r="C13630" s="238"/>
      <c r="E13630" s="545"/>
      <c r="F13630" s="546"/>
      <c r="G13630" s="234"/>
      <c r="H13630" s="238"/>
      <c r="I13630" s="237"/>
    </row>
    <row r="13631" spans="1:9" s="232" customFormat="1" ht="17" customHeight="1">
      <c r="A13631" s="234"/>
      <c r="B13631" s="233"/>
      <c r="C13631" s="238"/>
      <c r="E13631" s="545"/>
      <c r="F13631" s="546"/>
      <c r="G13631" s="234"/>
      <c r="H13631" s="238"/>
      <c r="I13631" s="237"/>
    </row>
    <row r="13632" spans="1:9" s="232" customFormat="1" ht="17" customHeight="1">
      <c r="A13632" s="234"/>
      <c r="B13632" s="233"/>
      <c r="C13632" s="238"/>
      <c r="E13632" s="545"/>
      <c r="F13632" s="546"/>
      <c r="G13632" s="234"/>
      <c r="H13632" s="238"/>
      <c r="I13632" s="237"/>
    </row>
    <row r="13633" spans="1:9" s="232" customFormat="1" ht="17" customHeight="1">
      <c r="A13633" s="234"/>
      <c r="B13633" s="233"/>
      <c r="C13633" s="238"/>
      <c r="E13633" s="545"/>
      <c r="F13633" s="546"/>
      <c r="G13633" s="234"/>
      <c r="H13633" s="238"/>
      <c r="I13633" s="237"/>
    </row>
    <row r="13634" spans="1:9" s="232" customFormat="1" ht="17" customHeight="1">
      <c r="A13634" s="234"/>
      <c r="B13634" s="233"/>
      <c r="C13634" s="238"/>
      <c r="E13634" s="545"/>
      <c r="F13634" s="546"/>
      <c r="G13634" s="234"/>
      <c r="H13634" s="238"/>
      <c r="I13634" s="237"/>
    </row>
    <row r="13635" spans="1:9" s="232" customFormat="1" ht="17" customHeight="1">
      <c r="A13635" s="234"/>
      <c r="B13635" s="233"/>
      <c r="C13635" s="238"/>
      <c r="E13635" s="545"/>
      <c r="F13635" s="546"/>
      <c r="G13635" s="234"/>
      <c r="H13635" s="238"/>
      <c r="I13635" s="237"/>
    </row>
    <row r="13636" spans="1:9" s="232" customFormat="1" ht="17" customHeight="1">
      <c r="A13636" s="234"/>
      <c r="B13636" s="233"/>
      <c r="C13636" s="238"/>
      <c r="E13636" s="545"/>
      <c r="F13636" s="546"/>
      <c r="G13636" s="234"/>
      <c r="H13636" s="238"/>
      <c r="I13636" s="237"/>
    </row>
    <row r="13637" spans="1:9" s="232" customFormat="1" ht="17" customHeight="1">
      <c r="A13637" s="234"/>
      <c r="B13637" s="233"/>
      <c r="C13637" s="238"/>
      <c r="E13637" s="545"/>
      <c r="F13637" s="546"/>
      <c r="G13637" s="234"/>
      <c r="H13637" s="238"/>
      <c r="I13637" s="237"/>
    </row>
    <row r="13638" spans="1:9" s="232" customFormat="1" ht="17" customHeight="1">
      <c r="A13638" s="234"/>
      <c r="B13638" s="233"/>
      <c r="C13638" s="238"/>
      <c r="E13638" s="545"/>
      <c r="F13638" s="546"/>
      <c r="G13638" s="234"/>
      <c r="H13638" s="238"/>
      <c r="I13638" s="237"/>
    </row>
    <row r="13639" spans="1:9" s="232" customFormat="1" ht="17" customHeight="1">
      <c r="A13639" s="234"/>
      <c r="B13639" s="233"/>
      <c r="C13639" s="238"/>
      <c r="E13639" s="545"/>
      <c r="F13639" s="546"/>
      <c r="G13639" s="234"/>
      <c r="H13639" s="238"/>
      <c r="I13639" s="237"/>
    </row>
    <row r="13640" spans="1:9" s="232" customFormat="1" ht="17" customHeight="1">
      <c r="A13640" s="234"/>
      <c r="B13640" s="233"/>
      <c r="C13640" s="238"/>
      <c r="E13640" s="545"/>
      <c r="F13640" s="546"/>
      <c r="G13640" s="234"/>
      <c r="H13640" s="238"/>
      <c r="I13640" s="237"/>
    </row>
    <row r="13641" spans="1:9" s="232" customFormat="1" ht="17" customHeight="1">
      <c r="A13641" s="234"/>
      <c r="B13641" s="233"/>
      <c r="C13641" s="238"/>
      <c r="E13641" s="545"/>
      <c r="F13641" s="546"/>
      <c r="G13641" s="234"/>
      <c r="H13641" s="238"/>
      <c r="I13641" s="237"/>
    </row>
    <row r="13642" spans="1:9" s="232" customFormat="1" ht="17" customHeight="1">
      <c r="A13642" s="234"/>
      <c r="B13642" s="233"/>
      <c r="C13642" s="238"/>
      <c r="E13642" s="545"/>
      <c r="F13642" s="546"/>
      <c r="G13642" s="234"/>
      <c r="H13642" s="238"/>
      <c r="I13642" s="237"/>
    </row>
    <row r="13643" spans="1:9" s="232" customFormat="1" ht="17" customHeight="1">
      <c r="A13643" s="234"/>
      <c r="B13643" s="233"/>
      <c r="C13643" s="238"/>
      <c r="E13643" s="545"/>
      <c r="F13643" s="546"/>
      <c r="G13643" s="234"/>
      <c r="H13643" s="238"/>
      <c r="I13643" s="237"/>
    </row>
    <row r="13644" spans="1:9" s="232" customFormat="1" ht="17" customHeight="1">
      <c r="A13644" s="234"/>
      <c r="B13644" s="233"/>
      <c r="C13644" s="238"/>
      <c r="E13644" s="545"/>
      <c r="F13644" s="546"/>
      <c r="G13644" s="234"/>
      <c r="H13644" s="238"/>
      <c r="I13644" s="237"/>
    </row>
    <row r="13645" spans="1:9" s="232" customFormat="1" ht="17" customHeight="1">
      <c r="A13645" s="234"/>
      <c r="B13645" s="233"/>
      <c r="C13645" s="238"/>
      <c r="E13645" s="545"/>
      <c r="F13645" s="546"/>
      <c r="G13645" s="234"/>
      <c r="H13645" s="238"/>
      <c r="I13645" s="237"/>
    </row>
    <row r="13646" spans="1:9" s="232" customFormat="1" ht="17" customHeight="1">
      <c r="A13646" s="234"/>
      <c r="B13646" s="233"/>
      <c r="C13646" s="238"/>
      <c r="E13646" s="545"/>
      <c r="F13646" s="546"/>
      <c r="G13646" s="234"/>
      <c r="H13646" s="238"/>
      <c r="I13646" s="237"/>
    </row>
    <row r="13647" spans="1:9" s="232" customFormat="1" ht="17" customHeight="1">
      <c r="A13647" s="234"/>
      <c r="B13647" s="233"/>
      <c r="C13647" s="238"/>
      <c r="E13647" s="545"/>
      <c r="F13647" s="546"/>
      <c r="G13647" s="234"/>
      <c r="H13647" s="238"/>
      <c r="I13647" s="237"/>
    </row>
    <row r="13648" spans="1:9" s="232" customFormat="1" ht="17" customHeight="1">
      <c r="A13648" s="234"/>
      <c r="B13648" s="233"/>
      <c r="C13648" s="238"/>
      <c r="E13648" s="545"/>
      <c r="F13648" s="546"/>
      <c r="G13648" s="234"/>
      <c r="H13648" s="238"/>
      <c r="I13648" s="237"/>
    </row>
    <row r="13649" spans="1:9" s="232" customFormat="1" ht="17" customHeight="1">
      <c r="A13649" s="234"/>
      <c r="B13649" s="233"/>
      <c r="C13649" s="238"/>
      <c r="E13649" s="545"/>
      <c r="F13649" s="546"/>
      <c r="G13649" s="234"/>
      <c r="H13649" s="238"/>
      <c r="I13649" s="237"/>
    </row>
    <row r="13650" spans="1:9" s="232" customFormat="1" ht="17" customHeight="1">
      <c r="A13650" s="234"/>
      <c r="B13650" s="233"/>
      <c r="C13650" s="238"/>
      <c r="E13650" s="545"/>
      <c r="F13650" s="546"/>
      <c r="G13650" s="234"/>
      <c r="H13650" s="238"/>
      <c r="I13650" s="237"/>
    </row>
    <row r="13651" spans="1:9" s="232" customFormat="1" ht="17" customHeight="1">
      <c r="A13651" s="234"/>
      <c r="B13651" s="233"/>
      <c r="C13651" s="238"/>
      <c r="E13651" s="545"/>
      <c r="F13651" s="546"/>
      <c r="G13651" s="234"/>
      <c r="H13651" s="238"/>
      <c r="I13651" s="237"/>
    </row>
    <row r="13652" spans="1:9" s="232" customFormat="1" ht="17" customHeight="1">
      <c r="A13652" s="234"/>
      <c r="B13652" s="233"/>
      <c r="C13652" s="238"/>
      <c r="E13652" s="545"/>
      <c r="F13652" s="546"/>
      <c r="G13652" s="234"/>
      <c r="H13652" s="238"/>
      <c r="I13652" s="237"/>
    </row>
    <row r="13653" spans="1:9" s="232" customFormat="1" ht="17" customHeight="1">
      <c r="A13653" s="234"/>
      <c r="B13653" s="233"/>
      <c r="C13653" s="238"/>
      <c r="E13653" s="545"/>
      <c r="F13653" s="546"/>
      <c r="G13653" s="234"/>
      <c r="H13653" s="238"/>
      <c r="I13653" s="237"/>
    </row>
    <row r="13654" spans="1:9" s="232" customFormat="1" ht="17" customHeight="1">
      <c r="A13654" s="234"/>
      <c r="B13654" s="233"/>
      <c r="C13654" s="238"/>
      <c r="E13654" s="545"/>
      <c r="F13654" s="546"/>
      <c r="G13654" s="234"/>
      <c r="H13654" s="238"/>
      <c r="I13654" s="237"/>
    </row>
    <row r="13655" spans="1:9" s="232" customFormat="1" ht="17" customHeight="1">
      <c r="A13655" s="234"/>
      <c r="B13655" s="233"/>
      <c r="C13655" s="238"/>
      <c r="E13655" s="545"/>
      <c r="F13655" s="546"/>
      <c r="G13655" s="234"/>
      <c r="H13655" s="238"/>
      <c r="I13655" s="237"/>
    </row>
    <row r="13656" spans="1:9" s="232" customFormat="1" ht="17" customHeight="1">
      <c r="A13656" s="234"/>
      <c r="B13656" s="233"/>
      <c r="C13656" s="238"/>
      <c r="E13656" s="545"/>
      <c r="F13656" s="546"/>
      <c r="G13656" s="234"/>
      <c r="H13656" s="238"/>
      <c r="I13656" s="237"/>
    </row>
    <row r="13657" spans="1:9" s="232" customFormat="1" ht="17" customHeight="1">
      <c r="A13657" s="234"/>
      <c r="B13657" s="233"/>
      <c r="C13657" s="238"/>
      <c r="E13657" s="545"/>
      <c r="F13657" s="546"/>
      <c r="G13657" s="234"/>
      <c r="H13657" s="238"/>
      <c r="I13657" s="237"/>
    </row>
    <row r="13658" spans="1:9" s="232" customFormat="1" ht="17" customHeight="1">
      <c r="A13658" s="234"/>
      <c r="B13658" s="233"/>
      <c r="C13658" s="238"/>
      <c r="E13658" s="545"/>
      <c r="F13658" s="546"/>
      <c r="G13658" s="234"/>
      <c r="H13658" s="238"/>
      <c r="I13658" s="237"/>
    </row>
    <row r="13659" spans="1:9" s="232" customFormat="1" ht="17" customHeight="1">
      <c r="A13659" s="234"/>
      <c r="B13659" s="233"/>
      <c r="C13659" s="238"/>
      <c r="E13659" s="545"/>
      <c r="F13659" s="546"/>
      <c r="G13659" s="234"/>
      <c r="H13659" s="238"/>
      <c r="I13659" s="237"/>
    </row>
    <row r="13660" spans="1:9" s="232" customFormat="1" ht="17" customHeight="1">
      <c r="A13660" s="234"/>
      <c r="B13660" s="233"/>
      <c r="C13660" s="238"/>
      <c r="E13660" s="545"/>
      <c r="F13660" s="546"/>
      <c r="G13660" s="234"/>
      <c r="H13660" s="238"/>
      <c r="I13660" s="237"/>
    </row>
    <row r="13661" spans="1:9" s="232" customFormat="1" ht="17" customHeight="1">
      <c r="A13661" s="234"/>
      <c r="B13661" s="233"/>
      <c r="C13661" s="238"/>
      <c r="E13661" s="545"/>
      <c r="F13661" s="546"/>
      <c r="G13661" s="234"/>
      <c r="H13661" s="238"/>
      <c r="I13661" s="237"/>
    </row>
    <row r="13662" spans="1:9" s="232" customFormat="1" ht="17" customHeight="1">
      <c r="A13662" s="234"/>
      <c r="B13662" s="233"/>
      <c r="C13662" s="238"/>
      <c r="E13662" s="545"/>
      <c r="F13662" s="546"/>
      <c r="G13662" s="234"/>
      <c r="H13662" s="238"/>
      <c r="I13662" s="237"/>
    </row>
    <row r="13663" spans="1:9" s="232" customFormat="1" ht="17" customHeight="1">
      <c r="A13663" s="234"/>
      <c r="B13663" s="233"/>
      <c r="C13663" s="238"/>
      <c r="E13663" s="545"/>
      <c r="F13663" s="546"/>
      <c r="G13663" s="234"/>
      <c r="H13663" s="238"/>
      <c r="I13663" s="237"/>
    </row>
    <row r="13664" spans="1:9" s="232" customFormat="1" ht="17" customHeight="1">
      <c r="A13664" s="234"/>
      <c r="B13664" s="233"/>
      <c r="C13664" s="238"/>
      <c r="E13664" s="545"/>
      <c r="F13664" s="546"/>
      <c r="G13664" s="234"/>
      <c r="H13664" s="238"/>
      <c r="I13664" s="237"/>
    </row>
    <row r="13665" spans="1:9" s="232" customFormat="1" ht="17" customHeight="1">
      <c r="A13665" s="234"/>
      <c r="B13665" s="233"/>
      <c r="C13665" s="238"/>
      <c r="E13665" s="545"/>
      <c r="F13665" s="546"/>
      <c r="G13665" s="234"/>
      <c r="H13665" s="238"/>
      <c r="I13665" s="237"/>
    </row>
    <row r="13666" spans="1:9" s="232" customFormat="1" ht="17" customHeight="1">
      <c r="A13666" s="234"/>
      <c r="B13666" s="233"/>
      <c r="C13666" s="238"/>
      <c r="E13666" s="545"/>
      <c r="F13666" s="546"/>
      <c r="G13666" s="234"/>
      <c r="H13666" s="238"/>
      <c r="I13666" s="237"/>
    </row>
    <row r="13667" spans="1:9" s="232" customFormat="1" ht="17" customHeight="1">
      <c r="A13667" s="234"/>
      <c r="B13667" s="233"/>
      <c r="C13667" s="238"/>
      <c r="E13667" s="545"/>
      <c r="F13667" s="546"/>
      <c r="G13667" s="234"/>
      <c r="H13667" s="238"/>
      <c r="I13667" s="237"/>
    </row>
    <row r="13668" spans="1:9" s="232" customFormat="1" ht="17" customHeight="1">
      <c r="A13668" s="234"/>
      <c r="B13668" s="233"/>
      <c r="C13668" s="238"/>
      <c r="E13668" s="545"/>
      <c r="F13668" s="546"/>
      <c r="G13668" s="234"/>
      <c r="H13668" s="238"/>
      <c r="I13668" s="237"/>
    </row>
    <row r="13669" spans="1:9" s="232" customFormat="1" ht="17" customHeight="1">
      <c r="A13669" s="234"/>
      <c r="B13669" s="233"/>
      <c r="C13669" s="238"/>
      <c r="E13669" s="545"/>
      <c r="F13669" s="546"/>
      <c r="G13669" s="234"/>
      <c r="H13669" s="238"/>
      <c r="I13669" s="237"/>
    </row>
    <row r="13670" spans="1:9" s="232" customFormat="1" ht="17" customHeight="1">
      <c r="A13670" s="234"/>
      <c r="B13670" s="233"/>
      <c r="C13670" s="238"/>
      <c r="E13670" s="545"/>
      <c r="F13670" s="546"/>
      <c r="G13670" s="234"/>
      <c r="H13670" s="238"/>
      <c r="I13670" s="237"/>
    </row>
    <row r="13671" spans="1:9" s="232" customFormat="1" ht="17" customHeight="1">
      <c r="A13671" s="234"/>
      <c r="B13671" s="233"/>
      <c r="C13671" s="238"/>
      <c r="E13671" s="545"/>
      <c r="F13671" s="546"/>
      <c r="G13671" s="234"/>
      <c r="H13671" s="238"/>
      <c r="I13671" s="237"/>
    </row>
    <row r="13672" spans="1:9" s="232" customFormat="1" ht="17" customHeight="1">
      <c r="A13672" s="234"/>
      <c r="B13672" s="233"/>
      <c r="C13672" s="238"/>
      <c r="E13672" s="545"/>
      <c r="F13672" s="546"/>
      <c r="G13672" s="234"/>
      <c r="H13672" s="238"/>
      <c r="I13672" s="237"/>
    </row>
    <row r="13673" spans="1:9" s="232" customFormat="1" ht="17" customHeight="1">
      <c r="A13673" s="234"/>
      <c r="B13673" s="233"/>
      <c r="C13673" s="238"/>
      <c r="E13673" s="545"/>
      <c r="F13673" s="546"/>
      <c r="G13673" s="234"/>
      <c r="H13673" s="238"/>
      <c r="I13673" s="237"/>
    </row>
    <row r="13674" spans="1:9" s="232" customFormat="1" ht="17" customHeight="1">
      <c r="A13674" s="234"/>
      <c r="B13674" s="233"/>
      <c r="C13674" s="238"/>
      <c r="E13674" s="545"/>
      <c r="F13674" s="546"/>
      <c r="G13674" s="234"/>
      <c r="H13674" s="238"/>
      <c r="I13674" s="237"/>
    </row>
    <row r="13675" spans="1:9" s="232" customFormat="1" ht="17" customHeight="1">
      <c r="A13675" s="234"/>
      <c r="B13675" s="233"/>
      <c r="C13675" s="238"/>
      <c r="E13675" s="545"/>
      <c r="F13675" s="546"/>
      <c r="G13675" s="234"/>
      <c r="H13675" s="238"/>
      <c r="I13675" s="237"/>
    </row>
    <row r="13676" spans="1:9" s="232" customFormat="1" ht="17" customHeight="1">
      <c r="A13676" s="234"/>
      <c r="B13676" s="233"/>
      <c r="C13676" s="238"/>
      <c r="E13676" s="545"/>
      <c r="F13676" s="546"/>
      <c r="G13676" s="234"/>
      <c r="H13676" s="238"/>
      <c r="I13676" s="237"/>
    </row>
    <row r="13677" spans="1:9" s="232" customFormat="1" ht="17" customHeight="1">
      <c r="A13677" s="234"/>
      <c r="B13677" s="233"/>
      <c r="C13677" s="238"/>
      <c r="E13677" s="545"/>
      <c r="F13677" s="546"/>
      <c r="G13677" s="234"/>
      <c r="H13677" s="238"/>
      <c r="I13677" s="237"/>
    </row>
    <row r="13678" spans="1:9" s="232" customFormat="1" ht="17" customHeight="1">
      <c r="A13678" s="234"/>
      <c r="B13678" s="233"/>
      <c r="C13678" s="238"/>
      <c r="E13678" s="545"/>
      <c r="F13678" s="546"/>
      <c r="G13678" s="234"/>
      <c r="H13678" s="238"/>
      <c r="I13678" s="237"/>
    </row>
    <row r="13679" spans="1:9" s="232" customFormat="1" ht="17" customHeight="1">
      <c r="A13679" s="234"/>
      <c r="B13679" s="233"/>
      <c r="C13679" s="238"/>
      <c r="E13679" s="545"/>
      <c r="F13679" s="546"/>
      <c r="G13679" s="234"/>
      <c r="H13679" s="238"/>
      <c r="I13679" s="237"/>
    </row>
    <row r="13680" spans="1:9" s="232" customFormat="1" ht="17" customHeight="1">
      <c r="A13680" s="234"/>
      <c r="B13680" s="233"/>
      <c r="C13680" s="238"/>
      <c r="E13680" s="545"/>
      <c r="F13680" s="546"/>
      <c r="G13680" s="234"/>
      <c r="H13680" s="238"/>
      <c r="I13680" s="237"/>
    </row>
    <row r="13681" spans="1:9" s="232" customFormat="1" ht="17" customHeight="1">
      <c r="A13681" s="234"/>
      <c r="B13681" s="233"/>
      <c r="C13681" s="238"/>
      <c r="E13681" s="545"/>
      <c r="F13681" s="546"/>
      <c r="G13681" s="234"/>
      <c r="H13681" s="238"/>
      <c r="I13681" s="237"/>
    </row>
    <row r="13682" spans="1:9" s="232" customFormat="1" ht="17" customHeight="1">
      <c r="A13682" s="234"/>
      <c r="B13682" s="233"/>
      <c r="C13682" s="238"/>
      <c r="E13682" s="545"/>
      <c r="F13682" s="546"/>
      <c r="G13682" s="234"/>
      <c r="H13682" s="238"/>
      <c r="I13682" s="237"/>
    </row>
    <row r="13683" spans="1:9" s="232" customFormat="1" ht="17" customHeight="1">
      <c r="A13683" s="234"/>
      <c r="B13683" s="233"/>
      <c r="C13683" s="238"/>
      <c r="E13683" s="545"/>
      <c r="F13683" s="546"/>
      <c r="G13683" s="234"/>
      <c r="H13683" s="238"/>
      <c r="I13683" s="237"/>
    </row>
    <row r="13684" spans="1:9" s="232" customFormat="1" ht="17" customHeight="1">
      <c r="A13684" s="234"/>
      <c r="B13684" s="233"/>
      <c r="C13684" s="238"/>
      <c r="E13684" s="545"/>
      <c r="F13684" s="546"/>
      <c r="G13684" s="234"/>
      <c r="H13684" s="238"/>
      <c r="I13684" s="237"/>
    </row>
    <row r="13685" spans="1:9" s="232" customFormat="1" ht="17" customHeight="1">
      <c r="A13685" s="234"/>
      <c r="B13685" s="233"/>
      <c r="C13685" s="238"/>
      <c r="E13685" s="545"/>
      <c r="F13685" s="546"/>
      <c r="G13685" s="234"/>
      <c r="H13685" s="238"/>
      <c r="I13685" s="237"/>
    </row>
    <row r="13686" spans="1:9" s="232" customFormat="1" ht="17" customHeight="1">
      <c r="A13686" s="234"/>
      <c r="B13686" s="233"/>
      <c r="C13686" s="238"/>
      <c r="E13686" s="545"/>
      <c r="F13686" s="546"/>
      <c r="G13686" s="234"/>
      <c r="H13686" s="238"/>
      <c r="I13686" s="237"/>
    </row>
    <row r="13687" spans="1:9" s="232" customFormat="1" ht="17" customHeight="1">
      <c r="A13687" s="234"/>
      <c r="B13687" s="233"/>
      <c r="C13687" s="238"/>
      <c r="E13687" s="545"/>
      <c r="F13687" s="546"/>
      <c r="G13687" s="234"/>
      <c r="H13687" s="238"/>
      <c r="I13687" s="237"/>
    </row>
    <row r="13688" spans="1:9" s="232" customFormat="1" ht="17" customHeight="1">
      <c r="A13688" s="234"/>
      <c r="B13688" s="233"/>
      <c r="C13688" s="238"/>
      <c r="E13688" s="545"/>
      <c r="F13688" s="546"/>
      <c r="G13688" s="234"/>
      <c r="H13688" s="238"/>
      <c r="I13688" s="237"/>
    </row>
    <row r="13689" spans="1:9" s="232" customFormat="1" ht="17" customHeight="1">
      <c r="A13689" s="234"/>
      <c r="B13689" s="233"/>
      <c r="C13689" s="238"/>
      <c r="E13689" s="545"/>
      <c r="F13689" s="546"/>
      <c r="G13689" s="234"/>
      <c r="H13689" s="238"/>
      <c r="I13689" s="237"/>
    </row>
    <row r="13690" spans="1:9" s="232" customFormat="1" ht="17" customHeight="1">
      <c r="A13690" s="234"/>
      <c r="B13690" s="233"/>
      <c r="C13690" s="238"/>
      <c r="E13690" s="545"/>
      <c r="F13690" s="546"/>
      <c r="G13690" s="234"/>
      <c r="H13690" s="238"/>
      <c r="I13690" s="237"/>
    </row>
    <row r="13691" spans="1:9" s="232" customFormat="1" ht="17" customHeight="1">
      <c r="A13691" s="234"/>
      <c r="B13691" s="233"/>
      <c r="C13691" s="238"/>
      <c r="E13691" s="545"/>
      <c r="F13691" s="546"/>
      <c r="G13691" s="234"/>
      <c r="H13691" s="238"/>
      <c r="I13691" s="237"/>
    </row>
    <row r="13692" spans="1:9" s="232" customFormat="1" ht="17" customHeight="1">
      <c r="A13692" s="234"/>
      <c r="B13692" s="233"/>
      <c r="C13692" s="238"/>
      <c r="E13692" s="545"/>
      <c r="F13692" s="546"/>
      <c r="G13692" s="234"/>
      <c r="H13692" s="238"/>
      <c r="I13692" s="237"/>
    </row>
    <row r="13693" spans="1:9" s="232" customFormat="1" ht="17" customHeight="1">
      <c r="A13693" s="234"/>
      <c r="B13693" s="233"/>
      <c r="C13693" s="238"/>
      <c r="E13693" s="545"/>
      <c r="F13693" s="546"/>
      <c r="G13693" s="234"/>
      <c r="H13693" s="238"/>
      <c r="I13693" s="237"/>
    </row>
    <row r="13694" spans="1:9" s="232" customFormat="1" ht="17" customHeight="1">
      <c r="A13694" s="234"/>
      <c r="B13694" s="233"/>
      <c r="C13694" s="238"/>
      <c r="E13694" s="545"/>
      <c r="F13694" s="546"/>
      <c r="G13694" s="234"/>
      <c r="H13694" s="238"/>
      <c r="I13694" s="237"/>
    </row>
    <row r="13695" spans="1:9" s="232" customFormat="1" ht="17" customHeight="1">
      <c r="A13695" s="234"/>
      <c r="B13695" s="233"/>
      <c r="C13695" s="238"/>
      <c r="E13695" s="545"/>
      <c r="F13695" s="546"/>
      <c r="G13695" s="234"/>
      <c r="H13695" s="238"/>
      <c r="I13695" s="237"/>
    </row>
    <row r="13696" spans="1:9" s="232" customFormat="1" ht="17" customHeight="1">
      <c r="A13696" s="234"/>
      <c r="B13696" s="233"/>
      <c r="C13696" s="238"/>
      <c r="E13696" s="545"/>
      <c r="F13696" s="546"/>
      <c r="G13696" s="234"/>
      <c r="H13696" s="238"/>
      <c r="I13696" s="237"/>
    </row>
    <row r="13697" spans="1:9" s="232" customFormat="1" ht="17" customHeight="1">
      <c r="A13697" s="234"/>
      <c r="B13697" s="233"/>
      <c r="C13697" s="238"/>
      <c r="E13697" s="545"/>
      <c r="F13697" s="546"/>
      <c r="G13697" s="234"/>
      <c r="H13697" s="238"/>
      <c r="I13697" s="237"/>
    </row>
    <row r="13698" spans="1:9" s="232" customFormat="1" ht="17" customHeight="1">
      <c r="A13698" s="234"/>
      <c r="B13698" s="233"/>
      <c r="C13698" s="238"/>
      <c r="E13698" s="545"/>
      <c r="F13698" s="546"/>
      <c r="G13698" s="234"/>
      <c r="H13698" s="238"/>
      <c r="I13698" s="237"/>
    </row>
    <row r="13699" spans="1:9" s="232" customFormat="1" ht="17" customHeight="1">
      <c r="A13699" s="234"/>
      <c r="B13699" s="233"/>
      <c r="C13699" s="238"/>
      <c r="E13699" s="545"/>
      <c r="F13699" s="546"/>
      <c r="G13699" s="234"/>
      <c r="H13699" s="238"/>
      <c r="I13699" s="237"/>
    </row>
    <row r="13700" spans="1:9" s="232" customFormat="1" ht="17" customHeight="1">
      <c r="A13700" s="234"/>
      <c r="B13700" s="233"/>
      <c r="C13700" s="238"/>
      <c r="E13700" s="545"/>
      <c r="F13700" s="546"/>
      <c r="G13700" s="234"/>
      <c r="H13700" s="238"/>
      <c r="I13700" s="237"/>
    </row>
    <row r="13701" spans="1:9" s="232" customFormat="1" ht="17" customHeight="1">
      <c r="A13701" s="234"/>
      <c r="B13701" s="233"/>
      <c r="C13701" s="238"/>
      <c r="E13701" s="545"/>
      <c r="F13701" s="546"/>
      <c r="G13701" s="234"/>
      <c r="H13701" s="238"/>
      <c r="I13701" s="237"/>
    </row>
    <row r="13702" spans="1:9" s="232" customFormat="1" ht="17" customHeight="1">
      <c r="A13702" s="234"/>
      <c r="B13702" s="233"/>
      <c r="C13702" s="238"/>
      <c r="E13702" s="545"/>
      <c r="F13702" s="546"/>
      <c r="G13702" s="234"/>
      <c r="H13702" s="238"/>
      <c r="I13702" s="237"/>
    </row>
    <row r="13703" spans="1:9" s="232" customFormat="1" ht="17" customHeight="1">
      <c r="A13703" s="234"/>
      <c r="B13703" s="233"/>
      <c r="C13703" s="238"/>
      <c r="E13703" s="545"/>
      <c r="F13703" s="546"/>
      <c r="G13703" s="234"/>
      <c r="H13703" s="238"/>
      <c r="I13703" s="237"/>
    </row>
    <row r="13704" spans="1:9" s="232" customFormat="1" ht="17" customHeight="1">
      <c r="A13704" s="234"/>
      <c r="B13704" s="233"/>
      <c r="C13704" s="238"/>
      <c r="E13704" s="545"/>
      <c r="F13704" s="546"/>
      <c r="G13704" s="234"/>
      <c r="H13704" s="238"/>
      <c r="I13704" s="237"/>
    </row>
    <row r="13705" spans="1:9" s="232" customFormat="1" ht="17" customHeight="1">
      <c r="A13705" s="234"/>
      <c r="B13705" s="233"/>
      <c r="C13705" s="238"/>
      <c r="E13705" s="545"/>
      <c r="F13705" s="546"/>
      <c r="G13705" s="234"/>
      <c r="H13705" s="238"/>
      <c r="I13705" s="237"/>
    </row>
    <row r="13706" spans="1:9" s="232" customFormat="1" ht="17" customHeight="1">
      <c r="A13706" s="234"/>
      <c r="B13706" s="233"/>
      <c r="C13706" s="238"/>
      <c r="E13706" s="545"/>
      <c r="F13706" s="546"/>
      <c r="G13706" s="234"/>
      <c r="H13706" s="238"/>
      <c r="I13706" s="237"/>
    </row>
    <row r="13707" spans="1:9" s="232" customFormat="1" ht="17" customHeight="1">
      <c r="A13707" s="234"/>
      <c r="B13707" s="233"/>
      <c r="C13707" s="238"/>
      <c r="E13707" s="545"/>
      <c r="F13707" s="546"/>
      <c r="G13707" s="234"/>
      <c r="H13707" s="238"/>
      <c r="I13707" s="237"/>
    </row>
    <row r="13708" spans="1:9" s="232" customFormat="1" ht="17" customHeight="1">
      <c r="A13708" s="234"/>
      <c r="B13708" s="233"/>
      <c r="C13708" s="238"/>
      <c r="E13708" s="545"/>
      <c r="F13708" s="546"/>
      <c r="G13708" s="234"/>
      <c r="H13708" s="238"/>
      <c r="I13708" s="237"/>
    </row>
    <row r="13709" spans="1:9" s="232" customFormat="1" ht="17" customHeight="1">
      <c r="A13709" s="234"/>
      <c r="B13709" s="233"/>
      <c r="C13709" s="238"/>
      <c r="E13709" s="545"/>
      <c r="F13709" s="546"/>
      <c r="G13709" s="234"/>
      <c r="H13709" s="238"/>
      <c r="I13709" s="237"/>
    </row>
    <row r="13710" spans="1:9" s="232" customFormat="1" ht="17" customHeight="1">
      <c r="A13710" s="234"/>
      <c r="B13710" s="233"/>
      <c r="C13710" s="238"/>
      <c r="E13710" s="545"/>
      <c r="F13710" s="546"/>
      <c r="G13710" s="234"/>
      <c r="H13710" s="238"/>
      <c r="I13710" s="237"/>
    </row>
    <row r="13711" spans="1:9" s="232" customFormat="1" ht="17" customHeight="1">
      <c r="A13711" s="234"/>
      <c r="B13711" s="233"/>
      <c r="C13711" s="238"/>
      <c r="E13711" s="545"/>
      <c r="F13711" s="546"/>
      <c r="G13711" s="234"/>
      <c r="H13711" s="238"/>
      <c r="I13711" s="237"/>
    </row>
    <row r="13712" spans="1:9" s="232" customFormat="1" ht="17" customHeight="1">
      <c r="A13712" s="234"/>
      <c r="B13712" s="233"/>
      <c r="C13712" s="238"/>
      <c r="E13712" s="545"/>
      <c r="F13712" s="546"/>
      <c r="G13712" s="234"/>
      <c r="H13712" s="238"/>
      <c r="I13712" s="237"/>
    </row>
    <row r="13713" spans="1:9" s="232" customFormat="1" ht="17" customHeight="1">
      <c r="A13713" s="234"/>
      <c r="B13713" s="233"/>
      <c r="C13713" s="238"/>
      <c r="E13713" s="545"/>
      <c r="F13713" s="546"/>
      <c r="G13713" s="234"/>
      <c r="H13713" s="238"/>
      <c r="I13713" s="237"/>
    </row>
    <row r="13714" spans="1:9" s="232" customFormat="1" ht="17" customHeight="1">
      <c r="A13714" s="234"/>
      <c r="B13714" s="233"/>
      <c r="C13714" s="238"/>
      <c r="E13714" s="545"/>
      <c r="F13714" s="546"/>
      <c r="G13714" s="234"/>
      <c r="H13714" s="238"/>
      <c r="I13714" s="237"/>
    </row>
    <row r="13715" spans="1:9" s="232" customFormat="1" ht="17" customHeight="1">
      <c r="A13715" s="234"/>
      <c r="B13715" s="233"/>
      <c r="C13715" s="238"/>
      <c r="E13715" s="545"/>
      <c r="F13715" s="546"/>
      <c r="G13715" s="234"/>
      <c r="H13715" s="238"/>
      <c r="I13715" s="237"/>
    </row>
    <row r="13716" spans="1:9" s="232" customFormat="1" ht="17" customHeight="1">
      <c r="A13716" s="234"/>
      <c r="B13716" s="233"/>
      <c r="C13716" s="238"/>
      <c r="E13716" s="545"/>
      <c r="F13716" s="546"/>
      <c r="G13716" s="234"/>
      <c r="H13716" s="238"/>
      <c r="I13716" s="237"/>
    </row>
    <row r="13717" spans="1:9" s="232" customFormat="1" ht="17" customHeight="1">
      <c r="A13717" s="234"/>
      <c r="B13717" s="233"/>
      <c r="C13717" s="238"/>
      <c r="E13717" s="545"/>
      <c r="F13717" s="546"/>
      <c r="G13717" s="234"/>
      <c r="H13717" s="238"/>
      <c r="I13717" s="237"/>
    </row>
    <row r="13718" spans="1:9" s="232" customFormat="1" ht="17" customHeight="1">
      <c r="A13718" s="234"/>
      <c r="B13718" s="233"/>
      <c r="C13718" s="238"/>
      <c r="E13718" s="545"/>
      <c r="F13718" s="546"/>
      <c r="G13718" s="234"/>
      <c r="H13718" s="238"/>
      <c r="I13718" s="237"/>
    </row>
    <row r="13719" spans="1:9" s="232" customFormat="1" ht="17" customHeight="1">
      <c r="A13719" s="234"/>
      <c r="B13719" s="233"/>
      <c r="C13719" s="238"/>
      <c r="E13719" s="545"/>
      <c r="F13719" s="546"/>
      <c r="G13719" s="234"/>
      <c r="H13719" s="238"/>
      <c r="I13719" s="237"/>
    </row>
    <row r="13720" spans="1:9" s="232" customFormat="1" ht="17" customHeight="1">
      <c r="A13720" s="234"/>
      <c r="B13720" s="233"/>
      <c r="C13720" s="238"/>
      <c r="E13720" s="545"/>
      <c r="F13720" s="546"/>
      <c r="G13720" s="234"/>
      <c r="H13720" s="238"/>
      <c r="I13720" s="237"/>
    </row>
    <row r="13721" spans="1:9" s="232" customFormat="1" ht="17" customHeight="1">
      <c r="A13721" s="234"/>
      <c r="B13721" s="233"/>
      <c r="C13721" s="238"/>
      <c r="E13721" s="545"/>
      <c r="F13721" s="546"/>
      <c r="G13721" s="234"/>
      <c r="H13721" s="238"/>
      <c r="I13721" s="237"/>
    </row>
    <row r="13722" spans="1:9" s="232" customFormat="1" ht="17" customHeight="1">
      <c r="A13722" s="234"/>
      <c r="B13722" s="233"/>
      <c r="C13722" s="238"/>
      <c r="E13722" s="545"/>
      <c r="F13722" s="546"/>
      <c r="G13722" s="234"/>
      <c r="H13722" s="238"/>
      <c r="I13722" s="237"/>
    </row>
    <row r="13723" spans="1:9" s="232" customFormat="1" ht="17" customHeight="1">
      <c r="A13723" s="234"/>
      <c r="B13723" s="233"/>
      <c r="C13723" s="238"/>
      <c r="E13723" s="545"/>
      <c r="F13723" s="546"/>
      <c r="G13723" s="234"/>
      <c r="H13723" s="238"/>
      <c r="I13723" s="237"/>
    </row>
    <row r="13724" spans="1:9" s="232" customFormat="1" ht="17" customHeight="1">
      <c r="A13724" s="234"/>
      <c r="B13724" s="233"/>
      <c r="C13724" s="238"/>
      <c r="E13724" s="545"/>
      <c r="F13724" s="546"/>
      <c r="G13724" s="234"/>
      <c r="H13724" s="238"/>
      <c r="I13724" s="237"/>
    </row>
    <row r="13725" spans="1:9" s="232" customFormat="1" ht="17" customHeight="1">
      <c r="A13725" s="234"/>
      <c r="B13725" s="233"/>
      <c r="C13725" s="238"/>
      <c r="E13725" s="545"/>
      <c r="F13725" s="546"/>
      <c r="G13725" s="234"/>
      <c r="H13725" s="238"/>
      <c r="I13725" s="237"/>
    </row>
    <row r="13726" spans="1:9" s="232" customFormat="1" ht="17" customHeight="1">
      <c r="A13726" s="234"/>
      <c r="B13726" s="233"/>
      <c r="C13726" s="238"/>
      <c r="E13726" s="545"/>
      <c r="F13726" s="546"/>
      <c r="G13726" s="234"/>
      <c r="H13726" s="238"/>
      <c r="I13726" s="237"/>
    </row>
    <row r="13727" spans="1:9" s="232" customFormat="1" ht="17" customHeight="1">
      <c r="A13727" s="234"/>
      <c r="B13727" s="233"/>
      <c r="C13727" s="238"/>
      <c r="E13727" s="545"/>
      <c r="F13727" s="546"/>
      <c r="G13727" s="234"/>
      <c r="H13727" s="238"/>
      <c r="I13727" s="237"/>
    </row>
    <row r="13728" spans="1:9" s="232" customFormat="1" ht="17" customHeight="1">
      <c r="A13728" s="234"/>
      <c r="B13728" s="233"/>
      <c r="C13728" s="238"/>
      <c r="E13728" s="545"/>
      <c r="F13728" s="546"/>
      <c r="G13728" s="234"/>
      <c r="H13728" s="238"/>
      <c r="I13728" s="237"/>
    </row>
    <row r="13729" spans="1:9" s="232" customFormat="1" ht="17" customHeight="1">
      <c r="A13729" s="234"/>
      <c r="B13729" s="233"/>
      <c r="C13729" s="238"/>
      <c r="E13729" s="545"/>
      <c r="F13729" s="546"/>
      <c r="G13729" s="234"/>
      <c r="H13729" s="238"/>
      <c r="I13729" s="237"/>
    </row>
    <row r="13730" spans="1:9" s="232" customFormat="1" ht="17" customHeight="1">
      <c r="A13730" s="234"/>
      <c r="B13730" s="233"/>
      <c r="C13730" s="238"/>
      <c r="E13730" s="545"/>
      <c r="F13730" s="546"/>
      <c r="G13730" s="234"/>
      <c r="H13730" s="238"/>
      <c r="I13730" s="237"/>
    </row>
    <row r="13731" spans="1:9" s="232" customFormat="1" ht="17" customHeight="1">
      <c r="A13731" s="234"/>
      <c r="B13731" s="233"/>
      <c r="C13731" s="238"/>
      <c r="E13731" s="545"/>
      <c r="F13731" s="546"/>
      <c r="G13731" s="234"/>
      <c r="H13731" s="238"/>
      <c r="I13731" s="237"/>
    </row>
    <row r="13732" spans="1:9" s="232" customFormat="1" ht="17" customHeight="1">
      <c r="A13732" s="234"/>
      <c r="B13732" s="233"/>
      <c r="C13732" s="238"/>
      <c r="E13732" s="545"/>
      <c r="F13732" s="546"/>
      <c r="G13732" s="234"/>
      <c r="H13732" s="238"/>
      <c r="I13732" s="237"/>
    </row>
    <row r="13733" spans="1:9" s="232" customFormat="1" ht="17" customHeight="1">
      <c r="A13733" s="234"/>
      <c r="B13733" s="233"/>
      <c r="C13733" s="238"/>
      <c r="E13733" s="545"/>
      <c r="F13733" s="546"/>
      <c r="G13733" s="234"/>
      <c r="H13733" s="238"/>
      <c r="I13733" s="237"/>
    </row>
    <row r="13734" spans="1:9" s="232" customFormat="1" ht="17" customHeight="1">
      <c r="A13734" s="234"/>
      <c r="B13734" s="233"/>
      <c r="C13734" s="238"/>
      <c r="E13734" s="545"/>
      <c r="F13734" s="546"/>
      <c r="G13734" s="234"/>
      <c r="H13734" s="238"/>
      <c r="I13734" s="237"/>
    </row>
    <row r="13735" spans="1:9" s="232" customFormat="1" ht="17" customHeight="1">
      <c r="A13735" s="234"/>
      <c r="B13735" s="233"/>
      <c r="C13735" s="238"/>
      <c r="E13735" s="545"/>
      <c r="F13735" s="546"/>
      <c r="G13735" s="234"/>
      <c r="H13735" s="238"/>
      <c r="I13735" s="237"/>
    </row>
    <row r="13736" spans="1:9" s="232" customFormat="1" ht="17" customHeight="1">
      <c r="A13736" s="234"/>
      <c r="B13736" s="233"/>
      <c r="C13736" s="238"/>
      <c r="E13736" s="545"/>
      <c r="F13736" s="546"/>
      <c r="G13736" s="234"/>
      <c r="H13736" s="238"/>
      <c r="I13736" s="237"/>
    </row>
    <row r="13737" spans="1:9" s="232" customFormat="1" ht="17" customHeight="1">
      <c r="A13737" s="234"/>
      <c r="B13737" s="233"/>
      <c r="C13737" s="238"/>
      <c r="E13737" s="545"/>
      <c r="F13737" s="546"/>
      <c r="G13737" s="234"/>
      <c r="H13737" s="238"/>
      <c r="I13737" s="237"/>
    </row>
    <row r="13738" spans="1:9" s="232" customFormat="1" ht="17" customHeight="1">
      <c r="A13738" s="234"/>
      <c r="B13738" s="233"/>
      <c r="C13738" s="238"/>
      <c r="E13738" s="545"/>
      <c r="F13738" s="546"/>
      <c r="G13738" s="234"/>
      <c r="H13738" s="238"/>
      <c r="I13738" s="237"/>
    </row>
    <row r="13739" spans="1:9" s="232" customFormat="1" ht="17" customHeight="1">
      <c r="A13739" s="234"/>
      <c r="B13739" s="233"/>
      <c r="C13739" s="238"/>
      <c r="E13739" s="545"/>
      <c r="F13739" s="546"/>
      <c r="G13739" s="234"/>
      <c r="H13739" s="238"/>
      <c r="I13739" s="237"/>
    </row>
    <row r="13740" spans="1:9" s="232" customFormat="1" ht="17" customHeight="1">
      <c r="A13740" s="234"/>
      <c r="B13740" s="233"/>
      <c r="C13740" s="238"/>
      <c r="E13740" s="545"/>
      <c r="F13740" s="546"/>
      <c r="G13740" s="234"/>
      <c r="H13740" s="238"/>
      <c r="I13740" s="237"/>
    </row>
    <row r="13741" spans="1:9" s="232" customFormat="1" ht="17" customHeight="1">
      <c r="A13741" s="234"/>
      <c r="B13741" s="233"/>
      <c r="C13741" s="238"/>
      <c r="E13741" s="545"/>
      <c r="F13741" s="546"/>
      <c r="G13741" s="234"/>
      <c r="H13741" s="238"/>
      <c r="I13741" s="237"/>
    </row>
    <row r="13742" spans="1:9" s="232" customFormat="1" ht="17" customHeight="1">
      <c r="A13742" s="234"/>
      <c r="B13742" s="233"/>
      <c r="C13742" s="238"/>
      <c r="E13742" s="545"/>
      <c r="F13742" s="546"/>
      <c r="G13742" s="234"/>
      <c r="H13742" s="238"/>
      <c r="I13742" s="237"/>
    </row>
    <row r="13743" spans="1:9" s="232" customFormat="1" ht="17" customHeight="1">
      <c r="A13743" s="234"/>
      <c r="B13743" s="233"/>
      <c r="C13743" s="238"/>
      <c r="E13743" s="545"/>
      <c r="F13743" s="546"/>
      <c r="G13743" s="234"/>
      <c r="H13743" s="238"/>
      <c r="I13743" s="237"/>
    </row>
    <row r="13744" spans="1:9" s="232" customFormat="1" ht="17" customHeight="1">
      <c r="A13744" s="234"/>
      <c r="B13744" s="233"/>
      <c r="C13744" s="238"/>
      <c r="E13744" s="545"/>
      <c r="F13744" s="546"/>
      <c r="G13744" s="234"/>
      <c r="H13744" s="238"/>
      <c r="I13744" s="237"/>
    </row>
    <row r="13745" spans="1:9" s="232" customFormat="1" ht="17" customHeight="1">
      <c r="A13745" s="234"/>
      <c r="B13745" s="233"/>
      <c r="C13745" s="238"/>
      <c r="E13745" s="545"/>
      <c r="F13745" s="546"/>
      <c r="G13745" s="234"/>
      <c r="H13745" s="238"/>
      <c r="I13745" s="237"/>
    </row>
    <row r="13746" spans="1:9" s="232" customFormat="1" ht="17" customHeight="1">
      <c r="A13746" s="234"/>
      <c r="B13746" s="233"/>
      <c r="C13746" s="238"/>
      <c r="E13746" s="545"/>
      <c r="F13746" s="546"/>
      <c r="G13746" s="234"/>
      <c r="H13746" s="238"/>
      <c r="I13746" s="237"/>
    </row>
    <row r="13747" spans="1:9" s="232" customFormat="1" ht="17" customHeight="1">
      <c r="A13747" s="234"/>
      <c r="B13747" s="233"/>
      <c r="C13747" s="238"/>
      <c r="E13747" s="545"/>
      <c r="F13747" s="546"/>
      <c r="G13747" s="234"/>
      <c r="H13747" s="238"/>
      <c r="I13747" s="237"/>
    </row>
    <row r="13748" spans="1:9" s="232" customFormat="1" ht="17" customHeight="1">
      <c r="A13748" s="234"/>
      <c r="B13748" s="233"/>
      <c r="C13748" s="238"/>
      <c r="E13748" s="545"/>
      <c r="F13748" s="546"/>
      <c r="G13748" s="234"/>
      <c r="H13748" s="238"/>
      <c r="I13748" s="237"/>
    </row>
    <row r="13749" spans="1:9" s="232" customFormat="1" ht="17" customHeight="1">
      <c r="A13749" s="234"/>
      <c r="B13749" s="233"/>
      <c r="C13749" s="238"/>
      <c r="E13749" s="545"/>
      <c r="F13749" s="546"/>
      <c r="G13749" s="234"/>
      <c r="H13749" s="238"/>
      <c r="I13749" s="237"/>
    </row>
    <row r="13750" spans="1:9" s="232" customFormat="1" ht="17" customHeight="1">
      <c r="A13750" s="234"/>
      <c r="B13750" s="233"/>
      <c r="C13750" s="238"/>
      <c r="E13750" s="545"/>
      <c r="F13750" s="546"/>
      <c r="G13750" s="234"/>
      <c r="H13750" s="238"/>
      <c r="I13750" s="237"/>
    </row>
    <row r="13751" spans="1:9" s="232" customFormat="1" ht="17" customHeight="1">
      <c r="A13751" s="234"/>
      <c r="B13751" s="233"/>
      <c r="C13751" s="238"/>
      <c r="E13751" s="545"/>
      <c r="F13751" s="546"/>
      <c r="G13751" s="234"/>
      <c r="H13751" s="238"/>
      <c r="I13751" s="237"/>
    </row>
    <row r="13752" spans="1:9" s="232" customFormat="1" ht="17" customHeight="1">
      <c r="A13752" s="234"/>
      <c r="B13752" s="233"/>
      <c r="C13752" s="238"/>
      <c r="E13752" s="545"/>
      <c r="F13752" s="546"/>
      <c r="G13752" s="234"/>
      <c r="H13752" s="238"/>
      <c r="I13752" s="237"/>
    </row>
    <row r="13753" spans="1:9" s="232" customFormat="1" ht="17" customHeight="1">
      <c r="A13753" s="234"/>
      <c r="B13753" s="233"/>
      <c r="C13753" s="238"/>
      <c r="E13753" s="545"/>
      <c r="F13753" s="546"/>
      <c r="G13753" s="234"/>
      <c r="H13753" s="238"/>
      <c r="I13753" s="237"/>
    </row>
    <row r="13754" spans="1:9" s="232" customFormat="1" ht="17" customHeight="1">
      <c r="A13754" s="234"/>
      <c r="B13754" s="233"/>
      <c r="C13754" s="238"/>
      <c r="E13754" s="545"/>
      <c r="F13754" s="546"/>
      <c r="G13754" s="234"/>
      <c r="H13754" s="238"/>
      <c r="I13754" s="237"/>
    </row>
    <row r="13755" spans="1:9" s="232" customFormat="1" ht="17" customHeight="1">
      <c r="A13755" s="234"/>
      <c r="B13755" s="233"/>
      <c r="C13755" s="238"/>
      <c r="E13755" s="545"/>
      <c r="F13755" s="546"/>
      <c r="G13755" s="234"/>
      <c r="H13755" s="238"/>
      <c r="I13755" s="237"/>
    </row>
    <row r="13756" spans="1:9" s="232" customFormat="1" ht="17" customHeight="1">
      <c r="A13756" s="234"/>
      <c r="B13756" s="233"/>
      <c r="C13756" s="238"/>
      <c r="E13756" s="545"/>
      <c r="F13756" s="546"/>
      <c r="G13756" s="234"/>
      <c r="H13756" s="238"/>
      <c r="I13756" s="237"/>
    </row>
    <row r="13757" spans="1:9" s="232" customFormat="1" ht="17" customHeight="1">
      <c r="A13757" s="234"/>
      <c r="B13757" s="233"/>
      <c r="C13757" s="238"/>
      <c r="E13757" s="545"/>
      <c r="F13757" s="546"/>
      <c r="G13757" s="234"/>
      <c r="H13757" s="238"/>
      <c r="I13757" s="237"/>
    </row>
    <row r="13758" spans="1:9" s="232" customFormat="1" ht="17" customHeight="1">
      <c r="A13758" s="234"/>
      <c r="B13758" s="233"/>
      <c r="C13758" s="238"/>
      <c r="E13758" s="545"/>
      <c r="F13758" s="546"/>
      <c r="G13758" s="234"/>
      <c r="H13758" s="238"/>
      <c r="I13758" s="237"/>
    </row>
    <row r="13759" spans="1:9" s="232" customFormat="1" ht="17" customHeight="1">
      <c r="A13759" s="234"/>
      <c r="B13759" s="233"/>
      <c r="C13759" s="238"/>
      <c r="E13759" s="545"/>
      <c r="F13759" s="546"/>
      <c r="G13759" s="234"/>
      <c r="H13759" s="238"/>
      <c r="I13759" s="237"/>
    </row>
    <row r="13760" spans="1:9" s="232" customFormat="1" ht="17" customHeight="1">
      <c r="A13760" s="234"/>
      <c r="B13760" s="233"/>
      <c r="C13760" s="238"/>
      <c r="E13760" s="545"/>
      <c r="F13760" s="546"/>
      <c r="G13760" s="234"/>
      <c r="H13760" s="238"/>
      <c r="I13760" s="237"/>
    </row>
    <row r="13761" spans="1:9" s="232" customFormat="1" ht="17" customHeight="1">
      <c r="A13761" s="234"/>
      <c r="B13761" s="233"/>
      <c r="C13761" s="238"/>
      <c r="E13761" s="545"/>
      <c r="F13761" s="546"/>
      <c r="G13761" s="234"/>
      <c r="H13761" s="238"/>
      <c r="I13761" s="237"/>
    </row>
    <row r="13762" spans="1:9" s="232" customFormat="1" ht="17" customHeight="1">
      <c r="A13762" s="234"/>
      <c r="B13762" s="233"/>
      <c r="C13762" s="238"/>
      <c r="E13762" s="545"/>
      <c r="F13762" s="546"/>
      <c r="G13762" s="234"/>
      <c r="H13762" s="238"/>
      <c r="I13762" s="237"/>
    </row>
    <row r="13763" spans="1:9" s="232" customFormat="1" ht="17" customHeight="1">
      <c r="A13763" s="234"/>
      <c r="B13763" s="233"/>
      <c r="C13763" s="238"/>
      <c r="E13763" s="545"/>
      <c r="F13763" s="546"/>
      <c r="G13763" s="234"/>
      <c r="H13763" s="238"/>
      <c r="I13763" s="237"/>
    </row>
    <row r="13764" spans="1:9" s="232" customFormat="1" ht="17" customHeight="1">
      <c r="A13764" s="234"/>
      <c r="B13764" s="233"/>
      <c r="C13764" s="238"/>
      <c r="E13764" s="545"/>
      <c r="F13764" s="546"/>
      <c r="G13764" s="234"/>
      <c r="H13764" s="238"/>
      <c r="I13764" s="237"/>
    </row>
    <row r="13765" spans="1:9" s="232" customFormat="1" ht="17" customHeight="1">
      <c r="A13765" s="234"/>
      <c r="B13765" s="233"/>
      <c r="C13765" s="238"/>
      <c r="E13765" s="545"/>
      <c r="F13765" s="546"/>
      <c r="G13765" s="234"/>
      <c r="H13765" s="238"/>
      <c r="I13765" s="237"/>
    </row>
    <row r="13766" spans="1:9" s="232" customFormat="1" ht="17" customHeight="1">
      <c r="A13766" s="234"/>
      <c r="B13766" s="233"/>
      <c r="C13766" s="238"/>
      <c r="E13766" s="545"/>
      <c r="F13766" s="546"/>
      <c r="G13766" s="234"/>
      <c r="H13766" s="238"/>
      <c r="I13766" s="237"/>
    </row>
    <row r="13767" spans="1:9" s="232" customFormat="1" ht="17" customHeight="1">
      <c r="A13767" s="234"/>
      <c r="B13767" s="233"/>
      <c r="C13767" s="238"/>
      <c r="E13767" s="545"/>
      <c r="F13767" s="546"/>
      <c r="G13767" s="234"/>
      <c r="H13767" s="238"/>
      <c r="I13767" s="237"/>
    </row>
    <row r="13768" spans="1:9" s="232" customFormat="1" ht="17" customHeight="1">
      <c r="A13768" s="234"/>
      <c r="B13768" s="233"/>
      <c r="C13768" s="238"/>
      <c r="E13768" s="545"/>
      <c r="F13768" s="546"/>
      <c r="G13768" s="234"/>
      <c r="H13768" s="238"/>
      <c r="I13768" s="237"/>
    </row>
    <row r="13769" spans="1:9" s="232" customFormat="1" ht="17" customHeight="1">
      <c r="A13769" s="234"/>
      <c r="B13769" s="233"/>
      <c r="C13769" s="238"/>
      <c r="E13769" s="545"/>
      <c r="F13769" s="546"/>
      <c r="G13769" s="234"/>
      <c r="H13769" s="238"/>
      <c r="I13769" s="237"/>
    </row>
    <row r="13770" spans="1:9" s="232" customFormat="1" ht="17" customHeight="1">
      <c r="A13770" s="234"/>
      <c r="B13770" s="233"/>
      <c r="C13770" s="238"/>
      <c r="E13770" s="545"/>
      <c r="F13770" s="546"/>
      <c r="G13770" s="234"/>
      <c r="H13770" s="238"/>
      <c r="I13770" s="237"/>
    </row>
    <row r="13771" spans="1:9" s="232" customFormat="1" ht="17" customHeight="1">
      <c r="A13771" s="234"/>
      <c r="B13771" s="233"/>
      <c r="C13771" s="238"/>
      <c r="E13771" s="545"/>
      <c r="F13771" s="546"/>
      <c r="G13771" s="234"/>
      <c r="H13771" s="238"/>
      <c r="I13771" s="237"/>
    </row>
    <row r="13772" spans="1:9" s="232" customFormat="1" ht="17" customHeight="1">
      <c r="A13772" s="234"/>
      <c r="B13772" s="233"/>
      <c r="C13772" s="238"/>
      <c r="E13772" s="545"/>
      <c r="F13772" s="546"/>
      <c r="G13772" s="234"/>
      <c r="H13772" s="238"/>
      <c r="I13772" s="237"/>
    </row>
    <row r="13773" spans="1:9" s="232" customFormat="1" ht="17" customHeight="1">
      <c r="A13773" s="234"/>
      <c r="B13773" s="233"/>
      <c r="C13773" s="238"/>
      <c r="E13773" s="545"/>
      <c r="F13773" s="546"/>
      <c r="G13773" s="234"/>
      <c r="H13773" s="238"/>
      <c r="I13773" s="237"/>
    </row>
    <row r="13774" spans="1:9" s="232" customFormat="1" ht="17" customHeight="1">
      <c r="A13774" s="234"/>
      <c r="B13774" s="233"/>
      <c r="C13774" s="238"/>
      <c r="E13774" s="545"/>
      <c r="F13774" s="546"/>
      <c r="G13774" s="234"/>
      <c r="H13774" s="238"/>
      <c r="I13774" s="237"/>
    </row>
    <row r="13775" spans="1:9" s="232" customFormat="1" ht="17" customHeight="1">
      <c r="A13775" s="234"/>
      <c r="B13775" s="233"/>
      <c r="C13775" s="238"/>
      <c r="E13775" s="545"/>
      <c r="F13775" s="546"/>
      <c r="G13775" s="234"/>
      <c r="H13775" s="238"/>
      <c r="I13775" s="237"/>
    </row>
    <row r="13776" spans="1:9" s="232" customFormat="1" ht="17" customHeight="1">
      <c r="A13776" s="234"/>
      <c r="B13776" s="233"/>
      <c r="C13776" s="238"/>
      <c r="E13776" s="545"/>
      <c r="F13776" s="546"/>
      <c r="G13776" s="234"/>
      <c r="H13776" s="238"/>
      <c r="I13776" s="237"/>
    </row>
    <row r="13777" spans="1:9" s="232" customFormat="1" ht="17" customHeight="1">
      <c r="A13777" s="234"/>
      <c r="B13777" s="233"/>
      <c r="C13777" s="238"/>
      <c r="E13777" s="545"/>
      <c r="F13777" s="546"/>
      <c r="G13777" s="234"/>
      <c r="H13777" s="238"/>
      <c r="I13777" s="237"/>
    </row>
    <row r="13778" spans="1:9" s="232" customFormat="1" ht="17" customHeight="1">
      <c r="A13778" s="234"/>
      <c r="B13778" s="233"/>
      <c r="C13778" s="238"/>
      <c r="E13778" s="545"/>
      <c r="F13778" s="546"/>
      <c r="G13778" s="234"/>
      <c r="H13778" s="238"/>
      <c r="I13778" s="237"/>
    </row>
    <row r="13779" spans="1:9" s="232" customFormat="1" ht="17" customHeight="1">
      <c r="A13779" s="234"/>
      <c r="B13779" s="233"/>
      <c r="C13779" s="238"/>
      <c r="E13779" s="545"/>
      <c r="F13779" s="546"/>
      <c r="G13779" s="234"/>
      <c r="H13779" s="238"/>
      <c r="I13779" s="237"/>
    </row>
    <row r="13780" spans="1:9" s="232" customFormat="1" ht="17" customHeight="1">
      <c r="A13780" s="234"/>
      <c r="B13780" s="233"/>
      <c r="C13780" s="238"/>
      <c r="E13780" s="545"/>
      <c r="F13780" s="546"/>
      <c r="G13780" s="234"/>
      <c r="H13780" s="238"/>
      <c r="I13780" s="237"/>
    </row>
    <row r="13781" spans="1:9" s="232" customFormat="1" ht="17" customHeight="1">
      <c r="A13781" s="234"/>
      <c r="B13781" s="233"/>
      <c r="C13781" s="238"/>
      <c r="E13781" s="545"/>
      <c r="F13781" s="546"/>
      <c r="G13781" s="234"/>
      <c r="H13781" s="238"/>
      <c r="I13781" s="237"/>
    </row>
    <row r="13782" spans="1:9" s="232" customFormat="1" ht="17" customHeight="1">
      <c r="A13782" s="234"/>
      <c r="B13782" s="233"/>
      <c r="C13782" s="238"/>
      <c r="E13782" s="545"/>
      <c r="F13782" s="546"/>
      <c r="G13782" s="234"/>
      <c r="H13782" s="238"/>
      <c r="I13782" s="237"/>
    </row>
    <row r="13783" spans="1:9" s="232" customFormat="1" ht="17" customHeight="1">
      <c r="A13783" s="234"/>
      <c r="B13783" s="233"/>
      <c r="C13783" s="238"/>
      <c r="E13783" s="545"/>
      <c r="F13783" s="546"/>
      <c r="G13783" s="234"/>
      <c r="H13783" s="238"/>
      <c r="I13783" s="237"/>
    </row>
    <row r="13784" spans="1:9" s="232" customFormat="1" ht="17" customHeight="1">
      <c r="A13784" s="234"/>
      <c r="B13784" s="233"/>
      <c r="C13784" s="238"/>
      <c r="E13784" s="545"/>
      <c r="F13784" s="546"/>
      <c r="G13784" s="234"/>
      <c r="H13784" s="238"/>
      <c r="I13784" s="237"/>
    </row>
    <row r="13785" spans="1:9" s="232" customFormat="1" ht="17" customHeight="1">
      <c r="A13785" s="234"/>
      <c r="B13785" s="233"/>
      <c r="C13785" s="238"/>
      <c r="E13785" s="545"/>
      <c r="F13785" s="546"/>
      <c r="G13785" s="234"/>
      <c r="H13785" s="238"/>
      <c r="I13785" s="237"/>
    </row>
    <row r="13786" spans="1:9" s="232" customFormat="1" ht="17" customHeight="1">
      <c r="A13786" s="234"/>
      <c r="B13786" s="233"/>
      <c r="C13786" s="238"/>
      <c r="E13786" s="545"/>
      <c r="F13786" s="546"/>
      <c r="G13786" s="234"/>
      <c r="H13786" s="238"/>
      <c r="I13786" s="237"/>
    </row>
    <row r="13787" spans="1:9" s="232" customFormat="1" ht="17" customHeight="1">
      <c r="A13787" s="234"/>
      <c r="B13787" s="233"/>
      <c r="C13787" s="238"/>
      <c r="E13787" s="545"/>
      <c r="F13787" s="546"/>
      <c r="G13787" s="234"/>
      <c r="H13787" s="238"/>
      <c r="I13787" s="237"/>
    </row>
    <row r="13788" spans="1:9" s="232" customFormat="1" ht="17" customHeight="1">
      <c r="A13788" s="234"/>
      <c r="B13788" s="233"/>
      <c r="C13788" s="238"/>
      <c r="E13788" s="545"/>
      <c r="F13788" s="546"/>
      <c r="G13788" s="234"/>
      <c r="H13788" s="238"/>
      <c r="I13788" s="237"/>
    </row>
    <row r="13789" spans="1:9" s="232" customFormat="1" ht="17" customHeight="1">
      <c r="A13789" s="234"/>
      <c r="B13789" s="233"/>
      <c r="C13789" s="238"/>
      <c r="E13789" s="545"/>
      <c r="F13789" s="546"/>
      <c r="G13789" s="234"/>
      <c r="H13789" s="238"/>
      <c r="I13789" s="237"/>
    </row>
    <row r="13790" spans="1:9" s="232" customFormat="1" ht="17" customHeight="1">
      <c r="A13790" s="234"/>
      <c r="B13790" s="233"/>
      <c r="C13790" s="238"/>
      <c r="E13790" s="545"/>
      <c r="F13790" s="546"/>
      <c r="G13790" s="234"/>
      <c r="H13790" s="238"/>
      <c r="I13790" s="237"/>
    </row>
    <row r="13791" spans="1:9" s="232" customFormat="1" ht="17" customHeight="1">
      <c r="A13791" s="234"/>
      <c r="B13791" s="233"/>
      <c r="C13791" s="238"/>
      <c r="E13791" s="545"/>
      <c r="F13791" s="546"/>
      <c r="G13791" s="234"/>
      <c r="H13791" s="238"/>
      <c r="I13791" s="237"/>
    </row>
    <row r="13792" spans="1:9" s="232" customFormat="1" ht="17" customHeight="1">
      <c r="A13792" s="234"/>
      <c r="B13792" s="233"/>
      <c r="C13792" s="238"/>
      <c r="E13792" s="545"/>
      <c r="F13792" s="546"/>
      <c r="G13792" s="234"/>
      <c r="H13792" s="238"/>
      <c r="I13792" s="237"/>
    </row>
    <row r="13793" spans="1:9" s="232" customFormat="1" ht="17" customHeight="1">
      <c r="A13793" s="234"/>
      <c r="B13793" s="233"/>
      <c r="C13793" s="238"/>
      <c r="E13793" s="545"/>
      <c r="F13793" s="546"/>
      <c r="G13793" s="234"/>
      <c r="H13793" s="238"/>
      <c r="I13793" s="237"/>
    </row>
    <row r="13794" spans="1:9" s="232" customFormat="1" ht="17" customHeight="1">
      <c r="A13794" s="234"/>
      <c r="B13794" s="233"/>
      <c r="C13794" s="238"/>
      <c r="E13794" s="545"/>
      <c r="F13794" s="546"/>
      <c r="G13794" s="234"/>
      <c r="H13794" s="238"/>
      <c r="I13794" s="237"/>
    </row>
    <row r="13795" spans="1:9" s="232" customFormat="1" ht="17" customHeight="1">
      <c r="A13795" s="234"/>
      <c r="B13795" s="233"/>
      <c r="C13795" s="238"/>
      <c r="E13795" s="545"/>
      <c r="F13795" s="546"/>
      <c r="G13795" s="234"/>
      <c r="H13795" s="238"/>
      <c r="I13795" s="237"/>
    </row>
    <row r="13796" spans="1:9" s="232" customFormat="1" ht="17" customHeight="1">
      <c r="A13796" s="234"/>
      <c r="B13796" s="233"/>
      <c r="C13796" s="238"/>
      <c r="E13796" s="545"/>
      <c r="F13796" s="546"/>
      <c r="G13796" s="234"/>
      <c r="H13796" s="238"/>
      <c r="I13796" s="237"/>
    </row>
    <row r="13797" spans="1:9" s="232" customFormat="1" ht="17" customHeight="1">
      <c r="A13797" s="234"/>
      <c r="B13797" s="233"/>
      <c r="C13797" s="238"/>
      <c r="E13797" s="545"/>
      <c r="F13797" s="546"/>
      <c r="G13797" s="234"/>
      <c r="H13797" s="238"/>
      <c r="I13797" s="237"/>
    </row>
    <row r="13798" spans="1:9" s="232" customFormat="1" ht="17" customHeight="1">
      <c r="A13798" s="234"/>
      <c r="B13798" s="233"/>
      <c r="C13798" s="238"/>
      <c r="E13798" s="545"/>
      <c r="F13798" s="546"/>
      <c r="G13798" s="234"/>
      <c r="H13798" s="238"/>
      <c r="I13798" s="237"/>
    </row>
    <row r="13799" spans="1:9" s="232" customFormat="1" ht="17" customHeight="1">
      <c r="A13799" s="234"/>
      <c r="B13799" s="233"/>
      <c r="C13799" s="238"/>
      <c r="E13799" s="545"/>
      <c r="F13799" s="546"/>
      <c r="G13799" s="234"/>
      <c r="H13799" s="238"/>
      <c r="I13799" s="237"/>
    </row>
    <row r="13800" spans="1:9" s="232" customFormat="1" ht="17" customHeight="1">
      <c r="A13800" s="234"/>
      <c r="B13800" s="233"/>
      <c r="C13800" s="238"/>
      <c r="E13800" s="545"/>
      <c r="F13800" s="546"/>
      <c r="G13800" s="234"/>
      <c r="H13800" s="238"/>
      <c r="I13800" s="237"/>
    </row>
    <row r="13801" spans="1:9" s="232" customFormat="1" ht="17" customHeight="1">
      <c r="A13801" s="234"/>
      <c r="B13801" s="233"/>
      <c r="C13801" s="238"/>
      <c r="E13801" s="545"/>
      <c r="F13801" s="546"/>
      <c r="G13801" s="234"/>
      <c r="H13801" s="238"/>
      <c r="I13801" s="237"/>
    </row>
    <row r="13802" spans="1:9" s="232" customFormat="1" ht="17" customHeight="1">
      <c r="A13802" s="234"/>
      <c r="B13802" s="233"/>
      <c r="C13802" s="238"/>
      <c r="E13802" s="545"/>
      <c r="F13802" s="546"/>
      <c r="G13802" s="234"/>
      <c r="H13802" s="238"/>
      <c r="I13802" s="237"/>
    </row>
    <row r="13803" spans="1:9" s="232" customFormat="1" ht="17" customHeight="1">
      <c r="A13803" s="234"/>
      <c r="B13803" s="233"/>
      <c r="C13803" s="238"/>
      <c r="E13803" s="545"/>
      <c r="F13803" s="546"/>
      <c r="G13803" s="234"/>
      <c r="H13803" s="238"/>
      <c r="I13803" s="237"/>
    </row>
    <row r="13804" spans="1:9" s="232" customFormat="1" ht="17" customHeight="1">
      <c r="A13804" s="234"/>
      <c r="B13804" s="233"/>
      <c r="C13804" s="238"/>
      <c r="E13804" s="545"/>
      <c r="F13804" s="546"/>
      <c r="G13804" s="234"/>
      <c r="H13804" s="238"/>
      <c r="I13804" s="237"/>
    </row>
    <row r="13805" spans="1:9" s="232" customFormat="1" ht="17" customHeight="1">
      <c r="A13805" s="234"/>
      <c r="B13805" s="233"/>
      <c r="C13805" s="238"/>
      <c r="E13805" s="545"/>
      <c r="F13805" s="546"/>
      <c r="G13805" s="234"/>
      <c r="H13805" s="238"/>
      <c r="I13805" s="237"/>
    </row>
    <row r="13806" spans="1:9" s="232" customFormat="1" ht="17" customHeight="1">
      <c r="A13806" s="234"/>
      <c r="B13806" s="233"/>
      <c r="C13806" s="238"/>
      <c r="E13806" s="545"/>
      <c r="F13806" s="546"/>
      <c r="G13806" s="234"/>
      <c r="H13806" s="238"/>
      <c r="I13806" s="237"/>
    </row>
    <row r="13807" spans="1:9" s="232" customFormat="1" ht="17" customHeight="1">
      <c r="A13807" s="234"/>
      <c r="B13807" s="233"/>
      <c r="C13807" s="238"/>
      <c r="E13807" s="545"/>
      <c r="F13807" s="546"/>
      <c r="G13807" s="234"/>
      <c r="H13807" s="238"/>
      <c r="I13807" s="237"/>
    </row>
    <row r="13808" spans="1:9" s="232" customFormat="1" ht="17" customHeight="1">
      <c r="A13808" s="234"/>
      <c r="B13808" s="233"/>
      <c r="C13808" s="238"/>
      <c r="E13808" s="545"/>
      <c r="F13808" s="546"/>
      <c r="G13808" s="234"/>
      <c r="H13808" s="238"/>
      <c r="I13808" s="237"/>
    </row>
    <row r="13809" spans="1:9" s="232" customFormat="1" ht="17" customHeight="1">
      <c r="A13809" s="234"/>
      <c r="B13809" s="233"/>
      <c r="C13809" s="238"/>
      <c r="E13809" s="545"/>
      <c r="F13809" s="546"/>
      <c r="G13809" s="234"/>
      <c r="H13809" s="238"/>
      <c r="I13809" s="237"/>
    </row>
    <row r="13810" spans="1:9" s="232" customFormat="1" ht="17" customHeight="1">
      <c r="A13810" s="234"/>
      <c r="B13810" s="233"/>
      <c r="C13810" s="238"/>
      <c r="E13810" s="545"/>
      <c r="F13810" s="546"/>
      <c r="G13810" s="234"/>
      <c r="H13810" s="238"/>
      <c r="I13810" s="237"/>
    </row>
    <row r="13811" spans="1:9" s="232" customFormat="1" ht="17" customHeight="1">
      <c r="A13811" s="234"/>
      <c r="B13811" s="233"/>
      <c r="C13811" s="238"/>
      <c r="E13811" s="545"/>
      <c r="F13811" s="546"/>
      <c r="G13811" s="234"/>
      <c r="H13811" s="238"/>
      <c r="I13811" s="237"/>
    </row>
    <row r="13812" spans="1:9" s="232" customFormat="1" ht="17" customHeight="1">
      <c r="A13812" s="234"/>
      <c r="B13812" s="233"/>
      <c r="C13812" s="238"/>
      <c r="E13812" s="545"/>
      <c r="F13812" s="546"/>
      <c r="G13812" s="234"/>
      <c r="H13812" s="238"/>
      <c r="I13812" s="237"/>
    </row>
    <row r="13813" spans="1:9" s="232" customFormat="1" ht="17" customHeight="1">
      <c r="A13813" s="234"/>
      <c r="B13813" s="233"/>
      <c r="C13813" s="238"/>
      <c r="E13813" s="545"/>
      <c r="F13813" s="546"/>
      <c r="G13813" s="234"/>
      <c r="H13813" s="238"/>
      <c r="I13813" s="237"/>
    </row>
    <row r="13814" spans="1:9" s="232" customFormat="1" ht="17" customHeight="1">
      <c r="A13814" s="234"/>
      <c r="B13814" s="233"/>
      <c r="C13814" s="238"/>
      <c r="E13814" s="545"/>
      <c r="F13814" s="546"/>
      <c r="G13814" s="234"/>
      <c r="H13814" s="238"/>
      <c r="I13814" s="237"/>
    </row>
    <row r="13815" spans="1:9" s="232" customFormat="1" ht="17" customHeight="1">
      <c r="A13815" s="234"/>
      <c r="B13815" s="233"/>
      <c r="C13815" s="238"/>
      <c r="E13815" s="545"/>
      <c r="F13815" s="546"/>
      <c r="G13815" s="234"/>
      <c r="H13815" s="238"/>
      <c r="I13815" s="237"/>
    </row>
    <row r="13816" spans="1:9" s="232" customFormat="1" ht="17" customHeight="1">
      <c r="A13816" s="234"/>
      <c r="B13816" s="233"/>
      <c r="C13816" s="238"/>
      <c r="E13816" s="545"/>
      <c r="F13816" s="546"/>
      <c r="G13816" s="234"/>
      <c r="H13816" s="238"/>
      <c r="I13816" s="237"/>
    </row>
    <row r="13817" spans="1:9" s="232" customFormat="1" ht="17" customHeight="1">
      <c r="A13817" s="234"/>
      <c r="B13817" s="233"/>
      <c r="C13817" s="238"/>
      <c r="E13817" s="545"/>
      <c r="F13817" s="546"/>
      <c r="G13817" s="234"/>
      <c r="H13817" s="238"/>
      <c r="I13817" s="237"/>
    </row>
    <row r="13818" spans="1:9" s="232" customFormat="1" ht="17" customHeight="1">
      <c r="A13818" s="234"/>
      <c r="B13818" s="233"/>
      <c r="C13818" s="238"/>
      <c r="E13818" s="545"/>
      <c r="F13818" s="546"/>
      <c r="G13818" s="234"/>
      <c r="H13818" s="238"/>
      <c r="I13818" s="237"/>
    </row>
    <row r="13819" spans="1:9" s="232" customFormat="1" ht="17" customHeight="1">
      <c r="A13819" s="234"/>
      <c r="B13819" s="233"/>
      <c r="C13819" s="238"/>
      <c r="E13819" s="545"/>
      <c r="F13819" s="546"/>
      <c r="G13819" s="234"/>
      <c r="H13819" s="238"/>
      <c r="I13819" s="237"/>
    </row>
    <row r="13820" spans="1:9" s="232" customFormat="1" ht="17" customHeight="1">
      <c r="A13820" s="234"/>
      <c r="B13820" s="233"/>
      <c r="C13820" s="238"/>
      <c r="E13820" s="545"/>
      <c r="F13820" s="546"/>
      <c r="G13820" s="234"/>
      <c r="H13820" s="238"/>
      <c r="I13820" s="237"/>
    </row>
    <row r="13821" spans="1:9" s="232" customFormat="1" ht="17" customHeight="1">
      <c r="A13821" s="234"/>
      <c r="B13821" s="233"/>
      <c r="C13821" s="238"/>
      <c r="E13821" s="545"/>
      <c r="F13821" s="546"/>
      <c r="G13821" s="234"/>
      <c r="H13821" s="238"/>
      <c r="I13821" s="237"/>
    </row>
    <row r="13822" spans="1:9" s="232" customFormat="1" ht="17" customHeight="1">
      <c r="A13822" s="234"/>
      <c r="B13822" s="233"/>
      <c r="C13822" s="238"/>
      <c r="E13822" s="545"/>
      <c r="F13822" s="546"/>
      <c r="G13822" s="234"/>
      <c r="H13822" s="238"/>
      <c r="I13822" s="237"/>
    </row>
    <row r="13823" spans="1:9" s="232" customFormat="1" ht="17" customHeight="1">
      <c r="A13823" s="234"/>
      <c r="B13823" s="233"/>
      <c r="C13823" s="238"/>
      <c r="E13823" s="545"/>
      <c r="F13823" s="546"/>
      <c r="G13823" s="234"/>
      <c r="H13823" s="238"/>
      <c r="I13823" s="237"/>
    </row>
    <row r="13824" spans="1:9" s="232" customFormat="1" ht="17" customHeight="1">
      <c r="A13824" s="234"/>
      <c r="B13824" s="233"/>
      <c r="C13824" s="238"/>
      <c r="E13824" s="545"/>
      <c r="F13824" s="546"/>
      <c r="G13824" s="234"/>
      <c r="H13824" s="238"/>
      <c r="I13824" s="237"/>
    </row>
    <row r="13825" spans="1:9" s="232" customFormat="1" ht="17" customHeight="1">
      <c r="A13825" s="234"/>
      <c r="B13825" s="233"/>
      <c r="C13825" s="238"/>
      <c r="E13825" s="545"/>
      <c r="F13825" s="546"/>
      <c r="G13825" s="234"/>
      <c r="H13825" s="238"/>
      <c r="I13825" s="237"/>
    </row>
    <row r="13826" spans="1:9" s="232" customFormat="1" ht="17" customHeight="1">
      <c r="A13826" s="234"/>
      <c r="B13826" s="233"/>
      <c r="C13826" s="238"/>
      <c r="E13826" s="545"/>
      <c r="F13826" s="546"/>
      <c r="G13826" s="234"/>
      <c r="H13826" s="238"/>
      <c r="I13826" s="237"/>
    </row>
    <row r="13827" spans="1:9" s="232" customFormat="1" ht="17" customHeight="1">
      <c r="A13827" s="234"/>
      <c r="B13827" s="233"/>
      <c r="C13827" s="238"/>
      <c r="E13827" s="545"/>
      <c r="F13827" s="546"/>
      <c r="G13827" s="234"/>
      <c r="H13827" s="238"/>
      <c r="I13827" s="237"/>
    </row>
    <row r="13828" spans="1:9" s="232" customFormat="1" ht="17" customHeight="1">
      <c r="A13828" s="234"/>
      <c r="B13828" s="233"/>
      <c r="C13828" s="238"/>
      <c r="E13828" s="545"/>
      <c r="F13828" s="546"/>
      <c r="G13828" s="234"/>
      <c r="H13828" s="238"/>
      <c r="I13828" s="237"/>
    </row>
    <row r="13829" spans="1:9" s="232" customFormat="1" ht="17" customHeight="1">
      <c r="A13829" s="234"/>
      <c r="B13829" s="233"/>
      <c r="C13829" s="238"/>
      <c r="E13829" s="545"/>
      <c r="F13829" s="546"/>
      <c r="G13829" s="234"/>
      <c r="H13829" s="238"/>
      <c r="I13829" s="237"/>
    </row>
    <row r="13830" spans="1:9" s="232" customFormat="1" ht="17" customHeight="1">
      <c r="A13830" s="234"/>
      <c r="B13830" s="233"/>
      <c r="C13830" s="238"/>
      <c r="E13830" s="545"/>
      <c r="F13830" s="546"/>
      <c r="G13830" s="234"/>
      <c r="H13830" s="238"/>
      <c r="I13830" s="237"/>
    </row>
    <row r="13831" spans="1:9" s="232" customFormat="1" ht="17" customHeight="1">
      <c r="A13831" s="234"/>
      <c r="B13831" s="233"/>
      <c r="C13831" s="238"/>
      <c r="E13831" s="545"/>
      <c r="F13831" s="546"/>
      <c r="G13831" s="234"/>
      <c r="H13831" s="238"/>
      <c r="I13831" s="237"/>
    </row>
    <row r="13832" spans="1:9" s="232" customFormat="1" ht="17" customHeight="1">
      <c r="A13832" s="234"/>
      <c r="B13832" s="233"/>
      <c r="C13832" s="238"/>
      <c r="E13832" s="545"/>
      <c r="F13832" s="546"/>
      <c r="G13832" s="234"/>
      <c r="H13832" s="238"/>
      <c r="I13832" s="237"/>
    </row>
    <row r="13833" spans="1:9" s="232" customFormat="1" ht="17" customHeight="1">
      <c r="A13833" s="234"/>
      <c r="B13833" s="233"/>
      <c r="C13833" s="238"/>
      <c r="E13833" s="545"/>
      <c r="F13833" s="546"/>
      <c r="G13833" s="234"/>
      <c r="H13833" s="238"/>
      <c r="I13833" s="237"/>
    </row>
    <row r="13834" spans="1:9" s="232" customFormat="1" ht="17" customHeight="1">
      <c r="A13834" s="234"/>
      <c r="B13834" s="233"/>
      <c r="C13834" s="238"/>
      <c r="E13834" s="545"/>
      <c r="F13834" s="546"/>
      <c r="G13834" s="234"/>
      <c r="H13834" s="238"/>
      <c r="I13834" s="237"/>
    </row>
    <row r="13835" spans="1:9" s="232" customFormat="1" ht="17" customHeight="1">
      <c r="A13835" s="234"/>
      <c r="B13835" s="233"/>
      <c r="C13835" s="238"/>
      <c r="E13835" s="545"/>
      <c r="F13835" s="546"/>
      <c r="G13835" s="234"/>
      <c r="H13835" s="238"/>
      <c r="I13835" s="237"/>
    </row>
    <row r="13836" spans="1:9" s="232" customFormat="1" ht="17" customHeight="1">
      <c r="A13836" s="234"/>
      <c r="B13836" s="233"/>
      <c r="C13836" s="238"/>
      <c r="E13836" s="545"/>
      <c r="F13836" s="546"/>
      <c r="G13836" s="234"/>
      <c r="H13836" s="238"/>
      <c r="I13836" s="237"/>
    </row>
    <row r="13837" spans="1:9" s="232" customFormat="1" ht="17" customHeight="1">
      <c r="A13837" s="234"/>
      <c r="B13837" s="233"/>
      <c r="C13837" s="238"/>
      <c r="E13837" s="545"/>
      <c r="F13837" s="546"/>
      <c r="G13837" s="234"/>
      <c r="H13837" s="238"/>
      <c r="I13837" s="237"/>
    </row>
    <row r="13838" spans="1:9" s="232" customFormat="1" ht="17" customHeight="1">
      <c r="A13838" s="234"/>
      <c r="B13838" s="233"/>
      <c r="C13838" s="238"/>
      <c r="E13838" s="545"/>
      <c r="F13838" s="546"/>
      <c r="G13838" s="234"/>
      <c r="H13838" s="238"/>
      <c r="I13838" s="237"/>
    </row>
    <row r="13839" spans="1:9" s="232" customFormat="1" ht="17" customHeight="1">
      <c r="A13839" s="234"/>
      <c r="B13839" s="233"/>
      <c r="C13839" s="238"/>
      <c r="E13839" s="545"/>
      <c r="F13839" s="546"/>
      <c r="G13839" s="234"/>
      <c r="H13839" s="238"/>
      <c r="I13839" s="237"/>
    </row>
    <row r="13840" spans="1:9" s="232" customFormat="1" ht="17" customHeight="1">
      <c r="A13840" s="234"/>
      <c r="B13840" s="233"/>
      <c r="C13840" s="238"/>
      <c r="E13840" s="545"/>
      <c r="F13840" s="546"/>
      <c r="G13840" s="234"/>
      <c r="H13840" s="238"/>
      <c r="I13840" s="237"/>
    </row>
    <row r="13841" spans="1:9" s="232" customFormat="1" ht="17" customHeight="1">
      <c r="A13841" s="234"/>
      <c r="B13841" s="233"/>
      <c r="C13841" s="238"/>
      <c r="E13841" s="545"/>
      <c r="F13841" s="546"/>
      <c r="G13841" s="234"/>
      <c r="H13841" s="238"/>
      <c r="I13841" s="237"/>
    </row>
    <row r="13842" spans="1:9" s="232" customFormat="1" ht="17" customHeight="1">
      <c r="A13842" s="234"/>
      <c r="B13842" s="233"/>
      <c r="C13842" s="238"/>
      <c r="E13842" s="545"/>
      <c r="F13842" s="546"/>
      <c r="G13842" s="234"/>
      <c r="H13842" s="238"/>
      <c r="I13842" s="237"/>
    </row>
    <row r="13843" spans="1:9" s="232" customFormat="1" ht="17" customHeight="1">
      <c r="A13843" s="234"/>
      <c r="B13843" s="233"/>
      <c r="C13843" s="238"/>
      <c r="E13843" s="545"/>
      <c r="F13843" s="546"/>
      <c r="G13843" s="234"/>
      <c r="H13843" s="238"/>
      <c r="I13843" s="237"/>
    </row>
    <row r="13844" spans="1:9" s="232" customFormat="1" ht="17" customHeight="1">
      <c r="A13844" s="234"/>
      <c r="B13844" s="233"/>
      <c r="C13844" s="238"/>
      <c r="E13844" s="545"/>
      <c r="F13844" s="546"/>
      <c r="G13844" s="234"/>
      <c r="H13844" s="238"/>
      <c r="I13844" s="237"/>
    </row>
    <row r="13845" spans="1:9" s="232" customFormat="1" ht="17" customHeight="1">
      <c r="A13845" s="234"/>
      <c r="B13845" s="233"/>
      <c r="C13845" s="238"/>
      <c r="E13845" s="545"/>
      <c r="F13845" s="546"/>
      <c r="G13845" s="234"/>
      <c r="H13845" s="238"/>
      <c r="I13845" s="237"/>
    </row>
    <row r="13846" spans="1:9" s="232" customFormat="1" ht="17" customHeight="1">
      <c r="A13846" s="234"/>
      <c r="B13846" s="233"/>
      <c r="C13846" s="238"/>
      <c r="E13846" s="545"/>
      <c r="F13846" s="546"/>
      <c r="G13846" s="234"/>
      <c r="H13846" s="238"/>
      <c r="I13846" s="237"/>
    </row>
    <row r="13847" spans="1:9" s="232" customFormat="1" ht="17" customHeight="1">
      <c r="A13847" s="234"/>
      <c r="B13847" s="233"/>
      <c r="C13847" s="238"/>
      <c r="E13847" s="545"/>
      <c r="F13847" s="546"/>
      <c r="G13847" s="234"/>
      <c r="H13847" s="238"/>
      <c r="I13847" s="237"/>
    </row>
    <row r="13848" spans="1:9" s="232" customFormat="1" ht="17" customHeight="1">
      <c r="A13848" s="234"/>
      <c r="B13848" s="233"/>
      <c r="C13848" s="238"/>
      <c r="E13848" s="545"/>
      <c r="F13848" s="546"/>
      <c r="G13848" s="234"/>
      <c r="H13848" s="238"/>
      <c r="I13848" s="237"/>
    </row>
    <row r="13849" spans="1:9" s="232" customFormat="1" ht="17" customHeight="1">
      <c r="A13849" s="234"/>
      <c r="B13849" s="233"/>
      <c r="C13849" s="238"/>
      <c r="E13849" s="545"/>
      <c r="F13849" s="546"/>
      <c r="G13849" s="234"/>
      <c r="H13849" s="238"/>
      <c r="I13849" s="237"/>
    </row>
    <row r="13850" spans="1:9" s="232" customFormat="1" ht="17" customHeight="1">
      <c r="A13850" s="234"/>
      <c r="B13850" s="233"/>
      <c r="C13850" s="238"/>
      <c r="E13850" s="545"/>
      <c r="F13850" s="546"/>
      <c r="G13850" s="234"/>
      <c r="H13850" s="238"/>
      <c r="I13850" s="237"/>
    </row>
    <row r="13851" spans="1:9" s="232" customFormat="1" ht="17" customHeight="1">
      <c r="A13851" s="234"/>
      <c r="B13851" s="233"/>
      <c r="C13851" s="238"/>
      <c r="E13851" s="545"/>
      <c r="F13851" s="546"/>
      <c r="G13851" s="234"/>
      <c r="H13851" s="238"/>
      <c r="I13851" s="237"/>
    </row>
    <row r="13852" spans="1:9" s="232" customFormat="1" ht="17" customHeight="1">
      <c r="A13852" s="234"/>
      <c r="B13852" s="233"/>
      <c r="C13852" s="238"/>
      <c r="E13852" s="545"/>
      <c r="F13852" s="546"/>
      <c r="G13852" s="234"/>
      <c r="H13852" s="238"/>
      <c r="I13852" s="237"/>
    </row>
    <row r="13853" spans="1:9" s="232" customFormat="1" ht="17" customHeight="1">
      <c r="A13853" s="234"/>
      <c r="B13853" s="233"/>
      <c r="C13853" s="238"/>
      <c r="E13853" s="545"/>
      <c r="F13853" s="546"/>
      <c r="G13853" s="234"/>
      <c r="H13853" s="238"/>
      <c r="I13853" s="237"/>
    </row>
    <row r="13854" spans="1:9" s="232" customFormat="1" ht="17" customHeight="1">
      <c r="A13854" s="234"/>
      <c r="B13854" s="233"/>
      <c r="C13854" s="238"/>
      <c r="E13854" s="545"/>
      <c r="F13854" s="546"/>
      <c r="G13854" s="234"/>
      <c r="H13854" s="238"/>
      <c r="I13854" s="237"/>
    </row>
    <row r="13855" spans="1:9" s="232" customFormat="1" ht="17" customHeight="1">
      <c r="A13855" s="234"/>
      <c r="B13855" s="233"/>
      <c r="C13855" s="238"/>
      <c r="E13855" s="545"/>
      <c r="F13855" s="546"/>
      <c r="G13855" s="234"/>
      <c r="H13855" s="238"/>
      <c r="I13855" s="237"/>
    </row>
    <row r="13856" spans="1:9" s="232" customFormat="1" ht="17" customHeight="1">
      <c r="A13856" s="234"/>
      <c r="B13856" s="233"/>
      <c r="C13856" s="238"/>
      <c r="E13856" s="545"/>
      <c r="F13856" s="546"/>
      <c r="G13856" s="234"/>
      <c r="H13856" s="238"/>
      <c r="I13856" s="237"/>
    </row>
    <row r="13857" spans="1:9" s="232" customFormat="1" ht="17" customHeight="1">
      <c r="A13857" s="234"/>
      <c r="B13857" s="233"/>
      <c r="C13857" s="238"/>
      <c r="E13857" s="545"/>
      <c r="F13857" s="546"/>
      <c r="G13857" s="234"/>
      <c r="H13857" s="238"/>
      <c r="I13857" s="237"/>
    </row>
    <row r="13858" spans="1:9" s="232" customFormat="1" ht="17" customHeight="1">
      <c r="A13858" s="234"/>
      <c r="B13858" s="233"/>
      <c r="C13858" s="238"/>
      <c r="E13858" s="545"/>
      <c r="F13858" s="546"/>
      <c r="G13858" s="234"/>
      <c r="H13858" s="238"/>
      <c r="I13858" s="237"/>
    </row>
    <row r="13859" spans="1:9" s="232" customFormat="1" ht="17" customHeight="1">
      <c r="A13859" s="234"/>
      <c r="B13859" s="233"/>
      <c r="C13859" s="238"/>
      <c r="E13859" s="545"/>
      <c r="F13859" s="546"/>
      <c r="G13859" s="234"/>
      <c r="H13859" s="238"/>
      <c r="I13859" s="237"/>
    </row>
    <row r="13860" spans="1:9" s="232" customFormat="1" ht="17" customHeight="1">
      <c r="A13860" s="234"/>
      <c r="B13860" s="233"/>
      <c r="C13860" s="238"/>
      <c r="E13860" s="545"/>
      <c r="F13860" s="546"/>
      <c r="G13860" s="234"/>
      <c r="H13860" s="238"/>
      <c r="I13860" s="237"/>
    </row>
    <row r="13861" spans="1:9" s="232" customFormat="1" ht="17" customHeight="1">
      <c r="A13861" s="234"/>
      <c r="B13861" s="233"/>
      <c r="C13861" s="238"/>
      <c r="E13861" s="545"/>
      <c r="F13861" s="546"/>
      <c r="G13861" s="234"/>
      <c r="H13861" s="238"/>
      <c r="I13861" s="237"/>
    </row>
    <row r="13862" spans="1:9" s="232" customFormat="1" ht="17" customHeight="1">
      <c r="A13862" s="234"/>
      <c r="B13862" s="233"/>
      <c r="C13862" s="238"/>
      <c r="E13862" s="545"/>
      <c r="F13862" s="546"/>
      <c r="G13862" s="234"/>
      <c r="H13862" s="238"/>
      <c r="I13862" s="237"/>
    </row>
    <row r="13863" spans="1:9" s="232" customFormat="1" ht="17" customHeight="1">
      <c r="A13863" s="234"/>
      <c r="B13863" s="233"/>
      <c r="C13863" s="238"/>
      <c r="E13863" s="545"/>
      <c r="F13863" s="546"/>
      <c r="G13863" s="234"/>
      <c r="H13863" s="238"/>
      <c r="I13863" s="237"/>
    </row>
    <row r="13864" spans="1:9" s="232" customFormat="1" ht="17" customHeight="1">
      <c r="A13864" s="234"/>
      <c r="B13864" s="233"/>
      <c r="C13864" s="238"/>
      <c r="E13864" s="545"/>
      <c r="F13864" s="546"/>
      <c r="G13864" s="234"/>
      <c r="H13864" s="238"/>
      <c r="I13864" s="237"/>
    </row>
    <row r="13865" spans="1:9" s="232" customFormat="1" ht="17" customHeight="1">
      <c r="A13865" s="234"/>
      <c r="B13865" s="233"/>
      <c r="C13865" s="238"/>
      <c r="E13865" s="545"/>
      <c r="F13865" s="546"/>
      <c r="G13865" s="234"/>
      <c r="H13865" s="238"/>
      <c r="I13865" s="237"/>
    </row>
    <row r="13866" spans="1:9" s="232" customFormat="1" ht="17" customHeight="1">
      <c r="A13866" s="234"/>
      <c r="B13866" s="233"/>
      <c r="C13866" s="238"/>
      <c r="E13866" s="545"/>
      <c r="F13866" s="546"/>
      <c r="G13866" s="234"/>
      <c r="H13866" s="238"/>
      <c r="I13866" s="237"/>
    </row>
    <row r="13867" spans="1:9" s="232" customFormat="1" ht="17" customHeight="1">
      <c r="A13867" s="234"/>
      <c r="B13867" s="233"/>
      <c r="C13867" s="238"/>
      <c r="E13867" s="545"/>
      <c r="F13867" s="546"/>
      <c r="G13867" s="234"/>
      <c r="H13867" s="238"/>
      <c r="I13867" s="237"/>
    </row>
    <row r="13868" spans="1:9" s="232" customFormat="1" ht="17" customHeight="1">
      <c r="A13868" s="234"/>
      <c r="B13868" s="233"/>
      <c r="C13868" s="238"/>
      <c r="E13868" s="545"/>
      <c r="F13868" s="546"/>
      <c r="G13868" s="234"/>
      <c r="H13868" s="238"/>
      <c r="I13868" s="237"/>
    </row>
    <row r="13869" spans="1:9" s="232" customFormat="1" ht="17" customHeight="1">
      <c r="A13869" s="234"/>
      <c r="B13869" s="233"/>
      <c r="C13869" s="238"/>
      <c r="E13869" s="545"/>
      <c r="F13869" s="546"/>
      <c r="G13869" s="234"/>
      <c r="H13869" s="238"/>
      <c r="I13869" s="237"/>
    </row>
    <row r="13870" spans="1:9" s="232" customFormat="1" ht="17" customHeight="1">
      <c r="A13870" s="234"/>
      <c r="B13870" s="233"/>
      <c r="C13870" s="238"/>
      <c r="E13870" s="545"/>
      <c r="F13870" s="546"/>
      <c r="G13870" s="234"/>
      <c r="H13870" s="238"/>
      <c r="I13870" s="237"/>
    </row>
    <row r="13871" spans="1:9" s="232" customFormat="1" ht="17" customHeight="1">
      <c r="A13871" s="234"/>
      <c r="B13871" s="233"/>
      <c r="C13871" s="238"/>
      <c r="E13871" s="545"/>
      <c r="F13871" s="546"/>
      <c r="G13871" s="234"/>
      <c r="H13871" s="238"/>
      <c r="I13871" s="237"/>
    </row>
    <row r="13872" spans="1:9" s="232" customFormat="1" ht="17" customHeight="1">
      <c r="A13872" s="234"/>
      <c r="B13872" s="233"/>
      <c r="C13872" s="238"/>
      <c r="E13872" s="545"/>
      <c r="F13872" s="546"/>
      <c r="G13872" s="234"/>
      <c r="H13872" s="238"/>
      <c r="I13872" s="237"/>
    </row>
    <row r="13873" spans="1:9" s="232" customFormat="1" ht="17" customHeight="1">
      <c r="A13873" s="234"/>
      <c r="B13873" s="233"/>
      <c r="C13873" s="238"/>
      <c r="E13873" s="545"/>
      <c r="F13873" s="546"/>
      <c r="G13873" s="234"/>
      <c r="H13873" s="238"/>
      <c r="I13873" s="237"/>
    </row>
    <row r="13874" spans="1:9" s="232" customFormat="1" ht="17" customHeight="1">
      <c r="A13874" s="234"/>
      <c r="B13874" s="233"/>
      <c r="C13874" s="238"/>
      <c r="E13874" s="545"/>
      <c r="F13874" s="546"/>
      <c r="G13874" s="234"/>
      <c r="H13874" s="238"/>
      <c r="I13874" s="237"/>
    </row>
    <row r="13875" spans="1:9" s="232" customFormat="1" ht="17" customHeight="1">
      <c r="A13875" s="234"/>
      <c r="B13875" s="233"/>
      <c r="C13875" s="238"/>
      <c r="E13875" s="545"/>
      <c r="F13875" s="546"/>
      <c r="G13875" s="234"/>
      <c r="H13875" s="238"/>
      <c r="I13875" s="237"/>
    </row>
    <row r="13876" spans="1:9" s="232" customFormat="1" ht="17" customHeight="1">
      <c r="A13876" s="234"/>
      <c r="B13876" s="233"/>
      <c r="C13876" s="238"/>
      <c r="E13876" s="545"/>
      <c r="F13876" s="546"/>
      <c r="G13876" s="234"/>
      <c r="H13876" s="238"/>
      <c r="I13876" s="237"/>
    </row>
    <row r="13877" spans="1:9" s="232" customFormat="1" ht="17" customHeight="1">
      <c r="A13877" s="234"/>
      <c r="B13877" s="233"/>
      <c r="C13877" s="238"/>
      <c r="E13877" s="545"/>
      <c r="F13877" s="546"/>
      <c r="G13877" s="234"/>
      <c r="H13877" s="238"/>
      <c r="I13877" s="237"/>
    </row>
    <row r="13878" spans="1:9" s="232" customFormat="1" ht="17" customHeight="1">
      <c r="A13878" s="234"/>
      <c r="B13878" s="233"/>
      <c r="C13878" s="238"/>
      <c r="E13878" s="545"/>
      <c r="F13878" s="546"/>
      <c r="G13878" s="234"/>
      <c r="H13878" s="238"/>
      <c r="I13878" s="237"/>
    </row>
    <row r="13879" spans="1:9" s="232" customFormat="1" ht="17" customHeight="1">
      <c r="A13879" s="234"/>
      <c r="B13879" s="233"/>
      <c r="C13879" s="238"/>
      <c r="E13879" s="545"/>
      <c r="F13879" s="546"/>
      <c r="G13879" s="234"/>
      <c r="H13879" s="238"/>
      <c r="I13879" s="237"/>
    </row>
    <row r="13880" spans="1:9" s="232" customFormat="1" ht="17" customHeight="1">
      <c r="A13880" s="234"/>
      <c r="B13880" s="233"/>
      <c r="C13880" s="238"/>
      <c r="E13880" s="545"/>
      <c r="F13880" s="546"/>
      <c r="G13880" s="234"/>
      <c r="H13880" s="238"/>
      <c r="I13880" s="237"/>
    </row>
    <row r="13881" spans="1:9" s="232" customFormat="1" ht="17" customHeight="1">
      <c r="A13881" s="234"/>
      <c r="B13881" s="233"/>
      <c r="C13881" s="238"/>
      <c r="E13881" s="545"/>
      <c r="F13881" s="546"/>
      <c r="G13881" s="234"/>
      <c r="H13881" s="238"/>
      <c r="I13881" s="237"/>
    </row>
    <row r="13882" spans="1:9" s="232" customFormat="1" ht="17" customHeight="1">
      <c r="A13882" s="234"/>
      <c r="B13882" s="233"/>
      <c r="C13882" s="238"/>
      <c r="E13882" s="545"/>
      <c r="F13882" s="546"/>
      <c r="G13882" s="234"/>
      <c r="H13882" s="238"/>
      <c r="I13882" s="237"/>
    </row>
    <row r="13883" spans="1:9" s="232" customFormat="1" ht="17" customHeight="1">
      <c r="A13883" s="234"/>
      <c r="B13883" s="233"/>
      <c r="C13883" s="238"/>
      <c r="E13883" s="545"/>
      <c r="F13883" s="546"/>
      <c r="G13883" s="234"/>
      <c r="H13883" s="238"/>
      <c r="I13883" s="237"/>
    </row>
    <row r="13884" spans="1:9" s="232" customFormat="1" ht="17" customHeight="1">
      <c r="A13884" s="234"/>
      <c r="B13884" s="233"/>
      <c r="C13884" s="238"/>
      <c r="E13884" s="545"/>
      <c r="F13884" s="546"/>
      <c r="G13884" s="234"/>
      <c r="H13884" s="238"/>
      <c r="I13884" s="237"/>
    </row>
    <row r="13885" spans="1:9" s="232" customFormat="1" ht="17" customHeight="1">
      <c r="A13885" s="234"/>
      <c r="B13885" s="233"/>
      <c r="C13885" s="238"/>
      <c r="E13885" s="545"/>
      <c r="F13885" s="546"/>
      <c r="G13885" s="234"/>
      <c r="H13885" s="238"/>
      <c r="I13885" s="237"/>
    </row>
    <row r="13886" spans="1:9" s="232" customFormat="1" ht="17" customHeight="1">
      <c r="A13886" s="234"/>
      <c r="B13886" s="233"/>
      <c r="C13886" s="238"/>
      <c r="E13886" s="545"/>
      <c r="F13886" s="546"/>
      <c r="G13886" s="234"/>
      <c r="H13886" s="238"/>
      <c r="I13886" s="237"/>
    </row>
    <row r="13887" spans="1:9" s="232" customFormat="1" ht="17" customHeight="1">
      <c r="A13887" s="234"/>
      <c r="B13887" s="233"/>
      <c r="C13887" s="238"/>
      <c r="E13887" s="545"/>
      <c r="F13887" s="546"/>
      <c r="G13887" s="234"/>
      <c r="H13887" s="238"/>
      <c r="I13887" s="237"/>
    </row>
    <row r="13888" spans="1:9" s="232" customFormat="1" ht="17" customHeight="1">
      <c r="A13888" s="234"/>
      <c r="B13888" s="233"/>
      <c r="C13888" s="238"/>
      <c r="E13888" s="545"/>
      <c r="F13888" s="546"/>
      <c r="G13888" s="234"/>
      <c r="H13888" s="238"/>
      <c r="I13888" s="237"/>
    </row>
    <row r="13889" spans="1:9" s="232" customFormat="1" ht="17" customHeight="1">
      <c r="A13889" s="234"/>
      <c r="B13889" s="233"/>
      <c r="C13889" s="238"/>
      <c r="E13889" s="545"/>
      <c r="F13889" s="546"/>
      <c r="G13889" s="234"/>
      <c r="H13889" s="238"/>
      <c r="I13889" s="237"/>
    </row>
    <row r="13890" spans="1:9" s="232" customFormat="1" ht="17" customHeight="1">
      <c r="A13890" s="234"/>
      <c r="B13890" s="233"/>
      <c r="C13890" s="238"/>
      <c r="E13890" s="545"/>
      <c r="F13890" s="546"/>
      <c r="G13890" s="234"/>
      <c r="H13890" s="238"/>
      <c r="I13890" s="237"/>
    </row>
    <row r="13891" spans="1:9" s="232" customFormat="1" ht="17" customHeight="1">
      <c r="A13891" s="234"/>
      <c r="B13891" s="233"/>
      <c r="C13891" s="238"/>
      <c r="E13891" s="545"/>
      <c r="F13891" s="546"/>
      <c r="G13891" s="234"/>
      <c r="H13891" s="238"/>
      <c r="I13891" s="237"/>
    </row>
    <row r="13892" spans="1:9" s="232" customFormat="1" ht="17" customHeight="1">
      <c r="A13892" s="234"/>
      <c r="B13892" s="233"/>
      <c r="C13892" s="238"/>
      <c r="E13892" s="545"/>
      <c r="F13892" s="546"/>
      <c r="G13892" s="234"/>
      <c r="H13892" s="238"/>
      <c r="I13892" s="237"/>
    </row>
    <row r="13893" spans="1:9" s="232" customFormat="1" ht="17" customHeight="1">
      <c r="A13893" s="234"/>
      <c r="B13893" s="233"/>
      <c r="C13893" s="238"/>
      <c r="E13893" s="545"/>
      <c r="F13893" s="546"/>
      <c r="G13893" s="234"/>
      <c r="H13893" s="238"/>
      <c r="I13893" s="237"/>
    </row>
    <row r="13894" spans="1:9" s="232" customFormat="1" ht="17" customHeight="1">
      <c r="A13894" s="234"/>
      <c r="B13894" s="233"/>
      <c r="C13894" s="238"/>
      <c r="E13894" s="545"/>
      <c r="F13894" s="546"/>
      <c r="G13894" s="234"/>
      <c r="H13894" s="238"/>
      <c r="I13894" s="237"/>
    </row>
    <row r="13895" spans="1:9" s="232" customFormat="1" ht="17" customHeight="1">
      <c r="A13895" s="234"/>
      <c r="B13895" s="233"/>
      <c r="C13895" s="238"/>
      <c r="E13895" s="545"/>
      <c r="F13895" s="546"/>
      <c r="G13895" s="234"/>
      <c r="H13895" s="238"/>
      <c r="I13895" s="237"/>
    </row>
    <row r="13896" spans="1:9" s="232" customFormat="1" ht="17" customHeight="1">
      <c r="A13896" s="234"/>
      <c r="B13896" s="233"/>
      <c r="C13896" s="238"/>
      <c r="E13896" s="545"/>
      <c r="F13896" s="546"/>
      <c r="G13896" s="234"/>
      <c r="H13896" s="238"/>
      <c r="I13896" s="237"/>
    </row>
    <row r="13897" spans="1:9" s="232" customFormat="1" ht="17" customHeight="1">
      <c r="A13897" s="234"/>
      <c r="B13897" s="233"/>
      <c r="C13897" s="238"/>
      <c r="E13897" s="545"/>
      <c r="F13897" s="546"/>
      <c r="G13897" s="234"/>
      <c r="H13897" s="238"/>
      <c r="I13897" s="237"/>
    </row>
    <row r="13898" spans="1:9" s="232" customFormat="1" ht="17" customHeight="1">
      <c r="A13898" s="234"/>
      <c r="B13898" s="233"/>
      <c r="C13898" s="238"/>
      <c r="E13898" s="545"/>
      <c r="F13898" s="546"/>
      <c r="G13898" s="234"/>
      <c r="H13898" s="238"/>
      <c r="I13898" s="237"/>
    </row>
    <row r="13899" spans="1:9" s="232" customFormat="1" ht="17" customHeight="1">
      <c r="A13899" s="234"/>
      <c r="B13899" s="233"/>
      <c r="C13899" s="238"/>
      <c r="E13899" s="545"/>
      <c r="F13899" s="546"/>
      <c r="G13899" s="234"/>
      <c r="H13899" s="238"/>
      <c r="I13899" s="237"/>
    </row>
    <row r="13900" spans="1:9" s="232" customFormat="1" ht="17" customHeight="1">
      <c r="A13900" s="234"/>
      <c r="B13900" s="233"/>
      <c r="C13900" s="238"/>
      <c r="E13900" s="545"/>
      <c r="F13900" s="546"/>
      <c r="G13900" s="234"/>
      <c r="H13900" s="238"/>
      <c r="I13900" s="237"/>
    </row>
    <row r="13901" spans="1:9" s="232" customFormat="1" ht="17" customHeight="1">
      <c r="A13901" s="234"/>
      <c r="B13901" s="233"/>
      <c r="C13901" s="238"/>
      <c r="E13901" s="545"/>
      <c r="F13901" s="546"/>
      <c r="G13901" s="234"/>
      <c r="H13901" s="238"/>
      <c r="I13901" s="237"/>
    </row>
    <row r="13902" spans="1:9" s="232" customFormat="1" ht="17" customHeight="1">
      <c r="A13902" s="234"/>
      <c r="B13902" s="233"/>
      <c r="C13902" s="238"/>
      <c r="E13902" s="545"/>
      <c r="F13902" s="546"/>
      <c r="G13902" s="234"/>
      <c r="H13902" s="238"/>
      <c r="I13902" s="237"/>
    </row>
    <row r="13903" spans="1:9" s="232" customFormat="1" ht="17" customHeight="1">
      <c r="A13903" s="234"/>
      <c r="B13903" s="233"/>
      <c r="C13903" s="238"/>
      <c r="E13903" s="545"/>
      <c r="F13903" s="546"/>
      <c r="G13903" s="234"/>
      <c r="H13903" s="238"/>
      <c r="I13903" s="237"/>
    </row>
    <row r="13904" spans="1:9" s="232" customFormat="1" ht="17" customHeight="1">
      <c r="A13904" s="234"/>
      <c r="B13904" s="233"/>
      <c r="C13904" s="238"/>
      <c r="E13904" s="545"/>
      <c r="F13904" s="546"/>
      <c r="G13904" s="234"/>
      <c r="H13904" s="238"/>
      <c r="I13904" s="237"/>
    </row>
    <row r="13905" spans="1:9" s="232" customFormat="1" ht="17" customHeight="1">
      <c r="A13905" s="234"/>
      <c r="B13905" s="233"/>
      <c r="C13905" s="238"/>
      <c r="E13905" s="545"/>
      <c r="F13905" s="546"/>
      <c r="G13905" s="234"/>
      <c r="H13905" s="238"/>
      <c r="I13905" s="237"/>
    </row>
    <row r="13906" spans="1:9" s="232" customFormat="1" ht="17" customHeight="1">
      <c r="A13906" s="234"/>
      <c r="B13906" s="233"/>
      <c r="C13906" s="238"/>
      <c r="E13906" s="545"/>
      <c r="F13906" s="546"/>
      <c r="G13906" s="234"/>
      <c r="H13906" s="238"/>
      <c r="I13906" s="237"/>
    </row>
    <row r="13907" spans="1:9" s="232" customFormat="1" ht="17" customHeight="1">
      <c r="A13907" s="234"/>
      <c r="B13907" s="233"/>
      <c r="C13907" s="238"/>
      <c r="E13907" s="545"/>
      <c r="F13907" s="546"/>
      <c r="G13907" s="234"/>
      <c r="H13907" s="238"/>
      <c r="I13907" s="237"/>
    </row>
    <row r="13908" spans="1:9" s="232" customFormat="1" ht="17" customHeight="1">
      <c r="A13908" s="234"/>
      <c r="B13908" s="233"/>
      <c r="C13908" s="238"/>
      <c r="E13908" s="545"/>
      <c r="F13908" s="546"/>
      <c r="G13908" s="234"/>
      <c r="H13908" s="238"/>
      <c r="I13908" s="237"/>
    </row>
    <row r="13909" spans="1:9" s="232" customFormat="1" ht="17" customHeight="1">
      <c r="A13909" s="234"/>
      <c r="B13909" s="233"/>
      <c r="C13909" s="238"/>
      <c r="E13909" s="545"/>
      <c r="F13909" s="546"/>
      <c r="G13909" s="234"/>
      <c r="H13909" s="238"/>
      <c r="I13909" s="237"/>
    </row>
    <row r="13910" spans="1:9" s="232" customFormat="1" ht="17" customHeight="1">
      <c r="A13910" s="234"/>
      <c r="B13910" s="233"/>
      <c r="C13910" s="238"/>
      <c r="E13910" s="545"/>
      <c r="F13910" s="546"/>
      <c r="G13910" s="234"/>
      <c r="H13910" s="238"/>
      <c r="I13910" s="237"/>
    </row>
    <row r="13911" spans="1:9" s="232" customFormat="1" ht="17" customHeight="1">
      <c r="A13911" s="234"/>
      <c r="B13911" s="233"/>
      <c r="C13911" s="238"/>
      <c r="E13911" s="545"/>
      <c r="F13911" s="546"/>
      <c r="G13911" s="234"/>
      <c r="H13911" s="238"/>
      <c r="I13911" s="237"/>
    </row>
    <row r="13912" spans="1:9" s="232" customFormat="1" ht="17" customHeight="1">
      <c r="A13912" s="234"/>
      <c r="B13912" s="233"/>
      <c r="C13912" s="238"/>
      <c r="E13912" s="545"/>
      <c r="F13912" s="546"/>
      <c r="G13912" s="234"/>
      <c r="H13912" s="238"/>
      <c r="I13912" s="237"/>
    </row>
    <row r="13913" spans="1:9" s="232" customFormat="1" ht="17" customHeight="1">
      <c r="A13913" s="234"/>
      <c r="B13913" s="233"/>
      <c r="C13913" s="238"/>
      <c r="E13913" s="545"/>
      <c r="F13913" s="546"/>
      <c r="G13913" s="234"/>
      <c r="H13913" s="238"/>
      <c r="I13913" s="237"/>
    </row>
    <row r="13914" spans="1:9" s="232" customFormat="1" ht="17" customHeight="1">
      <c r="A13914" s="234"/>
      <c r="B13914" s="233"/>
      <c r="C13914" s="238"/>
      <c r="E13914" s="545"/>
      <c r="F13914" s="546"/>
      <c r="G13914" s="234"/>
      <c r="H13914" s="238"/>
      <c r="I13914" s="237"/>
    </row>
    <row r="13915" spans="1:9" s="232" customFormat="1" ht="17" customHeight="1">
      <c r="A13915" s="234"/>
      <c r="B13915" s="233"/>
      <c r="C13915" s="238"/>
      <c r="E13915" s="545"/>
      <c r="F13915" s="546"/>
      <c r="G13915" s="234"/>
      <c r="H13915" s="238"/>
      <c r="I13915" s="237"/>
    </row>
    <row r="13916" spans="1:9" s="232" customFormat="1" ht="17" customHeight="1">
      <c r="A13916" s="234"/>
      <c r="B13916" s="233"/>
      <c r="C13916" s="238"/>
      <c r="E13916" s="545"/>
      <c r="F13916" s="546"/>
      <c r="G13916" s="234"/>
      <c r="H13916" s="238"/>
      <c r="I13916" s="237"/>
    </row>
    <row r="13917" spans="1:9" s="232" customFormat="1" ht="17" customHeight="1">
      <c r="A13917" s="234"/>
      <c r="B13917" s="233"/>
      <c r="C13917" s="238"/>
      <c r="E13917" s="545"/>
      <c r="F13917" s="546"/>
      <c r="G13917" s="234"/>
      <c r="H13917" s="238"/>
      <c r="I13917" s="237"/>
    </row>
    <row r="13918" spans="1:9" s="232" customFormat="1" ht="17" customHeight="1">
      <c r="A13918" s="234"/>
      <c r="B13918" s="233"/>
      <c r="C13918" s="238"/>
      <c r="E13918" s="545"/>
      <c r="F13918" s="546"/>
      <c r="G13918" s="234"/>
      <c r="H13918" s="238"/>
      <c r="I13918" s="237"/>
    </row>
    <row r="13919" spans="1:9" s="232" customFormat="1" ht="17" customHeight="1">
      <c r="A13919" s="234"/>
      <c r="B13919" s="233"/>
      <c r="C13919" s="238"/>
      <c r="E13919" s="545"/>
      <c r="F13919" s="546"/>
      <c r="G13919" s="234"/>
      <c r="H13919" s="238"/>
      <c r="I13919" s="237"/>
    </row>
    <row r="13920" spans="1:9" s="232" customFormat="1" ht="17" customHeight="1">
      <c r="A13920" s="234"/>
      <c r="B13920" s="233"/>
      <c r="C13920" s="238"/>
      <c r="E13920" s="545"/>
      <c r="F13920" s="546"/>
      <c r="G13920" s="234"/>
      <c r="H13920" s="238"/>
      <c r="I13920" s="237"/>
    </row>
    <row r="13921" spans="1:9" s="232" customFormat="1" ht="17" customHeight="1">
      <c r="A13921" s="234"/>
      <c r="B13921" s="233"/>
      <c r="C13921" s="238"/>
      <c r="E13921" s="545"/>
      <c r="F13921" s="546"/>
      <c r="G13921" s="234"/>
      <c r="H13921" s="238"/>
      <c r="I13921" s="237"/>
    </row>
    <row r="13922" spans="1:9" s="232" customFormat="1" ht="17" customHeight="1">
      <c r="A13922" s="234"/>
      <c r="B13922" s="233"/>
      <c r="C13922" s="238"/>
      <c r="E13922" s="545"/>
      <c r="F13922" s="546"/>
      <c r="G13922" s="234"/>
      <c r="H13922" s="238"/>
      <c r="I13922" s="237"/>
    </row>
    <row r="13923" spans="1:9" s="232" customFormat="1" ht="17" customHeight="1">
      <c r="A13923" s="234"/>
      <c r="B13923" s="233"/>
      <c r="C13923" s="238"/>
      <c r="E13923" s="545"/>
      <c r="F13923" s="546"/>
      <c r="G13923" s="234"/>
      <c r="H13923" s="238"/>
      <c r="I13923" s="237"/>
    </row>
    <row r="13924" spans="1:9" s="232" customFormat="1" ht="17" customHeight="1">
      <c r="A13924" s="234"/>
      <c r="B13924" s="233"/>
      <c r="C13924" s="238"/>
      <c r="E13924" s="545"/>
      <c r="F13924" s="546"/>
      <c r="G13924" s="234"/>
      <c r="H13924" s="238"/>
      <c r="I13924" s="237"/>
    </row>
    <row r="13925" spans="1:9" s="232" customFormat="1" ht="17" customHeight="1">
      <c r="A13925" s="234"/>
      <c r="B13925" s="233"/>
      <c r="C13925" s="238"/>
      <c r="E13925" s="545"/>
      <c r="F13925" s="546"/>
      <c r="G13925" s="234"/>
      <c r="H13925" s="238"/>
      <c r="I13925" s="237"/>
    </row>
    <row r="13926" spans="1:9" s="232" customFormat="1" ht="17" customHeight="1">
      <c r="A13926" s="234"/>
      <c r="B13926" s="233"/>
      <c r="C13926" s="238"/>
      <c r="E13926" s="545"/>
      <c r="F13926" s="546"/>
      <c r="G13926" s="234"/>
      <c r="H13926" s="238"/>
      <c r="I13926" s="237"/>
    </row>
    <row r="13927" spans="1:9" s="232" customFormat="1" ht="17" customHeight="1">
      <c r="A13927" s="234"/>
      <c r="B13927" s="233"/>
      <c r="C13927" s="238"/>
      <c r="E13927" s="545"/>
      <c r="F13927" s="546"/>
      <c r="G13927" s="234"/>
      <c r="H13927" s="238"/>
      <c r="I13927" s="237"/>
    </row>
    <row r="13928" spans="1:9" s="232" customFormat="1" ht="17" customHeight="1">
      <c r="A13928" s="234"/>
      <c r="B13928" s="233"/>
      <c r="C13928" s="238"/>
      <c r="E13928" s="545"/>
      <c r="F13928" s="546"/>
      <c r="G13928" s="234"/>
      <c r="H13928" s="238"/>
      <c r="I13928" s="237"/>
    </row>
    <row r="13929" spans="1:9" s="232" customFormat="1" ht="17" customHeight="1">
      <c r="A13929" s="234"/>
      <c r="B13929" s="233"/>
      <c r="C13929" s="238"/>
      <c r="E13929" s="545"/>
      <c r="F13929" s="546"/>
      <c r="G13929" s="234"/>
      <c r="H13929" s="238"/>
      <c r="I13929" s="237"/>
    </row>
    <row r="13930" spans="1:9" s="232" customFormat="1" ht="17" customHeight="1">
      <c r="A13930" s="234"/>
      <c r="B13930" s="233"/>
      <c r="C13930" s="238"/>
      <c r="E13930" s="545"/>
      <c r="F13930" s="546"/>
      <c r="G13930" s="234"/>
      <c r="H13930" s="238"/>
      <c r="I13930" s="237"/>
    </row>
    <row r="13931" spans="1:9" s="232" customFormat="1" ht="17" customHeight="1">
      <c r="A13931" s="234"/>
      <c r="B13931" s="233"/>
      <c r="C13931" s="238"/>
      <c r="E13931" s="545"/>
      <c r="F13931" s="546"/>
      <c r="G13931" s="234"/>
      <c r="H13931" s="238"/>
      <c r="I13931" s="237"/>
    </row>
    <row r="13932" spans="1:9" s="232" customFormat="1" ht="17" customHeight="1">
      <c r="A13932" s="234"/>
      <c r="B13932" s="233"/>
      <c r="C13932" s="238"/>
      <c r="E13932" s="545"/>
      <c r="F13932" s="546"/>
      <c r="G13932" s="234"/>
      <c r="H13932" s="238"/>
      <c r="I13932" s="237"/>
    </row>
    <row r="13933" spans="1:9" s="232" customFormat="1" ht="17" customHeight="1">
      <c r="A13933" s="234"/>
      <c r="B13933" s="233"/>
      <c r="C13933" s="238"/>
      <c r="E13933" s="545"/>
      <c r="F13933" s="546"/>
      <c r="G13933" s="234"/>
      <c r="H13933" s="238"/>
      <c r="I13933" s="237"/>
    </row>
    <row r="13934" spans="1:9" s="232" customFormat="1" ht="17" customHeight="1">
      <c r="A13934" s="234"/>
      <c r="B13934" s="233"/>
      <c r="C13934" s="238"/>
      <c r="E13934" s="545"/>
      <c r="F13934" s="546"/>
      <c r="G13934" s="234"/>
      <c r="H13934" s="238"/>
      <c r="I13934" s="237"/>
    </row>
    <row r="13935" spans="1:9" s="232" customFormat="1" ht="17" customHeight="1">
      <c r="A13935" s="234"/>
      <c r="B13935" s="233"/>
      <c r="C13935" s="238"/>
      <c r="E13935" s="545"/>
      <c r="F13935" s="546"/>
      <c r="G13935" s="234"/>
      <c r="H13935" s="238"/>
      <c r="I13935" s="237"/>
    </row>
    <row r="13936" spans="1:9" s="232" customFormat="1" ht="17" customHeight="1">
      <c r="A13936" s="234"/>
      <c r="B13936" s="233"/>
      <c r="C13936" s="238"/>
      <c r="E13936" s="545"/>
      <c r="F13936" s="546"/>
      <c r="G13936" s="234"/>
      <c r="H13936" s="238"/>
      <c r="I13936" s="237"/>
    </row>
    <row r="13937" spans="1:9" s="232" customFormat="1" ht="17" customHeight="1">
      <c r="A13937" s="234"/>
      <c r="B13937" s="233"/>
      <c r="C13937" s="238"/>
      <c r="E13937" s="545"/>
      <c r="F13937" s="546"/>
      <c r="G13937" s="234"/>
      <c r="H13937" s="238"/>
      <c r="I13937" s="237"/>
    </row>
    <row r="13938" spans="1:9" s="232" customFormat="1" ht="17" customHeight="1">
      <c r="A13938" s="234"/>
      <c r="B13938" s="233"/>
      <c r="C13938" s="238"/>
      <c r="E13938" s="545"/>
      <c r="F13938" s="546"/>
      <c r="G13938" s="234"/>
      <c r="H13938" s="238"/>
      <c r="I13938" s="237"/>
    </row>
    <row r="13939" spans="1:9" s="232" customFormat="1" ht="17" customHeight="1">
      <c r="A13939" s="234"/>
      <c r="B13939" s="233"/>
      <c r="C13939" s="238"/>
      <c r="E13939" s="545"/>
      <c r="F13939" s="546"/>
      <c r="G13939" s="234"/>
      <c r="H13939" s="238"/>
      <c r="I13939" s="237"/>
    </row>
    <row r="13940" spans="1:9" s="232" customFormat="1" ht="17" customHeight="1">
      <c r="A13940" s="234"/>
      <c r="B13940" s="233"/>
      <c r="C13940" s="238"/>
      <c r="E13940" s="545"/>
      <c r="F13940" s="546"/>
      <c r="G13940" s="234"/>
      <c r="H13940" s="238"/>
      <c r="I13940" s="237"/>
    </row>
    <row r="13941" spans="1:9" s="232" customFormat="1" ht="17" customHeight="1">
      <c r="A13941" s="234"/>
      <c r="B13941" s="233"/>
      <c r="C13941" s="238"/>
      <c r="E13941" s="545"/>
      <c r="F13941" s="546"/>
      <c r="G13941" s="234"/>
      <c r="H13941" s="238"/>
      <c r="I13941" s="237"/>
    </row>
    <row r="13942" spans="1:9" s="232" customFormat="1" ht="17" customHeight="1">
      <c r="A13942" s="234"/>
      <c r="B13942" s="233"/>
      <c r="C13942" s="238"/>
      <c r="E13942" s="545"/>
      <c r="F13942" s="546"/>
      <c r="G13942" s="234"/>
      <c r="H13942" s="238"/>
      <c r="I13942" s="237"/>
    </row>
    <row r="13943" spans="1:9" s="232" customFormat="1" ht="17" customHeight="1">
      <c r="A13943" s="234"/>
      <c r="B13943" s="233"/>
      <c r="C13943" s="238"/>
      <c r="E13943" s="545"/>
      <c r="F13943" s="546"/>
      <c r="G13943" s="234"/>
      <c r="H13943" s="238"/>
      <c r="I13943" s="237"/>
    </row>
    <row r="13944" spans="1:9" s="232" customFormat="1" ht="17" customHeight="1">
      <c r="A13944" s="234"/>
      <c r="B13944" s="233"/>
      <c r="C13944" s="238"/>
      <c r="E13944" s="545"/>
      <c r="F13944" s="546"/>
      <c r="G13944" s="234"/>
      <c r="H13944" s="238"/>
      <c r="I13944" s="237"/>
    </row>
    <row r="13945" spans="1:9" s="232" customFormat="1" ht="17" customHeight="1">
      <c r="A13945" s="234"/>
      <c r="B13945" s="233"/>
      <c r="C13945" s="238"/>
      <c r="E13945" s="545"/>
      <c r="F13945" s="546"/>
      <c r="G13945" s="234"/>
      <c r="H13945" s="238"/>
      <c r="I13945" s="237"/>
    </row>
    <row r="13946" spans="1:9" s="232" customFormat="1" ht="17" customHeight="1">
      <c r="A13946" s="234"/>
      <c r="B13946" s="233"/>
      <c r="C13946" s="238"/>
      <c r="E13946" s="545"/>
      <c r="F13946" s="546"/>
      <c r="G13946" s="234"/>
      <c r="H13946" s="238"/>
      <c r="I13946" s="237"/>
    </row>
    <row r="13947" spans="1:9" s="232" customFormat="1" ht="17" customHeight="1">
      <c r="A13947" s="234"/>
      <c r="B13947" s="233"/>
      <c r="C13947" s="238"/>
      <c r="E13947" s="545"/>
      <c r="F13947" s="546"/>
      <c r="G13947" s="234"/>
      <c r="H13947" s="238"/>
      <c r="I13947" s="237"/>
    </row>
    <row r="13948" spans="1:9" s="232" customFormat="1" ht="17" customHeight="1">
      <c r="A13948" s="234"/>
      <c r="B13948" s="233"/>
      <c r="C13948" s="238"/>
      <c r="E13948" s="545"/>
      <c r="F13948" s="546"/>
      <c r="G13948" s="234"/>
      <c r="H13948" s="238"/>
      <c r="I13948" s="237"/>
    </row>
    <row r="13949" spans="1:9" s="232" customFormat="1" ht="17" customHeight="1">
      <c r="A13949" s="234"/>
      <c r="B13949" s="233"/>
      <c r="C13949" s="238"/>
      <c r="E13949" s="545"/>
      <c r="F13949" s="546"/>
      <c r="G13949" s="234"/>
      <c r="H13949" s="238"/>
      <c r="I13949" s="237"/>
    </row>
    <row r="13950" spans="1:9" s="232" customFormat="1" ht="17" customHeight="1">
      <c r="A13950" s="234"/>
      <c r="B13950" s="233"/>
      <c r="C13950" s="238"/>
      <c r="E13950" s="545"/>
      <c r="F13950" s="546"/>
      <c r="G13950" s="234"/>
      <c r="H13950" s="238"/>
      <c r="I13950" s="237"/>
    </row>
    <row r="13951" spans="1:9" s="232" customFormat="1" ht="17" customHeight="1">
      <c r="A13951" s="234"/>
      <c r="B13951" s="233"/>
      <c r="C13951" s="238"/>
      <c r="E13951" s="545"/>
      <c r="F13951" s="546"/>
      <c r="G13951" s="234"/>
      <c r="H13951" s="238"/>
      <c r="I13951" s="237"/>
    </row>
    <row r="13952" spans="1:9" s="232" customFormat="1" ht="17" customHeight="1">
      <c r="A13952" s="234"/>
      <c r="B13952" s="233"/>
      <c r="C13952" s="238"/>
      <c r="E13952" s="545"/>
      <c r="F13952" s="546"/>
      <c r="G13952" s="234"/>
      <c r="H13952" s="238"/>
      <c r="I13952" s="237"/>
    </row>
    <row r="13953" spans="1:9" s="232" customFormat="1" ht="17" customHeight="1">
      <c r="A13953" s="234"/>
      <c r="B13953" s="233"/>
      <c r="C13953" s="238"/>
      <c r="E13953" s="545"/>
      <c r="F13953" s="546"/>
      <c r="G13953" s="234"/>
      <c r="H13953" s="238"/>
      <c r="I13953" s="237"/>
    </row>
    <row r="13954" spans="1:9" s="232" customFormat="1" ht="17" customHeight="1">
      <c r="A13954" s="234"/>
      <c r="B13954" s="233"/>
      <c r="C13954" s="238"/>
      <c r="E13954" s="545"/>
      <c r="F13954" s="546"/>
      <c r="G13954" s="234"/>
      <c r="H13954" s="238"/>
      <c r="I13954" s="237"/>
    </row>
    <row r="13955" spans="1:9" s="232" customFormat="1" ht="17" customHeight="1">
      <c r="A13955" s="234"/>
      <c r="B13955" s="233"/>
      <c r="C13955" s="238"/>
      <c r="E13955" s="545"/>
      <c r="F13955" s="546"/>
      <c r="G13955" s="234"/>
      <c r="H13955" s="238"/>
      <c r="I13955" s="237"/>
    </row>
    <row r="13956" spans="1:9" s="232" customFormat="1" ht="17" customHeight="1">
      <c r="A13956" s="234"/>
      <c r="B13956" s="233"/>
      <c r="C13956" s="238"/>
      <c r="E13956" s="545"/>
      <c r="F13956" s="546"/>
      <c r="G13956" s="234"/>
      <c r="H13956" s="238"/>
      <c r="I13956" s="237"/>
    </row>
    <row r="13957" spans="1:9" s="232" customFormat="1" ht="17" customHeight="1">
      <c r="A13957" s="234"/>
      <c r="B13957" s="233"/>
      <c r="C13957" s="238"/>
      <c r="E13957" s="545"/>
      <c r="F13957" s="546"/>
      <c r="G13957" s="234"/>
      <c r="H13957" s="238"/>
      <c r="I13957" s="237"/>
    </row>
    <row r="13958" spans="1:9" s="232" customFormat="1" ht="17" customHeight="1">
      <c r="A13958" s="234"/>
      <c r="B13958" s="233"/>
      <c r="C13958" s="238"/>
      <c r="E13958" s="545"/>
      <c r="F13958" s="546"/>
      <c r="G13958" s="234"/>
      <c r="H13958" s="238"/>
      <c r="I13958" s="237"/>
    </row>
    <row r="13959" spans="1:9" s="232" customFormat="1" ht="17" customHeight="1">
      <c r="A13959" s="234"/>
      <c r="B13959" s="233"/>
      <c r="C13959" s="238"/>
      <c r="E13959" s="545"/>
      <c r="F13959" s="546"/>
      <c r="G13959" s="234"/>
      <c r="H13959" s="238"/>
      <c r="I13959" s="237"/>
    </row>
    <row r="13960" spans="1:9" s="232" customFormat="1" ht="17" customHeight="1">
      <c r="A13960" s="234"/>
      <c r="B13960" s="233"/>
      <c r="C13960" s="238"/>
      <c r="E13960" s="545"/>
      <c r="F13960" s="546"/>
      <c r="G13960" s="234"/>
      <c r="H13960" s="238"/>
      <c r="I13960" s="237"/>
    </row>
    <row r="13961" spans="1:9" s="232" customFormat="1" ht="17" customHeight="1">
      <c r="A13961" s="234"/>
      <c r="B13961" s="233"/>
      <c r="C13961" s="238"/>
      <c r="E13961" s="545"/>
      <c r="F13961" s="546"/>
      <c r="G13961" s="234"/>
      <c r="H13961" s="238"/>
      <c r="I13961" s="237"/>
    </row>
    <row r="13962" spans="1:9" s="232" customFormat="1" ht="17" customHeight="1">
      <c r="A13962" s="234"/>
      <c r="B13962" s="233"/>
      <c r="C13962" s="238"/>
      <c r="E13962" s="545"/>
      <c r="F13962" s="546"/>
      <c r="G13962" s="234"/>
      <c r="H13962" s="238"/>
      <c r="I13962" s="237"/>
    </row>
    <row r="13963" spans="1:9" s="232" customFormat="1" ht="17" customHeight="1">
      <c r="A13963" s="234"/>
      <c r="B13963" s="233"/>
      <c r="C13963" s="238"/>
      <c r="E13963" s="545"/>
      <c r="F13963" s="546"/>
      <c r="G13963" s="234"/>
      <c r="H13963" s="238"/>
      <c r="I13963" s="237"/>
    </row>
    <row r="13964" spans="1:9" s="232" customFormat="1" ht="17" customHeight="1">
      <c r="A13964" s="234"/>
      <c r="B13964" s="233"/>
      <c r="C13964" s="238"/>
      <c r="E13964" s="545"/>
      <c r="F13964" s="546"/>
      <c r="G13964" s="234"/>
      <c r="H13964" s="238"/>
      <c r="I13964" s="237"/>
    </row>
    <row r="13965" spans="1:9" s="232" customFormat="1" ht="17" customHeight="1">
      <c r="A13965" s="234"/>
      <c r="B13965" s="233"/>
      <c r="C13965" s="238"/>
      <c r="E13965" s="545"/>
      <c r="F13965" s="546"/>
      <c r="G13965" s="234"/>
      <c r="H13965" s="238"/>
      <c r="I13965" s="237"/>
    </row>
    <row r="13966" spans="1:9" s="232" customFormat="1" ht="17" customHeight="1">
      <c r="A13966" s="234"/>
      <c r="B13966" s="233"/>
      <c r="C13966" s="238"/>
      <c r="E13966" s="545"/>
      <c r="F13966" s="546"/>
      <c r="G13966" s="234"/>
      <c r="H13966" s="238"/>
      <c r="I13966" s="237"/>
    </row>
    <row r="13967" spans="1:9" s="232" customFormat="1" ht="17" customHeight="1">
      <c r="A13967" s="234"/>
      <c r="B13967" s="233"/>
      <c r="C13967" s="238"/>
      <c r="E13967" s="545"/>
      <c r="F13967" s="546"/>
      <c r="G13967" s="234"/>
      <c r="H13967" s="238"/>
      <c r="I13967" s="237"/>
    </row>
    <row r="13968" spans="1:9" s="232" customFormat="1" ht="17" customHeight="1">
      <c r="A13968" s="234"/>
      <c r="B13968" s="233"/>
      <c r="C13968" s="238"/>
      <c r="E13968" s="545"/>
      <c r="F13968" s="546"/>
      <c r="G13968" s="234"/>
      <c r="H13968" s="238"/>
      <c r="I13968" s="237"/>
    </row>
    <row r="13969" spans="1:9" s="232" customFormat="1" ht="17" customHeight="1">
      <c r="A13969" s="234"/>
      <c r="B13969" s="233"/>
      <c r="C13969" s="238"/>
      <c r="E13969" s="545"/>
      <c r="F13969" s="546"/>
      <c r="G13969" s="234"/>
      <c r="H13969" s="238"/>
      <c r="I13969" s="237"/>
    </row>
    <row r="13970" spans="1:9" s="232" customFormat="1" ht="17" customHeight="1">
      <c r="A13970" s="234"/>
      <c r="B13970" s="233"/>
      <c r="C13970" s="238"/>
      <c r="E13970" s="545"/>
      <c r="F13970" s="546"/>
      <c r="G13970" s="234"/>
      <c r="H13970" s="238"/>
      <c r="I13970" s="237"/>
    </row>
    <row r="13971" spans="1:9" s="232" customFormat="1" ht="17" customHeight="1">
      <c r="A13971" s="234"/>
      <c r="B13971" s="233"/>
      <c r="C13971" s="238"/>
      <c r="E13971" s="545"/>
      <c r="F13971" s="546"/>
      <c r="G13971" s="234"/>
      <c r="H13971" s="238"/>
      <c r="I13971" s="237"/>
    </row>
    <row r="13972" spans="1:9" s="232" customFormat="1" ht="17" customHeight="1">
      <c r="A13972" s="234"/>
      <c r="B13972" s="233"/>
      <c r="C13972" s="238"/>
      <c r="E13972" s="545"/>
      <c r="F13972" s="546"/>
      <c r="G13972" s="234"/>
      <c r="H13972" s="238"/>
      <c r="I13972" s="237"/>
    </row>
    <row r="13973" spans="1:9" s="232" customFormat="1" ht="17" customHeight="1">
      <c r="A13973" s="234"/>
      <c r="B13973" s="233"/>
      <c r="C13973" s="238"/>
      <c r="E13973" s="545"/>
      <c r="F13973" s="546"/>
      <c r="G13973" s="234"/>
      <c r="H13973" s="238"/>
      <c r="I13973" s="237"/>
    </row>
    <row r="13974" spans="1:9" s="232" customFormat="1" ht="17" customHeight="1">
      <c r="A13974" s="234"/>
      <c r="B13974" s="233"/>
      <c r="C13974" s="238"/>
      <c r="E13974" s="545"/>
      <c r="F13974" s="546"/>
      <c r="G13974" s="234"/>
      <c r="H13974" s="238"/>
      <c r="I13974" s="237"/>
    </row>
    <row r="13975" spans="1:9" s="232" customFormat="1" ht="17" customHeight="1">
      <c r="A13975" s="234"/>
      <c r="B13975" s="233"/>
      <c r="C13975" s="238"/>
      <c r="E13975" s="545"/>
      <c r="F13975" s="546"/>
      <c r="G13975" s="234"/>
      <c r="H13975" s="238"/>
      <c r="I13975" s="237"/>
    </row>
    <row r="13976" spans="1:9" s="232" customFormat="1" ht="17" customHeight="1">
      <c r="A13976" s="234"/>
      <c r="B13976" s="233"/>
      <c r="C13976" s="238"/>
      <c r="E13976" s="545"/>
      <c r="F13976" s="546"/>
      <c r="G13976" s="234"/>
      <c r="H13976" s="238"/>
      <c r="I13976" s="237"/>
    </row>
    <row r="13977" spans="1:9" s="232" customFormat="1" ht="17" customHeight="1">
      <c r="A13977" s="234"/>
      <c r="B13977" s="233"/>
      <c r="C13977" s="238"/>
      <c r="E13977" s="545"/>
      <c r="F13977" s="546"/>
      <c r="G13977" s="234"/>
      <c r="H13977" s="238"/>
      <c r="I13977" s="237"/>
    </row>
    <row r="13978" spans="1:9" s="232" customFormat="1" ht="17" customHeight="1">
      <c r="A13978" s="234"/>
      <c r="B13978" s="233"/>
      <c r="C13978" s="238"/>
      <c r="E13978" s="545"/>
      <c r="F13978" s="546"/>
      <c r="G13978" s="234"/>
      <c r="H13978" s="238"/>
      <c r="I13978" s="237"/>
    </row>
    <row r="13979" spans="1:9" s="232" customFormat="1" ht="17" customHeight="1">
      <c r="A13979" s="234"/>
      <c r="B13979" s="233"/>
      <c r="C13979" s="238"/>
      <c r="E13979" s="545"/>
      <c r="F13979" s="546"/>
      <c r="G13979" s="234"/>
      <c r="H13979" s="238"/>
      <c r="I13979" s="237"/>
    </row>
    <row r="13980" spans="1:9" s="232" customFormat="1" ht="17" customHeight="1">
      <c r="A13980" s="234"/>
      <c r="B13980" s="233"/>
      <c r="C13980" s="238"/>
      <c r="E13980" s="545"/>
      <c r="F13980" s="546"/>
      <c r="G13980" s="234"/>
      <c r="H13980" s="238"/>
      <c r="I13980" s="237"/>
    </row>
    <row r="13981" spans="1:9" s="232" customFormat="1" ht="17" customHeight="1">
      <c r="A13981" s="234"/>
      <c r="B13981" s="233"/>
      <c r="C13981" s="238"/>
      <c r="E13981" s="545"/>
      <c r="F13981" s="546"/>
      <c r="G13981" s="234"/>
      <c r="H13981" s="238"/>
      <c r="I13981" s="237"/>
    </row>
    <row r="13982" spans="1:9" s="232" customFormat="1" ht="17" customHeight="1">
      <c r="A13982" s="234"/>
      <c r="B13982" s="233"/>
      <c r="C13982" s="238"/>
      <c r="E13982" s="545"/>
      <c r="F13982" s="546"/>
      <c r="G13982" s="234"/>
      <c r="H13982" s="238"/>
      <c r="I13982" s="237"/>
    </row>
    <row r="13983" spans="1:9" s="232" customFormat="1" ht="17" customHeight="1">
      <c r="A13983" s="234"/>
      <c r="B13983" s="233"/>
      <c r="C13983" s="238"/>
      <c r="E13983" s="545"/>
      <c r="F13983" s="546"/>
      <c r="G13983" s="234"/>
      <c r="H13983" s="238"/>
      <c r="I13983" s="237"/>
    </row>
    <row r="13984" spans="1:9" s="232" customFormat="1" ht="17" customHeight="1">
      <c r="A13984" s="234"/>
      <c r="B13984" s="233"/>
      <c r="C13984" s="238"/>
      <c r="E13984" s="545"/>
      <c r="F13984" s="546"/>
      <c r="G13984" s="234"/>
      <c r="H13984" s="238"/>
      <c r="I13984" s="237"/>
    </row>
    <row r="13985" spans="1:9" s="232" customFormat="1" ht="17" customHeight="1">
      <c r="A13985" s="234"/>
      <c r="B13985" s="233"/>
      <c r="C13985" s="238"/>
      <c r="E13985" s="545"/>
      <c r="F13985" s="546"/>
      <c r="G13985" s="234"/>
      <c r="H13985" s="238"/>
      <c r="I13985" s="237"/>
    </row>
    <row r="13986" spans="1:9" s="232" customFormat="1" ht="17" customHeight="1">
      <c r="A13986" s="234"/>
      <c r="B13986" s="233"/>
      <c r="C13986" s="238"/>
      <c r="E13986" s="545"/>
      <c r="F13986" s="546"/>
      <c r="G13986" s="234"/>
      <c r="H13986" s="238"/>
      <c r="I13986" s="237"/>
    </row>
    <row r="13987" spans="1:9" s="232" customFormat="1" ht="17" customHeight="1">
      <c r="A13987" s="234"/>
      <c r="B13987" s="233"/>
      <c r="C13987" s="238"/>
      <c r="E13987" s="545"/>
      <c r="F13987" s="546"/>
      <c r="G13987" s="234"/>
      <c r="H13987" s="238"/>
      <c r="I13987" s="237"/>
    </row>
    <row r="13988" spans="1:9" s="232" customFormat="1" ht="17" customHeight="1">
      <c r="A13988" s="234"/>
      <c r="B13988" s="233"/>
      <c r="C13988" s="238"/>
      <c r="E13988" s="545"/>
      <c r="F13988" s="546"/>
      <c r="G13988" s="234"/>
      <c r="H13988" s="238"/>
      <c r="I13988" s="237"/>
    </row>
    <row r="13989" spans="1:9" s="232" customFormat="1" ht="17" customHeight="1">
      <c r="A13989" s="234"/>
      <c r="B13989" s="233"/>
      <c r="C13989" s="238"/>
      <c r="E13989" s="545"/>
      <c r="F13989" s="546"/>
      <c r="G13989" s="234"/>
      <c r="H13989" s="238"/>
      <c r="I13989" s="237"/>
    </row>
    <row r="13990" spans="1:9" s="232" customFormat="1" ht="17" customHeight="1">
      <c r="A13990" s="234"/>
      <c r="B13990" s="233"/>
      <c r="C13990" s="238"/>
      <c r="E13990" s="545"/>
      <c r="F13990" s="546"/>
      <c r="G13990" s="234"/>
      <c r="H13990" s="238"/>
      <c r="I13990" s="237"/>
    </row>
    <row r="13991" spans="1:9" s="232" customFormat="1" ht="17" customHeight="1">
      <c r="A13991" s="234"/>
      <c r="B13991" s="233"/>
      <c r="C13991" s="238"/>
      <c r="E13991" s="545"/>
      <c r="F13991" s="546"/>
      <c r="G13991" s="234"/>
      <c r="H13991" s="238"/>
      <c r="I13991" s="237"/>
    </row>
    <row r="13992" spans="1:9" s="232" customFormat="1" ht="17" customHeight="1">
      <c r="A13992" s="234"/>
      <c r="B13992" s="233"/>
      <c r="C13992" s="238"/>
      <c r="E13992" s="545"/>
      <c r="F13992" s="546"/>
      <c r="G13992" s="234"/>
      <c r="H13992" s="238"/>
      <c r="I13992" s="237"/>
    </row>
    <row r="13993" spans="1:9" s="232" customFormat="1" ht="17" customHeight="1">
      <c r="A13993" s="234"/>
      <c r="B13993" s="233"/>
      <c r="C13993" s="238"/>
      <c r="E13993" s="545"/>
      <c r="F13993" s="546"/>
      <c r="G13993" s="234"/>
      <c r="H13993" s="238"/>
      <c r="I13993" s="237"/>
    </row>
    <row r="13994" spans="1:9" s="232" customFormat="1" ht="17" customHeight="1">
      <c r="A13994" s="234"/>
      <c r="B13994" s="233"/>
      <c r="C13994" s="238"/>
      <c r="E13994" s="545"/>
      <c r="F13994" s="546"/>
      <c r="G13994" s="234"/>
      <c r="H13994" s="238"/>
      <c r="I13994" s="237"/>
    </row>
    <row r="13995" spans="1:9" s="232" customFormat="1" ht="17" customHeight="1">
      <c r="A13995" s="234"/>
      <c r="B13995" s="233"/>
      <c r="C13995" s="238"/>
      <c r="E13995" s="545"/>
      <c r="F13995" s="546"/>
      <c r="G13995" s="234"/>
      <c r="H13995" s="238"/>
      <c r="I13995" s="237"/>
    </row>
    <row r="13996" spans="1:9" s="232" customFormat="1" ht="17" customHeight="1">
      <c r="A13996" s="234"/>
      <c r="B13996" s="233"/>
      <c r="C13996" s="238"/>
      <c r="E13996" s="545"/>
      <c r="F13996" s="546"/>
      <c r="G13996" s="234"/>
      <c r="H13996" s="238"/>
      <c r="I13996" s="237"/>
    </row>
    <row r="13997" spans="1:9" s="232" customFormat="1" ht="17" customHeight="1">
      <c r="A13997" s="234"/>
      <c r="B13997" s="233"/>
      <c r="C13997" s="238"/>
      <c r="E13997" s="545"/>
      <c r="F13997" s="546"/>
      <c r="G13997" s="234"/>
      <c r="H13997" s="238"/>
      <c r="I13997" s="237"/>
    </row>
    <row r="13998" spans="1:9" s="232" customFormat="1" ht="17" customHeight="1">
      <c r="A13998" s="234"/>
      <c r="B13998" s="233"/>
      <c r="C13998" s="238"/>
      <c r="E13998" s="545"/>
      <c r="F13998" s="546"/>
      <c r="G13998" s="234"/>
      <c r="H13998" s="238"/>
      <c r="I13998" s="237"/>
    </row>
    <row r="13999" spans="1:9" s="232" customFormat="1" ht="17" customHeight="1">
      <c r="A13999" s="234"/>
      <c r="B13999" s="233"/>
      <c r="C13999" s="238"/>
      <c r="E13999" s="545"/>
      <c r="F13999" s="546"/>
      <c r="G13999" s="234"/>
      <c r="H13999" s="238"/>
      <c r="I13999" s="237"/>
    </row>
    <row r="14000" spans="1:9" s="232" customFormat="1" ht="17" customHeight="1">
      <c r="A14000" s="234"/>
      <c r="B14000" s="233"/>
      <c r="C14000" s="238"/>
      <c r="E14000" s="545"/>
      <c r="F14000" s="546"/>
      <c r="G14000" s="234"/>
      <c r="H14000" s="238"/>
      <c r="I14000" s="237"/>
    </row>
    <row r="14001" spans="1:9" s="232" customFormat="1" ht="17" customHeight="1">
      <c r="A14001" s="234"/>
      <c r="B14001" s="233"/>
      <c r="C14001" s="238"/>
      <c r="E14001" s="545"/>
      <c r="F14001" s="546"/>
      <c r="G14001" s="234"/>
      <c r="H14001" s="238"/>
      <c r="I14001" s="237"/>
    </row>
    <row r="14002" spans="1:9" s="232" customFormat="1" ht="17" customHeight="1">
      <c r="A14002" s="234"/>
      <c r="B14002" s="233"/>
      <c r="C14002" s="238"/>
      <c r="E14002" s="545"/>
      <c r="F14002" s="546"/>
      <c r="G14002" s="234"/>
      <c r="H14002" s="238"/>
      <c r="I14002" s="237"/>
    </row>
    <row r="14003" spans="1:9" s="232" customFormat="1" ht="17" customHeight="1">
      <c r="A14003" s="234"/>
      <c r="B14003" s="233"/>
      <c r="C14003" s="238"/>
      <c r="E14003" s="545"/>
      <c r="F14003" s="546"/>
      <c r="G14003" s="234"/>
      <c r="H14003" s="238"/>
      <c r="I14003" s="237"/>
    </row>
    <row r="14004" spans="1:9" s="232" customFormat="1" ht="17" customHeight="1">
      <c r="A14004" s="234"/>
      <c r="B14004" s="233"/>
      <c r="C14004" s="238"/>
      <c r="E14004" s="545"/>
      <c r="F14004" s="546"/>
      <c r="G14004" s="234"/>
      <c r="H14004" s="238"/>
      <c r="I14004" s="237"/>
    </row>
    <row r="14005" spans="1:9" s="232" customFormat="1" ht="17" customHeight="1">
      <c r="A14005" s="234"/>
      <c r="B14005" s="233"/>
      <c r="C14005" s="238"/>
      <c r="E14005" s="545"/>
      <c r="F14005" s="546"/>
      <c r="G14005" s="234"/>
      <c r="H14005" s="238"/>
      <c r="I14005" s="237"/>
    </row>
    <row r="14006" spans="1:9" s="232" customFormat="1" ht="17" customHeight="1">
      <c r="A14006" s="234"/>
      <c r="B14006" s="233"/>
      <c r="C14006" s="238"/>
      <c r="E14006" s="545"/>
      <c r="F14006" s="546"/>
      <c r="G14006" s="234"/>
      <c r="H14006" s="238"/>
      <c r="I14006" s="237"/>
    </row>
    <row r="14007" spans="1:9" s="232" customFormat="1" ht="17" customHeight="1">
      <c r="A14007" s="234"/>
      <c r="B14007" s="233"/>
      <c r="C14007" s="238"/>
      <c r="E14007" s="545"/>
      <c r="F14007" s="546"/>
      <c r="G14007" s="234"/>
      <c r="H14007" s="238"/>
      <c r="I14007" s="237"/>
    </row>
    <row r="14008" spans="1:9" s="232" customFormat="1" ht="17" customHeight="1">
      <c r="A14008" s="234"/>
      <c r="B14008" s="233"/>
      <c r="C14008" s="238"/>
      <c r="E14008" s="545"/>
      <c r="F14008" s="546"/>
      <c r="G14008" s="234"/>
      <c r="H14008" s="238"/>
      <c r="I14008" s="237"/>
    </row>
    <row r="14009" spans="1:9" s="232" customFormat="1" ht="17" customHeight="1">
      <c r="A14009" s="234"/>
      <c r="B14009" s="233"/>
      <c r="C14009" s="238"/>
      <c r="E14009" s="545"/>
      <c r="F14009" s="546"/>
      <c r="G14009" s="234"/>
      <c r="H14009" s="238"/>
      <c r="I14009" s="237"/>
    </row>
    <row r="14010" spans="1:9" s="232" customFormat="1" ht="17" customHeight="1">
      <c r="A14010" s="234"/>
      <c r="B14010" s="233"/>
      <c r="C14010" s="238"/>
      <c r="E14010" s="545"/>
      <c r="F14010" s="546"/>
      <c r="G14010" s="234"/>
      <c r="H14010" s="238"/>
      <c r="I14010" s="237"/>
    </row>
    <row r="14011" spans="1:9" s="232" customFormat="1" ht="17" customHeight="1">
      <c r="A14011" s="234"/>
      <c r="B14011" s="233"/>
      <c r="C14011" s="238"/>
      <c r="E14011" s="545"/>
      <c r="F14011" s="546"/>
      <c r="G14011" s="234"/>
      <c r="H14011" s="238"/>
      <c r="I14011" s="237"/>
    </row>
    <row r="14012" spans="1:9" s="232" customFormat="1" ht="17" customHeight="1">
      <c r="A14012" s="234"/>
      <c r="B14012" s="233"/>
      <c r="C14012" s="238"/>
      <c r="E14012" s="545"/>
      <c r="F14012" s="546"/>
      <c r="G14012" s="234"/>
      <c r="H14012" s="238"/>
      <c r="I14012" s="237"/>
    </row>
    <row r="14013" spans="1:9" s="232" customFormat="1" ht="17" customHeight="1">
      <c r="A14013" s="234"/>
      <c r="B14013" s="233"/>
      <c r="C14013" s="238"/>
      <c r="E14013" s="545"/>
      <c r="F14013" s="546"/>
      <c r="G14013" s="234"/>
      <c r="H14013" s="238"/>
      <c r="I14013" s="237"/>
    </row>
    <row r="14014" spans="1:9" s="232" customFormat="1" ht="17" customHeight="1">
      <c r="A14014" s="234"/>
      <c r="B14014" s="233"/>
      <c r="C14014" s="238"/>
      <c r="E14014" s="545"/>
      <c r="F14014" s="546"/>
      <c r="G14014" s="234"/>
      <c r="H14014" s="238"/>
      <c r="I14014" s="237"/>
    </row>
    <row r="14015" spans="1:9" s="232" customFormat="1" ht="17" customHeight="1">
      <c r="A14015" s="234"/>
      <c r="B14015" s="233"/>
      <c r="C14015" s="238"/>
      <c r="E14015" s="545"/>
      <c r="F14015" s="546"/>
      <c r="G14015" s="234"/>
      <c r="H14015" s="238"/>
      <c r="I14015" s="237"/>
    </row>
    <row r="14016" spans="1:9" s="232" customFormat="1" ht="17" customHeight="1">
      <c r="A14016" s="234"/>
      <c r="B14016" s="233"/>
      <c r="C14016" s="238"/>
      <c r="E14016" s="545"/>
      <c r="F14016" s="546"/>
      <c r="G14016" s="234"/>
      <c r="H14016" s="238"/>
      <c r="I14016" s="237"/>
    </row>
    <row r="14017" spans="1:9" s="232" customFormat="1" ht="17" customHeight="1">
      <c r="A14017" s="234"/>
      <c r="B14017" s="233"/>
      <c r="C14017" s="238"/>
      <c r="E14017" s="545"/>
      <c r="F14017" s="546"/>
      <c r="G14017" s="234"/>
      <c r="H14017" s="238"/>
      <c r="I14017" s="237"/>
    </row>
    <row r="14018" spans="1:9" s="232" customFormat="1" ht="17" customHeight="1">
      <c r="A14018" s="234"/>
      <c r="B14018" s="233"/>
      <c r="C14018" s="238"/>
      <c r="E14018" s="545"/>
      <c r="F14018" s="546"/>
      <c r="G14018" s="234"/>
      <c r="H14018" s="238"/>
      <c r="I14018" s="237"/>
    </row>
    <row r="14019" spans="1:9" s="232" customFormat="1" ht="17" customHeight="1">
      <c r="A14019" s="234"/>
      <c r="B14019" s="233"/>
      <c r="C14019" s="238"/>
      <c r="E14019" s="545"/>
      <c r="F14019" s="546"/>
      <c r="G14019" s="234"/>
      <c r="H14019" s="238"/>
      <c r="I14019" s="237"/>
    </row>
    <row r="14020" spans="1:9" s="232" customFormat="1" ht="17" customHeight="1">
      <c r="A14020" s="234"/>
      <c r="B14020" s="233"/>
      <c r="C14020" s="238"/>
      <c r="E14020" s="545"/>
      <c r="F14020" s="546"/>
      <c r="G14020" s="234"/>
      <c r="H14020" s="238"/>
      <c r="I14020" s="237"/>
    </row>
    <row r="14021" spans="1:9" s="232" customFormat="1" ht="17" customHeight="1">
      <c r="A14021" s="234"/>
      <c r="B14021" s="233"/>
      <c r="C14021" s="238"/>
      <c r="E14021" s="545"/>
      <c r="F14021" s="546"/>
      <c r="G14021" s="234"/>
      <c r="H14021" s="238"/>
      <c r="I14021" s="237"/>
    </row>
    <row r="14022" spans="1:9" s="232" customFormat="1" ht="17" customHeight="1">
      <c r="A14022" s="234"/>
      <c r="B14022" s="233"/>
      <c r="C14022" s="238"/>
      <c r="E14022" s="545"/>
      <c r="F14022" s="546"/>
      <c r="G14022" s="234"/>
      <c r="H14022" s="238"/>
      <c r="I14022" s="237"/>
    </row>
    <row r="14023" spans="1:9" s="232" customFormat="1" ht="17" customHeight="1">
      <c r="A14023" s="234"/>
      <c r="B14023" s="233"/>
      <c r="C14023" s="238"/>
      <c r="E14023" s="545"/>
      <c r="F14023" s="546"/>
      <c r="G14023" s="234"/>
      <c r="H14023" s="238"/>
      <c r="I14023" s="237"/>
    </row>
    <row r="14024" spans="1:9" s="232" customFormat="1" ht="17" customHeight="1">
      <c r="A14024" s="234"/>
      <c r="B14024" s="233"/>
      <c r="C14024" s="238"/>
      <c r="E14024" s="545"/>
      <c r="F14024" s="546"/>
      <c r="G14024" s="234"/>
      <c r="H14024" s="238"/>
      <c r="I14024" s="237"/>
    </row>
    <row r="14025" spans="1:9" s="232" customFormat="1" ht="17" customHeight="1">
      <c r="A14025" s="234"/>
      <c r="B14025" s="233"/>
      <c r="C14025" s="238"/>
      <c r="E14025" s="545"/>
      <c r="F14025" s="546"/>
      <c r="G14025" s="234"/>
      <c r="H14025" s="238"/>
      <c r="I14025" s="237"/>
    </row>
    <row r="14026" spans="1:9" s="232" customFormat="1" ht="17" customHeight="1">
      <c r="A14026" s="234"/>
      <c r="B14026" s="233"/>
      <c r="C14026" s="238"/>
      <c r="E14026" s="545"/>
      <c r="F14026" s="546"/>
      <c r="G14026" s="234"/>
      <c r="H14026" s="238"/>
      <c r="I14026" s="237"/>
    </row>
    <row r="14027" spans="1:9" s="232" customFormat="1" ht="17" customHeight="1">
      <c r="A14027" s="234"/>
      <c r="B14027" s="233"/>
      <c r="C14027" s="238"/>
      <c r="E14027" s="545"/>
      <c r="F14027" s="546"/>
      <c r="G14027" s="234"/>
      <c r="H14027" s="238"/>
      <c r="I14027" s="237"/>
    </row>
    <row r="14028" spans="1:9" s="232" customFormat="1" ht="17" customHeight="1">
      <c r="A14028" s="234"/>
      <c r="B14028" s="233"/>
      <c r="C14028" s="238"/>
      <c r="E14028" s="545"/>
      <c r="F14028" s="546"/>
      <c r="G14028" s="234"/>
      <c r="H14028" s="238"/>
      <c r="I14028" s="237"/>
    </row>
    <row r="14029" spans="1:9" s="232" customFormat="1" ht="17" customHeight="1">
      <c r="A14029" s="234"/>
      <c r="B14029" s="233"/>
      <c r="C14029" s="238"/>
      <c r="E14029" s="545"/>
      <c r="F14029" s="546"/>
      <c r="G14029" s="234"/>
      <c r="H14029" s="238"/>
      <c r="I14029" s="237"/>
    </row>
    <row r="14030" spans="1:9" s="232" customFormat="1" ht="17" customHeight="1">
      <c r="A14030" s="234"/>
      <c r="B14030" s="233"/>
      <c r="C14030" s="238"/>
      <c r="E14030" s="545"/>
      <c r="F14030" s="546"/>
      <c r="G14030" s="234"/>
      <c r="H14030" s="238"/>
      <c r="I14030" s="237"/>
    </row>
    <row r="14031" spans="1:9" s="232" customFormat="1" ht="17" customHeight="1">
      <c r="A14031" s="234"/>
      <c r="B14031" s="233"/>
      <c r="C14031" s="238"/>
      <c r="E14031" s="545"/>
      <c r="F14031" s="546"/>
      <c r="G14031" s="234"/>
      <c r="H14031" s="238"/>
      <c r="I14031" s="237"/>
    </row>
    <row r="14032" spans="1:9" s="232" customFormat="1" ht="17" customHeight="1">
      <c r="A14032" s="234"/>
      <c r="B14032" s="233"/>
      <c r="C14032" s="238"/>
      <c r="E14032" s="545"/>
      <c r="F14032" s="546"/>
      <c r="G14032" s="234"/>
      <c r="H14032" s="238"/>
      <c r="I14032" s="237"/>
    </row>
    <row r="14033" spans="1:9" s="232" customFormat="1" ht="17" customHeight="1">
      <c r="A14033" s="234"/>
      <c r="B14033" s="233"/>
      <c r="C14033" s="238"/>
      <c r="E14033" s="545"/>
      <c r="F14033" s="546"/>
      <c r="G14033" s="234"/>
      <c r="H14033" s="238"/>
      <c r="I14033" s="237"/>
    </row>
    <row r="14034" spans="1:9" s="232" customFormat="1" ht="17" customHeight="1">
      <c r="A14034" s="234"/>
      <c r="B14034" s="233"/>
      <c r="C14034" s="238"/>
      <c r="E14034" s="545"/>
      <c r="F14034" s="546"/>
      <c r="G14034" s="234"/>
      <c r="H14034" s="238"/>
      <c r="I14034" s="237"/>
    </row>
    <row r="14035" spans="1:9" s="232" customFormat="1" ht="17" customHeight="1">
      <c r="A14035" s="234"/>
      <c r="B14035" s="233"/>
      <c r="C14035" s="238"/>
      <c r="E14035" s="545"/>
      <c r="F14035" s="546"/>
      <c r="G14035" s="234"/>
      <c r="H14035" s="238"/>
      <c r="I14035" s="237"/>
    </row>
    <row r="14036" spans="1:9" s="232" customFormat="1" ht="17" customHeight="1">
      <c r="A14036" s="234"/>
      <c r="B14036" s="233"/>
      <c r="C14036" s="238"/>
      <c r="E14036" s="545"/>
      <c r="F14036" s="546"/>
      <c r="G14036" s="234"/>
      <c r="H14036" s="238"/>
      <c r="I14036" s="237"/>
    </row>
    <row r="14037" spans="1:9" s="232" customFormat="1" ht="17" customHeight="1">
      <c r="A14037" s="234"/>
      <c r="B14037" s="233"/>
      <c r="C14037" s="238"/>
      <c r="E14037" s="545"/>
      <c r="F14037" s="546"/>
      <c r="G14037" s="234"/>
      <c r="H14037" s="238"/>
      <c r="I14037" s="237"/>
    </row>
    <row r="14038" spans="1:9" s="232" customFormat="1" ht="17" customHeight="1">
      <c r="A14038" s="234"/>
      <c r="B14038" s="233"/>
      <c r="C14038" s="238"/>
      <c r="E14038" s="545"/>
      <c r="F14038" s="546"/>
      <c r="G14038" s="234"/>
      <c r="H14038" s="238"/>
      <c r="I14038" s="237"/>
    </row>
    <row r="14039" spans="1:9" s="232" customFormat="1" ht="17" customHeight="1">
      <c r="A14039" s="234"/>
      <c r="B14039" s="233"/>
      <c r="C14039" s="238"/>
      <c r="E14039" s="545"/>
      <c r="F14039" s="546"/>
      <c r="G14039" s="234"/>
      <c r="H14039" s="238"/>
      <c r="I14039" s="237"/>
    </row>
    <row r="14040" spans="1:9" s="232" customFormat="1" ht="17" customHeight="1">
      <c r="A14040" s="234"/>
      <c r="B14040" s="233"/>
      <c r="C14040" s="238"/>
      <c r="E14040" s="545"/>
      <c r="F14040" s="546"/>
      <c r="G14040" s="234"/>
      <c r="H14040" s="238"/>
      <c r="I14040" s="237"/>
    </row>
    <row r="14041" spans="1:9" s="232" customFormat="1" ht="17" customHeight="1">
      <c r="A14041" s="234"/>
      <c r="B14041" s="233"/>
      <c r="C14041" s="238"/>
      <c r="E14041" s="545"/>
      <c r="F14041" s="546"/>
      <c r="G14041" s="234"/>
      <c r="H14041" s="238"/>
      <c r="I14041" s="237"/>
    </row>
    <row r="14042" spans="1:9" s="232" customFormat="1" ht="17" customHeight="1">
      <c r="A14042" s="234"/>
      <c r="B14042" s="233"/>
      <c r="C14042" s="238"/>
      <c r="E14042" s="545"/>
      <c r="F14042" s="546"/>
      <c r="G14042" s="234"/>
      <c r="H14042" s="238"/>
      <c r="I14042" s="237"/>
    </row>
    <row r="14043" spans="1:9" s="232" customFormat="1" ht="17" customHeight="1">
      <c r="A14043" s="234"/>
      <c r="B14043" s="233"/>
      <c r="C14043" s="238"/>
      <c r="E14043" s="545"/>
      <c r="F14043" s="546"/>
      <c r="G14043" s="234"/>
      <c r="H14043" s="238"/>
      <c r="I14043" s="237"/>
    </row>
    <row r="14044" spans="1:9" s="232" customFormat="1" ht="17" customHeight="1">
      <c r="A14044" s="234"/>
      <c r="B14044" s="233"/>
      <c r="C14044" s="238"/>
      <c r="E14044" s="545"/>
      <c r="F14044" s="546"/>
      <c r="G14044" s="234"/>
      <c r="H14044" s="238"/>
      <c r="I14044" s="237"/>
    </row>
    <row r="14045" spans="1:9" s="232" customFormat="1" ht="17" customHeight="1">
      <c r="A14045" s="234"/>
      <c r="B14045" s="233"/>
      <c r="C14045" s="238"/>
      <c r="E14045" s="545"/>
      <c r="F14045" s="546"/>
      <c r="G14045" s="234"/>
      <c r="H14045" s="238"/>
      <c r="I14045" s="237"/>
    </row>
    <row r="14046" spans="1:9" s="232" customFormat="1" ht="17" customHeight="1">
      <c r="A14046" s="234"/>
      <c r="B14046" s="233"/>
      <c r="C14046" s="238"/>
      <c r="E14046" s="545"/>
      <c r="F14046" s="546"/>
      <c r="G14046" s="234"/>
      <c r="H14046" s="238"/>
      <c r="I14046" s="237"/>
    </row>
    <row r="14047" spans="1:9" s="232" customFormat="1" ht="17" customHeight="1">
      <c r="A14047" s="234"/>
      <c r="B14047" s="233"/>
      <c r="C14047" s="238"/>
      <c r="E14047" s="545"/>
      <c r="F14047" s="546"/>
      <c r="G14047" s="234"/>
      <c r="H14047" s="238"/>
      <c r="I14047" s="237"/>
    </row>
    <row r="14048" spans="1:9" s="232" customFormat="1" ht="17" customHeight="1">
      <c r="A14048" s="234"/>
      <c r="B14048" s="233"/>
      <c r="C14048" s="238"/>
      <c r="E14048" s="545"/>
      <c r="F14048" s="546"/>
      <c r="G14048" s="234"/>
      <c r="H14048" s="238"/>
      <c r="I14048" s="237"/>
    </row>
    <row r="14049" spans="1:9" s="232" customFormat="1" ht="17" customHeight="1">
      <c r="A14049" s="234"/>
      <c r="B14049" s="233"/>
      <c r="C14049" s="238"/>
      <c r="E14049" s="545"/>
      <c r="F14049" s="546"/>
      <c r="G14049" s="234"/>
      <c r="H14049" s="238"/>
      <c r="I14049" s="237"/>
    </row>
    <row r="14050" spans="1:9" s="232" customFormat="1" ht="17" customHeight="1">
      <c r="A14050" s="234"/>
      <c r="B14050" s="233"/>
      <c r="C14050" s="238"/>
      <c r="E14050" s="545"/>
      <c r="F14050" s="546"/>
      <c r="G14050" s="234"/>
      <c r="H14050" s="238"/>
      <c r="I14050" s="237"/>
    </row>
    <row r="14051" spans="1:9" s="232" customFormat="1" ht="17" customHeight="1">
      <c r="A14051" s="234"/>
      <c r="B14051" s="233"/>
      <c r="C14051" s="238"/>
      <c r="E14051" s="545"/>
      <c r="F14051" s="546"/>
      <c r="G14051" s="234"/>
      <c r="H14051" s="238"/>
      <c r="I14051" s="237"/>
    </row>
    <row r="14052" spans="1:9" s="232" customFormat="1" ht="17" customHeight="1">
      <c r="A14052" s="234"/>
      <c r="B14052" s="233"/>
      <c r="C14052" s="238"/>
      <c r="E14052" s="545"/>
      <c r="F14052" s="546"/>
      <c r="G14052" s="234"/>
      <c r="H14052" s="238"/>
      <c r="I14052" s="237"/>
    </row>
    <row r="14053" spans="1:9" s="232" customFormat="1" ht="17" customHeight="1">
      <c r="A14053" s="234"/>
      <c r="B14053" s="233"/>
      <c r="C14053" s="238"/>
      <c r="E14053" s="545"/>
      <c r="F14053" s="546"/>
      <c r="G14053" s="234"/>
      <c r="H14053" s="238"/>
      <c r="I14053" s="237"/>
    </row>
    <row r="14054" spans="1:9" s="232" customFormat="1" ht="17" customHeight="1">
      <c r="A14054" s="234"/>
      <c r="B14054" s="233"/>
      <c r="C14054" s="238"/>
      <c r="E14054" s="545"/>
      <c r="F14054" s="546"/>
      <c r="G14054" s="234"/>
      <c r="H14054" s="238"/>
      <c r="I14054" s="237"/>
    </row>
    <row r="14055" spans="1:9" s="232" customFormat="1" ht="17" customHeight="1">
      <c r="A14055" s="234"/>
      <c r="B14055" s="233"/>
      <c r="C14055" s="238"/>
      <c r="E14055" s="545"/>
      <c r="F14055" s="546"/>
      <c r="G14055" s="234"/>
      <c r="H14055" s="238"/>
      <c r="I14055" s="237"/>
    </row>
    <row r="14056" spans="1:9" s="232" customFormat="1" ht="17" customHeight="1">
      <c r="A14056" s="234"/>
      <c r="B14056" s="233"/>
      <c r="C14056" s="238"/>
      <c r="E14056" s="545"/>
      <c r="F14056" s="546"/>
      <c r="G14056" s="234"/>
      <c r="H14056" s="238"/>
      <c r="I14056" s="237"/>
    </row>
    <row r="14057" spans="1:9" s="232" customFormat="1" ht="17" customHeight="1">
      <c r="A14057" s="234"/>
      <c r="B14057" s="233"/>
      <c r="C14057" s="238"/>
      <c r="E14057" s="545"/>
      <c r="F14057" s="546"/>
      <c r="G14057" s="234"/>
      <c r="H14057" s="238"/>
      <c r="I14057" s="237"/>
    </row>
    <row r="14058" spans="1:9" s="232" customFormat="1" ht="17" customHeight="1">
      <c r="A14058" s="234"/>
      <c r="B14058" s="233"/>
      <c r="C14058" s="238"/>
      <c r="E14058" s="545"/>
      <c r="F14058" s="546"/>
      <c r="G14058" s="234"/>
      <c r="H14058" s="238"/>
      <c r="I14058" s="237"/>
    </row>
    <row r="14059" spans="1:9" s="232" customFormat="1" ht="17" customHeight="1">
      <c r="A14059" s="234"/>
      <c r="B14059" s="233"/>
      <c r="C14059" s="238"/>
      <c r="E14059" s="545"/>
      <c r="F14059" s="546"/>
      <c r="G14059" s="234"/>
      <c r="H14059" s="238"/>
      <c r="I14059" s="237"/>
    </row>
    <row r="14060" spans="1:9" s="232" customFormat="1" ht="17" customHeight="1">
      <c r="A14060" s="234"/>
      <c r="B14060" s="233"/>
      <c r="C14060" s="238"/>
      <c r="E14060" s="545"/>
      <c r="F14060" s="546"/>
      <c r="G14060" s="234"/>
      <c r="H14060" s="238"/>
      <c r="I14060" s="237"/>
    </row>
    <row r="14061" spans="1:9" s="232" customFormat="1" ht="17" customHeight="1">
      <c r="A14061" s="234"/>
      <c r="B14061" s="233"/>
      <c r="C14061" s="238"/>
      <c r="E14061" s="545"/>
      <c r="F14061" s="546"/>
      <c r="G14061" s="234"/>
      <c r="H14061" s="238"/>
      <c r="I14061" s="237"/>
    </row>
    <row r="14062" spans="1:9" s="232" customFormat="1" ht="17" customHeight="1">
      <c r="A14062" s="234"/>
      <c r="B14062" s="233"/>
      <c r="C14062" s="238"/>
      <c r="E14062" s="545"/>
      <c r="F14062" s="546"/>
      <c r="G14062" s="234"/>
      <c r="H14062" s="238"/>
      <c r="I14062" s="237"/>
    </row>
    <row r="14063" spans="1:9" s="232" customFormat="1" ht="17" customHeight="1">
      <c r="A14063" s="234"/>
      <c r="B14063" s="233"/>
      <c r="C14063" s="238"/>
      <c r="E14063" s="545"/>
      <c r="F14063" s="546"/>
      <c r="G14063" s="234"/>
      <c r="H14063" s="238"/>
      <c r="I14063" s="237"/>
    </row>
    <row r="14064" spans="1:9" s="232" customFormat="1" ht="17" customHeight="1">
      <c r="A14064" s="234"/>
      <c r="B14064" s="233"/>
      <c r="C14064" s="238"/>
      <c r="E14064" s="545"/>
      <c r="F14064" s="546"/>
      <c r="G14064" s="234"/>
      <c r="H14064" s="238"/>
      <c r="I14064" s="237"/>
    </row>
    <row r="14065" spans="1:9" s="232" customFormat="1" ht="17" customHeight="1">
      <c r="A14065" s="234"/>
      <c r="B14065" s="233"/>
      <c r="C14065" s="238"/>
      <c r="E14065" s="545"/>
      <c r="F14065" s="546"/>
      <c r="G14065" s="234"/>
      <c r="H14065" s="238"/>
      <c r="I14065" s="237"/>
    </row>
    <row r="14066" spans="1:9" s="232" customFormat="1" ht="17" customHeight="1">
      <c r="A14066" s="234"/>
      <c r="B14066" s="233"/>
      <c r="C14066" s="238"/>
      <c r="E14066" s="545"/>
      <c r="F14066" s="546"/>
      <c r="G14066" s="234"/>
      <c r="H14066" s="238"/>
      <c r="I14066" s="237"/>
    </row>
    <row r="14067" spans="1:9" s="232" customFormat="1" ht="17" customHeight="1">
      <c r="A14067" s="234"/>
      <c r="B14067" s="233"/>
      <c r="C14067" s="238"/>
      <c r="E14067" s="545"/>
      <c r="F14067" s="546"/>
      <c r="G14067" s="234"/>
      <c r="H14067" s="238"/>
      <c r="I14067" s="237"/>
    </row>
    <row r="14068" spans="1:9" s="232" customFormat="1" ht="17" customHeight="1">
      <c r="A14068" s="234"/>
      <c r="B14068" s="233"/>
      <c r="C14068" s="238"/>
      <c r="E14068" s="545"/>
      <c r="F14068" s="546"/>
      <c r="G14068" s="234"/>
      <c r="H14068" s="238"/>
      <c r="I14068" s="237"/>
    </row>
    <row r="14069" spans="1:9" s="232" customFormat="1" ht="17" customHeight="1">
      <c r="A14069" s="234"/>
      <c r="B14069" s="233"/>
      <c r="C14069" s="238"/>
      <c r="E14069" s="545"/>
      <c r="F14069" s="546"/>
      <c r="G14069" s="234"/>
      <c r="H14069" s="238"/>
      <c r="I14069" s="237"/>
    </row>
    <row r="14070" spans="1:9" s="232" customFormat="1" ht="17" customHeight="1">
      <c r="A14070" s="234"/>
      <c r="B14070" s="233"/>
      <c r="C14070" s="238"/>
      <c r="E14070" s="545"/>
      <c r="F14070" s="546"/>
      <c r="G14070" s="234"/>
      <c r="H14070" s="238"/>
      <c r="I14070" s="237"/>
    </row>
    <row r="14071" spans="1:9" s="232" customFormat="1" ht="17" customHeight="1">
      <c r="A14071" s="234"/>
      <c r="B14071" s="233"/>
      <c r="C14071" s="238"/>
      <c r="E14071" s="545"/>
      <c r="F14071" s="546"/>
      <c r="G14071" s="234"/>
      <c r="H14071" s="238"/>
      <c r="I14071" s="237"/>
    </row>
    <row r="14072" spans="1:9" s="232" customFormat="1" ht="17" customHeight="1">
      <c r="A14072" s="234"/>
      <c r="B14072" s="233"/>
      <c r="C14072" s="238"/>
      <c r="E14072" s="545"/>
      <c r="F14072" s="546"/>
      <c r="G14072" s="234"/>
      <c r="H14072" s="238"/>
      <c r="I14072" s="237"/>
    </row>
    <row r="14073" spans="1:9" s="232" customFormat="1" ht="17" customHeight="1">
      <c r="A14073" s="234"/>
      <c r="B14073" s="233"/>
      <c r="C14073" s="238"/>
      <c r="E14073" s="545"/>
      <c r="F14073" s="546"/>
      <c r="G14073" s="234"/>
      <c r="H14073" s="238"/>
      <c r="I14073" s="237"/>
    </row>
    <row r="14074" spans="1:9" s="232" customFormat="1" ht="17" customHeight="1">
      <c r="A14074" s="234"/>
      <c r="B14074" s="233"/>
      <c r="C14074" s="238"/>
      <c r="E14074" s="545"/>
      <c r="F14074" s="546"/>
      <c r="G14074" s="234"/>
      <c r="H14074" s="238"/>
      <c r="I14074" s="237"/>
    </row>
    <row r="14075" spans="1:9" s="232" customFormat="1" ht="17" customHeight="1">
      <c r="A14075" s="234"/>
      <c r="B14075" s="233"/>
      <c r="C14075" s="238"/>
      <c r="E14075" s="545"/>
      <c r="F14075" s="546"/>
      <c r="G14075" s="234"/>
      <c r="H14075" s="238"/>
      <c r="I14075" s="237"/>
    </row>
    <row r="14076" spans="1:9" s="232" customFormat="1" ht="17" customHeight="1">
      <c r="A14076" s="234"/>
      <c r="B14076" s="233"/>
      <c r="C14076" s="238"/>
      <c r="E14076" s="545"/>
      <c r="F14076" s="546"/>
      <c r="G14076" s="234"/>
      <c r="H14076" s="238"/>
      <c r="I14076" s="237"/>
    </row>
    <row r="14077" spans="1:9" s="232" customFormat="1" ht="17" customHeight="1">
      <c r="A14077" s="234"/>
      <c r="B14077" s="233"/>
      <c r="C14077" s="238"/>
      <c r="E14077" s="545"/>
      <c r="F14077" s="546"/>
      <c r="G14077" s="234"/>
      <c r="H14077" s="238"/>
      <c r="I14077" s="237"/>
    </row>
    <row r="14078" spans="1:9" s="232" customFormat="1" ht="17" customHeight="1">
      <c r="A14078" s="234"/>
      <c r="B14078" s="233"/>
      <c r="C14078" s="238"/>
      <c r="E14078" s="545"/>
      <c r="F14078" s="546"/>
      <c r="G14078" s="234"/>
      <c r="H14078" s="238"/>
      <c r="I14078" s="237"/>
    </row>
    <row r="14079" spans="1:9" s="232" customFormat="1" ht="17" customHeight="1">
      <c r="A14079" s="234"/>
      <c r="B14079" s="233"/>
      <c r="C14079" s="238"/>
      <c r="E14079" s="545"/>
      <c r="F14079" s="546"/>
      <c r="G14079" s="234"/>
      <c r="H14079" s="238"/>
      <c r="I14079" s="237"/>
    </row>
    <row r="14080" spans="1:9" s="232" customFormat="1" ht="17" customHeight="1">
      <c r="A14080" s="234"/>
      <c r="B14080" s="233"/>
      <c r="C14080" s="238"/>
      <c r="E14080" s="545"/>
      <c r="F14080" s="546"/>
      <c r="G14080" s="234"/>
      <c r="H14080" s="238"/>
      <c r="I14080" s="237"/>
    </row>
    <row r="14081" spans="1:9" s="232" customFormat="1" ht="17" customHeight="1">
      <c r="A14081" s="234"/>
      <c r="B14081" s="233"/>
      <c r="C14081" s="238"/>
      <c r="E14081" s="545"/>
      <c r="F14081" s="546"/>
      <c r="G14081" s="234"/>
      <c r="H14081" s="238"/>
      <c r="I14081" s="237"/>
    </row>
    <row r="14082" spans="1:9" s="232" customFormat="1" ht="17" customHeight="1">
      <c r="A14082" s="234"/>
      <c r="B14082" s="233"/>
      <c r="C14082" s="238"/>
      <c r="E14082" s="545"/>
      <c r="F14082" s="546"/>
      <c r="G14082" s="234"/>
      <c r="H14082" s="238"/>
      <c r="I14082" s="237"/>
    </row>
    <row r="14083" spans="1:9" s="232" customFormat="1" ht="17" customHeight="1">
      <c r="A14083" s="234"/>
      <c r="B14083" s="233"/>
      <c r="C14083" s="238"/>
      <c r="E14083" s="545"/>
      <c r="F14083" s="546"/>
      <c r="G14083" s="234"/>
      <c r="H14083" s="238"/>
      <c r="I14083" s="237"/>
    </row>
    <row r="14084" spans="1:9" s="232" customFormat="1" ht="17" customHeight="1">
      <c r="A14084" s="234"/>
      <c r="B14084" s="233"/>
      <c r="C14084" s="238"/>
      <c r="E14084" s="545"/>
      <c r="F14084" s="546"/>
      <c r="G14084" s="234"/>
      <c r="H14084" s="238"/>
      <c r="I14084" s="237"/>
    </row>
    <row r="14085" spans="1:9" s="232" customFormat="1" ht="17" customHeight="1">
      <c r="A14085" s="234"/>
      <c r="B14085" s="233"/>
      <c r="C14085" s="238"/>
      <c r="E14085" s="545"/>
      <c r="F14085" s="546"/>
      <c r="G14085" s="234"/>
      <c r="H14085" s="238"/>
      <c r="I14085" s="237"/>
    </row>
    <row r="14086" spans="1:9" s="232" customFormat="1" ht="17" customHeight="1">
      <c r="A14086" s="234"/>
      <c r="B14086" s="233"/>
      <c r="C14086" s="238"/>
      <c r="E14086" s="545"/>
      <c r="F14086" s="546"/>
      <c r="G14086" s="234"/>
      <c r="H14086" s="238"/>
      <c r="I14086" s="237"/>
    </row>
    <row r="14087" spans="1:9" s="232" customFormat="1" ht="17" customHeight="1">
      <c r="A14087" s="234"/>
      <c r="B14087" s="233"/>
      <c r="C14087" s="238"/>
      <c r="E14087" s="545"/>
      <c r="F14087" s="546"/>
      <c r="G14087" s="234"/>
      <c r="H14087" s="238"/>
      <c r="I14087" s="237"/>
    </row>
    <row r="14088" spans="1:9" s="232" customFormat="1" ht="17" customHeight="1">
      <c r="A14088" s="234"/>
      <c r="B14088" s="233"/>
      <c r="C14088" s="238"/>
      <c r="E14088" s="545"/>
      <c r="F14088" s="546"/>
      <c r="G14088" s="234"/>
      <c r="H14088" s="238"/>
      <c r="I14088" s="237"/>
    </row>
    <row r="14089" spans="1:9" s="232" customFormat="1" ht="17" customHeight="1">
      <c r="A14089" s="234"/>
      <c r="B14089" s="233"/>
      <c r="C14089" s="238"/>
      <c r="E14089" s="545"/>
      <c r="F14089" s="546"/>
      <c r="G14089" s="234"/>
      <c r="H14089" s="238"/>
      <c r="I14089" s="237"/>
    </row>
    <row r="14090" spans="1:9" s="232" customFormat="1" ht="17" customHeight="1">
      <c r="A14090" s="234"/>
      <c r="B14090" s="233"/>
      <c r="C14090" s="238"/>
      <c r="E14090" s="545"/>
      <c r="F14090" s="546"/>
      <c r="G14090" s="234"/>
      <c r="H14090" s="238"/>
      <c r="I14090" s="237"/>
    </row>
    <row r="14091" spans="1:9" s="232" customFormat="1" ht="17" customHeight="1">
      <c r="A14091" s="234"/>
      <c r="B14091" s="233"/>
      <c r="C14091" s="238"/>
      <c r="E14091" s="545"/>
      <c r="F14091" s="546"/>
      <c r="G14091" s="234"/>
      <c r="H14091" s="238"/>
      <c r="I14091" s="237"/>
    </row>
    <row r="14092" spans="1:9" s="232" customFormat="1" ht="17" customHeight="1">
      <c r="A14092" s="234"/>
      <c r="B14092" s="233"/>
      <c r="C14092" s="238"/>
      <c r="E14092" s="545"/>
      <c r="F14092" s="546"/>
      <c r="G14092" s="234"/>
      <c r="H14092" s="238"/>
      <c r="I14092" s="237"/>
    </row>
    <row r="14093" spans="1:9" s="232" customFormat="1" ht="17" customHeight="1">
      <c r="A14093" s="234"/>
      <c r="B14093" s="233"/>
      <c r="C14093" s="238"/>
      <c r="E14093" s="545"/>
      <c r="F14093" s="546"/>
      <c r="G14093" s="234"/>
      <c r="H14093" s="238"/>
      <c r="I14093" s="237"/>
    </row>
    <row r="14094" spans="1:9" s="232" customFormat="1" ht="17" customHeight="1">
      <c r="A14094" s="234"/>
      <c r="B14094" s="233"/>
      <c r="C14094" s="238"/>
      <c r="E14094" s="545"/>
      <c r="F14094" s="546"/>
      <c r="G14094" s="234"/>
      <c r="H14094" s="238"/>
      <c r="I14094" s="237"/>
    </row>
    <row r="14095" spans="1:9" s="232" customFormat="1" ht="17" customHeight="1">
      <c r="A14095" s="234"/>
      <c r="B14095" s="233"/>
      <c r="C14095" s="238"/>
      <c r="E14095" s="545"/>
      <c r="F14095" s="546"/>
      <c r="G14095" s="234"/>
      <c r="H14095" s="238"/>
      <c r="I14095" s="237"/>
    </row>
    <row r="14096" spans="1:9" s="232" customFormat="1" ht="17" customHeight="1">
      <c r="A14096" s="234"/>
      <c r="B14096" s="233"/>
      <c r="C14096" s="238"/>
      <c r="E14096" s="545"/>
      <c r="F14096" s="546"/>
      <c r="G14096" s="234"/>
      <c r="H14096" s="238"/>
      <c r="I14096" s="237"/>
    </row>
    <row r="14097" spans="1:9" s="232" customFormat="1" ht="17" customHeight="1">
      <c r="A14097" s="234"/>
      <c r="B14097" s="233"/>
      <c r="C14097" s="238"/>
      <c r="E14097" s="545"/>
      <c r="F14097" s="546"/>
      <c r="G14097" s="234"/>
      <c r="H14097" s="238"/>
      <c r="I14097" s="237"/>
    </row>
    <row r="14098" spans="1:9" s="232" customFormat="1" ht="17" customHeight="1">
      <c r="A14098" s="234"/>
      <c r="B14098" s="233"/>
      <c r="C14098" s="238"/>
      <c r="E14098" s="545"/>
      <c r="F14098" s="546"/>
      <c r="G14098" s="234"/>
      <c r="H14098" s="238"/>
      <c r="I14098" s="237"/>
    </row>
    <row r="14099" spans="1:9" s="232" customFormat="1" ht="17" customHeight="1">
      <c r="A14099" s="234"/>
      <c r="B14099" s="233"/>
      <c r="C14099" s="238"/>
      <c r="E14099" s="545"/>
      <c r="F14099" s="546"/>
      <c r="G14099" s="234"/>
      <c r="H14099" s="238"/>
      <c r="I14099" s="237"/>
    </row>
    <row r="14100" spans="1:9" s="232" customFormat="1" ht="17" customHeight="1">
      <c r="A14100" s="234"/>
      <c r="B14100" s="233"/>
      <c r="C14100" s="238"/>
      <c r="E14100" s="545"/>
      <c r="F14100" s="546"/>
      <c r="G14100" s="234"/>
      <c r="H14100" s="238"/>
      <c r="I14100" s="237"/>
    </row>
    <row r="14101" spans="1:9" s="232" customFormat="1" ht="17" customHeight="1">
      <c r="A14101" s="234"/>
      <c r="B14101" s="233"/>
      <c r="C14101" s="238"/>
      <c r="E14101" s="545"/>
      <c r="F14101" s="546"/>
      <c r="G14101" s="234"/>
      <c r="H14101" s="238"/>
      <c r="I14101" s="237"/>
    </row>
    <row r="14102" spans="1:9" s="232" customFormat="1" ht="17" customHeight="1">
      <c r="A14102" s="234"/>
      <c r="B14102" s="233"/>
      <c r="C14102" s="238"/>
      <c r="E14102" s="545"/>
      <c r="F14102" s="546"/>
      <c r="G14102" s="234"/>
      <c r="H14102" s="238"/>
      <c r="I14102" s="237"/>
    </row>
    <row r="14103" spans="1:9" s="232" customFormat="1" ht="17" customHeight="1">
      <c r="A14103" s="234"/>
      <c r="B14103" s="233"/>
      <c r="C14103" s="238"/>
      <c r="E14103" s="545"/>
      <c r="F14103" s="546"/>
      <c r="G14103" s="234"/>
      <c r="H14103" s="238"/>
      <c r="I14103" s="237"/>
    </row>
    <row r="14104" spans="1:9" s="232" customFormat="1" ht="17" customHeight="1">
      <c r="A14104" s="234"/>
      <c r="B14104" s="233"/>
      <c r="C14104" s="238"/>
      <c r="E14104" s="545"/>
      <c r="F14104" s="546"/>
      <c r="G14104" s="234"/>
      <c r="H14104" s="238"/>
      <c r="I14104" s="237"/>
    </row>
    <row r="14105" spans="1:9" s="232" customFormat="1" ht="17" customHeight="1">
      <c r="A14105" s="234"/>
      <c r="B14105" s="233"/>
      <c r="C14105" s="238"/>
      <c r="E14105" s="545"/>
      <c r="F14105" s="546"/>
      <c r="G14105" s="234"/>
      <c r="H14105" s="238"/>
      <c r="I14105" s="237"/>
    </row>
    <row r="14106" spans="1:9" s="232" customFormat="1" ht="17" customHeight="1">
      <c r="A14106" s="234"/>
      <c r="B14106" s="233"/>
      <c r="C14106" s="238"/>
      <c r="E14106" s="545"/>
      <c r="F14106" s="546"/>
      <c r="G14106" s="234"/>
      <c r="H14106" s="238"/>
      <c r="I14106" s="237"/>
    </row>
    <row r="14107" spans="1:9" s="232" customFormat="1" ht="17" customHeight="1">
      <c r="A14107" s="234"/>
      <c r="B14107" s="233"/>
      <c r="C14107" s="238"/>
      <c r="E14107" s="545"/>
      <c r="F14107" s="546"/>
      <c r="G14107" s="234"/>
      <c r="H14107" s="238"/>
      <c r="I14107" s="237"/>
    </row>
    <row r="14108" spans="1:9" s="232" customFormat="1" ht="17" customHeight="1">
      <c r="A14108" s="234"/>
      <c r="B14108" s="233"/>
      <c r="C14108" s="238"/>
      <c r="E14108" s="545"/>
      <c r="F14108" s="546"/>
      <c r="G14108" s="234"/>
      <c r="H14108" s="238"/>
      <c r="I14108" s="237"/>
    </row>
    <row r="14109" spans="1:9" s="232" customFormat="1" ht="17" customHeight="1">
      <c r="A14109" s="234"/>
      <c r="B14109" s="233"/>
      <c r="C14109" s="238"/>
      <c r="E14109" s="545"/>
      <c r="F14109" s="546"/>
      <c r="G14109" s="234"/>
      <c r="H14109" s="238"/>
      <c r="I14109" s="237"/>
    </row>
    <row r="14110" spans="1:9" s="232" customFormat="1" ht="17" customHeight="1">
      <c r="A14110" s="234"/>
      <c r="B14110" s="233"/>
      <c r="C14110" s="238"/>
      <c r="E14110" s="545"/>
      <c r="F14110" s="546"/>
      <c r="G14110" s="234"/>
      <c r="H14110" s="238"/>
      <c r="I14110" s="237"/>
    </row>
    <row r="14111" spans="1:9" s="232" customFormat="1" ht="17" customHeight="1">
      <c r="A14111" s="234"/>
      <c r="B14111" s="233"/>
      <c r="C14111" s="238"/>
      <c r="E14111" s="545"/>
      <c r="F14111" s="546"/>
      <c r="G14111" s="234"/>
      <c r="H14111" s="238"/>
      <c r="I14111" s="237"/>
    </row>
    <row r="14112" spans="1:9" s="232" customFormat="1" ht="17" customHeight="1">
      <c r="A14112" s="234"/>
      <c r="B14112" s="233"/>
      <c r="C14112" s="238"/>
      <c r="E14112" s="545"/>
      <c r="F14112" s="546"/>
      <c r="G14112" s="234"/>
      <c r="H14112" s="238"/>
      <c r="I14112" s="237"/>
    </row>
    <row r="14113" spans="1:9" s="232" customFormat="1" ht="17" customHeight="1">
      <c r="A14113" s="234"/>
      <c r="B14113" s="233"/>
      <c r="C14113" s="238"/>
      <c r="E14113" s="545"/>
      <c r="F14113" s="546"/>
      <c r="G14113" s="234"/>
      <c r="H14113" s="238"/>
      <c r="I14113" s="237"/>
    </row>
    <row r="14114" spans="1:9" s="232" customFormat="1" ht="17" customHeight="1">
      <c r="A14114" s="234"/>
      <c r="B14114" s="233"/>
      <c r="C14114" s="238"/>
      <c r="E14114" s="545"/>
      <c r="F14114" s="546"/>
      <c r="G14114" s="234"/>
      <c r="H14114" s="238"/>
      <c r="I14114" s="237"/>
    </row>
    <row r="14115" spans="1:9" s="232" customFormat="1" ht="17" customHeight="1">
      <c r="A14115" s="234"/>
      <c r="B14115" s="233"/>
      <c r="C14115" s="238"/>
      <c r="E14115" s="545"/>
      <c r="F14115" s="546"/>
      <c r="G14115" s="234"/>
      <c r="H14115" s="238"/>
      <c r="I14115" s="237"/>
    </row>
    <row r="14116" spans="1:9" s="232" customFormat="1" ht="17" customHeight="1">
      <c r="A14116" s="234"/>
      <c r="B14116" s="233"/>
      <c r="C14116" s="238"/>
      <c r="E14116" s="545"/>
      <c r="F14116" s="546"/>
      <c r="G14116" s="234"/>
      <c r="H14116" s="238"/>
      <c r="I14116" s="237"/>
    </row>
    <row r="14117" spans="1:9" s="232" customFormat="1" ht="17" customHeight="1">
      <c r="A14117" s="234"/>
      <c r="B14117" s="233"/>
      <c r="C14117" s="238"/>
      <c r="E14117" s="545"/>
      <c r="F14117" s="546"/>
      <c r="G14117" s="234"/>
      <c r="H14117" s="238"/>
      <c r="I14117" s="237"/>
    </row>
    <row r="14118" spans="1:9" s="232" customFormat="1" ht="17" customHeight="1">
      <c r="A14118" s="234"/>
      <c r="B14118" s="233"/>
      <c r="C14118" s="238"/>
      <c r="E14118" s="545"/>
      <c r="F14118" s="546"/>
      <c r="G14118" s="234"/>
      <c r="H14118" s="238"/>
      <c r="I14118" s="237"/>
    </row>
    <row r="14119" spans="1:9" s="232" customFormat="1" ht="17" customHeight="1">
      <c r="A14119" s="234"/>
      <c r="B14119" s="233"/>
      <c r="C14119" s="238"/>
      <c r="E14119" s="545"/>
      <c r="F14119" s="546"/>
      <c r="G14119" s="234"/>
      <c r="H14119" s="238"/>
      <c r="I14119" s="237"/>
    </row>
    <row r="14120" spans="1:9" s="232" customFormat="1" ht="17" customHeight="1">
      <c r="A14120" s="234"/>
      <c r="B14120" s="233"/>
      <c r="C14120" s="238"/>
      <c r="E14120" s="545"/>
      <c r="F14120" s="546"/>
      <c r="G14120" s="234"/>
      <c r="H14120" s="238"/>
      <c r="I14120" s="237"/>
    </row>
    <row r="14121" spans="1:9" s="232" customFormat="1" ht="17" customHeight="1">
      <c r="A14121" s="234"/>
      <c r="B14121" s="233"/>
      <c r="C14121" s="238"/>
      <c r="E14121" s="545"/>
      <c r="F14121" s="546"/>
      <c r="G14121" s="234"/>
      <c r="H14121" s="238"/>
      <c r="I14121" s="237"/>
    </row>
    <row r="14122" spans="1:9" s="232" customFormat="1" ht="17" customHeight="1">
      <c r="A14122" s="234"/>
      <c r="B14122" s="233"/>
      <c r="C14122" s="238"/>
      <c r="E14122" s="545"/>
      <c r="F14122" s="546"/>
      <c r="G14122" s="234"/>
      <c r="H14122" s="238"/>
      <c r="I14122" s="237"/>
    </row>
    <row r="14123" spans="1:9" s="232" customFormat="1" ht="17" customHeight="1">
      <c r="A14123" s="234"/>
      <c r="B14123" s="233"/>
      <c r="C14123" s="238"/>
      <c r="E14123" s="545"/>
      <c r="F14123" s="546"/>
      <c r="G14123" s="234"/>
      <c r="H14123" s="238"/>
      <c r="I14123" s="237"/>
    </row>
    <row r="14124" spans="1:9" s="232" customFormat="1" ht="17" customHeight="1">
      <c r="A14124" s="234"/>
      <c r="B14124" s="233"/>
      <c r="C14124" s="238"/>
      <c r="E14124" s="545"/>
      <c r="F14124" s="546"/>
      <c r="G14124" s="234"/>
      <c r="H14124" s="238"/>
      <c r="I14124" s="237"/>
    </row>
    <row r="14125" spans="1:9" s="232" customFormat="1" ht="17" customHeight="1">
      <c r="A14125" s="234"/>
      <c r="B14125" s="233"/>
      <c r="C14125" s="238"/>
      <c r="E14125" s="545"/>
      <c r="F14125" s="546"/>
      <c r="G14125" s="234"/>
      <c r="H14125" s="238"/>
      <c r="I14125" s="237"/>
    </row>
    <row r="14126" spans="1:9" s="232" customFormat="1" ht="17" customHeight="1">
      <c r="A14126" s="234"/>
      <c r="B14126" s="233"/>
      <c r="C14126" s="238"/>
      <c r="E14126" s="545"/>
      <c r="F14126" s="546"/>
      <c r="G14126" s="234"/>
      <c r="H14126" s="238"/>
      <c r="I14126" s="237"/>
    </row>
    <row r="14127" spans="1:9" s="232" customFormat="1" ht="17" customHeight="1">
      <c r="A14127" s="234"/>
      <c r="B14127" s="233"/>
      <c r="C14127" s="238"/>
      <c r="E14127" s="545"/>
      <c r="F14127" s="546"/>
      <c r="G14127" s="234"/>
      <c r="H14127" s="238"/>
      <c r="I14127" s="237"/>
    </row>
    <row r="14128" spans="1:9" s="232" customFormat="1" ht="17" customHeight="1">
      <c r="A14128" s="234"/>
      <c r="B14128" s="233"/>
      <c r="C14128" s="238"/>
      <c r="E14128" s="545"/>
      <c r="F14128" s="546"/>
      <c r="G14128" s="234"/>
      <c r="H14128" s="238"/>
      <c r="I14128" s="237"/>
    </row>
    <row r="14129" spans="1:9" s="232" customFormat="1" ht="17" customHeight="1">
      <c r="A14129" s="234"/>
      <c r="B14129" s="233"/>
      <c r="C14129" s="238"/>
      <c r="E14129" s="545"/>
      <c r="F14129" s="546"/>
      <c r="G14129" s="234"/>
      <c r="H14129" s="238"/>
      <c r="I14129" s="237"/>
    </row>
    <row r="14130" spans="1:9" s="232" customFormat="1" ht="17" customHeight="1">
      <c r="A14130" s="234"/>
      <c r="B14130" s="233"/>
      <c r="C14130" s="238"/>
      <c r="E14130" s="545"/>
      <c r="F14130" s="546"/>
      <c r="G14130" s="234"/>
      <c r="H14130" s="238"/>
      <c r="I14130" s="237"/>
    </row>
    <row r="14131" spans="1:9" s="232" customFormat="1" ht="17" customHeight="1">
      <c r="A14131" s="234"/>
      <c r="B14131" s="233"/>
      <c r="C14131" s="238"/>
      <c r="E14131" s="545"/>
      <c r="F14131" s="546"/>
      <c r="G14131" s="234"/>
      <c r="H14131" s="238"/>
      <c r="I14131" s="237"/>
    </row>
    <row r="14132" spans="1:9" s="232" customFormat="1" ht="17" customHeight="1">
      <c r="A14132" s="234"/>
      <c r="B14132" s="233"/>
      <c r="C14132" s="238"/>
      <c r="E14132" s="545"/>
      <c r="F14132" s="546"/>
      <c r="G14132" s="234"/>
      <c r="H14132" s="238"/>
      <c r="I14132" s="237"/>
    </row>
    <row r="14133" spans="1:9" s="232" customFormat="1" ht="17" customHeight="1">
      <c r="A14133" s="234"/>
      <c r="B14133" s="233"/>
      <c r="C14133" s="238"/>
      <c r="E14133" s="545"/>
      <c r="F14133" s="546"/>
      <c r="G14133" s="234"/>
      <c r="H14133" s="238"/>
      <c r="I14133" s="237"/>
    </row>
    <row r="14134" spans="1:9" s="232" customFormat="1" ht="17" customHeight="1">
      <c r="A14134" s="234"/>
      <c r="B14134" s="233"/>
      <c r="C14134" s="238"/>
      <c r="E14134" s="545"/>
      <c r="F14134" s="546"/>
      <c r="G14134" s="234"/>
      <c r="H14134" s="238"/>
      <c r="I14134" s="237"/>
    </row>
    <row r="14135" spans="1:9" s="232" customFormat="1" ht="17" customHeight="1">
      <c r="A14135" s="234"/>
      <c r="B14135" s="233"/>
      <c r="C14135" s="238"/>
      <c r="E14135" s="545"/>
      <c r="F14135" s="546"/>
      <c r="G14135" s="234"/>
      <c r="H14135" s="238"/>
      <c r="I14135" s="237"/>
    </row>
    <row r="14136" spans="1:9" s="232" customFormat="1" ht="17" customHeight="1">
      <c r="A14136" s="234"/>
      <c r="B14136" s="233"/>
      <c r="C14136" s="238"/>
      <c r="E14136" s="545"/>
      <c r="F14136" s="546"/>
      <c r="G14136" s="234"/>
      <c r="H14136" s="238"/>
      <c r="I14136" s="237"/>
    </row>
    <row r="14137" spans="1:9" s="232" customFormat="1" ht="17" customHeight="1">
      <c r="A14137" s="234"/>
      <c r="B14137" s="233"/>
      <c r="C14137" s="238"/>
      <c r="E14137" s="545"/>
      <c r="F14137" s="546"/>
      <c r="G14137" s="234"/>
      <c r="H14137" s="238"/>
      <c r="I14137" s="237"/>
    </row>
    <row r="14138" spans="1:9" s="232" customFormat="1" ht="17" customHeight="1">
      <c r="A14138" s="234"/>
      <c r="B14138" s="233"/>
      <c r="C14138" s="238"/>
      <c r="E14138" s="545"/>
      <c r="F14138" s="546"/>
      <c r="G14138" s="234"/>
      <c r="H14138" s="238"/>
      <c r="I14138" s="237"/>
    </row>
    <row r="14139" spans="1:9" s="232" customFormat="1" ht="17" customHeight="1">
      <c r="A14139" s="234"/>
      <c r="B14139" s="233"/>
      <c r="C14139" s="238"/>
      <c r="E14139" s="545"/>
      <c r="F14139" s="546"/>
      <c r="G14139" s="234"/>
      <c r="H14139" s="238"/>
      <c r="I14139" s="237"/>
    </row>
    <row r="14140" spans="1:9" s="232" customFormat="1" ht="17" customHeight="1">
      <c r="A14140" s="234"/>
      <c r="B14140" s="233"/>
      <c r="C14140" s="238"/>
      <c r="E14140" s="545"/>
      <c r="F14140" s="546"/>
      <c r="G14140" s="234"/>
      <c r="H14140" s="238"/>
      <c r="I14140" s="237"/>
    </row>
    <row r="14141" spans="1:9" s="232" customFormat="1" ht="17" customHeight="1">
      <c r="A14141" s="234"/>
      <c r="B14141" s="233"/>
      <c r="C14141" s="238"/>
      <c r="E14141" s="545"/>
      <c r="F14141" s="546"/>
      <c r="G14141" s="234"/>
      <c r="H14141" s="238"/>
      <c r="I14141" s="237"/>
    </row>
    <row r="14142" spans="1:9" s="232" customFormat="1" ht="17" customHeight="1">
      <c r="A14142" s="234"/>
      <c r="B14142" s="233"/>
      <c r="C14142" s="238"/>
      <c r="E14142" s="545"/>
      <c r="F14142" s="546"/>
      <c r="G14142" s="234"/>
      <c r="H14142" s="238"/>
      <c r="I14142" s="237"/>
    </row>
    <row r="14143" spans="1:9" s="232" customFormat="1" ht="17" customHeight="1">
      <c r="A14143" s="234"/>
      <c r="B14143" s="233"/>
      <c r="C14143" s="238"/>
      <c r="E14143" s="545"/>
      <c r="F14143" s="546"/>
      <c r="G14143" s="234"/>
      <c r="H14143" s="238"/>
      <c r="I14143" s="237"/>
    </row>
    <row r="14144" spans="1:9" s="232" customFormat="1" ht="17" customHeight="1">
      <c r="A14144" s="234"/>
      <c r="B14144" s="233"/>
      <c r="C14144" s="238"/>
      <c r="E14144" s="545"/>
      <c r="F14144" s="546"/>
      <c r="G14144" s="234"/>
      <c r="H14144" s="238"/>
      <c r="I14144" s="237"/>
    </row>
    <row r="14145" spans="1:9" s="232" customFormat="1" ht="17" customHeight="1">
      <c r="A14145" s="234"/>
      <c r="B14145" s="233"/>
      <c r="C14145" s="238"/>
      <c r="E14145" s="545"/>
      <c r="F14145" s="546"/>
      <c r="G14145" s="234"/>
      <c r="H14145" s="238"/>
      <c r="I14145" s="237"/>
    </row>
    <row r="14146" spans="1:9" s="232" customFormat="1" ht="17" customHeight="1">
      <c r="A14146" s="234"/>
      <c r="B14146" s="233"/>
      <c r="C14146" s="238"/>
      <c r="E14146" s="545"/>
      <c r="F14146" s="546"/>
      <c r="G14146" s="234"/>
      <c r="H14146" s="238"/>
      <c r="I14146" s="237"/>
    </row>
    <row r="14147" spans="1:9" s="232" customFormat="1" ht="17" customHeight="1">
      <c r="A14147" s="234"/>
      <c r="B14147" s="233"/>
      <c r="C14147" s="238"/>
      <c r="E14147" s="545"/>
      <c r="F14147" s="546"/>
      <c r="G14147" s="234"/>
      <c r="H14147" s="238"/>
      <c r="I14147" s="237"/>
    </row>
    <row r="14148" spans="1:9" s="232" customFormat="1" ht="17" customHeight="1">
      <c r="A14148" s="234"/>
      <c r="B14148" s="233"/>
      <c r="C14148" s="238"/>
      <c r="E14148" s="545"/>
      <c r="F14148" s="546"/>
      <c r="G14148" s="234"/>
      <c r="H14148" s="238"/>
      <c r="I14148" s="237"/>
    </row>
    <row r="14149" spans="1:9" s="232" customFormat="1" ht="17" customHeight="1">
      <c r="A14149" s="234"/>
      <c r="B14149" s="233"/>
      <c r="C14149" s="238"/>
      <c r="E14149" s="545"/>
      <c r="F14149" s="546"/>
      <c r="G14149" s="234"/>
      <c r="H14149" s="238"/>
      <c r="I14149" s="237"/>
    </row>
    <row r="14150" spans="1:9" s="232" customFormat="1" ht="17" customHeight="1">
      <c r="A14150" s="234"/>
      <c r="B14150" s="233"/>
      <c r="C14150" s="238"/>
      <c r="E14150" s="545"/>
      <c r="F14150" s="546"/>
      <c r="G14150" s="234"/>
      <c r="H14150" s="238"/>
      <c r="I14150" s="237"/>
    </row>
    <row r="14151" spans="1:9" s="232" customFormat="1" ht="17" customHeight="1">
      <c r="A14151" s="234"/>
      <c r="B14151" s="233"/>
      <c r="C14151" s="238"/>
      <c r="E14151" s="545"/>
      <c r="F14151" s="546"/>
      <c r="G14151" s="234"/>
      <c r="H14151" s="238"/>
      <c r="I14151" s="237"/>
    </row>
    <row r="14152" spans="1:9" s="232" customFormat="1" ht="17" customHeight="1">
      <c r="A14152" s="234"/>
      <c r="B14152" s="233"/>
      <c r="C14152" s="238"/>
      <c r="E14152" s="545"/>
      <c r="F14152" s="546"/>
      <c r="G14152" s="234"/>
      <c r="H14152" s="238"/>
      <c r="I14152" s="237"/>
    </row>
    <row r="14153" spans="1:9" s="232" customFormat="1" ht="17" customHeight="1">
      <c r="A14153" s="234"/>
      <c r="B14153" s="233"/>
      <c r="C14153" s="238"/>
      <c r="E14153" s="545"/>
      <c r="F14153" s="546"/>
      <c r="G14153" s="234"/>
      <c r="H14153" s="238"/>
      <c r="I14153" s="237"/>
    </row>
    <row r="14154" spans="1:9" s="232" customFormat="1" ht="17" customHeight="1">
      <c r="A14154" s="234"/>
      <c r="B14154" s="233"/>
      <c r="C14154" s="238"/>
      <c r="E14154" s="545"/>
      <c r="F14154" s="546"/>
      <c r="G14154" s="234"/>
      <c r="H14154" s="238"/>
      <c r="I14154" s="237"/>
    </row>
    <row r="14155" spans="1:9" s="232" customFormat="1" ht="17" customHeight="1">
      <c r="A14155" s="234"/>
      <c r="B14155" s="233"/>
      <c r="C14155" s="238"/>
      <c r="E14155" s="545"/>
      <c r="F14155" s="546"/>
      <c r="G14155" s="234"/>
      <c r="H14155" s="238"/>
      <c r="I14155" s="237"/>
    </row>
    <row r="14156" spans="1:9" s="232" customFormat="1" ht="17" customHeight="1">
      <c r="A14156" s="234"/>
      <c r="B14156" s="233"/>
      <c r="C14156" s="238"/>
      <c r="E14156" s="545"/>
      <c r="F14156" s="546"/>
      <c r="G14156" s="234"/>
      <c r="H14156" s="238"/>
      <c r="I14156" s="237"/>
    </row>
    <row r="14157" spans="1:9" s="232" customFormat="1" ht="17" customHeight="1">
      <c r="A14157" s="234"/>
      <c r="B14157" s="233"/>
      <c r="C14157" s="238"/>
      <c r="E14157" s="545"/>
      <c r="F14157" s="546"/>
      <c r="G14157" s="234"/>
      <c r="H14157" s="238"/>
      <c r="I14157" s="237"/>
    </row>
    <row r="14158" spans="1:9" s="232" customFormat="1" ht="17" customHeight="1">
      <c r="A14158" s="234"/>
      <c r="B14158" s="233"/>
      <c r="C14158" s="238"/>
      <c r="E14158" s="545"/>
      <c r="F14158" s="546"/>
      <c r="G14158" s="234"/>
      <c r="H14158" s="238"/>
      <c r="I14158" s="237"/>
    </row>
    <row r="14159" spans="1:9" s="232" customFormat="1" ht="17" customHeight="1">
      <c r="A14159" s="234"/>
      <c r="B14159" s="233"/>
      <c r="C14159" s="238"/>
      <c r="E14159" s="545"/>
      <c r="F14159" s="546"/>
      <c r="G14159" s="234"/>
      <c r="H14159" s="238"/>
      <c r="I14159" s="237"/>
    </row>
    <row r="14160" spans="1:9" s="232" customFormat="1" ht="17" customHeight="1">
      <c r="A14160" s="234"/>
      <c r="B14160" s="233"/>
      <c r="C14160" s="238"/>
      <c r="E14160" s="545"/>
      <c r="F14160" s="546"/>
      <c r="G14160" s="234"/>
      <c r="H14160" s="238"/>
      <c r="I14160" s="237"/>
    </row>
    <row r="14161" spans="1:9" s="232" customFormat="1" ht="17" customHeight="1">
      <c r="A14161" s="234"/>
      <c r="B14161" s="233"/>
      <c r="C14161" s="238"/>
      <c r="E14161" s="545"/>
      <c r="F14161" s="546"/>
      <c r="G14161" s="234"/>
      <c r="H14161" s="238"/>
      <c r="I14161" s="237"/>
    </row>
    <row r="14162" spans="1:9" s="232" customFormat="1" ht="17" customHeight="1">
      <c r="A14162" s="234"/>
      <c r="B14162" s="233"/>
      <c r="C14162" s="238"/>
      <c r="E14162" s="545"/>
      <c r="F14162" s="546"/>
      <c r="G14162" s="234"/>
      <c r="H14162" s="238"/>
      <c r="I14162" s="237"/>
    </row>
    <row r="14163" spans="1:9" s="232" customFormat="1" ht="17" customHeight="1">
      <c r="A14163" s="234"/>
      <c r="B14163" s="233"/>
      <c r="C14163" s="238"/>
      <c r="E14163" s="545"/>
      <c r="F14163" s="546"/>
      <c r="G14163" s="234"/>
      <c r="H14163" s="238"/>
      <c r="I14163" s="237"/>
    </row>
    <row r="14164" spans="1:9" s="232" customFormat="1" ht="17" customHeight="1">
      <c r="A14164" s="234"/>
      <c r="B14164" s="233"/>
      <c r="C14164" s="238"/>
      <c r="E14164" s="545"/>
      <c r="F14164" s="546"/>
      <c r="G14164" s="234"/>
      <c r="H14164" s="238"/>
      <c r="I14164" s="237"/>
    </row>
    <row r="14165" spans="1:9" s="232" customFormat="1" ht="17" customHeight="1">
      <c r="A14165" s="234"/>
      <c r="B14165" s="233"/>
      <c r="C14165" s="238"/>
      <c r="E14165" s="545"/>
      <c r="F14165" s="546"/>
      <c r="G14165" s="234"/>
      <c r="H14165" s="238"/>
      <c r="I14165" s="237"/>
    </row>
    <row r="14166" spans="1:9" s="232" customFormat="1" ht="17" customHeight="1">
      <c r="A14166" s="234"/>
      <c r="B14166" s="233"/>
      <c r="C14166" s="238"/>
      <c r="E14166" s="545"/>
      <c r="F14166" s="546"/>
      <c r="G14166" s="234"/>
      <c r="H14166" s="238"/>
      <c r="I14166" s="237"/>
    </row>
    <row r="14167" spans="1:9" s="232" customFormat="1" ht="17" customHeight="1">
      <c r="A14167" s="234"/>
      <c r="B14167" s="233"/>
      <c r="C14167" s="238"/>
      <c r="E14167" s="545"/>
      <c r="F14167" s="546"/>
      <c r="G14167" s="234"/>
      <c r="H14167" s="238"/>
      <c r="I14167" s="237"/>
    </row>
    <row r="14168" spans="1:9" s="232" customFormat="1" ht="17" customHeight="1">
      <c r="A14168" s="234"/>
      <c r="B14168" s="233"/>
      <c r="C14168" s="238"/>
      <c r="E14168" s="545"/>
      <c r="F14168" s="546"/>
      <c r="G14168" s="234"/>
      <c r="H14168" s="238"/>
      <c r="I14168" s="237"/>
    </row>
    <row r="14169" spans="1:9" s="232" customFormat="1" ht="17" customHeight="1">
      <c r="A14169" s="234"/>
      <c r="B14169" s="233"/>
      <c r="C14169" s="238"/>
      <c r="E14169" s="545"/>
      <c r="F14169" s="546"/>
      <c r="G14169" s="234"/>
      <c r="H14169" s="238"/>
      <c r="I14169" s="237"/>
    </row>
    <row r="14170" spans="1:9" s="232" customFormat="1" ht="17" customHeight="1">
      <c r="A14170" s="234"/>
      <c r="B14170" s="233"/>
      <c r="C14170" s="238"/>
      <c r="E14170" s="545"/>
      <c r="F14170" s="546"/>
      <c r="G14170" s="234"/>
      <c r="H14170" s="238"/>
      <c r="I14170" s="237"/>
    </row>
    <row r="14171" spans="1:9" s="232" customFormat="1" ht="17" customHeight="1">
      <c r="A14171" s="234"/>
      <c r="B14171" s="233"/>
      <c r="C14171" s="238"/>
      <c r="E14171" s="545"/>
      <c r="F14171" s="546"/>
      <c r="G14171" s="234"/>
      <c r="H14171" s="238"/>
      <c r="I14171" s="237"/>
    </row>
    <row r="14172" spans="1:9" s="232" customFormat="1" ht="17" customHeight="1">
      <c r="A14172" s="234"/>
      <c r="B14172" s="233"/>
      <c r="C14172" s="238"/>
      <c r="E14172" s="545"/>
      <c r="F14172" s="546"/>
      <c r="G14172" s="234"/>
      <c r="H14172" s="238"/>
      <c r="I14172" s="237"/>
    </row>
    <row r="14173" spans="1:9" s="232" customFormat="1" ht="17" customHeight="1">
      <c r="A14173" s="234"/>
      <c r="B14173" s="233"/>
      <c r="C14173" s="238"/>
      <c r="E14173" s="545"/>
      <c r="F14173" s="546"/>
      <c r="G14173" s="234"/>
      <c r="H14173" s="238"/>
      <c r="I14173" s="237"/>
    </row>
    <row r="14174" spans="1:9" s="232" customFormat="1" ht="17" customHeight="1">
      <c r="A14174" s="234"/>
      <c r="B14174" s="233"/>
      <c r="C14174" s="238"/>
      <c r="E14174" s="545"/>
      <c r="F14174" s="546"/>
      <c r="G14174" s="234"/>
      <c r="H14174" s="238"/>
      <c r="I14174" s="237"/>
    </row>
    <row r="14175" spans="1:9" s="232" customFormat="1" ht="17" customHeight="1">
      <c r="A14175" s="234"/>
      <c r="B14175" s="233"/>
      <c r="C14175" s="238"/>
      <c r="E14175" s="545"/>
      <c r="F14175" s="546"/>
      <c r="G14175" s="234"/>
      <c r="H14175" s="238"/>
      <c r="I14175" s="237"/>
    </row>
    <row r="14176" spans="1:9" s="232" customFormat="1" ht="17" customHeight="1">
      <c r="A14176" s="234"/>
      <c r="B14176" s="233"/>
      <c r="C14176" s="238"/>
      <c r="E14176" s="545"/>
      <c r="F14176" s="546"/>
      <c r="G14176" s="234"/>
      <c r="H14176" s="238"/>
      <c r="I14176" s="237"/>
    </row>
    <row r="14177" spans="1:9" s="232" customFormat="1" ht="17" customHeight="1">
      <c r="A14177" s="234"/>
      <c r="B14177" s="233"/>
      <c r="C14177" s="238"/>
      <c r="E14177" s="545"/>
      <c r="F14177" s="546"/>
      <c r="G14177" s="234"/>
      <c r="H14177" s="238"/>
      <c r="I14177" s="237"/>
    </row>
    <row r="14178" spans="1:9" s="232" customFormat="1" ht="17" customHeight="1">
      <c r="A14178" s="234"/>
      <c r="B14178" s="233"/>
      <c r="C14178" s="238"/>
      <c r="E14178" s="545"/>
      <c r="F14178" s="546"/>
      <c r="G14178" s="234"/>
      <c r="H14178" s="238"/>
      <c r="I14178" s="237"/>
    </row>
    <row r="14179" spans="1:9" s="232" customFormat="1" ht="17" customHeight="1">
      <c r="A14179" s="234"/>
      <c r="B14179" s="233"/>
      <c r="C14179" s="238"/>
      <c r="E14179" s="545"/>
      <c r="F14179" s="546"/>
      <c r="G14179" s="234"/>
      <c r="H14179" s="238"/>
      <c r="I14179" s="237"/>
    </row>
    <row r="14180" spans="1:9" s="232" customFormat="1" ht="17" customHeight="1">
      <c r="A14180" s="234"/>
      <c r="B14180" s="233"/>
      <c r="C14180" s="238"/>
      <c r="E14180" s="545"/>
      <c r="F14180" s="546"/>
      <c r="G14180" s="234"/>
      <c r="H14180" s="238"/>
      <c r="I14180" s="237"/>
    </row>
    <row r="14181" spans="1:9" s="232" customFormat="1" ht="17" customHeight="1">
      <c r="A14181" s="234"/>
      <c r="B14181" s="233"/>
      <c r="C14181" s="238"/>
      <c r="E14181" s="545"/>
      <c r="F14181" s="546"/>
      <c r="G14181" s="234"/>
      <c r="H14181" s="238"/>
      <c r="I14181" s="237"/>
    </row>
    <row r="14182" spans="1:9" s="232" customFormat="1" ht="17" customHeight="1">
      <c r="A14182" s="234"/>
      <c r="B14182" s="233"/>
      <c r="C14182" s="238"/>
      <c r="E14182" s="545"/>
      <c r="F14182" s="546"/>
      <c r="G14182" s="234"/>
      <c r="H14182" s="238"/>
      <c r="I14182" s="237"/>
    </row>
    <row r="14183" spans="1:9" s="232" customFormat="1" ht="17" customHeight="1">
      <c r="A14183" s="234"/>
      <c r="B14183" s="233"/>
      <c r="C14183" s="238"/>
      <c r="E14183" s="545"/>
      <c r="F14183" s="546"/>
      <c r="G14183" s="234"/>
      <c r="H14183" s="238"/>
      <c r="I14183" s="237"/>
    </row>
    <row r="14184" spans="1:9" s="232" customFormat="1" ht="17" customHeight="1">
      <c r="A14184" s="234"/>
      <c r="B14184" s="233"/>
      <c r="C14184" s="238"/>
      <c r="E14184" s="545"/>
      <c r="F14184" s="546"/>
      <c r="G14184" s="234"/>
      <c r="H14184" s="238"/>
      <c r="I14184" s="237"/>
    </row>
    <row r="14185" spans="1:9" s="232" customFormat="1" ht="17" customHeight="1">
      <c r="A14185" s="234"/>
      <c r="B14185" s="233"/>
      <c r="C14185" s="238"/>
      <c r="E14185" s="545"/>
      <c r="F14185" s="546"/>
      <c r="G14185" s="234"/>
      <c r="H14185" s="238"/>
      <c r="I14185" s="237"/>
    </row>
    <row r="14186" spans="1:9" s="232" customFormat="1" ht="17" customHeight="1">
      <c r="A14186" s="234"/>
      <c r="B14186" s="233"/>
      <c r="C14186" s="238"/>
      <c r="E14186" s="545"/>
      <c r="F14186" s="546"/>
      <c r="G14186" s="234"/>
      <c r="H14186" s="238"/>
      <c r="I14186" s="237"/>
    </row>
    <row r="14187" spans="1:9" s="232" customFormat="1" ht="17" customHeight="1">
      <c r="A14187" s="234"/>
      <c r="B14187" s="233"/>
      <c r="C14187" s="238"/>
      <c r="E14187" s="545"/>
      <c r="F14187" s="546"/>
      <c r="G14187" s="234"/>
      <c r="H14187" s="238"/>
      <c r="I14187" s="237"/>
    </row>
    <row r="14188" spans="1:9" s="232" customFormat="1" ht="17" customHeight="1">
      <c r="A14188" s="234"/>
      <c r="B14188" s="233"/>
      <c r="C14188" s="238"/>
      <c r="E14188" s="545"/>
      <c r="F14188" s="546"/>
      <c r="G14188" s="234"/>
      <c r="H14188" s="238"/>
      <c r="I14188" s="237"/>
    </row>
    <row r="14189" spans="1:9" s="232" customFormat="1" ht="17" customHeight="1">
      <c r="A14189" s="234"/>
      <c r="B14189" s="233"/>
      <c r="C14189" s="238"/>
      <c r="E14189" s="545"/>
      <c r="F14189" s="546"/>
      <c r="G14189" s="234"/>
      <c r="H14189" s="238"/>
      <c r="I14189" s="237"/>
    </row>
    <row r="14190" spans="1:9" s="232" customFormat="1" ht="17" customHeight="1">
      <c r="A14190" s="234"/>
      <c r="B14190" s="233"/>
      <c r="C14190" s="238"/>
      <c r="E14190" s="545"/>
      <c r="F14190" s="546"/>
      <c r="G14190" s="234"/>
      <c r="H14190" s="238"/>
      <c r="I14190" s="237"/>
    </row>
    <row r="14191" spans="1:9" s="232" customFormat="1" ht="17" customHeight="1">
      <c r="A14191" s="234"/>
      <c r="B14191" s="233"/>
      <c r="C14191" s="238"/>
      <c r="E14191" s="545"/>
      <c r="F14191" s="546"/>
      <c r="G14191" s="234"/>
      <c r="H14191" s="238"/>
      <c r="I14191" s="237"/>
    </row>
    <row r="14192" spans="1:9" s="232" customFormat="1" ht="17" customHeight="1">
      <c r="A14192" s="234"/>
      <c r="B14192" s="233"/>
      <c r="C14192" s="238"/>
      <c r="E14192" s="545"/>
      <c r="F14192" s="546"/>
      <c r="G14192" s="234"/>
      <c r="H14192" s="238"/>
      <c r="I14192" s="237"/>
    </row>
    <row r="14193" spans="1:9" s="232" customFormat="1" ht="17" customHeight="1">
      <c r="A14193" s="234"/>
      <c r="B14193" s="233"/>
      <c r="C14193" s="238"/>
      <c r="E14193" s="545"/>
      <c r="F14193" s="546"/>
      <c r="G14193" s="234"/>
      <c r="H14193" s="238"/>
      <c r="I14193" s="237"/>
    </row>
    <row r="14194" spans="1:9" s="232" customFormat="1" ht="17" customHeight="1">
      <c r="A14194" s="234"/>
      <c r="B14194" s="233"/>
      <c r="C14194" s="238"/>
      <c r="E14194" s="545"/>
      <c r="F14194" s="546"/>
      <c r="G14194" s="234"/>
      <c r="H14194" s="238"/>
      <c r="I14194" s="237"/>
    </row>
    <row r="14195" spans="1:9" s="232" customFormat="1" ht="17" customHeight="1">
      <c r="A14195" s="234"/>
      <c r="B14195" s="233"/>
      <c r="C14195" s="238"/>
      <c r="E14195" s="545"/>
      <c r="F14195" s="546"/>
      <c r="G14195" s="234"/>
      <c r="H14195" s="238"/>
      <c r="I14195" s="237"/>
    </row>
    <row r="14196" spans="1:9" s="232" customFormat="1" ht="17" customHeight="1">
      <c r="A14196" s="234"/>
      <c r="B14196" s="233"/>
      <c r="C14196" s="238"/>
      <c r="E14196" s="545"/>
      <c r="F14196" s="546"/>
      <c r="G14196" s="234"/>
      <c r="H14196" s="238"/>
      <c r="I14196" s="237"/>
    </row>
    <row r="14197" spans="1:9" s="232" customFormat="1" ht="17" customHeight="1">
      <c r="A14197" s="234"/>
      <c r="B14197" s="233"/>
      <c r="C14197" s="238"/>
      <c r="E14197" s="545"/>
      <c r="F14197" s="546"/>
      <c r="G14197" s="234"/>
      <c r="H14197" s="238"/>
      <c r="I14197" s="237"/>
    </row>
    <row r="14198" spans="1:9" s="232" customFormat="1" ht="17" customHeight="1">
      <c r="A14198" s="234"/>
      <c r="B14198" s="233"/>
      <c r="C14198" s="238"/>
      <c r="E14198" s="545"/>
      <c r="F14198" s="546"/>
      <c r="G14198" s="234"/>
      <c r="H14198" s="238"/>
      <c r="I14198" s="237"/>
    </row>
    <row r="14199" spans="1:9" s="232" customFormat="1" ht="17" customHeight="1">
      <c r="A14199" s="234"/>
      <c r="B14199" s="233"/>
      <c r="C14199" s="238"/>
      <c r="E14199" s="545"/>
      <c r="F14199" s="546"/>
      <c r="G14199" s="234"/>
      <c r="H14199" s="238"/>
      <c r="I14199" s="237"/>
    </row>
    <row r="14200" spans="1:9" s="232" customFormat="1" ht="17" customHeight="1">
      <c r="A14200" s="234"/>
      <c r="B14200" s="233"/>
      <c r="C14200" s="238"/>
      <c r="E14200" s="545"/>
      <c r="F14200" s="546"/>
      <c r="G14200" s="234"/>
      <c r="H14200" s="238"/>
      <c r="I14200" s="237"/>
    </row>
    <row r="14201" spans="1:9" s="232" customFormat="1" ht="17" customHeight="1">
      <c r="A14201" s="234"/>
      <c r="B14201" s="233"/>
      <c r="C14201" s="238"/>
      <c r="E14201" s="545"/>
      <c r="F14201" s="546"/>
      <c r="G14201" s="234"/>
      <c r="H14201" s="238"/>
      <c r="I14201" s="237"/>
    </row>
    <row r="14202" spans="1:9" s="232" customFormat="1" ht="17" customHeight="1">
      <c r="A14202" s="234"/>
      <c r="B14202" s="233"/>
      <c r="C14202" s="238"/>
      <c r="E14202" s="545"/>
      <c r="F14202" s="546"/>
      <c r="G14202" s="234"/>
      <c r="H14202" s="238"/>
      <c r="I14202" s="237"/>
    </row>
    <row r="14203" spans="1:9" s="232" customFormat="1" ht="17" customHeight="1">
      <c r="A14203" s="234"/>
      <c r="B14203" s="233"/>
      <c r="C14203" s="238"/>
      <c r="E14203" s="545"/>
      <c r="F14203" s="546"/>
      <c r="G14203" s="234"/>
      <c r="H14203" s="238"/>
      <c r="I14203" s="237"/>
    </row>
    <row r="14204" spans="1:9" s="232" customFormat="1" ht="17" customHeight="1">
      <c r="A14204" s="234"/>
      <c r="B14204" s="233"/>
      <c r="C14204" s="238"/>
      <c r="E14204" s="545"/>
      <c r="F14204" s="546"/>
      <c r="G14204" s="234"/>
      <c r="H14204" s="238"/>
      <c r="I14204" s="237"/>
    </row>
    <row r="14205" spans="1:9" s="232" customFormat="1" ht="17" customHeight="1">
      <c r="A14205" s="234"/>
      <c r="B14205" s="233"/>
      <c r="C14205" s="238"/>
      <c r="E14205" s="545"/>
      <c r="F14205" s="546"/>
      <c r="G14205" s="234"/>
      <c r="H14205" s="238"/>
      <c r="I14205" s="237"/>
    </row>
    <row r="14206" spans="1:9" s="232" customFormat="1" ht="17" customHeight="1">
      <c r="A14206" s="234"/>
      <c r="B14206" s="233"/>
      <c r="C14206" s="238"/>
      <c r="E14206" s="545"/>
      <c r="F14206" s="546"/>
      <c r="G14206" s="234"/>
      <c r="H14206" s="238"/>
      <c r="I14206" s="237"/>
    </row>
    <row r="14207" spans="1:9" s="232" customFormat="1" ht="17" customHeight="1">
      <c r="A14207" s="234"/>
      <c r="B14207" s="233"/>
      <c r="C14207" s="238"/>
      <c r="E14207" s="545"/>
      <c r="F14207" s="546"/>
      <c r="G14207" s="234"/>
      <c r="H14207" s="238"/>
      <c r="I14207" s="237"/>
    </row>
    <row r="14208" spans="1:9" s="232" customFormat="1" ht="17" customHeight="1">
      <c r="A14208" s="234"/>
      <c r="B14208" s="233"/>
      <c r="C14208" s="238"/>
      <c r="E14208" s="545"/>
      <c r="F14208" s="546"/>
      <c r="G14208" s="234"/>
      <c r="H14208" s="238"/>
      <c r="I14208" s="237"/>
    </row>
    <row r="14209" spans="1:9" s="232" customFormat="1" ht="17" customHeight="1">
      <c r="A14209" s="234"/>
      <c r="B14209" s="233"/>
      <c r="C14209" s="238"/>
      <c r="E14209" s="545"/>
      <c r="F14209" s="546"/>
      <c r="G14209" s="234"/>
      <c r="H14209" s="238"/>
      <c r="I14209" s="237"/>
    </row>
    <row r="14210" spans="1:9" s="232" customFormat="1" ht="17" customHeight="1">
      <c r="A14210" s="234"/>
      <c r="B14210" s="233"/>
      <c r="C14210" s="238"/>
      <c r="E14210" s="545"/>
      <c r="F14210" s="546"/>
      <c r="G14210" s="234"/>
      <c r="H14210" s="238"/>
      <c r="I14210" s="237"/>
    </row>
    <row r="14211" spans="1:9" s="232" customFormat="1" ht="17" customHeight="1">
      <c r="A14211" s="234"/>
      <c r="B14211" s="233"/>
      <c r="C14211" s="238"/>
      <c r="E14211" s="545"/>
      <c r="F14211" s="546"/>
      <c r="G14211" s="234"/>
      <c r="H14211" s="238"/>
      <c r="I14211" s="237"/>
    </row>
    <row r="14212" spans="1:9" s="232" customFormat="1" ht="17" customHeight="1">
      <c r="A14212" s="234"/>
      <c r="B14212" s="233"/>
      <c r="C14212" s="238"/>
      <c r="E14212" s="545"/>
      <c r="F14212" s="546"/>
      <c r="G14212" s="234"/>
      <c r="H14212" s="238"/>
      <c r="I14212" s="237"/>
    </row>
    <row r="14213" spans="1:9" s="232" customFormat="1" ht="17" customHeight="1">
      <c r="A14213" s="234"/>
      <c r="B14213" s="233"/>
      <c r="C14213" s="238"/>
      <c r="E14213" s="545"/>
      <c r="F14213" s="546"/>
      <c r="G14213" s="234"/>
      <c r="H14213" s="238"/>
      <c r="I14213" s="237"/>
    </row>
    <row r="14214" spans="1:9" s="232" customFormat="1" ht="17" customHeight="1">
      <c r="A14214" s="234"/>
      <c r="B14214" s="233"/>
      <c r="C14214" s="238"/>
      <c r="E14214" s="545"/>
      <c r="F14214" s="546"/>
      <c r="G14214" s="234"/>
      <c r="H14214" s="238"/>
      <c r="I14214" s="237"/>
    </row>
    <row r="14215" spans="1:9" s="232" customFormat="1" ht="17" customHeight="1">
      <c r="A14215" s="234"/>
      <c r="B14215" s="233"/>
      <c r="C14215" s="238"/>
      <c r="E14215" s="545"/>
      <c r="F14215" s="546"/>
      <c r="G14215" s="234"/>
      <c r="H14215" s="238"/>
      <c r="I14215" s="237"/>
    </row>
    <row r="14216" spans="1:9" s="232" customFormat="1" ht="17" customHeight="1">
      <c r="A14216" s="234"/>
      <c r="B14216" s="233"/>
      <c r="C14216" s="238"/>
      <c r="E14216" s="545"/>
      <c r="F14216" s="546"/>
      <c r="G14216" s="234"/>
      <c r="H14216" s="238"/>
      <c r="I14216" s="237"/>
    </row>
    <row r="14217" spans="1:9" s="232" customFormat="1" ht="17" customHeight="1">
      <c r="A14217" s="234"/>
      <c r="B14217" s="233"/>
      <c r="C14217" s="238"/>
      <c r="E14217" s="545"/>
      <c r="F14217" s="546"/>
      <c r="G14217" s="234"/>
      <c r="H14217" s="238"/>
      <c r="I14217" s="237"/>
    </row>
    <row r="14218" spans="1:9" s="232" customFormat="1" ht="17" customHeight="1">
      <c r="A14218" s="234"/>
      <c r="B14218" s="233"/>
      <c r="C14218" s="238"/>
      <c r="E14218" s="545"/>
      <c r="F14218" s="546"/>
      <c r="G14218" s="234"/>
      <c r="H14218" s="238"/>
      <c r="I14218" s="237"/>
    </row>
    <row r="14219" spans="1:9" s="232" customFormat="1" ht="17" customHeight="1">
      <c r="A14219" s="234"/>
      <c r="B14219" s="233"/>
      <c r="C14219" s="238"/>
      <c r="E14219" s="545"/>
      <c r="F14219" s="546"/>
      <c r="G14219" s="234"/>
      <c r="H14219" s="238"/>
      <c r="I14219" s="237"/>
    </row>
    <row r="14220" spans="1:9" s="232" customFormat="1" ht="17" customHeight="1">
      <c r="A14220" s="234"/>
      <c r="B14220" s="233"/>
      <c r="C14220" s="238"/>
      <c r="E14220" s="545"/>
      <c r="F14220" s="546"/>
      <c r="G14220" s="234"/>
      <c r="H14220" s="238"/>
      <c r="I14220" s="237"/>
    </row>
    <row r="14221" spans="1:9" s="232" customFormat="1" ht="17" customHeight="1">
      <c r="A14221" s="234"/>
      <c r="B14221" s="233"/>
      <c r="C14221" s="238"/>
      <c r="E14221" s="545"/>
      <c r="F14221" s="546"/>
      <c r="G14221" s="234"/>
      <c r="H14221" s="238"/>
      <c r="I14221" s="237"/>
    </row>
    <row r="14222" spans="1:9" s="232" customFormat="1" ht="17" customHeight="1">
      <c r="A14222" s="234"/>
      <c r="B14222" s="233"/>
      <c r="C14222" s="238"/>
      <c r="E14222" s="545"/>
      <c r="F14222" s="546"/>
      <c r="G14222" s="234"/>
      <c r="H14222" s="238"/>
      <c r="I14222" s="237"/>
    </row>
    <row r="14223" spans="1:9" s="232" customFormat="1" ht="17" customHeight="1">
      <c r="A14223" s="234"/>
      <c r="B14223" s="233"/>
      <c r="C14223" s="238"/>
      <c r="E14223" s="545"/>
      <c r="F14223" s="546"/>
      <c r="G14223" s="234"/>
      <c r="H14223" s="238"/>
      <c r="I14223" s="237"/>
    </row>
    <row r="14224" spans="1:9" s="232" customFormat="1" ht="17" customHeight="1">
      <c r="A14224" s="234"/>
      <c r="B14224" s="233"/>
      <c r="C14224" s="238"/>
      <c r="E14224" s="545"/>
      <c r="F14224" s="546"/>
      <c r="G14224" s="234"/>
      <c r="H14224" s="238"/>
      <c r="I14224" s="237"/>
    </row>
    <row r="14225" spans="1:9" s="232" customFormat="1" ht="17" customHeight="1">
      <c r="A14225" s="234"/>
      <c r="B14225" s="233"/>
      <c r="C14225" s="238"/>
      <c r="E14225" s="545"/>
      <c r="F14225" s="546"/>
      <c r="G14225" s="234"/>
      <c r="H14225" s="238"/>
      <c r="I14225" s="237"/>
    </row>
    <row r="14226" spans="1:9" s="232" customFormat="1" ht="17" customHeight="1">
      <c r="A14226" s="234"/>
      <c r="B14226" s="233"/>
      <c r="C14226" s="238"/>
      <c r="E14226" s="545"/>
      <c r="F14226" s="546"/>
      <c r="G14226" s="234"/>
      <c r="H14226" s="238"/>
      <c r="I14226" s="237"/>
    </row>
    <row r="14227" spans="1:9" s="232" customFormat="1" ht="17" customHeight="1">
      <c r="A14227" s="234"/>
      <c r="B14227" s="233"/>
      <c r="C14227" s="238"/>
      <c r="E14227" s="545"/>
      <c r="F14227" s="546"/>
      <c r="G14227" s="234"/>
      <c r="H14227" s="238"/>
      <c r="I14227" s="237"/>
    </row>
    <row r="14228" spans="1:9" s="232" customFormat="1" ht="17" customHeight="1">
      <c r="A14228" s="234"/>
      <c r="B14228" s="233"/>
      <c r="C14228" s="238"/>
      <c r="E14228" s="545"/>
      <c r="F14228" s="546"/>
      <c r="G14228" s="234"/>
      <c r="H14228" s="238"/>
      <c r="I14228" s="237"/>
    </row>
    <row r="14229" spans="1:9" s="232" customFormat="1" ht="17" customHeight="1">
      <c r="A14229" s="234"/>
      <c r="B14229" s="233"/>
      <c r="C14229" s="238"/>
      <c r="E14229" s="545"/>
      <c r="F14229" s="546"/>
      <c r="G14229" s="234"/>
      <c r="H14229" s="238"/>
      <c r="I14229" s="237"/>
    </row>
    <row r="14230" spans="1:9" s="232" customFormat="1" ht="17" customHeight="1">
      <c r="A14230" s="234"/>
      <c r="B14230" s="233"/>
      <c r="C14230" s="238"/>
      <c r="E14230" s="545"/>
      <c r="F14230" s="546"/>
      <c r="G14230" s="234"/>
      <c r="H14230" s="238"/>
      <c r="I14230" s="237"/>
    </row>
    <row r="14231" spans="1:9" s="232" customFormat="1" ht="17" customHeight="1">
      <c r="A14231" s="234"/>
      <c r="B14231" s="233"/>
      <c r="C14231" s="238"/>
      <c r="E14231" s="545"/>
      <c r="F14231" s="546"/>
      <c r="G14231" s="234"/>
      <c r="H14231" s="238"/>
      <c r="I14231" s="237"/>
    </row>
    <row r="14232" spans="1:9" s="232" customFormat="1" ht="17" customHeight="1">
      <c r="A14232" s="234"/>
      <c r="B14232" s="233"/>
      <c r="C14232" s="238"/>
      <c r="E14232" s="545"/>
      <c r="F14232" s="546"/>
      <c r="G14232" s="234"/>
      <c r="H14232" s="238"/>
      <c r="I14232" s="237"/>
    </row>
    <row r="14233" spans="1:9" s="232" customFormat="1" ht="17" customHeight="1">
      <c r="A14233" s="234"/>
      <c r="B14233" s="233"/>
      <c r="C14233" s="238"/>
      <c r="E14233" s="545"/>
      <c r="F14233" s="546"/>
      <c r="G14233" s="234"/>
      <c r="H14233" s="238"/>
      <c r="I14233" s="237"/>
    </row>
    <row r="14234" spans="1:9" s="232" customFormat="1" ht="17" customHeight="1">
      <c r="A14234" s="234"/>
      <c r="B14234" s="233"/>
      <c r="C14234" s="238"/>
      <c r="E14234" s="545"/>
      <c r="F14234" s="546"/>
      <c r="G14234" s="234"/>
      <c r="H14234" s="238"/>
      <c r="I14234" s="237"/>
    </row>
    <row r="14235" spans="1:9" s="232" customFormat="1" ht="17" customHeight="1">
      <c r="A14235" s="234"/>
      <c r="B14235" s="233"/>
      <c r="C14235" s="238"/>
      <c r="E14235" s="545"/>
      <c r="F14235" s="546"/>
      <c r="G14235" s="234"/>
      <c r="H14235" s="238"/>
      <c r="I14235" s="237"/>
    </row>
    <row r="14236" spans="1:9" s="232" customFormat="1" ht="17" customHeight="1">
      <c r="A14236" s="234"/>
      <c r="B14236" s="233"/>
      <c r="C14236" s="238"/>
      <c r="E14236" s="545"/>
      <c r="F14236" s="546"/>
      <c r="G14236" s="234"/>
      <c r="H14236" s="238"/>
      <c r="I14236" s="237"/>
    </row>
    <row r="14237" spans="1:9" s="232" customFormat="1" ht="17" customHeight="1">
      <c r="A14237" s="234"/>
      <c r="B14237" s="233"/>
      <c r="C14237" s="238"/>
      <c r="E14237" s="545"/>
      <c r="F14237" s="546"/>
      <c r="G14237" s="234"/>
      <c r="H14237" s="238"/>
      <c r="I14237" s="237"/>
    </row>
    <row r="14238" spans="1:9" s="232" customFormat="1" ht="17" customHeight="1">
      <c r="A14238" s="234"/>
      <c r="B14238" s="233"/>
      <c r="C14238" s="238"/>
      <c r="E14238" s="545"/>
      <c r="F14238" s="546"/>
      <c r="G14238" s="234"/>
      <c r="H14238" s="238"/>
      <c r="I14238" s="237"/>
    </row>
    <row r="14239" spans="1:9" s="232" customFormat="1" ht="17" customHeight="1">
      <c r="A14239" s="234"/>
      <c r="B14239" s="233"/>
      <c r="C14239" s="238"/>
      <c r="E14239" s="545"/>
      <c r="F14239" s="546"/>
      <c r="G14239" s="234"/>
      <c r="H14239" s="238"/>
      <c r="I14239" s="237"/>
    </row>
    <row r="14240" spans="1:9" s="232" customFormat="1" ht="17" customHeight="1">
      <c r="A14240" s="234"/>
      <c r="B14240" s="233"/>
      <c r="C14240" s="238"/>
      <c r="E14240" s="545"/>
      <c r="F14240" s="546"/>
      <c r="G14240" s="234"/>
      <c r="H14240" s="238"/>
      <c r="I14240" s="237"/>
    </row>
    <row r="14241" spans="1:9" s="232" customFormat="1" ht="17" customHeight="1">
      <c r="A14241" s="234"/>
      <c r="B14241" s="233"/>
      <c r="C14241" s="238"/>
      <c r="E14241" s="545"/>
      <c r="F14241" s="546"/>
      <c r="G14241" s="234"/>
      <c r="H14241" s="238"/>
      <c r="I14241" s="237"/>
    </row>
    <row r="14242" spans="1:9" s="232" customFormat="1" ht="17" customHeight="1">
      <c r="A14242" s="234"/>
      <c r="B14242" s="233"/>
      <c r="C14242" s="238"/>
      <c r="E14242" s="545"/>
      <c r="F14242" s="546"/>
      <c r="G14242" s="234"/>
      <c r="H14242" s="238"/>
      <c r="I14242" s="237"/>
    </row>
    <row r="14243" spans="1:9" s="232" customFormat="1" ht="17" customHeight="1">
      <c r="A14243" s="234"/>
      <c r="B14243" s="233"/>
      <c r="C14243" s="238"/>
      <c r="E14243" s="545"/>
      <c r="F14243" s="546"/>
      <c r="G14243" s="234"/>
      <c r="H14243" s="238"/>
      <c r="I14243" s="237"/>
    </row>
    <row r="14244" spans="1:9" s="232" customFormat="1" ht="17" customHeight="1">
      <c r="A14244" s="234"/>
      <c r="B14244" s="233"/>
      <c r="C14244" s="238"/>
      <c r="E14244" s="545"/>
      <c r="F14244" s="546"/>
      <c r="G14244" s="234"/>
      <c r="H14244" s="238"/>
      <c r="I14244" s="237"/>
    </row>
    <row r="14245" spans="1:9" s="232" customFormat="1" ht="17" customHeight="1">
      <c r="A14245" s="234"/>
      <c r="B14245" s="233"/>
      <c r="C14245" s="238"/>
      <c r="E14245" s="545"/>
      <c r="F14245" s="546"/>
      <c r="G14245" s="234"/>
      <c r="H14245" s="238"/>
      <c r="I14245" s="237"/>
    </row>
    <row r="14246" spans="1:9" s="232" customFormat="1" ht="17" customHeight="1">
      <c r="A14246" s="234"/>
      <c r="B14246" s="233"/>
      <c r="C14246" s="238"/>
      <c r="E14246" s="545"/>
      <c r="F14246" s="546"/>
      <c r="G14246" s="234"/>
      <c r="H14246" s="238"/>
      <c r="I14246" s="237"/>
    </row>
    <row r="14247" spans="1:9" s="232" customFormat="1" ht="17" customHeight="1">
      <c r="A14247" s="234"/>
      <c r="B14247" s="233"/>
      <c r="C14247" s="238"/>
      <c r="E14247" s="545"/>
      <c r="F14247" s="546"/>
      <c r="G14247" s="234"/>
      <c r="H14247" s="238"/>
      <c r="I14247" s="237"/>
    </row>
    <row r="14248" spans="1:9" s="232" customFormat="1" ht="17" customHeight="1">
      <c r="A14248" s="234"/>
      <c r="B14248" s="233"/>
      <c r="C14248" s="238"/>
      <c r="E14248" s="545"/>
      <c r="F14248" s="546"/>
      <c r="G14248" s="234"/>
      <c r="H14248" s="238"/>
      <c r="I14248" s="237"/>
    </row>
    <row r="14249" spans="1:9" s="232" customFormat="1" ht="17" customHeight="1">
      <c r="A14249" s="234"/>
      <c r="B14249" s="233"/>
      <c r="C14249" s="238"/>
      <c r="E14249" s="545"/>
      <c r="F14249" s="546"/>
      <c r="G14249" s="234"/>
      <c r="H14249" s="238"/>
      <c r="I14249" s="237"/>
    </row>
    <row r="14250" spans="1:9" s="232" customFormat="1" ht="17" customHeight="1">
      <c r="A14250" s="234"/>
      <c r="B14250" s="233"/>
      <c r="C14250" s="238"/>
      <c r="E14250" s="545"/>
      <c r="F14250" s="546"/>
      <c r="G14250" s="234"/>
      <c r="H14250" s="238"/>
      <c r="I14250" s="237"/>
    </row>
    <row r="14251" spans="1:9" s="232" customFormat="1" ht="17" customHeight="1">
      <c r="A14251" s="234"/>
      <c r="B14251" s="233"/>
      <c r="C14251" s="238"/>
      <c r="E14251" s="545"/>
      <c r="F14251" s="546"/>
      <c r="G14251" s="234"/>
      <c r="H14251" s="238"/>
      <c r="I14251" s="237"/>
    </row>
    <row r="14252" spans="1:9" s="232" customFormat="1" ht="17" customHeight="1">
      <c r="A14252" s="234"/>
      <c r="B14252" s="233"/>
      <c r="C14252" s="238"/>
      <c r="E14252" s="545"/>
      <c r="F14252" s="546"/>
      <c r="G14252" s="234"/>
      <c r="H14252" s="238"/>
      <c r="I14252" s="237"/>
    </row>
    <row r="14253" spans="1:9" s="232" customFormat="1" ht="17" customHeight="1">
      <c r="A14253" s="234"/>
      <c r="B14253" s="233"/>
      <c r="C14253" s="238"/>
      <c r="E14253" s="545"/>
      <c r="F14253" s="546"/>
      <c r="G14253" s="234"/>
      <c r="H14253" s="238"/>
      <c r="I14253" s="237"/>
    </row>
    <row r="14254" spans="1:9" s="232" customFormat="1" ht="17" customHeight="1">
      <c r="A14254" s="234"/>
      <c r="B14254" s="233"/>
      <c r="C14254" s="238"/>
      <c r="E14254" s="545"/>
      <c r="F14254" s="546"/>
      <c r="G14254" s="234"/>
      <c r="H14254" s="238"/>
      <c r="I14254" s="237"/>
    </row>
    <row r="14255" spans="1:9" s="232" customFormat="1" ht="17" customHeight="1">
      <c r="A14255" s="234"/>
      <c r="B14255" s="233"/>
      <c r="C14255" s="238"/>
      <c r="E14255" s="545"/>
      <c r="F14255" s="546"/>
      <c r="G14255" s="234"/>
      <c r="H14255" s="238"/>
      <c r="I14255" s="237"/>
    </row>
    <row r="14256" spans="1:9" s="232" customFormat="1" ht="17" customHeight="1">
      <c r="A14256" s="234"/>
      <c r="B14256" s="233"/>
      <c r="C14256" s="238"/>
      <c r="E14256" s="545"/>
      <c r="F14256" s="546"/>
      <c r="G14256" s="234"/>
      <c r="H14256" s="238"/>
      <c r="I14256" s="237"/>
    </row>
    <row r="14257" spans="1:9" s="232" customFormat="1" ht="17" customHeight="1">
      <c r="A14257" s="234"/>
      <c r="B14257" s="233"/>
      <c r="C14257" s="238"/>
      <c r="E14257" s="545"/>
      <c r="F14257" s="546"/>
      <c r="G14257" s="234"/>
      <c r="H14257" s="238"/>
      <c r="I14257" s="237"/>
    </row>
    <row r="14258" spans="1:9" s="232" customFormat="1" ht="17" customHeight="1">
      <c r="A14258" s="234"/>
      <c r="B14258" s="233"/>
      <c r="C14258" s="238"/>
      <c r="E14258" s="545"/>
      <c r="F14258" s="546"/>
      <c r="G14258" s="234"/>
      <c r="H14258" s="238"/>
      <c r="I14258" s="237"/>
    </row>
    <row r="14259" spans="1:9" s="232" customFormat="1" ht="17" customHeight="1">
      <c r="A14259" s="234"/>
      <c r="B14259" s="233"/>
      <c r="C14259" s="238"/>
      <c r="E14259" s="545"/>
      <c r="F14259" s="546"/>
      <c r="G14259" s="234"/>
      <c r="H14259" s="238"/>
      <c r="I14259" s="237"/>
    </row>
    <row r="14260" spans="1:9" s="232" customFormat="1" ht="17" customHeight="1">
      <c r="A14260" s="234"/>
      <c r="B14260" s="233"/>
      <c r="C14260" s="238"/>
      <c r="E14260" s="545"/>
      <c r="F14260" s="546"/>
      <c r="G14260" s="234"/>
      <c r="H14260" s="238"/>
      <c r="I14260" s="237"/>
    </row>
    <row r="14261" spans="1:9" s="232" customFormat="1" ht="17" customHeight="1">
      <c r="A14261" s="234"/>
      <c r="B14261" s="233"/>
      <c r="C14261" s="238"/>
      <c r="E14261" s="545"/>
      <c r="F14261" s="546"/>
      <c r="G14261" s="234"/>
      <c r="H14261" s="238"/>
      <c r="I14261" s="237"/>
    </row>
    <row r="14262" spans="1:9" s="232" customFormat="1" ht="17" customHeight="1">
      <c r="A14262" s="234"/>
      <c r="B14262" s="233"/>
      <c r="C14262" s="238"/>
      <c r="E14262" s="545"/>
      <c r="F14262" s="546"/>
      <c r="G14262" s="234"/>
      <c r="H14262" s="238"/>
      <c r="I14262" s="237"/>
    </row>
    <row r="14263" spans="1:9" s="232" customFormat="1" ht="17" customHeight="1">
      <c r="A14263" s="234"/>
      <c r="B14263" s="233"/>
      <c r="C14263" s="238"/>
      <c r="E14263" s="545"/>
      <c r="F14263" s="546"/>
      <c r="G14263" s="234"/>
      <c r="H14263" s="238"/>
      <c r="I14263" s="237"/>
    </row>
    <row r="14264" spans="1:9" s="232" customFormat="1" ht="17" customHeight="1">
      <c r="A14264" s="234"/>
      <c r="B14264" s="233"/>
      <c r="C14264" s="238"/>
      <c r="E14264" s="545"/>
      <c r="F14264" s="546"/>
      <c r="G14264" s="234"/>
      <c r="H14264" s="238"/>
      <c r="I14264" s="237"/>
    </row>
    <row r="14265" spans="1:9" s="232" customFormat="1" ht="17" customHeight="1">
      <c r="A14265" s="234"/>
      <c r="B14265" s="233"/>
      <c r="C14265" s="238"/>
      <c r="E14265" s="545"/>
      <c r="F14265" s="546"/>
      <c r="G14265" s="234"/>
      <c r="H14265" s="238"/>
      <c r="I14265" s="237"/>
    </row>
    <row r="14266" spans="1:9" s="232" customFormat="1" ht="17" customHeight="1">
      <c r="A14266" s="234"/>
      <c r="B14266" s="233"/>
      <c r="C14266" s="238"/>
      <c r="E14266" s="545"/>
      <c r="F14266" s="546"/>
      <c r="G14266" s="234"/>
      <c r="H14266" s="238"/>
      <c r="I14266" s="237"/>
    </row>
    <row r="14267" spans="1:9" s="232" customFormat="1" ht="17" customHeight="1">
      <c r="A14267" s="234"/>
      <c r="B14267" s="233"/>
      <c r="C14267" s="238"/>
      <c r="E14267" s="545"/>
      <c r="F14267" s="546"/>
      <c r="G14267" s="234"/>
      <c r="H14267" s="238"/>
      <c r="I14267" s="237"/>
    </row>
    <row r="14268" spans="1:9" s="232" customFormat="1" ht="17" customHeight="1">
      <c r="A14268" s="234"/>
      <c r="B14268" s="233"/>
      <c r="C14268" s="238"/>
      <c r="E14268" s="545"/>
      <c r="F14268" s="546"/>
      <c r="G14268" s="234"/>
      <c r="H14268" s="238"/>
      <c r="I14268" s="237"/>
    </row>
    <row r="14269" spans="1:9" s="232" customFormat="1" ht="17" customHeight="1">
      <c r="A14269" s="234"/>
      <c r="B14269" s="233"/>
      <c r="C14269" s="238"/>
      <c r="E14269" s="545"/>
      <c r="F14269" s="546"/>
      <c r="G14269" s="234"/>
      <c r="H14269" s="238"/>
      <c r="I14269" s="237"/>
    </row>
    <row r="14270" spans="1:9" s="232" customFormat="1" ht="17" customHeight="1">
      <c r="A14270" s="234"/>
      <c r="B14270" s="233"/>
      <c r="C14270" s="238"/>
      <c r="E14270" s="545"/>
      <c r="F14270" s="546"/>
      <c r="G14270" s="234"/>
      <c r="H14270" s="238"/>
      <c r="I14270" s="237"/>
    </row>
    <row r="14271" spans="1:9" s="232" customFormat="1" ht="17" customHeight="1">
      <c r="A14271" s="234"/>
      <c r="B14271" s="233"/>
      <c r="C14271" s="238"/>
      <c r="E14271" s="545"/>
      <c r="F14271" s="546"/>
      <c r="G14271" s="234"/>
      <c r="H14271" s="238"/>
      <c r="I14271" s="237"/>
    </row>
    <row r="14272" spans="1:9" s="232" customFormat="1" ht="17" customHeight="1">
      <c r="A14272" s="234"/>
      <c r="B14272" s="233"/>
      <c r="C14272" s="238"/>
      <c r="E14272" s="545"/>
      <c r="F14272" s="546"/>
      <c r="G14272" s="234"/>
      <c r="H14272" s="238"/>
      <c r="I14272" s="237"/>
    </row>
    <row r="14273" spans="1:9" s="232" customFormat="1" ht="17" customHeight="1">
      <c r="A14273" s="234"/>
      <c r="B14273" s="233"/>
      <c r="C14273" s="238"/>
      <c r="E14273" s="545"/>
      <c r="F14273" s="546"/>
      <c r="G14273" s="234"/>
      <c r="H14273" s="238"/>
      <c r="I14273" s="237"/>
    </row>
    <row r="14274" spans="1:9" s="232" customFormat="1" ht="17" customHeight="1">
      <c r="A14274" s="234"/>
      <c r="B14274" s="233"/>
      <c r="C14274" s="238"/>
      <c r="E14274" s="545"/>
      <c r="F14274" s="546"/>
      <c r="G14274" s="234"/>
      <c r="H14274" s="238"/>
      <c r="I14274" s="237"/>
    </row>
    <row r="14275" spans="1:9" s="232" customFormat="1" ht="17" customHeight="1">
      <c r="A14275" s="234"/>
      <c r="B14275" s="233"/>
      <c r="C14275" s="238"/>
      <c r="E14275" s="545"/>
      <c r="F14275" s="546"/>
      <c r="G14275" s="234"/>
      <c r="H14275" s="238"/>
      <c r="I14275" s="237"/>
    </row>
    <row r="14276" spans="1:9" s="232" customFormat="1" ht="17" customHeight="1">
      <c r="A14276" s="234"/>
      <c r="B14276" s="233"/>
      <c r="C14276" s="238"/>
      <c r="E14276" s="545"/>
      <c r="F14276" s="546"/>
      <c r="G14276" s="234"/>
      <c r="H14276" s="238"/>
      <c r="I14276" s="237"/>
    </row>
    <row r="14277" spans="1:9" s="232" customFormat="1" ht="17" customHeight="1">
      <c r="A14277" s="234"/>
      <c r="B14277" s="233"/>
      <c r="C14277" s="238"/>
      <c r="E14277" s="545"/>
      <c r="F14277" s="546"/>
      <c r="G14277" s="234"/>
      <c r="H14277" s="238"/>
      <c r="I14277" s="237"/>
    </row>
    <row r="14278" spans="1:9" s="232" customFormat="1" ht="17" customHeight="1">
      <c r="A14278" s="234"/>
      <c r="B14278" s="233"/>
      <c r="C14278" s="238"/>
      <c r="E14278" s="545"/>
      <c r="F14278" s="546"/>
      <c r="G14278" s="234"/>
      <c r="H14278" s="238"/>
      <c r="I14278" s="237"/>
    </row>
    <row r="14279" spans="1:9" s="232" customFormat="1" ht="17" customHeight="1">
      <c r="A14279" s="234"/>
      <c r="B14279" s="233"/>
      <c r="C14279" s="238"/>
      <c r="E14279" s="545"/>
      <c r="F14279" s="546"/>
      <c r="G14279" s="234"/>
      <c r="H14279" s="238"/>
      <c r="I14279" s="237"/>
    </row>
    <row r="14280" spans="1:9" s="232" customFormat="1" ht="17" customHeight="1">
      <c r="A14280" s="234"/>
      <c r="B14280" s="233"/>
      <c r="C14280" s="238"/>
      <c r="E14280" s="545"/>
      <c r="F14280" s="546"/>
      <c r="G14280" s="234"/>
      <c r="H14280" s="238"/>
      <c r="I14280" s="237"/>
    </row>
    <row r="14281" spans="1:9" s="232" customFormat="1" ht="17" customHeight="1">
      <c r="A14281" s="234"/>
      <c r="B14281" s="233"/>
      <c r="C14281" s="238"/>
      <c r="E14281" s="545"/>
      <c r="F14281" s="546"/>
      <c r="G14281" s="234"/>
      <c r="H14281" s="238"/>
      <c r="I14281" s="237"/>
    </row>
    <row r="14282" spans="1:9" s="232" customFormat="1" ht="17" customHeight="1">
      <c r="A14282" s="234"/>
      <c r="B14282" s="233"/>
      <c r="C14282" s="238"/>
      <c r="E14282" s="545"/>
      <c r="F14282" s="546"/>
      <c r="G14282" s="234"/>
      <c r="H14282" s="238"/>
      <c r="I14282" s="237"/>
    </row>
    <row r="14283" spans="1:9" s="232" customFormat="1" ht="17" customHeight="1">
      <c r="A14283" s="234"/>
      <c r="B14283" s="233"/>
      <c r="C14283" s="238"/>
      <c r="E14283" s="545"/>
      <c r="F14283" s="546"/>
      <c r="G14283" s="234"/>
      <c r="H14283" s="238"/>
      <c r="I14283" s="237"/>
    </row>
    <row r="14284" spans="1:9" s="232" customFormat="1" ht="17" customHeight="1">
      <c r="A14284" s="234"/>
      <c r="B14284" s="233"/>
      <c r="C14284" s="238"/>
      <c r="E14284" s="545"/>
      <c r="F14284" s="546"/>
      <c r="G14284" s="234"/>
      <c r="H14284" s="238"/>
      <c r="I14284" s="237"/>
    </row>
    <row r="14285" spans="1:9" s="232" customFormat="1" ht="17" customHeight="1">
      <c r="A14285" s="234"/>
      <c r="B14285" s="233"/>
      <c r="C14285" s="238"/>
      <c r="E14285" s="545"/>
      <c r="F14285" s="546"/>
      <c r="G14285" s="234"/>
      <c r="H14285" s="238"/>
      <c r="I14285" s="237"/>
    </row>
    <row r="14286" spans="1:9" s="232" customFormat="1" ht="17" customHeight="1">
      <c r="A14286" s="234"/>
      <c r="B14286" s="233"/>
      <c r="C14286" s="238"/>
      <c r="E14286" s="545"/>
      <c r="F14286" s="546"/>
      <c r="G14286" s="234"/>
      <c r="H14286" s="238"/>
      <c r="I14286" s="237"/>
    </row>
    <row r="14287" spans="1:9" s="232" customFormat="1" ht="17" customHeight="1">
      <c r="A14287" s="234"/>
      <c r="B14287" s="233"/>
      <c r="C14287" s="238"/>
      <c r="E14287" s="545"/>
      <c r="F14287" s="546"/>
      <c r="G14287" s="234"/>
      <c r="H14287" s="238"/>
      <c r="I14287" s="237"/>
    </row>
    <row r="14288" spans="1:9" s="232" customFormat="1" ht="17" customHeight="1">
      <c r="A14288" s="234"/>
      <c r="B14288" s="233"/>
      <c r="C14288" s="238"/>
      <c r="E14288" s="545"/>
      <c r="F14288" s="546"/>
      <c r="G14288" s="234"/>
      <c r="H14288" s="238"/>
      <c r="I14288" s="237"/>
    </row>
    <row r="14289" spans="1:9" s="232" customFormat="1" ht="17" customHeight="1">
      <c r="A14289" s="234"/>
      <c r="B14289" s="233"/>
      <c r="C14289" s="238"/>
      <c r="E14289" s="545"/>
      <c r="F14289" s="546"/>
      <c r="G14289" s="234"/>
      <c r="H14289" s="238"/>
      <c r="I14289" s="237"/>
    </row>
    <row r="14290" spans="1:9" s="232" customFormat="1" ht="17" customHeight="1">
      <c r="A14290" s="234"/>
      <c r="B14290" s="233"/>
      <c r="C14290" s="238"/>
      <c r="E14290" s="545"/>
      <c r="F14290" s="546"/>
      <c r="G14290" s="234"/>
      <c r="H14290" s="238"/>
      <c r="I14290" s="237"/>
    </row>
    <row r="14291" spans="1:9" s="232" customFormat="1" ht="17" customHeight="1">
      <c r="A14291" s="234"/>
      <c r="B14291" s="233"/>
      <c r="C14291" s="238"/>
      <c r="E14291" s="545"/>
      <c r="F14291" s="546"/>
      <c r="G14291" s="234"/>
      <c r="H14291" s="238"/>
      <c r="I14291" s="237"/>
    </row>
    <row r="14292" spans="1:9" s="232" customFormat="1" ht="17" customHeight="1">
      <c r="A14292" s="234"/>
      <c r="B14292" s="233"/>
      <c r="C14292" s="238"/>
      <c r="E14292" s="545"/>
      <c r="F14292" s="546"/>
      <c r="G14292" s="234"/>
      <c r="H14292" s="238"/>
      <c r="I14292" s="237"/>
    </row>
    <row r="14293" spans="1:9" s="232" customFormat="1" ht="17" customHeight="1">
      <c r="A14293" s="234"/>
      <c r="B14293" s="233"/>
      <c r="C14293" s="238"/>
      <c r="E14293" s="545"/>
      <c r="F14293" s="546"/>
      <c r="G14293" s="234"/>
      <c r="H14293" s="238"/>
      <c r="I14293" s="237"/>
    </row>
    <row r="14294" spans="1:9" s="232" customFormat="1" ht="17" customHeight="1">
      <c r="A14294" s="234"/>
      <c r="B14294" s="233"/>
      <c r="C14294" s="238"/>
      <c r="E14294" s="545"/>
      <c r="F14294" s="546"/>
      <c r="G14294" s="234"/>
      <c r="H14294" s="238"/>
      <c r="I14294" s="237"/>
    </row>
    <row r="14295" spans="1:9" s="232" customFormat="1" ht="17" customHeight="1">
      <c r="A14295" s="234"/>
      <c r="B14295" s="233"/>
      <c r="C14295" s="238"/>
      <c r="E14295" s="545"/>
      <c r="F14295" s="546"/>
      <c r="G14295" s="234"/>
      <c r="H14295" s="238"/>
      <c r="I14295" s="237"/>
    </row>
    <row r="14296" spans="1:9" s="232" customFormat="1" ht="17" customHeight="1">
      <c r="A14296" s="234"/>
      <c r="B14296" s="233"/>
      <c r="C14296" s="238"/>
      <c r="E14296" s="545"/>
      <c r="F14296" s="546"/>
      <c r="G14296" s="234"/>
      <c r="H14296" s="238"/>
      <c r="I14296" s="237"/>
    </row>
    <row r="14297" spans="1:9" s="232" customFormat="1" ht="17" customHeight="1">
      <c r="A14297" s="234"/>
      <c r="B14297" s="233"/>
      <c r="C14297" s="238"/>
      <c r="E14297" s="545"/>
      <c r="F14297" s="546"/>
      <c r="G14297" s="234"/>
      <c r="H14297" s="238"/>
      <c r="I14297" s="237"/>
    </row>
    <row r="14298" spans="1:9" s="232" customFormat="1" ht="17" customHeight="1">
      <c r="A14298" s="234"/>
      <c r="B14298" s="233"/>
      <c r="C14298" s="238"/>
      <c r="E14298" s="545"/>
      <c r="F14298" s="546"/>
      <c r="G14298" s="234"/>
      <c r="H14298" s="238"/>
      <c r="I14298" s="237"/>
    </row>
    <row r="14299" spans="1:9" s="232" customFormat="1" ht="17" customHeight="1">
      <c r="A14299" s="234"/>
      <c r="B14299" s="233"/>
      <c r="C14299" s="238"/>
      <c r="E14299" s="545"/>
      <c r="F14299" s="546"/>
      <c r="G14299" s="234"/>
      <c r="H14299" s="238"/>
      <c r="I14299" s="237"/>
    </row>
    <row r="14300" spans="1:9" s="232" customFormat="1" ht="17" customHeight="1">
      <c r="A14300" s="234"/>
      <c r="B14300" s="233"/>
      <c r="C14300" s="238"/>
      <c r="E14300" s="545"/>
      <c r="F14300" s="546"/>
      <c r="G14300" s="234"/>
      <c r="H14300" s="238"/>
      <c r="I14300" s="237"/>
    </row>
    <row r="14301" spans="1:9" s="232" customFormat="1" ht="17" customHeight="1">
      <c r="A14301" s="234"/>
      <c r="B14301" s="233"/>
      <c r="C14301" s="238"/>
      <c r="E14301" s="545"/>
      <c r="F14301" s="546"/>
      <c r="G14301" s="234"/>
      <c r="H14301" s="238"/>
      <c r="I14301" s="237"/>
    </row>
    <row r="14302" spans="1:9" s="232" customFormat="1" ht="17" customHeight="1">
      <c r="A14302" s="234"/>
      <c r="B14302" s="233"/>
      <c r="C14302" s="238"/>
      <c r="E14302" s="545"/>
      <c r="F14302" s="546"/>
      <c r="G14302" s="234"/>
      <c r="H14302" s="238"/>
      <c r="I14302" s="237"/>
    </row>
    <row r="14303" spans="1:9" s="232" customFormat="1" ht="17" customHeight="1">
      <c r="A14303" s="234"/>
      <c r="B14303" s="233"/>
      <c r="C14303" s="238"/>
      <c r="E14303" s="545"/>
      <c r="F14303" s="546"/>
      <c r="G14303" s="234"/>
      <c r="H14303" s="238"/>
      <c r="I14303" s="237"/>
    </row>
    <row r="14304" spans="1:9" s="232" customFormat="1" ht="17" customHeight="1">
      <c r="A14304" s="234"/>
      <c r="B14304" s="233"/>
      <c r="C14304" s="238"/>
      <c r="E14304" s="545"/>
      <c r="F14304" s="546"/>
      <c r="G14304" s="234"/>
      <c r="H14304" s="238"/>
      <c r="I14304" s="237"/>
    </row>
    <row r="14305" spans="1:9" s="232" customFormat="1" ht="17" customHeight="1">
      <c r="A14305" s="234"/>
      <c r="B14305" s="233"/>
      <c r="C14305" s="238"/>
      <c r="E14305" s="545"/>
      <c r="F14305" s="546"/>
      <c r="G14305" s="234"/>
      <c r="H14305" s="238"/>
      <c r="I14305" s="237"/>
    </row>
    <row r="14306" spans="1:9" s="232" customFormat="1" ht="17" customHeight="1">
      <c r="A14306" s="234"/>
      <c r="B14306" s="233"/>
      <c r="C14306" s="238"/>
      <c r="E14306" s="545"/>
      <c r="F14306" s="546"/>
      <c r="G14306" s="234"/>
      <c r="H14306" s="238"/>
      <c r="I14306" s="237"/>
    </row>
    <row r="14307" spans="1:9" s="232" customFormat="1" ht="17" customHeight="1">
      <c r="A14307" s="234"/>
      <c r="B14307" s="233"/>
      <c r="C14307" s="238"/>
      <c r="E14307" s="545"/>
      <c r="F14307" s="546"/>
      <c r="G14307" s="234"/>
      <c r="H14307" s="238"/>
      <c r="I14307" s="237"/>
    </row>
    <row r="14308" spans="1:9" s="232" customFormat="1" ht="17" customHeight="1">
      <c r="A14308" s="234"/>
      <c r="B14308" s="233"/>
      <c r="C14308" s="238"/>
      <c r="E14308" s="545"/>
      <c r="F14308" s="546"/>
      <c r="G14308" s="234"/>
      <c r="H14308" s="238"/>
      <c r="I14308" s="237"/>
    </row>
    <row r="14309" spans="1:9" s="232" customFormat="1" ht="17" customHeight="1">
      <c r="A14309" s="234"/>
      <c r="B14309" s="233"/>
      <c r="C14309" s="238"/>
      <c r="E14309" s="545"/>
      <c r="F14309" s="546"/>
      <c r="G14309" s="234"/>
      <c r="H14309" s="238"/>
      <c r="I14309" s="237"/>
    </row>
    <row r="14310" spans="1:9" s="232" customFormat="1" ht="17" customHeight="1">
      <c r="A14310" s="234"/>
      <c r="B14310" s="233"/>
      <c r="C14310" s="238"/>
      <c r="E14310" s="545"/>
      <c r="F14310" s="546"/>
      <c r="G14310" s="234"/>
      <c r="H14310" s="238"/>
      <c r="I14310" s="237"/>
    </row>
    <row r="14311" spans="1:9" s="232" customFormat="1" ht="17" customHeight="1">
      <c r="A14311" s="234"/>
      <c r="B14311" s="233"/>
      <c r="C14311" s="238"/>
      <c r="E14311" s="545"/>
      <c r="F14311" s="546"/>
      <c r="G14311" s="234"/>
      <c r="H14311" s="238"/>
      <c r="I14311" s="237"/>
    </row>
    <row r="14312" spans="1:9" s="232" customFormat="1" ht="17" customHeight="1">
      <c r="A14312" s="234"/>
      <c r="B14312" s="233"/>
      <c r="C14312" s="238"/>
      <c r="E14312" s="545"/>
      <c r="F14312" s="546"/>
      <c r="G14312" s="234"/>
      <c r="H14312" s="238"/>
      <c r="I14312" s="237"/>
    </row>
    <row r="14313" spans="1:9" s="232" customFormat="1" ht="17" customHeight="1">
      <c r="A14313" s="234"/>
      <c r="B14313" s="233"/>
      <c r="C14313" s="238"/>
      <c r="E14313" s="545"/>
      <c r="F14313" s="546"/>
      <c r="G14313" s="234"/>
      <c r="H14313" s="238"/>
      <c r="I14313" s="237"/>
    </row>
    <row r="14314" spans="1:9" s="232" customFormat="1" ht="17" customHeight="1">
      <c r="A14314" s="234"/>
      <c r="B14314" s="233"/>
      <c r="C14314" s="238"/>
      <c r="E14314" s="545"/>
      <c r="F14314" s="546"/>
      <c r="G14314" s="234"/>
      <c r="H14314" s="238"/>
      <c r="I14314" s="237"/>
    </row>
    <row r="14315" spans="1:9" s="232" customFormat="1" ht="17" customHeight="1">
      <c r="A14315" s="234"/>
      <c r="B14315" s="233"/>
      <c r="C14315" s="238"/>
      <c r="E14315" s="545"/>
      <c r="F14315" s="546"/>
      <c r="G14315" s="234"/>
      <c r="H14315" s="238"/>
      <c r="I14315" s="237"/>
    </row>
    <row r="14316" spans="1:9" s="232" customFormat="1" ht="17" customHeight="1">
      <c r="A14316" s="234"/>
      <c r="B14316" s="233"/>
      <c r="C14316" s="238"/>
      <c r="E14316" s="545"/>
      <c r="F14316" s="546"/>
      <c r="G14316" s="234"/>
      <c r="H14316" s="238"/>
      <c r="I14316" s="237"/>
    </row>
    <row r="14317" spans="1:9" s="232" customFormat="1" ht="17" customHeight="1">
      <c r="A14317" s="234"/>
      <c r="B14317" s="233"/>
      <c r="C14317" s="238"/>
      <c r="E14317" s="545"/>
      <c r="F14317" s="546"/>
      <c r="G14317" s="234"/>
      <c r="H14317" s="238"/>
      <c r="I14317" s="237"/>
    </row>
    <row r="14318" spans="1:9" s="232" customFormat="1" ht="17" customHeight="1">
      <c r="A14318" s="234"/>
      <c r="B14318" s="233"/>
      <c r="C14318" s="238"/>
      <c r="E14318" s="545"/>
      <c r="F14318" s="546"/>
      <c r="G14318" s="234"/>
      <c r="H14318" s="238"/>
      <c r="I14318" s="237"/>
    </row>
    <row r="14319" spans="1:9" s="232" customFormat="1" ht="17" customHeight="1">
      <c r="A14319" s="234"/>
      <c r="B14319" s="233"/>
      <c r="C14319" s="238"/>
      <c r="E14319" s="545"/>
      <c r="F14319" s="546"/>
      <c r="G14319" s="234"/>
      <c r="H14319" s="238"/>
      <c r="I14319" s="237"/>
    </row>
    <row r="14320" spans="1:9" s="232" customFormat="1" ht="17" customHeight="1">
      <c r="A14320" s="234"/>
      <c r="B14320" s="233"/>
      <c r="C14320" s="238"/>
      <c r="E14320" s="545"/>
      <c r="F14320" s="546"/>
      <c r="G14320" s="234"/>
      <c r="H14320" s="238"/>
      <c r="I14320" s="237"/>
    </row>
    <row r="14321" spans="1:9" s="232" customFormat="1" ht="17" customHeight="1">
      <c r="A14321" s="234"/>
      <c r="B14321" s="233"/>
      <c r="C14321" s="238"/>
      <c r="E14321" s="545"/>
      <c r="F14321" s="546"/>
      <c r="G14321" s="234"/>
      <c r="H14321" s="238"/>
      <c r="I14321" s="237"/>
    </row>
    <row r="14322" spans="1:9" s="232" customFormat="1" ht="17" customHeight="1">
      <c r="A14322" s="234"/>
      <c r="B14322" s="233"/>
      <c r="C14322" s="238"/>
      <c r="E14322" s="545"/>
      <c r="F14322" s="546"/>
      <c r="G14322" s="234"/>
      <c r="H14322" s="238"/>
      <c r="I14322" s="237"/>
    </row>
    <row r="14323" spans="1:9" s="232" customFormat="1" ht="17" customHeight="1">
      <c r="A14323" s="234"/>
      <c r="B14323" s="233"/>
      <c r="C14323" s="238"/>
      <c r="E14323" s="545"/>
      <c r="F14323" s="546"/>
      <c r="G14323" s="234"/>
      <c r="H14323" s="238"/>
      <c r="I14323" s="237"/>
    </row>
    <row r="14324" spans="1:9" s="232" customFormat="1" ht="17" customHeight="1">
      <c r="A14324" s="234"/>
      <c r="B14324" s="233"/>
      <c r="C14324" s="238"/>
      <c r="E14324" s="545"/>
      <c r="F14324" s="546"/>
      <c r="G14324" s="234"/>
      <c r="H14324" s="238"/>
      <c r="I14324" s="237"/>
    </row>
    <row r="14325" spans="1:9" s="232" customFormat="1" ht="17" customHeight="1">
      <c r="A14325" s="234"/>
      <c r="B14325" s="233"/>
      <c r="C14325" s="238"/>
      <c r="E14325" s="545"/>
      <c r="F14325" s="546"/>
      <c r="G14325" s="234"/>
      <c r="H14325" s="238"/>
      <c r="I14325" s="237"/>
    </row>
    <row r="14326" spans="1:9" s="232" customFormat="1" ht="17" customHeight="1">
      <c r="A14326" s="234"/>
      <c r="B14326" s="233"/>
      <c r="C14326" s="238"/>
      <c r="E14326" s="545"/>
      <c r="F14326" s="546"/>
      <c r="G14326" s="234"/>
      <c r="H14326" s="238"/>
      <c r="I14326" s="237"/>
    </row>
    <row r="14327" spans="1:9" s="232" customFormat="1" ht="17" customHeight="1">
      <c r="A14327" s="234"/>
      <c r="B14327" s="233"/>
      <c r="C14327" s="238"/>
      <c r="E14327" s="545"/>
      <c r="F14327" s="546"/>
      <c r="G14327" s="234"/>
      <c r="H14327" s="238"/>
      <c r="I14327" s="237"/>
    </row>
    <row r="14328" spans="1:9" s="232" customFormat="1" ht="17" customHeight="1">
      <c r="A14328" s="234"/>
      <c r="B14328" s="233"/>
      <c r="C14328" s="238"/>
      <c r="E14328" s="545"/>
      <c r="F14328" s="546"/>
      <c r="G14328" s="234"/>
      <c r="H14328" s="238"/>
      <c r="I14328" s="237"/>
    </row>
    <row r="14329" spans="1:9" s="232" customFormat="1" ht="17" customHeight="1">
      <c r="A14329" s="234"/>
      <c r="B14329" s="233"/>
      <c r="C14329" s="238"/>
      <c r="E14329" s="545"/>
      <c r="F14329" s="546"/>
      <c r="G14329" s="234"/>
      <c r="H14329" s="238"/>
      <c r="I14329" s="237"/>
    </row>
    <row r="14330" spans="1:9" s="232" customFormat="1" ht="17" customHeight="1">
      <c r="A14330" s="234"/>
      <c r="B14330" s="233"/>
      <c r="C14330" s="238"/>
      <c r="E14330" s="545"/>
      <c r="F14330" s="546"/>
      <c r="G14330" s="234"/>
      <c r="H14330" s="238"/>
      <c r="I14330" s="237"/>
    </row>
    <row r="14331" spans="1:9" s="232" customFormat="1" ht="17" customHeight="1">
      <c r="A14331" s="234"/>
      <c r="B14331" s="233"/>
      <c r="C14331" s="238"/>
      <c r="E14331" s="545"/>
      <c r="F14331" s="546"/>
      <c r="G14331" s="234"/>
      <c r="H14331" s="238"/>
      <c r="I14331" s="237"/>
    </row>
    <row r="14332" spans="1:9" s="232" customFormat="1" ht="17" customHeight="1">
      <c r="A14332" s="234"/>
      <c r="B14332" s="233"/>
      <c r="C14332" s="238"/>
      <c r="E14332" s="545"/>
      <c r="F14332" s="546"/>
      <c r="G14332" s="234"/>
      <c r="H14332" s="238"/>
      <c r="I14332" s="237"/>
    </row>
    <row r="14333" spans="1:9" s="232" customFormat="1" ht="17" customHeight="1">
      <c r="A14333" s="234"/>
      <c r="B14333" s="233"/>
      <c r="C14333" s="238"/>
      <c r="E14333" s="545"/>
      <c r="F14333" s="546"/>
      <c r="G14333" s="234"/>
      <c r="H14333" s="238"/>
      <c r="I14333" s="237"/>
    </row>
    <row r="14334" spans="1:9" s="232" customFormat="1" ht="17" customHeight="1">
      <c r="A14334" s="234"/>
      <c r="B14334" s="233"/>
      <c r="C14334" s="238"/>
      <c r="E14334" s="545"/>
      <c r="F14334" s="546"/>
      <c r="G14334" s="234"/>
      <c r="H14334" s="238"/>
      <c r="I14334" s="237"/>
    </row>
    <row r="14335" spans="1:9" s="232" customFormat="1" ht="17" customHeight="1">
      <c r="A14335" s="234"/>
      <c r="B14335" s="233"/>
      <c r="C14335" s="238"/>
      <c r="E14335" s="545"/>
      <c r="F14335" s="546"/>
      <c r="G14335" s="234"/>
      <c r="H14335" s="238"/>
      <c r="I14335" s="237"/>
    </row>
    <row r="14336" spans="1:9" s="232" customFormat="1" ht="17" customHeight="1">
      <c r="A14336" s="234"/>
      <c r="B14336" s="233"/>
      <c r="C14336" s="238"/>
      <c r="E14336" s="545"/>
      <c r="F14336" s="546"/>
      <c r="G14336" s="234"/>
      <c r="H14336" s="238"/>
      <c r="I14336" s="237"/>
    </row>
    <row r="14337" spans="1:9" s="232" customFormat="1" ht="17" customHeight="1">
      <c r="A14337" s="234"/>
      <c r="B14337" s="233"/>
      <c r="C14337" s="238"/>
      <c r="E14337" s="545"/>
      <c r="F14337" s="546"/>
      <c r="G14337" s="234"/>
      <c r="H14337" s="238"/>
      <c r="I14337" s="237"/>
    </row>
    <row r="14338" spans="1:9" s="232" customFormat="1" ht="17" customHeight="1">
      <c r="A14338" s="234"/>
      <c r="B14338" s="233"/>
      <c r="C14338" s="238"/>
      <c r="E14338" s="545"/>
      <c r="F14338" s="546"/>
      <c r="G14338" s="234"/>
      <c r="H14338" s="238"/>
      <c r="I14338" s="237"/>
    </row>
    <row r="14339" spans="1:9" s="232" customFormat="1" ht="17" customHeight="1">
      <c r="A14339" s="234"/>
      <c r="B14339" s="233"/>
      <c r="C14339" s="238"/>
      <c r="E14339" s="545"/>
      <c r="F14339" s="546"/>
      <c r="G14339" s="234"/>
      <c r="H14339" s="238"/>
      <c r="I14339" s="237"/>
    </row>
    <row r="14340" spans="1:9" s="232" customFormat="1" ht="17" customHeight="1">
      <c r="A14340" s="234"/>
      <c r="B14340" s="233"/>
      <c r="C14340" s="238"/>
      <c r="E14340" s="545"/>
      <c r="F14340" s="546"/>
      <c r="G14340" s="234"/>
      <c r="H14340" s="238"/>
      <c r="I14340" s="237"/>
    </row>
    <row r="14341" spans="1:9" s="232" customFormat="1" ht="17" customHeight="1">
      <c r="A14341" s="234"/>
      <c r="B14341" s="233"/>
      <c r="C14341" s="238"/>
      <c r="E14341" s="545"/>
      <c r="F14341" s="546"/>
      <c r="G14341" s="234"/>
      <c r="H14341" s="238"/>
      <c r="I14341" s="237"/>
    </row>
    <row r="14342" spans="1:9" s="232" customFormat="1" ht="17" customHeight="1">
      <c r="A14342" s="234"/>
      <c r="B14342" s="233"/>
      <c r="C14342" s="238"/>
      <c r="E14342" s="545"/>
      <c r="F14342" s="546"/>
      <c r="G14342" s="234"/>
      <c r="H14342" s="238"/>
      <c r="I14342" s="237"/>
    </row>
    <row r="14343" spans="1:9" s="232" customFormat="1" ht="17" customHeight="1">
      <c r="A14343" s="234"/>
      <c r="B14343" s="233"/>
      <c r="C14343" s="238"/>
      <c r="E14343" s="545"/>
      <c r="F14343" s="546"/>
      <c r="G14343" s="234"/>
      <c r="H14343" s="238"/>
      <c r="I14343" s="237"/>
    </row>
    <row r="14344" spans="1:9" s="232" customFormat="1" ht="17" customHeight="1">
      <c r="A14344" s="234"/>
      <c r="B14344" s="233"/>
      <c r="C14344" s="238"/>
      <c r="E14344" s="545"/>
      <c r="F14344" s="546"/>
      <c r="G14344" s="234"/>
      <c r="H14344" s="238"/>
      <c r="I14344" s="237"/>
    </row>
    <row r="14345" spans="1:9" s="232" customFormat="1" ht="17" customHeight="1">
      <c r="A14345" s="234"/>
      <c r="B14345" s="233"/>
      <c r="C14345" s="238"/>
      <c r="E14345" s="545"/>
      <c r="F14345" s="546"/>
      <c r="G14345" s="234"/>
      <c r="H14345" s="238"/>
      <c r="I14345" s="237"/>
    </row>
    <row r="14346" spans="1:9" s="232" customFormat="1" ht="17" customHeight="1">
      <c r="A14346" s="234"/>
      <c r="B14346" s="233"/>
      <c r="C14346" s="238"/>
      <c r="E14346" s="545"/>
      <c r="F14346" s="546"/>
      <c r="G14346" s="234"/>
      <c r="H14346" s="238"/>
      <c r="I14346" s="237"/>
    </row>
    <row r="14347" spans="1:9" s="232" customFormat="1" ht="17" customHeight="1">
      <c r="A14347" s="234"/>
      <c r="B14347" s="233"/>
      <c r="C14347" s="238"/>
      <c r="E14347" s="545"/>
      <c r="F14347" s="546"/>
      <c r="G14347" s="234"/>
      <c r="H14347" s="238"/>
      <c r="I14347" s="237"/>
    </row>
    <row r="14348" spans="1:9" s="232" customFormat="1" ht="17" customHeight="1">
      <c r="A14348" s="234"/>
      <c r="B14348" s="233"/>
      <c r="C14348" s="238"/>
      <c r="E14348" s="545"/>
      <c r="F14348" s="546"/>
      <c r="G14348" s="234"/>
      <c r="H14348" s="238"/>
      <c r="I14348" s="237"/>
    </row>
    <row r="14349" spans="1:9" s="232" customFormat="1" ht="17" customHeight="1">
      <c r="A14349" s="234"/>
      <c r="B14349" s="233"/>
      <c r="C14349" s="238"/>
      <c r="E14349" s="545"/>
      <c r="F14349" s="546"/>
      <c r="G14349" s="234"/>
      <c r="H14349" s="238"/>
      <c r="I14349" s="237"/>
    </row>
    <row r="14350" spans="1:9" s="232" customFormat="1" ht="17" customHeight="1">
      <c r="A14350" s="234"/>
      <c r="B14350" s="233"/>
      <c r="C14350" s="238"/>
      <c r="E14350" s="545"/>
      <c r="F14350" s="546"/>
      <c r="G14350" s="234"/>
      <c r="H14350" s="238"/>
      <c r="I14350" s="237"/>
    </row>
    <row r="14351" spans="1:9" s="232" customFormat="1" ht="17" customHeight="1">
      <c r="A14351" s="234"/>
      <c r="B14351" s="233"/>
      <c r="C14351" s="238"/>
      <c r="E14351" s="545"/>
      <c r="F14351" s="546"/>
      <c r="G14351" s="234"/>
      <c r="H14351" s="238"/>
      <c r="I14351" s="237"/>
    </row>
    <row r="14352" spans="1:9" s="232" customFormat="1" ht="17" customHeight="1">
      <c r="A14352" s="234"/>
      <c r="B14352" s="233"/>
      <c r="C14352" s="238"/>
      <c r="E14352" s="545"/>
      <c r="F14352" s="546"/>
      <c r="G14352" s="234"/>
      <c r="H14352" s="238"/>
      <c r="I14352" s="237"/>
    </row>
    <row r="14353" spans="1:9" s="232" customFormat="1" ht="17" customHeight="1">
      <c r="A14353" s="234"/>
      <c r="B14353" s="233"/>
      <c r="C14353" s="238"/>
      <c r="E14353" s="545"/>
      <c r="F14353" s="546"/>
      <c r="G14353" s="234"/>
      <c r="H14353" s="238"/>
      <c r="I14353" s="237"/>
    </row>
    <row r="14354" spans="1:9" s="232" customFormat="1" ht="17" customHeight="1">
      <c r="A14354" s="234"/>
      <c r="B14354" s="233"/>
      <c r="C14354" s="238"/>
      <c r="E14354" s="545"/>
      <c r="F14354" s="546"/>
      <c r="G14354" s="234"/>
      <c r="H14354" s="238"/>
      <c r="I14354" s="237"/>
    </row>
    <row r="14355" spans="1:9" s="232" customFormat="1" ht="17" customHeight="1">
      <c r="A14355" s="234"/>
      <c r="B14355" s="233"/>
      <c r="C14355" s="238"/>
      <c r="E14355" s="545"/>
      <c r="F14355" s="546"/>
      <c r="G14355" s="234"/>
      <c r="H14355" s="238"/>
      <c r="I14355" s="237"/>
    </row>
    <row r="14356" spans="1:9" s="232" customFormat="1" ht="17" customHeight="1">
      <c r="A14356" s="234"/>
      <c r="B14356" s="233"/>
      <c r="C14356" s="238"/>
      <c r="E14356" s="545"/>
      <c r="F14356" s="546"/>
      <c r="G14356" s="234"/>
      <c r="H14356" s="238"/>
      <c r="I14356" s="237"/>
    </row>
    <row r="14357" spans="1:9" s="232" customFormat="1" ht="17" customHeight="1">
      <c r="A14357" s="234"/>
      <c r="B14357" s="233"/>
      <c r="C14357" s="238"/>
      <c r="E14357" s="545"/>
      <c r="F14357" s="546"/>
      <c r="G14357" s="234"/>
      <c r="H14357" s="238"/>
      <c r="I14357" s="237"/>
    </row>
    <row r="14358" spans="1:9" s="232" customFormat="1" ht="17" customHeight="1">
      <c r="A14358" s="234"/>
      <c r="B14358" s="233"/>
      <c r="C14358" s="238"/>
      <c r="E14358" s="545"/>
      <c r="F14358" s="546"/>
      <c r="G14358" s="234"/>
      <c r="H14358" s="238"/>
      <c r="I14358" s="237"/>
    </row>
    <row r="14359" spans="1:9" s="232" customFormat="1" ht="17" customHeight="1">
      <c r="A14359" s="234"/>
      <c r="B14359" s="233"/>
      <c r="C14359" s="238"/>
      <c r="E14359" s="545"/>
      <c r="F14359" s="546"/>
      <c r="G14359" s="234"/>
      <c r="H14359" s="238"/>
      <c r="I14359" s="237"/>
    </row>
    <row r="14360" spans="1:9" s="232" customFormat="1" ht="17" customHeight="1">
      <c r="A14360" s="234"/>
      <c r="B14360" s="233"/>
      <c r="C14360" s="238"/>
      <c r="E14360" s="545"/>
      <c r="F14360" s="546"/>
      <c r="G14360" s="234"/>
      <c r="H14360" s="238"/>
      <c r="I14360" s="237"/>
    </row>
    <row r="14361" spans="1:9" s="232" customFormat="1" ht="17" customHeight="1">
      <c r="A14361" s="234"/>
      <c r="B14361" s="233"/>
      <c r="C14361" s="238"/>
      <c r="E14361" s="545"/>
      <c r="F14361" s="546"/>
      <c r="G14361" s="234"/>
      <c r="H14361" s="238"/>
      <c r="I14361" s="237"/>
    </row>
    <row r="14362" spans="1:9" s="232" customFormat="1" ht="17" customHeight="1">
      <c r="A14362" s="234"/>
      <c r="B14362" s="233"/>
      <c r="C14362" s="238"/>
      <c r="E14362" s="545"/>
      <c r="F14362" s="546"/>
      <c r="G14362" s="234"/>
      <c r="H14362" s="238"/>
      <c r="I14362" s="237"/>
    </row>
    <row r="14363" spans="1:9" s="232" customFormat="1" ht="17" customHeight="1">
      <c r="A14363" s="234"/>
      <c r="B14363" s="233"/>
      <c r="C14363" s="238"/>
      <c r="E14363" s="545"/>
      <c r="F14363" s="546"/>
      <c r="G14363" s="234"/>
      <c r="H14363" s="238"/>
      <c r="I14363" s="237"/>
    </row>
    <row r="14364" spans="1:9" s="232" customFormat="1" ht="17" customHeight="1">
      <c r="A14364" s="234"/>
      <c r="B14364" s="233"/>
      <c r="C14364" s="238"/>
      <c r="E14364" s="545"/>
      <c r="F14364" s="546"/>
      <c r="G14364" s="234"/>
      <c r="H14364" s="238"/>
      <c r="I14364" s="237"/>
    </row>
    <row r="14365" spans="1:9" s="232" customFormat="1" ht="17" customHeight="1">
      <c r="A14365" s="234"/>
      <c r="B14365" s="233"/>
      <c r="C14365" s="238"/>
      <c r="E14365" s="545"/>
      <c r="F14365" s="546"/>
      <c r="G14365" s="234"/>
      <c r="H14365" s="238"/>
      <c r="I14365" s="237"/>
    </row>
    <row r="14366" spans="1:9" s="232" customFormat="1" ht="17" customHeight="1">
      <c r="A14366" s="234"/>
      <c r="B14366" s="233"/>
      <c r="C14366" s="238"/>
      <c r="E14366" s="545"/>
      <c r="F14366" s="546"/>
      <c r="G14366" s="234"/>
      <c r="H14366" s="238"/>
      <c r="I14366" s="237"/>
    </row>
    <row r="14367" spans="1:9" s="232" customFormat="1" ht="17" customHeight="1">
      <c r="A14367" s="234"/>
      <c r="B14367" s="233"/>
      <c r="C14367" s="238"/>
      <c r="E14367" s="545"/>
      <c r="F14367" s="546"/>
      <c r="G14367" s="234"/>
      <c r="H14367" s="238"/>
      <c r="I14367" s="237"/>
    </row>
    <row r="14368" spans="1:9" s="232" customFormat="1" ht="17" customHeight="1">
      <c r="A14368" s="234"/>
      <c r="B14368" s="233"/>
      <c r="C14368" s="238"/>
      <c r="E14368" s="545"/>
      <c r="F14368" s="546"/>
      <c r="G14368" s="234"/>
      <c r="H14368" s="238"/>
      <c r="I14368" s="237"/>
    </row>
    <row r="14369" spans="1:9" s="232" customFormat="1" ht="17" customHeight="1">
      <c r="A14369" s="234"/>
      <c r="B14369" s="233"/>
      <c r="C14369" s="238"/>
      <c r="E14369" s="545"/>
      <c r="F14369" s="546"/>
      <c r="G14369" s="234"/>
      <c r="H14369" s="238"/>
      <c r="I14369" s="237"/>
    </row>
    <row r="14370" spans="1:9" s="232" customFormat="1" ht="17" customHeight="1">
      <c r="A14370" s="234"/>
      <c r="B14370" s="233"/>
      <c r="C14370" s="238"/>
      <c r="E14370" s="545"/>
      <c r="F14370" s="546"/>
      <c r="G14370" s="234"/>
      <c r="H14370" s="238"/>
      <c r="I14370" s="237"/>
    </row>
    <row r="14371" spans="1:9" s="232" customFormat="1" ht="17" customHeight="1">
      <c r="A14371" s="234"/>
      <c r="B14371" s="233"/>
      <c r="C14371" s="238"/>
      <c r="E14371" s="545"/>
      <c r="F14371" s="546"/>
      <c r="G14371" s="234"/>
      <c r="H14371" s="238"/>
      <c r="I14371" s="237"/>
    </row>
    <row r="14372" spans="1:9" s="232" customFormat="1" ht="17" customHeight="1">
      <c r="A14372" s="234"/>
      <c r="B14372" s="233"/>
      <c r="C14372" s="238"/>
      <c r="E14372" s="545"/>
      <c r="F14372" s="546"/>
      <c r="G14372" s="234"/>
      <c r="H14372" s="238"/>
      <c r="I14372" s="237"/>
    </row>
    <row r="14373" spans="1:9" s="232" customFormat="1" ht="17" customHeight="1">
      <c r="A14373" s="234"/>
      <c r="B14373" s="233"/>
      <c r="C14373" s="238"/>
      <c r="E14373" s="545"/>
      <c r="F14373" s="546"/>
      <c r="G14373" s="234"/>
      <c r="H14373" s="238"/>
      <c r="I14373" s="237"/>
    </row>
    <row r="14374" spans="1:9" s="232" customFormat="1" ht="17" customHeight="1">
      <c r="A14374" s="234"/>
      <c r="B14374" s="233"/>
      <c r="C14374" s="238"/>
      <c r="E14374" s="545"/>
      <c r="F14374" s="546"/>
      <c r="G14374" s="234"/>
      <c r="H14374" s="238"/>
      <c r="I14374" s="237"/>
    </row>
    <row r="14375" spans="1:9" s="232" customFormat="1" ht="17" customHeight="1">
      <c r="A14375" s="234"/>
      <c r="B14375" s="233"/>
      <c r="C14375" s="238"/>
      <c r="E14375" s="545"/>
      <c r="F14375" s="546"/>
      <c r="G14375" s="234"/>
      <c r="H14375" s="238"/>
      <c r="I14375" s="237"/>
    </row>
    <row r="14376" spans="1:9" s="232" customFormat="1" ht="17" customHeight="1">
      <c r="A14376" s="234"/>
      <c r="B14376" s="233"/>
      <c r="C14376" s="238"/>
      <c r="E14376" s="545"/>
      <c r="F14376" s="546"/>
      <c r="G14376" s="234"/>
      <c r="H14376" s="238"/>
      <c r="I14376" s="237"/>
    </row>
    <row r="14377" spans="1:9" s="232" customFormat="1" ht="17" customHeight="1">
      <c r="A14377" s="234"/>
      <c r="B14377" s="233"/>
      <c r="C14377" s="238"/>
      <c r="E14377" s="545"/>
      <c r="F14377" s="546"/>
      <c r="G14377" s="234"/>
      <c r="H14377" s="238"/>
      <c r="I14377" s="237"/>
    </row>
    <row r="14378" spans="1:9" s="232" customFormat="1" ht="17" customHeight="1">
      <c r="A14378" s="234"/>
      <c r="B14378" s="233"/>
      <c r="C14378" s="238"/>
      <c r="E14378" s="545"/>
      <c r="F14378" s="546"/>
      <c r="G14378" s="234"/>
      <c r="H14378" s="238"/>
      <c r="I14378" s="237"/>
    </row>
    <row r="14379" spans="1:9" s="232" customFormat="1" ht="17" customHeight="1">
      <c r="A14379" s="234"/>
      <c r="B14379" s="233"/>
      <c r="C14379" s="238"/>
      <c r="E14379" s="545"/>
      <c r="F14379" s="546"/>
      <c r="G14379" s="234"/>
      <c r="H14379" s="238"/>
      <c r="I14379" s="237"/>
    </row>
    <row r="14380" spans="1:9" s="232" customFormat="1" ht="17" customHeight="1">
      <c r="A14380" s="234"/>
      <c r="B14380" s="233"/>
      <c r="C14380" s="238"/>
      <c r="E14380" s="545"/>
      <c r="F14380" s="546"/>
      <c r="G14380" s="234"/>
      <c r="H14380" s="238"/>
      <c r="I14380" s="237"/>
    </row>
    <row r="14381" spans="1:9" s="232" customFormat="1" ht="17" customHeight="1">
      <c r="A14381" s="234"/>
      <c r="B14381" s="233"/>
      <c r="C14381" s="238"/>
      <c r="E14381" s="545"/>
      <c r="F14381" s="546"/>
      <c r="G14381" s="234"/>
      <c r="H14381" s="238"/>
      <c r="I14381" s="237"/>
    </row>
    <row r="14382" spans="1:9" s="232" customFormat="1" ht="17" customHeight="1">
      <c r="A14382" s="234"/>
      <c r="B14382" s="233"/>
      <c r="C14382" s="238"/>
      <c r="E14382" s="545"/>
      <c r="F14382" s="546"/>
      <c r="G14382" s="234"/>
      <c r="H14382" s="238"/>
      <c r="I14382" s="237"/>
    </row>
    <row r="14383" spans="1:9" s="232" customFormat="1" ht="17" customHeight="1">
      <c r="A14383" s="234"/>
      <c r="B14383" s="233"/>
      <c r="C14383" s="238"/>
      <c r="E14383" s="545"/>
      <c r="F14383" s="546"/>
      <c r="G14383" s="234"/>
      <c r="H14383" s="238"/>
      <c r="I14383" s="237"/>
    </row>
    <row r="14384" spans="1:9" s="232" customFormat="1" ht="17" customHeight="1">
      <c r="A14384" s="234"/>
      <c r="B14384" s="233"/>
      <c r="C14384" s="238"/>
      <c r="E14384" s="545"/>
      <c r="F14384" s="546"/>
      <c r="G14384" s="234"/>
      <c r="H14384" s="238"/>
      <c r="I14384" s="237"/>
    </row>
    <row r="14385" spans="1:9" s="232" customFormat="1" ht="17" customHeight="1">
      <c r="A14385" s="234"/>
      <c r="B14385" s="233"/>
      <c r="C14385" s="238"/>
      <c r="E14385" s="545"/>
      <c r="F14385" s="546"/>
      <c r="G14385" s="234"/>
      <c r="H14385" s="238"/>
      <c r="I14385" s="237"/>
    </row>
    <row r="14386" spans="1:9" s="232" customFormat="1" ht="17" customHeight="1">
      <c r="A14386" s="234"/>
      <c r="B14386" s="233"/>
      <c r="C14386" s="238"/>
      <c r="E14386" s="545"/>
      <c r="F14386" s="546"/>
      <c r="G14386" s="234"/>
      <c r="H14386" s="238"/>
      <c r="I14386" s="237"/>
    </row>
    <row r="14387" spans="1:9" s="232" customFormat="1" ht="17" customHeight="1">
      <c r="A14387" s="234"/>
      <c r="B14387" s="233"/>
      <c r="C14387" s="238"/>
      <c r="E14387" s="545"/>
      <c r="F14387" s="546"/>
      <c r="G14387" s="234"/>
      <c r="H14387" s="238"/>
      <c r="I14387" s="237"/>
    </row>
    <row r="14388" spans="1:9" s="232" customFormat="1" ht="17" customHeight="1">
      <c r="A14388" s="234"/>
      <c r="B14388" s="233"/>
      <c r="C14388" s="238"/>
      <c r="E14388" s="545"/>
      <c r="F14388" s="546"/>
      <c r="G14388" s="234"/>
      <c r="H14388" s="238"/>
      <c r="I14388" s="237"/>
    </row>
    <row r="14389" spans="1:9" s="232" customFormat="1" ht="17" customHeight="1">
      <c r="A14389" s="234"/>
      <c r="B14389" s="233"/>
      <c r="C14389" s="238"/>
      <c r="E14389" s="545"/>
      <c r="F14389" s="546"/>
      <c r="G14389" s="234"/>
      <c r="H14389" s="238"/>
      <c r="I14389" s="237"/>
    </row>
    <row r="14390" spans="1:9" s="232" customFormat="1" ht="17" customHeight="1">
      <c r="A14390" s="234"/>
      <c r="B14390" s="233"/>
      <c r="C14390" s="238"/>
      <c r="E14390" s="545"/>
      <c r="F14390" s="546"/>
      <c r="G14390" s="234"/>
      <c r="H14390" s="238"/>
      <c r="I14390" s="237"/>
    </row>
    <row r="14391" spans="1:9" s="232" customFormat="1" ht="17" customHeight="1">
      <c r="A14391" s="234"/>
      <c r="B14391" s="233"/>
      <c r="C14391" s="238"/>
      <c r="E14391" s="545"/>
      <c r="F14391" s="546"/>
      <c r="G14391" s="234"/>
      <c r="H14391" s="238"/>
      <c r="I14391" s="237"/>
    </row>
    <row r="14392" spans="1:9" s="232" customFormat="1" ht="17" customHeight="1">
      <c r="A14392" s="234"/>
      <c r="B14392" s="233"/>
      <c r="C14392" s="238"/>
      <c r="E14392" s="545"/>
      <c r="F14392" s="546"/>
      <c r="G14392" s="234"/>
      <c r="H14392" s="238"/>
      <c r="I14392" s="237"/>
    </row>
    <row r="14393" spans="1:9" s="232" customFormat="1" ht="17" customHeight="1">
      <c r="A14393" s="234"/>
      <c r="B14393" s="233"/>
      <c r="C14393" s="238"/>
      <c r="E14393" s="545"/>
      <c r="F14393" s="546"/>
      <c r="G14393" s="234"/>
      <c r="H14393" s="238"/>
      <c r="I14393" s="237"/>
    </row>
    <row r="14394" spans="1:9" s="232" customFormat="1" ht="17" customHeight="1">
      <c r="A14394" s="234"/>
      <c r="B14394" s="233"/>
      <c r="C14394" s="238"/>
      <c r="E14394" s="545"/>
      <c r="F14394" s="546"/>
      <c r="G14394" s="234"/>
      <c r="H14394" s="238"/>
      <c r="I14394" s="237"/>
    </row>
    <row r="14395" spans="1:9" s="232" customFormat="1" ht="17" customHeight="1">
      <c r="A14395" s="234"/>
      <c r="B14395" s="233"/>
      <c r="C14395" s="238"/>
      <c r="E14395" s="545"/>
      <c r="F14395" s="546"/>
      <c r="G14395" s="234"/>
      <c r="H14395" s="238"/>
      <c r="I14395" s="237"/>
    </row>
    <row r="14396" spans="1:9" s="232" customFormat="1" ht="17" customHeight="1">
      <c r="A14396" s="234"/>
      <c r="B14396" s="233"/>
      <c r="C14396" s="238"/>
      <c r="E14396" s="545"/>
      <c r="F14396" s="546"/>
      <c r="G14396" s="234"/>
      <c r="H14396" s="238"/>
      <c r="I14396" s="237"/>
    </row>
    <row r="14397" spans="1:9" s="232" customFormat="1" ht="17" customHeight="1">
      <c r="A14397" s="234"/>
      <c r="B14397" s="233"/>
      <c r="C14397" s="238"/>
      <c r="E14397" s="545"/>
      <c r="F14397" s="546"/>
      <c r="G14397" s="234"/>
      <c r="H14397" s="238"/>
      <c r="I14397" s="237"/>
    </row>
    <row r="14398" spans="1:9" s="232" customFormat="1" ht="17" customHeight="1">
      <c r="A14398" s="234"/>
      <c r="B14398" s="233"/>
      <c r="C14398" s="238"/>
      <c r="E14398" s="545"/>
      <c r="F14398" s="546"/>
      <c r="G14398" s="234"/>
      <c r="H14398" s="238"/>
      <c r="I14398" s="237"/>
    </row>
    <row r="14399" spans="1:9" s="232" customFormat="1" ht="17" customHeight="1">
      <c r="A14399" s="234"/>
      <c r="B14399" s="233"/>
      <c r="C14399" s="238"/>
      <c r="E14399" s="545"/>
      <c r="F14399" s="546"/>
      <c r="G14399" s="234"/>
      <c r="H14399" s="238"/>
      <c r="I14399" s="237"/>
    </row>
    <row r="14400" spans="1:9" s="232" customFormat="1" ht="17" customHeight="1">
      <c r="A14400" s="234"/>
      <c r="B14400" s="233"/>
      <c r="C14400" s="238"/>
      <c r="E14400" s="545"/>
      <c r="F14400" s="546"/>
      <c r="G14400" s="234"/>
      <c r="H14400" s="238"/>
      <c r="I14400" s="237"/>
    </row>
    <row r="14401" spans="1:9" s="232" customFormat="1" ht="17" customHeight="1">
      <c r="A14401" s="234"/>
      <c r="B14401" s="233"/>
      <c r="C14401" s="238"/>
      <c r="E14401" s="545"/>
      <c r="F14401" s="546"/>
      <c r="G14401" s="234"/>
      <c r="H14401" s="238"/>
      <c r="I14401" s="237"/>
    </row>
    <row r="14402" spans="1:9" s="232" customFormat="1" ht="17" customHeight="1">
      <c r="A14402" s="234"/>
      <c r="B14402" s="233"/>
      <c r="C14402" s="238"/>
      <c r="E14402" s="545"/>
      <c r="F14402" s="546"/>
      <c r="G14402" s="234"/>
      <c r="H14402" s="238"/>
      <c r="I14402" s="237"/>
    </row>
    <row r="14403" spans="1:9" s="232" customFormat="1" ht="17" customHeight="1">
      <c r="A14403" s="234"/>
      <c r="B14403" s="233"/>
      <c r="C14403" s="238"/>
      <c r="E14403" s="545"/>
      <c r="F14403" s="546"/>
      <c r="G14403" s="234"/>
      <c r="H14403" s="238"/>
      <c r="I14403" s="237"/>
    </row>
    <row r="14404" spans="1:9" s="232" customFormat="1" ht="17" customHeight="1">
      <c r="A14404" s="234"/>
      <c r="B14404" s="233"/>
      <c r="C14404" s="238"/>
      <c r="E14404" s="545"/>
      <c r="F14404" s="546"/>
      <c r="G14404" s="234"/>
      <c r="H14404" s="238"/>
      <c r="I14404" s="237"/>
    </row>
    <row r="14405" spans="1:9" s="232" customFormat="1" ht="17" customHeight="1">
      <c r="A14405" s="234"/>
      <c r="B14405" s="233"/>
      <c r="C14405" s="238"/>
      <c r="E14405" s="545"/>
      <c r="F14405" s="546"/>
      <c r="G14405" s="234"/>
      <c r="H14405" s="238"/>
      <c r="I14405" s="237"/>
    </row>
    <row r="14406" spans="1:9" s="232" customFormat="1" ht="17" customHeight="1">
      <c r="A14406" s="234"/>
      <c r="B14406" s="233"/>
      <c r="C14406" s="238"/>
      <c r="E14406" s="545"/>
      <c r="F14406" s="546"/>
      <c r="G14406" s="234"/>
      <c r="H14406" s="238"/>
      <c r="I14406" s="237"/>
    </row>
    <row r="14407" spans="1:9" s="232" customFormat="1" ht="17" customHeight="1">
      <c r="A14407" s="234"/>
      <c r="B14407" s="233"/>
      <c r="C14407" s="238"/>
      <c r="E14407" s="545"/>
      <c r="F14407" s="546"/>
      <c r="G14407" s="234"/>
      <c r="H14407" s="238"/>
      <c r="I14407" s="237"/>
    </row>
    <row r="14408" spans="1:9" s="232" customFormat="1" ht="17" customHeight="1">
      <c r="A14408" s="234"/>
      <c r="B14408" s="233"/>
      <c r="C14408" s="238"/>
      <c r="E14408" s="545"/>
      <c r="F14408" s="546"/>
      <c r="G14408" s="234"/>
      <c r="H14408" s="238"/>
      <c r="I14408" s="237"/>
    </row>
    <row r="14409" spans="1:9" s="232" customFormat="1" ht="17" customHeight="1">
      <c r="A14409" s="234"/>
      <c r="B14409" s="233"/>
      <c r="C14409" s="238"/>
      <c r="E14409" s="545"/>
      <c r="F14409" s="546"/>
      <c r="G14409" s="234"/>
      <c r="H14409" s="238"/>
      <c r="I14409" s="237"/>
    </row>
    <row r="14410" spans="1:9" s="232" customFormat="1" ht="17" customHeight="1">
      <c r="A14410" s="234"/>
      <c r="B14410" s="233"/>
      <c r="C14410" s="238"/>
      <c r="E14410" s="545"/>
      <c r="F14410" s="546"/>
      <c r="G14410" s="234"/>
      <c r="H14410" s="238"/>
      <c r="I14410" s="237"/>
    </row>
    <row r="14411" spans="1:9" s="232" customFormat="1" ht="17" customHeight="1">
      <c r="A14411" s="234"/>
      <c r="B14411" s="233"/>
      <c r="C14411" s="238"/>
      <c r="E14411" s="545"/>
      <c r="F14411" s="546"/>
      <c r="G14411" s="234"/>
      <c r="H14411" s="238"/>
      <c r="I14411" s="237"/>
    </row>
    <row r="14412" spans="1:9" s="232" customFormat="1" ht="17" customHeight="1">
      <c r="A14412" s="234"/>
      <c r="B14412" s="233"/>
      <c r="C14412" s="238"/>
      <c r="E14412" s="545"/>
      <c r="F14412" s="546"/>
      <c r="G14412" s="234"/>
      <c r="H14412" s="238"/>
      <c r="I14412" s="237"/>
    </row>
    <row r="14413" spans="1:9" s="232" customFormat="1" ht="17" customHeight="1">
      <c r="A14413" s="234"/>
      <c r="B14413" s="233"/>
      <c r="C14413" s="238"/>
      <c r="E14413" s="545"/>
      <c r="F14413" s="546"/>
      <c r="G14413" s="234"/>
      <c r="H14413" s="238"/>
      <c r="I14413" s="237"/>
    </row>
    <row r="14414" spans="1:9" s="232" customFormat="1" ht="17" customHeight="1">
      <c r="A14414" s="234"/>
      <c r="B14414" s="233"/>
      <c r="C14414" s="238"/>
      <c r="E14414" s="545"/>
      <c r="F14414" s="546"/>
      <c r="G14414" s="234"/>
      <c r="H14414" s="238"/>
      <c r="I14414" s="237"/>
    </row>
    <row r="14415" spans="1:9" s="232" customFormat="1" ht="17" customHeight="1">
      <c r="A14415" s="234"/>
      <c r="B14415" s="233"/>
      <c r="C14415" s="238"/>
      <c r="E14415" s="545"/>
      <c r="F14415" s="546"/>
      <c r="G14415" s="234"/>
      <c r="H14415" s="238"/>
      <c r="I14415" s="237"/>
    </row>
    <row r="14416" spans="1:9" s="232" customFormat="1" ht="17" customHeight="1">
      <c r="A14416" s="234"/>
      <c r="B14416" s="233"/>
      <c r="C14416" s="238"/>
      <c r="E14416" s="545"/>
      <c r="F14416" s="546"/>
      <c r="G14416" s="234"/>
      <c r="H14416" s="238"/>
      <c r="I14416" s="237"/>
    </row>
    <row r="14417" spans="1:9" s="232" customFormat="1" ht="17" customHeight="1">
      <c r="A14417" s="234"/>
      <c r="B14417" s="233"/>
      <c r="C14417" s="238"/>
      <c r="E14417" s="545"/>
      <c r="F14417" s="546"/>
      <c r="G14417" s="234"/>
      <c r="H14417" s="238"/>
      <c r="I14417" s="237"/>
    </row>
    <row r="14418" spans="1:9" s="232" customFormat="1" ht="17" customHeight="1">
      <c r="A14418" s="234"/>
      <c r="B14418" s="233"/>
      <c r="C14418" s="238"/>
      <c r="E14418" s="545"/>
      <c r="F14418" s="546"/>
      <c r="G14418" s="234"/>
      <c r="H14418" s="238"/>
      <c r="I14418" s="237"/>
    </row>
    <row r="14419" spans="1:9" s="232" customFormat="1" ht="17" customHeight="1">
      <c r="A14419" s="234"/>
      <c r="B14419" s="233"/>
      <c r="C14419" s="238"/>
      <c r="E14419" s="545"/>
      <c r="F14419" s="546"/>
      <c r="G14419" s="234"/>
      <c r="H14419" s="238"/>
      <c r="I14419" s="237"/>
    </row>
    <row r="14420" spans="1:9" s="232" customFormat="1" ht="17" customHeight="1">
      <c r="A14420" s="234"/>
      <c r="B14420" s="233"/>
      <c r="C14420" s="238"/>
      <c r="E14420" s="545"/>
      <c r="F14420" s="546"/>
      <c r="G14420" s="234"/>
      <c r="H14420" s="238"/>
      <c r="I14420" s="237"/>
    </row>
    <row r="14421" spans="1:9" s="232" customFormat="1" ht="17" customHeight="1">
      <c r="A14421" s="234"/>
      <c r="B14421" s="233"/>
      <c r="C14421" s="238"/>
      <c r="E14421" s="545"/>
      <c r="F14421" s="546"/>
      <c r="G14421" s="234"/>
      <c r="H14421" s="238"/>
      <c r="I14421" s="237"/>
    </row>
    <row r="14422" spans="1:9" s="232" customFormat="1" ht="17" customHeight="1">
      <c r="A14422" s="234"/>
      <c r="B14422" s="233"/>
      <c r="C14422" s="238"/>
      <c r="E14422" s="545"/>
      <c r="F14422" s="546"/>
      <c r="G14422" s="234"/>
      <c r="H14422" s="238"/>
      <c r="I14422" s="237"/>
    </row>
    <row r="14423" spans="1:9" s="232" customFormat="1" ht="17" customHeight="1">
      <c r="A14423" s="234"/>
      <c r="B14423" s="233"/>
      <c r="C14423" s="238"/>
      <c r="E14423" s="545"/>
      <c r="F14423" s="546"/>
      <c r="G14423" s="234"/>
      <c r="H14423" s="238"/>
      <c r="I14423" s="237"/>
    </row>
    <row r="14424" spans="1:9" s="232" customFormat="1" ht="17" customHeight="1">
      <c r="A14424" s="234"/>
      <c r="B14424" s="233"/>
      <c r="C14424" s="238"/>
      <c r="E14424" s="545"/>
      <c r="F14424" s="546"/>
      <c r="G14424" s="234"/>
      <c r="H14424" s="238"/>
      <c r="I14424" s="237"/>
    </row>
    <row r="14425" spans="1:9" s="232" customFormat="1" ht="17" customHeight="1">
      <c r="A14425" s="234"/>
      <c r="B14425" s="233"/>
      <c r="C14425" s="238"/>
      <c r="E14425" s="545"/>
      <c r="F14425" s="546"/>
      <c r="G14425" s="234"/>
      <c r="H14425" s="238"/>
      <c r="I14425" s="237"/>
    </row>
    <row r="14426" spans="1:9" s="232" customFormat="1" ht="17" customHeight="1">
      <c r="A14426" s="234"/>
      <c r="B14426" s="233"/>
      <c r="C14426" s="238"/>
      <c r="E14426" s="545"/>
      <c r="F14426" s="546"/>
      <c r="G14426" s="234"/>
      <c r="H14426" s="238"/>
      <c r="I14426" s="237"/>
    </row>
    <row r="14427" spans="1:9" s="232" customFormat="1" ht="17" customHeight="1">
      <c r="A14427" s="234"/>
      <c r="B14427" s="233"/>
      <c r="C14427" s="238"/>
      <c r="E14427" s="545"/>
      <c r="F14427" s="546"/>
      <c r="G14427" s="234"/>
      <c r="H14427" s="238"/>
      <c r="I14427" s="237"/>
    </row>
    <row r="14428" spans="1:9" s="232" customFormat="1" ht="17" customHeight="1">
      <c r="A14428" s="234"/>
      <c r="B14428" s="233"/>
      <c r="C14428" s="238"/>
      <c r="E14428" s="545"/>
      <c r="F14428" s="546"/>
      <c r="G14428" s="234"/>
      <c r="H14428" s="238"/>
      <c r="I14428" s="237"/>
    </row>
    <row r="14429" spans="1:9" s="232" customFormat="1" ht="17" customHeight="1">
      <c r="A14429" s="234"/>
      <c r="B14429" s="233"/>
      <c r="C14429" s="238"/>
      <c r="E14429" s="545"/>
      <c r="F14429" s="546"/>
      <c r="G14429" s="234"/>
      <c r="H14429" s="238"/>
      <c r="I14429" s="237"/>
    </row>
    <row r="14430" spans="1:9" s="232" customFormat="1" ht="17" customHeight="1">
      <c r="A14430" s="234"/>
      <c r="B14430" s="233"/>
      <c r="C14430" s="238"/>
      <c r="E14430" s="545"/>
      <c r="F14430" s="546"/>
      <c r="G14430" s="234"/>
      <c r="H14430" s="238"/>
      <c r="I14430" s="237"/>
    </row>
    <row r="14431" spans="1:9" s="232" customFormat="1" ht="17" customHeight="1">
      <c r="A14431" s="234"/>
      <c r="B14431" s="233"/>
      <c r="C14431" s="238"/>
      <c r="E14431" s="545"/>
      <c r="F14431" s="546"/>
      <c r="G14431" s="234"/>
      <c r="H14431" s="238"/>
      <c r="I14431" s="237"/>
    </row>
    <row r="14432" spans="1:9" s="232" customFormat="1" ht="17" customHeight="1">
      <c r="A14432" s="234"/>
      <c r="B14432" s="233"/>
      <c r="C14432" s="238"/>
      <c r="E14432" s="545"/>
      <c r="F14432" s="546"/>
      <c r="G14432" s="234"/>
      <c r="H14432" s="238"/>
      <c r="I14432" s="237"/>
    </row>
    <row r="14433" spans="1:9" s="232" customFormat="1" ht="17" customHeight="1">
      <c r="A14433" s="234"/>
      <c r="B14433" s="233"/>
      <c r="C14433" s="238"/>
      <c r="E14433" s="545"/>
      <c r="F14433" s="546"/>
      <c r="G14433" s="234"/>
      <c r="H14433" s="238"/>
      <c r="I14433" s="237"/>
    </row>
    <row r="14434" spans="1:9" s="232" customFormat="1" ht="17" customHeight="1">
      <c r="A14434" s="234"/>
      <c r="B14434" s="233"/>
      <c r="C14434" s="238"/>
      <c r="E14434" s="545"/>
      <c r="F14434" s="546"/>
      <c r="G14434" s="234"/>
      <c r="H14434" s="238"/>
      <c r="I14434" s="237"/>
    </row>
    <row r="14435" spans="1:9" s="232" customFormat="1" ht="17" customHeight="1">
      <c r="A14435" s="234"/>
      <c r="B14435" s="233"/>
      <c r="C14435" s="238"/>
      <c r="E14435" s="545"/>
      <c r="F14435" s="546"/>
      <c r="G14435" s="234"/>
      <c r="H14435" s="238"/>
      <c r="I14435" s="237"/>
    </row>
    <row r="14436" spans="1:9" s="232" customFormat="1" ht="17" customHeight="1">
      <c r="A14436" s="234"/>
      <c r="B14436" s="233"/>
      <c r="C14436" s="238"/>
      <c r="E14436" s="545"/>
      <c r="F14436" s="546"/>
      <c r="G14436" s="234"/>
      <c r="H14436" s="238"/>
      <c r="I14436" s="237"/>
    </row>
    <row r="14437" spans="1:9" s="232" customFormat="1" ht="17" customHeight="1">
      <c r="A14437" s="234"/>
      <c r="B14437" s="233"/>
      <c r="C14437" s="238"/>
      <c r="E14437" s="545"/>
      <c r="F14437" s="546"/>
      <c r="G14437" s="234"/>
      <c r="H14437" s="238"/>
      <c r="I14437" s="237"/>
    </row>
    <row r="14438" spans="1:9" s="232" customFormat="1" ht="17" customHeight="1">
      <c r="A14438" s="234"/>
      <c r="B14438" s="233"/>
      <c r="C14438" s="238"/>
      <c r="E14438" s="545"/>
      <c r="F14438" s="546"/>
      <c r="G14438" s="234"/>
      <c r="H14438" s="238"/>
      <c r="I14438" s="237"/>
    </row>
    <row r="14439" spans="1:9" s="232" customFormat="1" ht="17" customHeight="1">
      <c r="A14439" s="234"/>
      <c r="B14439" s="233"/>
      <c r="C14439" s="238"/>
      <c r="E14439" s="545"/>
      <c r="F14439" s="546"/>
      <c r="G14439" s="234"/>
      <c r="H14439" s="238"/>
      <c r="I14439" s="237"/>
    </row>
    <row r="14440" spans="1:9" s="232" customFormat="1" ht="17" customHeight="1">
      <c r="A14440" s="234"/>
      <c r="B14440" s="233"/>
      <c r="C14440" s="238"/>
      <c r="E14440" s="545"/>
      <c r="F14440" s="546"/>
      <c r="G14440" s="234"/>
      <c r="H14440" s="238"/>
      <c r="I14440" s="237"/>
    </row>
    <row r="14441" spans="1:9" s="232" customFormat="1" ht="17" customHeight="1">
      <c r="A14441" s="234"/>
      <c r="B14441" s="233"/>
      <c r="C14441" s="238"/>
      <c r="E14441" s="545"/>
      <c r="F14441" s="546"/>
      <c r="G14441" s="234"/>
      <c r="H14441" s="238"/>
      <c r="I14441" s="237"/>
    </row>
    <row r="14442" spans="1:9" s="232" customFormat="1" ht="17" customHeight="1">
      <c r="A14442" s="234"/>
      <c r="B14442" s="233"/>
      <c r="C14442" s="238"/>
      <c r="E14442" s="545"/>
      <c r="F14442" s="546"/>
      <c r="G14442" s="234"/>
      <c r="H14442" s="238"/>
      <c r="I14442" s="237"/>
    </row>
    <row r="14443" spans="1:9" s="232" customFormat="1" ht="17" customHeight="1">
      <c r="A14443" s="234"/>
      <c r="B14443" s="233"/>
      <c r="C14443" s="238"/>
      <c r="E14443" s="545"/>
      <c r="F14443" s="546"/>
      <c r="G14443" s="234"/>
      <c r="H14443" s="238"/>
      <c r="I14443" s="237"/>
    </row>
    <row r="14444" spans="1:9" s="232" customFormat="1" ht="17" customHeight="1">
      <c r="A14444" s="234"/>
      <c r="B14444" s="233"/>
      <c r="C14444" s="238"/>
      <c r="E14444" s="545"/>
      <c r="F14444" s="546"/>
      <c r="G14444" s="234"/>
      <c r="H14444" s="238"/>
      <c r="I14444" s="237"/>
    </row>
    <row r="14445" spans="1:9" s="232" customFormat="1" ht="17" customHeight="1">
      <c r="A14445" s="234"/>
      <c r="B14445" s="233"/>
      <c r="C14445" s="238"/>
      <c r="E14445" s="545"/>
      <c r="F14445" s="546"/>
      <c r="G14445" s="234"/>
      <c r="H14445" s="238"/>
      <c r="I14445" s="237"/>
    </row>
    <row r="14446" spans="1:9" s="232" customFormat="1" ht="17" customHeight="1">
      <c r="A14446" s="234"/>
      <c r="B14446" s="233"/>
      <c r="C14446" s="238"/>
      <c r="E14446" s="545"/>
      <c r="F14446" s="546"/>
      <c r="G14446" s="234"/>
      <c r="H14446" s="238"/>
      <c r="I14446" s="237"/>
    </row>
    <row r="14447" spans="1:9" s="232" customFormat="1" ht="17" customHeight="1">
      <c r="A14447" s="234"/>
      <c r="B14447" s="233"/>
      <c r="C14447" s="238"/>
      <c r="E14447" s="545"/>
      <c r="F14447" s="546"/>
      <c r="G14447" s="234"/>
      <c r="H14447" s="238"/>
      <c r="I14447" s="237"/>
    </row>
    <row r="14448" spans="1:9" s="232" customFormat="1" ht="17" customHeight="1">
      <c r="A14448" s="234"/>
      <c r="B14448" s="233"/>
      <c r="C14448" s="238"/>
      <c r="E14448" s="545"/>
      <c r="F14448" s="546"/>
      <c r="G14448" s="234"/>
      <c r="H14448" s="238"/>
      <c r="I14448" s="237"/>
    </row>
    <row r="14449" spans="1:9" s="232" customFormat="1" ht="17" customHeight="1">
      <c r="A14449" s="234"/>
      <c r="B14449" s="233"/>
      <c r="C14449" s="238"/>
      <c r="E14449" s="545"/>
      <c r="F14449" s="546"/>
      <c r="G14449" s="234"/>
      <c r="H14449" s="238"/>
      <c r="I14449" s="237"/>
    </row>
    <row r="14450" spans="1:9" s="232" customFormat="1" ht="17" customHeight="1">
      <c r="A14450" s="234"/>
      <c r="B14450" s="233"/>
      <c r="C14450" s="238"/>
      <c r="E14450" s="545"/>
      <c r="F14450" s="546"/>
      <c r="G14450" s="234"/>
      <c r="H14450" s="238"/>
      <c r="I14450" s="237"/>
    </row>
    <row r="14451" spans="1:9" s="232" customFormat="1" ht="17" customHeight="1">
      <c r="A14451" s="234"/>
      <c r="B14451" s="233"/>
      <c r="C14451" s="238"/>
      <c r="E14451" s="545"/>
      <c r="F14451" s="546"/>
      <c r="G14451" s="234"/>
      <c r="H14451" s="238"/>
      <c r="I14451" s="237"/>
    </row>
    <row r="14452" spans="1:9" s="232" customFormat="1" ht="17" customHeight="1">
      <c r="A14452" s="234"/>
      <c r="B14452" s="233"/>
      <c r="C14452" s="238"/>
      <c r="E14452" s="545"/>
      <c r="F14452" s="546"/>
      <c r="G14452" s="234"/>
      <c r="H14452" s="238"/>
      <c r="I14452" s="237"/>
    </row>
    <row r="14453" spans="1:9" s="232" customFormat="1" ht="17" customHeight="1">
      <c r="A14453" s="234"/>
      <c r="B14453" s="233"/>
      <c r="C14453" s="238"/>
      <c r="E14453" s="545"/>
      <c r="F14453" s="546"/>
      <c r="G14453" s="234"/>
      <c r="H14453" s="238"/>
      <c r="I14453" s="237"/>
    </row>
    <row r="14454" spans="1:9" s="232" customFormat="1" ht="17" customHeight="1">
      <c r="A14454" s="234"/>
      <c r="B14454" s="233"/>
      <c r="C14454" s="238"/>
      <c r="E14454" s="545"/>
      <c r="F14454" s="546"/>
      <c r="G14454" s="234"/>
      <c r="H14454" s="238"/>
      <c r="I14454" s="237"/>
    </row>
    <row r="14455" spans="1:9" s="232" customFormat="1" ht="17" customHeight="1">
      <c r="A14455" s="234"/>
      <c r="B14455" s="233"/>
      <c r="C14455" s="238"/>
      <c r="E14455" s="545"/>
      <c r="F14455" s="546"/>
      <c r="G14455" s="234"/>
      <c r="H14455" s="238"/>
      <c r="I14455" s="237"/>
    </row>
    <row r="14456" spans="1:9" s="232" customFormat="1" ht="17" customHeight="1">
      <c r="A14456" s="234"/>
      <c r="B14456" s="233"/>
      <c r="C14456" s="238"/>
      <c r="E14456" s="545"/>
      <c r="F14456" s="546"/>
      <c r="G14456" s="234"/>
      <c r="H14456" s="238"/>
      <c r="I14456" s="237"/>
    </row>
    <row r="14457" spans="1:9" s="232" customFormat="1" ht="17" customHeight="1">
      <c r="A14457" s="234"/>
      <c r="B14457" s="233"/>
      <c r="C14457" s="238"/>
      <c r="E14457" s="545"/>
      <c r="F14457" s="546"/>
      <c r="G14457" s="234"/>
      <c r="H14457" s="238"/>
      <c r="I14457" s="237"/>
    </row>
    <row r="14458" spans="1:9" s="232" customFormat="1" ht="17" customHeight="1">
      <c r="A14458" s="234"/>
      <c r="B14458" s="233"/>
      <c r="C14458" s="238"/>
      <c r="E14458" s="545"/>
      <c r="F14458" s="546"/>
      <c r="G14458" s="234"/>
      <c r="H14458" s="238"/>
      <c r="I14458" s="237"/>
    </row>
    <row r="14459" spans="1:9" s="232" customFormat="1" ht="17" customHeight="1">
      <c r="A14459" s="234"/>
      <c r="B14459" s="233"/>
      <c r="C14459" s="238"/>
      <c r="E14459" s="545"/>
      <c r="F14459" s="546"/>
      <c r="G14459" s="234"/>
      <c r="H14459" s="238"/>
      <c r="I14459" s="237"/>
    </row>
    <row r="14460" spans="1:9" s="232" customFormat="1" ht="17" customHeight="1">
      <c r="A14460" s="234"/>
      <c r="B14460" s="233"/>
      <c r="C14460" s="238"/>
      <c r="E14460" s="545"/>
      <c r="F14460" s="546"/>
      <c r="G14460" s="234"/>
      <c r="H14460" s="238"/>
      <c r="I14460" s="237"/>
    </row>
    <row r="14461" spans="1:9" s="232" customFormat="1" ht="17" customHeight="1">
      <c r="A14461" s="234"/>
      <c r="B14461" s="233"/>
      <c r="C14461" s="238"/>
      <c r="E14461" s="545"/>
      <c r="F14461" s="546"/>
      <c r="G14461" s="234"/>
      <c r="H14461" s="238"/>
      <c r="I14461" s="237"/>
    </row>
    <row r="14462" spans="1:9" s="232" customFormat="1" ht="17" customHeight="1">
      <c r="A14462" s="234"/>
      <c r="B14462" s="233"/>
      <c r="C14462" s="238"/>
      <c r="E14462" s="545"/>
      <c r="F14462" s="546"/>
      <c r="G14462" s="234"/>
      <c r="H14462" s="238"/>
      <c r="I14462" s="237"/>
    </row>
    <row r="14463" spans="1:9" s="232" customFormat="1" ht="17" customHeight="1">
      <c r="A14463" s="234"/>
      <c r="B14463" s="233"/>
      <c r="C14463" s="238"/>
      <c r="E14463" s="545"/>
      <c r="F14463" s="546"/>
      <c r="G14463" s="234"/>
      <c r="H14463" s="238"/>
      <c r="I14463" s="237"/>
    </row>
    <row r="14464" spans="1:9" s="232" customFormat="1" ht="17" customHeight="1">
      <c r="A14464" s="234"/>
      <c r="B14464" s="233"/>
      <c r="C14464" s="238"/>
      <c r="E14464" s="545"/>
      <c r="F14464" s="546"/>
      <c r="G14464" s="234"/>
      <c r="H14464" s="238"/>
      <c r="I14464" s="237"/>
    </row>
    <row r="14465" spans="1:9" s="232" customFormat="1" ht="17" customHeight="1">
      <c r="A14465" s="234"/>
      <c r="B14465" s="233"/>
      <c r="C14465" s="238"/>
      <c r="E14465" s="545"/>
      <c r="F14465" s="546"/>
      <c r="G14465" s="234"/>
      <c r="H14465" s="238"/>
      <c r="I14465" s="237"/>
    </row>
    <row r="14466" spans="1:9" s="232" customFormat="1" ht="17" customHeight="1">
      <c r="A14466" s="234"/>
      <c r="B14466" s="233"/>
      <c r="C14466" s="238"/>
      <c r="E14466" s="545"/>
      <c r="F14466" s="546"/>
      <c r="G14466" s="234"/>
      <c r="H14466" s="238"/>
      <c r="I14466" s="237"/>
    </row>
    <row r="14467" spans="1:9" s="232" customFormat="1" ht="17" customHeight="1">
      <c r="A14467" s="234"/>
      <c r="B14467" s="233"/>
      <c r="C14467" s="238"/>
      <c r="E14467" s="545"/>
      <c r="F14467" s="546"/>
      <c r="G14467" s="234"/>
      <c r="H14467" s="238"/>
      <c r="I14467" s="237"/>
    </row>
    <row r="14468" spans="1:9" s="232" customFormat="1" ht="17" customHeight="1">
      <c r="A14468" s="234"/>
      <c r="B14468" s="233"/>
      <c r="C14468" s="238"/>
      <c r="E14468" s="545"/>
      <c r="F14468" s="546"/>
      <c r="G14468" s="234"/>
      <c r="H14468" s="238"/>
      <c r="I14468" s="237"/>
    </row>
    <row r="14469" spans="1:9" s="232" customFormat="1" ht="17" customHeight="1">
      <c r="A14469" s="234"/>
      <c r="B14469" s="233"/>
      <c r="C14469" s="238"/>
      <c r="E14469" s="545"/>
      <c r="F14469" s="546"/>
      <c r="G14469" s="234"/>
      <c r="H14469" s="238"/>
      <c r="I14469" s="237"/>
    </row>
    <row r="14470" spans="1:9" s="232" customFormat="1" ht="17" customHeight="1">
      <c r="A14470" s="234"/>
      <c r="B14470" s="233"/>
      <c r="C14470" s="238"/>
      <c r="E14470" s="545"/>
      <c r="F14470" s="546"/>
      <c r="G14470" s="234"/>
      <c r="H14470" s="238"/>
      <c r="I14470" s="237"/>
    </row>
    <row r="14471" spans="1:9" s="232" customFormat="1" ht="17" customHeight="1">
      <c r="A14471" s="234"/>
      <c r="B14471" s="233"/>
      <c r="C14471" s="238"/>
      <c r="E14471" s="545"/>
      <c r="F14471" s="546"/>
      <c r="G14471" s="234"/>
      <c r="H14471" s="238"/>
      <c r="I14471" s="237"/>
    </row>
    <row r="14472" spans="1:9" s="232" customFormat="1" ht="17" customHeight="1">
      <c r="A14472" s="234"/>
      <c r="B14472" s="233"/>
      <c r="C14472" s="238"/>
      <c r="E14472" s="545"/>
      <c r="F14472" s="546"/>
      <c r="G14472" s="234"/>
      <c r="H14472" s="238"/>
      <c r="I14472" s="237"/>
    </row>
    <row r="14473" spans="1:9" s="232" customFormat="1" ht="17" customHeight="1">
      <c r="A14473" s="234"/>
      <c r="B14473" s="233"/>
      <c r="C14473" s="238"/>
      <c r="E14473" s="545"/>
      <c r="F14473" s="546"/>
      <c r="G14473" s="234"/>
      <c r="H14473" s="238"/>
      <c r="I14473" s="237"/>
    </row>
    <row r="14474" spans="1:9" s="232" customFormat="1" ht="17" customHeight="1">
      <c r="A14474" s="234"/>
      <c r="B14474" s="233"/>
      <c r="C14474" s="238"/>
      <c r="E14474" s="545"/>
      <c r="F14474" s="546"/>
      <c r="G14474" s="234"/>
      <c r="H14474" s="238"/>
      <c r="I14474" s="237"/>
    </row>
    <row r="14475" spans="1:9" s="232" customFormat="1" ht="17" customHeight="1">
      <c r="A14475" s="234"/>
      <c r="B14475" s="233"/>
      <c r="C14475" s="238"/>
      <c r="E14475" s="545"/>
      <c r="F14475" s="546"/>
      <c r="G14475" s="234"/>
      <c r="H14475" s="238"/>
      <c r="I14475" s="237"/>
    </row>
    <row r="14476" spans="1:9" s="232" customFormat="1" ht="17" customHeight="1">
      <c r="A14476" s="234"/>
      <c r="B14476" s="233"/>
      <c r="C14476" s="238"/>
      <c r="E14476" s="545"/>
      <c r="F14476" s="546"/>
      <c r="G14476" s="234"/>
      <c r="H14476" s="238"/>
      <c r="I14476" s="237"/>
    </row>
    <row r="14477" spans="1:9" s="232" customFormat="1" ht="17" customHeight="1">
      <c r="A14477" s="234"/>
      <c r="B14477" s="233"/>
      <c r="C14477" s="238"/>
      <c r="E14477" s="545"/>
      <c r="F14477" s="546"/>
      <c r="G14477" s="234"/>
      <c r="H14477" s="238"/>
      <c r="I14477" s="237"/>
    </row>
    <row r="14478" spans="1:9" s="232" customFormat="1" ht="17" customHeight="1">
      <c r="A14478" s="234"/>
      <c r="B14478" s="233"/>
      <c r="C14478" s="238"/>
      <c r="E14478" s="545"/>
      <c r="F14478" s="546"/>
      <c r="G14478" s="234"/>
      <c r="H14478" s="238"/>
      <c r="I14478" s="237"/>
    </row>
    <row r="14479" spans="1:9" s="232" customFormat="1" ht="17" customHeight="1">
      <c r="A14479" s="234"/>
      <c r="B14479" s="233"/>
      <c r="C14479" s="238"/>
      <c r="E14479" s="545"/>
      <c r="F14479" s="546"/>
      <c r="G14479" s="234"/>
      <c r="H14479" s="238"/>
      <c r="I14479" s="237"/>
    </row>
    <row r="14480" spans="1:9" s="232" customFormat="1" ht="17" customHeight="1">
      <c r="A14480" s="234"/>
      <c r="B14480" s="233"/>
      <c r="C14480" s="238"/>
      <c r="E14480" s="545"/>
      <c r="F14480" s="546"/>
      <c r="G14480" s="234"/>
      <c r="H14480" s="238"/>
      <c r="I14480" s="237"/>
    </row>
    <row r="14481" spans="1:9" s="232" customFormat="1" ht="17" customHeight="1">
      <c r="A14481" s="234"/>
      <c r="B14481" s="233"/>
      <c r="C14481" s="238"/>
      <c r="E14481" s="545"/>
      <c r="F14481" s="546"/>
      <c r="G14481" s="234"/>
      <c r="H14481" s="238"/>
      <c r="I14481" s="237"/>
    </row>
    <row r="14482" spans="1:9" s="232" customFormat="1" ht="17" customHeight="1">
      <c r="A14482" s="234"/>
      <c r="B14482" s="233"/>
      <c r="C14482" s="238"/>
      <c r="E14482" s="545"/>
      <c r="F14482" s="546"/>
      <c r="G14482" s="234"/>
      <c r="H14482" s="238"/>
      <c r="I14482" s="237"/>
    </row>
    <row r="14483" spans="1:9" s="232" customFormat="1" ht="17" customHeight="1">
      <c r="A14483" s="234"/>
      <c r="B14483" s="233"/>
      <c r="C14483" s="238"/>
      <c r="E14483" s="545"/>
      <c r="F14483" s="546"/>
      <c r="G14483" s="234"/>
      <c r="H14483" s="238"/>
      <c r="I14483" s="237"/>
    </row>
    <row r="14484" spans="1:9" s="232" customFormat="1" ht="17" customHeight="1">
      <c r="A14484" s="234"/>
      <c r="B14484" s="233"/>
      <c r="C14484" s="238"/>
      <c r="E14484" s="545"/>
      <c r="F14484" s="546"/>
      <c r="G14484" s="234"/>
      <c r="H14484" s="238"/>
      <c r="I14484" s="237"/>
    </row>
    <row r="14485" spans="1:9" s="232" customFormat="1" ht="17" customHeight="1">
      <c r="A14485" s="234"/>
      <c r="B14485" s="233"/>
      <c r="C14485" s="238"/>
      <c r="E14485" s="545"/>
      <c r="F14485" s="546"/>
      <c r="G14485" s="234"/>
      <c r="H14485" s="238"/>
      <c r="I14485" s="237"/>
    </row>
    <row r="14486" spans="1:9" s="232" customFormat="1" ht="17" customHeight="1">
      <c r="A14486" s="234"/>
      <c r="B14486" s="233"/>
      <c r="C14486" s="238"/>
      <c r="E14486" s="545"/>
      <c r="F14486" s="546"/>
      <c r="G14486" s="234"/>
      <c r="H14486" s="238"/>
      <c r="I14486" s="237"/>
    </row>
    <row r="14487" spans="1:9" s="232" customFormat="1" ht="17" customHeight="1">
      <c r="A14487" s="234"/>
      <c r="B14487" s="233"/>
      <c r="C14487" s="238"/>
      <c r="E14487" s="545"/>
      <c r="F14487" s="546"/>
      <c r="G14487" s="234"/>
      <c r="H14487" s="238"/>
      <c r="I14487" s="237"/>
    </row>
    <row r="14488" spans="1:9" s="232" customFormat="1" ht="17" customHeight="1">
      <c r="A14488" s="234"/>
      <c r="B14488" s="233"/>
      <c r="C14488" s="238"/>
      <c r="E14488" s="545"/>
      <c r="F14488" s="546"/>
      <c r="G14488" s="234"/>
      <c r="H14488" s="238"/>
      <c r="I14488" s="237"/>
    </row>
    <row r="14489" spans="1:9" s="232" customFormat="1" ht="17" customHeight="1">
      <c r="A14489" s="234"/>
      <c r="B14489" s="233"/>
      <c r="C14489" s="238"/>
      <c r="E14489" s="545"/>
      <c r="F14489" s="546"/>
      <c r="G14489" s="234"/>
      <c r="H14489" s="238"/>
      <c r="I14489" s="237"/>
    </row>
    <row r="14490" spans="1:9" s="232" customFormat="1" ht="17" customHeight="1">
      <c r="A14490" s="234"/>
      <c r="B14490" s="233"/>
      <c r="C14490" s="238"/>
      <c r="E14490" s="545"/>
      <c r="F14490" s="546"/>
      <c r="G14490" s="234"/>
      <c r="H14490" s="238"/>
      <c r="I14490" s="237"/>
    </row>
    <row r="14491" spans="1:9" s="232" customFormat="1" ht="17" customHeight="1">
      <c r="A14491" s="234"/>
      <c r="B14491" s="233"/>
      <c r="C14491" s="238"/>
      <c r="E14491" s="545"/>
      <c r="F14491" s="546"/>
      <c r="G14491" s="234"/>
      <c r="H14491" s="238"/>
      <c r="I14491" s="237"/>
    </row>
    <row r="14492" spans="1:9" s="232" customFormat="1" ht="17" customHeight="1">
      <c r="A14492" s="234"/>
      <c r="B14492" s="233"/>
      <c r="C14492" s="238"/>
      <c r="E14492" s="545"/>
      <c r="F14492" s="546"/>
      <c r="G14492" s="234"/>
      <c r="H14492" s="238"/>
      <c r="I14492" s="237"/>
    </row>
    <row r="14493" spans="1:9" s="232" customFormat="1" ht="17" customHeight="1">
      <c r="A14493" s="234"/>
      <c r="B14493" s="233"/>
      <c r="C14493" s="238"/>
      <c r="E14493" s="545"/>
      <c r="F14493" s="546"/>
      <c r="G14493" s="234"/>
      <c r="H14493" s="238"/>
      <c r="I14493" s="237"/>
    </row>
    <row r="14494" spans="1:9" s="232" customFormat="1" ht="17" customHeight="1">
      <c r="A14494" s="234"/>
      <c r="B14494" s="233"/>
      <c r="C14494" s="238"/>
      <c r="E14494" s="545"/>
      <c r="F14494" s="546"/>
      <c r="G14494" s="234"/>
      <c r="H14494" s="238"/>
      <c r="I14494" s="237"/>
    </row>
    <row r="14495" spans="1:9" s="232" customFormat="1" ht="17" customHeight="1">
      <c r="A14495" s="234"/>
      <c r="B14495" s="233"/>
      <c r="C14495" s="238"/>
      <c r="E14495" s="545"/>
      <c r="F14495" s="546"/>
      <c r="G14495" s="234"/>
      <c r="H14495" s="238"/>
      <c r="I14495" s="237"/>
    </row>
    <row r="14496" spans="1:9" s="232" customFormat="1" ht="17" customHeight="1">
      <c r="A14496" s="234"/>
      <c r="B14496" s="233"/>
      <c r="C14496" s="238"/>
      <c r="E14496" s="545"/>
      <c r="F14496" s="546"/>
      <c r="G14496" s="234"/>
      <c r="H14496" s="238"/>
      <c r="I14496" s="237"/>
    </row>
    <row r="14497" spans="1:9" s="232" customFormat="1" ht="17" customHeight="1">
      <c r="A14497" s="234"/>
      <c r="B14497" s="233"/>
      <c r="C14497" s="238"/>
      <c r="E14497" s="545"/>
      <c r="F14497" s="546"/>
      <c r="G14497" s="234"/>
      <c r="H14497" s="238"/>
      <c r="I14497" s="237"/>
    </row>
    <row r="14498" spans="1:9" s="232" customFormat="1" ht="17" customHeight="1">
      <c r="A14498" s="234"/>
      <c r="B14498" s="233"/>
      <c r="C14498" s="238"/>
      <c r="E14498" s="545"/>
      <c r="F14498" s="546"/>
      <c r="G14498" s="234"/>
      <c r="H14498" s="238"/>
      <c r="I14498" s="237"/>
    </row>
    <row r="14499" spans="1:9" s="232" customFormat="1" ht="17" customHeight="1">
      <c r="A14499" s="234"/>
      <c r="B14499" s="233"/>
      <c r="C14499" s="238"/>
      <c r="E14499" s="545"/>
      <c r="F14499" s="546"/>
      <c r="G14499" s="234"/>
      <c r="H14499" s="238"/>
      <c r="I14499" s="237"/>
    </row>
    <row r="14500" spans="1:9" s="232" customFormat="1" ht="17" customHeight="1">
      <c r="A14500" s="234"/>
      <c r="B14500" s="233"/>
      <c r="C14500" s="238"/>
      <c r="E14500" s="545"/>
      <c r="F14500" s="546"/>
      <c r="G14500" s="234"/>
      <c r="H14500" s="238"/>
      <c r="I14500" s="237"/>
    </row>
    <row r="14501" spans="1:9" s="232" customFormat="1" ht="17" customHeight="1">
      <c r="A14501" s="234"/>
      <c r="B14501" s="233"/>
      <c r="C14501" s="238"/>
      <c r="E14501" s="545"/>
      <c r="F14501" s="546"/>
      <c r="G14501" s="234"/>
      <c r="H14501" s="238"/>
      <c r="I14501" s="237"/>
    </row>
    <row r="14502" spans="1:9" s="232" customFormat="1" ht="17" customHeight="1">
      <c r="A14502" s="234"/>
      <c r="B14502" s="233"/>
      <c r="C14502" s="238"/>
      <c r="E14502" s="545"/>
      <c r="F14502" s="546"/>
      <c r="G14502" s="234"/>
      <c r="H14502" s="238"/>
      <c r="I14502" s="237"/>
    </row>
    <row r="14503" spans="1:9" s="232" customFormat="1" ht="17" customHeight="1">
      <c r="A14503" s="234"/>
      <c r="B14503" s="233"/>
      <c r="C14503" s="238"/>
      <c r="E14503" s="545"/>
      <c r="F14503" s="546"/>
      <c r="G14503" s="234"/>
      <c r="H14503" s="238"/>
      <c r="I14503" s="237"/>
    </row>
    <row r="14504" spans="1:9" s="232" customFormat="1" ht="17" customHeight="1">
      <c r="A14504" s="234"/>
      <c r="B14504" s="233"/>
      <c r="C14504" s="238"/>
      <c r="E14504" s="545"/>
      <c r="F14504" s="546"/>
      <c r="G14504" s="234"/>
      <c r="H14504" s="238"/>
      <c r="I14504" s="237"/>
    </row>
    <row r="14505" spans="1:9" s="232" customFormat="1" ht="17" customHeight="1">
      <c r="A14505" s="234"/>
      <c r="B14505" s="233"/>
      <c r="C14505" s="238"/>
      <c r="E14505" s="545"/>
      <c r="F14505" s="546"/>
      <c r="G14505" s="234"/>
      <c r="H14505" s="238"/>
      <c r="I14505" s="237"/>
    </row>
    <row r="14506" spans="1:9" s="232" customFormat="1" ht="17" customHeight="1">
      <c r="A14506" s="234"/>
      <c r="B14506" s="233"/>
      <c r="C14506" s="238"/>
      <c r="E14506" s="545"/>
      <c r="F14506" s="546"/>
      <c r="G14506" s="234"/>
      <c r="H14506" s="238"/>
      <c r="I14506" s="237"/>
    </row>
    <row r="14507" spans="1:9" s="232" customFormat="1" ht="17" customHeight="1">
      <c r="A14507" s="234"/>
      <c r="B14507" s="233"/>
      <c r="C14507" s="238"/>
      <c r="E14507" s="545"/>
      <c r="F14507" s="546"/>
      <c r="G14507" s="234"/>
      <c r="H14507" s="238"/>
      <c r="I14507" s="237"/>
    </row>
    <row r="14508" spans="1:9" s="232" customFormat="1" ht="17" customHeight="1">
      <c r="A14508" s="234"/>
      <c r="B14508" s="233"/>
      <c r="C14508" s="238"/>
      <c r="E14508" s="545"/>
      <c r="F14508" s="546"/>
      <c r="G14508" s="234"/>
      <c r="H14508" s="238"/>
      <c r="I14508" s="237"/>
    </row>
    <row r="14509" spans="1:9" s="232" customFormat="1" ht="17" customHeight="1">
      <c r="A14509" s="234"/>
      <c r="B14509" s="233"/>
      <c r="C14509" s="238"/>
      <c r="E14509" s="545"/>
      <c r="F14509" s="546"/>
      <c r="G14509" s="234"/>
      <c r="H14509" s="238"/>
      <c r="I14509" s="237"/>
    </row>
    <row r="14510" spans="1:9" s="232" customFormat="1" ht="17" customHeight="1">
      <c r="A14510" s="234"/>
      <c r="B14510" s="233"/>
      <c r="C14510" s="238"/>
      <c r="E14510" s="545"/>
      <c r="F14510" s="546"/>
      <c r="G14510" s="234"/>
      <c r="H14510" s="238"/>
      <c r="I14510" s="237"/>
    </row>
    <row r="14511" spans="1:9" s="232" customFormat="1" ht="17" customHeight="1">
      <c r="A14511" s="234"/>
      <c r="B14511" s="233"/>
      <c r="C14511" s="238"/>
      <c r="E14511" s="545"/>
      <c r="F14511" s="546"/>
      <c r="G14511" s="234"/>
      <c r="H14511" s="238"/>
      <c r="I14511" s="237"/>
    </row>
    <row r="14512" spans="1:9" s="232" customFormat="1" ht="17" customHeight="1">
      <c r="A14512" s="234"/>
      <c r="B14512" s="233"/>
      <c r="C14512" s="238"/>
      <c r="E14512" s="545"/>
      <c r="F14512" s="546"/>
      <c r="G14512" s="234"/>
      <c r="H14512" s="238"/>
      <c r="I14512" s="237"/>
    </row>
    <row r="14513" spans="1:9" s="232" customFormat="1" ht="17" customHeight="1">
      <c r="A14513" s="234"/>
      <c r="B14513" s="233"/>
      <c r="C14513" s="238"/>
      <c r="E14513" s="545"/>
      <c r="F14513" s="546"/>
      <c r="G14513" s="234"/>
      <c r="H14513" s="238"/>
      <c r="I14513" s="237"/>
    </row>
    <row r="14514" spans="1:9" s="232" customFormat="1" ht="17" customHeight="1">
      <c r="A14514" s="234"/>
      <c r="B14514" s="233"/>
      <c r="C14514" s="238"/>
      <c r="E14514" s="545"/>
      <c r="F14514" s="546"/>
      <c r="G14514" s="234"/>
      <c r="H14514" s="238"/>
      <c r="I14514" s="237"/>
    </row>
    <row r="14515" spans="1:9" s="232" customFormat="1" ht="17" customHeight="1">
      <c r="A14515" s="234"/>
      <c r="B14515" s="233"/>
      <c r="C14515" s="238"/>
      <c r="E14515" s="545"/>
      <c r="F14515" s="546"/>
      <c r="G14515" s="234"/>
      <c r="H14515" s="238"/>
      <c r="I14515" s="237"/>
    </row>
    <row r="14516" spans="1:9" s="232" customFormat="1" ht="17" customHeight="1">
      <c r="A14516" s="234"/>
      <c r="B14516" s="233"/>
      <c r="C14516" s="238"/>
      <c r="E14516" s="545"/>
      <c r="F14516" s="546"/>
      <c r="G14516" s="234"/>
      <c r="H14516" s="238"/>
      <c r="I14516" s="237"/>
    </row>
    <row r="14517" spans="1:9" s="232" customFormat="1" ht="17" customHeight="1">
      <c r="A14517" s="234"/>
      <c r="B14517" s="233"/>
      <c r="C14517" s="238"/>
      <c r="E14517" s="545"/>
      <c r="F14517" s="546"/>
      <c r="G14517" s="234"/>
      <c r="H14517" s="238"/>
      <c r="I14517" s="237"/>
    </row>
    <row r="14518" spans="1:9" s="232" customFormat="1" ht="17" customHeight="1">
      <c r="A14518" s="234"/>
      <c r="B14518" s="233"/>
      <c r="C14518" s="238"/>
      <c r="E14518" s="545"/>
      <c r="F14518" s="546"/>
      <c r="G14518" s="234"/>
      <c r="H14518" s="238"/>
      <c r="I14518" s="237"/>
    </row>
    <row r="14519" spans="1:9" s="232" customFormat="1" ht="17" customHeight="1">
      <c r="A14519" s="234"/>
      <c r="B14519" s="233"/>
      <c r="C14519" s="238"/>
      <c r="E14519" s="545"/>
      <c r="F14519" s="546"/>
      <c r="G14519" s="234"/>
      <c r="H14519" s="238"/>
      <c r="I14519" s="237"/>
    </row>
    <row r="14520" spans="1:9" s="232" customFormat="1" ht="17" customHeight="1">
      <c r="A14520" s="234"/>
      <c r="B14520" s="233"/>
      <c r="C14520" s="238"/>
      <c r="E14520" s="545"/>
      <c r="F14520" s="546"/>
      <c r="G14520" s="234"/>
      <c r="H14520" s="238"/>
      <c r="I14520" s="237"/>
    </row>
    <row r="14521" spans="1:9" s="232" customFormat="1" ht="17" customHeight="1">
      <c r="A14521" s="234"/>
      <c r="B14521" s="233"/>
      <c r="C14521" s="238"/>
      <c r="E14521" s="545"/>
      <c r="F14521" s="546"/>
      <c r="G14521" s="234"/>
      <c r="H14521" s="238"/>
      <c r="I14521" s="237"/>
    </row>
    <row r="14522" spans="1:9" s="232" customFormat="1" ht="17" customHeight="1">
      <c r="A14522" s="234"/>
      <c r="B14522" s="233"/>
      <c r="C14522" s="238"/>
      <c r="E14522" s="545"/>
      <c r="F14522" s="546"/>
      <c r="G14522" s="234"/>
      <c r="H14522" s="238"/>
      <c r="I14522" s="237"/>
    </row>
    <row r="14523" spans="1:9" s="232" customFormat="1" ht="17" customHeight="1">
      <c r="A14523" s="234"/>
      <c r="B14523" s="233"/>
      <c r="C14523" s="238"/>
      <c r="E14523" s="545"/>
      <c r="F14523" s="546"/>
      <c r="G14523" s="234"/>
      <c r="H14523" s="238"/>
      <c r="I14523" s="237"/>
    </row>
    <row r="14524" spans="1:9" s="232" customFormat="1" ht="17" customHeight="1">
      <c r="A14524" s="234"/>
      <c r="B14524" s="233"/>
      <c r="C14524" s="238"/>
      <c r="E14524" s="545"/>
      <c r="F14524" s="546"/>
      <c r="G14524" s="234"/>
      <c r="H14524" s="238"/>
      <c r="I14524" s="237"/>
    </row>
    <row r="14525" spans="1:9" s="232" customFormat="1" ht="17" customHeight="1">
      <c r="A14525" s="234"/>
      <c r="B14525" s="233"/>
      <c r="C14525" s="238"/>
      <c r="E14525" s="545"/>
      <c r="F14525" s="546"/>
      <c r="G14525" s="234"/>
      <c r="H14525" s="238"/>
      <c r="I14525" s="237"/>
    </row>
    <row r="14526" spans="1:9" s="232" customFormat="1" ht="17" customHeight="1">
      <c r="A14526" s="234"/>
      <c r="B14526" s="233"/>
      <c r="C14526" s="238"/>
      <c r="E14526" s="545"/>
      <c r="F14526" s="546"/>
      <c r="G14526" s="234"/>
      <c r="H14526" s="238"/>
      <c r="I14526" s="237"/>
    </row>
    <row r="14527" spans="1:9" s="232" customFormat="1" ht="17" customHeight="1">
      <c r="A14527" s="234"/>
      <c r="B14527" s="233"/>
      <c r="C14527" s="238"/>
      <c r="E14527" s="545"/>
      <c r="F14527" s="546"/>
      <c r="G14527" s="234"/>
      <c r="H14527" s="238"/>
      <c r="I14527" s="237"/>
    </row>
    <row r="14528" spans="1:9" s="232" customFormat="1" ht="17" customHeight="1">
      <c r="A14528" s="234"/>
      <c r="B14528" s="233"/>
      <c r="C14528" s="238"/>
      <c r="E14528" s="545"/>
      <c r="F14528" s="546"/>
      <c r="G14528" s="234"/>
      <c r="H14528" s="238"/>
      <c r="I14528" s="237"/>
    </row>
    <row r="14529" spans="1:9" s="232" customFormat="1" ht="17" customHeight="1">
      <c r="A14529" s="234"/>
      <c r="B14529" s="233"/>
      <c r="C14529" s="238"/>
      <c r="E14529" s="545"/>
      <c r="F14529" s="546"/>
      <c r="G14529" s="234"/>
      <c r="H14529" s="238"/>
      <c r="I14529" s="237"/>
    </row>
    <row r="14530" spans="1:9" s="232" customFormat="1" ht="17" customHeight="1">
      <c r="A14530" s="234"/>
      <c r="B14530" s="233"/>
      <c r="C14530" s="238"/>
      <c r="E14530" s="545"/>
      <c r="F14530" s="546"/>
      <c r="G14530" s="234"/>
      <c r="H14530" s="238"/>
      <c r="I14530" s="237"/>
    </row>
    <row r="14531" spans="1:9" s="232" customFormat="1" ht="17" customHeight="1">
      <c r="A14531" s="234"/>
      <c r="B14531" s="233"/>
      <c r="C14531" s="238"/>
      <c r="E14531" s="545"/>
      <c r="F14531" s="546"/>
      <c r="G14531" s="234"/>
      <c r="H14531" s="238"/>
      <c r="I14531" s="237"/>
    </row>
    <row r="14532" spans="1:9" s="232" customFormat="1" ht="17" customHeight="1">
      <c r="A14532" s="234"/>
      <c r="B14532" s="233"/>
      <c r="C14532" s="238"/>
      <c r="E14532" s="545"/>
      <c r="F14532" s="546"/>
      <c r="G14532" s="234"/>
      <c r="H14532" s="238"/>
      <c r="I14532" s="237"/>
    </row>
    <row r="14533" spans="1:9" s="232" customFormat="1" ht="17" customHeight="1">
      <c r="A14533" s="234"/>
      <c r="B14533" s="233"/>
      <c r="C14533" s="238"/>
      <c r="E14533" s="545"/>
      <c r="F14533" s="546"/>
      <c r="G14533" s="234"/>
      <c r="H14533" s="238"/>
      <c r="I14533" s="237"/>
    </row>
    <row r="14534" spans="1:9" s="232" customFormat="1" ht="17" customHeight="1">
      <c r="A14534" s="234"/>
      <c r="B14534" s="233"/>
      <c r="C14534" s="238"/>
      <c r="E14534" s="545"/>
      <c r="F14534" s="546"/>
      <c r="G14534" s="234"/>
      <c r="H14534" s="238"/>
      <c r="I14534" s="237"/>
    </row>
    <row r="14535" spans="1:9" s="232" customFormat="1" ht="17" customHeight="1">
      <c r="A14535" s="234"/>
      <c r="B14535" s="233"/>
      <c r="C14535" s="238"/>
      <c r="E14535" s="545"/>
      <c r="F14535" s="546"/>
      <c r="G14535" s="234"/>
      <c r="H14535" s="238"/>
      <c r="I14535" s="237"/>
    </row>
    <row r="14536" spans="1:9" s="232" customFormat="1" ht="17" customHeight="1">
      <c r="A14536" s="234"/>
      <c r="B14536" s="233"/>
      <c r="C14536" s="238"/>
      <c r="E14536" s="545"/>
      <c r="F14536" s="546"/>
      <c r="G14536" s="234"/>
      <c r="H14536" s="238"/>
      <c r="I14536" s="237"/>
    </row>
    <row r="14537" spans="1:9" s="232" customFormat="1" ht="17" customHeight="1">
      <c r="A14537" s="234"/>
      <c r="B14537" s="233"/>
      <c r="C14537" s="238"/>
      <c r="E14537" s="545"/>
      <c r="F14537" s="546"/>
      <c r="G14537" s="234"/>
      <c r="H14537" s="238"/>
      <c r="I14537" s="237"/>
    </row>
    <row r="14538" spans="1:9" s="232" customFormat="1" ht="17" customHeight="1">
      <c r="A14538" s="234"/>
      <c r="B14538" s="233"/>
      <c r="C14538" s="238"/>
      <c r="E14538" s="545"/>
      <c r="F14538" s="546"/>
      <c r="G14538" s="234"/>
      <c r="H14538" s="238"/>
      <c r="I14538" s="237"/>
    </row>
    <row r="14539" spans="1:9" s="232" customFormat="1" ht="17" customHeight="1">
      <c r="A14539" s="234"/>
      <c r="B14539" s="233"/>
      <c r="C14539" s="238"/>
      <c r="E14539" s="545"/>
      <c r="F14539" s="546"/>
      <c r="G14539" s="234"/>
      <c r="H14539" s="238"/>
      <c r="I14539" s="237"/>
    </row>
    <row r="14540" spans="1:9" s="232" customFormat="1" ht="17" customHeight="1">
      <c r="A14540" s="234"/>
      <c r="B14540" s="233"/>
      <c r="C14540" s="238"/>
      <c r="E14540" s="545"/>
      <c r="F14540" s="546"/>
      <c r="G14540" s="234"/>
      <c r="H14540" s="238"/>
      <c r="I14540" s="237"/>
    </row>
    <row r="14541" spans="1:9" s="232" customFormat="1" ht="17" customHeight="1">
      <c r="A14541" s="234"/>
      <c r="B14541" s="233"/>
      <c r="C14541" s="238"/>
      <c r="E14541" s="545"/>
      <c r="F14541" s="546"/>
      <c r="G14541" s="234"/>
      <c r="H14541" s="238"/>
      <c r="I14541" s="237"/>
    </row>
    <row r="14542" spans="1:9" s="232" customFormat="1" ht="17" customHeight="1">
      <c r="A14542" s="234"/>
      <c r="B14542" s="233"/>
      <c r="C14542" s="238"/>
      <c r="E14542" s="545"/>
      <c r="F14542" s="546"/>
      <c r="G14542" s="234"/>
      <c r="H14542" s="238"/>
      <c r="I14542" s="237"/>
    </row>
    <row r="14543" spans="1:9" s="232" customFormat="1" ht="17" customHeight="1">
      <c r="A14543" s="234"/>
      <c r="B14543" s="233"/>
      <c r="C14543" s="238"/>
      <c r="E14543" s="545"/>
      <c r="F14543" s="546"/>
      <c r="G14543" s="234"/>
      <c r="H14543" s="238"/>
      <c r="I14543" s="237"/>
    </row>
    <row r="14544" spans="1:9" s="232" customFormat="1" ht="17" customHeight="1">
      <c r="A14544" s="234"/>
      <c r="B14544" s="233"/>
      <c r="C14544" s="238"/>
      <c r="E14544" s="545"/>
      <c r="F14544" s="546"/>
      <c r="G14544" s="234"/>
      <c r="H14544" s="238"/>
      <c r="I14544" s="237"/>
    </row>
    <row r="14545" spans="1:9" s="232" customFormat="1" ht="17" customHeight="1">
      <c r="A14545" s="234"/>
      <c r="B14545" s="233"/>
      <c r="C14545" s="238"/>
      <c r="E14545" s="545"/>
      <c r="F14545" s="546"/>
      <c r="G14545" s="234"/>
      <c r="H14545" s="238"/>
      <c r="I14545" s="237"/>
    </row>
    <row r="14546" spans="1:9" s="232" customFormat="1" ht="17" customHeight="1">
      <c r="A14546" s="234"/>
      <c r="B14546" s="233"/>
      <c r="C14546" s="238"/>
      <c r="E14546" s="545"/>
      <c r="F14546" s="546"/>
      <c r="G14546" s="234"/>
      <c r="H14546" s="238"/>
      <c r="I14546" s="237"/>
    </row>
    <row r="14547" spans="1:9" s="232" customFormat="1" ht="17" customHeight="1">
      <c r="A14547" s="234"/>
      <c r="B14547" s="233"/>
      <c r="C14547" s="238"/>
      <c r="E14547" s="545"/>
      <c r="F14547" s="546"/>
      <c r="G14547" s="234"/>
      <c r="H14547" s="238"/>
      <c r="I14547" s="237"/>
    </row>
    <row r="14548" spans="1:9" s="232" customFormat="1" ht="17" customHeight="1">
      <c r="A14548" s="234"/>
      <c r="B14548" s="233"/>
      <c r="C14548" s="238"/>
      <c r="E14548" s="545"/>
      <c r="F14548" s="546"/>
      <c r="G14548" s="234"/>
      <c r="H14548" s="238"/>
      <c r="I14548" s="237"/>
    </row>
    <row r="14549" spans="1:9" s="232" customFormat="1" ht="17" customHeight="1">
      <c r="A14549" s="234"/>
      <c r="B14549" s="233"/>
      <c r="C14549" s="238"/>
      <c r="E14549" s="545"/>
      <c r="F14549" s="546"/>
      <c r="G14549" s="234"/>
      <c r="H14549" s="238"/>
      <c r="I14549" s="237"/>
    </row>
    <row r="14550" spans="1:9" s="232" customFormat="1" ht="17" customHeight="1">
      <c r="A14550" s="234"/>
      <c r="B14550" s="233"/>
      <c r="C14550" s="238"/>
      <c r="E14550" s="545"/>
      <c r="F14550" s="546"/>
      <c r="G14550" s="234"/>
      <c r="H14550" s="238"/>
      <c r="I14550" s="237"/>
    </row>
    <row r="14551" spans="1:9" s="232" customFormat="1" ht="17" customHeight="1">
      <c r="A14551" s="234"/>
      <c r="B14551" s="233"/>
      <c r="C14551" s="238"/>
      <c r="E14551" s="545"/>
      <c r="F14551" s="546"/>
      <c r="G14551" s="234"/>
      <c r="H14551" s="238"/>
      <c r="I14551" s="237"/>
    </row>
    <row r="14552" spans="1:9" s="232" customFormat="1" ht="17" customHeight="1">
      <c r="A14552" s="234"/>
      <c r="B14552" s="233"/>
      <c r="C14552" s="238"/>
      <c r="E14552" s="545"/>
      <c r="F14552" s="546"/>
      <c r="G14552" s="234"/>
      <c r="H14552" s="238"/>
      <c r="I14552" s="237"/>
    </row>
    <row r="14553" spans="1:9" s="232" customFormat="1" ht="17" customHeight="1">
      <c r="A14553" s="234"/>
      <c r="B14553" s="233"/>
      <c r="C14553" s="238"/>
      <c r="E14553" s="545"/>
      <c r="F14553" s="546"/>
      <c r="G14553" s="234"/>
      <c r="H14553" s="238"/>
      <c r="I14553" s="237"/>
    </row>
    <row r="14554" spans="1:9" s="232" customFormat="1" ht="17" customHeight="1">
      <c r="A14554" s="234"/>
      <c r="B14554" s="233"/>
      <c r="C14554" s="238"/>
      <c r="E14554" s="545"/>
      <c r="F14554" s="546"/>
      <c r="G14554" s="234"/>
      <c r="H14554" s="238"/>
      <c r="I14554" s="237"/>
    </row>
    <row r="14555" spans="1:9" s="232" customFormat="1" ht="17" customHeight="1">
      <c r="A14555" s="234"/>
      <c r="B14555" s="233"/>
      <c r="C14555" s="238"/>
      <c r="E14555" s="545"/>
      <c r="F14555" s="546"/>
      <c r="G14555" s="234"/>
      <c r="H14555" s="238"/>
      <c r="I14555" s="237"/>
    </row>
    <row r="14556" spans="1:9" s="232" customFormat="1" ht="17" customHeight="1">
      <c r="A14556" s="234"/>
      <c r="B14556" s="233"/>
      <c r="C14556" s="238"/>
      <c r="E14556" s="545"/>
      <c r="F14556" s="546"/>
      <c r="G14556" s="234"/>
      <c r="H14556" s="238"/>
      <c r="I14556" s="237"/>
    </row>
    <row r="14557" spans="1:9" s="232" customFormat="1" ht="17" customHeight="1">
      <c r="A14557" s="234"/>
      <c r="B14557" s="233"/>
      <c r="C14557" s="238"/>
      <c r="E14557" s="545"/>
      <c r="F14557" s="546"/>
      <c r="G14557" s="234"/>
      <c r="H14557" s="238"/>
      <c r="I14557" s="237"/>
    </row>
    <row r="14558" spans="1:9" s="232" customFormat="1" ht="17" customHeight="1">
      <c r="A14558" s="234"/>
      <c r="B14558" s="233"/>
      <c r="C14558" s="238"/>
      <c r="E14558" s="545"/>
      <c r="F14558" s="546"/>
      <c r="G14558" s="234"/>
      <c r="H14558" s="238"/>
      <c r="I14558" s="237"/>
    </row>
    <row r="14559" spans="1:9" s="232" customFormat="1" ht="17" customHeight="1">
      <c r="A14559" s="234"/>
      <c r="B14559" s="233"/>
      <c r="C14559" s="238"/>
      <c r="E14559" s="545"/>
      <c r="F14559" s="546"/>
      <c r="G14559" s="234"/>
      <c r="H14559" s="238"/>
      <c r="I14559" s="237"/>
    </row>
    <row r="14560" spans="1:9" s="232" customFormat="1" ht="17" customHeight="1">
      <c r="A14560" s="234"/>
      <c r="B14560" s="233"/>
      <c r="C14560" s="238"/>
      <c r="E14560" s="545"/>
      <c r="F14560" s="546"/>
      <c r="G14560" s="234"/>
      <c r="H14560" s="238"/>
      <c r="I14560" s="237"/>
    </row>
    <row r="14561" spans="1:9" s="232" customFormat="1" ht="17" customHeight="1">
      <c r="A14561" s="234"/>
      <c r="B14561" s="233"/>
      <c r="C14561" s="238"/>
      <c r="E14561" s="545"/>
      <c r="F14561" s="546"/>
      <c r="G14561" s="234"/>
      <c r="H14561" s="238"/>
      <c r="I14561" s="237"/>
    </row>
    <row r="14562" spans="1:9" s="232" customFormat="1" ht="17" customHeight="1">
      <c r="A14562" s="234"/>
      <c r="B14562" s="233"/>
      <c r="C14562" s="238"/>
      <c r="E14562" s="545"/>
      <c r="F14562" s="546"/>
      <c r="G14562" s="234"/>
      <c r="H14562" s="238"/>
      <c r="I14562" s="237"/>
    </row>
    <row r="14563" spans="1:9" s="232" customFormat="1" ht="17" customHeight="1">
      <c r="A14563" s="234"/>
      <c r="B14563" s="233"/>
      <c r="C14563" s="238"/>
      <c r="E14563" s="545"/>
      <c r="F14563" s="546"/>
      <c r="G14563" s="234"/>
      <c r="H14563" s="238"/>
      <c r="I14563" s="237"/>
    </row>
    <row r="14564" spans="1:9" s="232" customFormat="1" ht="17" customHeight="1">
      <c r="A14564" s="234"/>
      <c r="B14564" s="233"/>
      <c r="C14564" s="238"/>
      <c r="E14564" s="545"/>
      <c r="F14564" s="546"/>
      <c r="G14564" s="234"/>
      <c r="H14564" s="238"/>
      <c r="I14564" s="237"/>
    </row>
    <row r="14565" spans="1:9" s="232" customFormat="1" ht="17" customHeight="1">
      <c r="A14565" s="234"/>
      <c r="B14565" s="233"/>
      <c r="C14565" s="238"/>
      <c r="E14565" s="545"/>
      <c r="F14565" s="546"/>
      <c r="G14565" s="234"/>
      <c r="H14565" s="238"/>
      <c r="I14565" s="237"/>
    </row>
    <row r="14566" spans="1:9" s="232" customFormat="1" ht="17" customHeight="1">
      <c r="A14566" s="234"/>
      <c r="B14566" s="233"/>
      <c r="C14566" s="238"/>
      <c r="E14566" s="545"/>
      <c r="F14566" s="546"/>
      <c r="G14566" s="234"/>
      <c r="H14566" s="238"/>
      <c r="I14566" s="237"/>
    </row>
    <row r="14567" spans="1:9" s="232" customFormat="1" ht="17" customHeight="1">
      <c r="A14567" s="234"/>
      <c r="B14567" s="233"/>
      <c r="C14567" s="238"/>
      <c r="E14567" s="545"/>
      <c r="F14567" s="546"/>
      <c r="G14567" s="234"/>
      <c r="H14567" s="238"/>
      <c r="I14567" s="237"/>
    </row>
    <row r="14568" spans="1:9" s="232" customFormat="1" ht="17" customHeight="1">
      <c r="A14568" s="234"/>
      <c r="B14568" s="233"/>
      <c r="C14568" s="238"/>
      <c r="E14568" s="545"/>
      <c r="F14568" s="546"/>
      <c r="G14568" s="234"/>
      <c r="H14568" s="238"/>
      <c r="I14568" s="237"/>
    </row>
    <row r="14569" spans="1:9" s="232" customFormat="1" ht="17" customHeight="1">
      <c r="A14569" s="234"/>
      <c r="B14569" s="233"/>
      <c r="C14569" s="238"/>
      <c r="E14569" s="545"/>
      <c r="F14569" s="546"/>
      <c r="G14569" s="234"/>
      <c r="H14569" s="238"/>
      <c r="I14569" s="237"/>
    </row>
    <row r="14570" spans="1:9" s="232" customFormat="1" ht="17" customHeight="1">
      <c r="A14570" s="234"/>
      <c r="B14570" s="233"/>
      <c r="C14570" s="238"/>
      <c r="E14570" s="545"/>
      <c r="F14570" s="546"/>
      <c r="G14570" s="234"/>
      <c r="H14570" s="238"/>
      <c r="I14570" s="237"/>
    </row>
    <row r="14571" spans="1:9" s="232" customFormat="1" ht="17" customHeight="1">
      <c r="A14571" s="234"/>
      <c r="B14571" s="233"/>
      <c r="C14571" s="238"/>
      <c r="E14571" s="545"/>
      <c r="F14571" s="546"/>
      <c r="G14571" s="234"/>
      <c r="H14571" s="238"/>
      <c r="I14571" s="237"/>
    </row>
    <row r="14572" spans="1:9" s="232" customFormat="1" ht="17" customHeight="1">
      <c r="A14572" s="234"/>
      <c r="B14572" s="233"/>
      <c r="C14572" s="238"/>
      <c r="E14572" s="545"/>
      <c r="F14572" s="546"/>
      <c r="G14572" s="234"/>
      <c r="H14572" s="238"/>
      <c r="I14572" s="237"/>
    </row>
    <row r="14573" spans="1:9" s="232" customFormat="1" ht="17" customHeight="1">
      <c r="A14573" s="234"/>
      <c r="B14573" s="233"/>
      <c r="C14573" s="238"/>
      <c r="E14573" s="545"/>
      <c r="F14573" s="546"/>
      <c r="G14573" s="234"/>
      <c r="H14573" s="238"/>
      <c r="I14573" s="237"/>
    </row>
    <row r="14574" spans="1:9" s="232" customFormat="1" ht="17" customHeight="1">
      <c r="A14574" s="234"/>
      <c r="B14574" s="233"/>
      <c r="C14574" s="238"/>
      <c r="E14574" s="545"/>
      <c r="F14574" s="546"/>
      <c r="G14574" s="234"/>
      <c r="H14574" s="238"/>
      <c r="I14574" s="237"/>
    </row>
    <row r="14575" spans="1:9" s="232" customFormat="1" ht="17" customHeight="1">
      <c r="A14575" s="234"/>
      <c r="B14575" s="233"/>
      <c r="C14575" s="238"/>
      <c r="E14575" s="545"/>
      <c r="F14575" s="546"/>
      <c r="G14575" s="234"/>
      <c r="H14575" s="238"/>
      <c r="I14575" s="237"/>
    </row>
    <row r="14576" spans="1:9" s="232" customFormat="1" ht="17" customHeight="1">
      <c r="A14576" s="234"/>
      <c r="B14576" s="233"/>
      <c r="C14576" s="238"/>
      <c r="E14576" s="545"/>
      <c r="F14576" s="546"/>
      <c r="G14576" s="234"/>
      <c r="H14576" s="238"/>
      <c r="I14576" s="237"/>
    </row>
    <row r="14577" spans="1:9" s="232" customFormat="1" ht="17" customHeight="1">
      <c r="A14577" s="234"/>
      <c r="B14577" s="233"/>
      <c r="C14577" s="238"/>
      <c r="E14577" s="545"/>
      <c r="F14577" s="546"/>
      <c r="G14577" s="234"/>
      <c r="H14577" s="238"/>
      <c r="I14577" s="237"/>
    </row>
    <row r="14578" spans="1:9" s="232" customFormat="1" ht="17" customHeight="1">
      <c r="A14578" s="234"/>
      <c r="B14578" s="233"/>
      <c r="C14578" s="238"/>
      <c r="E14578" s="545"/>
      <c r="F14578" s="546"/>
      <c r="G14578" s="234"/>
      <c r="H14578" s="238"/>
      <c r="I14578" s="237"/>
    </row>
    <row r="14579" spans="1:9" s="232" customFormat="1" ht="17" customHeight="1">
      <c r="A14579" s="234"/>
      <c r="B14579" s="233"/>
      <c r="C14579" s="238"/>
      <c r="E14579" s="545"/>
      <c r="F14579" s="546"/>
      <c r="G14579" s="234"/>
      <c r="H14579" s="238"/>
      <c r="I14579" s="237"/>
    </row>
    <row r="14580" spans="1:9" s="232" customFormat="1" ht="17" customHeight="1">
      <c r="A14580" s="234"/>
      <c r="B14580" s="233"/>
      <c r="C14580" s="238"/>
      <c r="E14580" s="545"/>
      <c r="F14580" s="546"/>
      <c r="G14580" s="234"/>
      <c r="H14580" s="238"/>
      <c r="I14580" s="237"/>
    </row>
    <row r="14581" spans="1:9" s="232" customFormat="1" ht="17" customHeight="1">
      <c r="A14581" s="234"/>
      <c r="B14581" s="233"/>
      <c r="C14581" s="238"/>
      <c r="E14581" s="545"/>
      <c r="F14581" s="546"/>
      <c r="G14581" s="234"/>
      <c r="H14581" s="238"/>
      <c r="I14581" s="237"/>
    </row>
    <row r="14582" spans="1:9" s="232" customFormat="1" ht="17" customHeight="1">
      <c r="A14582" s="234"/>
      <c r="B14582" s="233"/>
      <c r="C14582" s="238"/>
      <c r="E14582" s="545"/>
      <c r="F14582" s="546"/>
      <c r="G14582" s="234"/>
      <c r="H14582" s="238"/>
      <c r="I14582" s="237"/>
    </row>
    <row r="14583" spans="1:9" s="232" customFormat="1" ht="17" customHeight="1">
      <c r="A14583" s="234"/>
      <c r="B14583" s="233"/>
      <c r="C14583" s="238"/>
      <c r="E14583" s="545"/>
      <c r="F14583" s="546"/>
      <c r="G14583" s="234"/>
      <c r="H14583" s="238"/>
      <c r="I14583" s="237"/>
    </row>
    <row r="14584" spans="1:9" s="232" customFormat="1" ht="17" customHeight="1">
      <c r="A14584" s="234"/>
      <c r="B14584" s="233"/>
      <c r="C14584" s="238"/>
      <c r="E14584" s="545"/>
      <c r="F14584" s="546"/>
      <c r="G14584" s="234"/>
      <c r="H14584" s="238"/>
      <c r="I14584" s="237"/>
    </row>
    <row r="14585" spans="1:9" s="232" customFormat="1" ht="17" customHeight="1">
      <c r="A14585" s="234"/>
      <c r="B14585" s="233"/>
      <c r="C14585" s="238"/>
      <c r="E14585" s="545"/>
      <c r="F14585" s="546"/>
      <c r="G14585" s="234"/>
      <c r="H14585" s="238"/>
      <c r="I14585" s="237"/>
    </row>
    <row r="14586" spans="1:9" s="232" customFormat="1" ht="17" customHeight="1">
      <c r="A14586" s="234"/>
      <c r="B14586" s="233"/>
      <c r="C14586" s="238"/>
      <c r="E14586" s="545"/>
      <c r="F14586" s="546"/>
      <c r="G14586" s="234"/>
      <c r="H14586" s="238"/>
      <c r="I14586" s="237"/>
    </row>
    <row r="14587" spans="1:9" s="232" customFormat="1" ht="17" customHeight="1">
      <c r="A14587" s="234"/>
      <c r="B14587" s="233"/>
      <c r="C14587" s="238"/>
      <c r="E14587" s="545"/>
      <c r="F14587" s="546"/>
      <c r="G14587" s="234"/>
      <c r="H14587" s="238"/>
      <c r="I14587" s="237"/>
    </row>
    <row r="14588" spans="1:9" s="232" customFormat="1" ht="17" customHeight="1">
      <c r="A14588" s="234"/>
      <c r="B14588" s="233"/>
      <c r="C14588" s="238"/>
      <c r="E14588" s="545"/>
      <c r="F14588" s="546"/>
      <c r="G14588" s="234"/>
      <c r="H14588" s="238"/>
      <c r="I14588" s="237"/>
    </row>
    <row r="14589" spans="1:9" s="232" customFormat="1" ht="17" customHeight="1">
      <c r="A14589" s="234"/>
      <c r="B14589" s="233"/>
      <c r="C14589" s="238"/>
      <c r="E14589" s="545"/>
      <c r="F14589" s="546"/>
      <c r="G14589" s="234"/>
      <c r="H14589" s="238"/>
      <c r="I14589" s="237"/>
    </row>
    <row r="14590" spans="1:9" s="232" customFormat="1" ht="17" customHeight="1">
      <c r="A14590" s="234"/>
      <c r="B14590" s="233"/>
      <c r="C14590" s="238"/>
      <c r="E14590" s="545"/>
      <c r="F14590" s="546"/>
      <c r="G14590" s="234"/>
      <c r="H14590" s="238"/>
      <c r="I14590" s="237"/>
    </row>
    <row r="14591" spans="1:9" s="232" customFormat="1" ht="17" customHeight="1">
      <c r="A14591" s="234"/>
      <c r="B14591" s="233"/>
      <c r="C14591" s="238"/>
      <c r="E14591" s="545"/>
      <c r="F14591" s="546"/>
      <c r="G14591" s="234"/>
      <c r="H14591" s="238"/>
      <c r="I14591" s="237"/>
    </row>
    <row r="14592" spans="1:9" s="232" customFormat="1" ht="17" customHeight="1">
      <c r="A14592" s="234"/>
      <c r="B14592" s="233"/>
      <c r="C14592" s="238"/>
      <c r="E14592" s="545"/>
      <c r="F14592" s="546"/>
      <c r="G14592" s="234"/>
      <c r="H14592" s="238"/>
      <c r="I14592" s="237"/>
    </row>
    <row r="14593" spans="1:9" s="232" customFormat="1" ht="17" customHeight="1">
      <c r="A14593" s="234"/>
      <c r="B14593" s="233"/>
      <c r="C14593" s="238"/>
      <c r="E14593" s="545"/>
      <c r="F14593" s="546"/>
      <c r="G14593" s="234"/>
      <c r="H14593" s="238"/>
      <c r="I14593" s="237"/>
    </row>
    <row r="14594" spans="1:9" s="232" customFormat="1" ht="17" customHeight="1">
      <c r="A14594" s="234"/>
      <c r="B14594" s="233"/>
      <c r="C14594" s="238"/>
      <c r="E14594" s="545"/>
      <c r="F14594" s="546"/>
      <c r="G14594" s="234"/>
      <c r="H14594" s="238"/>
      <c r="I14594" s="237"/>
    </row>
    <row r="14595" spans="1:9" s="232" customFormat="1" ht="17" customHeight="1">
      <c r="A14595" s="234"/>
      <c r="B14595" s="233"/>
      <c r="C14595" s="238"/>
      <c r="E14595" s="545"/>
      <c r="F14595" s="546"/>
      <c r="G14595" s="234"/>
      <c r="H14595" s="238"/>
      <c r="I14595" s="237"/>
    </row>
    <row r="14596" spans="1:9" s="232" customFormat="1" ht="17" customHeight="1">
      <c r="A14596" s="234"/>
      <c r="B14596" s="233"/>
      <c r="C14596" s="238"/>
      <c r="E14596" s="545"/>
      <c r="F14596" s="546"/>
      <c r="G14596" s="234"/>
      <c r="H14596" s="238"/>
      <c r="I14596" s="237"/>
    </row>
    <row r="14597" spans="1:9" s="232" customFormat="1" ht="17" customHeight="1">
      <c r="A14597" s="234"/>
      <c r="B14597" s="233"/>
      <c r="C14597" s="238"/>
      <c r="E14597" s="545"/>
      <c r="F14597" s="546"/>
      <c r="G14597" s="234"/>
      <c r="H14597" s="238"/>
      <c r="I14597" s="237"/>
    </row>
    <row r="14598" spans="1:9" s="232" customFormat="1" ht="17" customHeight="1">
      <c r="A14598" s="234"/>
      <c r="B14598" s="233"/>
      <c r="C14598" s="238"/>
      <c r="E14598" s="545"/>
      <c r="F14598" s="546"/>
      <c r="G14598" s="234"/>
      <c r="H14598" s="238"/>
      <c r="I14598" s="237"/>
    </row>
    <row r="14599" spans="1:9" s="232" customFormat="1" ht="17" customHeight="1">
      <c r="A14599" s="234"/>
      <c r="B14599" s="233"/>
      <c r="C14599" s="238"/>
      <c r="E14599" s="545"/>
      <c r="F14599" s="546"/>
      <c r="G14599" s="234"/>
      <c r="H14599" s="238"/>
      <c r="I14599" s="237"/>
    </row>
    <row r="14600" spans="1:9" s="232" customFormat="1" ht="17" customHeight="1">
      <c r="A14600" s="234"/>
      <c r="B14600" s="233"/>
      <c r="C14600" s="238"/>
      <c r="E14600" s="545"/>
      <c r="F14600" s="546"/>
      <c r="G14600" s="234"/>
      <c r="H14600" s="238"/>
      <c r="I14600" s="237"/>
    </row>
    <row r="14601" spans="1:9" s="232" customFormat="1" ht="17" customHeight="1">
      <c r="A14601" s="234"/>
      <c r="B14601" s="233"/>
      <c r="C14601" s="238"/>
      <c r="E14601" s="545"/>
      <c r="F14601" s="546"/>
      <c r="G14601" s="234"/>
      <c r="H14601" s="238"/>
      <c r="I14601" s="237"/>
    </row>
    <row r="14602" spans="1:9" s="232" customFormat="1" ht="17" customHeight="1">
      <c r="A14602" s="234"/>
      <c r="B14602" s="233"/>
      <c r="C14602" s="238"/>
      <c r="E14602" s="545"/>
      <c r="F14602" s="546"/>
      <c r="G14602" s="234"/>
      <c r="H14602" s="238"/>
      <c r="I14602" s="237"/>
    </row>
    <row r="14603" spans="1:9" s="232" customFormat="1" ht="17" customHeight="1">
      <c r="A14603" s="234"/>
      <c r="B14603" s="233"/>
      <c r="C14603" s="238"/>
      <c r="E14603" s="545"/>
      <c r="F14603" s="546"/>
      <c r="G14603" s="234"/>
      <c r="H14603" s="238"/>
      <c r="I14603" s="237"/>
    </row>
    <row r="14604" spans="1:9" s="232" customFormat="1" ht="17" customHeight="1">
      <c r="A14604" s="234"/>
      <c r="B14604" s="233"/>
      <c r="C14604" s="238"/>
      <c r="E14604" s="545"/>
      <c r="F14604" s="546"/>
      <c r="G14604" s="234"/>
      <c r="H14604" s="238"/>
      <c r="I14604" s="237"/>
    </row>
    <row r="14605" spans="1:9" s="232" customFormat="1" ht="17" customHeight="1">
      <c r="A14605" s="234"/>
      <c r="B14605" s="233"/>
      <c r="C14605" s="238"/>
      <c r="E14605" s="545"/>
      <c r="F14605" s="546"/>
      <c r="G14605" s="234"/>
      <c r="H14605" s="238"/>
      <c r="I14605" s="237"/>
    </row>
    <row r="14606" spans="1:9" s="232" customFormat="1" ht="17" customHeight="1">
      <c r="A14606" s="234"/>
      <c r="B14606" s="233"/>
      <c r="C14606" s="238"/>
      <c r="E14606" s="545"/>
      <c r="F14606" s="546"/>
      <c r="G14606" s="234"/>
      <c r="H14606" s="238"/>
      <c r="I14606" s="237"/>
    </row>
    <row r="14607" spans="1:9" s="232" customFormat="1" ht="17" customHeight="1">
      <c r="A14607" s="234"/>
      <c r="B14607" s="233"/>
      <c r="C14607" s="238"/>
      <c r="E14607" s="545"/>
      <c r="F14607" s="546"/>
      <c r="G14607" s="234"/>
      <c r="H14607" s="238"/>
      <c r="I14607" s="237"/>
    </row>
    <row r="14608" spans="1:9" s="232" customFormat="1" ht="17" customHeight="1">
      <c r="A14608" s="234"/>
      <c r="B14608" s="233"/>
      <c r="C14608" s="238"/>
      <c r="E14608" s="545"/>
      <c r="F14608" s="546"/>
      <c r="G14608" s="234"/>
      <c r="H14608" s="238"/>
      <c r="I14608" s="237"/>
    </row>
    <row r="14609" spans="1:9" s="232" customFormat="1" ht="17" customHeight="1">
      <c r="A14609" s="234"/>
      <c r="B14609" s="233"/>
      <c r="C14609" s="238"/>
      <c r="E14609" s="545"/>
      <c r="F14609" s="546"/>
      <c r="G14609" s="234"/>
      <c r="H14609" s="238"/>
      <c r="I14609" s="237"/>
    </row>
    <row r="14610" spans="1:9" s="232" customFormat="1" ht="17" customHeight="1">
      <c r="A14610" s="234"/>
      <c r="B14610" s="233"/>
      <c r="C14610" s="238"/>
      <c r="E14610" s="545"/>
      <c r="F14610" s="546"/>
      <c r="G14610" s="234"/>
      <c r="H14610" s="238"/>
      <c r="I14610" s="237"/>
    </row>
    <row r="14611" spans="1:9" s="232" customFormat="1" ht="17" customHeight="1">
      <c r="A14611" s="234"/>
      <c r="B14611" s="233"/>
      <c r="C14611" s="238"/>
      <c r="E14611" s="545"/>
      <c r="F14611" s="546"/>
      <c r="G14611" s="234"/>
      <c r="H14611" s="238"/>
      <c r="I14611" s="237"/>
    </row>
    <row r="14612" spans="1:9" s="232" customFormat="1" ht="17" customHeight="1">
      <c r="A14612" s="234"/>
      <c r="B14612" s="233"/>
      <c r="C14612" s="238"/>
      <c r="E14612" s="545"/>
      <c r="F14612" s="546"/>
      <c r="G14612" s="234"/>
      <c r="H14612" s="238"/>
      <c r="I14612" s="237"/>
    </row>
    <row r="14613" spans="1:9" s="232" customFormat="1" ht="17" customHeight="1">
      <c r="A14613" s="234"/>
      <c r="B14613" s="233"/>
      <c r="C14613" s="238"/>
      <c r="E14613" s="545"/>
      <c r="F14613" s="546"/>
      <c r="G14613" s="234"/>
      <c r="H14613" s="238"/>
      <c r="I14613" s="237"/>
    </row>
    <row r="14614" spans="1:9" s="232" customFormat="1" ht="17" customHeight="1">
      <c r="A14614" s="234"/>
      <c r="B14614" s="233"/>
      <c r="C14614" s="238"/>
      <c r="E14614" s="545"/>
      <c r="F14614" s="546"/>
      <c r="G14614" s="234"/>
      <c r="H14614" s="238"/>
      <c r="I14614" s="237"/>
    </row>
    <row r="14615" spans="1:9" s="232" customFormat="1" ht="17" customHeight="1">
      <c r="A14615" s="234"/>
      <c r="B14615" s="233"/>
      <c r="C14615" s="238"/>
      <c r="E14615" s="545"/>
      <c r="F14615" s="546"/>
      <c r="G14615" s="234"/>
      <c r="H14615" s="238"/>
      <c r="I14615" s="237"/>
    </row>
    <row r="14616" spans="1:9" s="232" customFormat="1" ht="17" customHeight="1">
      <c r="A14616" s="234"/>
      <c r="B14616" s="233"/>
      <c r="C14616" s="238"/>
      <c r="E14616" s="545"/>
      <c r="F14616" s="546"/>
      <c r="G14616" s="234"/>
      <c r="H14616" s="238"/>
      <c r="I14616" s="237"/>
    </row>
    <row r="14617" spans="1:9" s="232" customFormat="1" ht="17" customHeight="1">
      <c r="A14617" s="234"/>
      <c r="B14617" s="233"/>
      <c r="C14617" s="238"/>
      <c r="E14617" s="545"/>
      <c r="F14617" s="546"/>
      <c r="G14617" s="234"/>
      <c r="H14617" s="238"/>
      <c r="I14617" s="237"/>
    </row>
    <row r="14618" spans="1:9" s="232" customFormat="1" ht="17" customHeight="1">
      <c r="A14618" s="234"/>
      <c r="B14618" s="233"/>
      <c r="C14618" s="238"/>
      <c r="E14618" s="545"/>
      <c r="F14618" s="546"/>
      <c r="G14618" s="234"/>
      <c r="H14618" s="238"/>
      <c r="I14618" s="237"/>
    </row>
    <row r="14619" spans="1:9" s="232" customFormat="1" ht="17" customHeight="1">
      <c r="A14619" s="234"/>
      <c r="B14619" s="233"/>
      <c r="C14619" s="238"/>
      <c r="E14619" s="545"/>
      <c r="F14619" s="546"/>
      <c r="G14619" s="234"/>
      <c r="H14619" s="238"/>
      <c r="I14619" s="237"/>
    </row>
    <row r="14620" spans="1:9" s="232" customFormat="1" ht="17" customHeight="1">
      <c r="A14620" s="234"/>
      <c r="B14620" s="233"/>
      <c r="C14620" s="238"/>
      <c r="E14620" s="545"/>
      <c r="F14620" s="546"/>
      <c r="G14620" s="234"/>
      <c r="H14620" s="238"/>
      <c r="I14620" s="237"/>
    </row>
    <row r="14621" spans="1:9" s="232" customFormat="1" ht="17" customHeight="1">
      <c r="A14621" s="234"/>
      <c r="B14621" s="233"/>
      <c r="C14621" s="238"/>
      <c r="E14621" s="545"/>
      <c r="F14621" s="546"/>
      <c r="G14621" s="234"/>
      <c r="H14621" s="238"/>
      <c r="I14621" s="237"/>
    </row>
    <row r="14622" spans="1:9" s="232" customFormat="1" ht="17" customHeight="1">
      <c r="A14622" s="234"/>
      <c r="B14622" s="233"/>
      <c r="C14622" s="238"/>
      <c r="E14622" s="545"/>
      <c r="F14622" s="546"/>
      <c r="G14622" s="234"/>
      <c r="H14622" s="238"/>
      <c r="I14622" s="237"/>
    </row>
    <row r="14623" spans="1:9" s="232" customFormat="1" ht="17" customHeight="1">
      <c r="A14623" s="234"/>
      <c r="B14623" s="233"/>
      <c r="C14623" s="238"/>
      <c r="E14623" s="545"/>
      <c r="F14623" s="546"/>
      <c r="G14623" s="234"/>
      <c r="H14623" s="238"/>
      <c r="I14623" s="237"/>
    </row>
    <row r="14624" spans="1:9" s="232" customFormat="1" ht="17" customHeight="1">
      <c r="A14624" s="234"/>
      <c r="B14624" s="233"/>
      <c r="C14624" s="238"/>
      <c r="E14624" s="545"/>
      <c r="F14624" s="546"/>
      <c r="G14624" s="234"/>
      <c r="H14624" s="238"/>
      <c r="I14624" s="237"/>
    </row>
    <row r="14625" spans="1:9" s="232" customFormat="1" ht="17" customHeight="1">
      <c r="A14625" s="234"/>
      <c r="B14625" s="233"/>
      <c r="C14625" s="238"/>
      <c r="E14625" s="545"/>
      <c r="F14625" s="546"/>
      <c r="G14625" s="234"/>
      <c r="H14625" s="238"/>
      <c r="I14625" s="237"/>
    </row>
    <row r="14626" spans="1:9" s="232" customFormat="1" ht="17" customHeight="1">
      <c r="A14626" s="234"/>
      <c r="B14626" s="233"/>
      <c r="C14626" s="238"/>
      <c r="E14626" s="545"/>
      <c r="F14626" s="546"/>
      <c r="G14626" s="234"/>
      <c r="H14626" s="238"/>
      <c r="I14626" s="237"/>
    </row>
    <row r="14627" spans="1:9" s="232" customFormat="1" ht="17" customHeight="1">
      <c r="A14627" s="234"/>
      <c r="B14627" s="233"/>
      <c r="C14627" s="238"/>
      <c r="E14627" s="545"/>
      <c r="F14627" s="546"/>
      <c r="G14627" s="234"/>
      <c r="H14627" s="238"/>
      <c r="I14627" s="237"/>
    </row>
    <row r="14628" spans="1:9" s="232" customFormat="1" ht="17" customHeight="1">
      <c r="A14628" s="234"/>
      <c r="B14628" s="233"/>
      <c r="C14628" s="238"/>
      <c r="E14628" s="545"/>
      <c r="F14628" s="546"/>
      <c r="G14628" s="234"/>
      <c r="H14628" s="238"/>
      <c r="I14628" s="237"/>
    </row>
    <row r="14629" spans="1:9" s="232" customFormat="1" ht="17" customHeight="1">
      <c r="A14629" s="234"/>
      <c r="B14629" s="233"/>
      <c r="C14629" s="238"/>
      <c r="E14629" s="545"/>
      <c r="F14629" s="546"/>
      <c r="G14629" s="234"/>
      <c r="H14629" s="238"/>
      <c r="I14629" s="237"/>
    </row>
    <row r="14630" spans="1:9" s="232" customFormat="1" ht="17" customHeight="1">
      <c r="A14630" s="234"/>
      <c r="B14630" s="233"/>
      <c r="C14630" s="238"/>
      <c r="E14630" s="545"/>
      <c r="F14630" s="546"/>
      <c r="G14630" s="234"/>
      <c r="H14630" s="238"/>
      <c r="I14630" s="237"/>
    </row>
    <row r="14631" spans="1:9" s="232" customFormat="1" ht="17" customHeight="1">
      <c r="A14631" s="234"/>
      <c r="B14631" s="233"/>
      <c r="C14631" s="238"/>
      <c r="E14631" s="545"/>
      <c r="F14631" s="546"/>
      <c r="G14631" s="234"/>
      <c r="H14631" s="238"/>
      <c r="I14631" s="237"/>
    </row>
    <row r="14632" spans="1:9" s="232" customFormat="1" ht="17" customHeight="1">
      <c r="A14632" s="234"/>
      <c r="B14632" s="233"/>
      <c r="C14632" s="238"/>
      <c r="E14632" s="545"/>
      <c r="F14632" s="546"/>
      <c r="G14632" s="234"/>
      <c r="H14632" s="238"/>
      <c r="I14632" s="237"/>
    </row>
    <row r="14633" spans="1:9" s="232" customFormat="1" ht="17" customHeight="1">
      <c r="A14633" s="234"/>
      <c r="B14633" s="233"/>
      <c r="C14633" s="238"/>
      <c r="E14633" s="545"/>
      <c r="F14633" s="546"/>
      <c r="G14633" s="234"/>
      <c r="H14633" s="238"/>
      <c r="I14633" s="237"/>
    </row>
    <row r="14634" spans="1:9" s="232" customFormat="1" ht="17" customHeight="1">
      <c r="A14634" s="234"/>
      <c r="B14634" s="233"/>
      <c r="C14634" s="238"/>
      <c r="E14634" s="545"/>
      <c r="F14634" s="546"/>
      <c r="G14634" s="234"/>
      <c r="H14634" s="238"/>
      <c r="I14634" s="237"/>
    </row>
    <row r="14635" spans="1:9" s="232" customFormat="1" ht="17" customHeight="1">
      <c r="A14635" s="234"/>
      <c r="B14635" s="233"/>
      <c r="C14635" s="238"/>
      <c r="E14635" s="545"/>
      <c r="F14635" s="546"/>
      <c r="G14635" s="234"/>
      <c r="H14635" s="238"/>
      <c r="I14635" s="237"/>
    </row>
    <row r="14636" spans="1:9" s="232" customFormat="1" ht="17" customHeight="1">
      <c r="A14636" s="234"/>
      <c r="B14636" s="233"/>
      <c r="C14636" s="238"/>
      <c r="E14636" s="545"/>
      <c r="F14636" s="546"/>
      <c r="G14636" s="234"/>
      <c r="H14636" s="238"/>
      <c r="I14636" s="237"/>
    </row>
    <row r="14637" spans="1:9" s="232" customFormat="1" ht="17" customHeight="1">
      <c r="A14637" s="234"/>
      <c r="B14637" s="233"/>
      <c r="C14637" s="238"/>
      <c r="E14637" s="545"/>
      <c r="F14637" s="546"/>
      <c r="G14637" s="234"/>
      <c r="H14637" s="238"/>
      <c r="I14637" s="237"/>
    </row>
    <row r="14638" spans="1:9" s="232" customFormat="1" ht="17" customHeight="1">
      <c r="A14638" s="234"/>
      <c r="B14638" s="233"/>
      <c r="C14638" s="238"/>
      <c r="E14638" s="545"/>
      <c r="F14638" s="546"/>
      <c r="G14638" s="234"/>
      <c r="H14638" s="238"/>
      <c r="I14638" s="237"/>
    </row>
    <row r="14639" spans="1:9" s="232" customFormat="1" ht="17" customHeight="1">
      <c r="A14639" s="234"/>
      <c r="B14639" s="233"/>
      <c r="C14639" s="238"/>
      <c r="E14639" s="545"/>
      <c r="F14639" s="546"/>
      <c r="G14639" s="234"/>
      <c r="H14639" s="238"/>
      <c r="I14639" s="237"/>
    </row>
    <row r="14640" spans="1:9" s="232" customFormat="1" ht="17" customHeight="1">
      <c r="A14640" s="234"/>
      <c r="B14640" s="233"/>
      <c r="C14640" s="238"/>
      <c r="E14640" s="545"/>
      <c r="F14640" s="546"/>
      <c r="G14640" s="234"/>
      <c r="H14640" s="238"/>
      <c r="I14640" s="237"/>
    </row>
    <row r="14641" spans="1:9" s="232" customFormat="1" ht="17" customHeight="1">
      <c r="A14641" s="234"/>
      <c r="B14641" s="233"/>
      <c r="C14641" s="238"/>
      <c r="E14641" s="545"/>
      <c r="F14641" s="546"/>
      <c r="G14641" s="234"/>
      <c r="H14641" s="238"/>
      <c r="I14641" s="237"/>
    </row>
    <row r="14642" spans="1:9" s="232" customFormat="1" ht="17" customHeight="1">
      <c r="A14642" s="234"/>
      <c r="B14642" s="233"/>
      <c r="C14642" s="238"/>
      <c r="E14642" s="545"/>
      <c r="F14642" s="546"/>
      <c r="G14642" s="234"/>
      <c r="H14642" s="238"/>
      <c r="I14642" s="237"/>
    </row>
    <row r="14643" spans="1:9" s="232" customFormat="1" ht="17" customHeight="1">
      <c r="A14643" s="234"/>
      <c r="B14643" s="233"/>
      <c r="C14643" s="238"/>
      <c r="E14643" s="545"/>
      <c r="F14643" s="546"/>
      <c r="G14643" s="234"/>
      <c r="H14643" s="238"/>
      <c r="I14643" s="237"/>
    </row>
    <row r="14644" spans="1:9" s="232" customFormat="1" ht="17" customHeight="1">
      <c r="A14644" s="234"/>
      <c r="B14644" s="233"/>
      <c r="C14644" s="238"/>
      <c r="E14644" s="545"/>
      <c r="F14644" s="546"/>
      <c r="G14644" s="234"/>
      <c r="H14644" s="238"/>
      <c r="I14644" s="237"/>
    </row>
    <row r="14645" spans="1:9" s="232" customFormat="1" ht="17" customHeight="1">
      <c r="A14645" s="234"/>
      <c r="B14645" s="233"/>
      <c r="C14645" s="238"/>
      <c r="E14645" s="545"/>
      <c r="F14645" s="546"/>
      <c r="G14645" s="234"/>
      <c r="H14645" s="238"/>
      <c r="I14645" s="237"/>
    </row>
    <row r="14646" spans="1:9" s="232" customFormat="1" ht="17" customHeight="1">
      <c r="A14646" s="234"/>
      <c r="B14646" s="233"/>
      <c r="C14646" s="238"/>
      <c r="E14646" s="545"/>
      <c r="F14646" s="546"/>
      <c r="G14646" s="234"/>
      <c r="H14646" s="238"/>
      <c r="I14646" s="237"/>
    </row>
    <row r="14647" spans="1:9" s="232" customFormat="1" ht="17" customHeight="1">
      <c r="A14647" s="234"/>
      <c r="B14647" s="233"/>
      <c r="C14647" s="238"/>
      <c r="E14647" s="545"/>
      <c r="F14647" s="546"/>
      <c r="G14647" s="234"/>
      <c r="H14647" s="238"/>
      <c r="I14647" s="237"/>
    </row>
    <row r="14648" spans="1:9" s="232" customFormat="1" ht="17" customHeight="1">
      <c r="A14648" s="234"/>
      <c r="B14648" s="233"/>
      <c r="C14648" s="238"/>
      <c r="E14648" s="545"/>
      <c r="F14648" s="546"/>
      <c r="G14648" s="234"/>
      <c r="H14648" s="238"/>
      <c r="I14648" s="237"/>
    </row>
    <row r="14649" spans="1:9" s="232" customFormat="1" ht="17" customHeight="1">
      <c r="A14649" s="234"/>
      <c r="B14649" s="233"/>
      <c r="C14649" s="238"/>
      <c r="E14649" s="545"/>
      <c r="F14649" s="546"/>
      <c r="G14649" s="234"/>
      <c r="H14649" s="238"/>
      <c r="I14649" s="237"/>
    </row>
    <row r="14650" spans="1:9" s="232" customFormat="1" ht="17" customHeight="1">
      <c r="A14650" s="234"/>
      <c r="B14650" s="233"/>
      <c r="C14650" s="238"/>
      <c r="E14650" s="545"/>
      <c r="F14650" s="546"/>
      <c r="G14650" s="234"/>
      <c r="H14650" s="238"/>
      <c r="I14650" s="237"/>
    </row>
    <row r="14651" spans="1:9" s="232" customFormat="1" ht="17" customHeight="1">
      <c r="A14651" s="234"/>
      <c r="B14651" s="233"/>
      <c r="C14651" s="238"/>
      <c r="E14651" s="545"/>
      <c r="F14651" s="546"/>
      <c r="G14651" s="234"/>
      <c r="H14651" s="238"/>
      <c r="I14651" s="237"/>
    </row>
    <row r="14652" spans="1:9" s="232" customFormat="1" ht="17" customHeight="1">
      <c r="A14652" s="234"/>
      <c r="B14652" s="233"/>
      <c r="C14652" s="238"/>
      <c r="E14652" s="545"/>
      <c r="F14652" s="546"/>
      <c r="G14652" s="234"/>
      <c r="H14652" s="238"/>
      <c r="I14652" s="237"/>
    </row>
    <row r="14653" spans="1:9" s="232" customFormat="1" ht="17" customHeight="1">
      <c r="A14653" s="234"/>
      <c r="B14653" s="233"/>
      <c r="C14653" s="238"/>
      <c r="E14653" s="545"/>
      <c r="F14653" s="546"/>
      <c r="G14653" s="234"/>
      <c r="H14653" s="238"/>
      <c r="I14653" s="237"/>
    </row>
    <row r="14654" spans="1:9" s="232" customFormat="1" ht="17" customHeight="1">
      <c r="A14654" s="234"/>
      <c r="B14654" s="233"/>
      <c r="C14654" s="238"/>
      <c r="E14654" s="545"/>
      <c r="F14654" s="546"/>
      <c r="G14654" s="234"/>
      <c r="H14654" s="238"/>
      <c r="I14654" s="237"/>
    </row>
    <row r="14655" spans="1:9" s="232" customFormat="1" ht="17" customHeight="1">
      <c r="A14655" s="234"/>
      <c r="B14655" s="233"/>
      <c r="C14655" s="238"/>
      <c r="E14655" s="545"/>
      <c r="F14655" s="546"/>
      <c r="G14655" s="234"/>
      <c r="H14655" s="238"/>
      <c r="I14655" s="237"/>
    </row>
    <row r="14656" spans="1:9" s="232" customFormat="1" ht="17" customHeight="1">
      <c r="A14656" s="234"/>
      <c r="B14656" s="233"/>
      <c r="C14656" s="238"/>
      <c r="E14656" s="545"/>
      <c r="F14656" s="546"/>
      <c r="G14656" s="234"/>
      <c r="H14656" s="238"/>
      <c r="I14656" s="237"/>
    </row>
    <row r="14657" spans="1:9" s="232" customFormat="1" ht="17" customHeight="1">
      <c r="A14657" s="234"/>
      <c r="B14657" s="233"/>
      <c r="C14657" s="238"/>
      <c r="E14657" s="545"/>
      <c r="F14657" s="546"/>
      <c r="G14657" s="234"/>
      <c r="H14657" s="238"/>
      <c r="I14657" s="237"/>
    </row>
    <row r="14658" spans="1:9" s="232" customFormat="1" ht="17" customHeight="1">
      <c r="A14658" s="234"/>
      <c r="B14658" s="233"/>
      <c r="C14658" s="238"/>
      <c r="E14658" s="545"/>
      <c r="F14658" s="546"/>
      <c r="G14658" s="234"/>
      <c r="H14658" s="238"/>
      <c r="I14658" s="237"/>
    </row>
    <row r="14659" spans="1:9" s="232" customFormat="1" ht="17" customHeight="1">
      <c r="A14659" s="234"/>
      <c r="B14659" s="233"/>
      <c r="C14659" s="238"/>
      <c r="E14659" s="545"/>
      <c r="F14659" s="546"/>
      <c r="G14659" s="234"/>
      <c r="H14659" s="238"/>
      <c r="I14659" s="237"/>
    </row>
    <row r="14660" spans="1:9" s="232" customFormat="1" ht="17" customHeight="1">
      <c r="A14660" s="234"/>
      <c r="B14660" s="233"/>
      <c r="C14660" s="238"/>
      <c r="E14660" s="545"/>
      <c r="F14660" s="546"/>
      <c r="G14660" s="234"/>
      <c r="H14660" s="238"/>
      <c r="I14660" s="237"/>
    </row>
    <row r="14661" spans="1:9" s="232" customFormat="1" ht="17" customHeight="1">
      <c r="A14661" s="234"/>
      <c r="B14661" s="233"/>
      <c r="C14661" s="238"/>
      <c r="E14661" s="545"/>
      <c r="F14661" s="546"/>
      <c r="G14661" s="234"/>
      <c r="H14661" s="238"/>
      <c r="I14661" s="237"/>
    </row>
    <row r="14662" spans="1:9" s="232" customFormat="1" ht="17" customHeight="1">
      <c r="A14662" s="234"/>
      <c r="B14662" s="233"/>
      <c r="C14662" s="238"/>
      <c r="E14662" s="545"/>
      <c r="F14662" s="546"/>
      <c r="G14662" s="234"/>
      <c r="H14662" s="238"/>
      <c r="I14662" s="237"/>
    </row>
    <row r="14663" spans="1:9" s="232" customFormat="1" ht="17" customHeight="1">
      <c r="A14663" s="234"/>
      <c r="B14663" s="233"/>
      <c r="C14663" s="238"/>
      <c r="E14663" s="545"/>
      <c r="F14663" s="546"/>
      <c r="G14663" s="234"/>
      <c r="H14663" s="238"/>
      <c r="I14663" s="237"/>
    </row>
    <row r="14664" spans="1:9" s="232" customFormat="1" ht="17" customHeight="1">
      <c r="A14664" s="234"/>
      <c r="B14664" s="233"/>
      <c r="C14664" s="238"/>
      <c r="E14664" s="545"/>
      <c r="F14664" s="546"/>
      <c r="G14664" s="234"/>
      <c r="H14664" s="238"/>
      <c r="I14664" s="237"/>
    </row>
    <row r="14665" spans="1:9" s="232" customFormat="1" ht="17" customHeight="1">
      <c r="A14665" s="234"/>
      <c r="B14665" s="233"/>
      <c r="C14665" s="238"/>
      <c r="E14665" s="545"/>
      <c r="F14665" s="546"/>
      <c r="G14665" s="234"/>
      <c r="H14665" s="238"/>
      <c r="I14665" s="237"/>
    </row>
    <row r="14666" spans="1:9" s="232" customFormat="1" ht="17" customHeight="1">
      <c r="A14666" s="234"/>
      <c r="B14666" s="233"/>
      <c r="C14666" s="238"/>
      <c r="E14666" s="545"/>
      <c r="F14666" s="546"/>
      <c r="G14666" s="234"/>
      <c r="H14666" s="238"/>
      <c r="I14666" s="237"/>
    </row>
    <row r="14667" spans="1:9" s="232" customFormat="1" ht="17" customHeight="1">
      <c r="A14667" s="234"/>
      <c r="B14667" s="233"/>
      <c r="C14667" s="238"/>
      <c r="E14667" s="545"/>
      <c r="F14667" s="546"/>
      <c r="G14667" s="234"/>
      <c r="H14667" s="238"/>
      <c r="I14667" s="237"/>
    </row>
    <row r="14668" spans="1:9" s="232" customFormat="1" ht="17" customHeight="1">
      <c r="A14668" s="234"/>
      <c r="B14668" s="233"/>
      <c r="C14668" s="238"/>
      <c r="E14668" s="545"/>
      <c r="F14668" s="546"/>
      <c r="G14668" s="234"/>
      <c r="H14668" s="238"/>
      <c r="I14668" s="237"/>
    </row>
    <row r="14669" spans="1:9" s="232" customFormat="1" ht="17" customHeight="1">
      <c r="A14669" s="234"/>
      <c r="B14669" s="233"/>
      <c r="C14669" s="238"/>
      <c r="E14669" s="545"/>
      <c r="F14669" s="546"/>
      <c r="G14669" s="234"/>
      <c r="H14669" s="238"/>
      <c r="I14669" s="237"/>
    </row>
    <row r="14670" spans="1:9" s="232" customFormat="1" ht="17" customHeight="1">
      <c r="A14670" s="234"/>
      <c r="B14670" s="233"/>
      <c r="C14670" s="238"/>
      <c r="E14670" s="545"/>
      <c r="F14670" s="546"/>
      <c r="G14670" s="234"/>
      <c r="H14670" s="238"/>
      <c r="I14670" s="237"/>
    </row>
    <row r="14671" spans="1:9" s="232" customFormat="1" ht="17" customHeight="1">
      <c r="A14671" s="234"/>
      <c r="B14671" s="233"/>
      <c r="C14671" s="238"/>
      <c r="E14671" s="545"/>
      <c r="F14671" s="546"/>
      <c r="G14671" s="234"/>
      <c r="H14671" s="238"/>
      <c r="I14671" s="237"/>
    </row>
    <row r="14672" spans="1:9" s="232" customFormat="1" ht="17" customHeight="1">
      <c r="A14672" s="234"/>
      <c r="B14672" s="233"/>
      <c r="C14672" s="238"/>
      <c r="E14672" s="545"/>
      <c r="F14672" s="546"/>
      <c r="G14672" s="234"/>
      <c r="H14672" s="238"/>
      <c r="I14672" s="237"/>
    </row>
    <row r="14673" spans="1:9" s="232" customFormat="1" ht="17" customHeight="1">
      <c r="A14673" s="234"/>
      <c r="B14673" s="233"/>
      <c r="C14673" s="238"/>
      <c r="E14673" s="545"/>
      <c r="F14673" s="546"/>
      <c r="G14673" s="234"/>
      <c r="H14673" s="238"/>
      <c r="I14673" s="237"/>
    </row>
    <row r="14674" spans="1:9" s="232" customFormat="1" ht="17" customHeight="1">
      <c r="A14674" s="234"/>
      <c r="B14674" s="233"/>
      <c r="C14674" s="238"/>
      <c r="E14674" s="545"/>
      <c r="F14674" s="546"/>
      <c r="G14674" s="234"/>
      <c r="H14674" s="238"/>
      <c r="I14674" s="237"/>
    </row>
    <row r="14675" spans="1:9" s="232" customFormat="1" ht="17" customHeight="1">
      <c r="A14675" s="234"/>
      <c r="B14675" s="233"/>
      <c r="C14675" s="238"/>
      <c r="E14675" s="545"/>
      <c r="F14675" s="546"/>
      <c r="G14675" s="234"/>
      <c r="H14675" s="238"/>
      <c r="I14675" s="237"/>
    </row>
    <row r="14676" spans="1:9" s="232" customFormat="1" ht="17" customHeight="1">
      <c r="A14676" s="234"/>
      <c r="B14676" s="233"/>
      <c r="C14676" s="238"/>
      <c r="E14676" s="545"/>
      <c r="F14676" s="546"/>
      <c r="G14676" s="234"/>
      <c r="H14676" s="238"/>
      <c r="I14676" s="237"/>
    </row>
    <row r="14677" spans="1:9" s="232" customFormat="1" ht="17" customHeight="1">
      <c r="A14677" s="234"/>
      <c r="B14677" s="233"/>
      <c r="C14677" s="238"/>
      <c r="E14677" s="545"/>
      <c r="F14677" s="546"/>
      <c r="G14677" s="234"/>
      <c r="H14677" s="238"/>
      <c r="I14677" s="237"/>
    </row>
    <row r="14678" spans="1:9" s="232" customFormat="1" ht="17" customHeight="1">
      <c r="A14678" s="234"/>
      <c r="B14678" s="233"/>
      <c r="C14678" s="238"/>
      <c r="E14678" s="545"/>
      <c r="F14678" s="546"/>
      <c r="G14678" s="234"/>
      <c r="H14678" s="238"/>
      <c r="I14678" s="237"/>
    </row>
    <row r="14679" spans="1:9" s="232" customFormat="1" ht="17" customHeight="1">
      <c r="A14679" s="234"/>
      <c r="B14679" s="233"/>
      <c r="C14679" s="238"/>
      <c r="E14679" s="545"/>
      <c r="F14679" s="546"/>
      <c r="G14679" s="234"/>
      <c r="H14679" s="238"/>
      <c r="I14679" s="237"/>
    </row>
    <row r="14680" spans="1:9" s="232" customFormat="1" ht="17" customHeight="1">
      <c r="A14680" s="234"/>
      <c r="B14680" s="233"/>
      <c r="C14680" s="238"/>
      <c r="E14680" s="545"/>
      <c r="F14680" s="546"/>
      <c r="G14680" s="234"/>
      <c r="H14680" s="238"/>
      <c r="I14680" s="237"/>
    </row>
    <row r="14681" spans="1:9" s="232" customFormat="1" ht="17" customHeight="1">
      <c r="A14681" s="234"/>
      <c r="B14681" s="233"/>
      <c r="C14681" s="238"/>
      <c r="E14681" s="545"/>
      <c r="F14681" s="546"/>
      <c r="G14681" s="234"/>
      <c r="H14681" s="238"/>
      <c r="I14681" s="237"/>
    </row>
    <row r="14682" spans="1:9" s="232" customFormat="1" ht="17" customHeight="1">
      <c r="A14682" s="234"/>
      <c r="B14682" s="233"/>
      <c r="C14682" s="238"/>
      <c r="E14682" s="545"/>
      <c r="F14682" s="546"/>
      <c r="G14682" s="234"/>
      <c r="H14682" s="238"/>
      <c r="I14682" s="237"/>
    </row>
    <row r="14683" spans="1:9" s="232" customFormat="1" ht="17" customHeight="1">
      <c r="A14683" s="234"/>
      <c r="B14683" s="233"/>
      <c r="C14683" s="238"/>
      <c r="E14683" s="545"/>
      <c r="F14683" s="546"/>
      <c r="G14683" s="234"/>
      <c r="H14683" s="238"/>
      <c r="I14683" s="237"/>
    </row>
    <row r="14684" spans="1:9" s="232" customFormat="1" ht="17" customHeight="1">
      <c r="A14684" s="234"/>
      <c r="B14684" s="233"/>
      <c r="C14684" s="238"/>
      <c r="E14684" s="545"/>
      <c r="F14684" s="546"/>
      <c r="G14684" s="234"/>
      <c r="H14684" s="238"/>
      <c r="I14684" s="237"/>
    </row>
    <row r="14685" spans="1:9" s="232" customFormat="1" ht="17" customHeight="1">
      <c r="A14685" s="234"/>
      <c r="B14685" s="233"/>
      <c r="C14685" s="238"/>
      <c r="E14685" s="545"/>
      <c r="F14685" s="546"/>
      <c r="G14685" s="234"/>
      <c r="H14685" s="238"/>
      <c r="I14685" s="237"/>
    </row>
    <row r="14686" spans="1:9" s="232" customFormat="1" ht="17" customHeight="1">
      <c r="A14686" s="234"/>
      <c r="B14686" s="233"/>
      <c r="C14686" s="238"/>
      <c r="E14686" s="545"/>
      <c r="F14686" s="546"/>
      <c r="G14686" s="234"/>
      <c r="H14686" s="238"/>
      <c r="I14686" s="237"/>
    </row>
    <row r="14687" spans="1:9" s="232" customFormat="1" ht="17" customHeight="1">
      <c r="A14687" s="234"/>
      <c r="B14687" s="233"/>
      <c r="C14687" s="238"/>
      <c r="E14687" s="545"/>
      <c r="F14687" s="546"/>
      <c r="G14687" s="234"/>
      <c r="H14687" s="238"/>
      <c r="I14687" s="237"/>
    </row>
    <row r="14688" spans="1:9" s="232" customFormat="1" ht="17" customHeight="1">
      <c r="A14688" s="234"/>
      <c r="B14688" s="233"/>
      <c r="C14688" s="238"/>
      <c r="E14688" s="545"/>
      <c r="F14688" s="546"/>
      <c r="G14688" s="234"/>
      <c r="H14688" s="238"/>
      <c r="I14688" s="237"/>
    </row>
    <row r="14689" spans="1:9" s="232" customFormat="1" ht="17" customHeight="1">
      <c r="A14689" s="234"/>
      <c r="B14689" s="233"/>
      <c r="C14689" s="238"/>
      <c r="E14689" s="545"/>
      <c r="F14689" s="546"/>
      <c r="G14689" s="234"/>
      <c r="H14689" s="238"/>
      <c r="I14689" s="237"/>
    </row>
    <row r="14690" spans="1:9" s="232" customFormat="1" ht="17" customHeight="1">
      <c r="A14690" s="234"/>
      <c r="B14690" s="233"/>
      <c r="C14690" s="238"/>
      <c r="E14690" s="545"/>
      <c r="F14690" s="546"/>
      <c r="G14690" s="234"/>
      <c r="H14690" s="238"/>
      <c r="I14690" s="237"/>
    </row>
    <row r="14691" spans="1:9" s="232" customFormat="1" ht="17" customHeight="1">
      <c r="A14691" s="234"/>
      <c r="B14691" s="233"/>
      <c r="C14691" s="238"/>
      <c r="E14691" s="545"/>
      <c r="F14691" s="546"/>
      <c r="G14691" s="234"/>
      <c r="H14691" s="238"/>
      <c r="I14691" s="237"/>
    </row>
    <row r="14692" spans="1:9" s="232" customFormat="1" ht="17" customHeight="1">
      <c r="A14692" s="234"/>
      <c r="B14692" s="233"/>
      <c r="C14692" s="238"/>
      <c r="E14692" s="545"/>
      <c r="F14692" s="546"/>
      <c r="G14692" s="234"/>
      <c r="H14692" s="238"/>
      <c r="I14692" s="237"/>
    </row>
    <row r="14693" spans="1:9" s="232" customFormat="1" ht="17" customHeight="1">
      <c r="A14693" s="234"/>
      <c r="B14693" s="233"/>
      <c r="C14693" s="238"/>
      <c r="E14693" s="545"/>
      <c r="F14693" s="546"/>
      <c r="G14693" s="234"/>
      <c r="H14693" s="238"/>
      <c r="I14693" s="237"/>
    </row>
    <row r="14694" spans="1:9" s="232" customFormat="1" ht="17" customHeight="1">
      <c r="A14694" s="234"/>
      <c r="B14694" s="233"/>
      <c r="C14694" s="238"/>
      <c r="E14694" s="545"/>
      <c r="F14694" s="546"/>
      <c r="G14694" s="234"/>
      <c r="H14694" s="238"/>
      <c r="I14694" s="237"/>
    </row>
    <row r="14695" spans="1:9" s="232" customFormat="1" ht="17" customHeight="1">
      <c r="A14695" s="234"/>
      <c r="B14695" s="233"/>
      <c r="C14695" s="238"/>
      <c r="E14695" s="545"/>
      <c r="F14695" s="546"/>
      <c r="G14695" s="234"/>
      <c r="H14695" s="238"/>
      <c r="I14695" s="237"/>
    </row>
    <row r="14696" spans="1:9" s="232" customFormat="1" ht="17" customHeight="1">
      <c r="A14696" s="234"/>
      <c r="B14696" s="233"/>
      <c r="C14696" s="238"/>
      <c r="E14696" s="545"/>
      <c r="F14696" s="546"/>
      <c r="G14696" s="234"/>
      <c r="H14696" s="238"/>
      <c r="I14696" s="237"/>
    </row>
    <row r="14697" spans="1:9" s="232" customFormat="1" ht="17" customHeight="1">
      <c r="A14697" s="234"/>
      <c r="B14697" s="233"/>
      <c r="C14697" s="238"/>
      <c r="E14697" s="545"/>
      <c r="F14697" s="546"/>
      <c r="G14697" s="234"/>
      <c r="H14697" s="238"/>
      <c r="I14697" s="237"/>
    </row>
    <row r="14698" spans="1:9" s="232" customFormat="1" ht="17" customHeight="1">
      <c r="A14698" s="234"/>
      <c r="B14698" s="233"/>
      <c r="C14698" s="238"/>
      <c r="E14698" s="545"/>
      <c r="F14698" s="546"/>
      <c r="G14698" s="234"/>
      <c r="H14698" s="238"/>
      <c r="I14698" s="237"/>
    </row>
    <row r="14699" spans="1:9" s="232" customFormat="1" ht="17" customHeight="1">
      <c r="A14699" s="234"/>
      <c r="B14699" s="233"/>
      <c r="C14699" s="238"/>
      <c r="E14699" s="545"/>
      <c r="F14699" s="546"/>
      <c r="G14699" s="234"/>
      <c r="H14699" s="238"/>
      <c r="I14699" s="237"/>
    </row>
    <row r="14700" spans="1:9" s="232" customFormat="1" ht="17" customHeight="1">
      <c r="A14700" s="234"/>
      <c r="B14700" s="233"/>
      <c r="C14700" s="238"/>
      <c r="E14700" s="545"/>
      <c r="F14700" s="546"/>
      <c r="G14700" s="234"/>
      <c r="H14700" s="238"/>
      <c r="I14700" s="237"/>
    </row>
    <row r="14701" spans="1:9" s="232" customFormat="1" ht="17" customHeight="1">
      <c r="A14701" s="234"/>
      <c r="B14701" s="233"/>
      <c r="C14701" s="238"/>
      <c r="E14701" s="545"/>
      <c r="F14701" s="546"/>
      <c r="G14701" s="234"/>
      <c r="H14701" s="238"/>
      <c r="I14701" s="237"/>
    </row>
    <row r="14702" spans="1:9" s="232" customFormat="1" ht="17" customHeight="1">
      <c r="A14702" s="234"/>
      <c r="B14702" s="233"/>
      <c r="C14702" s="238"/>
      <c r="E14702" s="545"/>
      <c r="F14702" s="546"/>
      <c r="G14702" s="234"/>
      <c r="H14702" s="238"/>
      <c r="I14702" s="237"/>
    </row>
    <row r="14703" spans="1:9" s="232" customFormat="1" ht="17" customHeight="1">
      <c r="A14703" s="234"/>
      <c r="B14703" s="233"/>
      <c r="C14703" s="238"/>
      <c r="E14703" s="545"/>
      <c r="F14703" s="546"/>
      <c r="G14703" s="234"/>
      <c r="H14703" s="238"/>
      <c r="I14703" s="237"/>
    </row>
    <row r="14704" spans="1:9" s="232" customFormat="1" ht="17" customHeight="1">
      <c r="A14704" s="234"/>
      <c r="B14704" s="233"/>
      <c r="C14704" s="238"/>
      <c r="E14704" s="545"/>
      <c r="F14704" s="546"/>
      <c r="G14704" s="234"/>
      <c r="H14704" s="238"/>
      <c r="I14704" s="237"/>
    </row>
    <row r="14705" spans="1:9" s="232" customFormat="1" ht="17" customHeight="1">
      <c r="A14705" s="234"/>
      <c r="B14705" s="233"/>
      <c r="C14705" s="238"/>
      <c r="E14705" s="545"/>
      <c r="F14705" s="546"/>
      <c r="G14705" s="234"/>
      <c r="H14705" s="238"/>
      <c r="I14705" s="237"/>
    </row>
    <row r="14706" spans="1:9" s="232" customFormat="1" ht="17" customHeight="1">
      <c r="A14706" s="234"/>
      <c r="B14706" s="233"/>
      <c r="C14706" s="238"/>
      <c r="E14706" s="545"/>
      <c r="F14706" s="546"/>
      <c r="G14706" s="234"/>
      <c r="H14706" s="238"/>
      <c r="I14706" s="237"/>
    </row>
    <row r="14707" spans="1:9" s="232" customFormat="1" ht="17" customHeight="1">
      <c r="A14707" s="234"/>
      <c r="B14707" s="233"/>
      <c r="C14707" s="238"/>
      <c r="E14707" s="545"/>
      <c r="F14707" s="546"/>
      <c r="G14707" s="234"/>
      <c r="H14707" s="238"/>
      <c r="I14707" s="237"/>
    </row>
    <row r="14708" spans="1:9" s="232" customFormat="1" ht="17" customHeight="1">
      <c r="A14708" s="234"/>
      <c r="B14708" s="233"/>
      <c r="C14708" s="238"/>
      <c r="E14708" s="545"/>
      <c r="F14708" s="546"/>
      <c r="G14708" s="234"/>
      <c r="H14708" s="238"/>
      <c r="I14708" s="237"/>
    </row>
    <row r="14709" spans="1:9" s="232" customFormat="1" ht="17" customHeight="1">
      <c r="A14709" s="234"/>
      <c r="B14709" s="233"/>
      <c r="C14709" s="238"/>
      <c r="E14709" s="545"/>
      <c r="F14709" s="546"/>
      <c r="G14709" s="234"/>
      <c r="H14709" s="238"/>
      <c r="I14709" s="237"/>
    </row>
    <row r="14710" spans="1:9" s="232" customFormat="1" ht="17" customHeight="1">
      <c r="A14710" s="234"/>
      <c r="B14710" s="233"/>
      <c r="C14710" s="238"/>
      <c r="E14710" s="545"/>
      <c r="F14710" s="546"/>
      <c r="G14710" s="234"/>
      <c r="H14710" s="238"/>
      <c r="I14710" s="237"/>
    </row>
    <row r="14711" spans="1:9" s="232" customFormat="1" ht="17" customHeight="1">
      <c r="A14711" s="234"/>
      <c r="B14711" s="233"/>
      <c r="C14711" s="238"/>
      <c r="E14711" s="545"/>
      <c r="F14711" s="546"/>
      <c r="G14711" s="234"/>
      <c r="H14711" s="238"/>
      <c r="I14711" s="237"/>
    </row>
    <row r="14712" spans="1:9" s="232" customFormat="1" ht="17" customHeight="1">
      <c r="A14712" s="234"/>
      <c r="B14712" s="233"/>
      <c r="C14712" s="238"/>
      <c r="E14712" s="545"/>
      <c r="F14712" s="546"/>
      <c r="G14712" s="234"/>
      <c r="H14712" s="238"/>
      <c r="I14712" s="237"/>
    </row>
    <row r="14713" spans="1:9" s="232" customFormat="1" ht="17" customHeight="1">
      <c r="A14713" s="234"/>
      <c r="B14713" s="233"/>
      <c r="C14713" s="238"/>
      <c r="E14713" s="545"/>
      <c r="F14713" s="546"/>
      <c r="G14713" s="234"/>
      <c r="H14713" s="238"/>
      <c r="I14713" s="237"/>
    </row>
    <row r="14714" spans="1:9" s="232" customFormat="1" ht="17" customHeight="1">
      <c r="A14714" s="234"/>
      <c r="B14714" s="233"/>
      <c r="C14714" s="238"/>
      <c r="E14714" s="545"/>
      <c r="F14714" s="546"/>
      <c r="G14714" s="234"/>
      <c r="H14714" s="238"/>
      <c r="I14714" s="237"/>
    </row>
    <row r="14715" spans="1:9" s="232" customFormat="1" ht="17" customHeight="1">
      <c r="A14715" s="234"/>
      <c r="B14715" s="233"/>
      <c r="C14715" s="238"/>
      <c r="E14715" s="545"/>
      <c r="F14715" s="546"/>
      <c r="G14715" s="234"/>
      <c r="H14715" s="238"/>
      <c r="I14715" s="237"/>
    </row>
    <row r="14716" spans="1:9" s="232" customFormat="1" ht="17" customHeight="1">
      <c r="A14716" s="234"/>
      <c r="B14716" s="233"/>
      <c r="C14716" s="238"/>
      <c r="E14716" s="545"/>
      <c r="F14716" s="546"/>
      <c r="G14716" s="234"/>
      <c r="H14716" s="238"/>
      <c r="I14716" s="237"/>
    </row>
    <row r="14717" spans="1:9" s="232" customFormat="1" ht="17" customHeight="1">
      <c r="A14717" s="234"/>
      <c r="B14717" s="233"/>
      <c r="C14717" s="238"/>
      <c r="E14717" s="545"/>
      <c r="F14717" s="546"/>
      <c r="G14717" s="234"/>
      <c r="H14717" s="238"/>
      <c r="I14717" s="237"/>
    </row>
    <row r="14718" spans="1:9" s="232" customFormat="1" ht="17" customHeight="1">
      <c r="A14718" s="234"/>
      <c r="B14718" s="233"/>
      <c r="C14718" s="238"/>
      <c r="E14718" s="545"/>
      <c r="F14718" s="546"/>
      <c r="G14718" s="234"/>
      <c r="H14718" s="238"/>
      <c r="I14718" s="237"/>
    </row>
    <row r="14719" spans="1:9" s="232" customFormat="1" ht="17" customHeight="1">
      <c r="A14719" s="234"/>
      <c r="B14719" s="233"/>
      <c r="C14719" s="238"/>
      <c r="E14719" s="545"/>
      <c r="F14719" s="546"/>
      <c r="G14719" s="234"/>
      <c r="H14719" s="238"/>
      <c r="I14719" s="237"/>
    </row>
    <row r="14720" spans="1:9" s="232" customFormat="1" ht="17" customHeight="1">
      <c r="A14720" s="234"/>
      <c r="B14720" s="233"/>
      <c r="C14720" s="238"/>
      <c r="E14720" s="545"/>
      <c r="F14720" s="546"/>
      <c r="G14720" s="234"/>
      <c r="H14720" s="238"/>
      <c r="I14720" s="237"/>
    </row>
    <row r="14721" spans="1:9" s="232" customFormat="1" ht="17" customHeight="1">
      <c r="A14721" s="234"/>
      <c r="B14721" s="233"/>
      <c r="C14721" s="238"/>
      <c r="E14721" s="545"/>
      <c r="F14721" s="546"/>
      <c r="G14721" s="234"/>
      <c r="H14721" s="238"/>
      <c r="I14721" s="237"/>
    </row>
    <row r="14722" spans="1:9" s="232" customFormat="1" ht="17" customHeight="1">
      <c r="A14722" s="234"/>
      <c r="B14722" s="233"/>
      <c r="C14722" s="238"/>
      <c r="E14722" s="545"/>
      <c r="F14722" s="546"/>
      <c r="G14722" s="234"/>
      <c r="H14722" s="238"/>
      <c r="I14722" s="237"/>
    </row>
    <row r="14723" spans="1:9" s="232" customFormat="1" ht="17" customHeight="1">
      <c r="A14723" s="234"/>
      <c r="B14723" s="233"/>
      <c r="C14723" s="238"/>
      <c r="E14723" s="545"/>
      <c r="F14723" s="546"/>
      <c r="G14723" s="234"/>
      <c r="H14723" s="238"/>
      <c r="I14723" s="237"/>
    </row>
    <row r="14724" spans="1:9" s="232" customFormat="1" ht="17" customHeight="1">
      <c r="A14724" s="234"/>
      <c r="B14724" s="233"/>
      <c r="C14724" s="238"/>
      <c r="E14724" s="545"/>
      <c r="F14724" s="546"/>
      <c r="G14724" s="234"/>
      <c r="H14724" s="238"/>
      <c r="I14724" s="237"/>
    </row>
    <row r="14725" spans="1:9" s="232" customFormat="1" ht="17" customHeight="1">
      <c r="A14725" s="234"/>
      <c r="B14725" s="233"/>
      <c r="C14725" s="238"/>
      <c r="E14725" s="545"/>
      <c r="F14725" s="546"/>
      <c r="G14725" s="234"/>
      <c r="H14725" s="238"/>
      <c r="I14725" s="237"/>
    </row>
    <row r="14726" spans="1:9" s="232" customFormat="1" ht="17" customHeight="1">
      <c r="A14726" s="234"/>
      <c r="B14726" s="233"/>
      <c r="C14726" s="238"/>
      <c r="E14726" s="545"/>
      <c r="F14726" s="546"/>
      <c r="G14726" s="234"/>
      <c r="H14726" s="238"/>
      <c r="I14726" s="237"/>
    </row>
    <row r="14727" spans="1:9" s="232" customFormat="1" ht="17" customHeight="1">
      <c r="A14727" s="234"/>
      <c r="B14727" s="233"/>
      <c r="C14727" s="238"/>
      <c r="E14727" s="545"/>
      <c r="F14727" s="546"/>
      <c r="G14727" s="234"/>
      <c r="H14727" s="238"/>
      <c r="I14727" s="237"/>
    </row>
    <row r="14728" spans="1:9" s="232" customFormat="1" ht="17" customHeight="1">
      <c r="A14728" s="234"/>
      <c r="B14728" s="233"/>
      <c r="C14728" s="238"/>
      <c r="E14728" s="545"/>
      <c r="F14728" s="546"/>
      <c r="G14728" s="234"/>
      <c r="H14728" s="238"/>
      <c r="I14728" s="237"/>
    </row>
    <row r="14729" spans="1:9" s="232" customFormat="1" ht="17" customHeight="1">
      <c r="A14729" s="234"/>
      <c r="B14729" s="233"/>
      <c r="C14729" s="238"/>
      <c r="E14729" s="545"/>
      <c r="F14729" s="546"/>
      <c r="G14729" s="234"/>
      <c r="H14729" s="238"/>
      <c r="I14729" s="237"/>
    </row>
    <row r="14730" spans="1:9" s="232" customFormat="1" ht="17" customHeight="1">
      <c r="A14730" s="234"/>
      <c r="B14730" s="233"/>
      <c r="C14730" s="238"/>
      <c r="E14730" s="545"/>
      <c r="F14730" s="546"/>
      <c r="G14730" s="234"/>
      <c r="H14730" s="238"/>
      <c r="I14730" s="237"/>
    </row>
    <row r="14731" spans="1:9" s="232" customFormat="1" ht="17" customHeight="1">
      <c r="A14731" s="234"/>
      <c r="B14731" s="233"/>
      <c r="C14731" s="238"/>
      <c r="E14731" s="545"/>
      <c r="F14731" s="546"/>
      <c r="G14731" s="234"/>
      <c r="H14731" s="238"/>
      <c r="I14731" s="237"/>
    </row>
    <row r="14732" spans="1:9" s="232" customFormat="1" ht="17" customHeight="1">
      <c r="A14732" s="234"/>
      <c r="B14732" s="233"/>
      <c r="C14732" s="238"/>
      <c r="E14732" s="545"/>
      <c r="F14732" s="546"/>
      <c r="G14732" s="234"/>
      <c r="H14732" s="238"/>
      <c r="I14732" s="237"/>
    </row>
    <row r="14733" spans="1:9" s="232" customFormat="1" ht="17" customHeight="1">
      <c r="A14733" s="234"/>
      <c r="B14733" s="233"/>
      <c r="C14733" s="238"/>
      <c r="E14733" s="545"/>
      <c r="F14733" s="546"/>
      <c r="G14733" s="234"/>
      <c r="H14733" s="238"/>
      <c r="I14733" s="237"/>
    </row>
    <row r="14734" spans="1:9" s="232" customFormat="1" ht="17" customHeight="1">
      <c r="A14734" s="234"/>
      <c r="B14734" s="233"/>
      <c r="C14734" s="238"/>
      <c r="E14734" s="545"/>
      <c r="F14734" s="546"/>
      <c r="G14734" s="234"/>
      <c r="H14734" s="238"/>
      <c r="I14734" s="237"/>
    </row>
    <row r="14735" spans="1:9" s="232" customFormat="1" ht="17" customHeight="1">
      <c r="A14735" s="234"/>
      <c r="B14735" s="233"/>
      <c r="C14735" s="238"/>
      <c r="E14735" s="545"/>
      <c r="F14735" s="546"/>
      <c r="G14735" s="234"/>
      <c r="H14735" s="238"/>
      <c r="I14735" s="237"/>
    </row>
    <row r="14736" spans="1:9" s="232" customFormat="1" ht="17" customHeight="1">
      <c r="A14736" s="234"/>
      <c r="B14736" s="233"/>
      <c r="C14736" s="238"/>
      <c r="E14736" s="545"/>
      <c r="F14736" s="546"/>
      <c r="G14736" s="234"/>
      <c r="H14736" s="238"/>
      <c r="I14736" s="237"/>
    </row>
    <row r="14737" spans="1:9" s="232" customFormat="1" ht="17" customHeight="1">
      <c r="A14737" s="234"/>
      <c r="B14737" s="233"/>
      <c r="C14737" s="238"/>
      <c r="E14737" s="545"/>
      <c r="F14737" s="546"/>
      <c r="G14737" s="234"/>
      <c r="H14737" s="238"/>
      <c r="I14737" s="237"/>
    </row>
    <row r="14738" spans="1:9" s="232" customFormat="1" ht="17" customHeight="1">
      <c r="A14738" s="234"/>
      <c r="B14738" s="233"/>
      <c r="C14738" s="238"/>
      <c r="E14738" s="545"/>
      <c r="F14738" s="546"/>
      <c r="G14738" s="234"/>
      <c r="H14738" s="238"/>
      <c r="I14738" s="237"/>
    </row>
    <row r="14739" spans="1:9" s="232" customFormat="1" ht="17" customHeight="1">
      <c r="A14739" s="234"/>
      <c r="B14739" s="233"/>
      <c r="C14739" s="238"/>
      <c r="E14739" s="545"/>
      <c r="F14739" s="546"/>
      <c r="G14739" s="234"/>
      <c r="H14739" s="238"/>
      <c r="I14739" s="237"/>
    </row>
    <row r="14740" spans="1:9" s="232" customFormat="1" ht="17" customHeight="1">
      <c r="A14740" s="234"/>
      <c r="B14740" s="233"/>
      <c r="C14740" s="238"/>
      <c r="E14740" s="545"/>
      <c r="F14740" s="546"/>
      <c r="G14740" s="234"/>
      <c r="H14740" s="238"/>
      <c r="I14740" s="237"/>
    </row>
    <row r="14741" spans="1:9" s="232" customFormat="1" ht="17" customHeight="1">
      <c r="A14741" s="234"/>
      <c r="B14741" s="233"/>
      <c r="C14741" s="238"/>
      <c r="E14741" s="545"/>
      <c r="F14741" s="546"/>
      <c r="G14741" s="234"/>
      <c r="H14741" s="238"/>
      <c r="I14741" s="237"/>
    </row>
    <row r="14742" spans="1:9" s="232" customFormat="1" ht="17" customHeight="1">
      <c r="A14742" s="234"/>
      <c r="B14742" s="233"/>
      <c r="C14742" s="238"/>
      <c r="E14742" s="545"/>
      <c r="F14742" s="546"/>
      <c r="G14742" s="234"/>
      <c r="H14742" s="238"/>
      <c r="I14742" s="237"/>
    </row>
    <row r="14743" spans="1:9" s="232" customFormat="1" ht="17" customHeight="1">
      <c r="A14743" s="234"/>
      <c r="B14743" s="233"/>
      <c r="C14743" s="238"/>
      <c r="E14743" s="545"/>
      <c r="F14743" s="546"/>
      <c r="G14743" s="234"/>
      <c r="H14743" s="238"/>
      <c r="I14743" s="237"/>
    </row>
    <row r="14744" spans="1:9" s="232" customFormat="1" ht="17" customHeight="1">
      <c r="A14744" s="234"/>
      <c r="B14744" s="233"/>
      <c r="C14744" s="238"/>
      <c r="E14744" s="545"/>
      <c r="F14744" s="546"/>
      <c r="G14744" s="234"/>
      <c r="H14744" s="238"/>
      <c r="I14744" s="237"/>
    </row>
    <row r="14745" spans="1:9" s="232" customFormat="1" ht="17" customHeight="1">
      <c r="A14745" s="234"/>
      <c r="B14745" s="233"/>
      <c r="C14745" s="238"/>
      <c r="E14745" s="545"/>
      <c r="F14745" s="546"/>
      <c r="G14745" s="234"/>
      <c r="H14745" s="238"/>
      <c r="I14745" s="237"/>
    </row>
    <row r="14746" spans="1:9" s="232" customFormat="1" ht="17" customHeight="1">
      <c r="A14746" s="234"/>
      <c r="B14746" s="233"/>
      <c r="C14746" s="238"/>
      <c r="E14746" s="545"/>
      <c r="F14746" s="546"/>
      <c r="G14746" s="234"/>
      <c r="H14746" s="238"/>
      <c r="I14746" s="237"/>
    </row>
    <row r="14747" spans="1:9" s="232" customFormat="1" ht="17" customHeight="1">
      <c r="A14747" s="234"/>
      <c r="B14747" s="233"/>
      <c r="C14747" s="238"/>
      <c r="E14747" s="545"/>
      <c r="F14747" s="546"/>
      <c r="G14747" s="234"/>
      <c r="H14747" s="238"/>
      <c r="I14747" s="237"/>
    </row>
    <row r="14748" spans="1:9" s="232" customFormat="1" ht="17" customHeight="1">
      <c r="A14748" s="234"/>
      <c r="B14748" s="233"/>
      <c r="C14748" s="238"/>
      <c r="E14748" s="545"/>
      <c r="F14748" s="546"/>
      <c r="G14748" s="234"/>
      <c r="H14748" s="238"/>
      <c r="I14748" s="237"/>
    </row>
    <row r="14749" spans="1:9" s="232" customFormat="1" ht="17" customHeight="1">
      <c r="A14749" s="234"/>
      <c r="B14749" s="233"/>
      <c r="C14749" s="238"/>
      <c r="E14749" s="545"/>
      <c r="F14749" s="546"/>
      <c r="G14749" s="234"/>
      <c r="H14749" s="238"/>
      <c r="I14749" s="237"/>
    </row>
    <row r="14750" spans="1:9" s="232" customFormat="1" ht="17" customHeight="1">
      <c r="A14750" s="234"/>
      <c r="B14750" s="233"/>
      <c r="C14750" s="238"/>
      <c r="E14750" s="545"/>
      <c r="F14750" s="546"/>
      <c r="G14750" s="234"/>
      <c r="H14750" s="238"/>
      <c r="I14750" s="237"/>
    </row>
    <row r="14751" spans="1:9" s="232" customFormat="1" ht="17" customHeight="1">
      <c r="A14751" s="234"/>
      <c r="B14751" s="233"/>
      <c r="C14751" s="238"/>
      <c r="E14751" s="545"/>
      <c r="F14751" s="546"/>
      <c r="G14751" s="234"/>
      <c r="H14751" s="238"/>
      <c r="I14751" s="237"/>
    </row>
    <row r="14752" spans="1:9" s="232" customFormat="1" ht="17" customHeight="1">
      <c r="A14752" s="234"/>
      <c r="B14752" s="233"/>
      <c r="C14752" s="238"/>
      <c r="E14752" s="545"/>
      <c r="F14752" s="546"/>
      <c r="G14752" s="234"/>
      <c r="H14752" s="238"/>
      <c r="I14752" s="237"/>
    </row>
    <row r="14753" spans="1:9" s="232" customFormat="1" ht="17" customHeight="1">
      <c r="A14753" s="234"/>
      <c r="B14753" s="233"/>
      <c r="C14753" s="238"/>
      <c r="E14753" s="545"/>
      <c r="F14753" s="546"/>
      <c r="G14753" s="234"/>
      <c r="H14753" s="238"/>
      <c r="I14753" s="237"/>
    </row>
    <row r="14754" spans="1:9" s="232" customFormat="1" ht="17" customHeight="1">
      <c r="A14754" s="234"/>
      <c r="B14754" s="233"/>
      <c r="C14754" s="238"/>
      <c r="E14754" s="545"/>
      <c r="F14754" s="546"/>
      <c r="G14754" s="234"/>
      <c r="H14754" s="238"/>
      <c r="I14754" s="237"/>
    </row>
    <row r="14755" spans="1:9" s="232" customFormat="1" ht="17" customHeight="1">
      <c r="A14755" s="234"/>
      <c r="B14755" s="233"/>
      <c r="C14755" s="238"/>
      <c r="E14755" s="545"/>
      <c r="F14755" s="546"/>
      <c r="G14755" s="234"/>
      <c r="H14755" s="238"/>
      <c r="I14755" s="237"/>
    </row>
    <row r="14756" spans="1:9" s="232" customFormat="1" ht="17" customHeight="1">
      <c r="A14756" s="234"/>
      <c r="B14756" s="233"/>
      <c r="C14756" s="238"/>
      <c r="E14756" s="545"/>
      <c r="F14756" s="546"/>
      <c r="G14756" s="234"/>
      <c r="H14756" s="238"/>
      <c r="I14756" s="237"/>
    </row>
    <row r="14757" spans="1:9" s="232" customFormat="1" ht="17" customHeight="1">
      <c r="A14757" s="234"/>
      <c r="B14757" s="233"/>
      <c r="C14757" s="238"/>
      <c r="E14757" s="545"/>
      <c r="F14757" s="546"/>
      <c r="G14757" s="234"/>
      <c r="H14757" s="238"/>
      <c r="I14757" s="237"/>
    </row>
    <row r="14758" spans="1:9" s="232" customFormat="1" ht="17" customHeight="1">
      <c r="A14758" s="234"/>
      <c r="B14758" s="233"/>
      <c r="C14758" s="238"/>
      <c r="E14758" s="545"/>
      <c r="F14758" s="546"/>
      <c r="G14758" s="234"/>
      <c r="H14758" s="238"/>
      <c r="I14758" s="237"/>
    </row>
    <row r="14759" spans="1:9" s="232" customFormat="1" ht="17" customHeight="1">
      <c r="A14759" s="234"/>
      <c r="B14759" s="233"/>
      <c r="C14759" s="238"/>
      <c r="E14759" s="545"/>
      <c r="F14759" s="546"/>
      <c r="G14759" s="234"/>
      <c r="H14759" s="238"/>
      <c r="I14759" s="237"/>
    </row>
    <row r="14760" spans="1:9" s="232" customFormat="1" ht="17" customHeight="1">
      <c r="A14760" s="234"/>
      <c r="B14760" s="233"/>
      <c r="C14760" s="238"/>
      <c r="E14760" s="545"/>
      <c r="F14760" s="546"/>
      <c r="G14760" s="234"/>
      <c r="H14760" s="238"/>
      <c r="I14760" s="237"/>
    </row>
    <row r="14761" spans="1:9" s="232" customFormat="1" ht="17" customHeight="1">
      <c r="A14761" s="234"/>
      <c r="B14761" s="233"/>
      <c r="C14761" s="238"/>
      <c r="E14761" s="545"/>
      <c r="F14761" s="546"/>
      <c r="G14761" s="234"/>
      <c r="H14761" s="238"/>
      <c r="I14761" s="237"/>
    </row>
    <row r="14762" spans="1:9" s="232" customFormat="1" ht="17" customHeight="1">
      <c r="A14762" s="234"/>
      <c r="B14762" s="233"/>
      <c r="C14762" s="238"/>
      <c r="E14762" s="545"/>
      <c r="F14762" s="546"/>
      <c r="G14762" s="234"/>
      <c r="H14762" s="238"/>
      <c r="I14762" s="237"/>
    </row>
    <row r="14763" spans="1:9" s="232" customFormat="1" ht="17" customHeight="1">
      <c r="A14763" s="234"/>
      <c r="B14763" s="233"/>
      <c r="C14763" s="238"/>
      <c r="E14763" s="545"/>
      <c r="F14763" s="546"/>
      <c r="G14763" s="234"/>
      <c r="H14763" s="238"/>
      <c r="I14763" s="237"/>
    </row>
    <row r="14764" spans="1:9" s="232" customFormat="1" ht="17" customHeight="1">
      <c r="A14764" s="234"/>
      <c r="B14764" s="233"/>
      <c r="C14764" s="238"/>
      <c r="E14764" s="545"/>
      <c r="F14764" s="546"/>
      <c r="G14764" s="234"/>
      <c r="H14764" s="238"/>
      <c r="I14764" s="237"/>
    </row>
    <row r="14765" spans="1:9" s="232" customFormat="1" ht="17" customHeight="1">
      <c r="A14765" s="234"/>
      <c r="B14765" s="233"/>
      <c r="C14765" s="238"/>
      <c r="E14765" s="545"/>
      <c r="F14765" s="546"/>
      <c r="G14765" s="234"/>
      <c r="H14765" s="238"/>
      <c r="I14765" s="237"/>
    </row>
    <row r="14766" spans="1:9" s="232" customFormat="1" ht="17" customHeight="1">
      <c r="A14766" s="234"/>
      <c r="B14766" s="233"/>
      <c r="C14766" s="238"/>
      <c r="E14766" s="545"/>
      <c r="F14766" s="546"/>
      <c r="G14766" s="234"/>
      <c r="H14766" s="238"/>
      <c r="I14766" s="237"/>
    </row>
    <row r="14767" spans="1:9" s="232" customFormat="1" ht="17" customHeight="1">
      <c r="A14767" s="234"/>
      <c r="B14767" s="233"/>
      <c r="C14767" s="238"/>
      <c r="E14767" s="545"/>
      <c r="F14767" s="546"/>
      <c r="G14767" s="234"/>
      <c r="H14767" s="238"/>
      <c r="I14767" s="237"/>
    </row>
    <row r="14768" spans="1:9" s="232" customFormat="1" ht="17" customHeight="1">
      <c r="A14768" s="234"/>
      <c r="B14768" s="233"/>
      <c r="C14768" s="238"/>
      <c r="E14768" s="545"/>
      <c r="F14768" s="546"/>
      <c r="G14768" s="234"/>
      <c r="H14768" s="238"/>
      <c r="I14768" s="237"/>
    </row>
    <row r="14769" spans="1:9" s="232" customFormat="1" ht="17" customHeight="1">
      <c r="A14769" s="234"/>
      <c r="B14769" s="233"/>
      <c r="C14769" s="238"/>
      <c r="E14769" s="545"/>
      <c r="F14769" s="546"/>
      <c r="G14769" s="234"/>
      <c r="H14769" s="238"/>
      <c r="I14769" s="237"/>
    </row>
    <row r="14770" spans="1:9" s="232" customFormat="1" ht="17" customHeight="1">
      <c r="A14770" s="234"/>
      <c r="B14770" s="233"/>
      <c r="C14770" s="238"/>
      <c r="E14770" s="545"/>
      <c r="F14770" s="546"/>
      <c r="G14770" s="234"/>
      <c r="H14770" s="238"/>
      <c r="I14770" s="237"/>
    </row>
    <row r="14771" spans="1:9" s="232" customFormat="1" ht="17" customHeight="1">
      <c r="A14771" s="234"/>
      <c r="B14771" s="233"/>
      <c r="C14771" s="238"/>
      <c r="E14771" s="545"/>
      <c r="F14771" s="546"/>
      <c r="G14771" s="234"/>
      <c r="H14771" s="238"/>
      <c r="I14771" s="237"/>
    </row>
    <row r="14772" spans="1:9" s="232" customFormat="1" ht="17" customHeight="1">
      <c r="A14772" s="234"/>
      <c r="B14772" s="233"/>
      <c r="C14772" s="238"/>
      <c r="E14772" s="545"/>
      <c r="F14772" s="546"/>
      <c r="G14772" s="234"/>
      <c r="H14772" s="238"/>
      <c r="I14772" s="237"/>
    </row>
    <row r="14773" spans="1:9" s="232" customFormat="1" ht="17" customHeight="1">
      <c r="A14773" s="234"/>
      <c r="B14773" s="233"/>
      <c r="C14773" s="238"/>
      <c r="E14773" s="545"/>
      <c r="F14773" s="546"/>
      <c r="G14773" s="234"/>
      <c r="H14773" s="238"/>
      <c r="I14773" s="237"/>
    </row>
    <row r="14774" spans="1:9" s="232" customFormat="1" ht="17" customHeight="1">
      <c r="A14774" s="234"/>
      <c r="B14774" s="233"/>
      <c r="C14774" s="238"/>
      <c r="E14774" s="545"/>
      <c r="F14774" s="546"/>
      <c r="G14774" s="234"/>
      <c r="H14774" s="238"/>
      <c r="I14774" s="237"/>
    </row>
    <row r="14775" spans="1:9" s="232" customFormat="1" ht="17" customHeight="1">
      <c r="A14775" s="234"/>
      <c r="B14775" s="233"/>
      <c r="C14775" s="238"/>
      <c r="E14775" s="545"/>
      <c r="F14775" s="546"/>
      <c r="G14775" s="234"/>
      <c r="H14775" s="238"/>
      <c r="I14775" s="237"/>
    </row>
    <row r="14776" spans="1:9" s="232" customFormat="1" ht="17" customHeight="1">
      <c r="A14776" s="234"/>
      <c r="B14776" s="233"/>
      <c r="C14776" s="238"/>
      <c r="E14776" s="545"/>
      <c r="F14776" s="546"/>
      <c r="G14776" s="234"/>
      <c r="H14776" s="238"/>
      <c r="I14776" s="237"/>
    </row>
    <row r="14777" spans="1:9" s="232" customFormat="1" ht="17" customHeight="1">
      <c r="A14777" s="234"/>
      <c r="B14777" s="233"/>
      <c r="C14777" s="238"/>
      <c r="E14777" s="545"/>
      <c r="F14777" s="546"/>
      <c r="G14777" s="234"/>
      <c r="H14777" s="238"/>
      <c r="I14777" s="237"/>
    </row>
    <row r="14778" spans="1:9" s="232" customFormat="1" ht="17" customHeight="1">
      <c r="A14778" s="234"/>
      <c r="B14778" s="233"/>
      <c r="C14778" s="238"/>
      <c r="E14778" s="545"/>
      <c r="F14778" s="546"/>
      <c r="G14778" s="234"/>
      <c r="H14778" s="238"/>
      <c r="I14778" s="237"/>
    </row>
    <row r="14779" spans="1:9" s="232" customFormat="1" ht="17" customHeight="1">
      <c r="A14779" s="234"/>
      <c r="B14779" s="233"/>
      <c r="C14779" s="238"/>
      <c r="E14779" s="545"/>
      <c r="F14779" s="546"/>
      <c r="G14779" s="234"/>
      <c r="H14779" s="238"/>
      <c r="I14779" s="237"/>
    </row>
    <row r="14780" spans="1:9" s="232" customFormat="1" ht="17" customHeight="1">
      <c r="A14780" s="234"/>
      <c r="B14780" s="233"/>
      <c r="C14780" s="238"/>
      <c r="E14780" s="545"/>
      <c r="F14780" s="546"/>
      <c r="G14780" s="234"/>
      <c r="H14780" s="238"/>
      <c r="I14780" s="237"/>
    </row>
    <row r="14781" spans="1:9" s="232" customFormat="1" ht="17" customHeight="1">
      <c r="A14781" s="234"/>
      <c r="B14781" s="233"/>
      <c r="C14781" s="238"/>
      <c r="E14781" s="545"/>
      <c r="F14781" s="546"/>
      <c r="G14781" s="234"/>
      <c r="H14781" s="238"/>
      <c r="I14781" s="237"/>
    </row>
    <row r="14782" spans="1:9" s="232" customFormat="1" ht="17" customHeight="1">
      <c r="A14782" s="234"/>
      <c r="B14782" s="233"/>
      <c r="C14782" s="238"/>
      <c r="E14782" s="545"/>
      <c r="F14782" s="546"/>
      <c r="G14782" s="234"/>
      <c r="H14782" s="238"/>
      <c r="I14782" s="237"/>
    </row>
    <row r="14783" spans="1:9" s="232" customFormat="1" ht="17" customHeight="1">
      <c r="A14783" s="234"/>
      <c r="B14783" s="233"/>
      <c r="C14783" s="238"/>
      <c r="E14783" s="545"/>
      <c r="F14783" s="546"/>
      <c r="G14783" s="234"/>
      <c r="H14783" s="238"/>
      <c r="I14783" s="237"/>
    </row>
    <row r="14784" spans="1:9" s="232" customFormat="1" ht="17" customHeight="1">
      <c r="A14784" s="234"/>
      <c r="B14784" s="233"/>
      <c r="C14784" s="238"/>
      <c r="E14784" s="545"/>
      <c r="F14784" s="546"/>
      <c r="G14784" s="234"/>
      <c r="H14784" s="238"/>
      <c r="I14784" s="237"/>
    </row>
    <row r="14785" spans="1:9" s="232" customFormat="1" ht="17" customHeight="1">
      <c r="A14785" s="234"/>
      <c r="B14785" s="233"/>
      <c r="C14785" s="238"/>
      <c r="E14785" s="545"/>
      <c r="F14785" s="546"/>
      <c r="G14785" s="234"/>
      <c r="H14785" s="238"/>
      <c r="I14785" s="237"/>
    </row>
    <row r="14786" spans="1:9" s="232" customFormat="1" ht="17" customHeight="1">
      <c r="A14786" s="234"/>
      <c r="B14786" s="233"/>
      <c r="C14786" s="238"/>
      <c r="E14786" s="545"/>
      <c r="F14786" s="546"/>
      <c r="G14786" s="234"/>
      <c r="H14786" s="238"/>
      <c r="I14786" s="237"/>
    </row>
    <row r="14787" spans="1:9" s="232" customFormat="1" ht="17" customHeight="1">
      <c r="A14787" s="234"/>
      <c r="B14787" s="233"/>
      <c r="C14787" s="238"/>
      <c r="E14787" s="545"/>
      <c r="F14787" s="546"/>
      <c r="G14787" s="234"/>
      <c r="H14787" s="238"/>
      <c r="I14787" s="237"/>
    </row>
    <row r="14788" spans="1:9" s="232" customFormat="1" ht="17" customHeight="1">
      <c r="A14788" s="234"/>
      <c r="B14788" s="233"/>
      <c r="C14788" s="238"/>
      <c r="E14788" s="545"/>
      <c r="F14788" s="546"/>
      <c r="G14788" s="234"/>
      <c r="H14788" s="238"/>
      <c r="I14788" s="237"/>
    </row>
    <row r="14789" spans="1:9" s="232" customFormat="1" ht="17" customHeight="1">
      <c r="A14789" s="234"/>
      <c r="B14789" s="233"/>
      <c r="C14789" s="238"/>
      <c r="E14789" s="545"/>
      <c r="F14789" s="546"/>
      <c r="G14789" s="234"/>
      <c r="H14789" s="238"/>
      <c r="I14789" s="237"/>
    </row>
    <row r="14790" spans="1:9" s="232" customFormat="1" ht="17" customHeight="1">
      <c r="A14790" s="234"/>
      <c r="B14790" s="233"/>
      <c r="C14790" s="238"/>
      <c r="E14790" s="545"/>
      <c r="F14790" s="546"/>
      <c r="G14790" s="234"/>
      <c r="H14790" s="238"/>
      <c r="I14790" s="237"/>
    </row>
    <row r="14791" spans="1:9" s="232" customFormat="1" ht="17" customHeight="1">
      <c r="A14791" s="234"/>
      <c r="B14791" s="233"/>
      <c r="C14791" s="238"/>
      <c r="E14791" s="545"/>
      <c r="F14791" s="546"/>
      <c r="G14791" s="234"/>
      <c r="H14791" s="238"/>
      <c r="I14791" s="237"/>
    </row>
    <row r="14792" spans="1:9" s="232" customFormat="1" ht="17" customHeight="1">
      <c r="A14792" s="234"/>
      <c r="B14792" s="233"/>
      <c r="C14792" s="238"/>
      <c r="E14792" s="545"/>
      <c r="F14792" s="546"/>
      <c r="G14792" s="234"/>
      <c r="H14792" s="238"/>
      <c r="I14792" s="237"/>
    </row>
    <row r="14793" spans="1:9" s="232" customFormat="1" ht="17" customHeight="1">
      <c r="A14793" s="234"/>
      <c r="B14793" s="233"/>
      <c r="C14793" s="238"/>
      <c r="E14793" s="545"/>
      <c r="F14793" s="546"/>
      <c r="G14793" s="234"/>
      <c r="H14793" s="238"/>
      <c r="I14793" s="237"/>
    </row>
    <row r="14794" spans="1:9" s="232" customFormat="1" ht="17" customHeight="1">
      <c r="A14794" s="234"/>
      <c r="B14794" s="233"/>
      <c r="C14794" s="238"/>
      <c r="E14794" s="545"/>
      <c r="F14794" s="546"/>
      <c r="G14794" s="234"/>
      <c r="H14794" s="238"/>
      <c r="I14794" s="237"/>
    </row>
    <row r="14795" spans="1:9" s="232" customFormat="1" ht="17" customHeight="1">
      <c r="A14795" s="234"/>
      <c r="B14795" s="233"/>
      <c r="C14795" s="238"/>
      <c r="E14795" s="545"/>
      <c r="F14795" s="546"/>
      <c r="G14795" s="234"/>
      <c r="H14795" s="238"/>
      <c r="I14795" s="237"/>
    </row>
    <row r="14796" spans="1:9" s="232" customFormat="1" ht="17" customHeight="1">
      <c r="A14796" s="234"/>
      <c r="B14796" s="233"/>
      <c r="C14796" s="238"/>
      <c r="E14796" s="545"/>
      <c r="F14796" s="546"/>
      <c r="G14796" s="234"/>
      <c r="H14796" s="238"/>
      <c r="I14796" s="237"/>
    </row>
    <row r="14797" spans="1:9" s="232" customFormat="1" ht="17" customHeight="1">
      <c r="A14797" s="234"/>
      <c r="B14797" s="233"/>
      <c r="C14797" s="238"/>
      <c r="E14797" s="545"/>
      <c r="F14797" s="546"/>
      <c r="G14797" s="234"/>
      <c r="H14797" s="238"/>
      <c r="I14797" s="237"/>
    </row>
    <row r="14798" spans="1:9" s="232" customFormat="1" ht="17" customHeight="1">
      <c r="A14798" s="234"/>
      <c r="B14798" s="233"/>
      <c r="C14798" s="238"/>
      <c r="E14798" s="545"/>
      <c r="F14798" s="546"/>
      <c r="G14798" s="234"/>
      <c r="H14798" s="238"/>
      <c r="I14798" s="237"/>
    </row>
    <row r="14799" spans="1:9" s="232" customFormat="1" ht="17" customHeight="1">
      <c r="A14799" s="234"/>
      <c r="B14799" s="233"/>
      <c r="C14799" s="238"/>
      <c r="E14799" s="545"/>
      <c r="F14799" s="546"/>
      <c r="G14799" s="234"/>
      <c r="H14799" s="238"/>
      <c r="I14799" s="237"/>
    </row>
    <row r="14800" spans="1:9" s="232" customFormat="1" ht="17" customHeight="1">
      <c r="A14800" s="234"/>
      <c r="B14800" s="233"/>
      <c r="C14800" s="238"/>
      <c r="E14800" s="545"/>
      <c r="F14800" s="546"/>
      <c r="G14800" s="234"/>
      <c r="H14800" s="238"/>
      <c r="I14800" s="237"/>
    </row>
    <row r="14801" spans="1:9" s="232" customFormat="1" ht="17" customHeight="1">
      <c r="A14801" s="234"/>
      <c r="B14801" s="233"/>
      <c r="C14801" s="238"/>
      <c r="E14801" s="545"/>
      <c r="F14801" s="546"/>
      <c r="G14801" s="234"/>
      <c r="H14801" s="238"/>
      <c r="I14801" s="237"/>
    </row>
    <row r="14802" spans="1:9" s="232" customFormat="1" ht="17" customHeight="1">
      <c r="A14802" s="234"/>
      <c r="B14802" s="233"/>
      <c r="C14802" s="238"/>
      <c r="E14802" s="545"/>
      <c r="F14802" s="546"/>
      <c r="G14802" s="234"/>
      <c r="H14802" s="238"/>
      <c r="I14802" s="237"/>
    </row>
    <row r="14803" spans="1:9" s="232" customFormat="1" ht="17" customHeight="1">
      <c r="A14803" s="234"/>
      <c r="B14803" s="233"/>
      <c r="C14803" s="238"/>
      <c r="E14803" s="545"/>
      <c r="F14803" s="546"/>
      <c r="G14803" s="234"/>
      <c r="H14803" s="238"/>
      <c r="I14803" s="237"/>
    </row>
    <row r="14804" spans="1:9" s="232" customFormat="1" ht="17" customHeight="1">
      <c r="A14804" s="234"/>
      <c r="B14804" s="233"/>
      <c r="C14804" s="238"/>
      <c r="E14804" s="545"/>
      <c r="F14804" s="546"/>
      <c r="G14804" s="234"/>
      <c r="H14804" s="238"/>
      <c r="I14804" s="237"/>
    </row>
    <row r="14805" spans="1:9" s="232" customFormat="1" ht="17" customHeight="1">
      <c r="A14805" s="234"/>
      <c r="B14805" s="233"/>
      <c r="C14805" s="238"/>
      <c r="E14805" s="545"/>
      <c r="F14805" s="546"/>
      <c r="G14805" s="234"/>
      <c r="H14805" s="238"/>
      <c r="I14805" s="237"/>
    </row>
    <row r="14806" spans="1:9" s="232" customFormat="1" ht="17" customHeight="1">
      <c r="A14806" s="234"/>
      <c r="B14806" s="233"/>
      <c r="C14806" s="238"/>
      <c r="E14806" s="545"/>
      <c r="F14806" s="546"/>
      <c r="G14806" s="234"/>
      <c r="H14806" s="238"/>
      <c r="I14806" s="237"/>
    </row>
    <row r="14807" spans="1:9" s="232" customFormat="1" ht="17" customHeight="1">
      <c r="A14807" s="234"/>
      <c r="B14807" s="233"/>
      <c r="C14807" s="238"/>
      <c r="E14807" s="545"/>
      <c r="F14807" s="546"/>
      <c r="G14807" s="234"/>
      <c r="H14807" s="238"/>
      <c r="I14807" s="237"/>
    </row>
    <row r="14808" spans="1:9" s="232" customFormat="1" ht="17" customHeight="1">
      <c r="A14808" s="234"/>
      <c r="B14808" s="233"/>
      <c r="C14808" s="238"/>
      <c r="E14808" s="545"/>
      <c r="F14808" s="546"/>
      <c r="G14808" s="234"/>
      <c r="H14808" s="238"/>
      <c r="I14808" s="237"/>
    </row>
    <row r="14809" spans="1:9" s="232" customFormat="1" ht="17" customHeight="1">
      <c r="A14809" s="234"/>
      <c r="B14809" s="233"/>
      <c r="C14809" s="238"/>
      <c r="E14809" s="545"/>
      <c r="F14809" s="546"/>
      <c r="G14809" s="234"/>
      <c r="H14809" s="238"/>
      <c r="I14809" s="237"/>
    </row>
    <row r="14810" spans="1:9" s="232" customFormat="1" ht="17" customHeight="1">
      <c r="A14810" s="234"/>
      <c r="B14810" s="233"/>
      <c r="C14810" s="238"/>
      <c r="E14810" s="545"/>
      <c r="F14810" s="546"/>
      <c r="G14810" s="234"/>
      <c r="H14810" s="238"/>
      <c r="I14810" s="237"/>
    </row>
    <row r="14811" spans="1:9" s="232" customFormat="1" ht="17" customHeight="1">
      <c r="A14811" s="234"/>
      <c r="B14811" s="233"/>
      <c r="C14811" s="238"/>
      <c r="E14811" s="545"/>
      <c r="F14811" s="546"/>
      <c r="G14811" s="234"/>
      <c r="H14811" s="238"/>
      <c r="I14811" s="237"/>
    </row>
    <row r="14812" spans="1:9" s="232" customFormat="1" ht="17" customHeight="1">
      <c r="A14812" s="234"/>
      <c r="B14812" s="233"/>
      <c r="C14812" s="238"/>
      <c r="E14812" s="545"/>
      <c r="F14812" s="546"/>
      <c r="G14812" s="234"/>
      <c r="H14812" s="238"/>
      <c r="I14812" s="237"/>
    </row>
    <row r="14813" spans="1:9" s="232" customFormat="1" ht="17" customHeight="1">
      <c r="A14813" s="234"/>
      <c r="B14813" s="233"/>
      <c r="C14813" s="238"/>
      <c r="E14813" s="545"/>
      <c r="F14813" s="546"/>
      <c r="G14813" s="234"/>
      <c r="H14813" s="238"/>
      <c r="I14813" s="237"/>
    </row>
    <row r="14814" spans="1:9" s="232" customFormat="1" ht="17" customHeight="1">
      <c r="A14814" s="234"/>
      <c r="B14814" s="233"/>
      <c r="C14814" s="238"/>
      <c r="E14814" s="545"/>
      <c r="F14814" s="546"/>
      <c r="G14814" s="234"/>
      <c r="H14814" s="238"/>
      <c r="I14814" s="237"/>
    </row>
    <row r="14815" spans="1:9" s="232" customFormat="1" ht="17" customHeight="1">
      <c r="A14815" s="234"/>
      <c r="B14815" s="233"/>
      <c r="C14815" s="238"/>
      <c r="E14815" s="545"/>
      <c r="F14815" s="546"/>
      <c r="G14815" s="234"/>
      <c r="H14815" s="238"/>
      <c r="I14815" s="237"/>
    </row>
    <row r="14816" spans="1:9" s="232" customFormat="1" ht="17" customHeight="1">
      <c r="A14816" s="234"/>
      <c r="B14816" s="233"/>
      <c r="C14816" s="238"/>
      <c r="E14816" s="545"/>
      <c r="F14816" s="546"/>
      <c r="G14816" s="234"/>
      <c r="H14816" s="238"/>
      <c r="I14816" s="237"/>
    </row>
    <row r="14817" spans="1:9" s="232" customFormat="1" ht="17" customHeight="1">
      <c r="A14817" s="234"/>
      <c r="B14817" s="233"/>
      <c r="C14817" s="238"/>
      <c r="E14817" s="545"/>
      <c r="F14817" s="546"/>
      <c r="G14817" s="234"/>
      <c r="H14817" s="238"/>
      <c r="I14817" s="237"/>
    </row>
    <row r="14818" spans="1:9" s="232" customFormat="1" ht="17" customHeight="1">
      <c r="A14818" s="234"/>
      <c r="B14818" s="233"/>
      <c r="C14818" s="238"/>
      <c r="E14818" s="545"/>
      <c r="F14818" s="546"/>
      <c r="G14818" s="234"/>
      <c r="H14818" s="238"/>
      <c r="I14818" s="237"/>
    </row>
    <row r="14819" spans="1:9" s="232" customFormat="1" ht="17" customHeight="1">
      <c r="A14819" s="234"/>
      <c r="B14819" s="233"/>
      <c r="C14819" s="238"/>
      <c r="E14819" s="545"/>
      <c r="F14819" s="546"/>
      <c r="G14819" s="234"/>
      <c r="H14819" s="238"/>
      <c r="I14819" s="237"/>
    </row>
    <row r="14820" spans="1:9" s="232" customFormat="1" ht="17" customHeight="1">
      <c r="A14820" s="234"/>
      <c r="B14820" s="233"/>
      <c r="C14820" s="238"/>
      <c r="E14820" s="545"/>
      <c r="F14820" s="546"/>
      <c r="G14820" s="234"/>
      <c r="H14820" s="238"/>
      <c r="I14820" s="237"/>
    </row>
    <row r="14821" spans="1:9" s="232" customFormat="1" ht="17" customHeight="1">
      <c r="A14821" s="234"/>
      <c r="B14821" s="233"/>
      <c r="C14821" s="238"/>
      <c r="E14821" s="545"/>
      <c r="F14821" s="546"/>
      <c r="G14821" s="234"/>
      <c r="H14821" s="238"/>
      <c r="I14821" s="237"/>
    </row>
    <row r="14822" spans="1:9" s="232" customFormat="1" ht="17" customHeight="1">
      <c r="A14822" s="234"/>
      <c r="B14822" s="233"/>
      <c r="C14822" s="238"/>
      <c r="E14822" s="545"/>
      <c r="F14822" s="546"/>
      <c r="G14822" s="234"/>
      <c r="H14822" s="238"/>
      <c r="I14822" s="237"/>
    </row>
    <row r="14823" spans="1:9" s="232" customFormat="1" ht="17" customHeight="1">
      <c r="A14823" s="234"/>
      <c r="B14823" s="233"/>
      <c r="C14823" s="238"/>
      <c r="E14823" s="545"/>
      <c r="F14823" s="546"/>
      <c r="G14823" s="234"/>
      <c r="H14823" s="238"/>
      <c r="I14823" s="237"/>
    </row>
    <row r="14824" spans="1:9" s="232" customFormat="1" ht="17" customHeight="1">
      <c r="A14824" s="234"/>
      <c r="B14824" s="233"/>
      <c r="C14824" s="238"/>
      <c r="E14824" s="545"/>
      <c r="F14824" s="546"/>
      <c r="G14824" s="234"/>
      <c r="H14824" s="238"/>
      <c r="I14824" s="237"/>
    </row>
    <row r="14825" spans="1:9" s="232" customFormat="1" ht="17" customHeight="1">
      <c r="A14825" s="234"/>
      <c r="B14825" s="233"/>
      <c r="C14825" s="238"/>
      <c r="E14825" s="545"/>
      <c r="F14825" s="546"/>
      <c r="G14825" s="234"/>
      <c r="H14825" s="238"/>
      <c r="I14825" s="237"/>
    </row>
    <row r="14826" spans="1:9" s="232" customFormat="1" ht="17" customHeight="1">
      <c r="A14826" s="234"/>
      <c r="B14826" s="233"/>
      <c r="C14826" s="238"/>
      <c r="E14826" s="545"/>
      <c r="F14826" s="546"/>
      <c r="G14826" s="234"/>
      <c r="H14826" s="238"/>
      <c r="I14826" s="237"/>
    </row>
    <row r="14827" spans="1:9" s="232" customFormat="1" ht="17" customHeight="1">
      <c r="A14827" s="234"/>
      <c r="B14827" s="233"/>
      <c r="C14827" s="238"/>
      <c r="E14827" s="545"/>
      <c r="F14827" s="546"/>
      <c r="G14827" s="234"/>
      <c r="H14827" s="238"/>
      <c r="I14827" s="237"/>
    </row>
    <row r="14828" spans="1:9" s="232" customFormat="1" ht="17" customHeight="1">
      <c r="A14828" s="234"/>
      <c r="B14828" s="233"/>
      <c r="C14828" s="238"/>
      <c r="E14828" s="545"/>
      <c r="F14828" s="546"/>
      <c r="G14828" s="234"/>
      <c r="H14828" s="238"/>
      <c r="I14828" s="237"/>
    </row>
    <row r="14829" spans="1:9" s="232" customFormat="1" ht="17" customHeight="1">
      <c r="A14829" s="234"/>
      <c r="B14829" s="233"/>
      <c r="C14829" s="238"/>
      <c r="E14829" s="545"/>
      <c r="F14829" s="546"/>
      <c r="G14829" s="234"/>
      <c r="H14829" s="238"/>
      <c r="I14829" s="237"/>
    </row>
    <row r="14830" spans="1:9" s="232" customFormat="1" ht="17" customHeight="1">
      <c r="A14830" s="234"/>
      <c r="B14830" s="233"/>
      <c r="C14830" s="238"/>
      <c r="E14830" s="545"/>
      <c r="F14830" s="546"/>
      <c r="G14830" s="234"/>
      <c r="H14830" s="238"/>
      <c r="I14830" s="237"/>
    </row>
    <row r="14831" spans="1:9" s="232" customFormat="1" ht="17" customHeight="1">
      <c r="A14831" s="234"/>
      <c r="B14831" s="233"/>
      <c r="C14831" s="238"/>
      <c r="E14831" s="545"/>
      <c r="F14831" s="546"/>
      <c r="G14831" s="234"/>
      <c r="H14831" s="238"/>
      <c r="I14831" s="237"/>
    </row>
    <row r="14832" spans="1:9" s="232" customFormat="1" ht="17" customHeight="1">
      <c r="A14832" s="234"/>
      <c r="B14832" s="233"/>
      <c r="C14832" s="238"/>
      <c r="E14832" s="545"/>
      <c r="F14832" s="546"/>
      <c r="G14832" s="234"/>
      <c r="H14832" s="238"/>
      <c r="I14832" s="237"/>
    </row>
    <row r="14833" spans="1:9" s="232" customFormat="1" ht="17" customHeight="1">
      <c r="A14833" s="234"/>
      <c r="B14833" s="233"/>
      <c r="C14833" s="238"/>
      <c r="E14833" s="545"/>
      <c r="F14833" s="546"/>
      <c r="G14833" s="234"/>
      <c r="H14833" s="238"/>
      <c r="I14833" s="237"/>
    </row>
    <row r="14834" spans="1:9" s="232" customFormat="1" ht="17" customHeight="1">
      <c r="A14834" s="234"/>
      <c r="B14834" s="233"/>
      <c r="C14834" s="238"/>
      <c r="E14834" s="545"/>
      <c r="F14834" s="546"/>
      <c r="G14834" s="234"/>
      <c r="H14834" s="238"/>
      <c r="I14834" s="237"/>
    </row>
    <row r="14835" spans="1:9" s="232" customFormat="1" ht="17" customHeight="1">
      <c r="A14835" s="234"/>
      <c r="B14835" s="233"/>
      <c r="C14835" s="238"/>
      <c r="E14835" s="545"/>
      <c r="F14835" s="546"/>
      <c r="G14835" s="234"/>
      <c r="H14835" s="238"/>
      <c r="I14835" s="237"/>
    </row>
    <row r="14836" spans="1:9" s="232" customFormat="1" ht="17" customHeight="1">
      <c r="A14836" s="234"/>
      <c r="B14836" s="233"/>
      <c r="C14836" s="238"/>
      <c r="E14836" s="545"/>
      <c r="F14836" s="546"/>
      <c r="G14836" s="234"/>
      <c r="H14836" s="238"/>
      <c r="I14836" s="237"/>
    </row>
    <row r="14837" spans="1:9" s="232" customFormat="1" ht="17" customHeight="1">
      <c r="A14837" s="234"/>
      <c r="B14837" s="233"/>
      <c r="C14837" s="238"/>
      <c r="E14837" s="545"/>
      <c r="F14837" s="546"/>
      <c r="G14837" s="234"/>
      <c r="H14837" s="238"/>
      <c r="I14837" s="237"/>
    </row>
    <row r="14838" spans="1:9" s="232" customFormat="1" ht="17" customHeight="1">
      <c r="A14838" s="234"/>
      <c r="B14838" s="233"/>
      <c r="C14838" s="238"/>
      <c r="E14838" s="545"/>
      <c r="F14838" s="546"/>
      <c r="G14838" s="234"/>
      <c r="H14838" s="238"/>
      <c r="I14838" s="237"/>
    </row>
    <row r="14839" spans="1:9" s="232" customFormat="1" ht="17" customHeight="1">
      <c r="A14839" s="234"/>
      <c r="B14839" s="233"/>
      <c r="C14839" s="238"/>
      <c r="E14839" s="545"/>
      <c r="F14839" s="546"/>
      <c r="G14839" s="234"/>
      <c r="H14839" s="238"/>
      <c r="I14839" s="237"/>
    </row>
    <row r="14840" spans="1:9" s="232" customFormat="1" ht="17" customHeight="1">
      <c r="A14840" s="234"/>
      <c r="B14840" s="233"/>
      <c r="C14840" s="238"/>
      <c r="E14840" s="545"/>
      <c r="F14840" s="546"/>
      <c r="G14840" s="234"/>
      <c r="H14840" s="238"/>
      <c r="I14840" s="237"/>
    </row>
    <row r="14841" spans="1:9" s="232" customFormat="1" ht="17" customHeight="1">
      <c r="A14841" s="234"/>
      <c r="B14841" s="233"/>
      <c r="C14841" s="238"/>
      <c r="E14841" s="545"/>
      <c r="F14841" s="546"/>
      <c r="G14841" s="234"/>
      <c r="H14841" s="238"/>
      <c r="I14841" s="237"/>
    </row>
    <row r="14842" spans="1:9" s="232" customFormat="1" ht="17" customHeight="1">
      <c r="A14842" s="234"/>
      <c r="B14842" s="233"/>
      <c r="C14842" s="238"/>
      <c r="E14842" s="545"/>
      <c r="F14842" s="546"/>
      <c r="G14842" s="234"/>
      <c r="H14842" s="238"/>
      <c r="I14842" s="237"/>
    </row>
    <row r="14843" spans="1:9" s="232" customFormat="1" ht="17" customHeight="1">
      <c r="A14843" s="234"/>
      <c r="B14843" s="233"/>
      <c r="C14843" s="238"/>
      <c r="E14843" s="545"/>
      <c r="F14843" s="546"/>
      <c r="G14843" s="234"/>
      <c r="H14843" s="238"/>
      <c r="I14843" s="237"/>
    </row>
    <row r="14844" spans="1:9" s="232" customFormat="1" ht="17" customHeight="1">
      <c r="A14844" s="234"/>
      <c r="B14844" s="233"/>
      <c r="C14844" s="238"/>
      <c r="E14844" s="545"/>
      <c r="F14844" s="546"/>
      <c r="G14844" s="234"/>
      <c r="H14844" s="238"/>
      <c r="I14844" s="237"/>
    </row>
    <row r="14845" spans="1:9" s="232" customFormat="1" ht="17" customHeight="1">
      <c r="A14845" s="234"/>
      <c r="B14845" s="233"/>
      <c r="C14845" s="238"/>
      <c r="E14845" s="545"/>
      <c r="F14845" s="546"/>
      <c r="G14845" s="234"/>
      <c r="H14845" s="238"/>
      <c r="I14845" s="237"/>
    </row>
    <row r="14846" spans="1:9" s="232" customFormat="1" ht="17" customHeight="1">
      <c r="A14846" s="234"/>
      <c r="B14846" s="233"/>
      <c r="C14846" s="238"/>
      <c r="E14846" s="545"/>
      <c r="F14846" s="546"/>
      <c r="G14846" s="234"/>
      <c r="H14846" s="238"/>
      <c r="I14846" s="237"/>
    </row>
    <row r="14847" spans="1:9" s="232" customFormat="1" ht="17" customHeight="1">
      <c r="A14847" s="234"/>
      <c r="B14847" s="233"/>
      <c r="C14847" s="238"/>
      <c r="E14847" s="545"/>
      <c r="F14847" s="546"/>
      <c r="G14847" s="234"/>
      <c r="H14847" s="238"/>
      <c r="I14847" s="237"/>
    </row>
    <row r="14848" spans="1:9" s="232" customFormat="1" ht="17" customHeight="1">
      <c r="A14848" s="234"/>
      <c r="B14848" s="233"/>
      <c r="C14848" s="238"/>
      <c r="E14848" s="545"/>
      <c r="F14848" s="546"/>
      <c r="G14848" s="234"/>
      <c r="H14848" s="238"/>
      <c r="I14848" s="237"/>
    </row>
    <row r="14849" spans="1:9" s="232" customFormat="1" ht="17" customHeight="1">
      <c r="A14849" s="234"/>
      <c r="B14849" s="233"/>
      <c r="C14849" s="238"/>
      <c r="E14849" s="545"/>
      <c r="F14849" s="546"/>
      <c r="G14849" s="234"/>
      <c r="H14849" s="238"/>
      <c r="I14849" s="237"/>
    </row>
    <row r="14850" spans="1:9" s="232" customFormat="1" ht="17" customHeight="1">
      <c r="A14850" s="234"/>
      <c r="B14850" s="233"/>
      <c r="C14850" s="238"/>
      <c r="E14850" s="545"/>
      <c r="F14850" s="546"/>
      <c r="G14850" s="234"/>
      <c r="H14850" s="238"/>
      <c r="I14850" s="237"/>
    </row>
    <row r="14851" spans="1:9" s="232" customFormat="1" ht="17" customHeight="1">
      <c r="A14851" s="234"/>
      <c r="B14851" s="233"/>
      <c r="C14851" s="238"/>
      <c r="E14851" s="545"/>
      <c r="F14851" s="546"/>
      <c r="G14851" s="234"/>
      <c r="H14851" s="238"/>
      <c r="I14851" s="237"/>
    </row>
    <row r="14852" spans="1:9" s="232" customFormat="1" ht="17" customHeight="1">
      <c r="A14852" s="234"/>
      <c r="B14852" s="233"/>
      <c r="C14852" s="238"/>
      <c r="E14852" s="545"/>
      <c r="F14852" s="546"/>
      <c r="G14852" s="234"/>
      <c r="H14852" s="238"/>
      <c r="I14852" s="237"/>
    </row>
    <row r="14853" spans="1:9" s="232" customFormat="1" ht="17" customHeight="1">
      <c r="A14853" s="234"/>
      <c r="B14853" s="233"/>
      <c r="C14853" s="238"/>
      <c r="E14853" s="545"/>
      <c r="F14853" s="546"/>
      <c r="G14853" s="234"/>
      <c r="H14853" s="238"/>
      <c r="I14853" s="237"/>
    </row>
    <row r="14854" spans="1:9" s="232" customFormat="1" ht="17" customHeight="1">
      <c r="A14854" s="234"/>
      <c r="B14854" s="233"/>
      <c r="C14854" s="238"/>
      <c r="E14854" s="545"/>
      <c r="F14854" s="546"/>
      <c r="G14854" s="234"/>
      <c r="H14854" s="238"/>
      <c r="I14854" s="237"/>
    </row>
    <row r="14855" spans="1:9" s="232" customFormat="1" ht="17" customHeight="1">
      <c r="A14855" s="234"/>
      <c r="B14855" s="233"/>
      <c r="C14855" s="238"/>
      <c r="E14855" s="545"/>
      <c r="F14855" s="546"/>
      <c r="G14855" s="234"/>
      <c r="H14855" s="238"/>
      <c r="I14855" s="237"/>
    </row>
    <row r="14856" spans="1:9" s="232" customFormat="1" ht="17" customHeight="1">
      <c r="A14856" s="234"/>
      <c r="B14856" s="233"/>
      <c r="C14856" s="238"/>
      <c r="E14856" s="545"/>
      <c r="F14856" s="546"/>
      <c r="G14856" s="234"/>
      <c r="H14856" s="238"/>
      <c r="I14856" s="237"/>
    </row>
    <row r="14857" spans="1:9" s="232" customFormat="1" ht="17" customHeight="1">
      <c r="A14857" s="234"/>
      <c r="B14857" s="233"/>
      <c r="C14857" s="238"/>
      <c r="E14857" s="545"/>
      <c r="F14857" s="546"/>
      <c r="G14857" s="234"/>
      <c r="H14857" s="238"/>
      <c r="I14857" s="237"/>
    </row>
    <row r="14858" spans="1:9" s="232" customFormat="1" ht="17" customHeight="1">
      <c r="A14858" s="234"/>
      <c r="B14858" s="233"/>
      <c r="C14858" s="238"/>
      <c r="E14858" s="545"/>
      <c r="F14858" s="546"/>
      <c r="G14858" s="234"/>
      <c r="H14858" s="238"/>
      <c r="I14858" s="237"/>
    </row>
    <row r="14859" spans="1:9" s="232" customFormat="1" ht="17" customHeight="1">
      <c r="A14859" s="234"/>
      <c r="B14859" s="233"/>
      <c r="C14859" s="238"/>
      <c r="E14859" s="545"/>
      <c r="F14859" s="546"/>
      <c r="G14859" s="234"/>
      <c r="H14859" s="238"/>
      <c r="I14859" s="237"/>
    </row>
    <row r="14860" spans="1:9" s="232" customFormat="1" ht="17" customHeight="1">
      <c r="A14860" s="234"/>
      <c r="B14860" s="233"/>
      <c r="C14860" s="238"/>
      <c r="E14860" s="545"/>
      <c r="F14860" s="546"/>
      <c r="G14860" s="234"/>
      <c r="H14860" s="238"/>
      <c r="I14860" s="237"/>
    </row>
    <row r="14861" spans="1:9" s="232" customFormat="1" ht="17" customHeight="1">
      <c r="A14861" s="234"/>
      <c r="B14861" s="233"/>
      <c r="C14861" s="238"/>
      <c r="E14861" s="545"/>
      <c r="F14861" s="546"/>
      <c r="G14861" s="234"/>
      <c r="H14861" s="238"/>
      <c r="I14861" s="237"/>
    </row>
    <row r="14862" spans="1:9" s="232" customFormat="1" ht="17" customHeight="1">
      <c r="A14862" s="234"/>
      <c r="B14862" s="233"/>
      <c r="C14862" s="238"/>
      <c r="E14862" s="545"/>
      <c r="F14862" s="546"/>
      <c r="G14862" s="234"/>
      <c r="H14862" s="238"/>
      <c r="I14862" s="237"/>
    </row>
    <row r="14863" spans="1:9" s="232" customFormat="1" ht="17" customHeight="1">
      <c r="A14863" s="234"/>
      <c r="B14863" s="233"/>
      <c r="C14863" s="238"/>
      <c r="E14863" s="545"/>
      <c r="F14863" s="546"/>
      <c r="G14863" s="234"/>
      <c r="H14863" s="238"/>
      <c r="I14863" s="237"/>
    </row>
    <row r="14864" spans="1:9" s="232" customFormat="1" ht="17" customHeight="1">
      <c r="A14864" s="234"/>
      <c r="B14864" s="233"/>
      <c r="C14864" s="238"/>
      <c r="E14864" s="545"/>
      <c r="F14864" s="546"/>
      <c r="G14864" s="234"/>
      <c r="H14864" s="238"/>
      <c r="I14864" s="237"/>
    </row>
    <row r="14865" spans="1:9" s="232" customFormat="1" ht="17" customHeight="1">
      <c r="A14865" s="234"/>
      <c r="B14865" s="233"/>
      <c r="C14865" s="238"/>
      <c r="E14865" s="545"/>
      <c r="F14865" s="546"/>
      <c r="G14865" s="234"/>
      <c r="H14865" s="238"/>
      <c r="I14865" s="237"/>
    </row>
    <row r="14866" spans="1:9" s="232" customFormat="1" ht="17" customHeight="1">
      <c r="A14866" s="234"/>
      <c r="B14866" s="233"/>
      <c r="C14866" s="238"/>
      <c r="E14866" s="545"/>
      <c r="F14866" s="546"/>
      <c r="G14866" s="234"/>
      <c r="H14866" s="238"/>
      <c r="I14866" s="237"/>
    </row>
    <row r="14867" spans="1:9" s="232" customFormat="1" ht="17" customHeight="1">
      <c r="A14867" s="234"/>
      <c r="B14867" s="233"/>
      <c r="C14867" s="238"/>
      <c r="E14867" s="545"/>
      <c r="F14867" s="546"/>
      <c r="G14867" s="234"/>
      <c r="H14867" s="238"/>
      <c r="I14867" s="237"/>
    </row>
    <row r="14868" spans="1:9" s="232" customFormat="1" ht="17" customHeight="1">
      <c r="A14868" s="234"/>
      <c r="B14868" s="233"/>
      <c r="C14868" s="238"/>
      <c r="E14868" s="545"/>
      <c r="F14868" s="546"/>
      <c r="G14868" s="234"/>
      <c r="H14868" s="238"/>
      <c r="I14868" s="237"/>
    </row>
    <row r="14869" spans="1:9" s="232" customFormat="1" ht="17" customHeight="1">
      <c r="A14869" s="234"/>
      <c r="B14869" s="233"/>
      <c r="C14869" s="238"/>
      <c r="E14869" s="545"/>
      <c r="F14869" s="546"/>
      <c r="G14869" s="234"/>
      <c r="H14869" s="238"/>
      <c r="I14869" s="237"/>
    </row>
    <row r="14870" spans="1:9" s="232" customFormat="1" ht="17" customHeight="1">
      <c r="A14870" s="234"/>
      <c r="B14870" s="233"/>
      <c r="C14870" s="238"/>
      <c r="E14870" s="545"/>
      <c r="F14870" s="546"/>
      <c r="G14870" s="234"/>
      <c r="H14870" s="238"/>
      <c r="I14870" s="237"/>
    </row>
    <row r="14871" spans="1:9" s="232" customFormat="1" ht="17" customHeight="1">
      <c r="A14871" s="234"/>
      <c r="B14871" s="233"/>
      <c r="C14871" s="238"/>
      <c r="E14871" s="545"/>
      <c r="F14871" s="546"/>
      <c r="G14871" s="234"/>
      <c r="H14871" s="238"/>
      <c r="I14871" s="237"/>
    </row>
    <row r="14872" spans="1:9" s="232" customFormat="1" ht="17" customHeight="1">
      <c r="A14872" s="234"/>
      <c r="B14872" s="233"/>
      <c r="C14872" s="238"/>
      <c r="E14872" s="545"/>
      <c r="F14872" s="546"/>
      <c r="G14872" s="234"/>
      <c r="H14872" s="238"/>
      <c r="I14872" s="237"/>
    </row>
    <row r="14873" spans="1:9" s="232" customFormat="1" ht="17" customHeight="1">
      <c r="A14873" s="234"/>
      <c r="B14873" s="233"/>
      <c r="C14873" s="238"/>
      <c r="E14873" s="545"/>
      <c r="F14873" s="546"/>
      <c r="G14873" s="234"/>
      <c r="H14873" s="238"/>
      <c r="I14873" s="237"/>
    </row>
    <row r="14874" spans="1:9" s="232" customFormat="1" ht="17" customHeight="1">
      <c r="A14874" s="234"/>
      <c r="B14874" s="233"/>
      <c r="C14874" s="238"/>
      <c r="E14874" s="545"/>
      <c r="F14874" s="546"/>
      <c r="G14874" s="234"/>
      <c r="H14874" s="238"/>
      <c r="I14874" s="237"/>
    </row>
    <row r="14875" spans="1:9" s="232" customFormat="1" ht="17" customHeight="1">
      <c r="A14875" s="234"/>
      <c r="B14875" s="233"/>
      <c r="C14875" s="238"/>
      <c r="E14875" s="545"/>
      <c r="F14875" s="546"/>
      <c r="G14875" s="234"/>
      <c r="H14875" s="238"/>
      <c r="I14875" s="237"/>
    </row>
    <row r="14876" spans="1:9" s="232" customFormat="1" ht="17" customHeight="1">
      <c r="A14876" s="234"/>
      <c r="B14876" s="233"/>
      <c r="C14876" s="238"/>
      <c r="E14876" s="545"/>
      <c r="F14876" s="546"/>
      <c r="G14876" s="234"/>
      <c r="H14876" s="238"/>
      <c r="I14876" s="237"/>
    </row>
    <row r="14877" spans="1:9" s="232" customFormat="1" ht="17" customHeight="1">
      <c r="A14877" s="234"/>
      <c r="B14877" s="233"/>
      <c r="C14877" s="238"/>
      <c r="E14877" s="545"/>
      <c r="F14877" s="546"/>
      <c r="G14877" s="234"/>
      <c r="H14877" s="238"/>
      <c r="I14877" s="237"/>
    </row>
    <row r="14878" spans="1:9" s="232" customFormat="1" ht="17" customHeight="1">
      <c r="A14878" s="234"/>
      <c r="B14878" s="233"/>
      <c r="C14878" s="238"/>
      <c r="E14878" s="545"/>
      <c r="F14878" s="546"/>
      <c r="G14878" s="234"/>
      <c r="H14878" s="238"/>
      <c r="I14878" s="237"/>
    </row>
    <row r="14879" spans="1:9" s="232" customFormat="1" ht="17" customHeight="1">
      <c r="A14879" s="234"/>
      <c r="B14879" s="233"/>
      <c r="C14879" s="238"/>
      <c r="E14879" s="545"/>
      <c r="F14879" s="546"/>
      <c r="G14879" s="234"/>
      <c r="H14879" s="238"/>
      <c r="I14879" s="237"/>
    </row>
    <row r="14880" spans="1:9" s="232" customFormat="1" ht="17" customHeight="1">
      <c r="A14880" s="234"/>
      <c r="B14880" s="233"/>
      <c r="C14880" s="238"/>
      <c r="E14880" s="545"/>
      <c r="F14880" s="546"/>
      <c r="G14880" s="234"/>
      <c r="H14880" s="238"/>
      <c r="I14880" s="237"/>
    </row>
    <row r="14881" spans="1:9" s="232" customFormat="1" ht="17" customHeight="1">
      <c r="A14881" s="234"/>
      <c r="B14881" s="233"/>
      <c r="C14881" s="238"/>
      <c r="E14881" s="545"/>
      <c r="F14881" s="546"/>
      <c r="G14881" s="234"/>
      <c r="H14881" s="238"/>
      <c r="I14881" s="237"/>
    </row>
    <row r="14882" spans="1:9" s="232" customFormat="1" ht="17" customHeight="1">
      <c r="A14882" s="234"/>
      <c r="B14882" s="233"/>
      <c r="C14882" s="238"/>
      <c r="E14882" s="545"/>
      <c r="F14882" s="546"/>
      <c r="G14882" s="234"/>
      <c r="H14882" s="238"/>
      <c r="I14882" s="237"/>
    </row>
    <row r="14883" spans="1:9" s="232" customFormat="1" ht="17" customHeight="1">
      <c r="A14883" s="234"/>
      <c r="B14883" s="233"/>
      <c r="C14883" s="238"/>
      <c r="E14883" s="545"/>
      <c r="F14883" s="546"/>
      <c r="G14883" s="234"/>
      <c r="H14883" s="238"/>
      <c r="I14883" s="237"/>
    </row>
    <row r="14884" spans="1:9" s="232" customFormat="1" ht="17" customHeight="1">
      <c r="A14884" s="234"/>
      <c r="B14884" s="233"/>
      <c r="C14884" s="238"/>
      <c r="E14884" s="545"/>
      <c r="F14884" s="546"/>
      <c r="G14884" s="234"/>
      <c r="H14884" s="238"/>
      <c r="I14884" s="237"/>
    </row>
    <row r="14885" spans="1:9" s="232" customFormat="1" ht="17" customHeight="1">
      <c r="A14885" s="234"/>
      <c r="B14885" s="233"/>
      <c r="C14885" s="238"/>
      <c r="E14885" s="545"/>
      <c r="F14885" s="546"/>
      <c r="G14885" s="234"/>
      <c r="H14885" s="238"/>
      <c r="I14885" s="237"/>
    </row>
    <row r="14886" spans="1:9" s="232" customFormat="1" ht="17" customHeight="1">
      <c r="A14886" s="234"/>
      <c r="B14886" s="233"/>
      <c r="C14886" s="238"/>
      <c r="E14886" s="545"/>
      <c r="F14886" s="546"/>
      <c r="G14886" s="234"/>
      <c r="H14886" s="238"/>
      <c r="I14886" s="237"/>
    </row>
    <row r="14887" spans="1:9" s="232" customFormat="1" ht="17" customHeight="1">
      <c r="A14887" s="234"/>
      <c r="B14887" s="233"/>
      <c r="C14887" s="238"/>
      <c r="E14887" s="545"/>
      <c r="F14887" s="546"/>
      <c r="G14887" s="234"/>
      <c r="H14887" s="238"/>
      <c r="I14887" s="237"/>
    </row>
    <row r="14888" spans="1:9" s="232" customFormat="1" ht="17" customHeight="1">
      <c r="A14888" s="234"/>
      <c r="B14888" s="233"/>
      <c r="C14888" s="238"/>
      <c r="E14888" s="545"/>
      <c r="F14888" s="546"/>
      <c r="G14888" s="234"/>
      <c r="H14888" s="238"/>
      <c r="I14888" s="237"/>
    </row>
    <row r="14889" spans="1:9" s="232" customFormat="1" ht="17" customHeight="1">
      <c r="A14889" s="234"/>
      <c r="B14889" s="233"/>
      <c r="C14889" s="238"/>
      <c r="E14889" s="545"/>
      <c r="F14889" s="546"/>
      <c r="G14889" s="234"/>
      <c r="H14889" s="238"/>
      <c r="I14889" s="237"/>
    </row>
    <row r="14890" spans="1:9" s="232" customFormat="1" ht="17" customHeight="1">
      <c r="A14890" s="234"/>
      <c r="B14890" s="233"/>
      <c r="C14890" s="238"/>
      <c r="E14890" s="545"/>
      <c r="F14890" s="546"/>
      <c r="G14890" s="234"/>
      <c r="H14890" s="238"/>
      <c r="I14890" s="237"/>
    </row>
    <row r="14891" spans="1:9" s="232" customFormat="1" ht="17" customHeight="1">
      <c r="A14891" s="234"/>
      <c r="B14891" s="233"/>
      <c r="C14891" s="238"/>
      <c r="E14891" s="545"/>
      <c r="F14891" s="546"/>
      <c r="G14891" s="234"/>
      <c r="H14891" s="238"/>
      <c r="I14891" s="237"/>
    </row>
    <row r="14892" spans="1:9" s="232" customFormat="1" ht="17" customHeight="1">
      <c r="A14892" s="234"/>
      <c r="B14892" s="233"/>
      <c r="C14892" s="238"/>
      <c r="E14892" s="545"/>
      <c r="F14892" s="546"/>
      <c r="G14892" s="234"/>
      <c r="H14892" s="238"/>
      <c r="I14892" s="237"/>
    </row>
    <row r="14893" spans="1:9" s="232" customFormat="1" ht="17" customHeight="1">
      <c r="A14893" s="234"/>
      <c r="B14893" s="233"/>
      <c r="C14893" s="238"/>
      <c r="E14893" s="545"/>
      <c r="F14893" s="546"/>
      <c r="G14893" s="234"/>
      <c r="H14893" s="238"/>
      <c r="I14893" s="237"/>
    </row>
    <row r="14894" spans="1:9" s="232" customFormat="1" ht="17" customHeight="1">
      <c r="A14894" s="234"/>
      <c r="B14894" s="233"/>
      <c r="C14894" s="238"/>
      <c r="E14894" s="545"/>
      <c r="F14894" s="546"/>
      <c r="G14894" s="234"/>
      <c r="H14894" s="238"/>
      <c r="I14894" s="237"/>
    </row>
    <row r="14895" spans="1:9" s="232" customFormat="1" ht="17" customHeight="1">
      <c r="A14895" s="234"/>
      <c r="B14895" s="233"/>
      <c r="C14895" s="238"/>
      <c r="E14895" s="545"/>
      <c r="F14895" s="546"/>
      <c r="G14895" s="234"/>
      <c r="H14895" s="238"/>
      <c r="I14895" s="237"/>
    </row>
    <row r="14896" spans="1:9" s="232" customFormat="1" ht="17" customHeight="1">
      <c r="A14896" s="234"/>
      <c r="B14896" s="233"/>
      <c r="C14896" s="238"/>
      <c r="E14896" s="545"/>
      <c r="F14896" s="546"/>
      <c r="G14896" s="234"/>
      <c r="H14896" s="238"/>
      <c r="I14896" s="237"/>
    </row>
    <row r="14897" spans="1:9" s="232" customFormat="1" ht="17" customHeight="1">
      <c r="A14897" s="234"/>
      <c r="B14897" s="233"/>
      <c r="C14897" s="238"/>
      <c r="E14897" s="545"/>
      <c r="F14897" s="546"/>
      <c r="G14897" s="234"/>
      <c r="H14897" s="238"/>
      <c r="I14897" s="237"/>
    </row>
    <row r="14898" spans="1:9" s="232" customFormat="1" ht="17" customHeight="1">
      <c r="A14898" s="234"/>
      <c r="B14898" s="233"/>
      <c r="C14898" s="238"/>
      <c r="E14898" s="545"/>
      <c r="F14898" s="546"/>
      <c r="G14898" s="234"/>
      <c r="H14898" s="238"/>
      <c r="I14898" s="237"/>
    </row>
    <row r="14899" spans="1:9" s="232" customFormat="1" ht="17" customHeight="1">
      <c r="A14899" s="234"/>
      <c r="B14899" s="233"/>
      <c r="C14899" s="238"/>
      <c r="E14899" s="545"/>
      <c r="F14899" s="546"/>
      <c r="G14899" s="234"/>
      <c r="H14899" s="238"/>
      <c r="I14899" s="237"/>
    </row>
    <row r="14900" spans="1:9" s="232" customFormat="1" ht="17" customHeight="1">
      <c r="A14900" s="234"/>
      <c r="B14900" s="233"/>
      <c r="C14900" s="238"/>
      <c r="E14900" s="545"/>
      <c r="F14900" s="546"/>
      <c r="G14900" s="234"/>
      <c r="H14900" s="238"/>
      <c r="I14900" s="237"/>
    </row>
    <row r="14901" spans="1:9" s="232" customFormat="1" ht="17" customHeight="1">
      <c r="A14901" s="234"/>
      <c r="B14901" s="233"/>
      <c r="C14901" s="238"/>
      <c r="E14901" s="545"/>
      <c r="F14901" s="546"/>
      <c r="G14901" s="234"/>
      <c r="H14901" s="238"/>
      <c r="I14901" s="237"/>
    </row>
    <row r="14902" spans="1:9" s="232" customFormat="1" ht="17" customHeight="1">
      <c r="A14902" s="234"/>
      <c r="B14902" s="233"/>
      <c r="C14902" s="238"/>
      <c r="E14902" s="545"/>
      <c r="F14902" s="546"/>
      <c r="G14902" s="234"/>
      <c r="H14902" s="238"/>
      <c r="I14902" s="237"/>
    </row>
    <row r="14903" spans="1:9" s="232" customFormat="1" ht="17" customHeight="1">
      <c r="A14903" s="234"/>
      <c r="B14903" s="233"/>
      <c r="C14903" s="238"/>
      <c r="E14903" s="545"/>
      <c r="F14903" s="546"/>
      <c r="G14903" s="234"/>
      <c r="H14903" s="238"/>
      <c r="I14903" s="237"/>
    </row>
    <row r="14904" spans="1:9" s="232" customFormat="1" ht="17" customHeight="1">
      <c r="A14904" s="234"/>
      <c r="B14904" s="233"/>
      <c r="C14904" s="238"/>
      <c r="E14904" s="545"/>
      <c r="F14904" s="546"/>
      <c r="G14904" s="234"/>
      <c r="H14904" s="238"/>
      <c r="I14904" s="237"/>
    </row>
    <row r="14905" spans="1:9" s="232" customFormat="1" ht="17" customHeight="1">
      <c r="A14905" s="234"/>
      <c r="B14905" s="233"/>
      <c r="C14905" s="238"/>
      <c r="E14905" s="545"/>
      <c r="F14905" s="546"/>
      <c r="G14905" s="234"/>
      <c r="H14905" s="238"/>
      <c r="I14905" s="237"/>
    </row>
    <row r="14906" spans="1:9" s="232" customFormat="1" ht="17" customHeight="1">
      <c r="A14906" s="234"/>
      <c r="B14906" s="233"/>
      <c r="C14906" s="238"/>
      <c r="E14906" s="545"/>
      <c r="F14906" s="546"/>
      <c r="G14906" s="234"/>
      <c r="H14906" s="238"/>
      <c r="I14906" s="237"/>
    </row>
    <row r="14907" spans="1:9" s="232" customFormat="1" ht="17" customHeight="1">
      <c r="A14907" s="234"/>
      <c r="B14907" s="233"/>
      <c r="C14907" s="238"/>
      <c r="E14907" s="545"/>
      <c r="F14907" s="546"/>
      <c r="G14907" s="234"/>
      <c r="H14907" s="238"/>
      <c r="I14907" s="237"/>
    </row>
    <row r="14908" spans="1:9" s="232" customFormat="1" ht="17" customHeight="1">
      <c r="A14908" s="234"/>
      <c r="B14908" s="233"/>
      <c r="C14908" s="238"/>
      <c r="E14908" s="545"/>
      <c r="F14908" s="546"/>
      <c r="G14908" s="234"/>
      <c r="H14908" s="238"/>
      <c r="I14908" s="237"/>
    </row>
    <row r="14909" spans="1:9" s="232" customFormat="1" ht="17" customHeight="1">
      <c r="A14909" s="234"/>
      <c r="B14909" s="233"/>
      <c r="C14909" s="238"/>
      <c r="E14909" s="545"/>
      <c r="F14909" s="546"/>
      <c r="G14909" s="234"/>
      <c r="H14909" s="238"/>
      <c r="I14909" s="237"/>
    </row>
    <row r="14910" spans="1:9" s="232" customFormat="1" ht="17" customHeight="1">
      <c r="A14910" s="234"/>
      <c r="B14910" s="233"/>
      <c r="C14910" s="238"/>
      <c r="E14910" s="545"/>
      <c r="F14910" s="546"/>
      <c r="G14910" s="234"/>
      <c r="H14910" s="238"/>
      <c r="I14910" s="237"/>
    </row>
    <row r="14911" spans="1:9" s="232" customFormat="1" ht="17" customHeight="1">
      <c r="A14911" s="234"/>
      <c r="B14911" s="233"/>
      <c r="C14911" s="238"/>
      <c r="E14911" s="545"/>
      <c r="F14911" s="546"/>
      <c r="G14911" s="234"/>
      <c r="H14911" s="238"/>
      <c r="I14911" s="237"/>
    </row>
    <row r="14912" spans="1:9" s="232" customFormat="1" ht="17" customHeight="1">
      <c r="A14912" s="234"/>
      <c r="B14912" s="233"/>
      <c r="C14912" s="238"/>
      <c r="E14912" s="545"/>
      <c r="F14912" s="546"/>
      <c r="G14912" s="234"/>
      <c r="H14912" s="238"/>
      <c r="I14912" s="237"/>
    </row>
    <row r="14913" spans="1:9" s="232" customFormat="1" ht="17" customHeight="1">
      <c r="A14913" s="234"/>
      <c r="B14913" s="233"/>
      <c r="C14913" s="238"/>
      <c r="E14913" s="545"/>
      <c r="F14913" s="546"/>
      <c r="G14913" s="234"/>
      <c r="H14913" s="238"/>
      <c r="I14913" s="237"/>
    </row>
    <row r="14914" spans="1:9" s="232" customFormat="1" ht="17" customHeight="1">
      <c r="A14914" s="234"/>
      <c r="B14914" s="233"/>
      <c r="C14914" s="238"/>
      <c r="E14914" s="545"/>
      <c r="F14914" s="546"/>
      <c r="G14914" s="234"/>
      <c r="H14914" s="238"/>
      <c r="I14914" s="237"/>
    </row>
    <row r="14915" spans="1:9" s="232" customFormat="1" ht="17" customHeight="1">
      <c r="A14915" s="234"/>
      <c r="B14915" s="233"/>
      <c r="C14915" s="238"/>
      <c r="E14915" s="545"/>
      <c r="F14915" s="546"/>
      <c r="G14915" s="234"/>
      <c r="H14915" s="238"/>
      <c r="I14915" s="237"/>
    </row>
    <row r="14916" spans="1:9" s="232" customFormat="1" ht="17" customHeight="1">
      <c r="A14916" s="234"/>
      <c r="B14916" s="233"/>
      <c r="C14916" s="238"/>
      <c r="E14916" s="545"/>
      <c r="F14916" s="546"/>
      <c r="G14916" s="234"/>
      <c r="H14916" s="238"/>
      <c r="I14916" s="237"/>
    </row>
    <row r="14917" spans="1:9" s="232" customFormat="1" ht="17" customHeight="1">
      <c r="A14917" s="234"/>
      <c r="B14917" s="233"/>
      <c r="C14917" s="238"/>
      <c r="E14917" s="545"/>
      <c r="F14917" s="546"/>
      <c r="G14917" s="234"/>
      <c r="H14917" s="238"/>
      <c r="I14917" s="237"/>
    </row>
    <row r="14918" spans="1:9" s="232" customFormat="1" ht="17" customHeight="1">
      <c r="A14918" s="234"/>
      <c r="B14918" s="233"/>
      <c r="C14918" s="238"/>
      <c r="E14918" s="545"/>
      <c r="F14918" s="546"/>
      <c r="G14918" s="234"/>
      <c r="H14918" s="238"/>
      <c r="I14918" s="237"/>
    </row>
    <row r="14919" spans="1:9" s="232" customFormat="1" ht="17" customHeight="1">
      <c r="A14919" s="234"/>
      <c r="B14919" s="233"/>
      <c r="C14919" s="238"/>
      <c r="E14919" s="545"/>
      <c r="F14919" s="546"/>
      <c r="G14919" s="234"/>
      <c r="H14919" s="238"/>
      <c r="I14919" s="237"/>
    </row>
    <row r="14920" spans="1:9" s="232" customFormat="1" ht="17" customHeight="1">
      <c r="A14920" s="234"/>
      <c r="B14920" s="233"/>
      <c r="C14920" s="238"/>
      <c r="E14920" s="545"/>
      <c r="F14920" s="546"/>
      <c r="G14920" s="234"/>
      <c r="H14920" s="238"/>
      <c r="I14920" s="237"/>
    </row>
    <row r="14921" spans="1:9" s="232" customFormat="1" ht="17" customHeight="1">
      <c r="A14921" s="234"/>
      <c r="B14921" s="233"/>
      <c r="C14921" s="238"/>
      <c r="E14921" s="545"/>
      <c r="F14921" s="546"/>
      <c r="G14921" s="234"/>
      <c r="H14921" s="238"/>
      <c r="I14921" s="237"/>
    </row>
    <row r="14922" spans="1:9" s="232" customFormat="1" ht="17" customHeight="1">
      <c r="A14922" s="234"/>
      <c r="B14922" s="233"/>
      <c r="C14922" s="238"/>
      <c r="E14922" s="545"/>
      <c r="F14922" s="546"/>
      <c r="G14922" s="234"/>
      <c r="H14922" s="238"/>
      <c r="I14922" s="237"/>
    </row>
    <row r="14923" spans="1:9" s="232" customFormat="1" ht="17" customHeight="1">
      <c r="A14923" s="234"/>
      <c r="B14923" s="233"/>
      <c r="C14923" s="238"/>
      <c r="E14923" s="545"/>
      <c r="F14923" s="546"/>
      <c r="G14923" s="234"/>
      <c r="H14923" s="238"/>
      <c r="I14923" s="237"/>
    </row>
    <row r="14924" spans="1:9" s="232" customFormat="1" ht="17" customHeight="1">
      <c r="A14924" s="234"/>
      <c r="B14924" s="233"/>
      <c r="C14924" s="238"/>
      <c r="E14924" s="545"/>
      <c r="F14924" s="546"/>
      <c r="G14924" s="234"/>
      <c r="H14924" s="238"/>
      <c r="I14924" s="237"/>
    </row>
    <row r="14925" spans="1:9" s="232" customFormat="1" ht="17" customHeight="1">
      <c r="A14925" s="234"/>
      <c r="B14925" s="233"/>
      <c r="C14925" s="238"/>
      <c r="E14925" s="545"/>
      <c r="F14925" s="546"/>
      <c r="G14925" s="234"/>
      <c r="H14925" s="238"/>
      <c r="I14925" s="237"/>
    </row>
    <row r="14926" spans="1:9" s="232" customFormat="1" ht="17" customHeight="1">
      <c r="A14926" s="234"/>
      <c r="B14926" s="233"/>
      <c r="C14926" s="238"/>
      <c r="E14926" s="545"/>
      <c r="F14926" s="546"/>
      <c r="G14926" s="234"/>
      <c r="H14926" s="238"/>
      <c r="I14926" s="237"/>
    </row>
    <row r="14927" spans="1:9" s="232" customFormat="1" ht="17" customHeight="1">
      <c r="A14927" s="234"/>
      <c r="B14927" s="233"/>
      <c r="C14927" s="238"/>
      <c r="E14927" s="545"/>
      <c r="F14927" s="546"/>
      <c r="G14927" s="234"/>
      <c r="H14927" s="238"/>
      <c r="I14927" s="237"/>
    </row>
    <row r="14928" spans="1:9" s="232" customFormat="1" ht="17" customHeight="1">
      <c r="A14928" s="234"/>
      <c r="B14928" s="233"/>
      <c r="C14928" s="238"/>
      <c r="E14928" s="545"/>
      <c r="F14928" s="546"/>
      <c r="G14928" s="234"/>
      <c r="H14928" s="238"/>
      <c r="I14928" s="237"/>
    </row>
    <row r="14929" spans="1:9" s="232" customFormat="1" ht="17" customHeight="1">
      <c r="A14929" s="234"/>
      <c r="B14929" s="233"/>
      <c r="C14929" s="238"/>
      <c r="E14929" s="545"/>
      <c r="F14929" s="546"/>
      <c r="G14929" s="234"/>
      <c r="H14929" s="238"/>
      <c r="I14929" s="237"/>
    </row>
    <row r="14930" spans="1:9" s="232" customFormat="1" ht="17" customHeight="1">
      <c r="A14930" s="234"/>
      <c r="B14930" s="233"/>
      <c r="C14930" s="238"/>
      <c r="E14930" s="545"/>
      <c r="F14930" s="546"/>
      <c r="G14930" s="234"/>
      <c r="H14930" s="238"/>
      <c r="I14930" s="237"/>
    </row>
    <row r="14931" spans="1:9" s="232" customFormat="1" ht="17" customHeight="1">
      <c r="A14931" s="234"/>
      <c r="B14931" s="233"/>
      <c r="C14931" s="238"/>
      <c r="E14931" s="545"/>
      <c r="F14931" s="546"/>
      <c r="G14931" s="234"/>
      <c r="H14931" s="238"/>
      <c r="I14931" s="237"/>
    </row>
    <row r="14932" spans="1:9" s="232" customFormat="1" ht="17" customHeight="1">
      <c r="A14932" s="234"/>
      <c r="B14932" s="233"/>
      <c r="C14932" s="238"/>
      <c r="E14932" s="545"/>
      <c r="F14932" s="546"/>
      <c r="G14932" s="234"/>
      <c r="H14932" s="238"/>
      <c r="I14932" s="237"/>
    </row>
    <row r="14933" spans="1:9" s="232" customFormat="1" ht="17" customHeight="1">
      <c r="A14933" s="234"/>
      <c r="B14933" s="233"/>
      <c r="C14933" s="238"/>
      <c r="E14933" s="545"/>
      <c r="F14933" s="546"/>
      <c r="G14933" s="234"/>
      <c r="H14933" s="238"/>
      <c r="I14933" s="237"/>
    </row>
    <row r="14934" spans="1:9" s="232" customFormat="1" ht="17" customHeight="1">
      <c r="A14934" s="234"/>
      <c r="B14934" s="233"/>
      <c r="C14934" s="238"/>
      <c r="E14934" s="545"/>
      <c r="F14934" s="546"/>
      <c r="G14934" s="234"/>
      <c r="H14934" s="238"/>
      <c r="I14934" s="237"/>
    </row>
    <row r="14935" spans="1:9" s="232" customFormat="1" ht="17" customHeight="1">
      <c r="A14935" s="234"/>
      <c r="B14935" s="233"/>
      <c r="C14935" s="238"/>
      <c r="E14935" s="545"/>
      <c r="F14935" s="546"/>
      <c r="G14935" s="234"/>
      <c r="H14935" s="238"/>
      <c r="I14935" s="237"/>
    </row>
    <row r="14936" spans="1:9" s="232" customFormat="1" ht="17" customHeight="1">
      <c r="A14936" s="234"/>
      <c r="B14936" s="233"/>
      <c r="C14936" s="238"/>
      <c r="E14936" s="545"/>
      <c r="F14936" s="546"/>
      <c r="G14936" s="234"/>
      <c r="H14936" s="238"/>
      <c r="I14936" s="237"/>
    </row>
    <row r="14937" spans="1:9" s="232" customFormat="1" ht="17" customHeight="1">
      <c r="A14937" s="234"/>
      <c r="B14937" s="233"/>
      <c r="C14937" s="238"/>
      <c r="E14937" s="545"/>
      <c r="F14937" s="546"/>
      <c r="G14937" s="234"/>
      <c r="H14937" s="238"/>
      <c r="I14937" s="237"/>
    </row>
    <row r="14938" spans="1:9" s="232" customFormat="1" ht="17" customHeight="1">
      <c r="A14938" s="234"/>
      <c r="B14938" s="233"/>
      <c r="C14938" s="238"/>
      <c r="E14938" s="545"/>
      <c r="F14938" s="546"/>
      <c r="G14938" s="234"/>
      <c r="H14938" s="238"/>
      <c r="I14938" s="237"/>
    </row>
    <row r="14939" spans="1:9" s="232" customFormat="1" ht="17" customHeight="1">
      <c r="A14939" s="234"/>
      <c r="B14939" s="233"/>
      <c r="C14939" s="238"/>
      <c r="E14939" s="545"/>
      <c r="F14939" s="546"/>
      <c r="G14939" s="234"/>
      <c r="H14939" s="238"/>
      <c r="I14939" s="237"/>
    </row>
    <row r="14940" spans="1:9" s="232" customFormat="1" ht="17" customHeight="1">
      <c r="A14940" s="234"/>
      <c r="B14940" s="233"/>
      <c r="C14940" s="238"/>
      <c r="E14940" s="545"/>
      <c r="F14940" s="546"/>
      <c r="G14940" s="234"/>
      <c r="H14940" s="238"/>
      <c r="I14940" s="237"/>
    </row>
    <row r="14941" spans="1:9" s="232" customFormat="1" ht="17" customHeight="1">
      <c r="A14941" s="234"/>
      <c r="B14941" s="233"/>
      <c r="C14941" s="238"/>
      <c r="E14941" s="545"/>
      <c r="F14941" s="546"/>
      <c r="G14941" s="234"/>
      <c r="H14941" s="238"/>
      <c r="I14941" s="237"/>
    </row>
    <row r="14942" spans="1:9" s="232" customFormat="1" ht="17" customHeight="1">
      <c r="A14942" s="234"/>
      <c r="B14942" s="233"/>
      <c r="C14942" s="238"/>
      <c r="E14942" s="545"/>
      <c r="F14942" s="546"/>
      <c r="G14942" s="234"/>
      <c r="H14942" s="238"/>
      <c r="I14942" s="237"/>
    </row>
    <row r="14943" spans="1:9" s="232" customFormat="1" ht="17" customHeight="1">
      <c r="A14943" s="234"/>
      <c r="B14943" s="233"/>
      <c r="C14943" s="238"/>
      <c r="E14943" s="545"/>
      <c r="F14943" s="546"/>
      <c r="G14943" s="234"/>
      <c r="H14943" s="238"/>
      <c r="I14943" s="237"/>
    </row>
    <row r="14944" spans="1:9" s="232" customFormat="1" ht="17" customHeight="1">
      <c r="A14944" s="234"/>
      <c r="B14944" s="233"/>
      <c r="C14944" s="238"/>
      <c r="E14944" s="545"/>
      <c r="F14944" s="546"/>
      <c r="G14944" s="234"/>
      <c r="H14944" s="238"/>
      <c r="I14944" s="237"/>
    </row>
    <row r="14945" spans="1:9" s="232" customFormat="1" ht="17" customHeight="1">
      <c r="A14945" s="234"/>
      <c r="B14945" s="233"/>
      <c r="C14945" s="238"/>
      <c r="E14945" s="545"/>
      <c r="F14945" s="546"/>
      <c r="G14945" s="234"/>
      <c r="H14945" s="238"/>
      <c r="I14945" s="237"/>
    </row>
    <row r="14946" spans="1:9" s="232" customFormat="1" ht="17" customHeight="1">
      <c r="A14946" s="234"/>
      <c r="B14946" s="233"/>
      <c r="C14946" s="238"/>
      <c r="E14946" s="545"/>
      <c r="F14946" s="546"/>
      <c r="G14946" s="234"/>
      <c r="H14946" s="238"/>
      <c r="I14946" s="237"/>
    </row>
    <row r="14947" spans="1:9" s="232" customFormat="1" ht="17" customHeight="1">
      <c r="A14947" s="234"/>
      <c r="B14947" s="233"/>
      <c r="C14947" s="238"/>
      <c r="E14947" s="545"/>
      <c r="F14947" s="546"/>
      <c r="G14947" s="234"/>
      <c r="H14947" s="238"/>
      <c r="I14947" s="237"/>
    </row>
    <row r="14948" spans="1:9" s="232" customFormat="1" ht="17" customHeight="1">
      <c r="A14948" s="234"/>
      <c r="B14948" s="233"/>
      <c r="C14948" s="238"/>
      <c r="E14948" s="545"/>
      <c r="F14948" s="546"/>
      <c r="G14948" s="234"/>
      <c r="H14948" s="238"/>
      <c r="I14948" s="237"/>
    </row>
    <row r="14949" spans="1:9" s="232" customFormat="1" ht="17" customHeight="1">
      <c r="A14949" s="234"/>
      <c r="B14949" s="233"/>
      <c r="C14949" s="238"/>
      <c r="E14949" s="545"/>
      <c r="F14949" s="546"/>
      <c r="G14949" s="234"/>
      <c r="H14949" s="238"/>
      <c r="I14949" s="237"/>
    </row>
    <row r="14950" spans="1:9" s="232" customFormat="1" ht="17" customHeight="1">
      <c r="A14950" s="234"/>
      <c r="B14950" s="233"/>
      <c r="C14950" s="238"/>
      <c r="E14950" s="545"/>
      <c r="F14950" s="546"/>
      <c r="G14950" s="234"/>
      <c r="H14950" s="238"/>
      <c r="I14950" s="237"/>
    </row>
    <row r="14951" spans="1:9" s="232" customFormat="1" ht="17" customHeight="1">
      <c r="A14951" s="234"/>
      <c r="B14951" s="233"/>
      <c r="C14951" s="238"/>
      <c r="E14951" s="545"/>
      <c r="F14951" s="546"/>
      <c r="G14951" s="234"/>
      <c r="H14951" s="238"/>
      <c r="I14951" s="237"/>
    </row>
    <row r="14952" spans="1:9" s="232" customFormat="1" ht="17" customHeight="1">
      <c r="A14952" s="234"/>
      <c r="B14952" s="233"/>
      <c r="C14952" s="238"/>
      <c r="E14952" s="545"/>
      <c r="F14952" s="546"/>
      <c r="G14952" s="234"/>
      <c r="H14952" s="238"/>
      <c r="I14952" s="237"/>
    </row>
    <row r="14953" spans="1:9" s="232" customFormat="1" ht="17" customHeight="1">
      <c r="A14953" s="234"/>
      <c r="B14953" s="233"/>
      <c r="C14953" s="238"/>
      <c r="E14953" s="545"/>
      <c r="F14953" s="546"/>
      <c r="G14953" s="234"/>
      <c r="H14953" s="238"/>
      <c r="I14953" s="237"/>
    </row>
    <row r="14954" spans="1:9" s="232" customFormat="1" ht="17" customHeight="1">
      <c r="A14954" s="234"/>
      <c r="B14954" s="233"/>
      <c r="C14954" s="238"/>
      <c r="E14954" s="545"/>
      <c r="F14954" s="546"/>
      <c r="G14954" s="234"/>
      <c r="H14954" s="238"/>
      <c r="I14954" s="237"/>
    </row>
    <row r="14955" spans="1:9" s="232" customFormat="1" ht="17" customHeight="1">
      <c r="A14955" s="234"/>
      <c r="B14955" s="233"/>
      <c r="C14955" s="238"/>
      <c r="E14955" s="545"/>
      <c r="F14955" s="546"/>
      <c r="G14955" s="234"/>
      <c r="H14955" s="238"/>
      <c r="I14955" s="237"/>
    </row>
    <row r="14956" spans="1:9" s="232" customFormat="1" ht="17" customHeight="1">
      <c r="A14956" s="234"/>
      <c r="B14956" s="233"/>
      <c r="C14956" s="238"/>
      <c r="E14956" s="545"/>
      <c r="F14956" s="546"/>
      <c r="G14956" s="234"/>
      <c r="H14956" s="238"/>
      <c r="I14956" s="237"/>
    </row>
    <row r="14957" spans="1:9" s="232" customFormat="1" ht="17" customHeight="1">
      <c r="A14957" s="234"/>
      <c r="B14957" s="233"/>
      <c r="C14957" s="238"/>
      <c r="E14957" s="545"/>
      <c r="F14957" s="546"/>
      <c r="G14957" s="234"/>
      <c r="H14957" s="238"/>
      <c r="I14957" s="237"/>
    </row>
    <row r="14958" spans="1:9" s="232" customFormat="1" ht="17" customHeight="1">
      <c r="A14958" s="234"/>
      <c r="B14958" s="233"/>
      <c r="C14958" s="238"/>
      <c r="E14958" s="545"/>
      <c r="F14958" s="546"/>
      <c r="G14958" s="234"/>
      <c r="H14958" s="238"/>
      <c r="I14958" s="237"/>
    </row>
    <row r="14959" spans="1:9" s="232" customFormat="1" ht="17" customHeight="1">
      <c r="A14959" s="234"/>
      <c r="B14959" s="233"/>
      <c r="C14959" s="238"/>
      <c r="E14959" s="545"/>
      <c r="F14959" s="546"/>
      <c r="G14959" s="234"/>
      <c r="H14959" s="238"/>
      <c r="I14959" s="237"/>
    </row>
    <row r="14960" spans="1:9" s="232" customFormat="1" ht="17" customHeight="1">
      <c r="A14960" s="234"/>
      <c r="B14960" s="233"/>
      <c r="C14960" s="238"/>
      <c r="E14960" s="545"/>
      <c r="F14960" s="546"/>
      <c r="G14960" s="234"/>
      <c r="H14960" s="238"/>
      <c r="I14960" s="237"/>
    </row>
    <row r="14961" spans="1:9" s="232" customFormat="1" ht="17" customHeight="1">
      <c r="A14961" s="234"/>
      <c r="B14961" s="233"/>
      <c r="C14961" s="238"/>
      <c r="E14961" s="545"/>
      <c r="F14961" s="546"/>
      <c r="G14961" s="234"/>
      <c r="H14961" s="238"/>
      <c r="I14961" s="237"/>
    </row>
    <row r="14962" spans="1:9" s="232" customFormat="1" ht="17" customHeight="1">
      <c r="A14962" s="234"/>
      <c r="B14962" s="233"/>
      <c r="C14962" s="238"/>
      <c r="E14962" s="545"/>
      <c r="F14962" s="546"/>
      <c r="G14962" s="234"/>
      <c r="H14962" s="238"/>
      <c r="I14962" s="237"/>
    </row>
    <row r="14963" spans="1:9" s="232" customFormat="1" ht="17" customHeight="1">
      <c r="A14963" s="234"/>
      <c r="B14963" s="233"/>
      <c r="C14963" s="238"/>
      <c r="E14963" s="545"/>
      <c r="F14963" s="546"/>
      <c r="G14963" s="234"/>
      <c r="H14963" s="238"/>
      <c r="I14963" s="237"/>
    </row>
    <row r="14964" spans="1:9" s="232" customFormat="1" ht="17" customHeight="1">
      <c r="A14964" s="234"/>
      <c r="B14964" s="233"/>
      <c r="C14964" s="238"/>
      <c r="E14964" s="545"/>
      <c r="F14964" s="546"/>
      <c r="G14964" s="234"/>
      <c r="H14964" s="238"/>
      <c r="I14964" s="237"/>
    </row>
    <row r="14965" spans="1:9" s="232" customFormat="1" ht="17" customHeight="1">
      <c r="A14965" s="234"/>
      <c r="B14965" s="233"/>
      <c r="C14965" s="238"/>
      <c r="E14965" s="545"/>
      <c r="F14965" s="546"/>
      <c r="G14965" s="234"/>
      <c r="H14965" s="238"/>
      <c r="I14965" s="237"/>
    </row>
    <row r="14966" spans="1:9" s="232" customFormat="1" ht="17" customHeight="1">
      <c r="A14966" s="234"/>
      <c r="B14966" s="233"/>
      <c r="C14966" s="238"/>
      <c r="E14966" s="545"/>
      <c r="F14966" s="546"/>
      <c r="G14966" s="234"/>
      <c r="H14966" s="238"/>
      <c r="I14966" s="237"/>
    </row>
    <row r="14967" spans="1:9" s="232" customFormat="1" ht="17" customHeight="1">
      <c r="A14967" s="234"/>
      <c r="B14967" s="233"/>
      <c r="C14967" s="238"/>
      <c r="E14967" s="545"/>
      <c r="F14967" s="546"/>
      <c r="G14967" s="234"/>
      <c r="H14967" s="238"/>
      <c r="I14967" s="237"/>
    </row>
    <row r="14968" spans="1:9" s="232" customFormat="1" ht="17" customHeight="1">
      <c r="A14968" s="234"/>
      <c r="B14968" s="233"/>
      <c r="C14968" s="238"/>
      <c r="E14968" s="545"/>
      <c r="F14968" s="546"/>
      <c r="G14968" s="234"/>
      <c r="H14968" s="238"/>
      <c r="I14968" s="237"/>
    </row>
    <row r="14969" spans="1:9" s="232" customFormat="1" ht="17" customHeight="1">
      <c r="A14969" s="234"/>
      <c r="B14969" s="233"/>
      <c r="C14969" s="238"/>
      <c r="E14969" s="545"/>
      <c r="F14969" s="546"/>
      <c r="G14969" s="234"/>
      <c r="H14969" s="238"/>
      <c r="I14969" s="237"/>
    </row>
    <row r="14970" spans="1:9" s="232" customFormat="1" ht="17" customHeight="1">
      <c r="A14970" s="234"/>
      <c r="B14970" s="233"/>
      <c r="C14970" s="238"/>
      <c r="E14970" s="545"/>
      <c r="F14970" s="546"/>
      <c r="G14970" s="234"/>
      <c r="H14970" s="238"/>
      <c r="I14970" s="237"/>
    </row>
    <row r="14971" spans="1:9" s="232" customFormat="1" ht="17" customHeight="1">
      <c r="A14971" s="234"/>
      <c r="B14971" s="233"/>
      <c r="C14971" s="238"/>
      <c r="E14971" s="545"/>
      <c r="F14971" s="546"/>
      <c r="G14971" s="234"/>
      <c r="H14971" s="238"/>
      <c r="I14971" s="237"/>
    </row>
    <row r="14972" spans="1:9" s="232" customFormat="1" ht="17" customHeight="1">
      <c r="A14972" s="234"/>
      <c r="B14972" s="233"/>
      <c r="C14972" s="238"/>
      <c r="E14972" s="545"/>
      <c r="F14972" s="546"/>
      <c r="G14972" s="234"/>
      <c r="H14972" s="238"/>
      <c r="I14972" s="237"/>
    </row>
    <row r="14973" spans="1:9" s="232" customFormat="1" ht="17" customHeight="1">
      <c r="A14973" s="234"/>
      <c r="B14973" s="233"/>
      <c r="C14973" s="238"/>
      <c r="E14973" s="545"/>
      <c r="F14973" s="546"/>
      <c r="G14973" s="234"/>
      <c r="H14973" s="238"/>
      <c r="I14973" s="237"/>
    </row>
    <row r="14974" spans="1:9" s="232" customFormat="1" ht="17" customHeight="1">
      <c r="A14974" s="234"/>
      <c r="B14974" s="233"/>
      <c r="C14974" s="238"/>
      <c r="E14974" s="545"/>
      <c r="F14974" s="546"/>
      <c r="G14974" s="234"/>
      <c r="H14974" s="238"/>
      <c r="I14974" s="237"/>
    </row>
    <row r="14975" spans="1:9" s="232" customFormat="1" ht="17" customHeight="1">
      <c r="A14975" s="234"/>
      <c r="B14975" s="233"/>
      <c r="C14975" s="238"/>
      <c r="E14975" s="545"/>
      <c r="F14975" s="546"/>
      <c r="G14975" s="234"/>
      <c r="H14975" s="238"/>
      <c r="I14975" s="237"/>
    </row>
    <row r="14976" spans="1:9" s="232" customFormat="1" ht="17" customHeight="1">
      <c r="A14976" s="234"/>
      <c r="B14976" s="233"/>
      <c r="C14976" s="238"/>
      <c r="E14976" s="545"/>
      <c r="F14976" s="546"/>
      <c r="G14976" s="234"/>
      <c r="H14976" s="238"/>
      <c r="I14976" s="237"/>
    </row>
    <row r="14977" spans="1:9" s="232" customFormat="1" ht="17" customHeight="1">
      <c r="A14977" s="234"/>
      <c r="B14977" s="233"/>
      <c r="C14977" s="238"/>
      <c r="E14977" s="545"/>
      <c r="F14977" s="546"/>
      <c r="G14977" s="234"/>
      <c r="H14977" s="238"/>
      <c r="I14977" s="237"/>
    </row>
    <row r="14978" spans="1:9" s="232" customFormat="1" ht="17" customHeight="1">
      <c r="A14978" s="234"/>
      <c r="B14978" s="233"/>
      <c r="C14978" s="238"/>
      <c r="E14978" s="545"/>
      <c r="F14978" s="546"/>
      <c r="G14978" s="234"/>
      <c r="H14978" s="238"/>
      <c r="I14978" s="237"/>
    </row>
    <row r="14979" spans="1:9" s="232" customFormat="1" ht="17" customHeight="1">
      <c r="A14979" s="234"/>
      <c r="B14979" s="233"/>
      <c r="C14979" s="238"/>
      <c r="E14979" s="545"/>
      <c r="F14979" s="546"/>
      <c r="G14979" s="234"/>
      <c r="H14979" s="238"/>
      <c r="I14979" s="237"/>
    </row>
    <row r="14980" spans="1:9" s="232" customFormat="1" ht="17" customHeight="1">
      <c r="A14980" s="234"/>
      <c r="B14980" s="233"/>
      <c r="C14980" s="238"/>
      <c r="E14980" s="545"/>
      <c r="F14980" s="546"/>
      <c r="G14980" s="234"/>
      <c r="H14980" s="238"/>
      <c r="I14980" s="237"/>
    </row>
    <row r="14981" spans="1:9" s="232" customFormat="1" ht="17" customHeight="1">
      <c r="A14981" s="234"/>
      <c r="B14981" s="233"/>
      <c r="C14981" s="238"/>
      <c r="E14981" s="545"/>
      <c r="F14981" s="546"/>
      <c r="G14981" s="234"/>
      <c r="H14981" s="238"/>
      <c r="I14981" s="237"/>
    </row>
    <row r="14982" spans="1:9" s="232" customFormat="1" ht="17" customHeight="1">
      <c r="A14982" s="234"/>
      <c r="B14982" s="233"/>
      <c r="C14982" s="238"/>
      <c r="E14982" s="545"/>
      <c r="F14982" s="546"/>
      <c r="G14982" s="234"/>
      <c r="H14982" s="238"/>
      <c r="I14982" s="237"/>
    </row>
    <row r="14983" spans="1:9" s="232" customFormat="1" ht="17" customHeight="1">
      <c r="A14983" s="234"/>
      <c r="B14983" s="233"/>
      <c r="C14983" s="238"/>
      <c r="E14983" s="545"/>
      <c r="F14983" s="546"/>
      <c r="G14983" s="234"/>
      <c r="H14983" s="238"/>
      <c r="I14983" s="237"/>
    </row>
    <row r="14984" spans="1:9" s="232" customFormat="1" ht="17" customHeight="1">
      <c r="A14984" s="234"/>
      <c r="B14984" s="233"/>
      <c r="C14984" s="238"/>
      <c r="E14984" s="545"/>
      <c r="F14984" s="546"/>
      <c r="G14984" s="234"/>
      <c r="H14984" s="238"/>
      <c r="I14984" s="237"/>
    </row>
    <row r="14985" spans="1:9" s="232" customFormat="1" ht="17" customHeight="1">
      <c r="A14985" s="234"/>
      <c r="B14985" s="233"/>
      <c r="C14985" s="238"/>
      <c r="E14985" s="545"/>
      <c r="F14985" s="546"/>
      <c r="G14985" s="234"/>
      <c r="H14985" s="238"/>
      <c r="I14985" s="237"/>
    </row>
    <row r="14986" spans="1:9" s="232" customFormat="1" ht="17" customHeight="1">
      <c r="A14986" s="234"/>
      <c r="B14986" s="233"/>
      <c r="C14986" s="238"/>
      <c r="E14986" s="545"/>
      <c r="F14986" s="546"/>
      <c r="G14986" s="234"/>
      <c r="H14986" s="238"/>
      <c r="I14986" s="237"/>
    </row>
    <row r="14987" spans="1:9" s="232" customFormat="1" ht="17" customHeight="1">
      <c r="A14987" s="234"/>
      <c r="B14987" s="233"/>
      <c r="C14987" s="238"/>
      <c r="E14987" s="545"/>
      <c r="F14987" s="546"/>
      <c r="G14987" s="234"/>
      <c r="H14987" s="238"/>
      <c r="I14987" s="237"/>
    </row>
    <row r="14988" spans="1:9" s="232" customFormat="1" ht="17" customHeight="1">
      <c r="A14988" s="234"/>
      <c r="B14988" s="233"/>
      <c r="C14988" s="238"/>
      <c r="E14988" s="545"/>
      <c r="F14988" s="546"/>
      <c r="G14988" s="234"/>
      <c r="H14988" s="238"/>
      <c r="I14988" s="237"/>
    </row>
    <row r="14989" spans="1:9" s="232" customFormat="1" ht="17" customHeight="1">
      <c r="A14989" s="234"/>
      <c r="B14989" s="233"/>
      <c r="C14989" s="238"/>
      <c r="E14989" s="545"/>
      <c r="F14989" s="546"/>
      <c r="G14989" s="234"/>
      <c r="H14989" s="238"/>
      <c r="I14989" s="237"/>
    </row>
    <row r="14990" spans="1:9" s="232" customFormat="1" ht="17" customHeight="1">
      <c r="A14990" s="234"/>
      <c r="B14990" s="233"/>
      <c r="C14990" s="238"/>
      <c r="E14990" s="545"/>
      <c r="F14990" s="546"/>
      <c r="G14990" s="234"/>
      <c r="H14990" s="238"/>
      <c r="I14990" s="237"/>
    </row>
    <row r="14991" spans="1:9" s="232" customFormat="1" ht="17" customHeight="1">
      <c r="A14991" s="234"/>
      <c r="B14991" s="233"/>
      <c r="C14991" s="238"/>
      <c r="E14991" s="545"/>
      <c r="F14991" s="546"/>
      <c r="G14991" s="234"/>
      <c r="H14991" s="238"/>
      <c r="I14991" s="237"/>
    </row>
    <row r="14992" spans="1:9" s="232" customFormat="1" ht="17" customHeight="1">
      <c r="A14992" s="234"/>
      <c r="B14992" s="233"/>
      <c r="C14992" s="238"/>
      <c r="E14992" s="545"/>
      <c r="F14992" s="546"/>
      <c r="G14992" s="234"/>
      <c r="H14992" s="238"/>
      <c r="I14992" s="237"/>
    </row>
    <row r="14993" spans="1:9" s="232" customFormat="1" ht="17" customHeight="1">
      <c r="A14993" s="234"/>
      <c r="B14993" s="233"/>
      <c r="C14993" s="238"/>
      <c r="E14993" s="545"/>
      <c r="F14993" s="546"/>
      <c r="G14993" s="234"/>
      <c r="H14993" s="238"/>
      <c r="I14993" s="237"/>
    </row>
    <row r="14994" spans="1:9" s="232" customFormat="1" ht="17" customHeight="1">
      <c r="A14994" s="234"/>
      <c r="B14994" s="233"/>
      <c r="C14994" s="238"/>
      <c r="E14994" s="545"/>
      <c r="F14994" s="546"/>
      <c r="G14994" s="234"/>
      <c r="H14994" s="238"/>
      <c r="I14994" s="237"/>
    </row>
    <row r="14995" spans="1:9" s="232" customFormat="1" ht="17" customHeight="1">
      <c r="A14995" s="234"/>
      <c r="B14995" s="233"/>
      <c r="C14995" s="238"/>
      <c r="E14995" s="545"/>
      <c r="F14995" s="546"/>
      <c r="G14995" s="234"/>
      <c r="H14995" s="238"/>
      <c r="I14995" s="237"/>
    </row>
    <row r="14996" spans="1:9" s="232" customFormat="1" ht="17" customHeight="1">
      <c r="A14996" s="234"/>
      <c r="B14996" s="233"/>
      <c r="C14996" s="238"/>
      <c r="E14996" s="545"/>
      <c r="F14996" s="546"/>
      <c r="G14996" s="234"/>
      <c r="H14996" s="238"/>
      <c r="I14996" s="237"/>
    </row>
    <row r="14997" spans="1:9" s="232" customFormat="1" ht="17" customHeight="1">
      <c r="A14997" s="234"/>
      <c r="B14997" s="233"/>
      <c r="C14997" s="238"/>
      <c r="E14997" s="545"/>
      <c r="F14997" s="546"/>
      <c r="G14997" s="234"/>
      <c r="H14997" s="238"/>
      <c r="I14997" s="237"/>
    </row>
    <row r="14998" spans="1:9" s="232" customFormat="1" ht="17" customHeight="1">
      <c r="A14998" s="234"/>
      <c r="B14998" s="233"/>
      <c r="C14998" s="238"/>
      <c r="E14998" s="545"/>
      <c r="F14998" s="546"/>
      <c r="G14998" s="234"/>
      <c r="H14998" s="238"/>
      <c r="I14998" s="237"/>
    </row>
    <row r="14999" spans="1:9" s="232" customFormat="1" ht="17" customHeight="1">
      <c r="A14999" s="234"/>
      <c r="B14999" s="233"/>
      <c r="C14999" s="238"/>
      <c r="E14999" s="545"/>
      <c r="F14999" s="546"/>
      <c r="G14999" s="234"/>
      <c r="H14999" s="238"/>
      <c r="I14999" s="237"/>
    </row>
    <row r="15000" spans="1:9" s="232" customFormat="1" ht="17" customHeight="1">
      <c r="A15000" s="234"/>
      <c r="B15000" s="233"/>
      <c r="C15000" s="238"/>
      <c r="E15000" s="545"/>
      <c r="F15000" s="546"/>
      <c r="G15000" s="234"/>
      <c r="H15000" s="238"/>
      <c r="I15000" s="237"/>
    </row>
    <row r="15001" spans="1:9" s="232" customFormat="1" ht="17" customHeight="1">
      <c r="A15001" s="234"/>
      <c r="B15001" s="233"/>
      <c r="C15001" s="238"/>
      <c r="E15001" s="545"/>
      <c r="F15001" s="546"/>
      <c r="G15001" s="234"/>
      <c r="H15001" s="238"/>
      <c r="I15001" s="237"/>
    </row>
    <row r="15002" spans="1:9" s="232" customFormat="1" ht="17" customHeight="1">
      <c r="A15002" s="234"/>
      <c r="B15002" s="233"/>
      <c r="C15002" s="238"/>
      <c r="E15002" s="545"/>
      <c r="F15002" s="546"/>
      <c r="G15002" s="234"/>
      <c r="H15002" s="238"/>
      <c r="I15002" s="237"/>
    </row>
    <row r="15003" spans="1:9" s="232" customFormat="1" ht="17" customHeight="1">
      <c r="A15003" s="234"/>
      <c r="B15003" s="233"/>
      <c r="C15003" s="238"/>
      <c r="E15003" s="545"/>
      <c r="F15003" s="546"/>
      <c r="G15003" s="234"/>
      <c r="H15003" s="238"/>
      <c r="I15003" s="237"/>
    </row>
    <row r="15004" spans="1:9" s="232" customFormat="1" ht="17" customHeight="1">
      <c r="A15004" s="234"/>
      <c r="B15004" s="233"/>
      <c r="C15004" s="238"/>
      <c r="E15004" s="545"/>
      <c r="F15004" s="546"/>
      <c r="G15004" s="234"/>
      <c r="H15004" s="238"/>
      <c r="I15004" s="237"/>
    </row>
    <row r="15005" spans="1:9" s="232" customFormat="1" ht="17" customHeight="1">
      <c r="A15005" s="234"/>
      <c r="B15005" s="233"/>
      <c r="C15005" s="238"/>
      <c r="E15005" s="545"/>
      <c r="F15005" s="546"/>
      <c r="G15005" s="234"/>
      <c r="H15005" s="238"/>
      <c r="I15005" s="237"/>
    </row>
    <row r="15006" spans="1:9" s="232" customFormat="1" ht="17" customHeight="1">
      <c r="A15006" s="234"/>
      <c r="B15006" s="233"/>
      <c r="C15006" s="238"/>
      <c r="E15006" s="545"/>
      <c r="F15006" s="546"/>
      <c r="G15006" s="234"/>
      <c r="H15006" s="238"/>
      <c r="I15006" s="237"/>
    </row>
    <row r="15007" spans="1:9" s="232" customFormat="1" ht="17" customHeight="1">
      <c r="A15007" s="234"/>
      <c r="B15007" s="233"/>
      <c r="C15007" s="238"/>
      <c r="E15007" s="545"/>
      <c r="F15007" s="546"/>
      <c r="G15007" s="234"/>
      <c r="H15007" s="238"/>
      <c r="I15007" s="237"/>
    </row>
    <row r="15008" spans="1:9" s="232" customFormat="1" ht="17" customHeight="1">
      <c r="A15008" s="234"/>
      <c r="B15008" s="233"/>
      <c r="C15008" s="238"/>
      <c r="E15008" s="545"/>
      <c r="F15008" s="546"/>
      <c r="G15008" s="234"/>
      <c r="H15008" s="238"/>
      <c r="I15008" s="237"/>
    </row>
    <row r="15009" spans="1:9" s="232" customFormat="1" ht="17" customHeight="1">
      <c r="A15009" s="234"/>
      <c r="B15009" s="233"/>
      <c r="C15009" s="238"/>
      <c r="E15009" s="545"/>
      <c r="F15009" s="546"/>
      <c r="G15009" s="234"/>
      <c r="H15009" s="238"/>
      <c r="I15009" s="237"/>
    </row>
    <row r="15010" spans="1:9" s="232" customFormat="1" ht="17" customHeight="1">
      <c r="A15010" s="234"/>
      <c r="B15010" s="233"/>
      <c r="C15010" s="238"/>
      <c r="E15010" s="545"/>
      <c r="F15010" s="546"/>
      <c r="G15010" s="234"/>
      <c r="H15010" s="238"/>
      <c r="I15010" s="237"/>
    </row>
    <row r="15011" spans="1:9" s="232" customFormat="1" ht="17" customHeight="1">
      <c r="A15011" s="234"/>
      <c r="B15011" s="233"/>
      <c r="C15011" s="238"/>
      <c r="E15011" s="545"/>
      <c r="F15011" s="546"/>
      <c r="G15011" s="234"/>
      <c r="H15011" s="238"/>
      <c r="I15011" s="237"/>
    </row>
    <row r="15012" spans="1:9" s="232" customFormat="1" ht="17" customHeight="1">
      <c r="A15012" s="234"/>
      <c r="B15012" s="233"/>
      <c r="C15012" s="238"/>
      <c r="E15012" s="545"/>
      <c r="F15012" s="546"/>
      <c r="G15012" s="234"/>
      <c r="H15012" s="238"/>
      <c r="I15012" s="237"/>
    </row>
    <row r="15013" spans="1:9" s="232" customFormat="1" ht="17" customHeight="1">
      <c r="A15013" s="234"/>
      <c r="B15013" s="233"/>
      <c r="C15013" s="238"/>
      <c r="E15013" s="545"/>
      <c r="F15013" s="546"/>
      <c r="G15013" s="234"/>
      <c r="H15013" s="238"/>
      <c r="I15013" s="237"/>
    </row>
    <row r="15014" spans="1:9" s="232" customFormat="1" ht="17" customHeight="1">
      <c r="A15014" s="234"/>
      <c r="B15014" s="233"/>
      <c r="C15014" s="238"/>
      <c r="E15014" s="545"/>
      <c r="F15014" s="546"/>
      <c r="G15014" s="234"/>
      <c r="H15014" s="238"/>
      <c r="I15014" s="237"/>
    </row>
    <row r="15015" spans="1:9" s="232" customFormat="1" ht="17" customHeight="1">
      <c r="A15015" s="234"/>
      <c r="B15015" s="233"/>
      <c r="C15015" s="238"/>
      <c r="E15015" s="545"/>
      <c r="F15015" s="546"/>
      <c r="G15015" s="234"/>
      <c r="H15015" s="238"/>
      <c r="I15015" s="237"/>
    </row>
    <row r="15016" spans="1:9" s="232" customFormat="1" ht="17" customHeight="1">
      <c r="A15016" s="234"/>
      <c r="B15016" s="233"/>
      <c r="C15016" s="238"/>
      <c r="E15016" s="545"/>
      <c r="F15016" s="546"/>
      <c r="G15016" s="234"/>
      <c r="H15016" s="238"/>
      <c r="I15016" s="237"/>
    </row>
    <row r="15017" spans="1:9" s="232" customFormat="1" ht="17" customHeight="1">
      <c r="A15017" s="234"/>
      <c r="B15017" s="233"/>
      <c r="C15017" s="238"/>
      <c r="E15017" s="545"/>
      <c r="F15017" s="546"/>
      <c r="G15017" s="234"/>
      <c r="H15017" s="238"/>
      <c r="I15017" s="237"/>
    </row>
    <row r="15018" spans="1:9" s="232" customFormat="1" ht="17" customHeight="1">
      <c r="A15018" s="234"/>
      <c r="B15018" s="233"/>
      <c r="C15018" s="238"/>
      <c r="E15018" s="545"/>
      <c r="F15018" s="546"/>
      <c r="G15018" s="234"/>
      <c r="H15018" s="238"/>
      <c r="I15018" s="237"/>
    </row>
    <row r="15019" spans="1:9" s="232" customFormat="1" ht="17" customHeight="1">
      <c r="A15019" s="234"/>
      <c r="B15019" s="233"/>
      <c r="C15019" s="238"/>
      <c r="E15019" s="545"/>
      <c r="F15019" s="546"/>
      <c r="G15019" s="234"/>
      <c r="H15019" s="238"/>
      <c r="I15019" s="237"/>
    </row>
    <row r="15020" spans="1:9" s="232" customFormat="1" ht="17" customHeight="1">
      <c r="A15020" s="234"/>
      <c r="B15020" s="233"/>
      <c r="C15020" s="238"/>
      <c r="E15020" s="545"/>
      <c r="F15020" s="546"/>
      <c r="G15020" s="234"/>
      <c r="H15020" s="238"/>
      <c r="I15020" s="237"/>
    </row>
    <row r="15021" spans="1:9" s="232" customFormat="1" ht="17" customHeight="1">
      <c r="A15021" s="234"/>
      <c r="B15021" s="233"/>
      <c r="C15021" s="238"/>
      <c r="E15021" s="545"/>
      <c r="F15021" s="546"/>
      <c r="G15021" s="234"/>
      <c r="H15021" s="238"/>
      <c r="I15021" s="237"/>
    </row>
    <row r="15022" spans="1:9" s="232" customFormat="1" ht="17" customHeight="1">
      <c r="A15022" s="234"/>
      <c r="B15022" s="233"/>
      <c r="C15022" s="238"/>
      <c r="E15022" s="545"/>
      <c r="F15022" s="546"/>
      <c r="G15022" s="234"/>
      <c r="H15022" s="238"/>
      <c r="I15022" s="237"/>
    </row>
    <row r="15023" spans="1:9" s="232" customFormat="1" ht="17" customHeight="1">
      <c r="A15023" s="234"/>
      <c r="B15023" s="233"/>
      <c r="C15023" s="238"/>
      <c r="E15023" s="545"/>
      <c r="F15023" s="546"/>
      <c r="G15023" s="234"/>
      <c r="H15023" s="238"/>
      <c r="I15023" s="237"/>
    </row>
    <row r="15024" spans="1:9" s="232" customFormat="1" ht="17" customHeight="1">
      <c r="A15024" s="234"/>
      <c r="B15024" s="233"/>
      <c r="C15024" s="238"/>
      <c r="E15024" s="545"/>
      <c r="F15024" s="546"/>
      <c r="G15024" s="234"/>
      <c r="H15024" s="238"/>
      <c r="I15024" s="237"/>
    </row>
    <row r="15025" spans="1:9" s="232" customFormat="1" ht="17" customHeight="1">
      <c r="A15025" s="234"/>
      <c r="B15025" s="233"/>
      <c r="C15025" s="238"/>
      <c r="E15025" s="545"/>
      <c r="F15025" s="546"/>
      <c r="G15025" s="234"/>
      <c r="H15025" s="238"/>
      <c r="I15025" s="237"/>
    </row>
    <row r="15026" spans="1:9" s="232" customFormat="1" ht="17" customHeight="1">
      <c r="A15026" s="234"/>
      <c r="B15026" s="233"/>
      <c r="C15026" s="238"/>
      <c r="E15026" s="545"/>
      <c r="F15026" s="546"/>
      <c r="G15026" s="234"/>
      <c r="H15026" s="238"/>
      <c r="I15026" s="237"/>
    </row>
    <row r="15027" spans="1:9" s="232" customFormat="1" ht="17" customHeight="1">
      <c r="A15027" s="234"/>
      <c r="B15027" s="233"/>
      <c r="C15027" s="238"/>
      <c r="E15027" s="545"/>
      <c r="F15027" s="546"/>
      <c r="G15027" s="234"/>
      <c r="H15027" s="238"/>
      <c r="I15027" s="237"/>
    </row>
    <row r="15028" spans="1:9" s="232" customFormat="1" ht="17" customHeight="1">
      <c r="A15028" s="234"/>
      <c r="B15028" s="233"/>
      <c r="C15028" s="238"/>
      <c r="E15028" s="545"/>
      <c r="F15028" s="546"/>
      <c r="G15028" s="234"/>
      <c r="H15028" s="238"/>
      <c r="I15028" s="237"/>
    </row>
    <row r="15029" spans="1:9" s="232" customFormat="1" ht="17" customHeight="1">
      <c r="A15029" s="234"/>
      <c r="B15029" s="233"/>
      <c r="C15029" s="238"/>
      <c r="E15029" s="545"/>
      <c r="F15029" s="546"/>
      <c r="G15029" s="234"/>
      <c r="H15029" s="238"/>
      <c r="I15029" s="237"/>
    </row>
    <row r="15030" spans="1:9" s="232" customFormat="1" ht="17" customHeight="1">
      <c r="A15030" s="234"/>
      <c r="B15030" s="233"/>
      <c r="C15030" s="238"/>
      <c r="E15030" s="545"/>
      <c r="F15030" s="546"/>
      <c r="G15030" s="234"/>
      <c r="H15030" s="238"/>
      <c r="I15030" s="237"/>
    </row>
    <row r="15031" spans="1:9" s="232" customFormat="1" ht="17" customHeight="1">
      <c r="A15031" s="234"/>
      <c r="B15031" s="233"/>
      <c r="C15031" s="238"/>
      <c r="E15031" s="545"/>
      <c r="F15031" s="546"/>
      <c r="G15031" s="234"/>
      <c r="H15031" s="238"/>
      <c r="I15031" s="237"/>
    </row>
    <row r="15032" spans="1:9" s="232" customFormat="1" ht="17" customHeight="1">
      <c r="A15032" s="234"/>
      <c r="B15032" s="233"/>
      <c r="C15032" s="238"/>
      <c r="E15032" s="545"/>
      <c r="F15032" s="546"/>
      <c r="G15032" s="234"/>
      <c r="H15032" s="238"/>
      <c r="I15032" s="237"/>
    </row>
    <row r="15033" spans="1:9" s="232" customFormat="1" ht="17" customHeight="1">
      <c r="A15033" s="234"/>
      <c r="B15033" s="233"/>
      <c r="C15033" s="238"/>
      <c r="E15033" s="545"/>
      <c r="F15033" s="546"/>
      <c r="G15033" s="234"/>
      <c r="H15033" s="238"/>
      <c r="I15033" s="237"/>
    </row>
    <row r="15034" spans="1:9" s="232" customFormat="1" ht="17" customHeight="1">
      <c r="A15034" s="234"/>
      <c r="B15034" s="233"/>
      <c r="C15034" s="238"/>
      <c r="E15034" s="545"/>
      <c r="F15034" s="546"/>
      <c r="G15034" s="234"/>
      <c r="H15034" s="238"/>
      <c r="I15034" s="237"/>
    </row>
    <row r="15035" spans="1:9" s="232" customFormat="1" ht="17" customHeight="1">
      <c r="A15035" s="234"/>
      <c r="B15035" s="233"/>
      <c r="C15035" s="238"/>
      <c r="E15035" s="545"/>
      <c r="F15035" s="546"/>
      <c r="G15035" s="234"/>
      <c r="H15035" s="238"/>
      <c r="I15035" s="237"/>
    </row>
    <row r="15036" spans="1:9" s="232" customFormat="1" ht="17" customHeight="1">
      <c r="A15036" s="234"/>
      <c r="B15036" s="233"/>
      <c r="C15036" s="238"/>
      <c r="E15036" s="545"/>
      <c r="F15036" s="546"/>
      <c r="G15036" s="234"/>
      <c r="H15036" s="238"/>
      <c r="I15036" s="237"/>
    </row>
    <row r="15037" spans="1:9" s="232" customFormat="1" ht="17" customHeight="1">
      <c r="A15037" s="234"/>
      <c r="B15037" s="233"/>
      <c r="C15037" s="238"/>
      <c r="E15037" s="545"/>
      <c r="F15037" s="546"/>
      <c r="G15037" s="234"/>
      <c r="H15037" s="238"/>
      <c r="I15037" s="237"/>
    </row>
    <row r="15038" spans="1:9" s="232" customFormat="1" ht="17" customHeight="1">
      <c r="A15038" s="234"/>
      <c r="B15038" s="233"/>
      <c r="C15038" s="238"/>
      <c r="E15038" s="545"/>
      <c r="F15038" s="546"/>
      <c r="G15038" s="234"/>
      <c r="H15038" s="238"/>
      <c r="I15038" s="237"/>
    </row>
    <row r="15039" spans="1:9" s="232" customFormat="1" ht="17" customHeight="1">
      <c r="A15039" s="234"/>
      <c r="B15039" s="233"/>
      <c r="C15039" s="238"/>
      <c r="E15039" s="545"/>
      <c r="F15039" s="546"/>
      <c r="G15039" s="234"/>
      <c r="H15039" s="238"/>
      <c r="I15039" s="237"/>
    </row>
    <row r="15040" spans="1:9" s="232" customFormat="1" ht="17" customHeight="1">
      <c r="A15040" s="234"/>
      <c r="B15040" s="233"/>
      <c r="C15040" s="238"/>
      <c r="E15040" s="545"/>
      <c r="F15040" s="546"/>
      <c r="G15040" s="234"/>
      <c r="H15040" s="238"/>
      <c r="I15040" s="237"/>
    </row>
    <row r="15041" spans="1:9" s="232" customFormat="1" ht="17" customHeight="1">
      <c r="A15041" s="234"/>
      <c r="B15041" s="233"/>
      <c r="C15041" s="238"/>
      <c r="E15041" s="545"/>
      <c r="F15041" s="546"/>
      <c r="G15041" s="234"/>
      <c r="H15041" s="238"/>
      <c r="I15041" s="237"/>
    </row>
    <row r="15042" spans="1:9" s="232" customFormat="1" ht="17" customHeight="1">
      <c r="A15042" s="234"/>
      <c r="B15042" s="233"/>
      <c r="C15042" s="238"/>
      <c r="E15042" s="545"/>
      <c r="F15042" s="546"/>
      <c r="G15042" s="234"/>
      <c r="H15042" s="238"/>
      <c r="I15042" s="237"/>
    </row>
    <row r="15043" spans="1:9" s="232" customFormat="1" ht="17" customHeight="1">
      <c r="A15043" s="234"/>
      <c r="B15043" s="233"/>
      <c r="C15043" s="238"/>
      <c r="E15043" s="545"/>
      <c r="F15043" s="546"/>
      <c r="G15043" s="234"/>
      <c r="H15043" s="238"/>
      <c r="I15043" s="237"/>
    </row>
    <row r="15044" spans="1:9" s="232" customFormat="1" ht="17" customHeight="1">
      <c r="A15044" s="234"/>
      <c r="B15044" s="233"/>
      <c r="C15044" s="238"/>
      <c r="E15044" s="545"/>
      <c r="F15044" s="546"/>
      <c r="G15044" s="234"/>
      <c r="H15044" s="238"/>
      <c r="I15044" s="237"/>
    </row>
    <row r="15045" spans="1:9" s="232" customFormat="1" ht="17" customHeight="1">
      <c r="A15045" s="234"/>
      <c r="B15045" s="233"/>
      <c r="C15045" s="238"/>
      <c r="E15045" s="545"/>
      <c r="F15045" s="546"/>
      <c r="G15045" s="234"/>
      <c r="H15045" s="238"/>
      <c r="I15045" s="237"/>
    </row>
    <row r="15046" spans="1:9" s="232" customFormat="1" ht="17" customHeight="1">
      <c r="A15046" s="234"/>
      <c r="B15046" s="233"/>
      <c r="C15046" s="238"/>
      <c r="E15046" s="545"/>
      <c r="F15046" s="546"/>
      <c r="G15046" s="234"/>
      <c r="H15046" s="238"/>
      <c r="I15046" s="237"/>
    </row>
    <row r="15047" spans="1:9" s="232" customFormat="1" ht="17" customHeight="1">
      <c r="A15047" s="234"/>
      <c r="B15047" s="233"/>
      <c r="C15047" s="238"/>
      <c r="E15047" s="545"/>
      <c r="F15047" s="546"/>
      <c r="G15047" s="234"/>
      <c r="H15047" s="238"/>
      <c r="I15047" s="237"/>
    </row>
    <row r="15048" spans="1:9" s="232" customFormat="1" ht="17" customHeight="1">
      <c r="A15048" s="234"/>
      <c r="B15048" s="233"/>
      <c r="C15048" s="238"/>
      <c r="E15048" s="545"/>
      <c r="F15048" s="546"/>
      <c r="G15048" s="234"/>
      <c r="H15048" s="238"/>
      <c r="I15048" s="237"/>
    </row>
    <row r="15049" spans="1:9" s="232" customFormat="1" ht="17" customHeight="1">
      <c r="A15049" s="234"/>
      <c r="B15049" s="233"/>
      <c r="C15049" s="238"/>
      <c r="E15049" s="545"/>
      <c r="F15049" s="546"/>
      <c r="G15049" s="234"/>
      <c r="H15049" s="238"/>
      <c r="I15049" s="237"/>
    </row>
    <row r="15050" spans="1:9" s="232" customFormat="1" ht="17" customHeight="1">
      <c r="A15050" s="234"/>
      <c r="B15050" s="233"/>
      <c r="C15050" s="238"/>
      <c r="E15050" s="545"/>
      <c r="F15050" s="546"/>
      <c r="G15050" s="234"/>
      <c r="H15050" s="238"/>
      <c r="I15050" s="237"/>
    </row>
    <row r="15051" spans="1:9" s="232" customFormat="1" ht="17" customHeight="1">
      <c r="A15051" s="234"/>
      <c r="B15051" s="233"/>
      <c r="C15051" s="238"/>
      <c r="E15051" s="545"/>
      <c r="F15051" s="546"/>
      <c r="G15051" s="234"/>
      <c r="H15051" s="238"/>
      <c r="I15051" s="237"/>
    </row>
    <row r="15052" spans="1:9" s="232" customFormat="1" ht="17" customHeight="1">
      <c r="A15052" s="234"/>
      <c r="B15052" s="233"/>
      <c r="C15052" s="238"/>
      <c r="E15052" s="545"/>
      <c r="F15052" s="546"/>
      <c r="G15052" s="234"/>
      <c r="H15052" s="238"/>
      <c r="I15052" s="237"/>
    </row>
    <row r="15053" spans="1:9" s="232" customFormat="1" ht="17" customHeight="1">
      <c r="A15053" s="234"/>
      <c r="B15053" s="233"/>
      <c r="C15053" s="238"/>
      <c r="E15053" s="545"/>
      <c r="F15053" s="546"/>
      <c r="G15053" s="234"/>
      <c r="H15053" s="238"/>
      <c r="I15053" s="237"/>
    </row>
    <row r="15054" spans="1:9" s="232" customFormat="1" ht="17" customHeight="1">
      <c r="A15054" s="234"/>
      <c r="B15054" s="233"/>
      <c r="C15054" s="238"/>
      <c r="E15054" s="545"/>
      <c r="F15054" s="546"/>
      <c r="G15054" s="234"/>
      <c r="H15054" s="238"/>
      <c r="I15054" s="237"/>
    </row>
    <row r="15055" spans="1:9" s="232" customFormat="1" ht="17" customHeight="1">
      <c r="A15055" s="234"/>
      <c r="B15055" s="233"/>
      <c r="C15055" s="238"/>
      <c r="E15055" s="545"/>
      <c r="F15055" s="546"/>
      <c r="G15055" s="234"/>
      <c r="H15055" s="238"/>
      <c r="I15055" s="237"/>
    </row>
    <row r="15056" spans="1:9" s="232" customFormat="1" ht="17" customHeight="1">
      <c r="A15056" s="234"/>
      <c r="B15056" s="233"/>
      <c r="C15056" s="238"/>
      <c r="E15056" s="545"/>
      <c r="F15056" s="546"/>
      <c r="G15056" s="234"/>
      <c r="H15056" s="238"/>
      <c r="I15056" s="237"/>
    </row>
    <row r="15057" spans="1:9" s="232" customFormat="1" ht="17" customHeight="1">
      <c r="A15057" s="234"/>
      <c r="B15057" s="233"/>
      <c r="C15057" s="238"/>
      <c r="E15057" s="545"/>
      <c r="F15057" s="546"/>
      <c r="G15057" s="234"/>
      <c r="H15057" s="238"/>
      <c r="I15057" s="237"/>
    </row>
    <row r="15058" spans="1:9" s="232" customFormat="1" ht="17" customHeight="1">
      <c r="A15058" s="234"/>
      <c r="B15058" s="233"/>
      <c r="C15058" s="238"/>
      <c r="E15058" s="545"/>
      <c r="F15058" s="546"/>
      <c r="G15058" s="234"/>
      <c r="H15058" s="238"/>
      <c r="I15058" s="237"/>
    </row>
    <row r="15059" spans="1:9" s="232" customFormat="1" ht="17" customHeight="1">
      <c r="A15059" s="234"/>
      <c r="B15059" s="233"/>
      <c r="C15059" s="238"/>
      <c r="E15059" s="545"/>
      <c r="F15059" s="546"/>
      <c r="G15059" s="234"/>
      <c r="H15059" s="238"/>
      <c r="I15059" s="237"/>
    </row>
    <row r="15060" spans="1:9" s="232" customFormat="1" ht="17" customHeight="1">
      <c r="A15060" s="234"/>
      <c r="B15060" s="233"/>
      <c r="C15060" s="238"/>
      <c r="E15060" s="545"/>
      <c r="F15060" s="546"/>
      <c r="G15060" s="234"/>
      <c r="H15060" s="238"/>
      <c r="I15060" s="237"/>
    </row>
    <row r="15061" spans="1:9" s="232" customFormat="1" ht="17" customHeight="1">
      <c r="A15061" s="234"/>
      <c r="B15061" s="233"/>
      <c r="C15061" s="238"/>
      <c r="E15061" s="545"/>
      <c r="F15061" s="546"/>
      <c r="G15061" s="234"/>
      <c r="H15061" s="238"/>
      <c r="I15061" s="237"/>
    </row>
    <row r="15062" spans="1:9" s="232" customFormat="1" ht="17" customHeight="1">
      <c r="A15062" s="234"/>
      <c r="B15062" s="233"/>
      <c r="C15062" s="238"/>
      <c r="E15062" s="545"/>
      <c r="F15062" s="546"/>
      <c r="G15062" s="234"/>
      <c r="H15062" s="238"/>
      <c r="I15062" s="237"/>
    </row>
    <row r="15063" spans="1:9" s="232" customFormat="1" ht="17" customHeight="1">
      <c r="A15063" s="234"/>
      <c r="B15063" s="233"/>
      <c r="C15063" s="238"/>
      <c r="E15063" s="545"/>
      <c r="F15063" s="546"/>
      <c r="G15063" s="234"/>
      <c r="H15063" s="238"/>
      <c r="I15063" s="237"/>
    </row>
    <row r="15064" spans="1:9" s="232" customFormat="1" ht="17" customHeight="1">
      <c r="A15064" s="234"/>
      <c r="B15064" s="233"/>
      <c r="C15064" s="238"/>
      <c r="E15064" s="545"/>
      <c r="F15064" s="546"/>
      <c r="G15064" s="234"/>
      <c r="H15064" s="238"/>
      <c r="I15064" s="237"/>
    </row>
    <row r="15065" spans="1:9" s="232" customFormat="1" ht="17" customHeight="1">
      <c r="A15065" s="234"/>
      <c r="B15065" s="233"/>
      <c r="C15065" s="238"/>
      <c r="E15065" s="545"/>
      <c r="F15065" s="546"/>
      <c r="G15065" s="234"/>
      <c r="H15065" s="238"/>
      <c r="I15065" s="237"/>
    </row>
    <row r="15066" spans="1:9" s="232" customFormat="1" ht="17" customHeight="1">
      <c r="A15066" s="234"/>
      <c r="B15066" s="233"/>
      <c r="C15066" s="238"/>
      <c r="E15066" s="545"/>
      <c r="F15066" s="546"/>
      <c r="G15066" s="234"/>
      <c r="H15066" s="238"/>
      <c r="I15066" s="237"/>
    </row>
    <row r="15067" spans="1:9" s="232" customFormat="1" ht="17" customHeight="1">
      <c r="A15067" s="234"/>
      <c r="B15067" s="233"/>
      <c r="C15067" s="238"/>
      <c r="E15067" s="545"/>
      <c r="F15067" s="546"/>
      <c r="G15067" s="234"/>
      <c r="H15067" s="238"/>
      <c r="I15067" s="237"/>
    </row>
    <row r="15068" spans="1:9" s="232" customFormat="1" ht="17" customHeight="1">
      <c r="A15068" s="234"/>
      <c r="B15068" s="233"/>
      <c r="C15068" s="238"/>
      <c r="E15068" s="545"/>
      <c r="F15068" s="546"/>
      <c r="G15068" s="234"/>
      <c r="H15068" s="238"/>
      <c r="I15068" s="237"/>
    </row>
    <row r="15069" spans="1:9" s="232" customFormat="1" ht="17" customHeight="1">
      <c r="A15069" s="234"/>
      <c r="B15069" s="233"/>
      <c r="C15069" s="238"/>
      <c r="E15069" s="545"/>
      <c r="F15069" s="546"/>
      <c r="G15069" s="234"/>
      <c r="H15069" s="238"/>
      <c r="I15069" s="237"/>
    </row>
    <row r="15070" spans="1:9" s="232" customFormat="1" ht="17" customHeight="1">
      <c r="A15070" s="234"/>
      <c r="B15070" s="233"/>
      <c r="C15070" s="238"/>
      <c r="E15070" s="545"/>
      <c r="F15070" s="546"/>
      <c r="G15070" s="234"/>
      <c r="H15070" s="238"/>
      <c r="I15070" s="237"/>
    </row>
    <row r="15071" spans="1:9" s="232" customFormat="1" ht="17" customHeight="1">
      <c r="A15071" s="234"/>
      <c r="B15071" s="233"/>
      <c r="C15071" s="238"/>
      <c r="E15071" s="545"/>
      <c r="F15071" s="546"/>
      <c r="G15071" s="234"/>
      <c r="H15071" s="238"/>
      <c r="I15071" s="237"/>
    </row>
    <row r="15072" spans="1:9" s="232" customFormat="1" ht="17" customHeight="1">
      <c r="A15072" s="234"/>
      <c r="B15072" s="233"/>
      <c r="C15072" s="238"/>
      <c r="E15072" s="545"/>
      <c r="F15072" s="546"/>
      <c r="G15072" s="234"/>
      <c r="H15072" s="238"/>
      <c r="I15072" s="237"/>
    </row>
    <row r="15073" spans="1:9" s="232" customFormat="1" ht="17" customHeight="1">
      <c r="A15073" s="234"/>
      <c r="B15073" s="233"/>
      <c r="C15073" s="238"/>
      <c r="E15073" s="545"/>
      <c r="F15073" s="546"/>
      <c r="G15073" s="234"/>
      <c r="H15073" s="238"/>
      <c r="I15073" s="237"/>
    </row>
    <row r="15074" spans="1:9" s="232" customFormat="1" ht="17" customHeight="1">
      <c r="A15074" s="234"/>
      <c r="B15074" s="233"/>
      <c r="C15074" s="238"/>
      <c r="E15074" s="545"/>
      <c r="F15074" s="546"/>
      <c r="G15074" s="234"/>
      <c r="H15074" s="238"/>
      <c r="I15074" s="237"/>
    </row>
    <row r="15075" spans="1:9" s="232" customFormat="1" ht="17" customHeight="1">
      <c r="A15075" s="234"/>
      <c r="B15075" s="233"/>
      <c r="C15075" s="238"/>
      <c r="E15075" s="545"/>
      <c r="F15075" s="546"/>
      <c r="G15075" s="234"/>
      <c r="H15075" s="238"/>
      <c r="I15075" s="237"/>
    </row>
    <row r="15076" spans="1:9" s="232" customFormat="1" ht="17" customHeight="1">
      <c r="A15076" s="234"/>
      <c r="B15076" s="233"/>
      <c r="C15076" s="238"/>
      <c r="E15076" s="545"/>
      <c r="F15076" s="546"/>
      <c r="G15076" s="234"/>
      <c r="H15076" s="238"/>
      <c r="I15076" s="237"/>
    </row>
    <row r="15077" spans="1:9" s="232" customFormat="1" ht="17" customHeight="1">
      <c r="A15077" s="234"/>
      <c r="B15077" s="233"/>
      <c r="C15077" s="238"/>
      <c r="E15077" s="545"/>
      <c r="F15077" s="546"/>
      <c r="G15077" s="234"/>
      <c r="H15077" s="238"/>
      <c r="I15077" s="237"/>
    </row>
    <row r="15078" spans="1:9" s="232" customFormat="1" ht="17" customHeight="1">
      <c r="A15078" s="234"/>
      <c r="B15078" s="233"/>
      <c r="C15078" s="238"/>
      <c r="E15078" s="545"/>
      <c r="F15078" s="546"/>
      <c r="G15078" s="234"/>
      <c r="H15078" s="238"/>
      <c r="I15078" s="237"/>
    </row>
    <row r="15079" spans="1:9" s="232" customFormat="1" ht="17" customHeight="1">
      <c r="A15079" s="234"/>
      <c r="B15079" s="233"/>
      <c r="C15079" s="238"/>
      <c r="E15079" s="545"/>
      <c r="F15079" s="546"/>
      <c r="G15079" s="234"/>
      <c r="H15079" s="238"/>
      <c r="I15079" s="237"/>
    </row>
    <row r="15080" spans="1:9" s="232" customFormat="1" ht="17" customHeight="1">
      <c r="A15080" s="234"/>
      <c r="B15080" s="233"/>
      <c r="C15080" s="238"/>
      <c r="E15080" s="545"/>
      <c r="F15080" s="546"/>
      <c r="G15080" s="234"/>
      <c r="H15080" s="238"/>
      <c r="I15080" s="237"/>
    </row>
    <row r="15081" spans="1:9" s="232" customFormat="1" ht="17" customHeight="1">
      <c r="A15081" s="234"/>
      <c r="B15081" s="233"/>
      <c r="C15081" s="238"/>
      <c r="E15081" s="545"/>
      <c r="F15081" s="546"/>
      <c r="G15081" s="234"/>
      <c r="H15081" s="238"/>
      <c r="I15081" s="237"/>
    </row>
    <row r="15082" spans="1:9" s="232" customFormat="1" ht="17" customHeight="1">
      <c r="A15082" s="234"/>
      <c r="B15082" s="233"/>
      <c r="C15082" s="238"/>
      <c r="E15082" s="545"/>
      <c r="F15082" s="546"/>
      <c r="G15082" s="234"/>
      <c r="H15082" s="238"/>
      <c r="I15082" s="237"/>
    </row>
    <row r="15083" spans="1:9" s="232" customFormat="1" ht="17" customHeight="1">
      <c r="A15083" s="234"/>
      <c r="B15083" s="233"/>
      <c r="C15083" s="238"/>
      <c r="E15083" s="545"/>
      <c r="F15083" s="546"/>
      <c r="G15083" s="234"/>
      <c r="H15083" s="238"/>
      <c r="I15083" s="237"/>
    </row>
    <row r="15084" spans="1:9" s="232" customFormat="1" ht="17" customHeight="1">
      <c r="A15084" s="234"/>
      <c r="B15084" s="233"/>
      <c r="C15084" s="238"/>
      <c r="E15084" s="545"/>
      <c r="F15084" s="546"/>
      <c r="G15084" s="234"/>
      <c r="H15084" s="238"/>
      <c r="I15084" s="237"/>
    </row>
    <row r="15085" spans="1:9" s="232" customFormat="1" ht="17" customHeight="1">
      <c r="A15085" s="234"/>
      <c r="B15085" s="233"/>
      <c r="C15085" s="238"/>
      <c r="E15085" s="545"/>
      <c r="F15085" s="546"/>
      <c r="G15085" s="234"/>
      <c r="H15085" s="238"/>
      <c r="I15085" s="237"/>
    </row>
    <row r="15086" spans="1:9" s="232" customFormat="1" ht="17" customHeight="1">
      <c r="A15086" s="234"/>
      <c r="B15086" s="233"/>
      <c r="C15086" s="238"/>
      <c r="E15086" s="545"/>
      <c r="F15086" s="546"/>
      <c r="G15086" s="234"/>
      <c r="H15086" s="238"/>
      <c r="I15086" s="237"/>
    </row>
    <row r="15087" spans="1:9" s="232" customFormat="1" ht="17" customHeight="1">
      <c r="A15087" s="234"/>
      <c r="B15087" s="233"/>
      <c r="C15087" s="238"/>
      <c r="E15087" s="545"/>
      <c r="F15087" s="546"/>
      <c r="G15087" s="234"/>
      <c r="H15087" s="238"/>
      <c r="I15087" s="237"/>
    </row>
    <row r="15088" spans="1:9" s="232" customFormat="1" ht="17" customHeight="1">
      <c r="A15088" s="234"/>
      <c r="B15088" s="233"/>
      <c r="C15088" s="238"/>
      <c r="E15088" s="545"/>
      <c r="F15088" s="546"/>
      <c r="G15088" s="234"/>
      <c r="H15088" s="238"/>
      <c r="I15088" s="237"/>
    </row>
    <row r="15089" spans="1:9" s="232" customFormat="1" ht="17" customHeight="1">
      <c r="A15089" s="234"/>
      <c r="B15089" s="233"/>
      <c r="C15089" s="238"/>
      <c r="E15089" s="545"/>
      <c r="F15089" s="546"/>
      <c r="G15089" s="234"/>
      <c r="H15089" s="238"/>
      <c r="I15089" s="237"/>
    </row>
    <row r="15090" spans="1:9" s="232" customFormat="1" ht="17" customHeight="1">
      <c r="A15090" s="234"/>
      <c r="B15090" s="233"/>
      <c r="C15090" s="238"/>
      <c r="E15090" s="545"/>
      <c r="F15090" s="546"/>
      <c r="G15090" s="234"/>
      <c r="H15090" s="238"/>
      <c r="I15090" s="237"/>
    </row>
    <row r="15091" spans="1:9" s="232" customFormat="1" ht="17" customHeight="1">
      <c r="A15091" s="234"/>
      <c r="B15091" s="233"/>
      <c r="C15091" s="238"/>
      <c r="E15091" s="545"/>
      <c r="F15091" s="546"/>
      <c r="G15091" s="234"/>
      <c r="H15091" s="238"/>
      <c r="I15091" s="237"/>
    </row>
    <row r="15092" spans="1:9" s="232" customFormat="1" ht="17" customHeight="1">
      <c r="A15092" s="234"/>
      <c r="B15092" s="233"/>
      <c r="C15092" s="238"/>
      <c r="E15092" s="545"/>
      <c r="F15092" s="546"/>
      <c r="G15092" s="234"/>
      <c r="H15092" s="238"/>
      <c r="I15092" s="237"/>
    </row>
    <row r="15093" spans="1:9" s="232" customFormat="1" ht="17" customHeight="1">
      <c r="A15093" s="234"/>
      <c r="B15093" s="233"/>
      <c r="C15093" s="238"/>
      <c r="E15093" s="545"/>
      <c r="F15093" s="546"/>
      <c r="G15093" s="234"/>
      <c r="H15093" s="238"/>
      <c r="I15093" s="237"/>
    </row>
    <row r="15094" spans="1:9" s="232" customFormat="1" ht="17" customHeight="1">
      <c r="A15094" s="234"/>
      <c r="B15094" s="233"/>
      <c r="C15094" s="238"/>
      <c r="E15094" s="545"/>
      <c r="F15094" s="546"/>
      <c r="G15094" s="234"/>
      <c r="H15094" s="238"/>
      <c r="I15094" s="237"/>
    </row>
    <row r="15095" spans="1:9" s="232" customFormat="1" ht="17" customHeight="1">
      <c r="A15095" s="234"/>
      <c r="B15095" s="233"/>
      <c r="C15095" s="238"/>
      <c r="E15095" s="545"/>
      <c r="F15095" s="546"/>
      <c r="G15095" s="234"/>
      <c r="H15095" s="238"/>
      <c r="I15095" s="237"/>
    </row>
    <row r="15096" spans="1:9" s="232" customFormat="1" ht="17" customHeight="1">
      <c r="A15096" s="234"/>
      <c r="B15096" s="233"/>
      <c r="C15096" s="238"/>
      <c r="E15096" s="545"/>
      <c r="F15096" s="546"/>
      <c r="G15096" s="234"/>
      <c r="H15096" s="238"/>
      <c r="I15096" s="237"/>
    </row>
    <row r="15097" spans="1:9" s="232" customFormat="1" ht="17" customHeight="1">
      <c r="A15097" s="234"/>
      <c r="B15097" s="233"/>
      <c r="C15097" s="238"/>
      <c r="E15097" s="545"/>
      <c r="F15097" s="546"/>
      <c r="G15097" s="234"/>
      <c r="H15097" s="238"/>
      <c r="I15097" s="237"/>
    </row>
    <row r="15098" spans="1:9" s="232" customFormat="1" ht="17" customHeight="1">
      <c r="A15098" s="234"/>
      <c r="B15098" s="233"/>
      <c r="C15098" s="238"/>
      <c r="E15098" s="545"/>
      <c r="F15098" s="546"/>
      <c r="G15098" s="234"/>
      <c r="H15098" s="238"/>
      <c r="I15098" s="237"/>
    </row>
    <row r="15099" spans="1:9" s="232" customFormat="1" ht="17" customHeight="1">
      <c r="A15099" s="234"/>
      <c r="B15099" s="233"/>
      <c r="C15099" s="238"/>
      <c r="E15099" s="545"/>
      <c r="F15099" s="546"/>
      <c r="G15099" s="234"/>
      <c r="H15099" s="238"/>
      <c r="I15099" s="237"/>
    </row>
    <row r="15100" spans="1:9" s="232" customFormat="1" ht="17" customHeight="1">
      <c r="A15100" s="234"/>
      <c r="B15100" s="233"/>
      <c r="C15100" s="238"/>
      <c r="E15100" s="545"/>
      <c r="F15100" s="546"/>
      <c r="G15100" s="234"/>
      <c r="H15100" s="238"/>
      <c r="I15100" s="237"/>
    </row>
    <row r="15101" spans="1:9" s="232" customFormat="1" ht="17" customHeight="1">
      <c r="A15101" s="234"/>
      <c r="B15101" s="233"/>
      <c r="C15101" s="238"/>
      <c r="E15101" s="545"/>
      <c r="F15101" s="546"/>
      <c r="G15101" s="234"/>
      <c r="H15101" s="238"/>
      <c r="I15101" s="237"/>
    </row>
    <row r="15102" spans="1:9" s="232" customFormat="1" ht="17" customHeight="1">
      <c r="A15102" s="234"/>
      <c r="B15102" s="233"/>
      <c r="C15102" s="238"/>
      <c r="E15102" s="545"/>
      <c r="F15102" s="546"/>
      <c r="G15102" s="234"/>
      <c r="H15102" s="238"/>
      <c r="I15102" s="237"/>
    </row>
    <row r="15103" spans="1:9" s="232" customFormat="1" ht="17" customHeight="1">
      <c r="A15103" s="234"/>
      <c r="B15103" s="233"/>
      <c r="C15103" s="238"/>
      <c r="E15103" s="545"/>
      <c r="F15103" s="546"/>
      <c r="G15103" s="234"/>
      <c r="H15103" s="238"/>
      <c r="I15103" s="237"/>
    </row>
    <row r="15104" spans="1:9" s="232" customFormat="1" ht="17" customHeight="1">
      <c r="A15104" s="234"/>
      <c r="B15104" s="233"/>
      <c r="C15104" s="238"/>
      <c r="E15104" s="545"/>
      <c r="F15104" s="546"/>
      <c r="G15104" s="234"/>
      <c r="H15104" s="238"/>
      <c r="I15104" s="237"/>
    </row>
    <row r="15105" spans="1:9" s="232" customFormat="1" ht="17" customHeight="1">
      <c r="A15105" s="234"/>
      <c r="B15105" s="233"/>
      <c r="C15105" s="238"/>
      <c r="E15105" s="545"/>
      <c r="F15105" s="546"/>
      <c r="G15105" s="234"/>
      <c r="H15105" s="238"/>
      <c r="I15105" s="237"/>
    </row>
    <row r="15106" spans="1:9" s="232" customFormat="1" ht="17" customHeight="1">
      <c r="A15106" s="234"/>
      <c r="B15106" s="233"/>
      <c r="C15106" s="238"/>
      <c r="E15106" s="545"/>
      <c r="F15106" s="546"/>
      <c r="G15106" s="234"/>
      <c r="H15106" s="238"/>
      <c r="I15106" s="237"/>
    </row>
    <row r="15107" spans="1:9" s="232" customFormat="1" ht="17" customHeight="1">
      <c r="A15107" s="234"/>
      <c r="B15107" s="233"/>
      <c r="C15107" s="238"/>
      <c r="E15107" s="545"/>
      <c r="F15107" s="546"/>
      <c r="G15107" s="234"/>
      <c r="H15107" s="238"/>
      <c r="I15107" s="237"/>
    </row>
    <row r="15108" spans="1:9" s="232" customFormat="1" ht="17" customHeight="1">
      <c r="A15108" s="234"/>
      <c r="B15108" s="233"/>
      <c r="C15108" s="238"/>
      <c r="E15108" s="545"/>
      <c r="F15108" s="546"/>
      <c r="G15108" s="234"/>
      <c r="H15108" s="238"/>
      <c r="I15108" s="237"/>
    </row>
    <row r="15109" spans="1:9" s="232" customFormat="1" ht="17" customHeight="1">
      <c r="A15109" s="234"/>
      <c r="B15109" s="233"/>
      <c r="C15109" s="238"/>
      <c r="E15109" s="545"/>
      <c r="F15109" s="546"/>
      <c r="G15109" s="234"/>
      <c r="H15109" s="238"/>
      <c r="I15109" s="237"/>
    </row>
    <row r="15110" spans="1:9" s="232" customFormat="1" ht="17" customHeight="1">
      <c r="A15110" s="234"/>
      <c r="B15110" s="233"/>
      <c r="C15110" s="238"/>
      <c r="E15110" s="545"/>
      <c r="F15110" s="546"/>
      <c r="G15110" s="234"/>
      <c r="H15110" s="238"/>
      <c r="I15110" s="237"/>
    </row>
    <row r="15111" spans="1:9" s="232" customFormat="1" ht="17" customHeight="1">
      <c r="A15111" s="234"/>
      <c r="B15111" s="233"/>
      <c r="C15111" s="238"/>
      <c r="E15111" s="545"/>
      <c r="F15111" s="546"/>
      <c r="G15111" s="234"/>
      <c r="H15111" s="238"/>
      <c r="I15111" s="237"/>
    </row>
    <row r="15112" spans="1:9" s="232" customFormat="1" ht="17" customHeight="1">
      <c r="A15112" s="234"/>
      <c r="B15112" s="233"/>
      <c r="C15112" s="238"/>
      <c r="E15112" s="545"/>
      <c r="F15112" s="546"/>
      <c r="G15112" s="234"/>
      <c r="H15112" s="238"/>
      <c r="I15112" s="237"/>
    </row>
    <row r="15113" spans="1:9" s="232" customFormat="1" ht="17" customHeight="1">
      <c r="A15113" s="234"/>
      <c r="B15113" s="233"/>
      <c r="C15113" s="238"/>
      <c r="E15113" s="545"/>
      <c r="F15113" s="546"/>
      <c r="G15113" s="234"/>
      <c r="H15113" s="238"/>
      <c r="I15113" s="237"/>
    </row>
    <row r="15114" spans="1:9" s="232" customFormat="1" ht="17" customHeight="1">
      <c r="A15114" s="234"/>
      <c r="B15114" s="233"/>
      <c r="C15114" s="238"/>
      <c r="E15114" s="545"/>
      <c r="F15114" s="546"/>
      <c r="G15114" s="234"/>
      <c r="H15114" s="238"/>
      <c r="I15114" s="237"/>
    </row>
    <row r="15115" spans="1:9" s="232" customFormat="1" ht="17" customHeight="1">
      <c r="A15115" s="234"/>
      <c r="B15115" s="233"/>
      <c r="C15115" s="238"/>
      <c r="E15115" s="545"/>
      <c r="F15115" s="546"/>
      <c r="G15115" s="234"/>
      <c r="H15115" s="238"/>
      <c r="I15115" s="237"/>
    </row>
    <row r="15116" spans="1:9" s="232" customFormat="1" ht="17" customHeight="1">
      <c r="A15116" s="234"/>
      <c r="B15116" s="233"/>
      <c r="C15116" s="238"/>
      <c r="E15116" s="545"/>
      <c r="F15116" s="546"/>
      <c r="G15116" s="234"/>
      <c r="H15116" s="238"/>
      <c r="I15116" s="237"/>
    </row>
    <row r="15117" spans="1:9" s="232" customFormat="1" ht="17" customHeight="1">
      <c r="A15117" s="234"/>
      <c r="B15117" s="233"/>
      <c r="C15117" s="238"/>
      <c r="E15117" s="545"/>
      <c r="F15117" s="546"/>
      <c r="G15117" s="234"/>
      <c r="H15117" s="238"/>
      <c r="I15117" s="237"/>
    </row>
    <row r="15118" spans="1:9" s="232" customFormat="1" ht="17" customHeight="1">
      <c r="A15118" s="234"/>
      <c r="B15118" s="233"/>
      <c r="C15118" s="238"/>
      <c r="E15118" s="545"/>
      <c r="F15118" s="546"/>
      <c r="G15118" s="234"/>
      <c r="H15118" s="238"/>
      <c r="I15118" s="237"/>
    </row>
    <row r="15119" spans="1:9" s="232" customFormat="1" ht="17" customHeight="1">
      <c r="A15119" s="234"/>
      <c r="B15119" s="233"/>
      <c r="C15119" s="238"/>
      <c r="E15119" s="545"/>
      <c r="F15119" s="546"/>
      <c r="G15119" s="234"/>
      <c r="H15119" s="238"/>
      <c r="I15119" s="237"/>
    </row>
    <row r="15120" spans="1:9" s="232" customFormat="1" ht="17" customHeight="1">
      <c r="A15120" s="234"/>
      <c r="B15120" s="233"/>
      <c r="C15120" s="238"/>
      <c r="E15120" s="545"/>
      <c r="F15120" s="546"/>
      <c r="G15120" s="234"/>
      <c r="H15120" s="238"/>
      <c r="I15120" s="237"/>
    </row>
    <row r="15121" spans="1:9" s="232" customFormat="1" ht="17" customHeight="1">
      <c r="A15121" s="234"/>
      <c r="B15121" s="233"/>
      <c r="C15121" s="238"/>
      <c r="E15121" s="545"/>
      <c r="F15121" s="546"/>
      <c r="G15121" s="234"/>
      <c r="H15121" s="238"/>
      <c r="I15121" s="237"/>
    </row>
    <row r="15122" spans="1:9" s="232" customFormat="1" ht="17" customHeight="1">
      <c r="A15122" s="234"/>
      <c r="B15122" s="233"/>
      <c r="C15122" s="238"/>
      <c r="E15122" s="545"/>
      <c r="F15122" s="546"/>
      <c r="G15122" s="234"/>
      <c r="H15122" s="238"/>
      <c r="I15122" s="237"/>
    </row>
    <row r="15123" spans="1:9" s="232" customFormat="1" ht="17" customHeight="1">
      <c r="A15123" s="234"/>
      <c r="B15123" s="233"/>
      <c r="C15123" s="238"/>
      <c r="E15123" s="545"/>
      <c r="F15123" s="546"/>
      <c r="G15123" s="234"/>
      <c r="H15123" s="238"/>
      <c r="I15123" s="237"/>
    </row>
    <row r="15124" spans="1:9" s="232" customFormat="1" ht="17" customHeight="1">
      <c r="A15124" s="234"/>
      <c r="B15124" s="233"/>
      <c r="C15124" s="238"/>
      <c r="E15124" s="545"/>
      <c r="F15124" s="546"/>
      <c r="G15124" s="234"/>
      <c r="H15124" s="238"/>
      <c r="I15124" s="237"/>
    </row>
    <row r="15125" spans="1:9" s="232" customFormat="1" ht="17" customHeight="1">
      <c r="A15125" s="234"/>
      <c r="B15125" s="233"/>
      <c r="C15125" s="238"/>
      <c r="E15125" s="545"/>
      <c r="F15125" s="546"/>
      <c r="G15125" s="234"/>
      <c r="H15125" s="238"/>
      <c r="I15125" s="237"/>
    </row>
    <row r="15126" spans="1:9" s="232" customFormat="1" ht="17" customHeight="1">
      <c r="A15126" s="234"/>
      <c r="B15126" s="233"/>
      <c r="C15126" s="238"/>
      <c r="E15126" s="545"/>
      <c r="F15126" s="546"/>
      <c r="G15126" s="234"/>
      <c r="H15126" s="238"/>
      <c r="I15126" s="237"/>
    </row>
    <row r="15127" spans="1:9" s="232" customFormat="1" ht="17" customHeight="1">
      <c r="A15127" s="234"/>
      <c r="B15127" s="233"/>
      <c r="C15127" s="238"/>
      <c r="E15127" s="545"/>
      <c r="F15127" s="546"/>
      <c r="G15127" s="234"/>
      <c r="H15127" s="238"/>
      <c r="I15127" s="237"/>
    </row>
    <row r="15128" spans="1:9" s="232" customFormat="1" ht="17" customHeight="1">
      <c r="A15128" s="234"/>
      <c r="B15128" s="233"/>
      <c r="C15128" s="238"/>
      <c r="E15128" s="545"/>
      <c r="F15128" s="546"/>
      <c r="G15128" s="234"/>
      <c r="H15128" s="238"/>
      <c r="I15128" s="237"/>
    </row>
    <row r="15129" spans="1:9" s="232" customFormat="1" ht="17" customHeight="1">
      <c r="A15129" s="234"/>
      <c r="B15129" s="233"/>
      <c r="C15129" s="238"/>
      <c r="E15129" s="545"/>
      <c r="F15129" s="546"/>
      <c r="G15129" s="234"/>
      <c r="H15129" s="238"/>
      <c r="I15129" s="237"/>
    </row>
    <row r="15130" spans="1:9" s="232" customFormat="1" ht="17" customHeight="1">
      <c r="A15130" s="234"/>
      <c r="B15130" s="233"/>
      <c r="C15130" s="238"/>
      <c r="E15130" s="545"/>
      <c r="F15130" s="546"/>
      <c r="G15130" s="234"/>
      <c r="H15130" s="238"/>
      <c r="I15130" s="237"/>
    </row>
    <row r="15131" spans="1:9" s="232" customFormat="1" ht="17" customHeight="1">
      <c r="A15131" s="234"/>
      <c r="B15131" s="233"/>
      <c r="C15131" s="238"/>
      <c r="E15131" s="545"/>
      <c r="F15131" s="546"/>
      <c r="G15131" s="234"/>
      <c r="H15131" s="238"/>
      <c r="I15131" s="237"/>
    </row>
    <row r="15132" spans="1:9" s="232" customFormat="1" ht="17" customHeight="1">
      <c r="A15132" s="234"/>
      <c r="B15132" s="233"/>
      <c r="C15132" s="238"/>
      <c r="E15132" s="545"/>
      <c r="F15132" s="546"/>
      <c r="G15132" s="234"/>
      <c r="H15132" s="238"/>
      <c r="I15132" s="237"/>
    </row>
    <row r="15133" spans="1:9" s="232" customFormat="1" ht="17" customHeight="1">
      <c r="A15133" s="234"/>
      <c r="B15133" s="233"/>
      <c r="C15133" s="238"/>
      <c r="E15133" s="545"/>
      <c r="F15133" s="546"/>
      <c r="G15133" s="234"/>
      <c r="H15133" s="238"/>
      <c r="I15133" s="237"/>
    </row>
    <row r="15134" spans="1:9" s="232" customFormat="1" ht="17" customHeight="1">
      <c r="A15134" s="234"/>
      <c r="B15134" s="233"/>
      <c r="C15134" s="238"/>
      <c r="E15134" s="545"/>
      <c r="F15134" s="546"/>
      <c r="G15134" s="234"/>
      <c r="H15134" s="238"/>
      <c r="I15134" s="237"/>
    </row>
    <row r="15135" spans="1:9" s="232" customFormat="1" ht="17" customHeight="1">
      <c r="A15135" s="234"/>
      <c r="B15135" s="233"/>
      <c r="C15135" s="238"/>
      <c r="E15135" s="545"/>
      <c r="F15135" s="546"/>
      <c r="G15135" s="234"/>
      <c r="H15135" s="238"/>
      <c r="I15135" s="237"/>
    </row>
    <row r="15136" spans="1:9" s="232" customFormat="1" ht="17" customHeight="1">
      <c r="A15136" s="234"/>
      <c r="B15136" s="233"/>
      <c r="C15136" s="238"/>
      <c r="E15136" s="545"/>
      <c r="F15136" s="546"/>
      <c r="G15136" s="234"/>
      <c r="H15136" s="238"/>
      <c r="I15136" s="237"/>
    </row>
    <row r="15137" spans="1:9" s="232" customFormat="1" ht="17" customHeight="1">
      <c r="A15137" s="234"/>
      <c r="B15137" s="233"/>
      <c r="C15137" s="238"/>
      <c r="E15137" s="545"/>
      <c r="F15137" s="546"/>
      <c r="G15137" s="234"/>
      <c r="H15137" s="238"/>
      <c r="I15137" s="237"/>
    </row>
    <row r="15138" spans="1:9" s="232" customFormat="1" ht="17" customHeight="1">
      <c r="A15138" s="234"/>
      <c r="B15138" s="233"/>
      <c r="C15138" s="238"/>
      <c r="E15138" s="545"/>
      <c r="F15138" s="546"/>
      <c r="G15138" s="234"/>
      <c r="H15138" s="238"/>
      <c r="I15138" s="237"/>
    </row>
    <row r="15139" spans="1:9" s="232" customFormat="1" ht="17" customHeight="1">
      <c r="A15139" s="234"/>
      <c r="B15139" s="233"/>
      <c r="C15139" s="238"/>
      <c r="E15139" s="545"/>
      <c r="F15139" s="546"/>
      <c r="G15139" s="234"/>
      <c r="H15139" s="238"/>
      <c r="I15139" s="237"/>
    </row>
    <row r="15140" spans="1:9" s="232" customFormat="1" ht="17" customHeight="1">
      <c r="A15140" s="234"/>
      <c r="B15140" s="233"/>
      <c r="C15140" s="238"/>
      <c r="E15140" s="545"/>
      <c r="F15140" s="546"/>
      <c r="G15140" s="234"/>
      <c r="H15140" s="238"/>
      <c r="I15140" s="237"/>
    </row>
    <row r="15141" spans="1:9" s="232" customFormat="1" ht="17" customHeight="1">
      <c r="A15141" s="234"/>
      <c r="B15141" s="233"/>
      <c r="C15141" s="238"/>
      <c r="E15141" s="545"/>
      <c r="F15141" s="546"/>
      <c r="G15141" s="234"/>
      <c r="H15141" s="238"/>
      <c r="I15141" s="237"/>
    </row>
    <row r="15142" spans="1:9" s="232" customFormat="1" ht="17" customHeight="1">
      <c r="A15142" s="234"/>
      <c r="B15142" s="233"/>
      <c r="C15142" s="238"/>
      <c r="E15142" s="545"/>
      <c r="F15142" s="546"/>
      <c r="G15142" s="234"/>
      <c r="H15142" s="238"/>
      <c r="I15142" s="237"/>
    </row>
    <row r="15143" spans="1:9" s="232" customFormat="1" ht="17" customHeight="1">
      <c r="A15143" s="234"/>
      <c r="B15143" s="233"/>
      <c r="C15143" s="238"/>
      <c r="E15143" s="545"/>
      <c r="F15143" s="546"/>
      <c r="G15143" s="234"/>
      <c r="H15143" s="238"/>
      <c r="I15143" s="237"/>
    </row>
    <row r="15144" spans="1:9" s="232" customFormat="1" ht="17" customHeight="1">
      <c r="A15144" s="234"/>
      <c r="B15144" s="233"/>
      <c r="C15144" s="238"/>
      <c r="E15144" s="545"/>
      <c r="F15144" s="546"/>
      <c r="G15144" s="234"/>
      <c r="H15144" s="238"/>
      <c r="I15144" s="237"/>
    </row>
    <row r="15145" spans="1:9" s="232" customFormat="1" ht="17" customHeight="1">
      <c r="A15145" s="234"/>
      <c r="B15145" s="233"/>
      <c r="C15145" s="238"/>
      <c r="E15145" s="545"/>
      <c r="F15145" s="546"/>
      <c r="G15145" s="234"/>
      <c r="H15145" s="238"/>
      <c r="I15145" s="237"/>
    </row>
    <row r="15146" spans="1:9" s="232" customFormat="1" ht="17" customHeight="1">
      <c r="A15146" s="234"/>
      <c r="B15146" s="233"/>
      <c r="C15146" s="238"/>
      <c r="E15146" s="545"/>
      <c r="F15146" s="546"/>
      <c r="G15146" s="234"/>
      <c r="H15146" s="238"/>
      <c r="I15146" s="237"/>
    </row>
    <row r="15147" spans="1:9" s="232" customFormat="1" ht="17" customHeight="1">
      <c r="A15147" s="234"/>
      <c r="B15147" s="233"/>
      <c r="C15147" s="238"/>
      <c r="E15147" s="545"/>
      <c r="F15147" s="546"/>
      <c r="G15147" s="234"/>
      <c r="H15147" s="238"/>
      <c r="I15147" s="237"/>
    </row>
    <row r="15148" spans="1:9" s="232" customFormat="1" ht="17" customHeight="1">
      <c r="A15148" s="234"/>
      <c r="B15148" s="233"/>
      <c r="C15148" s="238"/>
      <c r="E15148" s="545"/>
      <c r="F15148" s="546"/>
      <c r="G15148" s="234"/>
      <c r="H15148" s="238"/>
      <c r="I15148" s="237"/>
    </row>
    <row r="15149" spans="1:9" s="232" customFormat="1" ht="17" customHeight="1">
      <c r="A15149" s="234"/>
      <c r="B15149" s="233"/>
      <c r="C15149" s="238"/>
      <c r="E15149" s="545"/>
      <c r="F15149" s="546"/>
      <c r="G15149" s="234"/>
      <c r="H15149" s="238"/>
      <c r="I15149" s="237"/>
    </row>
    <row r="15150" spans="1:9" s="232" customFormat="1" ht="17" customHeight="1">
      <c r="A15150" s="234"/>
      <c r="B15150" s="233"/>
      <c r="C15150" s="238"/>
      <c r="E15150" s="545"/>
      <c r="F15150" s="546"/>
      <c r="G15150" s="234"/>
      <c r="H15150" s="238"/>
      <c r="I15150" s="237"/>
    </row>
    <row r="15151" spans="1:9" s="232" customFormat="1" ht="17" customHeight="1">
      <c r="A15151" s="234"/>
      <c r="B15151" s="233"/>
      <c r="C15151" s="238"/>
      <c r="E15151" s="545"/>
      <c r="F15151" s="546"/>
      <c r="G15151" s="234"/>
      <c r="H15151" s="238"/>
      <c r="I15151" s="237"/>
    </row>
    <row r="15152" spans="1:9" s="232" customFormat="1" ht="17" customHeight="1">
      <c r="A15152" s="234"/>
      <c r="B15152" s="233"/>
      <c r="C15152" s="238"/>
      <c r="E15152" s="545"/>
      <c r="F15152" s="546"/>
      <c r="G15152" s="234"/>
      <c r="H15152" s="238"/>
      <c r="I15152" s="237"/>
    </row>
    <row r="15153" spans="1:9" s="232" customFormat="1" ht="17" customHeight="1">
      <c r="A15153" s="234"/>
      <c r="B15153" s="233"/>
      <c r="C15153" s="238"/>
      <c r="E15153" s="545"/>
      <c r="F15153" s="546"/>
      <c r="G15153" s="234"/>
      <c r="H15153" s="238"/>
      <c r="I15153" s="237"/>
    </row>
    <row r="15154" spans="1:9" s="232" customFormat="1" ht="17" customHeight="1">
      <c r="A15154" s="234"/>
      <c r="B15154" s="233"/>
      <c r="C15154" s="238"/>
      <c r="E15154" s="545"/>
      <c r="F15154" s="546"/>
      <c r="G15154" s="234"/>
      <c r="H15154" s="238"/>
      <c r="I15154" s="237"/>
    </row>
    <row r="15155" spans="1:9" s="232" customFormat="1" ht="17" customHeight="1">
      <c r="A15155" s="234"/>
      <c r="B15155" s="233"/>
      <c r="C15155" s="238"/>
      <c r="E15155" s="545"/>
      <c r="F15155" s="546"/>
      <c r="G15155" s="234"/>
      <c r="H15155" s="238"/>
      <c r="I15155" s="237"/>
    </row>
    <row r="15156" spans="1:9" s="232" customFormat="1" ht="17" customHeight="1">
      <c r="A15156" s="234"/>
      <c r="B15156" s="233"/>
      <c r="C15156" s="238"/>
      <c r="E15156" s="545"/>
      <c r="F15156" s="546"/>
      <c r="G15156" s="234"/>
      <c r="H15156" s="238"/>
      <c r="I15156" s="237"/>
    </row>
    <row r="15157" spans="1:9" s="232" customFormat="1" ht="17" customHeight="1">
      <c r="A15157" s="234"/>
      <c r="B15157" s="233"/>
      <c r="C15157" s="238"/>
      <c r="E15157" s="545"/>
      <c r="F15157" s="546"/>
      <c r="G15157" s="234"/>
      <c r="H15157" s="238"/>
      <c r="I15157" s="237"/>
    </row>
    <row r="15158" spans="1:9" s="232" customFormat="1" ht="17" customHeight="1">
      <c r="A15158" s="234"/>
      <c r="B15158" s="233"/>
      <c r="C15158" s="238"/>
      <c r="E15158" s="545"/>
      <c r="F15158" s="546"/>
      <c r="G15158" s="234"/>
      <c r="H15158" s="238"/>
      <c r="I15158" s="237"/>
    </row>
    <row r="15159" spans="1:9" s="232" customFormat="1" ht="17" customHeight="1">
      <c r="A15159" s="234"/>
      <c r="B15159" s="233"/>
      <c r="C15159" s="238"/>
      <c r="E15159" s="545"/>
      <c r="F15159" s="546"/>
      <c r="G15159" s="234"/>
      <c r="H15159" s="238"/>
      <c r="I15159" s="237"/>
    </row>
    <row r="15160" spans="1:9" s="232" customFormat="1" ht="17" customHeight="1">
      <c r="A15160" s="234"/>
      <c r="B15160" s="233"/>
      <c r="C15160" s="238"/>
      <c r="E15160" s="545"/>
      <c r="F15160" s="546"/>
      <c r="G15160" s="234"/>
      <c r="H15160" s="238"/>
      <c r="I15160" s="237"/>
    </row>
    <row r="15161" spans="1:9" s="232" customFormat="1" ht="17" customHeight="1">
      <c r="A15161" s="234"/>
      <c r="B15161" s="233"/>
      <c r="C15161" s="238"/>
      <c r="E15161" s="545"/>
      <c r="F15161" s="546"/>
      <c r="G15161" s="234"/>
      <c r="H15161" s="238"/>
      <c r="I15161" s="237"/>
    </row>
    <row r="15162" spans="1:9" s="232" customFormat="1" ht="17" customHeight="1">
      <c r="A15162" s="234"/>
      <c r="B15162" s="233"/>
      <c r="C15162" s="238"/>
      <c r="E15162" s="545"/>
      <c r="F15162" s="546"/>
      <c r="G15162" s="234"/>
      <c r="H15162" s="238"/>
      <c r="I15162" s="237"/>
    </row>
    <row r="15163" spans="1:9" s="232" customFormat="1" ht="17" customHeight="1">
      <c r="A15163" s="234"/>
      <c r="B15163" s="233"/>
      <c r="C15163" s="238"/>
      <c r="E15163" s="545"/>
      <c r="F15163" s="546"/>
      <c r="G15163" s="234"/>
      <c r="H15163" s="238"/>
      <c r="I15163" s="237"/>
    </row>
    <row r="15164" spans="1:9" s="232" customFormat="1" ht="17" customHeight="1">
      <c r="A15164" s="234"/>
      <c r="B15164" s="233"/>
      <c r="C15164" s="238"/>
      <c r="E15164" s="545"/>
      <c r="F15164" s="546"/>
      <c r="G15164" s="234"/>
      <c r="H15164" s="238"/>
      <c r="I15164" s="237"/>
    </row>
    <row r="15165" spans="1:9" s="232" customFormat="1" ht="17" customHeight="1">
      <c r="A15165" s="234"/>
      <c r="B15165" s="233"/>
      <c r="C15165" s="238"/>
      <c r="E15165" s="545"/>
      <c r="F15165" s="546"/>
      <c r="G15165" s="234"/>
      <c r="H15165" s="238"/>
      <c r="I15165" s="237"/>
    </row>
    <row r="15166" spans="1:9" s="232" customFormat="1" ht="17" customHeight="1">
      <c r="A15166" s="234"/>
      <c r="B15166" s="233"/>
      <c r="C15166" s="238"/>
      <c r="E15166" s="545"/>
      <c r="F15166" s="546"/>
      <c r="G15166" s="234"/>
      <c r="H15166" s="238"/>
      <c r="I15166" s="237"/>
    </row>
    <row r="15167" spans="1:9" s="232" customFormat="1" ht="17" customHeight="1">
      <c r="A15167" s="234"/>
      <c r="B15167" s="233"/>
      <c r="C15167" s="238"/>
      <c r="E15167" s="545"/>
      <c r="F15167" s="546"/>
      <c r="G15167" s="234"/>
      <c r="H15167" s="238"/>
      <c r="I15167" s="237"/>
    </row>
    <row r="15168" spans="1:9" s="232" customFormat="1" ht="17" customHeight="1">
      <c r="A15168" s="234"/>
      <c r="B15168" s="233"/>
      <c r="C15168" s="238"/>
      <c r="E15168" s="545"/>
      <c r="F15168" s="546"/>
      <c r="G15168" s="234"/>
      <c r="H15168" s="238"/>
      <c r="I15168" s="237"/>
    </row>
    <row r="15169" spans="1:9" s="232" customFormat="1" ht="17" customHeight="1">
      <c r="A15169" s="234"/>
      <c r="B15169" s="233"/>
      <c r="C15169" s="238"/>
      <c r="E15169" s="545"/>
      <c r="F15169" s="546"/>
      <c r="G15169" s="234"/>
      <c r="H15169" s="238"/>
      <c r="I15169" s="237"/>
    </row>
    <row r="15170" spans="1:9" s="232" customFormat="1" ht="17" customHeight="1">
      <c r="A15170" s="234"/>
      <c r="B15170" s="233"/>
      <c r="C15170" s="238"/>
      <c r="E15170" s="545"/>
      <c r="F15170" s="546"/>
      <c r="G15170" s="234"/>
      <c r="H15170" s="238"/>
      <c r="I15170" s="237"/>
    </row>
    <row r="15171" spans="1:9" s="232" customFormat="1" ht="17" customHeight="1">
      <c r="A15171" s="234"/>
      <c r="B15171" s="233"/>
      <c r="C15171" s="238"/>
      <c r="E15171" s="545"/>
      <c r="F15171" s="546"/>
      <c r="G15171" s="234"/>
      <c r="H15171" s="238"/>
      <c r="I15171" s="237"/>
    </row>
    <row r="15172" spans="1:9" s="232" customFormat="1" ht="17" customHeight="1">
      <c r="A15172" s="234"/>
      <c r="B15172" s="233"/>
      <c r="C15172" s="238"/>
      <c r="E15172" s="545"/>
      <c r="F15172" s="546"/>
      <c r="G15172" s="234"/>
      <c r="H15172" s="238"/>
      <c r="I15172" s="237"/>
    </row>
    <row r="15173" spans="1:9" s="232" customFormat="1" ht="17" customHeight="1">
      <c r="A15173" s="234"/>
      <c r="B15173" s="233"/>
      <c r="C15173" s="238"/>
      <c r="E15173" s="545"/>
      <c r="F15173" s="546"/>
      <c r="G15173" s="234"/>
      <c r="H15173" s="238"/>
      <c r="I15173" s="237"/>
    </row>
    <row r="15174" spans="1:9" s="232" customFormat="1" ht="17" customHeight="1">
      <c r="A15174" s="234"/>
      <c r="B15174" s="233"/>
      <c r="C15174" s="238"/>
      <c r="E15174" s="545"/>
      <c r="F15174" s="546"/>
      <c r="G15174" s="234"/>
      <c r="H15174" s="238"/>
      <c r="I15174" s="237"/>
    </row>
    <row r="15175" spans="1:9" s="232" customFormat="1" ht="17" customHeight="1">
      <c r="A15175" s="234"/>
      <c r="B15175" s="233"/>
      <c r="C15175" s="238"/>
      <c r="E15175" s="545"/>
      <c r="F15175" s="546"/>
      <c r="G15175" s="234"/>
      <c r="H15175" s="238"/>
      <c r="I15175" s="237"/>
    </row>
    <row r="15176" spans="1:9" s="232" customFormat="1" ht="17" customHeight="1">
      <c r="A15176" s="234"/>
      <c r="B15176" s="233"/>
      <c r="C15176" s="238"/>
      <c r="E15176" s="545"/>
      <c r="F15176" s="546"/>
      <c r="G15176" s="234"/>
      <c r="H15176" s="238"/>
      <c r="I15176" s="237"/>
    </row>
    <row r="15177" spans="1:9" s="232" customFormat="1" ht="17" customHeight="1">
      <c r="A15177" s="234"/>
      <c r="B15177" s="233"/>
      <c r="C15177" s="238"/>
      <c r="E15177" s="545"/>
      <c r="F15177" s="546"/>
      <c r="G15177" s="234"/>
      <c r="H15177" s="238"/>
      <c r="I15177" s="237"/>
    </row>
    <row r="15178" spans="1:9" s="232" customFormat="1" ht="17" customHeight="1">
      <c r="A15178" s="234"/>
      <c r="B15178" s="233"/>
      <c r="C15178" s="238"/>
      <c r="E15178" s="545"/>
      <c r="F15178" s="546"/>
      <c r="G15178" s="234"/>
      <c r="H15178" s="238"/>
      <c r="I15178" s="237"/>
    </row>
    <row r="15179" spans="1:9" s="232" customFormat="1" ht="17" customHeight="1">
      <c r="A15179" s="234"/>
      <c r="B15179" s="233"/>
      <c r="C15179" s="238"/>
      <c r="E15179" s="545"/>
      <c r="F15179" s="546"/>
      <c r="G15179" s="234"/>
      <c r="H15179" s="238"/>
      <c r="I15179" s="237"/>
    </row>
    <row r="15180" spans="1:9" s="232" customFormat="1" ht="17" customHeight="1">
      <c r="A15180" s="234"/>
      <c r="B15180" s="233"/>
      <c r="C15180" s="238"/>
      <c r="E15180" s="545"/>
      <c r="F15180" s="546"/>
      <c r="G15180" s="234"/>
      <c r="H15180" s="238"/>
      <c r="I15180" s="237"/>
    </row>
    <row r="15181" spans="1:9" s="232" customFormat="1" ht="17" customHeight="1">
      <c r="A15181" s="234"/>
      <c r="B15181" s="233"/>
      <c r="C15181" s="238"/>
      <c r="E15181" s="545"/>
      <c r="F15181" s="546"/>
      <c r="G15181" s="234"/>
      <c r="H15181" s="238"/>
      <c r="I15181" s="237"/>
    </row>
    <row r="15182" spans="1:9" s="232" customFormat="1" ht="17" customHeight="1">
      <c r="A15182" s="234"/>
      <c r="B15182" s="233"/>
      <c r="C15182" s="238"/>
      <c r="E15182" s="545"/>
      <c r="F15182" s="546"/>
      <c r="G15182" s="234"/>
      <c r="H15182" s="238"/>
      <c r="I15182" s="237"/>
    </row>
    <row r="15183" spans="1:9" s="232" customFormat="1" ht="17" customHeight="1">
      <c r="A15183" s="234"/>
      <c r="B15183" s="233"/>
      <c r="C15183" s="238"/>
      <c r="E15183" s="545"/>
      <c r="F15183" s="546"/>
      <c r="G15183" s="234"/>
      <c r="H15183" s="238"/>
      <c r="I15183" s="237"/>
    </row>
    <row r="15184" spans="1:9" s="232" customFormat="1" ht="17" customHeight="1">
      <c r="A15184" s="234"/>
      <c r="B15184" s="233"/>
      <c r="C15184" s="238"/>
      <c r="E15184" s="545"/>
      <c r="F15184" s="546"/>
      <c r="G15184" s="234"/>
      <c r="H15184" s="238"/>
      <c r="I15184" s="237"/>
    </row>
    <row r="15185" spans="1:9" s="232" customFormat="1" ht="17" customHeight="1">
      <c r="A15185" s="234"/>
      <c r="B15185" s="233"/>
      <c r="C15185" s="238"/>
      <c r="E15185" s="545"/>
      <c r="F15185" s="546"/>
      <c r="G15185" s="234"/>
      <c r="H15185" s="238"/>
      <c r="I15185" s="237"/>
    </row>
    <row r="15186" spans="1:9" s="232" customFormat="1" ht="17" customHeight="1">
      <c r="A15186" s="234"/>
      <c r="B15186" s="233"/>
      <c r="C15186" s="238"/>
      <c r="E15186" s="545"/>
      <c r="F15186" s="546"/>
      <c r="G15186" s="234"/>
      <c r="H15186" s="238"/>
      <c r="I15186" s="237"/>
    </row>
    <row r="15187" spans="1:9" s="232" customFormat="1" ht="17" customHeight="1">
      <c r="A15187" s="234"/>
      <c r="B15187" s="233"/>
      <c r="C15187" s="238"/>
      <c r="E15187" s="545"/>
      <c r="F15187" s="546"/>
      <c r="G15187" s="234"/>
      <c r="H15187" s="238"/>
      <c r="I15187" s="237"/>
    </row>
    <row r="15188" spans="1:9" s="232" customFormat="1" ht="17" customHeight="1">
      <c r="A15188" s="234"/>
      <c r="B15188" s="233"/>
      <c r="C15188" s="238"/>
      <c r="E15188" s="545"/>
      <c r="F15188" s="546"/>
      <c r="G15188" s="234"/>
      <c r="H15188" s="238"/>
      <c r="I15188" s="237"/>
    </row>
    <row r="15189" spans="1:9" s="232" customFormat="1" ht="17" customHeight="1">
      <c r="A15189" s="234"/>
      <c r="B15189" s="233"/>
      <c r="C15189" s="238"/>
      <c r="E15189" s="545"/>
      <c r="F15189" s="546"/>
      <c r="G15189" s="234"/>
      <c r="H15189" s="238"/>
      <c r="I15189" s="237"/>
    </row>
    <row r="15190" spans="1:9" s="232" customFormat="1" ht="17" customHeight="1">
      <c r="A15190" s="234"/>
      <c r="B15190" s="233"/>
      <c r="C15190" s="238"/>
      <c r="E15190" s="545"/>
      <c r="F15190" s="546"/>
      <c r="G15190" s="234"/>
      <c r="H15190" s="238"/>
      <c r="I15190" s="237"/>
    </row>
    <row r="15191" spans="1:9" s="232" customFormat="1" ht="17" customHeight="1">
      <c r="A15191" s="234"/>
      <c r="B15191" s="233"/>
      <c r="C15191" s="238"/>
      <c r="E15191" s="545"/>
      <c r="F15191" s="546"/>
      <c r="G15191" s="234"/>
      <c r="H15191" s="238"/>
      <c r="I15191" s="237"/>
    </row>
    <row r="15192" spans="1:9" s="232" customFormat="1" ht="17" customHeight="1">
      <c r="A15192" s="234"/>
      <c r="B15192" s="233"/>
      <c r="C15192" s="238"/>
      <c r="E15192" s="545"/>
      <c r="F15192" s="546"/>
      <c r="G15192" s="234"/>
      <c r="H15192" s="238"/>
      <c r="I15192" s="237"/>
    </row>
    <row r="15193" spans="1:9" s="232" customFormat="1" ht="17" customHeight="1">
      <c r="A15193" s="234"/>
      <c r="B15193" s="233"/>
      <c r="C15193" s="238"/>
      <c r="E15193" s="545"/>
      <c r="F15193" s="546"/>
      <c r="G15193" s="234"/>
      <c r="H15193" s="238"/>
      <c r="I15193" s="237"/>
    </row>
    <row r="15194" spans="1:9" s="232" customFormat="1" ht="17" customHeight="1">
      <c r="A15194" s="234"/>
      <c r="B15194" s="233"/>
      <c r="C15194" s="238"/>
      <c r="E15194" s="545"/>
      <c r="F15194" s="546"/>
      <c r="G15194" s="234"/>
      <c r="H15194" s="238"/>
      <c r="I15194" s="237"/>
    </row>
    <row r="15195" spans="1:9" s="232" customFormat="1" ht="17" customHeight="1">
      <c r="A15195" s="234"/>
      <c r="B15195" s="233"/>
      <c r="C15195" s="238"/>
      <c r="E15195" s="545"/>
      <c r="F15195" s="546"/>
      <c r="G15195" s="234"/>
      <c r="H15195" s="238"/>
      <c r="I15195" s="237"/>
    </row>
    <row r="15196" spans="1:9" s="232" customFormat="1" ht="17" customHeight="1">
      <c r="A15196" s="234"/>
      <c r="B15196" s="233"/>
      <c r="C15196" s="238"/>
      <c r="E15196" s="545"/>
      <c r="F15196" s="546"/>
      <c r="G15196" s="234"/>
      <c r="H15196" s="238"/>
      <c r="I15196" s="237"/>
    </row>
    <row r="15197" spans="1:9" s="232" customFormat="1" ht="17" customHeight="1">
      <c r="A15197" s="234"/>
      <c r="B15197" s="233"/>
      <c r="C15197" s="238"/>
      <c r="E15197" s="545"/>
      <c r="F15197" s="546"/>
      <c r="G15197" s="234"/>
      <c r="H15197" s="238"/>
      <c r="I15197" s="237"/>
    </row>
    <row r="15198" spans="1:9" s="232" customFormat="1" ht="17" customHeight="1">
      <c r="A15198" s="234"/>
      <c r="B15198" s="233"/>
      <c r="C15198" s="238"/>
      <c r="E15198" s="545"/>
      <c r="F15198" s="546"/>
      <c r="G15198" s="234"/>
      <c r="H15198" s="238"/>
      <c r="I15198" s="237"/>
    </row>
    <row r="15199" spans="1:9" s="232" customFormat="1" ht="17" customHeight="1">
      <c r="A15199" s="234"/>
      <c r="B15199" s="233"/>
      <c r="C15199" s="238"/>
      <c r="E15199" s="545"/>
      <c r="F15199" s="546"/>
      <c r="G15199" s="234"/>
      <c r="H15199" s="238"/>
      <c r="I15199" s="237"/>
    </row>
    <row r="15200" spans="1:9" s="232" customFormat="1" ht="17" customHeight="1">
      <c r="A15200" s="234"/>
      <c r="B15200" s="233"/>
      <c r="C15200" s="238"/>
      <c r="E15200" s="545"/>
      <c r="F15200" s="546"/>
      <c r="G15200" s="234"/>
      <c r="H15200" s="238"/>
      <c r="I15200" s="237"/>
    </row>
    <row r="15201" spans="1:9" s="232" customFormat="1" ht="17" customHeight="1">
      <c r="A15201" s="234"/>
      <c r="B15201" s="233"/>
      <c r="C15201" s="238"/>
      <c r="E15201" s="545"/>
      <c r="F15201" s="546"/>
      <c r="G15201" s="234"/>
      <c r="H15201" s="238"/>
      <c r="I15201" s="237"/>
    </row>
    <row r="15202" spans="1:9" s="232" customFormat="1" ht="17" customHeight="1">
      <c r="A15202" s="234"/>
      <c r="B15202" s="233"/>
      <c r="C15202" s="238"/>
      <c r="E15202" s="545"/>
      <c r="F15202" s="546"/>
      <c r="G15202" s="234"/>
      <c r="H15202" s="238"/>
      <c r="I15202" s="237"/>
    </row>
    <row r="15203" spans="1:9" s="232" customFormat="1" ht="17" customHeight="1">
      <c r="A15203" s="234"/>
      <c r="B15203" s="233"/>
      <c r="C15203" s="238"/>
      <c r="E15203" s="545"/>
      <c r="F15203" s="546"/>
      <c r="G15203" s="234"/>
      <c r="H15203" s="238"/>
      <c r="I15203" s="237"/>
    </row>
    <row r="15204" spans="1:9" s="232" customFormat="1" ht="17" customHeight="1">
      <c r="A15204" s="234"/>
      <c r="B15204" s="233"/>
      <c r="C15204" s="238"/>
      <c r="E15204" s="545"/>
      <c r="F15204" s="546"/>
      <c r="G15204" s="234"/>
      <c r="H15204" s="238"/>
      <c r="I15204" s="237"/>
    </row>
    <row r="15205" spans="1:9" s="232" customFormat="1" ht="17" customHeight="1">
      <c r="A15205" s="234"/>
      <c r="B15205" s="233"/>
      <c r="C15205" s="238"/>
      <c r="E15205" s="545"/>
      <c r="F15205" s="546"/>
      <c r="G15205" s="234"/>
      <c r="H15205" s="238"/>
      <c r="I15205" s="237"/>
    </row>
    <row r="15206" spans="1:9" s="232" customFormat="1" ht="17" customHeight="1">
      <c r="A15206" s="234"/>
      <c r="B15206" s="233"/>
      <c r="C15206" s="238"/>
      <c r="E15206" s="545"/>
      <c r="F15206" s="546"/>
      <c r="G15206" s="234"/>
      <c r="H15206" s="238"/>
      <c r="I15206" s="237"/>
    </row>
    <row r="15207" spans="1:9" s="232" customFormat="1" ht="17" customHeight="1">
      <c r="A15207" s="234"/>
      <c r="B15207" s="233"/>
      <c r="C15207" s="238"/>
      <c r="E15207" s="545"/>
      <c r="F15207" s="546"/>
      <c r="G15207" s="234"/>
      <c r="H15207" s="238"/>
      <c r="I15207" s="237"/>
    </row>
    <row r="15208" spans="1:9" s="232" customFormat="1" ht="17" customHeight="1">
      <c r="A15208" s="234"/>
      <c r="B15208" s="233"/>
      <c r="C15208" s="238"/>
      <c r="E15208" s="545"/>
      <c r="F15208" s="546"/>
      <c r="G15208" s="234"/>
      <c r="H15208" s="238"/>
      <c r="I15208" s="237"/>
    </row>
    <row r="15209" spans="1:9" s="232" customFormat="1" ht="17" customHeight="1">
      <c r="A15209" s="234"/>
      <c r="B15209" s="233"/>
      <c r="C15209" s="238"/>
      <c r="E15209" s="545"/>
      <c r="F15209" s="546"/>
      <c r="G15209" s="234"/>
      <c r="H15209" s="238"/>
      <c r="I15209" s="237"/>
    </row>
    <row r="15210" spans="1:9" s="232" customFormat="1" ht="17" customHeight="1">
      <c r="A15210" s="234"/>
      <c r="B15210" s="233"/>
      <c r="C15210" s="238"/>
      <c r="E15210" s="545"/>
      <c r="F15210" s="546"/>
      <c r="G15210" s="234"/>
      <c r="H15210" s="238"/>
      <c r="I15210" s="237"/>
    </row>
    <row r="15211" spans="1:9" s="232" customFormat="1" ht="17" customHeight="1">
      <c r="A15211" s="234"/>
      <c r="B15211" s="233"/>
      <c r="C15211" s="238"/>
      <c r="E15211" s="545"/>
      <c r="F15211" s="546"/>
      <c r="G15211" s="234"/>
      <c r="H15211" s="238"/>
      <c r="I15211" s="237"/>
    </row>
    <row r="15212" spans="1:9" s="232" customFormat="1" ht="17" customHeight="1">
      <c r="A15212" s="234"/>
      <c r="B15212" s="233"/>
      <c r="C15212" s="238"/>
      <c r="E15212" s="545"/>
      <c r="F15212" s="546"/>
      <c r="G15212" s="234"/>
      <c r="H15212" s="238"/>
      <c r="I15212" s="237"/>
    </row>
    <row r="15213" spans="1:9" s="232" customFormat="1" ht="17" customHeight="1">
      <c r="A15213" s="234"/>
      <c r="B15213" s="233"/>
      <c r="C15213" s="238"/>
      <c r="E15213" s="545"/>
      <c r="F15213" s="546"/>
      <c r="G15213" s="234"/>
      <c r="H15213" s="238"/>
      <c r="I15213" s="237"/>
    </row>
    <row r="15214" spans="1:9" s="232" customFormat="1" ht="17" customHeight="1">
      <c r="A15214" s="234"/>
      <c r="B15214" s="233"/>
      <c r="C15214" s="238"/>
      <c r="E15214" s="545"/>
      <c r="F15214" s="546"/>
      <c r="G15214" s="234"/>
      <c r="H15214" s="238"/>
      <c r="I15214" s="237"/>
    </row>
    <row r="15215" spans="1:9" s="232" customFormat="1" ht="17" customHeight="1">
      <c r="A15215" s="234"/>
      <c r="B15215" s="233"/>
      <c r="C15215" s="238"/>
      <c r="E15215" s="545"/>
      <c r="F15215" s="546"/>
      <c r="G15215" s="234"/>
      <c r="H15215" s="238"/>
      <c r="I15215" s="237"/>
    </row>
    <row r="15216" spans="1:9" s="232" customFormat="1" ht="17" customHeight="1">
      <c r="A15216" s="234"/>
      <c r="B15216" s="233"/>
      <c r="C15216" s="238"/>
      <c r="E15216" s="545"/>
      <c r="F15216" s="546"/>
      <c r="G15216" s="234"/>
      <c r="H15216" s="238"/>
      <c r="I15216" s="237"/>
    </row>
    <row r="15217" spans="1:9" s="232" customFormat="1" ht="17" customHeight="1">
      <c r="A15217" s="234"/>
      <c r="B15217" s="233"/>
      <c r="C15217" s="238"/>
      <c r="E15217" s="545"/>
      <c r="F15217" s="546"/>
      <c r="G15217" s="234"/>
      <c r="H15217" s="238"/>
      <c r="I15217" s="237"/>
    </row>
    <row r="15218" spans="1:9" s="232" customFormat="1" ht="17" customHeight="1">
      <c r="A15218" s="234"/>
      <c r="B15218" s="233"/>
      <c r="C15218" s="238"/>
      <c r="E15218" s="545"/>
      <c r="F15218" s="546"/>
      <c r="G15218" s="234"/>
      <c r="H15218" s="238"/>
      <c r="I15218" s="237"/>
    </row>
    <row r="15219" spans="1:9" s="232" customFormat="1" ht="17" customHeight="1">
      <c r="A15219" s="234"/>
      <c r="B15219" s="233"/>
      <c r="C15219" s="238"/>
      <c r="E15219" s="545"/>
      <c r="F15219" s="546"/>
      <c r="G15219" s="234"/>
      <c r="H15219" s="238"/>
      <c r="I15219" s="237"/>
    </row>
    <row r="15220" spans="1:9" s="232" customFormat="1" ht="17" customHeight="1">
      <c r="A15220" s="234"/>
      <c r="B15220" s="233"/>
      <c r="C15220" s="238"/>
      <c r="E15220" s="545"/>
      <c r="F15220" s="546"/>
      <c r="G15220" s="234"/>
      <c r="H15220" s="238"/>
      <c r="I15220" s="237"/>
    </row>
    <row r="15221" spans="1:9" s="232" customFormat="1" ht="17" customHeight="1">
      <c r="A15221" s="234"/>
      <c r="B15221" s="233"/>
      <c r="C15221" s="238"/>
      <c r="E15221" s="545"/>
      <c r="F15221" s="546"/>
      <c r="G15221" s="234"/>
      <c r="H15221" s="238"/>
      <c r="I15221" s="237"/>
    </row>
    <row r="15222" spans="1:9" s="232" customFormat="1" ht="17" customHeight="1">
      <c r="A15222" s="234"/>
      <c r="B15222" s="233"/>
      <c r="C15222" s="238"/>
      <c r="E15222" s="545"/>
      <c r="F15222" s="546"/>
      <c r="G15222" s="234"/>
      <c r="H15222" s="238"/>
      <c r="I15222" s="237"/>
    </row>
    <row r="15223" spans="1:9" s="232" customFormat="1" ht="17" customHeight="1">
      <c r="A15223" s="234"/>
      <c r="B15223" s="233"/>
      <c r="C15223" s="238"/>
      <c r="E15223" s="545"/>
      <c r="F15223" s="546"/>
      <c r="G15223" s="234"/>
      <c r="H15223" s="238"/>
      <c r="I15223" s="237"/>
    </row>
    <row r="15224" spans="1:9" s="232" customFormat="1" ht="17" customHeight="1">
      <c r="A15224" s="234"/>
      <c r="B15224" s="233"/>
      <c r="C15224" s="238"/>
      <c r="E15224" s="545"/>
      <c r="F15224" s="546"/>
      <c r="G15224" s="234"/>
      <c r="H15224" s="238"/>
      <c r="I15224" s="237"/>
    </row>
    <row r="15225" spans="1:9" s="232" customFormat="1" ht="17" customHeight="1">
      <c r="A15225" s="234"/>
      <c r="B15225" s="233"/>
      <c r="C15225" s="238"/>
      <c r="E15225" s="545"/>
      <c r="F15225" s="546"/>
      <c r="G15225" s="234"/>
      <c r="H15225" s="238"/>
      <c r="I15225" s="237"/>
    </row>
    <row r="15226" spans="1:9" s="232" customFormat="1" ht="17" customHeight="1">
      <c r="A15226" s="234"/>
      <c r="B15226" s="233"/>
      <c r="C15226" s="238"/>
      <c r="E15226" s="545"/>
      <c r="F15226" s="546"/>
      <c r="G15226" s="234"/>
      <c r="H15226" s="238"/>
      <c r="I15226" s="237"/>
    </row>
    <row r="15227" spans="1:9" s="232" customFormat="1" ht="17" customHeight="1">
      <c r="A15227" s="234"/>
      <c r="B15227" s="233"/>
      <c r="C15227" s="238"/>
      <c r="E15227" s="545"/>
      <c r="F15227" s="546"/>
      <c r="G15227" s="234"/>
      <c r="H15227" s="238"/>
      <c r="I15227" s="237"/>
    </row>
    <row r="15228" spans="1:9" s="232" customFormat="1" ht="17" customHeight="1">
      <c r="A15228" s="234"/>
      <c r="B15228" s="233"/>
      <c r="C15228" s="238"/>
      <c r="E15228" s="545"/>
      <c r="F15228" s="546"/>
      <c r="G15228" s="234"/>
      <c r="H15228" s="238"/>
      <c r="I15228" s="237"/>
    </row>
    <row r="15229" spans="1:9" s="232" customFormat="1" ht="17" customHeight="1">
      <c r="A15229" s="234"/>
      <c r="B15229" s="233"/>
      <c r="C15229" s="238"/>
      <c r="E15229" s="545"/>
      <c r="F15229" s="546"/>
      <c r="G15229" s="234"/>
      <c r="H15229" s="238"/>
      <c r="I15229" s="237"/>
    </row>
    <row r="15230" spans="1:9" s="232" customFormat="1" ht="17" customHeight="1">
      <c r="A15230" s="234"/>
      <c r="B15230" s="233"/>
      <c r="C15230" s="238"/>
      <c r="E15230" s="545"/>
      <c r="F15230" s="546"/>
      <c r="G15230" s="234"/>
      <c r="H15230" s="238"/>
      <c r="I15230" s="237"/>
    </row>
    <row r="15231" spans="1:9" s="232" customFormat="1" ht="17" customHeight="1">
      <c r="A15231" s="234"/>
      <c r="B15231" s="233"/>
      <c r="C15231" s="238"/>
      <c r="E15231" s="545"/>
      <c r="F15231" s="546"/>
      <c r="G15231" s="234"/>
      <c r="H15231" s="238"/>
      <c r="I15231" s="237"/>
    </row>
    <row r="15232" spans="1:9" s="232" customFormat="1" ht="17" customHeight="1">
      <c r="A15232" s="234"/>
      <c r="B15232" s="233"/>
      <c r="C15232" s="238"/>
      <c r="E15232" s="545"/>
      <c r="F15232" s="546"/>
      <c r="G15232" s="234"/>
      <c r="H15232" s="238"/>
      <c r="I15232" s="237"/>
    </row>
    <row r="15233" spans="1:9" s="232" customFormat="1" ht="17" customHeight="1">
      <c r="A15233" s="234"/>
      <c r="B15233" s="233"/>
      <c r="C15233" s="238"/>
      <c r="E15233" s="545"/>
      <c r="F15233" s="546"/>
      <c r="G15233" s="234"/>
      <c r="H15233" s="238"/>
      <c r="I15233" s="237"/>
    </row>
    <row r="15234" spans="1:9" s="232" customFormat="1" ht="17" customHeight="1">
      <c r="A15234" s="234"/>
      <c r="B15234" s="233"/>
      <c r="C15234" s="238"/>
      <c r="E15234" s="545"/>
      <c r="F15234" s="546"/>
      <c r="G15234" s="234"/>
      <c r="H15234" s="238"/>
      <c r="I15234" s="237"/>
    </row>
    <row r="15235" spans="1:9" s="232" customFormat="1" ht="17" customHeight="1">
      <c r="A15235" s="234"/>
      <c r="B15235" s="233"/>
      <c r="C15235" s="238"/>
      <c r="E15235" s="545"/>
      <c r="F15235" s="546"/>
      <c r="G15235" s="234"/>
      <c r="H15235" s="238"/>
      <c r="I15235" s="237"/>
    </row>
    <row r="15236" spans="1:9" s="232" customFormat="1" ht="17" customHeight="1">
      <c r="A15236" s="234"/>
      <c r="B15236" s="233"/>
      <c r="C15236" s="238"/>
      <c r="E15236" s="545"/>
      <c r="F15236" s="546"/>
      <c r="G15236" s="234"/>
      <c r="H15236" s="238"/>
      <c r="I15236" s="237"/>
    </row>
    <row r="15237" spans="1:9" s="232" customFormat="1" ht="17" customHeight="1">
      <c r="A15237" s="234"/>
      <c r="B15237" s="233"/>
      <c r="C15237" s="238"/>
      <c r="E15237" s="545"/>
      <c r="F15237" s="546"/>
      <c r="G15237" s="234"/>
      <c r="H15237" s="238"/>
      <c r="I15237" s="237"/>
    </row>
    <row r="15238" spans="1:9" s="232" customFormat="1" ht="17" customHeight="1">
      <c r="A15238" s="234"/>
      <c r="B15238" s="233"/>
      <c r="C15238" s="238"/>
      <c r="E15238" s="545"/>
      <c r="F15238" s="546"/>
      <c r="G15238" s="234"/>
      <c r="H15238" s="238"/>
      <c r="I15238" s="237"/>
    </row>
    <row r="15239" spans="1:9" s="232" customFormat="1" ht="17" customHeight="1">
      <c r="A15239" s="234"/>
      <c r="B15239" s="233"/>
      <c r="C15239" s="238"/>
      <c r="E15239" s="545"/>
      <c r="F15239" s="546"/>
      <c r="G15239" s="234"/>
      <c r="H15239" s="238"/>
      <c r="I15239" s="237"/>
    </row>
    <row r="15240" spans="1:9" s="232" customFormat="1" ht="17" customHeight="1">
      <c r="A15240" s="234"/>
      <c r="B15240" s="233"/>
      <c r="C15240" s="238"/>
      <c r="E15240" s="545"/>
      <c r="F15240" s="546"/>
      <c r="G15240" s="234"/>
      <c r="H15240" s="238"/>
      <c r="I15240" s="237"/>
    </row>
    <row r="15241" spans="1:9" s="232" customFormat="1" ht="17" customHeight="1">
      <c r="A15241" s="234"/>
      <c r="B15241" s="233"/>
      <c r="C15241" s="238"/>
      <c r="E15241" s="545"/>
      <c r="F15241" s="546"/>
      <c r="G15241" s="234"/>
      <c r="H15241" s="238"/>
      <c r="I15241" s="237"/>
    </row>
    <row r="15242" spans="1:9" s="232" customFormat="1" ht="17" customHeight="1">
      <c r="A15242" s="234"/>
      <c r="B15242" s="233"/>
      <c r="C15242" s="238"/>
      <c r="E15242" s="545"/>
      <c r="F15242" s="546"/>
      <c r="G15242" s="234"/>
      <c r="H15242" s="238"/>
      <c r="I15242" s="237"/>
    </row>
    <row r="15243" spans="1:9" s="232" customFormat="1" ht="17" customHeight="1">
      <c r="A15243" s="234"/>
      <c r="B15243" s="233"/>
      <c r="C15243" s="238"/>
      <c r="E15243" s="545"/>
      <c r="F15243" s="546"/>
      <c r="G15243" s="234"/>
      <c r="H15243" s="238"/>
      <c r="I15243" s="237"/>
    </row>
    <row r="15244" spans="1:9" s="232" customFormat="1" ht="17" customHeight="1">
      <c r="A15244" s="234"/>
      <c r="B15244" s="233"/>
      <c r="C15244" s="238"/>
      <c r="E15244" s="545"/>
      <c r="F15244" s="546"/>
      <c r="G15244" s="234"/>
      <c r="H15244" s="238"/>
      <c r="I15244" s="237"/>
    </row>
    <row r="15245" spans="1:9" s="232" customFormat="1" ht="17" customHeight="1">
      <c r="A15245" s="234"/>
      <c r="B15245" s="233"/>
      <c r="C15245" s="238"/>
      <c r="E15245" s="545"/>
      <c r="F15245" s="546"/>
      <c r="G15245" s="234"/>
      <c r="H15245" s="238"/>
      <c r="I15245" s="237"/>
    </row>
    <row r="15246" spans="1:9" s="232" customFormat="1" ht="17" customHeight="1">
      <c r="A15246" s="234"/>
      <c r="B15246" s="233"/>
      <c r="C15246" s="238"/>
      <c r="E15246" s="545"/>
      <c r="F15246" s="546"/>
      <c r="G15246" s="234"/>
      <c r="H15246" s="238"/>
      <c r="I15246" s="237"/>
    </row>
    <row r="15247" spans="1:9" s="232" customFormat="1" ht="17" customHeight="1">
      <c r="A15247" s="234"/>
      <c r="B15247" s="233"/>
      <c r="C15247" s="238"/>
      <c r="E15247" s="545"/>
      <c r="F15247" s="546"/>
      <c r="G15247" s="234"/>
      <c r="H15247" s="238"/>
      <c r="I15247" s="237"/>
    </row>
    <row r="15248" spans="1:9" s="232" customFormat="1" ht="17" customHeight="1">
      <c r="A15248" s="234"/>
      <c r="B15248" s="233"/>
      <c r="C15248" s="238"/>
      <c r="E15248" s="545"/>
      <c r="F15248" s="546"/>
      <c r="G15248" s="234"/>
      <c r="H15248" s="238"/>
      <c r="I15248" s="237"/>
    </row>
    <row r="15249" spans="1:9" s="232" customFormat="1" ht="17" customHeight="1">
      <c r="A15249" s="234"/>
      <c r="B15249" s="233"/>
      <c r="C15249" s="238"/>
      <c r="E15249" s="545"/>
      <c r="F15249" s="546"/>
      <c r="G15249" s="234"/>
      <c r="H15249" s="238"/>
      <c r="I15249" s="237"/>
    </row>
    <row r="15250" spans="1:9" s="232" customFormat="1" ht="17" customHeight="1">
      <c r="A15250" s="234"/>
      <c r="B15250" s="233"/>
      <c r="C15250" s="238"/>
      <c r="E15250" s="545"/>
      <c r="F15250" s="546"/>
      <c r="G15250" s="234"/>
      <c r="H15250" s="238"/>
      <c r="I15250" s="237"/>
    </row>
    <row r="15251" spans="1:9" s="232" customFormat="1" ht="17" customHeight="1">
      <c r="A15251" s="234"/>
      <c r="B15251" s="233"/>
      <c r="C15251" s="238"/>
      <c r="E15251" s="545"/>
      <c r="F15251" s="546"/>
      <c r="G15251" s="234"/>
      <c r="H15251" s="238"/>
      <c r="I15251" s="237"/>
    </row>
    <row r="15252" spans="1:9" s="232" customFormat="1" ht="17" customHeight="1">
      <c r="A15252" s="234"/>
      <c r="B15252" s="233"/>
      <c r="C15252" s="238"/>
      <c r="E15252" s="545"/>
      <c r="F15252" s="546"/>
      <c r="G15252" s="234"/>
      <c r="H15252" s="238"/>
      <c r="I15252" s="237"/>
    </row>
    <row r="15253" spans="1:9" s="232" customFormat="1" ht="17" customHeight="1">
      <c r="A15253" s="234"/>
      <c r="B15253" s="233"/>
      <c r="C15253" s="238"/>
      <c r="E15253" s="545"/>
      <c r="F15253" s="546"/>
      <c r="G15253" s="234"/>
      <c r="H15253" s="238"/>
      <c r="I15253" s="237"/>
    </row>
    <row r="15254" spans="1:9" s="232" customFormat="1" ht="17" customHeight="1">
      <c r="A15254" s="234"/>
      <c r="B15254" s="233"/>
      <c r="C15254" s="238"/>
      <c r="E15254" s="545"/>
      <c r="F15254" s="546"/>
      <c r="G15254" s="234"/>
      <c r="H15254" s="238"/>
      <c r="I15254" s="237"/>
    </row>
    <row r="15255" spans="1:9" s="232" customFormat="1" ht="17" customHeight="1">
      <c r="A15255" s="234"/>
      <c r="B15255" s="233"/>
      <c r="C15255" s="238"/>
      <c r="E15255" s="545"/>
      <c r="F15255" s="546"/>
      <c r="G15255" s="234"/>
      <c r="H15255" s="238"/>
      <c r="I15255" s="237"/>
    </row>
    <row r="15256" spans="1:9" s="232" customFormat="1" ht="17" customHeight="1">
      <c r="A15256" s="234"/>
      <c r="B15256" s="233"/>
      <c r="C15256" s="238"/>
      <c r="E15256" s="545"/>
      <c r="F15256" s="546"/>
      <c r="G15256" s="234"/>
      <c r="H15256" s="238"/>
      <c r="I15256" s="237"/>
    </row>
    <row r="15257" spans="1:9" s="232" customFormat="1" ht="17" customHeight="1">
      <c r="A15257" s="234"/>
      <c r="B15257" s="233"/>
      <c r="C15257" s="238"/>
      <c r="E15257" s="545"/>
      <c r="F15257" s="546"/>
      <c r="G15257" s="234"/>
      <c r="H15257" s="238"/>
      <c r="I15257" s="237"/>
    </row>
    <row r="15258" spans="1:9" s="232" customFormat="1" ht="17" customHeight="1">
      <c r="A15258" s="234"/>
      <c r="B15258" s="233"/>
      <c r="C15258" s="238"/>
      <c r="E15258" s="545"/>
      <c r="F15258" s="546"/>
      <c r="G15258" s="234"/>
      <c r="H15258" s="238"/>
      <c r="I15258" s="237"/>
    </row>
    <row r="15259" spans="1:9" s="232" customFormat="1" ht="17" customHeight="1">
      <c r="A15259" s="234"/>
      <c r="B15259" s="233"/>
      <c r="C15259" s="238"/>
      <c r="E15259" s="545"/>
      <c r="F15259" s="546"/>
      <c r="G15259" s="234"/>
      <c r="H15259" s="238"/>
      <c r="I15259" s="237"/>
    </row>
    <row r="15260" spans="1:9" s="232" customFormat="1" ht="17" customHeight="1">
      <c r="A15260" s="234"/>
      <c r="B15260" s="233"/>
      <c r="C15260" s="238"/>
      <c r="E15260" s="545"/>
      <c r="F15260" s="546"/>
      <c r="G15260" s="234"/>
      <c r="H15260" s="238"/>
      <c r="I15260" s="237"/>
    </row>
    <row r="15261" spans="1:9" s="232" customFormat="1" ht="17" customHeight="1">
      <c r="A15261" s="234"/>
      <c r="B15261" s="233"/>
      <c r="C15261" s="238"/>
      <c r="E15261" s="545"/>
      <c r="F15261" s="546"/>
      <c r="G15261" s="234"/>
      <c r="H15261" s="238"/>
      <c r="I15261" s="237"/>
    </row>
    <row r="15262" spans="1:9" s="232" customFormat="1" ht="17" customHeight="1">
      <c r="A15262" s="234"/>
      <c r="B15262" s="233"/>
      <c r="C15262" s="238"/>
      <c r="E15262" s="545"/>
      <c r="F15262" s="546"/>
      <c r="G15262" s="234"/>
      <c r="H15262" s="238"/>
      <c r="I15262" s="237"/>
    </row>
    <row r="15263" spans="1:9" s="232" customFormat="1" ht="17" customHeight="1">
      <c r="A15263" s="234"/>
      <c r="B15263" s="233"/>
      <c r="C15263" s="238"/>
      <c r="E15263" s="545"/>
      <c r="F15263" s="546"/>
      <c r="G15263" s="234"/>
      <c r="H15263" s="238"/>
      <c r="I15263" s="237"/>
    </row>
    <row r="15264" spans="1:9" s="232" customFormat="1" ht="17" customHeight="1">
      <c r="A15264" s="234"/>
      <c r="B15264" s="233"/>
      <c r="C15264" s="238"/>
      <c r="E15264" s="545"/>
      <c r="F15264" s="546"/>
      <c r="G15264" s="234"/>
      <c r="H15264" s="238"/>
      <c r="I15264" s="237"/>
    </row>
    <row r="15265" spans="1:9" s="232" customFormat="1" ht="17" customHeight="1">
      <c r="A15265" s="234"/>
      <c r="B15265" s="233"/>
      <c r="C15265" s="238"/>
      <c r="E15265" s="545"/>
      <c r="F15265" s="546"/>
      <c r="G15265" s="234"/>
      <c r="H15265" s="238"/>
      <c r="I15265" s="237"/>
    </row>
    <row r="15266" spans="1:9" s="232" customFormat="1" ht="17" customHeight="1">
      <c r="A15266" s="234"/>
      <c r="B15266" s="233"/>
      <c r="C15266" s="238"/>
      <c r="E15266" s="545"/>
      <c r="F15266" s="546"/>
      <c r="G15266" s="234"/>
      <c r="H15266" s="238"/>
      <c r="I15266" s="237"/>
    </row>
    <row r="15267" spans="1:9" s="232" customFormat="1" ht="17" customHeight="1">
      <c r="A15267" s="234"/>
      <c r="B15267" s="233"/>
      <c r="C15267" s="238"/>
      <c r="E15267" s="545"/>
      <c r="F15267" s="546"/>
      <c r="G15267" s="234"/>
      <c r="H15267" s="238"/>
      <c r="I15267" s="237"/>
    </row>
    <row r="15268" spans="1:9" s="232" customFormat="1" ht="17" customHeight="1">
      <c r="A15268" s="234"/>
      <c r="B15268" s="233"/>
      <c r="C15268" s="238"/>
      <c r="E15268" s="545"/>
      <c r="F15268" s="546"/>
      <c r="G15268" s="234"/>
      <c r="H15268" s="238"/>
      <c r="I15268" s="237"/>
    </row>
    <row r="15269" spans="1:9" s="232" customFormat="1" ht="17" customHeight="1">
      <c r="A15269" s="234"/>
      <c r="B15269" s="233"/>
      <c r="C15269" s="238"/>
      <c r="E15269" s="545"/>
      <c r="F15269" s="546"/>
      <c r="G15269" s="234"/>
      <c r="H15269" s="238"/>
      <c r="I15269" s="237"/>
    </row>
    <row r="15270" spans="1:9" s="232" customFormat="1" ht="17" customHeight="1">
      <c r="A15270" s="234"/>
      <c r="B15270" s="233"/>
      <c r="C15270" s="238"/>
      <c r="E15270" s="545"/>
      <c r="F15270" s="546"/>
      <c r="G15270" s="234"/>
      <c r="H15270" s="238"/>
      <c r="I15270" s="237"/>
    </row>
    <row r="15271" spans="1:9" s="232" customFormat="1" ht="17" customHeight="1">
      <c r="A15271" s="234"/>
      <c r="B15271" s="233"/>
      <c r="C15271" s="238"/>
      <c r="E15271" s="545"/>
      <c r="F15271" s="546"/>
      <c r="G15271" s="234"/>
      <c r="H15271" s="238"/>
      <c r="I15271" s="237"/>
    </row>
    <row r="15272" spans="1:9" s="232" customFormat="1" ht="17" customHeight="1">
      <c r="A15272" s="234"/>
      <c r="B15272" s="233"/>
      <c r="C15272" s="238"/>
      <c r="E15272" s="545"/>
      <c r="F15272" s="546"/>
      <c r="G15272" s="234"/>
      <c r="H15272" s="238"/>
      <c r="I15272" s="237"/>
    </row>
    <row r="15273" spans="1:9" s="232" customFormat="1" ht="17" customHeight="1">
      <c r="A15273" s="234"/>
      <c r="B15273" s="233"/>
      <c r="C15273" s="238"/>
      <c r="E15273" s="545"/>
      <c r="F15273" s="546"/>
      <c r="G15273" s="234"/>
      <c r="H15273" s="238"/>
      <c r="I15273" s="237"/>
    </row>
    <row r="15274" spans="1:9" s="232" customFormat="1" ht="17" customHeight="1">
      <c r="A15274" s="234"/>
      <c r="B15274" s="233"/>
      <c r="C15274" s="238"/>
      <c r="E15274" s="545"/>
      <c r="F15274" s="546"/>
      <c r="G15274" s="234"/>
      <c r="H15274" s="238"/>
      <c r="I15274" s="237"/>
    </row>
    <row r="15275" spans="1:9" s="232" customFormat="1" ht="17" customHeight="1">
      <c r="A15275" s="234"/>
      <c r="B15275" s="233"/>
      <c r="C15275" s="238"/>
      <c r="E15275" s="545"/>
      <c r="F15275" s="546"/>
      <c r="G15275" s="234"/>
      <c r="H15275" s="238"/>
      <c r="I15275" s="237"/>
    </row>
    <row r="15276" spans="1:9" s="232" customFormat="1" ht="17" customHeight="1">
      <c r="A15276" s="234"/>
      <c r="B15276" s="233"/>
      <c r="C15276" s="238"/>
      <c r="E15276" s="545"/>
      <c r="F15276" s="546"/>
      <c r="G15276" s="234"/>
      <c r="H15276" s="238"/>
      <c r="I15276" s="237"/>
    </row>
    <row r="15277" spans="1:9" s="232" customFormat="1" ht="17" customHeight="1">
      <c r="A15277" s="234"/>
      <c r="B15277" s="233"/>
      <c r="C15277" s="238"/>
      <c r="E15277" s="545"/>
      <c r="F15277" s="546"/>
      <c r="G15277" s="234"/>
      <c r="H15277" s="238"/>
      <c r="I15277" s="237"/>
    </row>
    <row r="15278" spans="1:9" s="232" customFormat="1" ht="17" customHeight="1">
      <c r="A15278" s="234"/>
      <c r="B15278" s="233"/>
      <c r="C15278" s="238"/>
      <c r="E15278" s="545"/>
      <c r="F15278" s="546"/>
      <c r="G15278" s="234"/>
      <c r="H15278" s="238"/>
      <c r="I15278" s="237"/>
    </row>
    <row r="15279" spans="1:9" s="232" customFormat="1" ht="17" customHeight="1">
      <c r="A15279" s="234"/>
      <c r="B15279" s="233"/>
      <c r="C15279" s="238"/>
      <c r="E15279" s="545"/>
      <c r="F15279" s="546"/>
      <c r="G15279" s="234"/>
      <c r="H15279" s="238"/>
      <c r="I15279" s="237"/>
    </row>
    <row r="15280" spans="1:9" s="232" customFormat="1" ht="17" customHeight="1">
      <c r="A15280" s="234"/>
      <c r="B15280" s="233"/>
      <c r="C15280" s="238"/>
      <c r="E15280" s="545"/>
      <c r="F15280" s="546"/>
      <c r="G15280" s="234"/>
      <c r="H15280" s="238"/>
      <c r="I15280" s="237"/>
    </row>
    <row r="15281" spans="1:9" s="232" customFormat="1" ht="17" customHeight="1">
      <c r="A15281" s="234"/>
      <c r="B15281" s="233"/>
      <c r="C15281" s="238"/>
      <c r="E15281" s="545"/>
      <c r="F15281" s="546"/>
      <c r="G15281" s="234"/>
      <c r="H15281" s="238"/>
      <c r="I15281" s="237"/>
    </row>
    <row r="15282" spans="1:9" s="232" customFormat="1" ht="17" customHeight="1">
      <c r="A15282" s="234"/>
      <c r="B15282" s="233"/>
      <c r="C15282" s="238"/>
      <c r="E15282" s="545"/>
      <c r="F15282" s="546"/>
      <c r="G15282" s="234"/>
      <c r="H15282" s="238"/>
      <c r="I15282" s="237"/>
    </row>
    <row r="15283" spans="1:9" s="232" customFormat="1" ht="17" customHeight="1">
      <c r="A15283" s="234"/>
      <c r="B15283" s="233"/>
      <c r="C15283" s="238"/>
      <c r="E15283" s="545"/>
      <c r="F15283" s="546"/>
      <c r="G15283" s="234"/>
      <c r="H15283" s="238"/>
      <c r="I15283" s="237"/>
    </row>
    <row r="15284" spans="1:9" s="232" customFormat="1" ht="17" customHeight="1">
      <c r="A15284" s="234"/>
      <c r="B15284" s="233"/>
      <c r="C15284" s="238"/>
      <c r="E15284" s="545"/>
      <c r="F15284" s="546"/>
      <c r="G15284" s="234"/>
      <c r="H15284" s="238"/>
      <c r="I15284" s="237"/>
    </row>
    <row r="15285" spans="1:9" s="232" customFormat="1" ht="17" customHeight="1">
      <c r="A15285" s="234"/>
      <c r="B15285" s="233"/>
      <c r="C15285" s="238"/>
      <c r="E15285" s="545"/>
      <c r="F15285" s="546"/>
      <c r="G15285" s="234"/>
      <c r="H15285" s="238"/>
      <c r="I15285" s="237"/>
    </row>
    <row r="15286" spans="1:9" s="232" customFormat="1" ht="17" customHeight="1">
      <c r="A15286" s="234"/>
      <c r="B15286" s="233"/>
      <c r="C15286" s="238"/>
      <c r="E15286" s="545"/>
      <c r="F15286" s="546"/>
      <c r="G15286" s="234"/>
      <c r="H15286" s="238"/>
      <c r="I15286" s="237"/>
    </row>
    <row r="15287" spans="1:9" s="232" customFormat="1" ht="17" customHeight="1">
      <c r="A15287" s="234"/>
      <c r="B15287" s="233"/>
      <c r="C15287" s="238"/>
      <c r="E15287" s="545"/>
      <c r="F15287" s="546"/>
      <c r="G15287" s="234"/>
      <c r="H15287" s="238"/>
      <c r="I15287" s="237"/>
    </row>
    <row r="15288" spans="1:9" s="232" customFormat="1" ht="17" customHeight="1">
      <c r="A15288" s="234"/>
      <c r="B15288" s="233"/>
      <c r="C15288" s="238"/>
      <c r="E15288" s="545"/>
      <c r="F15288" s="546"/>
      <c r="G15288" s="234"/>
      <c r="H15288" s="238"/>
      <c r="I15288" s="237"/>
    </row>
    <row r="15289" spans="1:9" s="232" customFormat="1" ht="17" customHeight="1">
      <c r="A15289" s="234"/>
      <c r="B15289" s="233"/>
      <c r="C15289" s="238"/>
      <c r="E15289" s="545"/>
      <c r="F15289" s="546"/>
      <c r="G15289" s="234"/>
      <c r="H15289" s="238"/>
      <c r="I15289" s="237"/>
    </row>
    <row r="15290" spans="1:9" s="232" customFormat="1" ht="17" customHeight="1">
      <c r="A15290" s="234"/>
      <c r="B15290" s="233"/>
      <c r="C15290" s="238"/>
      <c r="E15290" s="545"/>
      <c r="F15290" s="546"/>
      <c r="G15290" s="234"/>
      <c r="H15290" s="238"/>
      <c r="I15290" s="237"/>
    </row>
    <row r="15291" spans="1:9" s="232" customFormat="1" ht="17" customHeight="1">
      <c r="A15291" s="234"/>
      <c r="B15291" s="233"/>
      <c r="C15291" s="238"/>
      <c r="E15291" s="545"/>
      <c r="F15291" s="546"/>
      <c r="G15291" s="234"/>
      <c r="H15291" s="238"/>
      <c r="I15291" s="237"/>
    </row>
    <row r="15292" spans="1:9" s="232" customFormat="1" ht="17" customHeight="1">
      <c r="A15292" s="234"/>
      <c r="B15292" s="233"/>
      <c r="C15292" s="238"/>
      <c r="E15292" s="545"/>
      <c r="F15292" s="546"/>
      <c r="G15292" s="234"/>
      <c r="H15292" s="238"/>
      <c r="I15292" s="237"/>
    </row>
    <row r="15293" spans="1:9" s="232" customFormat="1" ht="17" customHeight="1">
      <c r="A15293" s="234"/>
      <c r="B15293" s="233"/>
      <c r="C15293" s="238"/>
      <c r="E15293" s="545"/>
      <c r="F15293" s="546"/>
      <c r="G15293" s="234"/>
      <c r="H15293" s="238"/>
      <c r="I15293" s="237"/>
    </row>
    <row r="15294" spans="1:9" s="232" customFormat="1" ht="17" customHeight="1">
      <c r="A15294" s="234"/>
      <c r="B15294" s="233"/>
      <c r="C15294" s="238"/>
      <c r="E15294" s="545"/>
      <c r="F15294" s="546"/>
      <c r="G15294" s="234"/>
      <c r="H15294" s="238"/>
      <c r="I15294" s="237"/>
    </row>
    <row r="15295" spans="1:9" s="232" customFormat="1" ht="17" customHeight="1">
      <c r="A15295" s="234"/>
      <c r="B15295" s="233"/>
      <c r="C15295" s="238"/>
      <c r="E15295" s="545"/>
      <c r="F15295" s="546"/>
      <c r="G15295" s="234"/>
      <c r="H15295" s="238"/>
      <c r="I15295" s="237"/>
    </row>
    <row r="15296" spans="1:9" s="232" customFormat="1" ht="17" customHeight="1">
      <c r="A15296" s="234"/>
      <c r="B15296" s="233"/>
      <c r="C15296" s="238"/>
      <c r="E15296" s="545"/>
      <c r="F15296" s="546"/>
      <c r="G15296" s="234"/>
      <c r="H15296" s="238"/>
      <c r="I15296" s="237"/>
    </row>
    <row r="15297" spans="1:9" s="232" customFormat="1" ht="17" customHeight="1">
      <c r="A15297" s="234"/>
      <c r="B15297" s="233"/>
      <c r="C15297" s="238"/>
      <c r="E15297" s="545"/>
      <c r="F15297" s="546"/>
      <c r="G15297" s="234"/>
      <c r="H15297" s="238"/>
      <c r="I15297" s="237"/>
    </row>
    <row r="15298" spans="1:9" s="232" customFormat="1" ht="17" customHeight="1">
      <c r="A15298" s="234"/>
      <c r="B15298" s="233"/>
      <c r="C15298" s="238"/>
      <c r="E15298" s="545"/>
      <c r="F15298" s="546"/>
      <c r="G15298" s="234"/>
      <c r="H15298" s="238"/>
      <c r="I15298" s="237"/>
    </row>
    <row r="15299" spans="1:9" s="232" customFormat="1" ht="17" customHeight="1">
      <c r="A15299" s="234"/>
      <c r="B15299" s="233"/>
      <c r="C15299" s="238"/>
      <c r="E15299" s="545"/>
      <c r="F15299" s="546"/>
      <c r="G15299" s="234"/>
      <c r="H15299" s="238"/>
      <c r="I15299" s="237"/>
    </row>
    <row r="15300" spans="1:9" s="232" customFormat="1" ht="17" customHeight="1">
      <c r="A15300" s="234"/>
      <c r="B15300" s="233"/>
      <c r="C15300" s="238"/>
      <c r="E15300" s="545"/>
      <c r="F15300" s="546"/>
      <c r="G15300" s="234"/>
      <c r="H15300" s="238"/>
      <c r="I15300" s="237"/>
    </row>
    <row r="15301" spans="1:9" s="232" customFormat="1" ht="17" customHeight="1">
      <c r="A15301" s="234"/>
      <c r="B15301" s="233"/>
      <c r="C15301" s="238"/>
      <c r="E15301" s="545"/>
      <c r="F15301" s="546"/>
      <c r="G15301" s="234"/>
      <c r="H15301" s="238"/>
      <c r="I15301" s="237"/>
    </row>
    <row r="15302" spans="1:9" s="232" customFormat="1" ht="17" customHeight="1">
      <c r="A15302" s="234"/>
      <c r="B15302" s="233"/>
      <c r="C15302" s="238"/>
      <c r="E15302" s="545"/>
      <c r="F15302" s="546"/>
      <c r="G15302" s="234"/>
      <c r="H15302" s="238"/>
      <c r="I15302" s="237"/>
    </row>
    <row r="15303" spans="1:9" s="232" customFormat="1" ht="17" customHeight="1">
      <c r="A15303" s="234"/>
      <c r="B15303" s="233"/>
      <c r="C15303" s="238"/>
      <c r="E15303" s="545"/>
      <c r="F15303" s="546"/>
      <c r="G15303" s="234"/>
      <c r="H15303" s="238"/>
      <c r="I15303" s="237"/>
    </row>
    <row r="15304" spans="1:9" s="232" customFormat="1" ht="17" customHeight="1">
      <c r="A15304" s="234"/>
      <c r="B15304" s="233"/>
      <c r="C15304" s="238"/>
      <c r="E15304" s="545"/>
      <c r="F15304" s="546"/>
      <c r="G15304" s="234"/>
      <c r="H15304" s="238"/>
      <c r="I15304" s="237"/>
    </row>
    <row r="15305" spans="1:9" s="232" customFormat="1" ht="17" customHeight="1">
      <c r="A15305" s="234"/>
      <c r="B15305" s="233"/>
      <c r="C15305" s="238"/>
      <c r="E15305" s="545"/>
      <c r="F15305" s="546"/>
      <c r="G15305" s="234"/>
      <c r="H15305" s="238"/>
      <c r="I15305" s="237"/>
    </row>
    <row r="15306" spans="1:9" s="232" customFormat="1" ht="17" customHeight="1">
      <c r="A15306" s="234"/>
      <c r="B15306" s="233"/>
      <c r="C15306" s="238"/>
      <c r="E15306" s="545"/>
      <c r="F15306" s="546"/>
      <c r="G15306" s="234"/>
      <c r="H15306" s="238"/>
      <c r="I15306" s="237"/>
    </row>
    <row r="15307" spans="1:9" s="232" customFormat="1" ht="17" customHeight="1">
      <c r="A15307" s="234"/>
      <c r="B15307" s="233"/>
      <c r="C15307" s="238"/>
      <c r="E15307" s="545"/>
      <c r="F15307" s="546"/>
      <c r="G15307" s="234"/>
      <c r="H15307" s="238"/>
      <c r="I15307" s="237"/>
    </row>
    <row r="15308" spans="1:9" s="232" customFormat="1" ht="17" customHeight="1">
      <c r="A15308" s="234"/>
      <c r="B15308" s="233"/>
      <c r="C15308" s="238"/>
      <c r="E15308" s="545"/>
      <c r="F15308" s="546"/>
      <c r="G15308" s="234"/>
      <c r="H15308" s="238"/>
      <c r="I15308" s="237"/>
    </row>
    <row r="15309" spans="1:9" s="232" customFormat="1" ht="17" customHeight="1">
      <c r="A15309" s="234"/>
      <c r="B15309" s="233"/>
      <c r="C15309" s="238"/>
      <c r="E15309" s="545"/>
      <c r="F15309" s="546"/>
      <c r="G15309" s="234"/>
      <c r="H15309" s="238"/>
      <c r="I15309" s="237"/>
    </row>
    <row r="15310" spans="1:9" s="232" customFormat="1" ht="17" customHeight="1">
      <c r="A15310" s="234"/>
      <c r="B15310" s="233"/>
      <c r="C15310" s="238"/>
      <c r="E15310" s="545"/>
      <c r="F15310" s="546"/>
      <c r="G15310" s="234"/>
      <c r="H15310" s="238"/>
      <c r="I15310" s="237"/>
    </row>
    <row r="15311" spans="1:9" s="232" customFormat="1" ht="17" customHeight="1">
      <c r="A15311" s="234"/>
      <c r="B15311" s="233"/>
      <c r="C15311" s="238"/>
      <c r="E15311" s="545"/>
      <c r="F15311" s="546"/>
      <c r="G15311" s="234"/>
      <c r="H15311" s="238"/>
      <c r="I15311" s="237"/>
    </row>
    <row r="15312" spans="1:9" s="232" customFormat="1" ht="17" customHeight="1">
      <c r="A15312" s="234"/>
      <c r="B15312" s="233"/>
      <c r="C15312" s="238"/>
      <c r="E15312" s="545"/>
      <c r="F15312" s="546"/>
      <c r="G15312" s="234"/>
      <c r="H15312" s="238"/>
      <c r="I15312" s="237"/>
    </row>
    <row r="15313" spans="1:9" s="232" customFormat="1" ht="17" customHeight="1">
      <c r="A15313" s="234"/>
      <c r="B15313" s="233"/>
      <c r="C15313" s="238"/>
      <c r="E15313" s="545"/>
      <c r="F15313" s="546"/>
      <c r="G15313" s="234"/>
      <c r="H15313" s="238"/>
      <c r="I15313" s="237"/>
    </row>
    <row r="15314" spans="1:9" s="232" customFormat="1" ht="17" customHeight="1">
      <c r="A15314" s="234"/>
      <c r="B15314" s="233"/>
      <c r="C15314" s="238"/>
      <c r="E15314" s="545"/>
      <c r="F15314" s="546"/>
      <c r="G15314" s="234"/>
      <c r="H15314" s="238"/>
      <c r="I15314" s="237"/>
    </row>
    <row r="15315" spans="1:9" s="232" customFormat="1" ht="17" customHeight="1">
      <c r="A15315" s="234"/>
      <c r="B15315" s="233"/>
      <c r="C15315" s="238"/>
      <c r="E15315" s="545"/>
      <c r="F15315" s="546"/>
      <c r="G15315" s="234"/>
      <c r="H15315" s="238"/>
      <c r="I15315" s="237"/>
    </row>
    <row r="15316" spans="1:9" s="232" customFormat="1" ht="17" customHeight="1">
      <c r="A15316" s="234"/>
      <c r="B15316" s="233"/>
      <c r="C15316" s="238"/>
      <c r="E15316" s="545"/>
      <c r="F15316" s="546"/>
      <c r="G15316" s="234"/>
      <c r="H15316" s="238"/>
      <c r="I15316" s="237"/>
    </row>
    <row r="15317" spans="1:9" s="232" customFormat="1" ht="17" customHeight="1">
      <c r="A15317" s="234"/>
      <c r="B15317" s="233"/>
      <c r="C15317" s="238"/>
      <c r="E15317" s="545"/>
      <c r="F15317" s="546"/>
      <c r="G15317" s="234"/>
      <c r="H15317" s="238"/>
      <c r="I15317" s="237"/>
    </row>
    <row r="15318" spans="1:9" s="232" customFormat="1" ht="17" customHeight="1">
      <c r="A15318" s="234"/>
      <c r="B15318" s="233"/>
      <c r="C15318" s="238"/>
      <c r="E15318" s="545"/>
      <c r="F15318" s="546"/>
      <c r="G15318" s="234"/>
      <c r="H15318" s="238"/>
      <c r="I15318" s="237"/>
    </row>
    <row r="15319" spans="1:9" s="232" customFormat="1" ht="17" customHeight="1">
      <c r="A15319" s="234"/>
      <c r="B15319" s="233"/>
      <c r="C15319" s="238"/>
      <c r="E15319" s="545"/>
      <c r="F15319" s="546"/>
      <c r="G15319" s="234"/>
      <c r="H15319" s="238"/>
      <c r="I15319" s="237"/>
    </row>
    <row r="15320" spans="1:9" s="232" customFormat="1" ht="17" customHeight="1">
      <c r="A15320" s="234"/>
      <c r="B15320" s="233"/>
      <c r="C15320" s="238"/>
      <c r="E15320" s="545"/>
      <c r="F15320" s="546"/>
      <c r="G15320" s="234"/>
      <c r="H15320" s="238"/>
      <c r="I15320" s="237"/>
    </row>
    <row r="15321" spans="1:9" s="232" customFormat="1" ht="17" customHeight="1">
      <c r="A15321" s="234"/>
      <c r="B15321" s="233"/>
      <c r="C15321" s="238"/>
      <c r="E15321" s="545"/>
      <c r="F15321" s="546"/>
      <c r="G15321" s="234"/>
      <c r="H15321" s="238"/>
      <c r="I15321" s="237"/>
    </row>
    <row r="15322" spans="1:9" s="232" customFormat="1" ht="17" customHeight="1">
      <c r="A15322" s="234"/>
      <c r="B15322" s="233"/>
      <c r="C15322" s="238"/>
      <c r="E15322" s="545"/>
      <c r="F15322" s="546"/>
      <c r="G15322" s="234"/>
      <c r="H15322" s="238"/>
      <c r="I15322" s="237"/>
    </row>
    <row r="15323" spans="1:9" s="232" customFormat="1" ht="17" customHeight="1">
      <c r="A15323" s="234"/>
      <c r="B15323" s="233"/>
      <c r="C15323" s="238"/>
      <c r="E15323" s="545"/>
      <c r="F15323" s="546"/>
      <c r="G15323" s="234"/>
      <c r="H15323" s="238"/>
      <c r="I15323" s="237"/>
    </row>
    <row r="15324" spans="1:9" s="232" customFormat="1" ht="17" customHeight="1">
      <c r="A15324" s="234"/>
      <c r="B15324" s="233"/>
      <c r="C15324" s="238"/>
      <c r="E15324" s="545"/>
      <c r="F15324" s="546"/>
      <c r="G15324" s="234"/>
      <c r="H15324" s="238"/>
      <c r="I15324" s="237"/>
    </row>
    <row r="15325" spans="1:9" s="232" customFormat="1" ht="17" customHeight="1">
      <c r="A15325" s="234"/>
      <c r="B15325" s="233"/>
      <c r="C15325" s="238"/>
      <c r="E15325" s="545"/>
      <c r="F15325" s="546"/>
      <c r="G15325" s="234"/>
      <c r="H15325" s="238"/>
      <c r="I15325" s="237"/>
    </row>
    <row r="15326" spans="1:9" s="232" customFormat="1" ht="17" customHeight="1">
      <c r="A15326" s="234"/>
      <c r="B15326" s="233"/>
      <c r="C15326" s="238"/>
      <c r="E15326" s="545"/>
      <c r="F15326" s="546"/>
      <c r="G15326" s="234"/>
      <c r="H15326" s="238"/>
      <c r="I15326" s="237"/>
    </row>
    <row r="15327" spans="1:9" s="232" customFormat="1" ht="17" customHeight="1">
      <c r="A15327" s="234"/>
      <c r="B15327" s="233"/>
      <c r="C15327" s="238"/>
      <c r="E15327" s="545"/>
      <c r="F15327" s="546"/>
      <c r="G15327" s="234"/>
      <c r="H15327" s="238"/>
      <c r="I15327" s="237"/>
    </row>
    <row r="15328" spans="1:9" s="232" customFormat="1" ht="17" customHeight="1">
      <c r="A15328" s="234"/>
      <c r="B15328" s="233"/>
      <c r="C15328" s="238"/>
      <c r="E15328" s="545"/>
      <c r="F15328" s="546"/>
      <c r="G15328" s="234"/>
      <c r="H15328" s="238"/>
      <c r="I15328" s="237"/>
    </row>
    <row r="15329" spans="1:9" s="232" customFormat="1" ht="17" customHeight="1">
      <c r="A15329" s="234"/>
      <c r="B15329" s="233"/>
      <c r="C15329" s="238"/>
      <c r="E15329" s="545"/>
      <c r="F15329" s="546"/>
      <c r="G15329" s="234"/>
      <c r="H15329" s="238"/>
      <c r="I15329" s="237"/>
    </row>
    <row r="15330" spans="1:9" s="232" customFormat="1" ht="17" customHeight="1">
      <c r="A15330" s="234"/>
      <c r="B15330" s="233"/>
      <c r="C15330" s="238"/>
      <c r="E15330" s="545"/>
      <c r="F15330" s="546"/>
      <c r="G15330" s="234"/>
      <c r="H15330" s="238"/>
      <c r="I15330" s="237"/>
    </row>
    <row r="15331" spans="1:9" s="232" customFormat="1" ht="17" customHeight="1">
      <c r="A15331" s="234"/>
      <c r="B15331" s="233"/>
      <c r="C15331" s="238"/>
      <c r="E15331" s="545"/>
      <c r="F15331" s="546"/>
      <c r="G15331" s="234"/>
      <c r="H15331" s="238"/>
      <c r="I15331" s="237"/>
    </row>
    <row r="15332" spans="1:9" s="232" customFormat="1" ht="17" customHeight="1">
      <c r="A15332" s="234"/>
      <c r="B15332" s="233"/>
      <c r="C15332" s="238"/>
      <c r="E15332" s="545"/>
      <c r="F15332" s="546"/>
      <c r="G15332" s="234"/>
      <c r="H15332" s="238"/>
      <c r="I15332" s="237"/>
    </row>
    <row r="15333" spans="1:9" s="232" customFormat="1" ht="17" customHeight="1">
      <c r="A15333" s="234"/>
      <c r="B15333" s="233"/>
      <c r="C15333" s="238"/>
      <c r="E15333" s="545"/>
      <c r="F15333" s="546"/>
      <c r="G15333" s="234"/>
      <c r="H15333" s="238"/>
      <c r="I15333" s="237"/>
    </row>
    <row r="15334" spans="1:9" s="232" customFormat="1" ht="17" customHeight="1">
      <c r="A15334" s="234"/>
      <c r="B15334" s="233"/>
      <c r="C15334" s="238"/>
      <c r="E15334" s="545"/>
      <c r="F15334" s="546"/>
      <c r="G15334" s="234"/>
      <c r="H15334" s="238"/>
      <c r="I15334" s="237"/>
    </row>
    <row r="15335" spans="1:9" s="232" customFormat="1" ht="17" customHeight="1">
      <c r="A15335" s="234"/>
      <c r="B15335" s="233"/>
      <c r="C15335" s="238"/>
      <c r="E15335" s="545"/>
      <c r="F15335" s="546"/>
      <c r="G15335" s="234"/>
      <c r="H15335" s="238"/>
      <c r="I15335" s="237"/>
    </row>
    <row r="15336" spans="1:9" s="232" customFormat="1" ht="17" customHeight="1">
      <c r="A15336" s="234"/>
      <c r="B15336" s="233"/>
      <c r="C15336" s="238"/>
      <c r="E15336" s="545"/>
      <c r="F15336" s="546"/>
      <c r="G15336" s="234"/>
      <c r="H15336" s="238"/>
      <c r="I15336" s="237"/>
    </row>
    <row r="15337" spans="1:9" s="232" customFormat="1" ht="17" customHeight="1">
      <c r="A15337" s="234"/>
      <c r="B15337" s="233"/>
      <c r="C15337" s="238"/>
      <c r="E15337" s="545"/>
      <c r="F15337" s="546"/>
      <c r="G15337" s="234"/>
      <c r="H15337" s="238"/>
      <c r="I15337" s="237"/>
    </row>
    <row r="15338" spans="1:9" s="232" customFormat="1" ht="17" customHeight="1">
      <c r="A15338" s="234"/>
      <c r="B15338" s="233"/>
      <c r="C15338" s="238"/>
      <c r="E15338" s="545"/>
      <c r="F15338" s="546"/>
      <c r="G15338" s="234"/>
      <c r="H15338" s="238"/>
      <c r="I15338" s="237"/>
    </row>
    <row r="15339" spans="1:9" s="232" customFormat="1" ht="17" customHeight="1">
      <c r="A15339" s="234"/>
      <c r="B15339" s="233"/>
      <c r="C15339" s="238"/>
      <c r="E15339" s="545"/>
      <c r="F15339" s="546"/>
      <c r="G15339" s="234"/>
      <c r="H15339" s="238"/>
      <c r="I15339" s="237"/>
    </row>
    <row r="15340" spans="1:9" s="232" customFormat="1" ht="17" customHeight="1">
      <c r="A15340" s="234"/>
      <c r="B15340" s="233"/>
      <c r="C15340" s="238"/>
      <c r="E15340" s="545"/>
      <c r="F15340" s="546"/>
      <c r="G15340" s="234"/>
      <c r="H15340" s="238"/>
      <c r="I15340" s="237"/>
    </row>
    <row r="15341" spans="1:9" s="232" customFormat="1" ht="17" customHeight="1">
      <c r="A15341" s="234"/>
      <c r="B15341" s="233"/>
      <c r="C15341" s="238"/>
      <c r="E15341" s="545"/>
      <c r="F15341" s="546"/>
      <c r="G15341" s="234"/>
      <c r="H15341" s="238"/>
      <c r="I15341" s="237"/>
    </row>
    <row r="15342" spans="1:9" s="232" customFormat="1" ht="17" customHeight="1">
      <c r="A15342" s="234"/>
      <c r="B15342" s="233"/>
      <c r="C15342" s="238"/>
      <c r="E15342" s="545"/>
      <c r="F15342" s="546"/>
      <c r="G15342" s="234"/>
      <c r="H15342" s="238"/>
      <c r="I15342" s="237"/>
    </row>
    <row r="15343" spans="1:9" s="232" customFormat="1" ht="17" customHeight="1">
      <c r="A15343" s="234"/>
      <c r="B15343" s="233"/>
      <c r="C15343" s="238"/>
      <c r="E15343" s="545"/>
      <c r="F15343" s="546"/>
      <c r="G15343" s="234"/>
      <c r="H15343" s="238"/>
      <c r="I15343" s="237"/>
    </row>
    <row r="15344" spans="1:9" s="232" customFormat="1" ht="17" customHeight="1">
      <c r="A15344" s="234"/>
      <c r="B15344" s="233"/>
      <c r="C15344" s="238"/>
      <c r="E15344" s="545"/>
      <c r="F15344" s="546"/>
      <c r="G15344" s="234"/>
      <c r="H15344" s="238"/>
      <c r="I15344" s="237"/>
    </row>
    <row r="15345" spans="1:9" s="232" customFormat="1" ht="17" customHeight="1">
      <c r="A15345" s="234"/>
      <c r="B15345" s="233"/>
      <c r="C15345" s="238"/>
      <c r="E15345" s="545"/>
      <c r="F15345" s="546"/>
      <c r="G15345" s="234"/>
      <c r="H15345" s="238"/>
      <c r="I15345" s="237"/>
    </row>
    <row r="15346" spans="1:9" s="232" customFormat="1" ht="17" customHeight="1">
      <c r="A15346" s="234"/>
      <c r="B15346" s="233"/>
      <c r="C15346" s="238"/>
      <c r="E15346" s="545"/>
      <c r="F15346" s="546"/>
      <c r="G15346" s="234"/>
      <c r="H15346" s="238"/>
      <c r="I15346" s="237"/>
    </row>
    <row r="15347" spans="1:9" s="232" customFormat="1" ht="17" customHeight="1">
      <c r="A15347" s="234"/>
      <c r="B15347" s="233"/>
      <c r="C15347" s="238"/>
      <c r="E15347" s="545"/>
      <c r="F15347" s="546"/>
      <c r="G15347" s="234"/>
      <c r="H15347" s="238"/>
      <c r="I15347" s="237"/>
    </row>
    <row r="15348" spans="1:9" s="232" customFormat="1" ht="17" customHeight="1">
      <c r="A15348" s="234"/>
      <c r="B15348" s="233"/>
      <c r="C15348" s="238"/>
      <c r="E15348" s="545"/>
      <c r="F15348" s="546"/>
      <c r="G15348" s="234"/>
      <c r="H15348" s="238"/>
      <c r="I15348" s="237"/>
    </row>
    <row r="15349" spans="1:9" s="232" customFormat="1" ht="17" customHeight="1">
      <c r="A15349" s="234"/>
      <c r="B15349" s="233"/>
      <c r="C15349" s="238"/>
      <c r="E15349" s="545"/>
      <c r="F15349" s="546"/>
      <c r="G15349" s="234"/>
      <c r="H15349" s="238"/>
      <c r="I15349" s="237"/>
    </row>
    <row r="15350" spans="1:9" s="232" customFormat="1" ht="17" customHeight="1">
      <c r="A15350" s="234"/>
      <c r="B15350" s="233"/>
      <c r="C15350" s="238"/>
      <c r="E15350" s="545"/>
      <c r="F15350" s="546"/>
      <c r="G15350" s="234"/>
      <c r="H15350" s="238"/>
      <c r="I15350" s="237"/>
    </row>
    <row r="15351" spans="1:9" s="232" customFormat="1" ht="17" customHeight="1">
      <c r="A15351" s="234"/>
      <c r="B15351" s="233"/>
      <c r="C15351" s="238"/>
      <c r="E15351" s="545"/>
      <c r="F15351" s="546"/>
      <c r="G15351" s="234"/>
      <c r="H15351" s="238"/>
      <c r="I15351" s="237"/>
    </row>
    <row r="15352" spans="1:9" s="232" customFormat="1" ht="17" customHeight="1">
      <c r="A15352" s="234"/>
      <c r="B15352" s="233"/>
      <c r="C15352" s="238"/>
      <c r="E15352" s="545"/>
      <c r="F15352" s="546"/>
      <c r="G15352" s="234"/>
      <c r="H15352" s="238"/>
      <c r="I15352" s="237"/>
    </row>
    <row r="15353" spans="1:9" s="232" customFormat="1" ht="17" customHeight="1">
      <c r="A15353" s="234"/>
      <c r="B15353" s="233"/>
      <c r="C15353" s="238"/>
      <c r="E15353" s="545"/>
      <c r="F15353" s="546"/>
      <c r="G15353" s="234"/>
      <c r="H15353" s="238"/>
      <c r="I15353" s="237"/>
    </row>
    <row r="15354" spans="1:9" s="232" customFormat="1" ht="17" customHeight="1">
      <c r="A15354" s="234"/>
      <c r="B15354" s="233"/>
      <c r="C15354" s="238"/>
      <c r="E15354" s="545"/>
      <c r="F15354" s="546"/>
      <c r="G15354" s="234"/>
      <c r="H15354" s="238"/>
      <c r="I15354" s="237"/>
    </row>
    <row r="15355" spans="1:9" s="232" customFormat="1" ht="17" customHeight="1">
      <c r="A15355" s="234"/>
      <c r="B15355" s="233"/>
      <c r="C15355" s="238"/>
      <c r="E15355" s="545"/>
      <c r="F15355" s="546"/>
      <c r="G15355" s="234"/>
      <c r="H15355" s="238"/>
      <c r="I15355" s="237"/>
    </row>
    <row r="15356" spans="1:9" s="232" customFormat="1" ht="17" customHeight="1">
      <c r="A15356" s="234"/>
      <c r="B15356" s="233"/>
      <c r="C15356" s="238"/>
      <c r="E15356" s="545"/>
      <c r="F15356" s="546"/>
      <c r="G15356" s="234"/>
      <c r="H15356" s="238"/>
      <c r="I15356" s="237"/>
    </row>
    <row r="15357" spans="1:9" s="232" customFormat="1" ht="17" customHeight="1">
      <c r="A15357" s="234"/>
      <c r="B15357" s="233"/>
      <c r="C15357" s="238"/>
      <c r="E15357" s="545"/>
      <c r="F15357" s="546"/>
      <c r="G15357" s="234"/>
      <c r="H15357" s="238"/>
      <c r="I15357" s="237"/>
    </row>
    <row r="15358" spans="1:9" s="232" customFormat="1" ht="17" customHeight="1">
      <c r="A15358" s="234"/>
      <c r="B15358" s="233"/>
      <c r="C15358" s="238"/>
      <c r="E15358" s="545"/>
      <c r="F15358" s="546"/>
      <c r="G15358" s="234"/>
      <c r="H15358" s="238"/>
      <c r="I15358" s="237"/>
    </row>
    <row r="15359" spans="1:9" s="232" customFormat="1" ht="17" customHeight="1">
      <c r="A15359" s="234"/>
      <c r="B15359" s="233"/>
      <c r="C15359" s="238"/>
      <c r="E15359" s="545"/>
      <c r="F15359" s="546"/>
      <c r="G15359" s="234"/>
      <c r="H15359" s="238"/>
      <c r="I15359" s="237"/>
    </row>
    <row r="15360" spans="1:9" s="232" customFormat="1" ht="17" customHeight="1">
      <c r="A15360" s="234"/>
      <c r="B15360" s="233"/>
      <c r="C15360" s="238"/>
      <c r="E15360" s="545"/>
      <c r="F15360" s="546"/>
      <c r="G15360" s="234"/>
      <c r="H15360" s="238"/>
      <c r="I15360" s="237"/>
    </row>
    <row r="15361" spans="1:9" s="232" customFormat="1" ht="17" customHeight="1">
      <c r="A15361" s="234"/>
      <c r="B15361" s="233"/>
      <c r="C15361" s="238"/>
      <c r="E15361" s="545"/>
      <c r="F15361" s="546"/>
      <c r="G15361" s="234"/>
      <c r="H15361" s="238"/>
      <c r="I15361" s="237"/>
    </row>
    <row r="15362" spans="1:9" s="232" customFormat="1" ht="17" customHeight="1">
      <c r="A15362" s="234"/>
      <c r="B15362" s="233"/>
      <c r="C15362" s="238"/>
      <c r="E15362" s="545"/>
      <c r="F15362" s="546"/>
      <c r="G15362" s="234"/>
      <c r="H15362" s="238"/>
      <c r="I15362" s="237"/>
    </row>
    <row r="15363" spans="1:9" s="232" customFormat="1" ht="17" customHeight="1">
      <c r="A15363" s="234"/>
      <c r="B15363" s="233"/>
      <c r="C15363" s="238"/>
      <c r="E15363" s="545"/>
      <c r="F15363" s="546"/>
      <c r="G15363" s="234"/>
      <c r="H15363" s="238"/>
      <c r="I15363" s="237"/>
    </row>
    <row r="15364" spans="1:9" s="232" customFormat="1" ht="17" customHeight="1">
      <c r="A15364" s="234"/>
      <c r="B15364" s="233"/>
      <c r="C15364" s="238"/>
      <c r="E15364" s="545"/>
      <c r="F15364" s="546"/>
      <c r="G15364" s="234"/>
      <c r="H15364" s="238"/>
      <c r="I15364" s="237"/>
    </row>
    <row r="15365" spans="1:9" s="232" customFormat="1" ht="17" customHeight="1">
      <c r="A15365" s="234"/>
      <c r="B15365" s="233"/>
      <c r="C15365" s="238"/>
      <c r="E15365" s="545"/>
      <c r="F15365" s="546"/>
      <c r="G15365" s="234"/>
      <c r="H15365" s="238"/>
      <c r="I15365" s="237"/>
    </row>
    <row r="15366" spans="1:9" s="232" customFormat="1" ht="17" customHeight="1">
      <c r="A15366" s="234"/>
      <c r="B15366" s="233"/>
      <c r="C15366" s="238"/>
      <c r="E15366" s="545"/>
      <c r="F15366" s="546"/>
      <c r="G15366" s="234"/>
      <c r="H15366" s="238"/>
      <c r="I15366" s="237"/>
    </row>
    <row r="15367" spans="1:9" s="232" customFormat="1" ht="17" customHeight="1">
      <c r="A15367" s="234"/>
      <c r="B15367" s="233"/>
      <c r="C15367" s="238"/>
      <c r="E15367" s="545"/>
      <c r="F15367" s="546"/>
      <c r="G15367" s="234"/>
      <c r="H15367" s="238"/>
      <c r="I15367" s="237"/>
    </row>
    <row r="15368" spans="1:9" s="232" customFormat="1" ht="17" customHeight="1">
      <c r="A15368" s="234"/>
      <c r="B15368" s="233"/>
      <c r="C15368" s="238"/>
      <c r="E15368" s="545"/>
      <c r="F15368" s="546"/>
      <c r="G15368" s="234"/>
      <c r="H15368" s="238"/>
      <c r="I15368" s="237"/>
    </row>
    <row r="15369" spans="1:9" s="232" customFormat="1" ht="17" customHeight="1">
      <c r="A15369" s="234"/>
      <c r="B15369" s="233"/>
      <c r="C15369" s="238"/>
      <c r="E15369" s="545"/>
      <c r="F15369" s="546"/>
      <c r="G15369" s="234"/>
      <c r="H15369" s="238"/>
      <c r="I15369" s="237"/>
    </row>
    <row r="15370" spans="1:9" s="232" customFormat="1" ht="17" customHeight="1">
      <c r="A15370" s="234"/>
      <c r="B15370" s="233"/>
      <c r="C15370" s="238"/>
      <c r="E15370" s="545"/>
      <c r="F15370" s="546"/>
      <c r="G15370" s="234"/>
      <c r="H15370" s="238"/>
      <c r="I15370" s="237"/>
    </row>
    <row r="15371" spans="1:9" s="232" customFormat="1" ht="17" customHeight="1">
      <c r="A15371" s="234"/>
      <c r="B15371" s="233"/>
      <c r="C15371" s="238"/>
      <c r="E15371" s="545"/>
      <c r="F15371" s="546"/>
      <c r="G15371" s="234"/>
      <c r="H15371" s="238"/>
      <c r="I15371" s="237"/>
    </row>
    <row r="15372" spans="1:9" s="232" customFormat="1" ht="17" customHeight="1">
      <c r="A15372" s="234"/>
      <c r="B15372" s="233"/>
      <c r="C15372" s="238"/>
      <c r="E15372" s="545"/>
      <c r="F15372" s="546"/>
      <c r="G15372" s="234"/>
      <c r="H15372" s="238"/>
      <c r="I15372" s="237"/>
    </row>
    <row r="15373" spans="1:9" s="232" customFormat="1" ht="17" customHeight="1">
      <c r="A15373" s="234"/>
      <c r="B15373" s="233"/>
      <c r="C15373" s="238"/>
      <c r="E15373" s="545"/>
      <c r="F15373" s="546"/>
      <c r="G15373" s="234"/>
      <c r="H15373" s="238"/>
      <c r="I15373" s="237"/>
    </row>
    <row r="15374" spans="1:9" s="232" customFormat="1" ht="17" customHeight="1">
      <c r="A15374" s="234"/>
      <c r="B15374" s="233"/>
      <c r="C15374" s="238"/>
      <c r="E15374" s="545"/>
      <c r="F15374" s="546"/>
      <c r="G15374" s="234"/>
      <c r="H15374" s="238"/>
      <c r="I15374" s="237"/>
    </row>
    <row r="15375" spans="1:9" s="232" customFormat="1" ht="17" customHeight="1">
      <c r="A15375" s="234"/>
      <c r="B15375" s="233"/>
      <c r="C15375" s="238"/>
      <c r="E15375" s="545"/>
      <c r="F15375" s="546"/>
      <c r="G15375" s="234"/>
      <c r="H15375" s="238"/>
      <c r="I15375" s="237"/>
    </row>
    <row r="15376" spans="1:9" s="232" customFormat="1" ht="17" customHeight="1">
      <c r="A15376" s="234"/>
      <c r="B15376" s="233"/>
      <c r="C15376" s="238"/>
      <c r="E15376" s="545"/>
      <c r="F15376" s="546"/>
      <c r="G15376" s="234"/>
      <c r="H15376" s="238"/>
      <c r="I15376" s="237"/>
    </row>
    <row r="15377" spans="1:9" s="232" customFormat="1" ht="17" customHeight="1">
      <c r="A15377" s="234"/>
      <c r="B15377" s="233"/>
      <c r="C15377" s="238"/>
      <c r="E15377" s="545"/>
      <c r="F15377" s="546"/>
      <c r="G15377" s="234"/>
      <c r="H15377" s="238"/>
      <c r="I15377" s="237"/>
    </row>
    <row r="15378" spans="1:9" s="232" customFormat="1" ht="17" customHeight="1">
      <c r="A15378" s="234"/>
      <c r="B15378" s="233"/>
      <c r="C15378" s="238"/>
      <c r="E15378" s="545"/>
      <c r="F15378" s="546"/>
      <c r="G15378" s="234"/>
      <c r="H15378" s="238"/>
      <c r="I15378" s="237"/>
    </row>
    <row r="15379" spans="1:9" s="232" customFormat="1" ht="17" customHeight="1">
      <c r="A15379" s="234"/>
      <c r="B15379" s="233"/>
      <c r="C15379" s="238"/>
      <c r="E15379" s="545"/>
      <c r="F15379" s="546"/>
      <c r="G15379" s="234"/>
      <c r="H15379" s="238"/>
      <c r="I15379" s="237"/>
    </row>
    <row r="15380" spans="1:9" s="232" customFormat="1" ht="17" customHeight="1">
      <c r="A15380" s="234"/>
      <c r="B15380" s="233"/>
      <c r="C15380" s="238"/>
      <c r="E15380" s="545"/>
      <c r="F15380" s="546"/>
      <c r="G15380" s="234"/>
      <c r="H15380" s="238"/>
      <c r="I15380" s="237"/>
    </row>
    <row r="15381" spans="1:9" s="232" customFormat="1" ht="17" customHeight="1">
      <c r="A15381" s="234"/>
      <c r="B15381" s="233"/>
      <c r="C15381" s="238"/>
      <c r="E15381" s="545"/>
      <c r="F15381" s="546"/>
      <c r="G15381" s="234"/>
      <c r="H15381" s="238"/>
      <c r="I15381" s="237"/>
    </row>
    <row r="15382" spans="1:9" s="232" customFormat="1" ht="17" customHeight="1">
      <c r="A15382" s="234"/>
      <c r="B15382" s="233"/>
      <c r="C15382" s="238"/>
      <c r="E15382" s="545"/>
      <c r="F15382" s="546"/>
      <c r="G15382" s="234"/>
      <c r="H15382" s="238"/>
      <c r="I15382" s="237"/>
    </row>
    <row r="15383" spans="1:9" s="232" customFormat="1" ht="17" customHeight="1">
      <c r="A15383" s="234"/>
      <c r="B15383" s="233"/>
      <c r="C15383" s="238"/>
      <c r="E15383" s="545"/>
      <c r="F15383" s="546"/>
      <c r="G15383" s="234"/>
      <c r="H15383" s="238"/>
      <c r="I15383" s="237"/>
    </row>
    <row r="15384" spans="1:9" s="232" customFormat="1" ht="17" customHeight="1">
      <c r="A15384" s="234"/>
      <c r="B15384" s="233"/>
      <c r="C15384" s="238"/>
      <c r="E15384" s="545"/>
      <c r="F15384" s="546"/>
      <c r="G15384" s="234"/>
      <c r="H15384" s="238"/>
      <c r="I15384" s="237"/>
    </row>
    <row r="15385" spans="1:9" s="232" customFormat="1" ht="17" customHeight="1">
      <c r="A15385" s="234"/>
      <c r="B15385" s="233"/>
      <c r="C15385" s="238"/>
      <c r="E15385" s="545"/>
      <c r="F15385" s="546"/>
      <c r="G15385" s="234"/>
      <c r="H15385" s="238"/>
      <c r="I15385" s="237"/>
    </row>
    <row r="15386" spans="1:9" s="232" customFormat="1" ht="17" customHeight="1">
      <c r="A15386" s="234"/>
      <c r="B15386" s="233"/>
      <c r="C15386" s="238"/>
      <c r="E15386" s="545"/>
      <c r="F15386" s="546"/>
      <c r="G15386" s="234"/>
      <c r="H15386" s="238"/>
      <c r="I15386" s="237"/>
    </row>
    <row r="15387" spans="1:9" s="232" customFormat="1" ht="17" customHeight="1">
      <c r="A15387" s="234"/>
      <c r="B15387" s="233"/>
      <c r="C15387" s="238"/>
      <c r="E15387" s="545"/>
      <c r="F15387" s="546"/>
      <c r="G15387" s="234"/>
      <c r="H15387" s="238"/>
      <c r="I15387" s="237"/>
    </row>
    <row r="15388" spans="1:9" s="232" customFormat="1" ht="17" customHeight="1">
      <c r="A15388" s="234"/>
      <c r="B15388" s="233"/>
      <c r="C15388" s="238"/>
      <c r="E15388" s="545"/>
      <c r="F15388" s="546"/>
      <c r="G15388" s="234"/>
      <c r="H15388" s="238"/>
      <c r="I15388" s="237"/>
    </row>
    <row r="15389" spans="1:9" s="232" customFormat="1" ht="17" customHeight="1">
      <c r="A15389" s="234"/>
      <c r="B15389" s="233"/>
      <c r="C15389" s="238"/>
      <c r="E15389" s="545"/>
      <c r="F15389" s="546"/>
      <c r="G15389" s="234"/>
      <c r="H15389" s="238"/>
      <c r="I15389" s="237"/>
    </row>
    <row r="15390" spans="1:9" s="232" customFormat="1" ht="17" customHeight="1">
      <c r="A15390" s="234"/>
      <c r="B15390" s="233"/>
      <c r="C15390" s="238"/>
      <c r="E15390" s="545"/>
      <c r="F15390" s="546"/>
      <c r="G15390" s="234"/>
      <c r="H15390" s="238"/>
      <c r="I15390" s="237"/>
    </row>
    <row r="15391" spans="1:9" s="232" customFormat="1" ht="17" customHeight="1">
      <c r="A15391" s="234"/>
      <c r="B15391" s="233"/>
      <c r="C15391" s="238"/>
      <c r="E15391" s="545"/>
      <c r="F15391" s="546"/>
      <c r="G15391" s="234"/>
      <c r="H15391" s="238"/>
      <c r="I15391" s="237"/>
    </row>
    <row r="15392" spans="1:9" s="232" customFormat="1" ht="17" customHeight="1">
      <c r="A15392" s="234"/>
      <c r="B15392" s="233"/>
      <c r="C15392" s="238"/>
      <c r="E15392" s="545"/>
      <c r="F15392" s="546"/>
      <c r="G15392" s="234"/>
      <c r="H15392" s="238"/>
      <c r="I15392" s="237"/>
    </row>
    <row r="15393" spans="1:9" s="232" customFormat="1" ht="17" customHeight="1">
      <c r="A15393" s="234"/>
      <c r="B15393" s="233"/>
      <c r="C15393" s="238"/>
      <c r="E15393" s="545"/>
      <c r="F15393" s="546"/>
      <c r="G15393" s="234"/>
      <c r="H15393" s="238"/>
      <c r="I15393" s="237"/>
    </row>
    <row r="15394" spans="1:9" s="232" customFormat="1" ht="17" customHeight="1">
      <c r="A15394" s="234"/>
      <c r="B15394" s="233"/>
      <c r="C15394" s="238"/>
      <c r="E15394" s="545"/>
      <c r="F15394" s="546"/>
      <c r="G15394" s="234"/>
      <c r="H15394" s="238"/>
      <c r="I15394" s="237"/>
    </row>
    <row r="15395" spans="1:9" s="232" customFormat="1" ht="17" customHeight="1">
      <c r="A15395" s="234"/>
      <c r="B15395" s="233"/>
      <c r="C15395" s="238"/>
      <c r="E15395" s="545"/>
      <c r="F15395" s="546"/>
      <c r="G15395" s="234"/>
      <c r="H15395" s="238"/>
      <c r="I15395" s="237"/>
    </row>
    <row r="15396" spans="1:9" s="232" customFormat="1" ht="17" customHeight="1">
      <c r="A15396" s="234"/>
      <c r="B15396" s="233"/>
      <c r="C15396" s="238"/>
      <c r="E15396" s="545"/>
      <c r="F15396" s="546"/>
      <c r="G15396" s="234"/>
      <c r="H15396" s="238"/>
      <c r="I15396" s="237"/>
    </row>
    <row r="15397" spans="1:9" s="232" customFormat="1" ht="17" customHeight="1">
      <c r="A15397" s="234"/>
      <c r="B15397" s="233"/>
      <c r="C15397" s="238"/>
      <c r="E15397" s="545"/>
      <c r="F15397" s="546"/>
      <c r="G15397" s="234"/>
      <c r="H15397" s="238"/>
      <c r="I15397" s="237"/>
    </row>
    <row r="15398" spans="1:9" s="232" customFormat="1" ht="17" customHeight="1">
      <c r="A15398" s="234"/>
      <c r="B15398" s="233"/>
      <c r="C15398" s="238"/>
      <c r="E15398" s="545"/>
      <c r="F15398" s="546"/>
      <c r="G15398" s="234"/>
      <c r="H15398" s="238"/>
      <c r="I15398" s="237"/>
    </row>
    <row r="15399" spans="1:9" s="232" customFormat="1" ht="17" customHeight="1">
      <c r="A15399" s="234"/>
      <c r="B15399" s="233"/>
      <c r="C15399" s="238"/>
      <c r="E15399" s="545"/>
      <c r="F15399" s="546"/>
      <c r="G15399" s="234"/>
      <c r="H15399" s="238"/>
      <c r="I15399" s="237"/>
    </row>
    <row r="15400" spans="1:9" s="232" customFormat="1" ht="17" customHeight="1">
      <c r="A15400" s="234"/>
      <c r="B15400" s="233"/>
      <c r="C15400" s="238"/>
      <c r="E15400" s="545"/>
      <c r="F15400" s="546"/>
      <c r="G15400" s="234"/>
      <c r="H15400" s="238"/>
      <c r="I15400" s="237"/>
    </row>
    <row r="15401" spans="1:9" s="232" customFormat="1" ht="17" customHeight="1">
      <c r="A15401" s="234"/>
      <c r="B15401" s="233"/>
      <c r="C15401" s="238"/>
      <c r="E15401" s="545"/>
      <c r="F15401" s="546"/>
      <c r="G15401" s="234"/>
      <c r="H15401" s="238"/>
      <c r="I15401" s="237"/>
    </row>
    <row r="15402" spans="1:9" s="232" customFormat="1" ht="17" customHeight="1">
      <c r="A15402" s="234"/>
      <c r="B15402" s="233"/>
      <c r="C15402" s="238"/>
      <c r="E15402" s="545"/>
      <c r="F15402" s="546"/>
      <c r="G15402" s="234"/>
      <c r="H15402" s="238"/>
      <c r="I15402" s="237"/>
    </row>
    <row r="15403" spans="1:9" s="232" customFormat="1" ht="17" customHeight="1">
      <c r="A15403" s="234"/>
      <c r="B15403" s="233"/>
      <c r="C15403" s="238"/>
      <c r="E15403" s="545"/>
      <c r="F15403" s="546"/>
      <c r="G15403" s="234"/>
      <c r="H15403" s="238"/>
      <c r="I15403" s="237"/>
    </row>
    <row r="15404" spans="1:9" s="232" customFormat="1" ht="17" customHeight="1">
      <c r="A15404" s="234"/>
      <c r="B15404" s="233"/>
      <c r="C15404" s="238"/>
      <c r="E15404" s="545"/>
      <c r="F15404" s="546"/>
      <c r="G15404" s="234"/>
      <c r="H15404" s="238"/>
      <c r="I15404" s="237"/>
    </row>
    <row r="15405" spans="1:9" s="232" customFormat="1" ht="17" customHeight="1">
      <c r="A15405" s="234"/>
      <c r="B15405" s="233"/>
      <c r="C15405" s="238"/>
      <c r="E15405" s="545"/>
      <c r="F15405" s="546"/>
      <c r="G15405" s="234"/>
      <c r="H15405" s="238"/>
      <c r="I15405" s="237"/>
    </row>
    <row r="15406" spans="1:9" s="232" customFormat="1" ht="17" customHeight="1">
      <c r="A15406" s="234"/>
      <c r="B15406" s="233"/>
      <c r="C15406" s="238"/>
      <c r="E15406" s="545"/>
      <c r="F15406" s="546"/>
      <c r="G15406" s="234"/>
      <c r="H15406" s="238"/>
      <c r="I15406" s="237"/>
    </row>
    <row r="15407" spans="1:9" s="232" customFormat="1" ht="17" customHeight="1">
      <c r="A15407" s="234"/>
      <c r="B15407" s="233"/>
      <c r="C15407" s="238"/>
      <c r="E15407" s="545"/>
      <c r="F15407" s="546"/>
      <c r="G15407" s="234"/>
      <c r="H15407" s="238"/>
      <c r="I15407" s="237"/>
    </row>
    <row r="15408" spans="1:9" s="232" customFormat="1" ht="17" customHeight="1">
      <c r="A15408" s="234"/>
      <c r="B15408" s="233"/>
      <c r="C15408" s="238"/>
      <c r="E15408" s="545"/>
      <c r="F15408" s="546"/>
      <c r="G15408" s="234"/>
      <c r="H15408" s="238"/>
      <c r="I15408" s="237"/>
    </row>
    <row r="15409" spans="1:9" s="232" customFormat="1" ht="17" customHeight="1">
      <c r="A15409" s="234"/>
      <c r="B15409" s="233"/>
      <c r="C15409" s="238"/>
      <c r="E15409" s="545"/>
      <c r="F15409" s="546"/>
      <c r="G15409" s="234"/>
      <c r="H15409" s="238"/>
      <c r="I15409" s="237"/>
    </row>
    <row r="15410" spans="1:9" s="232" customFormat="1" ht="17" customHeight="1">
      <c r="A15410" s="234"/>
      <c r="B15410" s="233"/>
      <c r="C15410" s="238"/>
      <c r="E15410" s="545"/>
      <c r="F15410" s="546"/>
      <c r="G15410" s="234"/>
      <c r="H15410" s="238"/>
      <c r="I15410" s="237"/>
    </row>
    <row r="15411" spans="1:9" s="232" customFormat="1" ht="17" customHeight="1">
      <c r="A15411" s="234"/>
      <c r="B15411" s="233"/>
      <c r="C15411" s="238"/>
      <c r="E15411" s="545"/>
      <c r="F15411" s="546"/>
      <c r="G15411" s="234"/>
      <c r="H15411" s="238"/>
      <c r="I15411" s="237"/>
    </row>
    <row r="15412" spans="1:9" s="232" customFormat="1" ht="17" customHeight="1">
      <c r="A15412" s="234"/>
      <c r="B15412" s="233"/>
      <c r="C15412" s="238"/>
      <c r="E15412" s="545"/>
      <c r="F15412" s="546"/>
      <c r="G15412" s="234"/>
      <c r="H15412" s="238"/>
      <c r="I15412" s="237"/>
    </row>
    <row r="15413" spans="1:9" s="232" customFormat="1" ht="17" customHeight="1">
      <c r="A15413" s="234"/>
      <c r="B15413" s="233"/>
      <c r="C15413" s="238"/>
      <c r="E15413" s="545"/>
      <c r="F15413" s="546"/>
      <c r="G15413" s="234"/>
      <c r="H15413" s="238"/>
      <c r="I15413" s="237"/>
    </row>
    <row r="15414" spans="1:9" s="232" customFormat="1" ht="17" customHeight="1">
      <c r="A15414" s="234"/>
      <c r="B15414" s="233"/>
      <c r="C15414" s="238"/>
      <c r="E15414" s="545"/>
      <c r="F15414" s="546"/>
      <c r="G15414" s="234"/>
      <c r="H15414" s="238"/>
      <c r="I15414" s="237"/>
    </row>
    <row r="15415" spans="1:9" s="232" customFormat="1" ht="17" customHeight="1">
      <c r="A15415" s="234"/>
      <c r="B15415" s="233"/>
      <c r="C15415" s="238"/>
      <c r="E15415" s="545"/>
      <c r="F15415" s="546"/>
      <c r="G15415" s="234"/>
      <c r="H15415" s="238"/>
      <c r="I15415" s="237"/>
    </row>
    <row r="15416" spans="1:9" s="232" customFormat="1" ht="17" customHeight="1">
      <c r="A15416" s="234"/>
      <c r="B15416" s="233"/>
      <c r="C15416" s="238"/>
      <c r="E15416" s="545"/>
      <c r="F15416" s="546"/>
      <c r="G15416" s="234"/>
      <c r="H15416" s="238"/>
      <c r="I15416" s="237"/>
    </row>
    <row r="15417" spans="1:9" s="232" customFormat="1" ht="17" customHeight="1">
      <c r="A15417" s="234"/>
      <c r="B15417" s="233"/>
      <c r="C15417" s="238"/>
      <c r="E15417" s="545"/>
      <c r="F15417" s="546"/>
      <c r="G15417" s="234"/>
      <c r="H15417" s="238"/>
      <c r="I15417" s="237"/>
    </row>
    <row r="15418" spans="1:9" s="232" customFormat="1" ht="17" customHeight="1">
      <c r="A15418" s="234"/>
      <c r="B15418" s="233"/>
      <c r="C15418" s="238"/>
      <c r="E15418" s="545"/>
      <c r="F15418" s="546"/>
      <c r="G15418" s="234"/>
      <c r="H15418" s="238"/>
      <c r="I15418" s="237"/>
    </row>
    <row r="15419" spans="1:9" s="232" customFormat="1" ht="17" customHeight="1">
      <c r="A15419" s="234"/>
      <c r="B15419" s="233"/>
      <c r="C15419" s="238"/>
      <c r="E15419" s="545"/>
      <c r="F15419" s="546"/>
      <c r="G15419" s="234"/>
      <c r="H15419" s="238"/>
      <c r="I15419" s="237"/>
    </row>
    <row r="15420" spans="1:9" s="232" customFormat="1" ht="17" customHeight="1">
      <c r="A15420" s="234"/>
      <c r="B15420" s="233"/>
      <c r="C15420" s="238"/>
      <c r="E15420" s="545"/>
      <c r="F15420" s="546"/>
      <c r="G15420" s="234"/>
      <c r="H15420" s="238"/>
      <c r="I15420" s="237"/>
    </row>
    <row r="15421" spans="1:9" s="232" customFormat="1" ht="17" customHeight="1">
      <c r="A15421" s="234"/>
      <c r="B15421" s="233"/>
      <c r="C15421" s="238"/>
      <c r="E15421" s="545"/>
      <c r="F15421" s="546"/>
      <c r="G15421" s="234"/>
      <c r="H15421" s="238"/>
      <c r="I15421" s="237"/>
    </row>
    <row r="15422" spans="1:9" s="232" customFormat="1" ht="17" customHeight="1">
      <c r="A15422" s="234"/>
      <c r="B15422" s="233"/>
      <c r="C15422" s="238"/>
      <c r="E15422" s="545"/>
      <c r="F15422" s="546"/>
      <c r="G15422" s="234"/>
      <c r="H15422" s="238"/>
      <c r="I15422" s="237"/>
    </row>
    <row r="15423" spans="1:9" s="232" customFormat="1" ht="17" customHeight="1">
      <c r="A15423" s="234"/>
      <c r="B15423" s="233"/>
      <c r="C15423" s="238"/>
      <c r="E15423" s="545"/>
      <c r="F15423" s="546"/>
      <c r="G15423" s="234"/>
      <c r="H15423" s="238"/>
      <c r="I15423" s="237"/>
    </row>
    <row r="15424" spans="1:9" s="232" customFormat="1" ht="17" customHeight="1">
      <c r="A15424" s="234"/>
      <c r="B15424" s="233"/>
      <c r="C15424" s="238"/>
      <c r="E15424" s="545"/>
      <c r="F15424" s="546"/>
      <c r="G15424" s="234"/>
      <c r="H15424" s="238"/>
      <c r="I15424" s="237"/>
    </row>
    <row r="15425" spans="1:9" s="232" customFormat="1" ht="17" customHeight="1">
      <c r="A15425" s="234"/>
      <c r="B15425" s="233"/>
      <c r="C15425" s="238"/>
      <c r="E15425" s="545"/>
      <c r="F15425" s="546"/>
      <c r="G15425" s="234"/>
      <c r="H15425" s="238"/>
      <c r="I15425" s="237"/>
    </row>
    <row r="15426" spans="1:9" s="232" customFormat="1" ht="17" customHeight="1">
      <c r="A15426" s="234"/>
      <c r="B15426" s="233"/>
      <c r="C15426" s="238"/>
      <c r="E15426" s="545"/>
      <c r="F15426" s="546"/>
      <c r="G15426" s="234"/>
      <c r="H15426" s="238"/>
      <c r="I15426" s="237"/>
    </row>
    <row r="15427" spans="1:9" s="232" customFormat="1" ht="17" customHeight="1">
      <c r="A15427" s="234"/>
      <c r="B15427" s="233"/>
      <c r="C15427" s="238"/>
      <c r="E15427" s="545"/>
      <c r="F15427" s="546"/>
      <c r="G15427" s="234"/>
      <c r="H15427" s="238"/>
      <c r="I15427" s="237"/>
    </row>
    <row r="15428" spans="1:9" s="232" customFormat="1" ht="17" customHeight="1">
      <c r="A15428" s="234"/>
      <c r="B15428" s="233"/>
      <c r="C15428" s="238"/>
      <c r="E15428" s="545"/>
      <c r="F15428" s="546"/>
      <c r="G15428" s="234"/>
      <c r="H15428" s="238"/>
      <c r="I15428" s="237"/>
    </row>
    <row r="15429" spans="1:9" s="232" customFormat="1" ht="17" customHeight="1">
      <c r="A15429" s="234"/>
      <c r="B15429" s="233"/>
      <c r="C15429" s="238"/>
      <c r="E15429" s="545"/>
      <c r="F15429" s="546"/>
      <c r="G15429" s="234"/>
      <c r="H15429" s="238"/>
      <c r="I15429" s="237"/>
    </row>
    <row r="15430" spans="1:9" s="232" customFormat="1" ht="17" customHeight="1">
      <c r="A15430" s="234"/>
      <c r="B15430" s="233"/>
      <c r="C15430" s="238"/>
      <c r="E15430" s="545"/>
      <c r="F15430" s="546"/>
      <c r="G15430" s="234"/>
      <c r="H15430" s="238"/>
      <c r="I15430" s="237"/>
    </row>
    <row r="15431" spans="1:9" s="232" customFormat="1" ht="17" customHeight="1">
      <c r="A15431" s="234"/>
      <c r="B15431" s="233"/>
      <c r="C15431" s="238"/>
      <c r="E15431" s="545"/>
      <c r="F15431" s="546"/>
      <c r="G15431" s="234"/>
      <c r="H15431" s="238"/>
      <c r="I15431" s="237"/>
    </row>
    <row r="15432" spans="1:9" s="232" customFormat="1" ht="17" customHeight="1">
      <c r="A15432" s="234"/>
      <c r="B15432" s="233"/>
      <c r="C15432" s="238"/>
      <c r="E15432" s="545"/>
      <c r="F15432" s="546"/>
      <c r="G15432" s="234"/>
      <c r="H15432" s="238"/>
      <c r="I15432" s="237"/>
    </row>
    <row r="15433" spans="1:9" s="232" customFormat="1" ht="17" customHeight="1">
      <c r="A15433" s="234"/>
      <c r="B15433" s="233"/>
      <c r="C15433" s="238"/>
      <c r="E15433" s="545"/>
      <c r="F15433" s="546"/>
      <c r="G15433" s="234"/>
      <c r="H15433" s="238"/>
      <c r="I15433" s="237"/>
    </row>
    <row r="15434" spans="1:9" s="232" customFormat="1" ht="17" customHeight="1">
      <c r="A15434" s="234"/>
      <c r="B15434" s="233"/>
      <c r="C15434" s="238"/>
      <c r="E15434" s="545"/>
      <c r="F15434" s="546"/>
      <c r="G15434" s="234"/>
      <c r="H15434" s="238"/>
      <c r="I15434" s="237"/>
    </row>
    <row r="15435" spans="1:9" s="232" customFormat="1" ht="17" customHeight="1">
      <c r="A15435" s="234"/>
      <c r="B15435" s="233"/>
      <c r="C15435" s="238"/>
      <c r="E15435" s="545"/>
      <c r="F15435" s="546"/>
      <c r="G15435" s="234"/>
      <c r="H15435" s="238"/>
      <c r="I15435" s="237"/>
    </row>
    <row r="15436" spans="1:9" s="232" customFormat="1" ht="17" customHeight="1">
      <c r="A15436" s="234"/>
      <c r="B15436" s="233"/>
      <c r="C15436" s="238"/>
      <c r="E15436" s="545"/>
      <c r="F15436" s="546"/>
      <c r="G15436" s="234"/>
      <c r="H15436" s="238"/>
      <c r="I15436" s="237"/>
    </row>
    <row r="15437" spans="1:9" s="232" customFormat="1" ht="17" customHeight="1">
      <c r="A15437" s="234"/>
      <c r="B15437" s="233"/>
      <c r="C15437" s="238"/>
      <c r="E15437" s="545"/>
      <c r="F15437" s="546"/>
      <c r="G15437" s="234"/>
      <c r="H15437" s="238"/>
      <c r="I15437" s="237"/>
    </row>
    <row r="15438" spans="1:9" s="232" customFormat="1" ht="17" customHeight="1">
      <c r="A15438" s="234"/>
      <c r="B15438" s="233"/>
      <c r="C15438" s="238"/>
      <c r="E15438" s="545"/>
      <c r="F15438" s="546"/>
      <c r="G15438" s="234"/>
      <c r="H15438" s="238"/>
      <c r="I15438" s="237"/>
    </row>
    <row r="15439" spans="1:9" s="232" customFormat="1" ht="17" customHeight="1">
      <c r="A15439" s="234"/>
      <c r="B15439" s="233"/>
      <c r="C15439" s="238"/>
      <c r="E15439" s="545"/>
      <c r="F15439" s="546"/>
      <c r="G15439" s="234"/>
      <c r="H15439" s="238"/>
      <c r="I15439" s="237"/>
    </row>
    <row r="15440" spans="1:9" s="232" customFormat="1" ht="17" customHeight="1">
      <c r="A15440" s="234"/>
      <c r="B15440" s="233"/>
      <c r="C15440" s="238"/>
      <c r="E15440" s="545"/>
      <c r="F15440" s="546"/>
      <c r="G15440" s="234"/>
      <c r="H15440" s="238"/>
      <c r="I15440" s="237"/>
    </row>
    <row r="15441" spans="1:9" s="232" customFormat="1" ht="17" customHeight="1">
      <c r="A15441" s="234"/>
      <c r="B15441" s="233"/>
      <c r="C15441" s="238"/>
      <c r="E15441" s="545"/>
      <c r="F15441" s="546"/>
      <c r="G15441" s="234"/>
      <c r="H15441" s="238"/>
      <c r="I15441" s="237"/>
    </row>
    <row r="15442" spans="1:9" s="232" customFormat="1" ht="17" customHeight="1">
      <c r="A15442" s="234"/>
      <c r="B15442" s="233"/>
      <c r="C15442" s="238"/>
      <c r="E15442" s="545"/>
      <c r="F15442" s="546"/>
      <c r="G15442" s="234"/>
      <c r="H15442" s="238"/>
      <c r="I15442" s="237"/>
    </row>
    <row r="15443" spans="1:9" s="232" customFormat="1" ht="17" customHeight="1">
      <c r="A15443" s="234"/>
      <c r="B15443" s="233"/>
      <c r="C15443" s="238"/>
      <c r="E15443" s="545"/>
      <c r="F15443" s="546"/>
      <c r="G15443" s="234"/>
      <c r="H15443" s="238"/>
      <c r="I15443" s="237"/>
    </row>
    <row r="15444" spans="1:9" s="232" customFormat="1" ht="17" customHeight="1">
      <c r="A15444" s="234"/>
      <c r="B15444" s="233"/>
      <c r="C15444" s="238"/>
      <c r="E15444" s="545"/>
      <c r="F15444" s="546"/>
      <c r="G15444" s="234"/>
      <c r="H15444" s="238"/>
      <c r="I15444" s="237"/>
    </row>
    <row r="15445" spans="1:9" s="232" customFormat="1" ht="17" customHeight="1">
      <c r="A15445" s="234"/>
      <c r="B15445" s="233"/>
      <c r="C15445" s="238"/>
      <c r="E15445" s="545"/>
      <c r="F15445" s="546"/>
      <c r="G15445" s="234"/>
      <c r="H15445" s="238"/>
      <c r="I15445" s="237"/>
    </row>
    <row r="15446" spans="1:9" s="232" customFormat="1" ht="17" customHeight="1">
      <c r="A15446" s="234"/>
      <c r="B15446" s="233"/>
      <c r="C15446" s="238"/>
      <c r="E15446" s="545"/>
      <c r="F15446" s="546"/>
      <c r="G15446" s="234"/>
      <c r="H15446" s="238"/>
      <c r="I15446" s="237"/>
    </row>
    <row r="15447" spans="1:9" s="232" customFormat="1" ht="17" customHeight="1">
      <c r="A15447" s="234"/>
      <c r="B15447" s="233"/>
      <c r="C15447" s="238"/>
      <c r="E15447" s="545"/>
      <c r="F15447" s="546"/>
      <c r="G15447" s="234"/>
      <c r="H15447" s="238"/>
      <c r="I15447" s="237"/>
    </row>
    <row r="15448" spans="1:9" s="232" customFormat="1" ht="17" customHeight="1">
      <c r="A15448" s="234"/>
      <c r="B15448" s="233"/>
      <c r="C15448" s="238"/>
      <c r="E15448" s="545"/>
      <c r="F15448" s="546"/>
      <c r="G15448" s="234"/>
      <c r="H15448" s="238"/>
      <c r="I15448" s="237"/>
    </row>
    <row r="15449" spans="1:9" s="232" customFormat="1" ht="17" customHeight="1">
      <c r="A15449" s="234"/>
      <c r="B15449" s="233"/>
      <c r="C15449" s="238"/>
      <c r="E15449" s="545"/>
      <c r="F15449" s="546"/>
      <c r="G15449" s="234"/>
      <c r="H15449" s="238"/>
      <c r="I15449" s="237"/>
    </row>
    <row r="15450" spans="1:9" s="232" customFormat="1" ht="17" customHeight="1">
      <c r="A15450" s="234"/>
      <c r="B15450" s="233"/>
      <c r="C15450" s="238"/>
      <c r="E15450" s="545"/>
      <c r="F15450" s="546"/>
      <c r="G15450" s="234"/>
      <c r="H15450" s="238"/>
      <c r="I15450" s="237"/>
    </row>
    <row r="15451" spans="1:9" s="232" customFormat="1" ht="17" customHeight="1">
      <c r="A15451" s="234"/>
      <c r="B15451" s="233"/>
      <c r="C15451" s="238"/>
      <c r="E15451" s="545"/>
      <c r="F15451" s="546"/>
      <c r="G15451" s="234"/>
      <c r="H15451" s="238"/>
      <c r="I15451" s="237"/>
    </row>
    <row r="15452" spans="1:9" s="232" customFormat="1" ht="17" customHeight="1">
      <c r="A15452" s="234"/>
      <c r="B15452" s="233"/>
      <c r="C15452" s="238"/>
      <c r="E15452" s="545"/>
      <c r="F15452" s="546"/>
      <c r="G15452" s="234"/>
      <c r="H15452" s="238"/>
      <c r="I15452" s="237"/>
    </row>
    <row r="15453" spans="1:9" s="232" customFormat="1" ht="17" customHeight="1">
      <c r="A15453" s="234"/>
      <c r="B15453" s="233"/>
      <c r="C15453" s="238"/>
      <c r="E15453" s="545"/>
      <c r="F15453" s="546"/>
      <c r="G15453" s="234"/>
      <c r="H15453" s="238"/>
      <c r="I15453" s="237"/>
    </row>
    <row r="15454" spans="1:9" s="232" customFormat="1" ht="17" customHeight="1">
      <c r="A15454" s="234"/>
      <c r="B15454" s="233"/>
      <c r="C15454" s="238"/>
      <c r="E15454" s="545"/>
      <c r="F15454" s="546"/>
      <c r="G15454" s="234"/>
      <c r="H15454" s="238"/>
      <c r="I15454" s="237"/>
    </row>
    <row r="15455" spans="1:9" s="232" customFormat="1" ht="17" customHeight="1">
      <c r="A15455" s="234"/>
      <c r="B15455" s="233"/>
      <c r="C15455" s="238"/>
      <c r="E15455" s="545"/>
      <c r="F15455" s="546"/>
      <c r="G15455" s="234"/>
      <c r="H15455" s="238"/>
      <c r="I15455" s="237"/>
    </row>
    <row r="15456" spans="1:9" s="232" customFormat="1" ht="17" customHeight="1">
      <c r="A15456" s="234"/>
      <c r="B15456" s="233"/>
      <c r="C15456" s="238"/>
      <c r="E15456" s="545"/>
      <c r="F15456" s="546"/>
      <c r="G15456" s="234"/>
      <c r="H15456" s="238"/>
      <c r="I15456" s="237"/>
    </row>
    <row r="15457" spans="1:9" s="232" customFormat="1" ht="17" customHeight="1">
      <c r="A15457" s="234"/>
      <c r="B15457" s="233"/>
      <c r="C15457" s="238"/>
      <c r="E15457" s="545"/>
      <c r="F15457" s="546"/>
      <c r="G15457" s="234"/>
      <c r="H15457" s="238"/>
      <c r="I15457" s="237"/>
    </row>
    <row r="15458" spans="1:9" s="232" customFormat="1" ht="17" customHeight="1">
      <c r="A15458" s="234"/>
      <c r="B15458" s="233"/>
      <c r="C15458" s="238"/>
      <c r="E15458" s="545"/>
      <c r="F15458" s="546"/>
      <c r="G15458" s="234"/>
      <c r="H15458" s="238"/>
      <c r="I15458" s="237"/>
    </row>
    <row r="15459" spans="1:9" s="232" customFormat="1" ht="17" customHeight="1">
      <c r="A15459" s="234"/>
      <c r="B15459" s="233"/>
      <c r="C15459" s="238"/>
      <c r="E15459" s="545"/>
      <c r="F15459" s="546"/>
      <c r="G15459" s="234"/>
      <c r="H15459" s="238"/>
      <c r="I15459" s="237"/>
    </row>
    <row r="15460" spans="1:9" s="232" customFormat="1" ht="17" customHeight="1">
      <c r="A15460" s="234"/>
      <c r="B15460" s="233"/>
      <c r="C15460" s="238"/>
      <c r="E15460" s="545"/>
      <c r="F15460" s="546"/>
      <c r="G15460" s="234"/>
      <c r="H15460" s="238"/>
      <c r="I15460" s="237"/>
    </row>
    <row r="15461" spans="1:9" s="232" customFormat="1" ht="17" customHeight="1">
      <c r="A15461" s="234"/>
      <c r="B15461" s="233"/>
      <c r="C15461" s="238"/>
      <c r="E15461" s="545"/>
      <c r="F15461" s="546"/>
      <c r="G15461" s="234"/>
      <c r="H15461" s="238"/>
      <c r="I15461" s="237"/>
    </row>
    <row r="15462" spans="1:9" s="232" customFormat="1" ht="17" customHeight="1">
      <c r="A15462" s="234"/>
      <c r="B15462" s="233"/>
      <c r="C15462" s="238"/>
      <c r="E15462" s="545"/>
      <c r="F15462" s="546"/>
      <c r="G15462" s="234"/>
      <c r="H15462" s="238"/>
      <c r="I15462" s="237"/>
    </row>
    <row r="15463" spans="1:9" s="232" customFormat="1" ht="17" customHeight="1">
      <c r="A15463" s="234"/>
      <c r="B15463" s="233"/>
      <c r="C15463" s="238"/>
      <c r="E15463" s="545"/>
      <c r="F15463" s="546"/>
      <c r="G15463" s="234"/>
      <c r="H15463" s="238"/>
      <c r="I15463" s="237"/>
    </row>
    <row r="15464" spans="1:9" s="232" customFormat="1" ht="17" customHeight="1">
      <c r="A15464" s="234"/>
      <c r="B15464" s="233"/>
      <c r="C15464" s="238"/>
      <c r="E15464" s="545"/>
      <c r="F15464" s="546"/>
      <c r="G15464" s="234"/>
      <c r="H15464" s="238"/>
      <c r="I15464" s="237"/>
    </row>
    <row r="15465" spans="1:9" s="232" customFormat="1" ht="17" customHeight="1">
      <c r="A15465" s="234"/>
      <c r="B15465" s="233"/>
      <c r="C15465" s="238"/>
      <c r="E15465" s="545"/>
      <c r="F15465" s="546"/>
      <c r="G15465" s="234"/>
      <c r="H15465" s="238"/>
      <c r="I15465" s="237"/>
    </row>
    <row r="15466" spans="1:9" s="232" customFormat="1" ht="17" customHeight="1">
      <c r="A15466" s="234"/>
      <c r="B15466" s="233"/>
      <c r="C15466" s="238"/>
      <c r="E15466" s="545"/>
      <c r="F15466" s="546"/>
      <c r="G15466" s="234"/>
      <c r="H15466" s="238"/>
      <c r="I15466" s="237"/>
    </row>
    <row r="15467" spans="1:9" s="232" customFormat="1" ht="17" customHeight="1">
      <c r="A15467" s="234"/>
      <c r="B15467" s="233"/>
      <c r="C15467" s="238"/>
      <c r="E15467" s="545"/>
      <c r="F15467" s="546"/>
      <c r="G15467" s="234"/>
      <c r="H15467" s="238"/>
      <c r="I15467" s="237"/>
    </row>
    <row r="15468" spans="1:9" s="232" customFormat="1" ht="17" customHeight="1">
      <c r="A15468" s="234"/>
      <c r="B15468" s="233"/>
      <c r="C15468" s="238"/>
      <c r="E15468" s="545"/>
      <c r="F15468" s="546"/>
      <c r="G15468" s="234"/>
      <c r="H15468" s="238"/>
      <c r="I15468" s="237"/>
    </row>
    <row r="15469" spans="1:9" s="232" customFormat="1" ht="17" customHeight="1">
      <c r="A15469" s="234"/>
      <c r="B15469" s="233"/>
      <c r="C15469" s="238"/>
      <c r="E15469" s="545"/>
      <c r="F15469" s="546"/>
      <c r="G15469" s="234"/>
      <c r="H15469" s="238"/>
      <c r="I15469" s="237"/>
    </row>
    <row r="15470" spans="1:9" s="232" customFormat="1" ht="17" customHeight="1">
      <c r="A15470" s="234"/>
      <c r="B15470" s="233"/>
      <c r="C15470" s="238"/>
      <c r="E15470" s="545"/>
      <c r="F15470" s="546"/>
      <c r="G15470" s="234"/>
      <c r="H15470" s="238"/>
      <c r="I15470" s="237"/>
    </row>
    <row r="15471" spans="1:9" s="232" customFormat="1" ht="17" customHeight="1">
      <c r="A15471" s="234"/>
      <c r="B15471" s="233"/>
      <c r="C15471" s="238"/>
      <c r="E15471" s="545"/>
      <c r="F15471" s="546"/>
      <c r="G15471" s="234"/>
      <c r="H15471" s="238"/>
      <c r="I15471" s="237"/>
    </row>
    <row r="15472" spans="1:9" s="232" customFormat="1" ht="17" customHeight="1">
      <c r="A15472" s="234"/>
      <c r="B15472" s="233"/>
      <c r="C15472" s="238"/>
      <c r="E15472" s="545"/>
      <c r="F15472" s="546"/>
      <c r="G15472" s="234"/>
      <c r="H15472" s="238"/>
      <c r="I15472" s="237"/>
    </row>
    <row r="15473" spans="1:9" s="232" customFormat="1" ht="17" customHeight="1">
      <c r="A15473" s="234"/>
      <c r="B15473" s="233"/>
      <c r="C15473" s="238"/>
      <c r="E15473" s="545"/>
      <c r="F15473" s="546"/>
      <c r="G15473" s="234"/>
      <c r="H15473" s="238"/>
      <c r="I15473" s="237"/>
    </row>
    <row r="15474" spans="1:9" s="232" customFormat="1" ht="17" customHeight="1">
      <c r="A15474" s="234"/>
      <c r="B15474" s="233"/>
      <c r="C15474" s="238"/>
      <c r="E15474" s="545"/>
      <c r="F15474" s="546"/>
      <c r="G15474" s="234"/>
      <c r="H15474" s="238"/>
      <c r="I15474" s="237"/>
    </row>
    <row r="15475" spans="1:9" s="232" customFormat="1" ht="17" customHeight="1">
      <c r="A15475" s="234"/>
      <c r="B15475" s="233"/>
      <c r="C15475" s="238"/>
      <c r="E15475" s="545"/>
      <c r="F15475" s="546"/>
      <c r="G15475" s="234"/>
      <c r="H15475" s="238"/>
      <c r="I15475" s="237"/>
    </row>
    <row r="15476" spans="1:9" s="232" customFormat="1" ht="17" customHeight="1">
      <c r="A15476" s="234"/>
      <c r="B15476" s="233"/>
      <c r="C15476" s="238"/>
      <c r="E15476" s="545"/>
      <c r="F15476" s="546"/>
      <c r="G15476" s="234"/>
      <c r="H15476" s="238"/>
      <c r="I15476" s="237"/>
    </row>
    <row r="15477" spans="1:9" s="232" customFormat="1" ht="17" customHeight="1">
      <c r="A15477" s="234"/>
      <c r="B15477" s="233"/>
      <c r="C15477" s="238"/>
      <c r="E15477" s="545"/>
      <c r="F15477" s="546"/>
      <c r="G15477" s="234"/>
      <c r="H15477" s="238"/>
      <c r="I15477" s="237"/>
    </row>
    <row r="15478" spans="1:9" s="232" customFormat="1" ht="17" customHeight="1">
      <c r="A15478" s="234"/>
      <c r="B15478" s="233"/>
      <c r="C15478" s="238"/>
      <c r="E15478" s="545"/>
      <c r="F15478" s="546"/>
      <c r="G15478" s="234"/>
      <c r="H15478" s="238"/>
      <c r="I15478" s="237"/>
    </row>
    <row r="15479" spans="1:9" s="232" customFormat="1" ht="17" customHeight="1">
      <c r="A15479" s="234"/>
      <c r="B15479" s="233"/>
      <c r="C15479" s="238"/>
      <c r="E15479" s="545"/>
      <c r="F15479" s="546"/>
      <c r="G15479" s="234"/>
      <c r="H15479" s="238"/>
      <c r="I15479" s="237"/>
    </row>
    <row r="15480" spans="1:9" s="232" customFormat="1" ht="17" customHeight="1">
      <c r="A15480" s="234"/>
      <c r="B15480" s="233"/>
      <c r="C15480" s="238"/>
      <c r="E15480" s="545"/>
      <c r="F15480" s="546"/>
      <c r="G15480" s="234"/>
      <c r="H15480" s="238"/>
      <c r="I15480" s="237"/>
    </row>
    <row r="15481" spans="1:9" s="232" customFormat="1" ht="17" customHeight="1">
      <c r="A15481" s="234"/>
      <c r="B15481" s="233"/>
      <c r="C15481" s="238"/>
      <c r="E15481" s="545"/>
      <c r="F15481" s="546"/>
      <c r="G15481" s="234"/>
      <c r="H15481" s="238"/>
      <c r="I15481" s="237"/>
    </row>
    <row r="15482" spans="1:9" s="232" customFormat="1" ht="17" customHeight="1">
      <c r="A15482" s="234"/>
      <c r="B15482" s="233"/>
      <c r="C15482" s="238"/>
      <c r="E15482" s="545"/>
      <c r="F15482" s="546"/>
      <c r="G15482" s="234"/>
      <c r="H15482" s="238"/>
      <c r="I15482" s="237"/>
    </row>
    <row r="15483" spans="1:9" s="232" customFormat="1" ht="17" customHeight="1">
      <c r="A15483" s="234"/>
      <c r="B15483" s="233"/>
      <c r="C15483" s="238"/>
      <c r="E15483" s="545"/>
      <c r="F15483" s="546"/>
      <c r="G15483" s="234"/>
      <c r="H15483" s="238"/>
      <c r="I15483" s="237"/>
    </row>
    <row r="15484" spans="1:9" s="232" customFormat="1" ht="17" customHeight="1">
      <c r="A15484" s="234"/>
      <c r="B15484" s="233"/>
      <c r="C15484" s="238"/>
      <c r="E15484" s="545"/>
      <c r="F15484" s="546"/>
      <c r="G15484" s="234"/>
      <c r="H15484" s="238"/>
      <c r="I15484" s="237"/>
    </row>
    <row r="15485" spans="1:9" s="232" customFormat="1" ht="17" customHeight="1">
      <c r="A15485" s="234"/>
      <c r="B15485" s="233"/>
      <c r="C15485" s="238"/>
      <c r="E15485" s="545"/>
      <c r="F15485" s="546"/>
      <c r="G15485" s="234"/>
      <c r="H15485" s="238"/>
      <c r="I15485" s="237"/>
    </row>
    <row r="15486" spans="1:9" s="232" customFormat="1" ht="17" customHeight="1">
      <c r="A15486" s="234"/>
      <c r="B15486" s="233"/>
      <c r="C15486" s="238"/>
      <c r="E15486" s="545"/>
      <c r="F15486" s="546"/>
      <c r="G15486" s="234"/>
      <c r="H15486" s="238"/>
      <c r="I15486" s="237"/>
    </row>
    <row r="15487" spans="1:9" s="232" customFormat="1" ht="17" customHeight="1">
      <c r="A15487" s="234"/>
      <c r="B15487" s="233"/>
      <c r="C15487" s="238"/>
      <c r="E15487" s="545"/>
      <c r="F15487" s="546"/>
      <c r="G15487" s="234"/>
      <c r="H15487" s="238"/>
      <c r="I15487" s="237"/>
    </row>
    <row r="15488" spans="1:9" s="232" customFormat="1" ht="17" customHeight="1">
      <c r="A15488" s="234"/>
      <c r="B15488" s="233"/>
      <c r="C15488" s="238"/>
      <c r="E15488" s="545"/>
      <c r="F15488" s="546"/>
      <c r="G15488" s="234"/>
      <c r="H15488" s="238"/>
      <c r="I15488" s="237"/>
    </row>
    <row r="15489" spans="1:9" s="232" customFormat="1" ht="17" customHeight="1">
      <c r="A15489" s="234"/>
      <c r="B15489" s="233"/>
      <c r="C15489" s="238"/>
      <c r="E15489" s="545"/>
      <c r="F15489" s="546"/>
      <c r="G15489" s="234"/>
      <c r="H15489" s="238"/>
      <c r="I15489" s="237"/>
    </row>
    <row r="15490" spans="1:9" s="232" customFormat="1" ht="17" customHeight="1">
      <c r="A15490" s="234"/>
      <c r="B15490" s="233"/>
      <c r="C15490" s="238"/>
      <c r="E15490" s="545"/>
      <c r="F15490" s="546"/>
      <c r="G15490" s="234"/>
      <c r="H15490" s="238"/>
      <c r="I15490" s="237"/>
    </row>
    <row r="15491" spans="1:9" s="232" customFormat="1" ht="17" customHeight="1">
      <c r="A15491" s="234"/>
      <c r="B15491" s="233"/>
      <c r="C15491" s="238"/>
      <c r="E15491" s="545"/>
      <c r="F15491" s="546"/>
      <c r="G15491" s="234"/>
      <c r="H15491" s="238"/>
      <c r="I15491" s="237"/>
    </row>
    <row r="15492" spans="1:9" s="232" customFormat="1" ht="17" customHeight="1">
      <c r="A15492" s="234"/>
      <c r="B15492" s="233"/>
      <c r="C15492" s="238"/>
      <c r="E15492" s="545"/>
      <c r="F15492" s="546"/>
      <c r="G15492" s="234"/>
      <c r="H15492" s="238"/>
      <c r="I15492" s="237"/>
    </row>
    <row r="15493" spans="1:9" s="232" customFormat="1" ht="17" customHeight="1">
      <c r="A15493" s="234"/>
      <c r="B15493" s="233"/>
      <c r="C15493" s="238"/>
      <c r="E15493" s="545"/>
      <c r="F15493" s="546"/>
      <c r="G15493" s="234"/>
      <c r="H15493" s="238"/>
      <c r="I15493" s="237"/>
    </row>
    <row r="15494" spans="1:9" s="232" customFormat="1" ht="17" customHeight="1">
      <c r="A15494" s="234"/>
      <c r="B15494" s="233"/>
      <c r="C15494" s="238"/>
      <c r="E15494" s="545"/>
      <c r="F15494" s="546"/>
      <c r="G15494" s="234"/>
      <c r="H15494" s="238"/>
      <c r="I15494" s="237"/>
    </row>
    <row r="15495" spans="1:9" s="232" customFormat="1" ht="17" customHeight="1">
      <c r="A15495" s="234"/>
      <c r="B15495" s="233"/>
      <c r="C15495" s="238"/>
      <c r="E15495" s="545"/>
      <c r="F15495" s="546"/>
      <c r="G15495" s="234"/>
      <c r="H15495" s="238"/>
      <c r="I15495" s="237"/>
    </row>
    <row r="15496" spans="1:9" s="232" customFormat="1" ht="17" customHeight="1">
      <c r="A15496" s="234"/>
      <c r="B15496" s="233"/>
      <c r="C15496" s="238"/>
      <c r="E15496" s="545"/>
      <c r="F15496" s="546"/>
      <c r="G15496" s="234"/>
      <c r="H15496" s="238"/>
      <c r="I15496" s="237"/>
    </row>
    <row r="15497" spans="1:9" s="232" customFormat="1" ht="17" customHeight="1">
      <c r="A15497" s="234"/>
      <c r="B15497" s="233"/>
      <c r="C15497" s="238"/>
      <c r="E15497" s="545"/>
      <c r="F15497" s="546"/>
      <c r="G15497" s="234"/>
      <c r="H15497" s="238"/>
      <c r="I15497" s="237"/>
    </row>
    <row r="15498" spans="1:9" s="232" customFormat="1" ht="17" customHeight="1">
      <c r="A15498" s="234"/>
      <c r="B15498" s="233"/>
      <c r="C15498" s="238"/>
      <c r="E15498" s="545"/>
      <c r="F15498" s="546"/>
      <c r="G15498" s="234"/>
      <c r="H15498" s="238"/>
      <c r="I15498" s="237"/>
    </row>
    <row r="15499" spans="1:9" s="232" customFormat="1" ht="17" customHeight="1">
      <c r="A15499" s="234"/>
      <c r="B15499" s="233"/>
      <c r="C15499" s="238"/>
      <c r="E15499" s="545"/>
      <c r="F15499" s="546"/>
      <c r="G15499" s="234"/>
      <c r="H15499" s="238"/>
      <c r="I15499" s="237"/>
    </row>
    <row r="15500" spans="1:9" s="232" customFormat="1" ht="17" customHeight="1">
      <c r="A15500" s="234"/>
      <c r="B15500" s="233"/>
      <c r="C15500" s="238"/>
      <c r="E15500" s="545"/>
      <c r="F15500" s="546"/>
      <c r="G15500" s="234"/>
      <c r="H15500" s="238"/>
      <c r="I15500" s="237"/>
    </row>
    <row r="15501" spans="1:9" s="232" customFormat="1" ht="17" customHeight="1">
      <c r="A15501" s="234"/>
      <c r="B15501" s="233"/>
      <c r="C15501" s="238"/>
      <c r="E15501" s="545"/>
      <c r="F15501" s="546"/>
      <c r="G15501" s="234"/>
      <c r="H15501" s="238"/>
      <c r="I15501" s="237"/>
    </row>
    <row r="15502" spans="1:9" s="232" customFormat="1" ht="17" customHeight="1">
      <c r="A15502" s="234"/>
      <c r="B15502" s="233"/>
      <c r="C15502" s="238"/>
      <c r="E15502" s="545"/>
      <c r="F15502" s="546"/>
      <c r="G15502" s="234"/>
      <c r="H15502" s="238"/>
      <c r="I15502" s="237"/>
    </row>
    <row r="15503" spans="1:9" s="232" customFormat="1" ht="17" customHeight="1">
      <c r="A15503" s="234"/>
      <c r="B15503" s="233"/>
      <c r="C15503" s="238"/>
      <c r="E15503" s="545"/>
      <c r="F15503" s="546"/>
      <c r="G15503" s="234"/>
      <c r="H15503" s="238"/>
      <c r="I15503" s="237"/>
    </row>
    <row r="15504" spans="1:9" s="232" customFormat="1" ht="17" customHeight="1">
      <c r="A15504" s="234"/>
      <c r="B15504" s="233"/>
      <c r="C15504" s="238"/>
      <c r="E15504" s="545"/>
      <c r="F15504" s="546"/>
      <c r="G15504" s="234"/>
      <c r="H15504" s="238"/>
      <c r="I15504" s="237"/>
    </row>
    <row r="15505" spans="1:9" s="232" customFormat="1" ht="17" customHeight="1">
      <c r="A15505" s="234"/>
      <c r="B15505" s="233"/>
      <c r="C15505" s="238"/>
      <c r="E15505" s="545"/>
      <c r="F15505" s="546"/>
      <c r="G15505" s="234"/>
      <c r="H15505" s="238"/>
      <c r="I15505" s="237"/>
    </row>
    <row r="15506" spans="1:9" s="232" customFormat="1" ht="17" customHeight="1">
      <c r="A15506" s="234"/>
      <c r="B15506" s="233"/>
      <c r="C15506" s="238"/>
      <c r="E15506" s="545"/>
      <c r="F15506" s="546"/>
      <c r="G15506" s="234"/>
      <c r="H15506" s="238"/>
      <c r="I15506" s="237"/>
    </row>
    <row r="15507" spans="1:9" s="232" customFormat="1" ht="17" customHeight="1">
      <c r="A15507" s="234"/>
      <c r="B15507" s="233"/>
      <c r="C15507" s="238"/>
      <c r="E15507" s="545"/>
      <c r="F15507" s="546"/>
      <c r="G15507" s="234"/>
      <c r="H15507" s="238"/>
      <c r="I15507" s="237"/>
    </row>
    <row r="15508" spans="1:9" s="232" customFormat="1" ht="17" customHeight="1">
      <c r="A15508" s="234"/>
      <c r="B15508" s="233"/>
      <c r="C15508" s="238"/>
      <c r="E15508" s="545"/>
      <c r="F15508" s="546"/>
      <c r="G15508" s="234"/>
      <c r="H15508" s="238"/>
      <c r="I15508" s="237"/>
    </row>
    <row r="15509" spans="1:9" s="232" customFormat="1" ht="17" customHeight="1">
      <c r="A15509" s="234"/>
      <c r="B15509" s="233"/>
      <c r="C15509" s="238"/>
      <c r="E15509" s="545"/>
      <c r="F15509" s="546"/>
      <c r="G15509" s="234"/>
      <c r="H15509" s="238"/>
      <c r="I15509" s="237"/>
    </row>
    <row r="15510" spans="1:9" s="232" customFormat="1" ht="17" customHeight="1">
      <c r="A15510" s="234"/>
      <c r="B15510" s="233"/>
      <c r="C15510" s="238"/>
      <c r="E15510" s="545"/>
      <c r="F15510" s="546"/>
      <c r="G15510" s="234"/>
      <c r="H15510" s="238"/>
      <c r="I15510" s="237"/>
    </row>
    <row r="15511" spans="1:9" s="232" customFormat="1" ht="17" customHeight="1">
      <c r="A15511" s="234"/>
      <c r="B15511" s="233"/>
      <c r="C15511" s="238"/>
      <c r="E15511" s="545"/>
      <c r="F15511" s="546"/>
      <c r="G15511" s="234"/>
      <c r="H15511" s="238"/>
      <c r="I15511" s="237"/>
    </row>
    <row r="15512" spans="1:9" s="232" customFormat="1" ht="17" customHeight="1">
      <c r="A15512" s="234"/>
      <c r="B15512" s="233"/>
      <c r="C15512" s="238"/>
      <c r="E15512" s="545"/>
      <c r="F15512" s="546"/>
      <c r="G15512" s="234"/>
      <c r="H15512" s="238"/>
      <c r="I15512" s="237"/>
    </row>
    <row r="15513" spans="1:9" s="232" customFormat="1" ht="17" customHeight="1">
      <c r="A15513" s="234"/>
      <c r="B15513" s="233"/>
      <c r="C15513" s="238"/>
      <c r="E15513" s="545"/>
      <c r="F15513" s="546"/>
      <c r="G15513" s="234"/>
      <c r="H15513" s="238"/>
      <c r="I15513" s="237"/>
    </row>
    <row r="15514" spans="1:9" s="232" customFormat="1" ht="17" customHeight="1">
      <c r="A15514" s="234"/>
      <c r="B15514" s="233"/>
      <c r="C15514" s="238"/>
      <c r="E15514" s="545"/>
      <c r="F15514" s="546"/>
      <c r="G15514" s="234"/>
      <c r="H15514" s="238"/>
      <c r="I15514" s="237"/>
    </row>
    <row r="15515" spans="1:9" s="232" customFormat="1" ht="17" customHeight="1">
      <c r="A15515" s="234"/>
      <c r="B15515" s="233"/>
      <c r="C15515" s="238"/>
      <c r="E15515" s="545"/>
      <c r="F15515" s="546"/>
      <c r="G15515" s="234"/>
      <c r="H15515" s="238"/>
      <c r="I15515" s="237"/>
    </row>
    <row r="15516" spans="1:9" s="232" customFormat="1" ht="17" customHeight="1">
      <c r="A15516" s="234"/>
      <c r="B15516" s="233"/>
      <c r="C15516" s="238"/>
      <c r="E15516" s="545"/>
      <c r="F15516" s="546"/>
      <c r="G15516" s="234"/>
      <c r="H15516" s="238"/>
      <c r="I15516" s="237"/>
    </row>
    <row r="15517" spans="1:9" s="232" customFormat="1" ht="17" customHeight="1">
      <c r="A15517" s="234"/>
      <c r="B15517" s="233"/>
      <c r="C15517" s="238"/>
      <c r="E15517" s="545"/>
      <c r="F15517" s="546"/>
      <c r="G15517" s="234"/>
      <c r="H15517" s="238"/>
      <c r="I15517" s="237"/>
    </row>
    <row r="15518" spans="1:9" s="232" customFormat="1" ht="17" customHeight="1">
      <c r="A15518" s="234"/>
      <c r="B15518" s="233"/>
      <c r="C15518" s="238"/>
      <c r="E15518" s="545"/>
      <c r="F15518" s="546"/>
      <c r="G15518" s="234"/>
      <c r="H15518" s="238"/>
      <c r="I15518" s="237"/>
    </row>
    <row r="15519" spans="1:9" s="232" customFormat="1" ht="17" customHeight="1">
      <c r="A15519" s="234"/>
      <c r="B15519" s="233"/>
      <c r="C15519" s="238"/>
      <c r="E15519" s="545"/>
      <c r="F15519" s="546"/>
      <c r="G15519" s="234"/>
      <c r="H15519" s="238"/>
      <c r="I15519" s="237"/>
    </row>
    <row r="15520" spans="1:9" s="232" customFormat="1" ht="17" customHeight="1">
      <c r="A15520" s="234"/>
      <c r="B15520" s="233"/>
      <c r="C15520" s="238"/>
      <c r="E15520" s="545"/>
      <c r="F15520" s="546"/>
      <c r="G15520" s="234"/>
      <c r="H15520" s="238"/>
      <c r="I15520" s="237"/>
    </row>
    <row r="15521" spans="1:9" s="232" customFormat="1" ht="17" customHeight="1">
      <c r="A15521" s="234"/>
      <c r="B15521" s="233"/>
      <c r="C15521" s="238"/>
      <c r="E15521" s="545"/>
      <c r="F15521" s="546"/>
      <c r="G15521" s="234"/>
      <c r="H15521" s="238"/>
      <c r="I15521" s="237"/>
    </row>
    <row r="15522" spans="1:9" s="232" customFormat="1" ht="17" customHeight="1">
      <c r="A15522" s="234"/>
      <c r="B15522" s="233"/>
      <c r="C15522" s="238"/>
      <c r="E15522" s="545"/>
      <c r="F15522" s="546"/>
      <c r="G15522" s="234"/>
      <c r="H15522" s="238"/>
      <c r="I15522" s="237"/>
    </row>
    <row r="15523" spans="1:9" s="232" customFormat="1" ht="17" customHeight="1">
      <c r="A15523" s="234"/>
      <c r="B15523" s="233"/>
      <c r="C15523" s="238"/>
      <c r="E15523" s="545"/>
      <c r="F15523" s="546"/>
      <c r="G15523" s="234"/>
      <c r="H15523" s="238"/>
      <c r="I15523" s="237"/>
    </row>
    <row r="15524" spans="1:9" s="232" customFormat="1" ht="17" customHeight="1">
      <c r="A15524" s="234"/>
      <c r="B15524" s="233"/>
      <c r="C15524" s="238"/>
      <c r="E15524" s="545"/>
      <c r="F15524" s="546"/>
      <c r="G15524" s="234"/>
      <c r="H15524" s="238"/>
      <c r="I15524" s="237"/>
    </row>
    <row r="15525" spans="1:9" s="232" customFormat="1" ht="17" customHeight="1">
      <c r="A15525" s="234"/>
      <c r="B15525" s="233"/>
      <c r="C15525" s="238"/>
      <c r="E15525" s="545"/>
      <c r="F15525" s="546"/>
      <c r="G15525" s="234"/>
      <c r="H15525" s="238"/>
      <c r="I15525" s="237"/>
    </row>
    <row r="15526" spans="1:9" s="232" customFormat="1" ht="17" customHeight="1">
      <c r="A15526" s="234"/>
      <c r="B15526" s="233"/>
      <c r="C15526" s="238"/>
      <c r="E15526" s="545"/>
      <c r="F15526" s="546"/>
      <c r="G15526" s="234"/>
      <c r="H15526" s="238"/>
      <c r="I15526" s="237"/>
    </row>
    <row r="15527" spans="1:9" s="232" customFormat="1" ht="17" customHeight="1">
      <c r="A15527" s="234"/>
      <c r="B15527" s="233"/>
      <c r="C15527" s="238"/>
      <c r="E15527" s="545"/>
      <c r="F15527" s="546"/>
      <c r="G15527" s="234"/>
      <c r="H15527" s="238"/>
      <c r="I15527" s="237"/>
    </row>
    <row r="15528" spans="1:9" s="232" customFormat="1" ht="17" customHeight="1">
      <c r="A15528" s="234"/>
      <c r="B15528" s="233"/>
      <c r="C15528" s="238"/>
      <c r="E15528" s="545"/>
      <c r="F15528" s="546"/>
      <c r="G15528" s="234"/>
      <c r="H15528" s="238"/>
      <c r="I15528" s="237"/>
    </row>
    <row r="15529" spans="1:9" s="232" customFormat="1" ht="17" customHeight="1">
      <c r="A15529" s="234"/>
      <c r="B15529" s="233"/>
      <c r="C15529" s="238"/>
      <c r="E15529" s="545"/>
      <c r="F15529" s="546"/>
      <c r="G15529" s="234"/>
      <c r="H15529" s="238"/>
      <c r="I15529" s="237"/>
    </row>
    <row r="15530" spans="1:9" s="232" customFormat="1" ht="17" customHeight="1">
      <c r="A15530" s="234"/>
      <c r="B15530" s="233"/>
      <c r="C15530" s="238"/>
      <c r="E15530" s="545"/>
      <c r="F15530" s="546"/>
      <c r="G15530" s="234"/>
      <c r="H15530" s="238"/>
      <c r="I15530" s="237"/>
    </row>
    <row r="15531" spans="1:9" s="232" customFormat="1" ht="17" customHeight="1">
      <c r="A15531" s="234"/>
      <c r="B15531" s="233"/>
      <c r="C15531" s="238"/>
      <c r="E15531" s="545"/>
      <c r="F15531" s="546"/>
      <c r="G15531" s="234"/>
      <c r="H15531" s="238"/>
      <c r="I15531" s="237"/>
    </row>
    <row r="15532" spans="1:9" s="232" customFormat="1" ht="17" customHeight="1">
      <c r="A15532" s="234"/>
      <c r="B15532" s="233"/>
      <c r="C15532" s="238"/>
      <c r="E15532" s="545"/>
      <c r="F15532" s="546"/>
      <c r="G15532" s="234"/>
      <c r="H15532" s="238"/>
      <c r="I15532" s="237"/>
    </row>
    <row r="15533" spans="1:9" s="232" customFormat="1" ht="17" customHeight="1">
      <c r="A15533" s="234"/>
      <c r="B15533" s="233"/>
      <c r="C15533" s="238"/>
      <c r="E15533" s="545"/>
      <c r="F15533" s="546"/>
      <c r="G15533" s="234"/>
      <c r="H15533" s="238"/>
      <c r="I15533" s="237"/>
    </row>
    <row r="15534" spans="1:9" s="232" customFormat="1" ht="17" customHeight="1">
      <c r="A15534" s="234"/>
      <c r="B15534" s="233"/>
      <c r="C15534" s="238"/>
      <c r="E15534" s="545"/>
      <c r="F15534" s="546"/>
      <c r="G15534" s="234"/>
      <c r="H15534" s="238"/>
      <c r="I15534" s="237"/>
    </row>
    <row r="15535" spans="1:9" s="232" customFormat="1" ht="17" customHeight="1">
      <c r="A15535" s="234"/>
      <c r="B15535" s="233"/>
      <c r="C15535" s="238"/>
      <c r="E15535" s="545"/>
      <c r="F15535" s="546"/>
      <c r="G15535" s="234"/>
      <c r="H15535" s="238"/>
      <c r="I15535" s="237"/>
    </row>
    <row r="15536" spans="1:9" s="232" customFormat="1" ht="17" customHeight="1">
      <c r="A15536" s="234"/>
      <c r="B15536" s="233"/>
      <c r="C15536" s="238"/>
      <c r="E15536" s="545"/>
      <c r="F15536" s="546"/>
      <c r="G15536" s="234"/>
      <c r="H15536" s="238"/>
      <c r="I15536" s="237"/>
    </row>
    <row r="15537" spans="1:9" s="232" customFormat="1" ht="17" customHeight="1">
      <c r="A15537" s="234"/>
      <c r="B15537" s="233"/>
      <c r="C15537" s="238"/>
      <c r="E15537" s="545"/>
      <c r="F15537" s="546"/>
      <c r="G15537" s="234"/>
      <c r="H15537" s="238"/>
      <c r="I15537" s="237"/>
    </row>
    <row r="15538" spans="1:9" s="232" customFormat="1" ht="17" customHeight="1">
      <c r="A15538" s="234"/>
      <c r="B15538" s="233"/>
      <c r="C15538" s="238"/>
      <c r="E15538" s="545"/>
      <c r="F15538" s="546"/>
      <c r="G15538" s="234"/>
      <c r="H15538" s="238"/>
      <c r="I15538" s="237"/>
    </row>
    <row r="15539" spans="1:9" s="232" customFormat="1" ht="17" customHeight="1">
      <c r="A15539" s="234"/>
      <c r="B15539" s="233"/>
      <c r="C15539" s="238"/>
      <c r="E15539" s="545"/>
      <c r="F15539" s="546"/>
      <c r="G15539" s="234"/>
      <c r="H15539" s="238"/>
      <c r="I15539" s="237"/>
    </row>
    <row r="15540" spans="1:9" s="232" customFormat="1" ht="17" customHeight="1">
      <c r="A15540" s="234"/>
      <c r="B15540" s="233"/>
      <c r="C15540" s="238"/>
      <c r="E15540" s="545"/>
      <c r="F15540" s="546"/>
      <c r="G15540" s="234"/>
      <c r="H15540" s="238"/>
      <c r="I15540" s="237"/>
    </row>
    <row r="15541" spans="1:9" s="232" customFormat="1" ht="17" customHeight="1">
      <c r="A15541" s="234"/>
      <c r="B15541" s="233"/>
      <c r="C15541" s="238"/>
      <c r="E15541" s="545"/>
      <c r="F15541" s="546"/>
      <c r="G15541" s="234"/>
      <c r="H15541" s="238"/>
      <c r="I15541" s="237"/>
    </row>
    <row r="15542" spans="1:9" s="232" customFormat="1" ht="17" customHeight="1">
      <c r="A15542" s="234"/>
      <c r="B15542" s="233"/>
      <c r="C15542" s="238"/>
      <c r="E15542" s="545"/>
      <c r="F15542" s="546"/>
      <c r="G15542" s="234"/>
      <c r="H15542" s="238"/>
      <c r="I15542" s="237"/>
    </row>
    <row r="15543" spans="1:9" s="232" customFormat="1" ht="17" customHeight="1">
      <c r="A15543" s="234"/>
      <c r="B15543" s="233"/>
      <c r="C15543" s="238"/>
      <c r="E15543" s="545"/>
      <c r="F15543" s="546"/>
      <c r="G15543" s="234"/>
      <c r="H15543" s="238"/>
      <c r="I15543" s="237"/>
    </row>
    <row r="15544" spans="1:9" s="232" customFormat="1" ht="17" customHeight="1">
      <c r="A15544" s="234"/>
      <c r="B15544" s="233"/>
      <c r="C15544" s="238"/>
      <c r="E15544" s="545"/>
      <c r="F15544" s="546"/>
      <c r="G15544" s="234"/>
      <c r="H15544" s="238"/>
      <c r="I15544" s="237"/>
    </row>
    <row r="15545" spans="1:9" s="232" customFormat="1" ht="17" customHeight="1">
      <c r="A15545" s="234"/>
      <c r="B15545" s="233"/>
      <c r="C15545" s="238"/>
      <c r="E15545" s="545"/>
      <c r="F15545" s="546"/>
      <c r="G15545" s="234"/>
      <c r="H15545" s="238"/>
      <c r="I15545" s="237"/>
    </row>
    <row r="15546" spans="1:9" s="232" customFormat="1" ht="17" customHeight="1">
      <c r="A15546" s="234"/>
      <c r="B15546" s="233"/>
      <c r="C15546" s="238"/>
      <c r="E15546" s="545"/>
      <c r="F15546" s="546"/>
      <c r="G15546" s="234"/>
      <c r="H15546" s="238"/>
      <c r="I15546" s="237"/>
    </row>
    <row r="15547" spans="1:9" s="232" customFormat="1" ht="17" customHeight="1">
      <c r="A15547" s="234"/>
      <c r="B15547" s="233"/>
      <c r="C15547" s="238"/>
      <c r="E15547" s="545"/>
      <c r="F15547" s="546"/>
      <c r="G15547" s="234"/>
      <c r="H15547" s="238"/>
      <c r="I15547" s="237"/>
    </row>
    <row r="15548" spans="1:9" s="232" customFormat="1" ht="17" customHeight="1">
      <c r="A15548" s="234"/>
      <c r="B15548" s="233"/>
      <c r="C15548" s="238"/>
      <c r="E15548" s="545"/>
      <c r="F15548" s="546"/>
      <c r="G15548" s="234"/>
      <c r="H15548" s="238"/>
      <c r="I15548" s="237"/>
    </row>
    <row r="15549" spans="1:9" s="232" customFormat="1" ht="17" customHeight="1">
      <c r="A15549" s="234"/>
      <c r="B15549" s="233"/>
      <c r="C15549" s="238"/>
      <c r="E15549" s="545"/>
      <c r="F15549" s="546"/>
      <c r="G15549" s="234"/>
      <c r="H15549" s="238"/>
      <c r="I15549" s="237"/>
    </row>
    <row r="15550" spans="1:9" s="232" customFormat="1" ht="17" customHeight="1">
      <c r="A15550" s="234"/>
      <c r="B15550" s="233"/>
      <c r="C15550" s="238"/>
      <c r="E15550" s="545"/>
      <c r="F15550" s="546"/>
      <c r="G15550" s="234"/>
      <c r="H15550" s="238"/>
      <c r="I15550" s="237"/>
    </row>
    <row r="15551" spans="1:9" s="232" customFormat="1" ht="17" customHeight="1">
      <c r="A15551" s="234"/>
      <c r="B15551" s="233"/>
      <c r="C15551" s="238"/>
      <c r="E15551" s="545"/>
      <c r="F15551" s="546"/>
      <c r="G15551" s="234"/>
      <c r="H15551" s="238"/>
      <c r="I15551" s="237"/>
    </row>
    <row r="15552" spans="1:9" s="232" customFormat="1" ht="17" customHeight="1">
      <c r="A15552" s="234"/>
      <c r="B15552" s="233"/>
      <c r="C15552" s="238"/>
      <c r="E15552" s="545"/>
      <c r="F15552" s="546"/>
      <c r="G15552" s="234"/>
      <c r="H15552" s="238"/>
      <c r="I15552" s="237"/>
    </row>
    <row r="15553" spans="1:9" s="232" customFormat="1" ht="17" customHeight="1">
      <c r="A15553" s="234"/>
      <c r="B15553" s="233"/>
      <c r="C15553" s="238"/>
      <c r="E15553" s="545"/>
      <c r="F15553" s="546"/>
      <c r="G15553" s="234"/>
      <c r="H15553" s="238"/>
      <c r="I15553" s="237"/>
    </row>
    <row r="15554" spans="1:9" s="232" customFormat="1" ht="17" customHeight="1">
      <c r="A15554" s="234"/>
      <c r="B15554" s="233"/>
      <c r="C15554" s="238"/>
      <c r="E15554" s="545"/>
      <c r="F15554" s="546"/>
      <c r="G15554" s="234"/>
      <c r="H15554" s="238"/>
      <c r="I15554" s="237"/>
    </row>
    <row r="15555" spans="1:9" s="232" customFormat="1" ht="17" customHeight="1">
      <c r="A15555" s="234"/>
      <c r="B15555" s="233"/>
      <c r="C15555" s="238"/>
      <c r="E15555" s="545"/>
      <c r="F15555" s="546"/>
      <c r="G15555" s="234"/>
      <c r="H15555" s="238"/>
      <c r="I15555" s="237"/>
    </row>
    <row r="15556" spans="1:9" s="232" customFormat="1" ht="17" customHeight="1">
      <c r="A15556" s="234"/>
      <c r="B15556" s="233"/>
      <c r="C15556" s="238"/>
      <c r="E15556" s="545"/>
      <c r="F15556" s="546"/>
      <c r="G15556" s="234"/>
      <c r="H15556" s="238"/>
      <c r="I15556" s="237"/>
    </row>
    <row r="15557" spans="1:9" s="232" customFormat="1" ht="17" customHeight="1">
      <c r="A15557" s="234"/>
      <c r="B15557" s="233"/>
      <c r="C15557" s="238"/>
      <c r="E15557" s="545"/>
      <c r="F15557" s="546"/>
      <c r="G15557" s="234"/>
      <c r="H15557" s="238"/>
      <c r="I15557" s="237"/>
    </row>
    <row r="15558" spans="1:9" s="232" customFormat="1" ht="17" customHeight="1">
      <c r="A15558" s="234"/>
      <c r="B15558" s="233"/>
      <c r="C15558" s="238"/>
      <c r="E15558" s="545"/>
      <c r="F15558" s="546"/>
      <c r="G15558" s="234"/>
      <c r="H15558" s="238"/>
      <c r="I15558" s="237"/>
    </row>
    <row r="15559" spans="1:9" s="232" customFormat="1" ht="17" customHeight="1">
      <c r="A15559" s="234"/>
      <c r="B15559" s="233"/>
      <c r="C15559" s="238"/>
      <c r="E15559" s="545"/>
      <c r="F15559" s="546"/>
      <c r="G15559" s="234"/>
      <c r="H15559" s="238"/>
      <c r="I15559" s="237"/>
    </row>
    <row r="15560" spans="1:9" s="232" customFormat="1" ht="17" customHeight="1">
      <c r="A15560" s="234"/>
      <c r="B15560" s="233"/>
      <c r="C15560" s="238"/>
      <c r="E15560" s="545"/>
      <c r="F15560" s="546"/>
      <c r="G15560" s="234"/>
      <c r="H15560" s="238"/>
      <c r="I15560" s="237"/>
    </row>
    <row r="15561" spans="1:9" s="232" customFormat="1" ht="17" customHeight="1">
      <c r="A15561" s="234"/>
      <c r="B15561" s="233"/>
      <c r="C15561" s="238"/>
      <c r="E15561" s="545"/>
      <c r="F15561" s="546"/>
      <c r="G15561" s="234"/>
      <c r="H15561" s="238"/>
      <c r="I15561" s="237"/>
    </row>
    <row r="15562" spans="1:9" s="232" customFormat="1" ht="17" customHeight="1">
      <c r="A15562" s="234"/>
      <c r="B15562" s="233"/>
      <c r="C15562" s="238"/>
      <c r="E15562" s="545"/>
      <c r="F15562" s="546"/>
      <c r="G15562" s="234"/>
      <c r="H15562" s="238"/>
      <c r="I15562" s="237"/>
    </row>
    <row r="15563" spans="1:9" s="232" customFormat="1" ht="17" customHeight="1">
      <c r="A15563" s="234"/>
      <c r="B15563" s="233"/>
      <c r="C15563" s="238"/>
      <c r="E15563" s="545"/>
      <c r="F15563" s="546"/>
      <c r="G15563" s="234"/>
      <c r="H15563" s="238"/>
      <c r="I15563" s="237"/>
    </row>
    <row r="15564" spans="1:9" s="232" customFormat="1" ht="17" customHeight="1">
      <c r="A15564" s="234"/>
      <c r="B15564" s="233"/>
      <c r="C15564" s="238"/>
      <c r="E15564" s="545"/>
      <c r="F15564" s="546"/>
      <c r="G15564" s="234"/>
      <c r="H15564" s="238"/>
      <c r="I15564" s="237"/>
    </row>
    <row r="15565" spans="1:9" s="232" customFormat="1" ht="17" customHeight="1">
      <c r="A15565" s="234"/>
      <c r="B15565" s="233"/>
      <c r="C15565" s="238"/>
      <c r="E15565" s="545"/>
      <c r="F15565" s="546"/>
      <c r="G15565" s="234"/>
      <c r="H15565" s="238"/>
      <c r="I15565" s="237"/>
    </row>
    <row r="15566" spans="1:9" s="232" customFormat="1" ht="17" customHeight="1">
      <c r="A15566" s="234"/>
      <c r="B15566" s="233"/>
      <c r="C15566" s="238"/>
      <c r="E15566" s="545"/>
      <c r="F15566" s="546"/>
      <c r="G15566" s="234"/>
      <c r="H15566" s="238"/>
      <c r="I15566" s="237"/>
    </row>
    <row r="15567" spans="1:9" s="232" customFormat="1" ht="17" customHeight="1">
      <c r="A15567" s="234"/>
      <c r="B15567" s="233"/>
      <c r="C15567" s="238"/>
      <c r="E15567" s="545"/>
      <c r="F15567" s="546"/>
      <c r="G15567" s="234"/>
      <c r="H15567" s="238"/>
      <c r="I15567" s="237"/>
    </row>
    <row r="15568" spans="1:9" s="232" customFormat="1" ht="17" customHeight="1">
      <c r="A15568" s="234"/>
      <c r="B15568" s="233"/>
      <c r="C15568" s="238"/>
      <c r="E15568" s="545"/>
      <c r="F15568" s="546"/>
      <c r="G15568" s="234"/>
      <c r="H15568" s="238"/>
      <c r="I15568" s="237"/>
    </row>
    <row r="15569" spans="1:9" s="232" customFormat="1" ht="17" customHeight="1">
      <c r="A15569" s="234"/>
      <c r="B15569" s="233"/>
      <c r="C15569" s="238"/>
      <c r="E15569" s="545"/>
      <c r="F15569" s="546"/>
      <c r="G15569" s="234"/>
      <c r="H15569" s="238"/>
      <c r="I15569" s="237"/>
    </row>
    <row r="15570" spans="1:9" s="232" customFormat="1" ht="17" customHeight="1">
      <c r="A15570" s="234"/>
      <c r="B15570" s="233"/>
      <c r="C15570" s="238"/>
      <c r="E15570" s="545"/>
      <c r="F15570" s="546"/>
      <c r="G15570" s="234"/>
      <c r="H15570" s="238"/>
      <c r="I15570" s="237"/>
    </row>
    <row r="15571" spans="1:9" s="232" customFormat="1" ht="17" customHeight="1">
      <c r="A15571" s="234"/>
      <c r="B15571" s="233"/>
      <c r="C15571" s="238"/>
      <c r="E15571" s="545"/>
      <c r="F15571" s="546"/>
      <c r="G15571" s="234"/>
      <c r="H15571" s="238"/>
      <c r="I15571" s="237"/>
    </row>
    <row r="15572" spans="1:9" s="232" customFormat="1" ht="17" customHeight="1">
      <c r="A15572" s="234"/>
      <c r="B15572" s="233"/>
      <c r="C15572" s="238"/>
      <c r="E15572" s="545"/>
      <c r="F15572" s="546"/>
      <c r="G15572" s="234"/>
      <c r="H15572" s="238"/>
      <c r="I15572" s="237"/>
    </row>
    <row r="15573" spans="1:9" s="232" customFormat="1" ht="17" customHeight="1">
      <c r="A15573" s="234"/>
      <c r="B15573" s="233"/>
      <c r="C15573" s="238"/>
      <c r="E15573" s="545"/>
      <c r="F15573" s="546"/>
      <c r="G15573" s="234"/>
      <c r="H15573" s="238"/>
      <c r="I15573" s="237"/>
    </row>
    <row r="15574" spans="1:9" s="232" customFormat="1" ht="17" customHeight="1">
      <c r="A15574" s="234"/>
      <c r="B15574" s="233"/>
      <c r="C15574" s="238"/>
      <c r="E15574" s="545"/>
      <c r="F15574" s="546"/>
      <c r="G15574" s="234"/>
      <c r="H15574" s="238"/>
      <c r="I15574" s="237"/>
    </row>
    <row r="15575" spans="1:9" s="232" customFormat="1" ht="17" customHeight="1">
      <c r="A15575" s="234"/>
      <c r="B15575" s="233"/>
      <c r="C15575" s="238"/>
      <c r="E15575" s="545"/>
      <c r="F15575" s="546"/>
      <c r="G15575" s="234"/>
      <c r="H15575" s="238"/>
      <c r="I15575" s="237"/>
    </row>
    <row r="15576" spans="1:9" s="232" customFormat="1" ht="17" customHeight="1">
      <c r="A15576" s="234"/>
      <c r="B15576" s="233"/>
      <c r="C15576" s="238"/>
      <c r="E15576" s="545"/>
      <c r="F15576" s="546"/>
      <c r="G15576" s="234"/>
      <c r="H15576" s="238"/>
      <c r="I15576" s="237"/>
    </row>
    <row r="15577" spans="1:9" s="232" customFormat="1" ht="17" customHeight="1">
      <c r="A15577" s="234"/>
      <c r="B15577" s="233"/>
      <c r="C15577" s="238"/>
      <c r="E15577" s="545"/>
      <c r="F15577" s="546"/>
      <c r="G15577" s="234"/>
      <c r="H15577" s="238"/>
      <c r="I15577" s="237"/>
    </row>
    <row r="15578" spans="1:9" s="232" customFormat="1" ht="17" customHeight="1">
      <c r="A15578" s="234"/>
      <c r="B15578" s="233"/>
      <c r="C15578" s="238"/>
      <c r="E15578" s="545"/>
      <c r="F15578" s="546"/>
      <c r="G15578" s="234"/>
      <c r="H15578" s="238"/>
      <c r="I15578" s="237"/>
    </row>
    <row r="15579" spans="1:9" s="232" customFormat="1" ht="17" customHeight="1">
      <c r="A15579" s="234"/>
      <c r="B15579" s="233"/>
      <c r="C15579" s="238"/>
      <c r="E15579" s="545"/>
      <c r="F15579" s="546"/>
      <c r="G15579" s="234"/>
      <c r="H15579" s="238"/>
      <c r="I15579" s="237"/>
    </row>
    <row r="15580" spans="1:9" s="232" customFormat="1" ht="17" customHeight="1">
      <c r="A15580" s="234"/>
      <c r="B15580" s="233"/>
      <c r="C15580" s="238"/>
      <c r="E15580" s="545"/>
      <c r="F15580" s="546"/>
      <c r="G15580" s="234"/>
      <c r="H15580" s="238"/>
      <c r="I15580" s="237"/>
    </row>
    <row r="15581" spans="1:9" s="232" customFormat="1" ht="17" customHeight="1">
      <c r="A15581" s="234"/>
      <c r="B15581" s="233"/>
      <c r="C15581" s="238"/>
      <c r="E15581" s="545"/>
      <c r="F15581" s="546"/>
      <c r="G15581" s="234"/>
      <c r="H15581" s="238"/>
      <c r="I15581" s="237"/>
    </row>
    <row r="15582" spans="1:9" s="232" customFormat="1" ht="17" customHeight="1">
      <c r="A15582" s="234"/>
      <c r="B15582" s="233"/>
      <c r="C15582" s="238"/>
      <c r="E15582" s="545"/>
      <c r="F15582" s="546"/>
      <c r="G15582" s="234"/>
      <c r="H15582" s="238"/>
      <c r="I15582" s="237"/>
    </row>
    <row r="15583" spans="1:9" s="232" customFormat="1" ht="17" customHeight="1">
      <c r="A15583" s="234"/>
      <c r="B15583" s="233"/>
      <c r="C15583" s="238"/>
      <c r="E15583" s="545"/>
      <c r="F15583" s="546"/>
      <c r="G15583" s="234"/>
      <c r="H15583" s="238"/>
      <c r="I15583" s="237"/>
    </row>
    <row r="15584" spans="1:9" s="232" customFormat="1" ht="17" customHeight="1">
      <c r="A15584" s="234"/>
      <c r="B15584" s="233"/>
      <c r="C15584" s="238"/>
      <c r="E15584" s="545"/>
      <c r="F15584" s="546"/>
      <c r="G15584" s="234"/>
      <c r="H15584" s="238"/>
      <c r="I15584" s="237"/>
    </row>
    <row r="15585" spans="1:9" s="232" customFormat="1" ht="17" customHeight="1">
      <c r="A15585" s="234"/>
      <c r="B15585" s="233"/>
      <c r="C15585" s="238"/>
      <c r="E15585" s="545"/>
      <c r="F15585" s="546"/>
      <c r="G15585" s="234"/>
      <c r="H15585" s="238"/>
      <c r="I15585" s="237"/>
    </row>
    <row r="15586" spans="1:9" s="232" customFormat="1" ht="17" customHeight="1">
      <c r="A15586" s="234"/>
      <c r="B15586" s="233"/>
      <c r="C15586" s="238"/>
      <c r="E15586" s="545"/>
      <c r="F15586" s="546"/>
      <c r="G15586" s="234"/>
      <c r="H15586" s="238"/>
      <c r="I15586" s="237"/>
    </row>
    <row r="15587" spans="1:9" s="232" customFormat="1" ht="17" customHeight="1">
      <c r="A15587" s="234"/>
      <c r="B15587" s="233"/>
      <c r="C15587" s="238"/>
      <c r="E15587" s="545"/>
      <c r="F15587" s="546"/>
      <c r="G15587" s="234"/>
      <c r="H15587" s="238"/>
      <c r="I15587" s="237"/>
    </row>
    <row r="15588" spans="1:9" s="232" customFormat="1" ht="17" customHeight="1">
      <c r="A15588" s="234"/>
      <c r="B15588" s="233"/>
      <c r="C15588" s="238"/>
      <c r="E15588" s="545"/>
      <c r="F15588" s="546"/>
      <c r="G15588" s="234"/>
      <c r="H15588" s="238"/>
      <c r="I15588" s="237"/>
    </row>
    <row r="15589" spans="1:9" s="232" customFormat="1" ht="17" customHeight="1">
      <c r="A15589" s="234"/>
      <c r="B15589" s="233"/>
      <c r="C15589" s="238"/>
      <c r="E15589" s="545"/>
      <c r="F15589" s="546"/>
      <c r="G15589" s="234"/>
      <c r="H15589" s="238"/>
      <c r="I15589" s="237"/>
    </row>
    <row r="15590" spans="1:9" s="232" customFormat="1" ht="17" customHeight="1">
      <c r="A15590" s="234"/>
      <c r="B15590" s="233"/>
      <c r="C15590" s="238"/>
      <c r="E15590" s="545"/>
      <c r="F15590" s="546"/>
      <c r="G15590" s="234"/>
      <c r="H15590" s="238"/>
      <c r="I15590" s="237"/>
    </row>
    <row r="15591" spans="1:9" s="232" customFormat="1" ht="17" customHeight="1">
      <c r="A15591" s="234"/>
      <c r="B15591" s="233"/>
      <c r="C15591" s="238"/>
      <c r="E15591" s="545"/>
      <c r="F15591" s="546"/>
      <c r="G15591" s="234"/>
      <c r="H15591" s="238"/>
      <c r="I15591" s="237"/>
    </row>
    <row r="15592" spans="1:9" s="232" customFormat="1" ht="17" customHeight="1">
      <c r="A15592" s="234"/>
      <c r="B15592" s="233"/>
      <c r="C15592" s="238"/>
      <c r="E15592" s="545"/>
      <c r="F15592" s="546"/>
      <c r="G15592" s="234"/>
      <c r="H15592" s="238"/>
      <c r="I15592" s="237"/>
    </row>
    <row r="15593" spans="1:9" s="232" customFormat="1" ht="17" customHeight="1">
      <c r="A15593" s="234"/>
      <c r="B15593" s="233"/>
      <c r="C15593" s="238"/>
      <c r="E15593" s="545"/>
      <c r="F15593" s="546"/>
      <c r="G15593" s="234"/>
      <c r="H15593" s="238"/>
      <c r="I15593" s="237"/>
    </row>
    <row r="15594" spans="1:9" s="232" customFormat="1" ht="17" customHeight="1">
      <c r="A15594" s="234"/>
      <c r="B15594" s="233"/>
      <c r="C15594" s="238"/>
      <c r="E15594" s="545"/>
      <c r="F15594" s="546"/>
      <c r="G15594" s="234"/>
      <c r="H15594" s="238"/>
      <c r="I15594" s="237"/>
    </row>
    <row r="15595" spans="1:9" s="232" customFormat="1" ht="17" customHeight="1">
      <c r="A15595" s="234"/>
      <c r="B15595" s="233"/>
      <c r="C15595" s="238"/>
      <c r="E15595" s="545"/>
      <c r="F15595" s="546"/>
      <c r="G15595" s="234"/>
      <c r="H15595" s="238"/>
      <c r="I15595" s="237"/>
    </row>
    <row r="15596" spans="1:9" s="232" customFormat="1" ht="17" customHeight="1">
      <c r="A15596" s="234"/>
      <c r="B15596" s="233"/>
      <c r="C15596" s="238"/>
      <c r="E15596" s="545"/>
      <c r="F15596" s="546"/>
      <c r="G15596" s="234"/>
      <c r="H15596" s="238"/>
      <c r="I15596" s="237"/>
    </row>
    <row r="15597" spans="1:9" s="232" customFormat="1" ht="17" customHeight="1">
      <c r="A15597" s="234"/>
      <c r="B15597" s="233"/>
      <c r="C15597" s="238"/>
      <c r="E15597" s="545"/>
      <c r="F15597" s="546"/>
      <c r="G15597" s="234"/>
      <c r="H15597" s="238"/>
      <c r="I15597" s="237"/>
    </row>
    <row r="15598" spans="1:9" s="232" customFormat="1" ht="17" customHeight="1">
      <c r="A15598" s="234"/>
      <c r="B15598" s="233"/>
      <c r="C15598" s="238"/>
      <c r="E15598" s="545"/>
      <c r="F15598" s="546"/>
      <c r="G15598" s="234"/>
      <c r="H15598" s="238"/>
      <c r="I15598" s="237"/>
    </row>
    <row r="15599" spans="1:9" s="232" customFormat="1" ht="17" customHeight="1">
      <c r="A15599" s="234"/>
      <c r="B15599" s="233"/>
      <c r="C15599" s="238"/>
      <c r="E15599" s="545"/>
      <c r="F15599" s="546"/>
      <c r="G15599" s="234"/>
      <c r="H15599" s="238"/>
      <c r="I15599" s="237"/>
    </row>
    <row r="15600" spans="1:9" s="232" customFormat="1" ht="17" customHeight="1">
      <c r="A15600" s="234"/>
      <c r="B15600" s="233"/>
      <c r="C15600" s="238"/>
      <c r="E15600" s="545"/>
      <c r="F15600" s="546"/>
      <c r="G15600" s="234"/>
      <c r="H15600" s="238"/>
      <c r="I15600" s="237"/>
    </row>
    <row r="15601" spans="1:9" s="232" customFormat="1" ht="17" customHeight="1">
      <c r="A15601" s="234"/>
      <c r="B15601" s="233"/>
      <c r="C15601" s="238"/>
      <c r="E15601" s="545"/>
      <c r="F15601" s="546"/>
      <c r="G15601" s="234"/>
      <c r="H15601" s="238"/>
      <c r="I15601" s="237"/>
    </row>
    <row r="15602" spans="1:9" s="232" customFormat="1" ht="17" customHeight="1">
      <c r="A15602" s="234"/>
      <c r="B15602" s="233"/>
      <c r="C15602" s="238"/>
      <c r="E15602" s="545"/>
      <c r="F15602" s="546"/>
      <c r="G15602" s="234"/>
      <c r="H15602" s="238"/>
      <c r="I15602" s="237"/>
    </row>
    <row r="15603" spans="1:9" s="232" customFormat="1" ht="17" customHeight="1">
      <c r="A15603" s="234"/>
      <c r="B15603" s="233"/>
      <c r="C15603" s="238"/>
      <c r="E15603" s="545"/>
      <c r="F15603" s="546"/>
      <c r="G15603" s="234"/>
      <c r="H15603" s="238"/>
      <c r="I15603" s="237"/>
    </row>
    <row r="15604" spans="1:9" s="232" customFormat="1" ht="17" customHeight="1">
      <c r="A15604" s="234"/>
      <c r="B15604" s="233"/>
      <c r="C15604" s="238"/>
      <c r="E15604" s="545"/>
      <c r="F15604" s="546"/>
      <c r="G15604" s="234"/>
      <c r="H15604" s="238"/>
      <c r="I15604" s="237"/>
    </row>
    <row r="15605" spans="1:9" s="232" customFormat="1" ht="17" customHeight="1">
      <c r="A15605" s="234"/>
      <c r="B15605" s="233"/>
      <c r="C15605" s="238"/>
      <c r="E15605" s="545"/>
      <c r="F15605" s="546"/>
      <c r="G15605" s="234"/>
      <c r="H15605" s="238"/>
      <c r="I15605" s="237"/>
    </row>
    <row r="15606" spans="1:9" s="232" customFormat="1" ht="17" customHeight="1">
      <c r="A15606" s="234"/>
      <c r="B15606" s="233"/>
      <c r="C15606" s="238"/>
      <c r="E15606" s="545"/>
      <c r="F15606" s="546"/>
      <c r="G15606" s="234"/>
      <c r="H15606" s="238"/>
      <c r="I15606" s="237"/>
    </row>
    <row r="15607" spans="1:9" s="232" customFormat="1" ht="17" customHeight="1">
      <c r="A15607" s="234"/>
      <c r="B15607" s="233"/>
      <c r="C15607" s="238"/>
      <c r="E15607" s="545"/>
      <c r="F15607" s="546"/>
      <c r="G15607" s="234"/>
      <c r="H15607" s="238"/>
      <c r="I15607" s="237"/>
    </row>
    <row r="15608" spans="1:9" s="232" customFormat="1" ht="17" customHeight="1">
      <c r="A15608" s="234"/>
      <c r="B15608" s="233"/>
      <c r="C15608" s="238"/>
      <c r="E15608" s="545"/>
      <c r="F15608" s="546"/>
      <c r="G15608" s="234"/>
      <c r="H15608" s="238"/>
      <c r="I15608" s="237"/>
    </row>
    <row r="15609" spans="1:9" s="232" customFormat="1" ht="17" customHeight="1">
      <c r="A15609" s="234"/>
      <c r="B15609" s="233"/>
      <c r="C15609" s="238"/>
      <c r="E15609" s="545"/>
      <c r="F15609" s="546"/>
      <c r="G15609" s="234"/>
      <c r="H15609" s="238"/>
      <c r="I15609" s="237"/>
    </row>
    <row r="15610" spans="1:9" s="232" customFormat="1" ht="17" customHeight="1">
      <c r="A15610" s="234"/>
      <c r="B15610" s="233"/>
      <c r="C15610" s="238"/>
      <c r="E15610" s="545"/>
      <c r="F15610" s="546"/>
      <c r="G15610" s="234"/>
      <c r="H15610" s="238"/>
      <c r="I15610" s="237"/>
    </row>
    <row r="15611" spans="1:9" s="232" customFormat="1" ht="17" customHeight="1">
      <c r="A15611" s="234"/>
      <c r="B15611" s="233"/>
      <c r="C15611" s="238"/>
      <c r="E15611" s="545"/>
      <c r="F15611" s="546"/>
      <c r="G15611" s="234"/>
      <c r="H15611" s="238"/>
      <c r="I15611" s="237"/>
    </row>
    <row r="15612" spans="1:9" s="232" customFormat="1" ht="17" customHeight="1">
      <c r="A15612" s="234"/>
      <c r="B15612" s="233"/>
      <c r="C15612" s="238"/>
      <c r="E15612" s="545"/>
      <c r="F15612" s="546"/>
      <c r="G15612" s="234"/>
      <c r="H15612" s="238"/>
      <c r="I15612" s="237"/>
    </row>
    <row r="15613" spans="1:9" s="232" customFormat="1" ht="17" customHeight="1">
      <c r="A15613" s="234"/>
      <c r="B15613" s="233"/>
      <c r="C15613" s="238"/>
      <c r="E15613" s="545"/>
      <c r="F15613" s="546"/>
      <c r="G15613" s="234"/>
      <c r="H15613" s="238"/>
      <c r="I15613" s="237"/>
    </row>
    <row r="15614" spans="1:9" s="232" customFormat="1" ht="17" customHeight="1">
      <c r="A15614" s="234"/>
      <c r="B15614" s="233"/>
      <c r="C15614" s="238"/>
      <c r="E15614" s="545"/>
      <c r="F15614" s="546"/>
      <c r="G15614" s="234"/>
      <c r="H15614" s="238"/>
      <c r="I15614" s="237"/>
    </row>
    <row r="15615" spans="1:9" s="232" customFormat="1" ht="17" customHeight="1">
      <c r="A15615" s="234"/>
      <c r="B15615" s="233"/>
      <c r="C15615" s="238"/>
      <c r="E15615" s="545"/>
      <c r="F15615" s="546"/>
      <c r="G15615" s="234"/>
      <c r="H15615" s="238"/>
      <c r="I15615" s="237"/>
    </row>
    <row r="15616" spans="1:9" s="232" customFormat="1" ht="17" customHeight="1">
      <c r="A15616" s="234"/>
      <c r="B15616" s="233"/>
      <c r="C15616" s="238"/>
      <c r="E15616" s="545"/>
      <c r="F15616" s="546"/>
      <c r="G15616" s="234"/>
      <c r="H15616" s="238"/>
      <c r="I15616" s="237"/>
    </row>
    <row r="15617" spans="1:9" s="232" customFormat="1" ht="17" customHeight="1">
      <c r="A15617" s="234"/>
      <c r="B15617" s="233"/>
      <c r="C15617" s="238"/>
      <c r="E15617" s="545"/>
      <c r="F15617" s="546"/>
      <c r="G15617" s="234"/>
      <c r="H15617" s="238"/>
      <c r="I15617" s="237"/>
    </row>
    <row r="15618" spans="1:9" s="232" customFormat="1" ht="17" customHeight="1">
      <c r="A15618" s="234"/>
      <c r="B15618" s="233"/>
      <c r="C15618" s="238"/>
      <c r="E15618" s="545"/>
      <c r="F15618" s="546"/>
      <c r="G15618" s="234"/>
      <c r="H15618" s="238"/>
      <c r="I15618" s="237"/>
    </row>
    <row r="15619" spans="1:9" s="232" customFormat="1" ht="17" customHeight="1">
      <c r="A15619" s="234"/>
      <c r="B15619" s="233"/>
      <c r="C15619" s="238"/>
      <c r="E15619" s="545"/>
      <c r="F15619" s="546"/>
      <c r="G15619" s="234"/>
      <c r="H15619" s="238"/>
      <c r="I15619" s="237"/>
    </row>
    <row r="15620" spans="1:9" s="232" customFormat="1" ht="17" customHeight="1">
      <c r="A15620" s="234"/>
      <c r="B15620" s="233"/>
      <c r="C15620" s="238"/>
      <c r="E15620" s="545"/>
      <c r="F15620" s="546"/>
      <c r="G15620" s="234"/>
      <c r="H15620" s="238"/>
      <c r="I15620" s="237"/>
    </row>
    <row r="15621" spans="1:9" s="232" customFormat="1" ht="17" customHeight="1">
      <c r="A15621" s="234"/>
      <c r="B15621" s="233"/>
      <c r="C15621" s="238"/>
      <c r="E15621" s="545"/>
      <c r="F15621" s="546"/>
      <c r="G15621" s="234"/>
      <c r="H15621" s="238"/>
      <c r="I15621" s="237"/>
    </row>
    <row r="15622" spans="1:9" s="232" customFormat="1" ht="17" customHeight="1">
      <c r="A15622" s="234"/>
      <c r="B15622" s="233"/>
      <c r="C15622" s="238"/>
      <c r="E15622" s="545"/>
      <c r="F15622" s="546"/>
      <c r="G15622" s="234"/>
      <c r="H15622" s="238"/>
      <c r="I15622" s="237"/>
    </row>
    <row r="15623" spans="1:9" s="232" customFormat="1" ht="17" customHeight="1">
      <c r="A15623" s="234"/>
      <c r="B15623" s="233"/>
      <c r="C15623" s="238"/>
      <c r="E15623" s="545"/>
      <c r="F15623" s="546"/>
      <c r="G15623" s="234"/>
      <c r="H15623" s="238"/>
      <c r="I15623" s="237"/>
    </row>
    <row r="15624" spans="1:9" s="232" customFormat="1" ht="17" customHeight="1">
      <c r="A15624" s="234"/>
      <c r="B15624" s="233"/>
      <c r="C15624" s="238"/>
      <c r="E15624" s="545"/>
      <c r="F15624" s="546"/>
      <c r="G15624" s="234"/>
      <c r="H15624" s="238"/>
      <c r="I15624" s="237"/>
    </row>
    <row r="15625" spans="1:9" s="232" customFormat="1" ht="17" customHeight="1">
      <c r="A15625" s="234"/>
      <c r="B15625" s="233"/>
      <c r="C15625" s="238"/>
      <c r="E15625" s="545"/>
      <c r="F15625" s="546"/>
      <c r="G15625" s="234"/>
      <c r="H15625" s="238"/>
      <c r="I15625" s="237"/>
    </row>
    <row r="15626" spans="1:9" s="232" customFormat="1" ht="17" customHeight="1">
      <c r="A15626" s="234"/>
      <c r="B15626" s="233"/>
      <c r="C15626" s="238"/>
      <c r="E15626" s="545"/>
      <c r="F15626" s="546"/>
      <c r="G15626" s="234"/>
      <c r="H15626" s="238"/>
      <c r="I15626" s="237"/>
    </row>
    <row r="15627" spans="1:9" s="232" customFormat="1" ht="17" customHeight="1">
      <c r="A15627" s="234"/>
      <c r="B15627" s="233"/>
      <c r="C15627" s="238"/>
      <c r="E15627" s="545"/>
      <c r="F15627" s="546"/>
      <c r="G15627" s="234"/>
      <c r="H15627" s="238"/>
      <c r="I15627" s="237"/>
    </row>
    <row r="15628" spans="1:9" s="232" customFormat="1" ht="17" customHeight="1">
      <c r="A15628" s="234"/>
      <c r="B15628" s="233"/>
      <c r="C15628" s="238"/>
      <c r="E15628" s="545"/>
      <c r="F15628" s="546"/>
      <c r="G15628" s="234"/>
      <c r="H15628" s="238"/>
      <c r="I15628" s="237"/>
    </row>
    <row r="15629" spans="1:9" s="232" customFormat="1" ht="17" customHeight="1">
      <c r="A15629" s="234"/>
      <c r="B15629" s="233"/>
      <c r="C15629" s="238"/>
      <c r="E15629" s="545"/>
      <c r="F15629" s="546"/>
      <c r="G15629" s="234"/>
      <c r="H15629" s="238"/>
      <c r="I15629" s="237"/>
    </row>
    <row r="15630" spans="1:9" s="232" customFormat="1" ht="17" customHeight="1">
      <c r="A15630" s="234"/>
      <c r="B15630" s="233"/>
      <c r="C15630" s="238"/>
      <c r="E15630" s="545"/>
      <c r="F15630" s="546"/>
      <c r="G15630" s="234"/>
      <c r="H15630" s="238"/>
      <c r="I15630" s="237"/>
    </row>
    <row r="15631" spans="1:9" s="232" customFormat="1" ht="17" customHeight="1">
      <c r="A15631" s="234"/>
      <c r="B15631" s="233"/>
      <c r="C15631" s="238"/>
      <c r="E15631" s="545"/>
      <c r="F15631" s="546"/>
      <c r="G15631" s="234"/>
      <c r="H15631" s="238"/>
      <c r="I15631" s="237"/>
    </row>
    <row r="15632" spans="1:9" s="232" customFormat="1" ht="17" customHeight="1">
      <c r="A15632" s="234"/>
      <c r="B15632" s="233"/>
      <c r="C15632" s="238"/>
      <c r="E15632" s="545"/>
      <c r="F15632" s="546"/>
      <c r="G15632" s="234"/>
      <c r="H15632" s="238"/>
      <c r="I15632" s="237"/>
    </row>
    <row r="15633" spans="1:9" s="232" customFormat="1" ht="17" customHeight="1">
      <c r="A15633" s="234"/>
      <c r="B15633" s="233"/>
      <c r="C15633" s="238"/>
      <c r="E15633" s="545"/>
      <c r="F15633" s="546"/>
      <c r="G15633" s="234"/>
      <c r="H15633" s="238"/>
      <c r="I15633" s="237"/>
    </row>
    <row r="15634" spans="1:9" s="232" customFormat="1" ht="17" customHeight="1">
      <c r="A15634" s="234"/>
      <c r="B15634" s="233"/>
      <c r="C15634" s="238"/>
      <c r="E15634" s="545"/>
      <c r="F15634" s="546"/>
      <c r="G15634" s="234"/>
      <c r="H15634" s="238"/>
      <c r="I15634" s="237"/>
    </row>
    <row r="15635" spans="1:9" s="232" customFormat="1" ht="17" customHeight="1">
      <c r="A15635" s="234"/>
      <c r="B15635" s="233"/>
      <c r="C15635" s="238"/>
      <c r="E15635" s="545"/>
      <c r="F15635" s="546"/>
      <c r="G15635" s="234"/>
      <c r="H15635" s="238"/>
      <c r="I15635" s="237"/>
    </row>
    <row r="15636" spans="1:9" s="232" customFormat="1" ht="17" customHeight="1">
      <c r="A15636" s="234"/>
      <c r="B15636" s="233"/>
      <c r="C15636" s="238"/>
      <c r="E15636" s="545"/>
      <c r="F15636" s="546"/>
      <c r="G15636" s="234"/>
      <c r="H15636" s="238"/>
      <c r="I15636" s="237"/>
    </row>
    <row r="15637" spans="1:9" s="232" customFormat="1" ht="17" customHeight="1">
      <c r="A15637" s="234"/>
      <c r="B15637" s="233"/>
      <c r="C15637" s="238"/>
      <c r="E15637" s="545"/>
      <c r="F15637" s="546"/>
      <c r="G15637" s="234"/>
      <c r="H15637" s="238"/>
      <c r="I15637" s="237"/>
    </row>
    <row r="15638" spans="1:9" s="232" customFormat="1" ht="17" customHeight="1">
      <c r="A15638" s="234"/>
      <c r="B15638" s="233"/>
      <c r="C15638" s="238"/>
      <c r="E15638" s="545"/>
      <c r="F15638" s="546"/>
      <c r="G15638" s="234"/>
      <c r="H15638" s="238"/>
      <c r="I15638" s="237"/>
    </row>
    <row r="15639" spans="1:9" s="232" customFormat="1" ht="17" customHeight="1">
      <c r="A15639" s="234"/>
      <c r="B15639" s="233"/>
      <c r="C15639" s="238"/>
      <c r="E15639" s="545"/>
      <c r="F15639" s="546"/>
      <c r="G15639" s="234"/>
      <c r="H15639" s="238"/>
      <c r="I15639" s="237"/>
    </row>
    <row r="15640" spans="1:9" s="232" customFormat="1" ht="17" customHeight="1">
      <c r="A15640" s="234"/>
      <c r="B15640" s="233"/>
      <c r="C15640" s="238"/>
      <c r="E15640" s="545"/>
      <c r="F15640" s="546"/>
      <c r="G15640" s="234"/>
      <c r="H15640" s="238"/>
      <c r="I15640" s="237"/>
    </row>
    <row r="15641" spans="1:9" s="232" customFormat="1" ht="17" customHeight="1">
      <c r="A15641" s="234"/>
      <c r="B15641" s="233"/>
      <c r="C15641" s="238"/>
      <c r="E15641" s="545"/>
      <c r="F15641" s="546"/>
      <c r="G15641" s="234"/>
      <c r="H15641" s="238"/>
      <c r="I15641" s="237"/>
    </row>
    <row r="15642" spans="1:9" s="232" customFormat="1" ht="17" customHeight="1">
      <c r="A15642" s="234"/>
      <c r="B15642" s="233"/>
      <c r="C15642" s="238"/>
      <c r="E15642" s="545"/>
      <c r="F15642" s="546"/>
      <c r="G15642" s="234"/>
      <c r="H15642" s="238"/>
      <c r="I15642" s="237"/>
    </row>
    <row r="15643" spans="1:9" s="232" customFormat="1" ht="17" customHeight="1">
      <c r="A15643" s="234"/>
      <c r="B15643" s="233"/>
      <c r="C15643" s="238"/>
      <c r="E15643" s="545"/>
      <c r="F15643" s="546"/>
      <c r="G15643" s="234"/>
      <c r="H15643" s="238"/>
      <c r="I15643" s="237"/>
    </row>
    <row r="15644" spans="1:9" s="232" customFormat="1" ht="17" customHeight="1">
      <c r="A15644" s="234"/>
      <c r="B15644" s="233"/>
      <c r="C15644" s="238"/>
      <c r="E15644" s="545"/>
      <c r="F15644" s="546"/>
      <c r="G15644" s="234"/>
      <c r="H15644" s="238"/>
      <c r="I15644" s="237"/>
    </row>
    <row r="15645" spans="1:9" s="232" customFormat="1" ht="17" customHeight="1">
      <c r="A15645" s="234"/>
      <c r="B15645" s="233"/>
      <c r="C15645" s="238"/>
      <c r="E15645" s="545"/>
      <c r="F15645" s="546"/>
      <c r="G15645" s="234"/>
      <c r="H15645" s="238"/>
      <c r="I15645" s="237"/>
    </row>
    <row r="15646" spans="1:9" s="232" customFormat="1" ht="17" customHeight="1">
      <c r="A15646" s="234"/>
      <c r="B15646" s="233"/>
      <c r="C15646" s="238"/>
      <c r="E15646" s="545"/>
      <c r="F15646" s="546"/>
      <c r="G15646" s="234"/>
      <c r="H15646" s="238"/>
      <c r="I15646" s="237"/>
    </row>
    <row r="15647" spans="1:9" s="232" customFormat="1" ht="17" customHeight="1">
      <c r="A15647" s="234"/>
      <c r="B15647" s="233"/>
      <c r="C15647" s="238"/>
      <c r="E15647" s="545"/>
      <c r="F15647" s="546"/>
      <c r="G15647" s="234"/>
      <c r="H15647" s="238"/>
      <c r="I15647" s="237"/>
    </row>
    <row r="15648" spans="1:9" s="232" customFormat="1" ht="17" customHeight="1">
      <c r="A15648" s="234"/>
      <c r="B15648" s="233"/>
      <c r="C15648" s="238"/>
      <c r="E15648" s="545"/>
      <c r="F15648" s="546"/>
      <c r="G15648" s="234"/>
      <c r="H15648" s="238"/>
      <c r="I15648" s="237"/>
    </row>
    <row r="15649" spans="1:9" s="232" customFormat="1" ht="17" customHeight="1">
      <c r="A15649" s="234"/>
      <c r="B15649" s="233"/>
      <c r="C15649" s="238"/>
      <c r="E15649" s="545"/>
      <c r="F15649" s="546"/>
      <c r="G15649" s="234"/>
      <c r="H15649" s="238"/>
      <c r="I15649" s="237"/>
    </row>
    <row r="15650" spans="1:9" s="232" customFormat="1" ht="17" customHeight="1">
      <c r="A15650" s="234"/>
      <c r="B15650" s="233"/>
      <c r="C15650" s="238"/>
      <c r="E15650" s="545"/>
      <c r="F15650" s="546"/>
      <c r="G15650" s="234"/>
      <c r="H15650" s="238"/>
      <c r="I15650" s="237"/>
    </row>
    <row r="15651" spans="1:9" s="232" customFormat="1" ht="17" customHeight="1">
      <c r="A15651" s="234"/>
      <c r="B15651" s="233"/>
      <c r="C15651" s="238"/>
      <c r="E15651" s="545"/>
      <c r="F15651" s="546"/>
      <c r="G15651" s="234"/>
      <c r="H15651" s="238"/>
      <c r="I15651" s="237"/>
    </row>
    <row r="15652" spans="1:9" s="232" customFormat="1" ht="17" customHeight="1">
      <c r="A15652" s="234"/>
      <c r="B15652" s="233"/>
      <c r="C15652" s="238"/>
      <c r="E15652" s="545"/>
      <c r="F15652" s="546"/>
      <c r="G15652" s="234"/>
      <c r="H15652" s="238"/>
      <c r="I15652" s="237"/>
    </row>
    <row r="15653" spans="1:9" s="232" customFormat="1" ht="17" customHeight="1">
      <c r="A15653" s="234"/>
      <c r="B15653" s="233"/>
      <c r="C15653" s="238"/>
      <c r="E15653" s="545"/>
      <c r="F15653" s="546"/>
      <c r="G15653" s="234"/>
      <c r="H15653" s="238"/>
      <c r="I15653" s="237"/>
    </row>
    <row r="15654" spans="1:9" s="232" customFormat="1" ht="17" customHeight="1">
      <c r="A15654" s="234"/>
      <c r="B15654" s="233"/>
      <c r="C15654" s="238"/>
      <c r="E15654" s="545"/>
      <c r="F15654" s="546"/>
      <c r="G15654" s="234"/>
      <c r="H15654" s="238"/>
      <c r="I15654" s="237"/>
    </row>
    <row r="15655" spans="1:9" s="232" customFormat="1" ht="17" customHeight="1">
      <c r="A15655" s="234"/>
      <c r="B15655" s="233"/>
      <c r="C15655" s="238"/>
      <c r="E15655" s="545"/>
      <c r="F15655" s="546"/>
      <c r="G15655" s="234"/>
      <c r="H15655" s="238"/>
      <c r="I15655" s="237"/>
    </row>
    <row r="15656" spans="1:9" s="232" customFormat="1" ht="17" customHeight="1">
      <c r="A15656" s="234"/>
      <c r="B15656" s="233"/>
      <c r="C15656" s="238"/>
      <c r="E15656" s="545"/>
      <c r="F15656" s="546"/>
      <c r="G15656" s="234"/>
      <c r="H15656" s="238"/>
      <c r="I15656" s="237"/>
    </row>
    <row r="15657" spans="1:9" s="232" customFormat="1" ht="17" customHeight="1">
      <c r="A15657" s="234"/>
      <c r="B15657" s="233"/>
      <c r="C15657" s="238"/>
      <c r="E15657" s="545"/>
      <c r="F15657" s="546"/>
      <c r="G15657" s="234"/>
      <c r="H15657" s="238"/>
      <c r="I15657" s="237"/>
    </row>
    <row r="15658" spans="1:9" s="232" customFormat="1" ht="17" customHeight="1">
      <c r="A15658" s="234"/>
      <c r="B15658" s="233"/>
      <c r="C15658" s="238"/>
      <c r="E15658" s="545"/>
      <c r="F15658" s="546"/>
      <c r="G15658" s="234"/>
      <c r="H15658" s="238"/>
      <c r="I15658" s="237"/>
    </row>
    <row r="15659" spans="1:9" s="232" customFormat="1" ht="17" customHeight="1">
      <c r="A15659" s="234"/>
      <c r="B15659" s="233"/>
      <c r="C15659" s="238"/>
      <c r="E15659" s="545"/>
      <c r="F15659" s="546"/>
      <c r="G15659" s="234"/>
      <c r="H15659" s="238"/>
      <c r="I15659" s="237"/>
    </row>
    <row r="15660" spans="1:9" s="232" customFormat="1" ht="17" customHeight="1">
      <c r="A15660" s="234"/>
      <c r="B15660" s="233"/>
      <c r="C15660" s="238"/>
      <c r="E15660" s="545"/>
      <c r="F15660" s="546"/>
      <c r="G15660" s="234"/>
      <c r="H15660" s="238"/>
      <c r="I15660" s="237"/>
    </row>
    <row r="15661" spans="1:9" s="232" customFormat="1" ht="17" customHeight="1">
      <c r="A15661" s="234"/>
      <c r="B15661" s="233"/>
      <c r="C15661" s="238"/>
      <c r="E15661" s="545"/>
      <c r="F15661" s="546"/>
      <c r="G15661" s="234"/>
      <c r="H15661" s="238"/>
      <c r="I15661" s="237"/>
    </row>
    <row r="15662" spans="1:9" s="232" customFormat="1" ht="17" customHeight="1">
      <c r="A15662" s="234"/>
      <c r="B15662" s="233"/>
      <c r="C15662" s="238"/>
      <c r="E15662" s="545"/>
      <c r="F15662" s="546"/>
      <c r="G15662" s="234"/>
      <c r="H15662" s="238"/>
      <c r="I15662" s="237"/>
    </row>
    <row r="15663" spans="1:9" s="232" customFormat="1" ht="17" customHeight="1">
      <c r="A15663" s="234"/>
      <c r="B15663" s="233"/>
      <c r="C15663" s="238"/>
      <c r="E15663" s="545"/>
      <c r="F15663" s="546"/>
      <c r="G15663" s="234"/>
      <c r="H15663" s="238"/>
      <c r="I15663" s="237"/>
    </row>
    <row r="15664" spans="1:9" s="232" customFormat="1" ht="17" customHeight="1">
      <c r="A15664" s="234"/>
      <c r="B15664" s="233"/>
      <c r="C15664" s="238"/>
      <c r="E15664" s="545"/>
      <c r="F15664" s="546"/>
      <c r="G15664" s="234"/>
      <c r="H15664" s="238"/>
      <c r="I15664" s="237"/>
    </row>
    <row r="15665" spans="1:9" s="232" customFormat="1" ht="17" customHeight="1">
      <c r="A15665" s="234"/>
      <c r="B15665" s="233"/>
      <c r="C15665" s="238"/>
      <c r="E15665" s="545"/>
      <c r="F15665" s="546"/>
      <c r="G15665" s="234"/>
      <c r="H15665" s="238"/>
      <c r="I15665" s="237"/>
    </row>
    <row r="15666" spans="1:9" s="232" customFormat="1" ht="17" customHeight="1">
      <c r="A15666" s="234"/>
      <c r="B15666" s="233"/>
      <c r="C15666" s="238"/>
      <c r="E15666" s="545"/>
      <c r="F15666" s="546"/>
      <c r="G15666" s="234"/>
      <c r="H15666" s="238"/>
      <c r="I15666" s="237"/>
    </row>
    <row r="15667" spans="1:9" s="232" customFormat="1" ht="17" customHeight="1">
      <c r="A15667" s="234"/>
      <c r="B15667" s="233"/>
      <c r="C15667" s="238"/>
      <c r="E15667" s="545"/>
      <c r="F15667" s="546"/>
      <c r="G15667" s="234"/>
      <c r="H15667" s="238"/>
      <c r="I15667" s="237"/>
    </row>
    <row r="15668" spans="1:9" s="232" customFormat="1" ht="17" customHeight="1">
      <c r="A15668" s="234"/>
      <c r="B15668" s="233"/>
      <c r="C15668" s="238"/>
      <c r="E15668" s="545"/>
      <c r="F15668" s="546"/>
      <c r="G15668" s="234"/>
      <c r="H15668" s="238"/>
      <c r="I15668" s="237"/>
    </row>
    <row r="15669" spans="1:9" s="232" customFormat="1" ht="17" customHeight="1">
      <c r="A15669" s="234"/>
      <c r="B15669" s="233"/>
      <c r="C15669" s="238"/>
      <c r="E15669" s="545"/>
      <c r="F15669" s="546"/>
      <c r="G15669" s="234"/>
      <c r="H15669" s="238"/>
      <c r="I15669" s="237"/>
    </row>
    <row r="15670" spans="1:9" s="232" customFormat="1" ht="17" customHeight="1">
      <c r="A15670" s="234"/>
      <c r="B15670" s="233"/>
      <c r="C15670" s="238"/>
      <c r="E15670" s="545"/>
      <c r="F15670" s="546"/>
      <c r="G15670" s="234"/>
      <c r="H15670" s="238"/>
      <c r="I15670" s="237"/>
    </row>
    <row r="15671" spans="1:9" s="232" customFormat="1" ht="17" customHeight="1">
      <c r="A15671" s="234"/>
      <c r="B15671" s="233"/>
      <c r="C15671" s="238"/>
      <c r="E15671" s="545"/>
      <c r="F15671" s="546"/>
      <c r="G15671" s="234"/>
      <c r="H15671" s="238"/>
      <c r="I15671" s="237"/>
    </row>
    <row r="15672" spans="1:9" s="232" customFormat="1" ht="17" customHeight="1">
      <c r="A15672" s="234"/>
      <c r="B15672" s="233"/>
      <c r="C15672" s="238"/>
      <c r="E15672" s="545"/>
      <c r="F15672" s="546"/>
      <c r="G15672" s="234"/>
      <c r="H15672" s="238"/>
      <c r="I15672" s="237"/>
    </row>
    <row r="15673" spans="1:9" s="232" customFormat="1" ht="17" customHeight="1">
      <c r="A15673" s="234"/>
      <c r="B15673" s="233"/>
      <c r="C15673" s="238"/>
      <c r="E15673" s="545"/>
      <c r="F15673" s="546"/>
      <c r="G15673" s="234"/>
      <c r="H15673" s="238"/>
      <c r="I15673" s="237"/>
    </row>
    <row r="15674" spans="1:9" s="232" customFormat="1" ht="17" customHeight="1">
      <c r="A15674" s="234"/>
      <c r="B15674" s="233"/>
      <c r="C15674" s="238"/>
      <c r="E15674" s="545"/>
      <c r="F15674" s="546"/>
      <c r="G15674" s="234"/>
      <c r="H15674" s="238"/>
      <c r="I15674" s="237"/>
    </row>
    <row r="15675" spans="1:9" s="232" customFormat="1" ht="17" customHeight="1">
      <c r="A15675" s="234"/>
      <c r="B15675" s="233"/>
      <c r="C15675" s="238"/>
      <c r="E15675" s="545"/>
      <c r="F15675" s="546"/>
      <c r="G15675" s="234"/>
      <c r="H15675" s="238"/>
      <c r="I15675" s="237"/>
    </row>
    <row r="15676" spans="1:9" s="232" customFormat="1" ht="17" customHeight="1">
      <c r="A15676" s="234"/>
      <c r="B15676" s="233"/>
      <c r="C15676" s="238"/>
      <c r="E15676" s="545"/>
      <c r="F15676" s="546"/>
      <c r="G15676" s="234"/>
      <c r="H15676" s="238"/>
      <c r="I15676" s="237"/>
    </row>
    <row r="15677" spans="1:9" s="232" customFormat="1" ht="17" customHeight="1">
      <c r="A15677" s="234"/>
      <c r="B15677" s="233"/>
      <c r="C15677" s="238"/>
      <c r="E15677" s="545"/>
      <c r="F15677" s="546"/>
      <c r="G15677" s="234"/>
      <c r="H15677" s="238"/>
      <c r="I15677" s="237"/>
    </row>
    <row r="15678" spans="1:9" s="232" customFormat="1" ht="17" customHeight="1">
      <c r="A15678" s="234"/>
      <c r="B15678" s="233"/>
      <c r="C15678" s="238"/>
      <c r="E15678" s="545"/>
      <c r="F15678" s="546"/>
      <c r="G15678" s="234"/>
      <c r="H15678" s="238"/>
      <c r="I15678" s="237"/>
    </row>
    <row r="15679" spans="1:9" s="232" customFormat="1" ht="17" customHeight="1">
      <c r="A15679" s="234"/>
      <c r="B15679" s="233"/>
      <c r="C15679" s="238"/>
      <c r="E15679" s="545"/>
      <c r="F15679" s="546"/>
      <c r="G15679" s="234"/>
      <c r="H15679" s="238"/>
      <c r="I15679" s="237"/>
    </row>
    <row r="15680" spans="1:9" s="232" customFormat="1" ht="17" customHeight="1">
      <c r="A15680" s="234"/>
      <c r="B15680" s="233"/>
      <c r="C15680" s="238"/>
      <c r="E15680" s="545"/>
      <c r="F15680" s="546"/>
      <c r="G15680" s="234"/>
      <c r="H15680" s="238"/>
      <c r="I15680" s="237"/>
    </row>
    <row r="15681" spans="1:9" s="232" customFormat="1" ht="17" customHeight="1">
      <c r="A15681" s="234"/>
      <c r="B15681" s="233"/>
      <c r="C15681" s="238"/>
      <c r="E15681" s="545"/>
      <c r="F15681" s="546"/>
      <c r="G15681" s="234"/>
      <c r="H15681" s="238"/>
      <c r="I15681" s="237"/>
    </row>
    <row r="15682" spans="1:9" s="232" customFormat="1" ht="17" customHeight="1">
      <c r="A15682" s="234"/>
      <c r="B15682" s="233"/>
      <c r="C15682" s="238"/>
      <c r="E15682" s="545"/>
      <c r="F15682" s="546"/>
      <c r="G15682" s="234"/>
      <c r="H15682" s="238"/>
      <c r="I15682" s="237"/>
    </row>
    <row r="15683" spans="1:9" s="232" customFormat="1" ht="17" customHeight="1">
      <c r="A15683" s="234"/>
      <c r="B15683" s="233"/>
      <c r="C15683" s="238"/>
      <c r="E15683" s="545"/>
      <c r="F15683" s="546"/>
      <c r="G15683" s="234"/>
      <c r="H15683" s="238"/>
      <c r="I15683" s="237"/>
    </row>
    <row r="15684" spans="1:9" s="232" customFormat="1" ht="17" customHeight="1">
      <c r="A15684" s="234"/>
      <c r="B15684" s="233"/>
      <c r="C15684" s="238"/>
      <c r="E15684" s="545"/>
      <c r="F15684" s="546"/>
      <c r="G15684" s="234"/>
      <c r="H15684" s="238"/>
      <c r="I15684" s="237"/>
    </row>
    <row r="15685" spans="1:9" s="232" customFormat="1" ht="17" customHeight="1">
      <c r="A15685" s="234"/>
      <c r="B15685" s="233"/>
      <c r="C15685" s="238"/>
      <c r="E15685" s="545"/>
      <c r="F15685" s="546"/>
      <c r="G15685" s="234"/>
      <c r="H15685" s="238"/>
      <c r="I15685" s="237"/>
    </row>
    <row r="15686" spans="1:9" s="232" customFormat="1" ht="17" customHeight="1">
      <c r="A15686" s="234"/>
      <c r="B15686" s="233"/>
      <c r="C15686" s="238"/>
      <c r="E15686" s="545"/>
      <c r="F15686" s="546"/>
      <c r="G15686" s="234"/>
      <c r="H15686" s="238"/>
      <c r="I15686" s="237"/>
    </row>
    <row r="15687" spans="1:9" s="232" customFormat="1" ht="17" customHeight="1">
      <c r="A15687" s="234"/>
      <c r="B15687" s="233"/>
      <c r="C15687" s="238"/>
      <c r="E15687" s="545"/>
      <c r="F15687" s="546"/>
      <c r="G15687" s="234"/>
      <c r="H15687" s="238"/>
      <c r="I15687" s="237"/>
    </row>
    <row r="15688" spans="1:9" s="232" customFormat="1" ht="17" customHeight="1">
      <c r="A15688" s="234"/>
      <c r="B15688" s="233"/>
      <c r="C15688" s="238"/>
      <c r="E15688" s="545"/>
      <c r="F15688" s="546"/>
      <c r="G15688" s="234"/>
      <c r="H15688" s="238"/>
      <c r="I15688" s="237"/>
    </row>
    <row r="15689" spans="1:9" s="232" customFormat="1" ht="17" customHeight="1">
      <c r="A15689" s="234"/>
      <c r="B15689" s="233"/>
      <c r="C15689" s="238"/>
      <c r="E15689" s="545"/>
      <c r="F15689" s="546"/>
      <c r="G15689" s="234"/>
      <c r="H15689" s="238"/>
      <c r="I15689" s="237"/>
    </row>
    <row r="15690" spans="1:9" s="232" customFormat="1" ht="17" customHeight="1">
      <c r="A15690" s="234"/>
      <c r="B15690" s="233"/>
      <c r="C15690" s="238"/>
      <c r="E15690" s="545"/>
      <c r="F15690" s="546"/>
      <c r="G15690" s="234"/>
      <c r="H15690" s="238"/>
      <c r="I15690" s="237"/>
    </row>
    <row r="15691" spans="1:9" s="232" customFormat="1" ht="17" customHeight="1">
      <c r="A15691" s="234"/>
      <c r="B15691" s="233"/>
      <c r="C15691" s="238"/>
      <c r="E15691" s="545"/>
      <c r="F15691" s="546"/>
      <c r="G15691" s="234"/>
      <c r="H15691" s="238"/>
      <c r="I15691" s="237"/>
    </row>
    <row r="15692" spans="1:9" s="232" customFormat="1" ht="17" customHeight="1">
      <c r="A15692" s="234"/>
      <c r="B15692" s="233"/>
      <c r="C15692" s="238"/>
      <c r="E15692" s="545"/>
      <c r="F15692" s="546"/>
      <c r="G15692" s="234"/>
      <c r="H15692" s="238"/>
      <c r="I15692" s="237"/>
    </row>
    <row r="15693" spans="1:9" s="232" customFormat="1" ht="17" customHeight="1">
      <c r="A15693" s="234"/>
      <c r="B15693" s="233"/>
      <c r="C15693" s="238"/>
      <c r="E15693" s="545"/>
      <c r="F15693" s="546"/>
      <c r="G15693" s="234"/>
      <c r="H15693" s="238"/>
      <c r="I15693" s="237"/>
    </row>
    <row r="15694" spans="1:9" s="232" customFormat="1" ht="17" customHeight="1">
      <c r="A15694" s="234"/>
      <c r="B15694" s="233"/>
      <c r="C15694" s="238"/>
      <c r="E15694" s="545"/>
      <c r="F15694" s="546"/>
      <c r="G15694" s="234"/>
      <c r="H15694" s="238"/>
      <c r="I15694" s="237"/>
    </row>
    <row r="15695" spans="1:9" s="232" customFormat="1" ht="17" customHeight="1">
      <c r="A15695" s="234"/>
      <c r="B15695" s="233"/>
      <c r="C15695" s="238"/>
      <c r="E15695" s="545"/>
      <c r="F15695" s="546"/>
      <c r="G15695" s="234"/>
      <c r="H15695" s="238"/>
      <c r="I15695" s="237"/>
    </row>
    <row r="15696" spans="1:9" s="232" customFormat="1" ht="17" customHeight="1">
      <c r="A15696" s="234"/>
      <c r="B15696" s="233"/>
      <c r="C15696" s="238"/>
      <c r="E15696" s="545"/>
      <c r="F15696" s="546"/>
      <c r="G15696" s="234"/>
      <c r="H15696" s="238"/>
      <c r="I15696" s="237"/>
    </row>
    <row r="15697" spans="1:9" s="232" customFormat="1" ht="17" customHeight="1">
      <c r="A15697" s="234"/>
      <c r="B15697" s="233"/>
      <c r="C15697" s="238"/>
      <c r="E15697" s="545"/>
      <c r="F15697" s="546"/>
      <c r="G15697" s="234"/>
      <c r="H15697" s="238"/>
      <c r="I15697" s="237"/>
    </row>
    <row r="15698" spans="1:9" s="232" customFormat="1" ht="17" customHeight="1">
      <c r="A15698" s="234"/>
      <c r="B15698" s="233"/>
      <c r="C15698" s="238"/>
      <c r="E15698" s="545"/>
      <c r="F15698" s="546"/>
      <c r="G15698" s="234"/>
      <c r="H15698" s="238"/>
      <c r="I15698" s="237"/>
    </row>
    <row r="15699" spans="1:9" s="232" customFormat="1" ht="17" customHeight="1">
      <c r="A15699" s="234"/>
      <c r="B15699" s="233"/>
      <c r="C15699" s="238"/>
      <c r="E15699" s="545"/>
      <c r="F15699" s="546"/>
      <c r="G15699" s="234"/>
      <c r="H15699" s="238"/>
      <c r="I15699" s="237"/>
    </row>
    <row r="15700" spans="1:9" s="232" customFormat="1" ht="17" customHeight="1">
      <c r="A15700" s="234"/>
      <c r="B15700" s="233"/>
      <c r="C15700" s="238"/>
      <c r="E15700" s="545"/>
      <c r="F15700" s="546"/>
      <c r="G15700" s="234"/>
      <c r="H15700" s="238"/>
      <c r="I15700" s="237"/>
    </row>
    <row r="15701" spans="1:9" s="232" customFormat="1" ht="17" customHeight="1">
      <c r="A15701" s="234"/>
      <c r="B15701" s="233"/>
      <c r="C15701" s="238"/>
      <c r="E15701" s="545"/>
      <c r="F15701" s="546"/>
      <c r="G15701" s="234"/>
      <c r="H15701" s="238"/>
      <c r="I15701" s="237"/>
    </row>
    <row r="15702" spans="1:9" s="232" customFormat="1" ht="17" customHeight="1">
      <c r="A15702" s="234"/>
      <c r="B15702" s="233"/>
      <c r="C15702" s="238"/>
      <c r="E15702" s="545"/>
      <c r="F15702" s="546"/>
      <c r="G15702" s="234"/>
      <c r="H15702" s="238"/>
      <c r="I15702" s="237"/>
    </row>
    <row r="15703" spans="1:9" s="232" customFormat="1" ht="17" customHeight="1">
      <c r="A15703" s="234"/>
      <c r="B15703" s="233"/>
      <c r="C15703" s="238"/>
      <c r="E15703" s="545"/>
      <c r="F15703" s="546"/>
      <c r="G15703" s="234"/>
      <c r="H15703" s="238"/>
      <c r="I15703" s="237"/>
    </row>
    <row r="15704" spans="1:9" s="232" customFormat="1" ht="17" customHeight="1">
      <c r="A15704" s="234"/>
      <c r="B15704" s="233"/>
      <c r="C15704" s="238"/>
      <c r="E15704" s="545"/>
      <c r="F15704" s="546"/>
      <c r="G15704" s="234"/>
      <c r="H15704" s="238"/>
      <c r="I15704" s="237"/>
    </row>
    <row r="15705" spans="1:9" s="232" customFormat="1" ht="17" customHeight="1">
      <c r="A15705" s="234"/>
      <c r="B15705" s="233"/>
      <c r="C15705" s="238"/>
      <c r="E15705" s="545"/>
      <c r="F15705" s="546"/>
      <c r="G15705" s="234"/>
      <c r="H15705" s="238"/>
      <c r="I15705" s="237"/>
    </row>
    <row r="15706" spans="1:9" s="232" customFormat="1" ht="17" customHeight="1">
      <c r="A15706" s="234"/>
      <c r="B15706" s="233"/>
      <c r="C15706" s="238"/>
      <c r="E15706" s="545"/>
      <c r="F15706" s="546"/>
      <c r="G15706" s="234"/>
      <c r="H15706" s="238"/>
      <c r="I15706" s="237"/>
    </row>
    <row r="15707" spans="1:9" s="232" customFormat="1" ht="17" customHeight="1">
      <c r="A15707" s="234"/>
      <c r="B15707" s="233"/>
      <c r="C15707" s="238"/>
      <c r="E15707" s="545"/>
      <c r="F15707" s="546"/>
      <c r="G15707" s="234"/>
      <c r="H15707" s="238"/>
      <c r="I15707" s="237"/>
    </row>
    <row r="15708" spans="1:9" s="232" customFormat="1" ht="17" customHeight="1">
      <c r="A15708" s="234"/>
      <c r="B15708" s="233"/>
      <c r="C15708" s="238"/>
      <c r="E15708" s="545"/>
      <c r="F15708" s="546"/>
      <c r="G15708" s="234"/>
      <c r="H15708" s="238"/>
      <c r="I15708" s="237"/>
    </row>
    <row r="15709" spans="1:9" s="232" customFormat="1" ht="17" customHeight="1">
      <c r="A15709" s="234"/>
      <c r="B15709" s="233"/>
      <c r="C15709" s="238"/>
      <c r="E15709" s="545"/>
      <c r="F15709" s="546"/>
      <c r="G15709" s="234"/>
      <c r="H15709" s="238"/>
      <c r="I15709" s="237"/>
    </row>
    <row r="15710" spans="1:9" s="232" customFormat="1" ht="17" customHeight="1">
      <c r="A15710" s="234"/>
      <c r="B15710" s="233"/>
      <c r="C15710" s="238"/>
      <c r="E15710" s="545"/>
      <c r="F15710" s="546"/>
      <c r="G15710" s="234"/>
      <c r="H15710" s="238"/>
      <c r="I15710" s="237"/>
    </row>
    <row r="15711" spans="1:9" s="232" customFormat="1" ht="17" customHeight="1">
      <c r="A15711" s="234"/>
      <c r="B15711" s="233"/>
      <c r="C15711" s="238"/>
      <c r="E15711" s="545"/>
      <c r="F15711" s="546"/>
      <c r="G15711" s="234"/>
      <c r="H15711" s="238"/>
      <c r="I15711" s="237"/>
    </row>
    <row r="15712" spans="1:9" s="232" customFormat="1" ht="17" customHeight="1">
      <c r="A15712" s="234"/>
      <c r="B15712" s="233"/>
      <c r="C15712" s="238"/>
      <c r="E15712" s="545"/>
      <c r="F15712" s="546"/>
      <c r="G15712" s="234"/>
      <c r="H15712" s="238"/>
      <c r="I15712" s="237"/>
    </row>
    <row r="15713" spans="1:9" s="232" customFormat="1" ht="17" customHeight="1">
      <c r="A15713" s="234"/>
      <c r="B15713" s="233"/>
      <c r="C15713" s="238"/>
      <c r="E15713" s="545"/>
      <c r="F15713" s="546"/>
      <c r="G15713" s="234"/>
      <c r="H15713" s="238"/>
      <c r="I15713" s="237"/>
    </row>
    <row r="15714" spans="1:9" s="232" customFormat="1" ht="17" customHeight="1">
      <c r="A15714" s="234"/>
      <c r="B15714" s="233"/>
      <c r="C15714" s="238"/>
      <c r="E15714" s="545"/>
      <c r="F15714" s="546"/>
      <c r="G15714" s="234"/>
      <c r="H15714" s="238"/>
      <c r="I15714" s="237"/>
    </row>
    <row r="15715" spans="1:9" s="232" customFormat="1" ht="17" customHeight="1">
      <c r="A15715" s="234"/>
      <c r="B15715" s="233"/>
      <c r="C15715" s="238"/>
      <c r="E15715" s="545"/>
      <c r="F15715" s="546"/>
      <c r="G15715" s="234"/>
      <c r="H15715" s="238"/>
      <c r="I15715" s="237"/>
    </row>
    <row r="15716" spans="1:9" s="232" customFormat="1" ht="17" customHeight="1">
      <c r="A15716" s="234"/>
      <c r="B15716" s="233"/>
      <c r="C15716" s="238"/>
      <c r="E15716" s="545"/>
      <c r="F15716" s="546"/>
      <c r="G15716" s="234"/>
      <c r="H15716" s="238"/>
      <c r="I15716" s="237"/>
    </row>
    <row r="15717" spans="1:9" s="232" customFormat="1" ht="17" customHeight="1">
      <c r="A15717" s="234"/>
      <c r="B15717" s="233"/>
      <c r="C15717" s="238"/>
      <c r="E15717" s="545"/>
      <c r="F15717" s="546"/>
      <c r="G15717" s="234"/>
      <c r="H15717" s="238"/>
      <c r="I15717" s="237"/>
    </row>
    <row r="15718" spans="1:9" s="232" customFormat="1" ht="17" customHeight="1">
      <c r="A15718" s="234"/>
      <c r="B15718" s="233"/>
      <c r="C15718" s="238"/>
      <c r="E15718" s="545"/>
      <c r="F15718" s="546"/>
      <c r="G15718" s="234"/>
      <c r="H15718" s="238"/>
      <c r="I15718" s="237"/>
    </row>
    <row r="15719" spans="1:9" s="232" customFormat="1" ht="17" customHeight="1">
      <c r="A15719" s="234"/>
      <c r="B15719" s="233"/>
      <c r="C15719" s="238"/>
      <c r="E15719" s="545"/>
      <c r="F15719" s="546"/>
      <c r="G15719" s="234"/>
      <c r="H15719" s="238"/>
      <c r="I15719" s="237"/>
    </row>
    <row r="15720" spans="1:9" s="232" customFormat="1" ht="17" customHeight="1">
      <c r="A15720" s="234"/>
      <c r="B15720" s="233"/>
      <c r="C15720" s="238"/>
      <c r="E15720" s="545"/>
      <c r="F15720" s="546"/>
      <c r="G15720" s="234"/>
      <c r="H15720" s="238"/>
      <c r="I15720" s="237"/>
    </row>
    <row r="15721" spans="1:9" s="232" customFormat="1" ht="17" customHeight="1">
      <c r="A15721" s="234"/>
      <c r="B15721" s="233"/>
      <c r="C15721" s="238"/>
      <c r="E15721" s="545"/>
      <c r="F15721" s="546"/>
      <c r="G15721" s="234"/>
      <c r="H15721" s="238"/>
      <c r="I15721" s="237"/>
    </row>
    <row r="15722" spans="1:9" s="232" customFormat="1" ht="17" customHeight="1">
      <c r="A15722" s="234"/>
      <c r="B15722" s="233"/>
      <c r="C15722" s="238"/>
      <c r="E15722" s="545"/>
      <c r="F15722" s="546"/>
      <c r="G15722" s="234"/>
      <c r="H15722" s="238"/>
      <c r="I15722" s="237"/>
    </row>
    <row r="15723" spans="1:9" s="232" customFormat="1" ht="17" customHeight="1">
      <c r="A15723" s="234"/>
      <c r="B15723" s="233"/>
      <c r="C15723" s="238"/>
      <c r="E15723" s="545"/>
      <c r="F15723" s="546"/>
      <c r="G15723" s="234"/>
      <c r="H15723" s="238"/>
      <c r="I15723" s="237"/>
    </row>
    <row r="15724" spans="1:9" s="232" customFormat="1" ht="17" customHeight="1">
      <c r="A15724" s="234"/>
      <c r="B15724" s="233"/>
      <c r="C15724" s="238"/>
      <c r="E15724" s="545"/>
      <c r="F15724" s="546"/>
      <c r="G15724" s="234"/>
      <c r="H15724" s="238"/>
      <c r="I15724" s="237"/>
    </row>
    <row r="15725" spans="1:9" s="232" customFormat="1" ht="17" customHeight="1">
      <c r="A15725" s="234"/>
      <c r="B15725" s="233"/>
      <c r="C15725" s="238"/>
      <c r="E15725" s="545"/>
      <c r="F15725" s="546"/>
      <c r="G15725" s="234"/>
      <c r="H15725" s="238"/>
      <c r="I15725" s="237"/>
    </row>
    <row r="15726" spans="1:9" s="232" customFormat="1" ht="17" customHeight="1">
      <c r="A15726" s="234"/>
      <c r="B15726" s="233"/>
      <c r="C15726" s="238"/>
      <c r="E15726" s="545"/>
      <c r="F15726" s="546"/>
      <c r="G15726" s="234"/>
      <c r="H15726" s="238"/>
      <c r="I15726" s="237"/>
    </row>
    <row r="15727" spans="1:9" s="232" customFormat="1" ht="17" customHeight="1">
      <c r="A15727" s="234"/>
      <c r="B15727" s="233"/>
      <c r="C15727" s="238"/>
      <c r="E15727" s="545"/>
      <c r="F15727" s="546"/>
      <c r="G15727" s="234"/>
      <c r="H15727" s="238"/>
      <c r="I15727" s="237"/>
    </row>
    <row r="15728" spans="1:9" s="232" customFormat="1" ht="17" customHeight="1">
      <c r="A15728" s="234"/>
      <c r="B15728" s="233"/>
      <c r="C15728" s="238"/>
      <c r="E15728" s="545"/>
      <c r="F15728" s="546"/>
      <c r="G15728" s="234"/>
      <c r="H15728" s="238"/>
      <c r="I15728" s="237"/>
    </row>
    <row r="15729" spans="1:9" s="232" customFormat="1" ht="17" customHeight="1">
      <c r="A15729" s="234"/>
      <c r="B15729" s="233"/>
      <c r="C15729" s="238"/>
      <c r="E15729" s="545"/>
      <c r="F15729" s="546"/>
      <c r="G15729" s="234"/>
      <c r="H15729" s="238"/>
      <c r="I15729" s="237"/>
    </row>
    <row r="15730" spans="1:9" s="232" customFormat="1" ht="17" customHeight="1">
      <c r="A15730" s="234"/>
      <c r="B15730" s="233"/>
      <c r="C15730" s="238"/>
      <c r="E15730" s="545"/>
      <c r="F15730" s="546"/>
      <c r="G15730" s="234"/>
      <c r="H15730" s="238"/>
      <c r="I15730" s="237"/>
    </row>
    <row r="15731" spans="1:9" s="232" customFormat="1" ht="17" customHeight="1">
      <c r="A15731" s="234"/>
      <c r="B15731" s="233"/>
      <c r="C15731" s="238"/>
      <c r="E15731" s="545"/>
      <c r="F15731" s="546"/>
      <c r="G15731" s="234"/>
      <c r="H15731" s="238"/>
      <c r="I15731" s="237"/>
    </row>
    <row r="15732" spans="1:9" s="232" customFormat="1" ht="17" customHeight="1">
      <c r="A15732" s="234"/>
      <c r="B15732" s="233"/>
      <c r="C15732" s="238"/>
      <c r="E15732" s="545"/>
      <c r="F15732" s="546"/>
      <c r="G15732" s="234"/>
      <c r="H15732" s="238"/>
      <c r="I15732" s="237"/>
    </row>
    <row r="15733" spans="1:9" s="232" customFormat="1" ht="17" customHeight="1">
      <c r="A15733" s="234"/>
      <c r="B15733" s="233"/>
      <c r="C15733" s="238"/>
      <c r="E15733" s="545"/>
      <c r="F15733" s="546"/>
      <c r="G15733" s="234"/>
      <c r="H15733" s="238"/>
      <c r="I15733" s="237"/>
    </row>
    <row r="15734" spans="1:9" s="232" customFormat="1" ht="17" customHeight="1">
      <c r="A15734" s="234"/>
      <c r="B15734" s="233"/>
      <c r="C15734" s="238"/>
      <c r="E15734" s="545"/>
      <c r="F15734" s="546"/>
      <c r="G15734" s="234"/>
      <c r="H15734" s="238"/>
      <c r="I15734" s="237"/>
    </row>
    <row r="15735" spans="1:9" s="232" customFormat="1" ht="17" customHeight="1">
      <c r="A15735" s="234"/>
      <c r="B15735" s="233"/>
      <c r="C15735" s="238"/>
      <c r="E15735" s="545"/>
      <c r="F15735" s="546"/>
      <c r="G15735" s="234"/>
      <c r="H15735" s="238"/>
      <c r="I15735" s="237"/>
    </row>
    <row r="15736" spans="1:9" s="232" customFormat="1" ht="17" customHeight="1">
      <c r="A15736" s="234"/>
      <c r="B15736" s="233"/>
      <c r="C15736" s="238"/>
      <c r="E15736" s="545"/>
      <c r="F15736" s="546"/>
      <c r="G15736" s="234"/>
      <c r="H15736" s="238"/>
      <c r="I15736" s="237"/>
    </row>
    <row r="15737" spans="1:9" s="232" customFormat="1" ht="17" customHeight="1">
      <c r="A15737" s="234"/>
      <c r="B15737" s="233"/>
      <c r="C15737" s="238"/>
      <c r="E15737" s="545"/>
      <c r="F15737" s="546"/>
      <c r="G15737" s="234"/>
      <c r="H15737" s="238"/>
      <c r="I15737" s="237"/>
    </row>
    <row r="15738" spans="1:9" s="232" customFormat="1" ht="17" customHeight="1">
      <c r="A15738" s="234"/>
      <c r="B15738" s="233"/>
      <c r="C15738" s="238"/>
      <c r="E15738" s="545"/>
      <c r="F15738" s="546"/>
      <c r="G15738" s="234"/>
      <c r="H15738" s="238"/>
      <c r="I15738" s="237"/>
    </row>
    <row r="15739" spans="1:9" s="232" customFormat="1" ht="17" customHeight="1">
      <c r="A15739" s="234"/>
      <c r="B15739" s="233"/>
      <c r="C15739" s="238"/>
      <c r="E15739" s="545"/>
      <c r="F15739" s="546"/>
      <c r="G15739" s="234"/>
      <c r="H15739" s="238"/>
      <c r="I15739" s="237"/>
    </row>
    <row r="15740" spans="1:9" s="232" customFormat="1" ht="17" customHeight="1">
      <c r="A15740" s="234"/>
      <c r="B15740" s="233"/>
      <c r="C15740" s="238"/>
      <c r="E15740" s="545"/>
      <c r="F15740" s="546"/>
      <c r="G15740" s="234"/>
      <c r="H15740" s="238"/>
      <c r="I15740" s="237"/>
    </row>
    <row r="15741" spans="1:9" s="232" customFormat="1" ht="17" customHeight="1">
      <c r="A15741" s="234"/>
      <c r="B15741" s="233"/>
      <c r="C15741" s="238"/>
      <c r="E15741" s="545"/>
      <c r="F15741" s="546"/>
      <c r="G15741" s="234"/>
      <c r="H15741" s="238"/>
      <c r="I15741" s="237"/>
    </row>
    <row r="15742" spans="1:9" s="232" customFormat="1" ht="17" customHeight="1">
      <c r="A15742" s="234"/>
      <c r="B15742" s="233"/>
      <c r="C15742" s="238"/>
      <c r="E15742" s="545"/>
      <c r="F15742" s="546"/>
      <c r="G15742" s="234"/>
      <c r="H15742" s="238"/>
      <c r="I15742" s="237"/>
    </row>
    <row r="15743" spans="1:9" s="232" customFormat="1" ht="17" customHeight="1">
      <c r="A15743" s="234"/>
      <c r="B15743" s="233"/>
      <c r="C15743" s="238"/>
      <c r="E15743" s="545"/>
      <c r="F15743" s="546"/>
      <c r="G15743" s="234"/>
      <c r="H15743" s="238"/>
      <c r="I15743" s="237"/>
    </row>
    <row r="15744" spans="1:9" s="232" customFormat="1" ht="17" customHeight="1">
      <c r="A15744" s="234"/>
      <c r="B15744" s="233"/>
      <c r="C15744" s="238"/>
      <c r="E15744" s="545"/>
      <c r="F15744" s="546"/>
      <c r="G15744" s="234"/>
      <c r="H15744" s="238"/>
      <c r="I15744" s="237"/>
    </row>
    <row r="15745" spans="1:9" s="232" customFormat="1" ht="17" customHeight="1">
      <c r="A15745" s="234"/>
      <c r="B15745" s="233"/>
      <c r="C15745" s="238"/>
      <c r="E15745" s="545"/>
      <c r="F15745" s="546"/>
      <c r="G15745" s="234"/>
      <c r="H15745" s="238"/>
      <c r="I15745" s="237"/>
    </row>
    <row r="15746" spans="1:9" s="232" customFormat="1" ht="17" customHeight="1">
      <c r="A15746" s="234"/>
      <c r="B15746" s="233"/>
      <c r="C15746" s="238"/>
      <c r="E15746" s="545"/>
      <c r="F15746" s="546"/>
      <c r="G15746" s="234"/>
      <c r="H15746" s="238"/>
      <c r="I15746" s="237"/>
    </row>
    <row r="15747" spans="1:9" s="232" customFormat="1" ht="17" customHeight="1">
      <c r="A15747" s="234"/>
      <c r="B15747" s="233"/>
      <c r="C15747" s="238"/>
      <c r="E15747" s="545"/>
      <c r="F15747" s="546"/>
      <c r="G15747" s="234"/>
      <c r="H15747" s="238"/>
      <c r="I15747" s="237"/>
    </row>
    <row r="15748" spans="1:9" s="232" customFormat="1" ht="17" customHeight="1">
      <c r="A15748" s="234"/>
      <c r="B15748" s="233"/>
      <c r="C15748" s="238"/>
      <c r="E15748" s="545"/>
      <c r="F15748" s="546"/>
      <c r="G15748" s="234"/>
      <c r="H15748" s="238"/>
      <c r="I15748" s="237"/>
    </row>
    <row r="15749" spans="1:9" s="232" customFormat="1" ht="17" customHeight="1">
      <c r="A15749" s="234"/>
      <c r="B15749" s="233"/>
      <c r="C15749" s="238"/>
      <c r="E15749" s="545"/>
      <c r="F15749" s="546"/>
      <c r="G15749" s="234"/>
      <c r="H15749" s="238"/>
      <c r="I15749" s="237"/>
    </row>
    <row r="15750" spans="1:9" s="232" customFormat="1" ht="17" customHeight="1">
      <c r="A15750" s="234"/>
      <c r="B15750" s="233"/>
      <c r="C15750" s="238"/>
      <c r="E15750" s="545"/>
      <c r="F15750" s="546"/>
      <c r="G15750" s="234"/>
      <c r="H15750" s="238"/>
      <c r="I15750" s="237"/>
    </row>
    <row r="15751" spans="1:9" s="232" customFormat="1" ht="17" customHeight="1">
      <c r="A15751" s="234"/>
      <c r="B15751" s="233"/>
      <c r="C15751" s="238"/>
      <c r="E15751" s="545"/>
      <c r="F15751" s="546"/>
      <c r="G15751" s="234"/>
      <c r="H15751" s="238"/>
      <c r="I15751" s="237"/>
    </row>
    <row r="15752" spans="1:9" s="232" customFormat="1" ht="17" customHeight="1">
      <c r="A15752" s="234"/>
      <c r="B15752" s="233"/>
      <c r="C15752" s="238"/>
      <c r="E15752" s="545"/>
      <c r="F15752" s="546"/>
      <c r="G15752" s="234"/>
      <c r="H15752" s="238"/>
      <c r="I15752" s="237"/>
    </row>
    <row r="15753" spans="1:9" s="232" customFormat="1" ht="17" customHeight="1">
      <c r="A15753" s="234"/>
      <c r="B15753" s="233"/>
      <c r="C15753" s="238"/>
      <c r="E15753" s="545"/>
      <c r="F15753" s="546"/>
      <c r="G15753" s="234"/>
      <c r="H15753" s="238"/>
      <c r="I15753" s="237"/>
    </row>
    <row r="15754" spans="1:9" s="232" customFormat="1" ht="17" customHeight="1">
      <c r="A15754" s="234"/>
      <c r="B15754" s="233"/>
      <c r="C15754" s="238"/>
      <c r="E15754" s="545"/>
      <c r="F15754" s="546"/>
      <c r="G15754" s="234"/>
      <c r="H15754" s="238"/>
      <c r="I15754" s="237"/>
    </row>
    <row r="15755" spans="1:9" s="232" customFormat="1" ht="17" customHeight="1">
      <c r="A15755" s="234"/>
      <c r="B15755" s="233"/>
      <c r="C15755" s="238"/>
      <c r="E15755" s="545"/>
      <c r="F15755" s="546"/>
      <c r="G15755" s="234"/>
      <c r="H15755" s="238"/>
      <c r="I15755" s="237"/>
    </row>
    <row r="15756" spans="1:9" s="232" customFormat="1" ht="17" customHeight="1">
      <c r="A15756" s="234"/>
      <c r="B15756" s="233"/>
      <c r="C15756" s="238"/>
      <c r="E15756" s="545"/>
      <c r="F15756" s="546"/>
      <c r="G15756" s="234"/>
      <c r="H15756" s="238"/>
      <c r="I15756" s="237"/>
    </row>
    <row r="15757" spans="1:9" s="232" customFormat="1" ht="17" customHeight="1">
      <c r="A15757" s="234"/>
      <c r="B15757" s="233"/>
      <c r="C15757" s="238"/>
      <c r="E15757" s="545"/>
      <c r="F15757" s="546"/>
      <c r="G15757" s="234"/>
      <c r="H15757" s="238"/>
      <c r="I15757" s="237"/>
    </row>
    <row r="15758" spans="1:9" s="232" customFormat="1" ht="17" customHeight="1">
      <c r="A15758" s="234"/>
      <c r="B15758" s="233"/>
      <c r="C15758" s="238"/>
      <c r="E15758" s="545"/>
      <c r="F15758" s="546"/>
      <c r="G15758" s="234"/>
      <c r="H15758" s="238"/>
      <c r="I15758" s="237"/>
    </row>
    <row r="15759" spans="1:9" s="232" customFormat="1" ht="17" customHeight="1">
      <c r="A15759" s="234"/>
      <c r="B15759" s="233"/>
      <c r="C15759" s="238"/>
      <c r="E15759" s="545"/>
      <c r="F15759" s="546"/>
      <c r="G15759" s="234"/>
      <c r="H15759" s="238"/>
      <c r="I15759" s="237"/>
    </row>
    <row r="15760" spans="1:9" s="232" customFormat="1" ht="17" customHeight="1">
      <c r="A15760" s="234"/>
      <c r="B15760" s="233"/>
      <c r="C15760" s="238"/>
      <c r="E15760" s="545"/>
      <c r="F15760" s="546"/>
      <c r="G15760" s="234"/>
      <c r="H15760" s="238"/>
      <c r="I15760" s="237"/>
    </row>
    <row r="15761" spans="1:9" s="232" customFormat="1" ht="17" customHeight="1">
      <c r="A15761" s="234"/>
      <c r="B15761" s="233"/>
      <c r="C15761" s="238"/>
      <c r="E15761" s="545"/>
      <c r="F15761" s="546"/>
      <c r="G15761" s="234"/>
      <c r="H15761" s="238"/>
      <c r="I15761" s="237"/>
    </row>
    <row r="15762" spans="1:9" s="232" customFormat="1" ht="17" customHeight="1">
      <c r="A15762" s="234"/>
      <c r="B15762" s="233"/>
      <c r="C15762" s="238"/>
      <c r="E15762" s="545"/>
      <c r="F15762" s="546"/>
      <c r="G15762" s="234"/>
      <c r="H15762" s="238"/>
      <c r="I15762" s="237"/>
    </row>
    <row r="15763" spans="1:9" s="232" customFormat="1" ht="17" customHeight="1">
      <c r="A15763" s="234"/>
      <c r="B15763" s="233"/>
      <c r="C15763" s="238"/>
      <c r="E15763" s="545"/>
      <c r="F15763" s="546"/>
      <c r="G15763" s="234"/>
      <c r="H15763" s="238"/>
      <c r="I15763" s="237"/>
    </row>
    <row r="15764" spans="1:9" s="232" customFormat="1" ht="17" customHeight="1">
      <c r="A15764" s="234"/>
      <c r="B15764" s="233"/>
      <c r="C15764" s="238"/>
      <c r="E15764" s="545"/>
      <c r="F15764" s="546"/>
      <c r="G15764" s="234"/>
      <c r="H15764" s="238"/>
      <c r="I15764" s="237"/>
    </row>
    <row r="15765" spans="1:9" s="232" customFormat="1" ht="17" customHeight="1">
      <c r="A15765" s="234"/>
      <c r="B15765" s="233"/>
      <c r="C15765" s="238"/>
      <c r="E15765" s="545"/>
      <c r="F15765" s="546"/>
      <c r="G15765" s="234"/>
      <c r="H15765" s="238"/>
      <c r="I15765" s="237"/>
    </row>
    <row r="15766" spans="1:9" s="232" customFormat="1" ht="17" customHeight="1">
      <c r="A15766" s="234"/>
      <c r="B15766" s="233"/>
      <c r="C15766" s="238"/>
      <c r="E15766" s="545"/>
      <c r="F15766" s="546"/>
      <c r="G15766" s="234"/>
      <c r="H15766" s="238"/>
      <c r="I15766" s="237"/>
    </row>
    <row r="15767" spans="1:9" s="232" customFormat="1" ht="17" customHeight="1">
      <c r="A15767" s="234"/>
      <c r="B15767" s="233"/>
      <c r="C15767" s="238"/>
      <c r="E15767" s="545"/>
      <c r="F15767" s="546"/>
      <c r="G15767" s="234"/>
      <c r="H15767" s="238"/>
      <c r="I15767" s="237"/>
    </row>
    <row r="15768" spans="1:9" s="232" customFormat="1" ht="17" customHeight="1">
      <c r="A15768" s="234"/>
      <c r="B15768" s="233"/>
      <c r="C15768" s="238"/>
      <c r="E15768" s="545"/>
      <c r="F15768" s="546"/>
      <c r="G15768" s="234"/>
      <c r="H15768" s="238"/>
      <c r="I15768" s="237"/>
    </row>
    <row r="15769" spans="1:9" s="232" customFormat="1" ht="17" customHeight="1">
      <c r="A15769" s="234"/>
      <c r="B15769" s="233"/>
      <c r="C15769" s="238"/>
      <c r="E15769" s="545"/>
      <c r="F15769" s="546"/>
      <c r="G15769" s="234"/>
      <c r="H15769" s="238"/>
      <c r="I15769" s="237"/>
    </row>
    <row r="15770" spans="1:9" s="232" customFormat="1" ht="17" customHeight="1">
      <c r="A15770" s="234"/>
      <c r="B15770" s="233"/>
      <c r="C15770" s="238"/>
      <c r="E15770" s="545"/>
      <c r="F15770" s="546"/>
      <c r="G15770" s="234"/>
      <c r="H15770" s="238"/>
      <c r="I15770" s="237"/>
    </row>
    <row r="15771" spans="1:9" s="232" customFormat="1" ht="17" customHeight="1">
      <c r="A15771" s="234"/>
      <c r="B15771" s="233"/>
      <c r="C15771" s="238"/>
      <c r="E15771" s="545"/>
      <c r="F15771" s="546"/>
      <c r="G15771" s="234"/>
      <c r="H15771" s="238"/>
      <c r="I15771" s="237"/>
    </row>
    <row r="15772" spans="1:9" s="232" customFormat="1" ht="17" customHeight="1">
      <c r="A15772" s="234"/>
      <c r="B15772" s="233"/>
      <c r="C15772" s="238"/>
      <c r="E15772" s="545"/>
      <c r="F15772" s="546"/>
      <c r="G15772" s="234"/>
      <c r="H15772" s="238"/>
      <c r="I15772" s="237"/>
    </row>
    <row r="15773" spans="1:9" s="232" customFormat="1" ht="17" customHeight="1">
      <c r="A15773" s="234"/>
      <c r="B15773" s="233"/>
      <c r="C15773" s="238"/>
      <c r="E15773" s="545"/>
      <c r="F15773" s="546"/>
      <c r="G15773" s="234"/>
      <c r="H15773" s="238"/>
      <c r="I15773" s="237"/>
    </row>
    <row r="15774" spans="1:9" s="232" customFormat="1" ht="17" customHeight="1">
      <c r="A15774" s="234"/>
      <c r="B15774" s="233"/>
      <c r="C15774" s="238"/>
      <c r="E15774" s="545"/>
      <c r="F15774" s="546"/>
      <c r="G15774" s="234"/>
      <c r="H15774" s="238"/>
      <c r="I15774" s="237"/>
    </row>
    <row r="15775" spans="1:9" s="232" customFormat="1" ht="17" customHeight="1">
      <c r="A15775" s="234"/>
      <c r="B15775" s="233"/>
      <c r="C15775" s="238"/>
      <c r="E15775" s="545"/>
      <c r="F15775" s="546"/>
      <c r="G15775" s="234"/>
      <c r="H15775" s="238"/>
      <c r="I15775" s="237"/>
    </row>
    <row r="15776" spans="1:9" s="232" customFormat="1" ht="17" customHeight="1">
      <c r="A15776" s="234"/>
      <c r="B15776" s="233"/>
      <c r="C15776" s="238"/>
      <c r="E15776" s="545"/>
      <c r="F15776" s="546"/>
      <c r="G15776" s="234"/>
      <c r="H15776" s="238"/>
      <c r="I15776" s="237"/>
    </row>
    <row r="15777" spans="1:9" s="232" customFormat="1" ht="17" customHeight="1">
      <c r="A15777" s="234"/>
      <c r="B15777" s="233"/>
      <c r="C15777" s="238"/>
      <c r="E15777" s="545"/>
      <c r="F15777" s="546"/>
      <c r="G15777" s="234"/>
      <c r="H15777" s="238"/>
      <c r="I15777" s="237"/>
    </row>
    <row r="15778" spans="1:9" s="232" customFormat="1" ht="17" customHeight="1">
      <c r="A15778" s="234"/>
      <c r="B15778" s="233"/>
      <c r="C15778" s="238"/>
      <c r="E15778" s="545"/>
      <c r="F15778" s="546"/>
      <c r="G15778" s="234"/>
      <c r="H15778" s="238"/>
      <c r="I15778" s="237"/>
    </row>
    <row r="15779" spans="1:9" s="232" customFormat="1" ht="17" customHeight="1">
      <c r="A15779" s="234"/>
      <c r="B15779" s="233"/>
      <c r="C15779" s="238"/>
      <c r="E15779" s="545"/>
      <c r="F15779" s="546"/>
      <c r="G15779" s="234"/>
      <c r="H15779" s="238"/>
      <c r="I15779" s="237"/>
    </row>
    <row r="15780" spans="1:9" s="232" customFormat="1" ht="17" customHeight="1">
      <c r="A15780" s="234"/>
      <c r="B15780" s="233"/>
      <c r="C15780" s="238"/>
      <c r="E15780" s="545"/>
      <c r="F15780" s="546"/>
      <c r="G15780" s="234"/>
      <c r="H15780" s="238"/>
      <c r="I15780" s="237"/>
    </row>
    <row r="15781" spans="1:9" s="232" customFormat="1" ht="17" customHeight="1">
      <c r="A15781" s="234"/>
      <c r="B15781" s="233"/>
      <c r="C15781" s="238"/>
      <c r="E15781" s="545"/>
      <c r="F15781" s="546"/>
      <c r="G15781" s="234"/>
      <c r="H15781" s="238"/>
      <c r="I15781" s="237"/>
    </row>
    <row r="15782" spans="1:9" s="232" customFormat="1" ht="17" customHeight="1">
      <c r="A15782" s="234"/>
      <c r="B15782" s="233"/>
      <c r="C15782" s="238"/>
      <c r="E15782" s="545"/>
      <c r="F15782" s="546"/>
      <c r="G15782" s="234"/>
      <c r="H15782" s="238"/>
      <c r="I15782" s="237"/>
    </row>
    <row r="15783" spans="1:9" s="232" customFormat="1" ht="17" customHeight="1">
      <c r="A15783" s="234"/>
      <c r="B15783" s="233"/>
      <c r="C15783" s="238"/>
      <c r="E15783" s="545"/>
      <c r="F15783" s="546"/>
      <c r="G15783" s="234"/>
      <c r="H15783" s="238"/>
      <c r="I15783" s="237"/>
    </row>
    <row r="15784" spans="1:9" s="232" customFormat="1" ht="17" customHeight="1">
      <c r="A15784" s="234"/>
      <c r="B15784" s="233"/>
      <c r="C15784" s="238"/>
      <c r="E15784" s="545"/>
      <c r="F15784" s="546"/>
      <c r="G15784" s="234"/>
      <c r="H15784" s="238"/>
      <c r="I15784" s="237"/>
    </row>
    <row r="15785" spans="1:9" s="232" customFormat="1" ht="17" customHeight="1">
      <c r="A15785" s="234"/>
      <c r="B15785" s="233"/>
      <c r="C15785" s="238"/>
      <c r="E15785" s="545"/>
      <c r="F15785" s="546"/>
      <c r="G15785" s="234"/>
      <c r="H15785" s="238"/>
      <c r="I15785" s="237"/>
    </row>
    <row r="15786" spans="1:9" s="232" customFormat="1" ht="17" customHeight="1">
      <c r="A15786" s="234"/>
      <c r="B15786" s="233"/>
      <c r="C15786" s="238"/>
      <c r="E15786" s="545"/>
      <c r="F15786" s="546"/>
      <c r="G15786" s="234"/>
      <c r="H15786" s="238"/>
      <c r="I15786" s="237"/>
    </row>
    <row r="15787" spans="1:9" s="232" customFormat="1" ht="17" customHeight="1">
      <c r="A15787" s="234"/>
      <c r="B15787" s="233"/>
      <c r="C15787" s="238"/>
      <c r="E15787" s="545"/>
      <c r="F15787" s="546"/>
      <c r="G15787" s="234"/>
      <c r="H15787" s="238"/>
      <c r="I15787" s="237"/>
    </row>
    <row r="15788" spans="1:9" s="232" customFormat="1" ht="17" customHeight="1">
      <c r="A15788" s="234"/>
      <c r="B15788" s="233"/>
      <c r="C15788" s="238"/>
      <c r="E15788" s="545"/>
      <c r="F15788" s="546"/>
      <c r="G15788" s="234"/>
      <c r="H15788" s="238"/>
      <c r="I15788" s="237"/>
    </row>
    <row r="15789" spans="1:9" s="232" customFormat="1" ht="17" customHeight="1">
      <c r="A15789" s="234"/>
      <c r="B15789" s="233"/>
      <c r="C15789" s="238"/>
      <c r="E15789" s="545"/>
      <c r="F15789" s="546"/>
      <c r="G15789" s="234"/>
      <c r="H15789" s="238"/>
      <c r="I15789" s="237"/>
    </row>
    <row r="15790" spans="1:9" s="232" customFormat="1" ht="17" customHeight="1">
      <c r="A15790" s="234"/>
      <c r="B15790" s="233"/>
      <c r="C15790" s="238"/>
      <c r="E15790" s="545"/>
      <c r="F15790" s="546"/>
      <c r="G15790" s="234"/>
      <c r="H15790" s="238"/>
      <c r="I15790" s="237"/>
    </row>
    <row r="15791" spans="1:9" s="232" customFormat="1" ht="17" customHeight="1">
      <c r="A15791" s="234"/>
      <c r="B15791" s="233"/>
      <c r="C15791" s="238"/>
      <c r="E15791" s="545"/>
      <c r="F15791" s="546"/>
      <c r="G15791" s="234"/>
      <c r="H15791" s="238"/>
      <c r="I15791" s="237"/>
    </row>
    <row r="15792" spans="1:9" s="232" customFormat="1" ht="17" customHeight="1">
      <c r="A15792" s="234"/>
      <c r="B15792" s="233"/>
      <c r="C15792" s="238"/>
      <c r="E15792" s="545"/>
      <c r="F15792" s="546"/>
      <c r="G15792" s="234"/>
      <c r="H15792" s="238"/>
      <c r="I15792" s="237"/>
    </row>
    <row r="15793" spans="1:9" s="232" customFormat="1" ht="17" customHeight="1">
      <c r="A15793" s="234"/>
      <c r="B15793" s="233"/>
      <c r="C15793" s="238"/>
      <c r="E15793" s="545"/>
      <c r="F15793" s="546"/>
      <c r="G15793" s="234"/>
      <c r="H15793" s="238"/>
      <c r="I15793" s="237"/>
    </row>
    <row r="15794" spans="1:9" s="232" customFormat="1" ht="17" customHeight="1">
      <c r="A15794" s="234"/>
      <c r="B15794" s="233"/>
      <c r="C15794" s="238"/>
      <c r="E15794" s="545"/>
      <c r="F15794" s="546"/>
      <c r="G15794" s="234"/>
      <c r="H15794" s="238"/>
      <c r="I15794" s="237"/>
    </row>
    <row r="15795" spans="1:9" s="232" customFormat="1" ht="17" customHeight="1">
      <c r="A15795" s="234"/>
      <c r="B15795" s="233"/>
      <c r="C15795" s="238"/>
      <c r="E15795" s="545"/>
      <c r="F15795" s="546"/>
      <c r="G15795" s="234"/>
      <c r="H15795" s="238"/>
      <c r="I15795" s="237"/>
    </row>
    <row r="15796" spans="1:9" s="232" customFormat="1" ht="17" customHeight="1">
      <c r="A15796" s="234"/>
      <c r="B15796" s="233"/>
      <c r="C15796" s="238"/>
      <c r="E15796" s="545"/>
      <c r="F15796" s="546"/>
      <c r="G15796" s="234"/>
      <c r="H15796" s="238"/>
      <c r="I15796" s="237"/>
    </row>
    <row r="15797" spans="1:9" s="232" customFormat="1" ht="17" customHeight="1">
      <c r="A15797" s="234"/>
      <c r="B15797" s="233"/>
      <c r="C15797" s="238"/>
      <c r="E15797" s="545"/>
      <c r="F15797" s="546"/>
      <c r="G15797" s="234"/>
      <c r="H15797" s="238"/>
      <c r="I15797" s="237"/>
    </row>
    <row r="15798" spans="1:9" s="232" customFormat="1" ht="17" customHeight="1">
      <c r="A15798" s="234"/>
      <c r="B15798" s="233"/>
      <c r="C15798" s="238"/>
      <c r="E15798" s="545"/>
      <c r="F15798" s="546"/>
      <c r="G15798" s="234"/>
      <c r="H15798" s="238"/>
      <c r="I15798" s="237"/>
    </row>
    <row r="15799" spans="1:9" s="232" customFormat="1" ht="17" customHeight="1">
      <c r="A15799" s="234"/>
      <c r="B15799" s="233"/>
      <c r="C15799" s="238"/>
      <c r="E15799" s="545"/>
      <c r="F15799" s="546"/>
      <c r="G15799" s="234"/>
      <c r="H15799" s="238"/>
      <c r="I15799" s="237"/>
    </row>
    <row r="15800" spans="1:9" s="232" customFormat="1" ht="17" customHeight="1">
      <c r="A15800" s="234"/>
      <c r="B15800" s="233"/>
      <c r="C15800" s="238"/>
      <c r="E15800" s="545"/>
      <c r="F15800" s="546"/>
      <c r="G15800" s="234"/>
      <c r="H15800" s="238"/>
      <c r="I15800" s="237"/>
    </row>
    <row r="15801" spans="1:9" s="232" customFormat="1" ht="17" customHeight="1">
      <c r="A15801" s="234"/>
      <c r="B15801" s="233"/>
      <c r="C15801" s="238"/>
      <c r="E15801" s="545"/>
      <c r="F15801" s="546"/>
      <c r="G15801" s="234"/>
      <c r="H15801" s="238"/>
      <c r="I15801" s="237"/>
    </row>
    <row r="15802" spans="1:9" s="232" customFormat="1" ht="17" customHeight="1">
      <c r="A15802" s="234"/>
      <c r="B15802" s="233"/>
      <c r="C15802" s="238"/>
      <c r="E15802" s="545"/>
      <c r="F15802" s="546"/>
      <c r="G15802" s="234"/>
      <c r="H15802" s="238"/>
      <c r="I15802" s="237"/>
    </row>
    <row r="15803" spans="1:9" s="232" customFormat="1" ht="17" customHeight="1">
      <c r="A15803" s="234"/>
      <c r="B15803" s="233"/>
      <c r="C15803" s="238"/>
      <c r="E15803" s="545"/>
      <c r="F15803" s="546"/>
      <c r="G15803" s="234"/>
      <c r="H15803" s="238"/>
      <c r="I15803" s="237"/>
    </row>
    <row r="15804" spans="1:9" s="232" customFormat="1" ht="17" customHeight="1">
      <c r="A15804" s="234"/>
      <c r="B15804" s="233"/>
      <c r="C15804" s="238"/>
      <c r="E15804" s="545"/>
      <c r="F15804" s="546"/>
      <c r="G15804" s="234"/>
      <c r="H15804" s="238"/>
      <c r="I15804" s="237"/>
    </row>
    <row r="15805" spans="1:9" s="232" customFormat="1" ht="17" customHeight="1">
      <c r="A15805" s="234"/>
      <c r="B15805" s="233"/>
      <c r="C15805" s="238"/>
      <c r="E15805" s="545"/>
      <c r="F15805" s="546"/>
      <c r="G15805" s="234"/>
      <c r="H15805" s="238"/>
      <c r="I15805" s="237"/>
    </row>
    <row r="15806" spans="1:9" s="232" customFormat="1" ht="17" customHeight="1">
      <c r="A15806" s="234"/>
      <c r="B15806" s="233"/>
      <c r="C15806" s="238"/>
      <c r="E15806" s="545"/>
      <c r="F15806" s="546"/>
      <c r="G15806" s="234"/>
      <c r="H15806" s="238"/>
      <c r="I15806" s="237"/>
    </row>
    <row r="15807" spans="1:9" s="232" customFormat="1" ht="17" customHeight="1">
      <c r="A15807" s="234"/>
      <c r="B15807" s="233"/>
      <c r="C15807" s="238"/>
      <c r="E15807" s="545"/>
      <c r="F15807" s="546"/>
      <c r="G15807" s="234"/>
      <c r="H15807" s="238"/>
      <c r="I15807" s="237"/>
    </row>
    <row r="15808" spans="1:9" s="232" customFormat="1" ht="17" customHeight="1">
      <c r="A15808" s="234"/>
      <c r="B15808" s="233"/>
      <c r="C15808" s="238"/>
      <c r="E15808" s="545"/>
      <c r="F15808" s="546"/>
      <c r="G15808" s="234"/>
      <c r="H15808" s="238"/>
      <c r="I15808" s="237"/>
    </row>
    <row r="15809" spans="1:9" s="232" customFormat="1" ht="17" customHeight="1">
      <c r="A15809" s="234"/>
      <c r="B15809" s="233"/>
      <c r="C15809" s="238"/>
      <c r="E15809" s="545"/>
      <c r="F15809" s="546"/>
      <c r="G15809" s="234"/>
      <c r="H15809" s="238"/>
      <c r="I15809" s="237"/>
    </row>
    <row r="15810" spans="1:9" s="232" customFormat="1" ht="17" customHeight="1">
      <c r="A15810" s="234"/>
      <c r="B15810" s="233"/>
      <c r="C15810" s="238"/>
      <c r="E15810" s="545"/>
      <c r="F15810" s="546"/>
      <c r="G15810" s="234"/>
      <c r="H15810" s="238"/>
      <c r="I15810" s="237"/>
    </row>
    <row r="15811" spans="1:9" s="232" customFormat="1" ht="17" customHeight="1">
      <c r="A15811" s="234"/>
      <c r="B15811" s="233"/>
      <c r="C15811" s="238"/>
      <c r="E15811" s="545"/>
      <c r="F15811" s="546"/>
      <c r="G15811" s="234"/>
      <c r="H15811" s="238"/>
      <c r="I15811" s="237"/>
    </row>
    <row r="15812" spans="1:9" s="232" customFormat="1" ht="17" customHeight="1">
      <c r="A15812" s="234"/>
      <c r="B15812" s="233"/>
      <c r="C15812" s="238"/>
      <c r="E15812" s="545"/>
      <c r="F15812" s="546"/>
      <c r="G15812" s="234"/>
      <c r="H15812" s="238"/>
      <c r="I15812" s="237"/>
    </row>
    <row r="15813" spans="1:9" s="232" customFormat="1" ht="17" customHeight="1">
      <c r="A15813" s="234"/>
      <c r="B15813" s="233"/>
      <c r="C15813" s="238"/>
      <c r="E15813" s="545"/>
      <c r="F15813" s="546"/>
      <c r="G15813" s="234"/>
      <c r="H15813" s="238"/>
      <c r="I15813" s="237"/>
    </row>
    <row r="15814" spans="1:9" s="232" customFormat="1" ht="17" customHeight="1">
      <c r="A15814" s="234"/>
      <c r="B15814" s="233"/>
      <c r="C15814" s="238"/>
      <c r="E15814" s="545"/>
      <c r="F15814" s="546"/>
      <c r="G15814" s="234"/>
      <c r="H15814" s="238"/>
      <c r="I15814" s="237"/>
    </row>
    <row r="15815" spans="1:9" s="232" customFormat="1" ht="17" customHeight="1">
      <c r="A15815" s="234"/>
      <c r="B15815" s="233"/>
      <c r="C15815" s="238"/>
      <c r="E15815" s="545"/>
      <c r="F15815" s="546"/>
      <c r="G15815" s="234"/>
      <c r="H15815" s="238"/>
      <c r="I15815" s="237"/>
    </row>
    <row r="15816" spans="1:9" s="232" customFormat="1" ht="17" customHeight="1">
      <c r="A15816" s="234"/>
      <c r="B15816" s="233"/>
      <c r="C15816" s="238"/>
      <c r="E15816" s="545"/>
      <c r="F15816" s="546"/>
      <c r="G15816" s="234"/>
      <c r="H15816" s="238"/>
      <c r="I15816" s="237"/>
    </row>
    <row r="15817" spans="1:9" s="232" customFormat="1" ht="17" customHeight="1">
      <c r="A15817" s="234"/>
      <c r="B15817" s="233"/>
      <c r="C15817" s="238"/>
      <c r="E15817" s="545"/>
      <c r="F15817" s="546"/>
      <c r="G15817" s="234"/>
      <c r="H15817" s="238"/>
      <c r="I15817" s="237"/>
    </row>
    <row r="15818" spans="1:9" s="232" customFormat="1" ht="17" customHeight="1">
      <c r="A15818" s="234"/>
      <c r="B15818" s="233"/>
      <c r="C15818" s="238"/>
      <c r="E15818" s="545"/>
      <c r="F15818" s="546"/>
      <c r="G15818" s="234"/>
      <c r="H15818" s="238"/>
      <c r="I15818" s="237"/>
    </row>
    <row r="15819" spans="1:9" s="232" customFormat="1" ht="17" customHeight="1">
      <c r="A15819" s="234"/>
      <c r="B15819" s="233"/>
      <c r="C15819" s="238"/>
      <c r="E15819" s="545"/>
      <c r="F15819" s="546"/>
      <c r="G15819" s="234"/>
      <c r="H15819" s="238"/>
      <c r="I15819" s="237"/>
    </row>
    <row r="15820" spans="1:9" s="232" customFormat="1" ht="17" customHeight="1">
      <c r="A15820" s="234"/>
      <c r="B15820" s="233"/>
      <c r="C15820" s="238"/>
      <c r="E15820" s="545"/>
      <c r="F15820" s="546"/>
      <c r="G15820" s="234"/>
      <c r="H15820" s="238"/>
      <c r="I15820" s="237"/>
    </row>
    <row r="15821" spans="1:9" s="232" customFormat="1" ht="17" customHeight="1">
      <c r="A15821" s="234"/>
      <c r="B15821" s="233"/>
      <c r="C15821" s="238"/>
      <c r="E15821" s="545"/>
      <c r="F15821" s="546"/>
      <c r="G15821" s="234"/>
      <c r="H15821" s="238"/>
      <c r="I15821" s="237"/>
    </row>
    <row r="15822" spans="1:9" s="232" customFormat="1" ht="17" customHeight="1">
      <c r="A15822" s="234"/>
      <c r="B15822" s="233"/>
      <c r="C15822" s="238"/>
      <c r="E15822" s="545"/>
      <c r="F15822" s="546"/>
      <c r="G15822" s="234"/>
      <c r="H15822" s="238"/>
      <c r="I15822" s="237"/>
    </row>
    <row r="15823" spans="1:9" s="232" customFormat="1" ht="17" customHeight="1">
      <c r="A15823" s="234"/>
      <c r="B15823" s="233"/>
      <c r="C15823" s="238"/>
      <c r="E15823" s="545"/>
      <c r="F15823" s="546"/>
      <c r="G15823" s="234"/>
      <c r="H15823" s="238"/>
      <c r="I15823" s="237"/>
    </row>
    <row r="15824" spans="1:9" s="232" customFormat="1" ht="17" customHeight="1">
      <c r="A15824" s="234"/>
      <c r="B15824" s="233"/>
      <c r="C15824" s="238"/>
      <c r="E15824" s="545"/>
      <c r="F15824" s="546"/>
      <c r="G15824" s="234"/>
      <c r="H15824" s="238"/>
      <c r="I15824" s="237"/>
    </row>
    <row r="15825" spans="1:9" s="232" customFormat="1" ht="17" customHeight="1">
      <c r="A15825" s="234"/>
      <c r="B15825" s="233"/>
      <c r="C15825" s="238"/>
      <c r="E15825" s="545"/>
      <c r="F15825" s="546"/>
      <c r="G15825" s="234"/>
      <c r="H15825" s="238"/>
      <c r="I15825" s="237"/>
    </row>
    <row r="15826" spans="1:9" s="232" customFormat="1" ht="17" customHeight="1">
      <c r="A15826" s="234"/>
      <c r="B15826" s="233"/>
      <c r="C15826" s="238"/>
      <c r="E15826" s="545"/>
      <c r="F15826" s="546"/>
      <c r="G15826" s="234"/>
      <c r="H15826" s="238"/>
      <c r="I15826" s="237"/>
    </row>
    <row r="15827" spans="1:9" s="232" customFormat="1" ht="17" customHeight="1">
      <c r="A15827" s="234"/>
      <c r="B15827" s="233"/>
      <c r="C15827" s="238"/>
      <c r="E15827" s="545"/>
      <c r="F15827" s="546"/>
      <c r="G15827" s="234"/>
      <c r="H15827" s="238"/>
      <c r="I15827" s="237"/>
    </row>
    <row r="15828" spans="1:9" s="232" customFormat="1" ht="17" customHeight="1">
      <c r="A15828" s="234"/>
      <c r="B15828" s="233"/>
      <c r="C15828" s="238"/>
      <c r="E15828" s="545"/>
      <c r="F15828" s="546"/>
      <c r="G15828" s="234"/>
      <c r="H15828" s="238"/>
      <c r="I15828" s="237"/>
    </row>
    <row r="15829" spans="1:9" s="232" customFormat="1" ht="17" customHeight="1">
      <c r="A15829" s="234"/>
      <c r="B15829" s="233"/>
      <c r="C15829" s="238"/>
      <c r="E15829" s="545"/>
      <c r="F15829" s="546"/>
      <c r="G15829" s="234"/>
      <c r="H15829" s="238"/>
      <c r="I15829" s="237"/>
    </row>
    <row r="15830" spans="1:9" s="232" customFormat="1" ht="17" customHeight="1">
      <c r="A15830" s="234"/>
      <c r="B15830" s="233"/>
      <c r="C15830" s="238"/>
      <c r="E15830" s="545"/>
      <c r="F15830" s="546"/>
      <c r="G15830" s="234"/>
      <c r="H15830" s="238"/>
      <c r="I15830" s="237"/>
    </row>
    <row r="15831" spans="1:9" s="232" customFormat="1" ht="17" customHeight="1">
      <c r="A15831" s="234"/>
      <c r="B15831" s="233"/>
      <c r="C15831" s="238"/>
      <c r="E15831" s="545"/>
      <c r="F15831" s="546"/>
      <c r="G15831" s="234"/>
      <c r="H15831" s="238"/>
      <c r="I15831" s="237"/>
    </row>
    <row r="15832" spans="1:9" s="232" customFormat="1" ht="17" customHeight="1">
      <c r="A15832" s="234"/>
      <c r="B15832" s="233"/>
      <c r="C15832" s="238"/>
      <c r="E15832" s="545"/>
      <c r="F15832" s="546"/>
      <c r="G15832" s="234"/>
      <c r="H15832" s="238"/>
      <c r="I15832" s="237"/>
    </row>
    <row r="15833" spans="1:9" s="232" customFormat="1" ht="17" customHeight="1">
      <c r="A15833" s="234"/>
      <c r="B15833" s="233"/>
      <c r="C15833" s="238"/>
      <c r="E15833" s="545"/>
      <c r="F15833" s="546"/>
      <c r="G15833" s="234"/>
      <c r="H15833" s="238"/>
      <c r="I15833" s="237"/>
    </row>
    <row r="15834" spans="1:9" s="232" customFormat="1" ht="17" customHeight="1">
      <c r="A15834" s="234"/>
      <c r="B15834" s="233"/>
      <c r="C15834" s="238"/>
      <c r="E15834" s="545"/>
      <c r="F15834" s="546"/>
      <c r="G15834" s="234"/>
      <c r="H15834" s="238"/>
      <c r="I15834" s="237"/>
    </row>
    <row r="15835" spans="1:9" s="232" customFormat="1" ht="17" customHeight="1">
      <c r="A15835" s="234"/>
      <c r="B15835" s="233"/>
      <c r="C15835" s="238"/>
      <c r="E15835" s="545"/>
      <c r="F15835" s="546"/>
      <c r="G15835" s="234"/>
      <c r="H15835" s="238"/>
      <c r="I15835" s="237"/>
    </row>
    <row r="15836" spans="1:9" s="232" customFormat="1" ht="17" customHeight="1">
      <c r="A15836" s="234"/>
      <c r="B15836" s="233"/>
      <c r="C15836" s="238"/>
      <c r="E15836" s="545"/>
      <c r="F15836" s="546"/>
      <c r="G15836" s="234"/>
      <c r="H15836" s="238"/>
      <c r="I15836" s="237"/>
    </row>
    <row r="15837" spans="1:9" s="232" customFormat="1" ht="17" customHeight="1">
      <c r="A15837" s="234"/>
      <c r="B15837" s="233"/>
      <c r="C15837" s="238"/>
      <c r="E15837" s="545"/>
      <c r="F15837" s="546"/>
      <c r="G15837" s="234"/>
      <c r="H15837" s="238"/>
      <c r="I15837" s="237"/>
    </row>
    <row r="15838" spans="1:9" s="232" customFormat="1" ht="17" customHeight="1">
      <c r="A15838" s="234"/>
      <c r="B15838" s="233"/>
      <c r="C15838" s="238"/>
      <c r="E15838" s="545"/>
      <c r="F15838" s="546"/>
      <c r="G15838" s="234"/>
      <c r="H15838" s="238"/>
      <c r="I15838" s="237"/>
    </row>
    <row r="15839" spans="1:9" s="232" customFormat="1" ht="17" customHeight="1">
      <c r="A15839" s="234"/>
      <c r="B15839" s="233"/>
      <c r="C15839" s="238"/>
      <c r="E15839" s="545"/>
      <c r="F15839" s="546"/>
      <c r="G15839" s="234"/>
      <c r="H15839" s="238"/>
      <c r="I15839" s="237"/>
    </row>
    <row r="15840" spans="1:9" s="232" customFormat="1" ht="17" customHeight="1">
      <c r="A15840" s="234"/>
      <c r="B15840" s="233"/>
      <c r="C15840" s="238"/>
      <c r="E15840" s="545"/>
      <c r="F15840" s="546"/>
      <c r="G15840" s="234"/>
      <c r="H15840" s="238"/>
      <c r="I15840" s="237"/>
    </row>
    <row r="15841" spans="1:9" s="232" customFormat="1" ht="17" customHeight="1">
      <c r="A15841" s="234"/>
      <c r="B15841" s="233"/>
      <c r="C15841" s="238"/>
      <c r="E15841" s="545"/>
      <c r="F15841" s="546"/>
      <c r="G15841" s="234"/>
      <c r="H15841" s="238"/>
      <c r="I15841" s="237"/>
    </row>
    <row r="15842" spans="1:9" s="232" customFormat="1" ht="17" customHeight="1">
      <c r="A15842" s="234"/>
      <c r="B15842" s="233"/>
      <c r="C15842" s="238"/>
      <c r="E15842" s="545"/>
      <c r="F15842" s="546"/>
      <c r="G15842" s="234"/>
      <c r="H15842" s="238"/>
      <c r="I15842" s="237"/>
    </row>
    <row r="15843" spans="1:9" s="232" customFormat="1" ht="17" customHeight="1">
      <c r="A15843" s="234"/>
      <c r="B15843" s="233"/>
      <c r="C15843" s="238"/>
      <c r="E15843" s="545"/>
      <c r="F15843" s="546"/>
      <c r="G15843" s="234"/>
      <c r="H15843" s="238"/>
      <c r="I15843" s="237"/>
    </row>
    <row r="15844" spans="1:9" s="232" customFormat="1" ht="17" customHeight="1">
      <c r="A15844" s="234"/>
      <c r="B15844" s="233"/>
      <c r="C15844" s="238"/>
      <c r="E15844" s="545"/>
      <c r="F15844" s="546"/>
      <c r="G15844" s="234"/>
      <c r="H15844" s="238"/>
      <c r="I15844" s="237"/>
    </row>
    <row r="15845" spans="1:9" s="232" customFormat="1" ht="17" customHeight="1">
      <c r="A15845" s="234"/>
      <c r="B15845" s="233"/>
      <c r="C15845" s="238"/>
      <c r="E15845" s="545"/>
      <c r="F15845" s="546"/>
      <c r="G15845" s="234"/>
      <c r="H15845" s="238"/>
      <c r="I15845" s="237"/>
    </row>
    <row r="15846" spans="1:9" s="232" customFormat="1" ht="17" customHeight="1">
      <c r="A15846" s="234"/>
      <c r="B15846" s="233"/>
      <c r="C15846" s="238"/>
      <c r="E15846" s="545"/>
      <c r="F15846" s="546"/>
      <c r="G15846" s="234"/>
      <c r="H15846" s="238"/>
      <c r="I15846" s="237"/>
    </row>
    <row r="15847" spans="1:9" s="232" customFormat="1" ht="17" customHeight="1">
      <c r="A15847" s="234"/>
      <c r="B15847" s="233"/>
      <c r="C15847" s="238"/>
      <c r="E15847" s="545"/>
      <c r="F15847" s="546"/>
      <c r="G15847" s="234"/>
      <c r="H15847" s="238"/>
      <c r="I15847" s="237"/>
    </row>
    <row r="15848" spans="1:9" s="232" customFormat="1" ht="17" customHeight="1">
      <c r="A15848" s="234"/>
      <c r="B15848" s="233"/>
      <c r="C15848" s="238"/>
      <c r="E15848" s="545"/>
      <c r="F15848" s="546"/>
      <c r="G15848" s="234"/>
      <c r="H15848" s="238"/>
      <c r="I15848" s="237"/>
    </row>
    <row r="15849" spans="1:9" s="232" customFormat="1" ht="17" customHeight="1">
      <c r="A15849" s="234"/>
      <c r="B15849" s="233"/>
      <c r="C15849" s="238"/>
      <c r="E15849" s="545"/>
      <c r="F15849" s="546"/>
      <c r="G15849" s="234"/>
      <c r="H15849" s="238"/>
      <c r="I15849" s="237"/>
    </row>
    <row r="15850" spans="1:9" s="232" customFormat="1" ht="17" customHeight="1">
      <c r="A15850" s="234"/>
      <c r="B15850" s="233"/>
      <c r="C15850" s="238"/>
      <c r="E15850" s="545"/>
      <c r="F15850" s="546"/>
      <c r="G15850" s="234"/>
      <c r="H15850" s="238"/>
      <c r="I15850" s="237"/>
    </row>
    <row r="15851" spans="1:9" s="232" customFormat="1" ht="17" customHeight="1">
      <c r="A15851" s="234"/>
      <c r="B15851" s="233"/>
      <c r="C15851" s="238"/>
      <c r="E15851" s="545"/>
      <c r="F15851" s="546"/>
      <c r="G15851" s="234"/>
      <c r="H15851" s="238"/>
      <c r="I15851" s="237"/>
    </row>
    <row r="15852" spans="1:9" s="232" customFormat="1" ht="17" customHeight="1">
      <c r="A15852" s="234"/>
      <c r="B15852" s="233"/>
      <c r="C15852" s="238"/>
      <c r="E15852" s="545"/>
      <c r="F15852" s="546"/>
      <c r="G15852" s="234"/>
      <c r="H15852" s="238"/>
      <c r="I15852" s="237"/>
    </row>
    <row r="15853" spans="1:9" s="232" customFormat="1" ht="17" customHeight="1">
      <c r="A15853" s="234"/>
      <c r="B15853" s="233"/>
      <c r="C15853" s="238"/>
      <c r="E15853" s="545"/>
      <c r="F15853" s="546"/>
      <c r="G15853" s="234"/>
      <c r="H15853" s="238"/>
      <c r="I15853" s="237"/>
    </row>
    <row r="15854" spans="1:9" s="232" customFormat="1" ht="17" customHeight="1">
      <c r="A15854" s="234"/>
      <c r="B15854" s="233"/>
      <c r="C15854" s="238"/>
      <c r="E15854" s="545"/>
      <c r="F15854" s="546"/>
      <c r="G15854" s="234"/>
      <c r="H15854" s="238"/>
      <c r="I15854" s="237"/>
    </row>
    <row r="15855" spans="1:9" s="232" customFormat="1" ht="17" customHeight="1">
      <c r="A15855" s="234"/>
      <c r="B15855" s="233"/>
      <c r="C15855" s="238"/>
      <c r="E15855" s="545"/>
      <c r="F15855" s="546"/>
      <c r="G15855" s="234"/>
      <c r="H15855" s="238"/>
      <c r="I15855" s="237"/>
    </row>
    <row r="15856" spans="1:9" s="232" customFormat="1" ht="17" customHeight="1">
      <c r="A15856" s="234"/>
      <c r="B15856" s="233"/>
      <c r="C15856" s="238"/>
      <c r="E15856" s="545"/>
      <c r="F15856" s="546"/>
      <c r="G15856" s="234"/>
      <c r="H15856" s="238"/>
      <c r="I15856" s="237"/>
    </row>
    <row r="15857" spans="1:9" s="232" customFormat="1" ht="17" customHeight="1">
      <c r="A15857" s="234"/>
      <c r="B15857" s="233"/>
      <c r="C15857" s="238"/>
      <c r="E15857" s="545"/>
      <c r="F15857" s="546"/>
      <c r="G15857" s="234"/>
      <c r="H15857" s="238"/>
      <c r="I15857" s="237"/>
    </row>
    <row r="15858" spans="1:9" s="232" customFormat="1" ht="17" customHeight="1">
      <c r="A15858" s="234"/>
      <c r="B15858" s="233"/>
      <c r="C15858" s="238"/>
      <c r="E15858" s="545"/>
      <c r="F15858" s="546"/>
      <c r="G15858" s="234"/>
      <c r="H15858" s="238"/>
      <c r="I15858" s="237"/>
    </row>
    <row r="15859" spans="1:9" s="232" customFormat="1" ht="17" customHeight="1">
      <c r="A15859" s="234"/>
      <c r="B15859" s="233"/>
      <c r="C15859" s="238"/>
      <c r="E15859" s="545"/>
      <c r="F15859" s="546"/>
      <c r="G15859" s="234"/>
      <c r="H15859" s="238"/>
      <c r="I15859" s="237"/>
    </row>
    <row r="15860" spans="1:9" s="232" customFormat="1" ht="17" customHeight="1">
      <c r="A15860" s="234"/>
      <c r="B15860" s="233"/>
      <c r="C15860" s="238"/>
      <c r="E15860" s="545"/>
      <c r="F15860" s="546"/>
      <c r="G15860" s="234"/>
      <c r="H15860" s="238"/>
      <c r="I15860" s="237"/>
    </row>
    <row r="15861" spans="1:9" s="232" customFormat="1" ht="17" customHeight="1">
      <c r="A15861" s="234"/>
      <c r="B15861" s="233"/>
      <c r="C15861" s="238"/>
      <c r="E15861" s="545"/>
      <c r="F15861" s="546"/>
      <c r="G15861" s="234"/>
      <c r="H15861" s="238"/>
      <c r="I15861" s="237"/>
    </row>
    <row r="15862" spans="1:9" s="232" customFormat="1" ht="17" customHeight="1">
      <c r="A15862" s="234"/>
      <c r="B15862" s="233"/>
      <c r="C15862" s="238"/>
      <c r="E15862" s="545"/>
      <c r="F15862" s="546"/>
      <c r="G15862" s="234"/>
      <c r="H15862" s="238"/>
      <c r="I15862" s="237"/>
    </row>
    <row r="15863" spans="1:9" s="232" customFormat="1" ht="17" customHeight="1">
      <c r="A15863" s="234"/>
      <c r="B15863" s="233"/>
      <c r="C15863" s="238"/>
      <c r="E15863" s="545"/>
      <c r="F15863" s="546"/>
      <c r="G15863" s="234"/>
      <c r="H15863" s="238"/>
      <c r="I15863" s="237"/>
    </row>
    <row r="15864" spans="1:9" s="232" customFormat="1" ht="17" customHeight="1">
      <c r="A15864" s="234"/>
      <c r="B15864" s="233"/>
      <c r="C15864" s="238"/>
      <c r="E15864" s="545"/>
      <c r="F15864" s="546"/>
      <c r="G15864" s="234"/>
      <c r="H15864" s="238"/>
      <c r="I15864" s="237"/>
    </row>
    <row r="15865" spans="1:9" s="232" customFormat="1" ht="17" customHeight="1">
      <c r="A15865" s="234"/>
      <c r="B15865" s="233"/>
      <c r="C15865" s="238"/>
      <c r="E15865" s="545"/>
      <c r="F15865" s="546"/>
      <c r="G15865" s="234"/>
      <c r="H15865" s="238"/>
      <c r="I15865" s="237"/>
    </row>
    <row r="15866" spans="1:9" s="232" customFormat="1" ht="17" customHeight="1">
      <c r="A15866" s="234"/>
      <c r="B15866" s="233"/>
      <c r="C15866" s="238"/>
      <c r="E15866" s="545"/>
      <c r="F15866" s="546"/>
      <c r="G15866" s="234"/>
      <c r="H15866" s="238"/>
      <c r="I15866" s="237"/>
    </row>
    <row r="15867" spans="1:9" s="232" customFormat="1" ht="17" customHeight="1">
      <c r="A15867" s="234"/>
      <c r="B15867" s="233"/>
      <c r="C15867" s="238"/>
      <c r="E15867" s="545"/>
      <c r="F15867" s="546"/>
      <c r="G15867" s="234"/>
      <c r="H15867" s="238"/>
      <c r="I15867" s="237"/>
    </row>
    <row r="15868" spans="1:9" s="232" customFormat="1" ht="17" customHeight="1">
      <c r="A15868" s="234"/>
      <c r="B15868" s="233"/>
      <c r="C15868" s="238"/>
      <c r="E15868" s="545"/>
      <c r="F15868" s="546"/>
      <c r="G15868" s="234"/>
      <c r="H15868" s="238"/>
      <c r="I15868" s="237"/>
    </row>
    <row r="15869" spans="1:9" s="232" customFormat="1" ht="17" customHeight="1">
      <c r="A15869" s="234"/>
      <c r="B15869" s="233"/>
      <c r="C15869" s="238"/>
      <c r="E15869" s="545"/>
      <c r="F15869" s="546"/>
      <c r="G15869" s="234"/>
      <c r="H15869" s="238"/>
      <c r="I15869" s="237"/>
    </row>
    <row r="15870" spans="1:9" s="232" customFormat="1" ht="17" customHeight="1">
      <c r="A15870" s="234"/>
      <c r="B15870" s="233"/>
      <c r="C15870" s="238"/>
      <c r="E15870" s="545"/>
      <c r="F15870" s="546"/>
      <c r="G15870" s="234"/>
      <c r="H15870" s="238"/>
      <c r="I15870" s="237"/>
    </row>
    <row r="15871" spans="1:9" s="232" customFormat="1" ht="17" customHeight="1">
      <c r="A15871" s="234"/>
      <c r="B15871" s="233"/>
      <c r="C15871" s="238"/>
      <c r="E15871" s="545"/>
      <c r="F15871" s="546"/>
      <c r="G15871" s="234"/>
      <c r="H15871" s="238"/>
      <c r="I15871" s="237"/>
    </row>
    <row r="15872" spans="1:9" s="232" customFormat="1" ht="17" customHeight="1">
      <c r="A15872" s="234"/>
      <c r="B15872" s="233"/>
      <c r="C15872" s="238"/>
      <c r="E15872" s="545"/>
      <c r="F15872" s="546"/>
      <c r="G15872" s="234"/>
      <c r="H15872" s="238"/>
      <c r="I15872" s="237"/>
    </row>
    <row r="15873" spans="1:9" s="232" customFormat="1" ht="17" customHeight="1">
      <c r="A15873" s="234"/>
      <c r="B15873" s="233"/>
      <c r="C15873" s="238"/>
      <c r="E15873" s="545"/>
      <c r="F15873" s="546"/>
      <c r="G15873" s="234"/>
      <c r="H15873" s="238"/>
      <c r="I15873" s="237"/>
    </row>
    <row r="15874" spans="1:9" s="232" customFormat="1" ht="17" customHeight="1">
      <c r="A15874" s="234"/>
      <c r="B15874" s="233"/>
      <c r="C15874" s="238"/>
      <c r="E15874" s="545"/>
      <c r="F15874" s="546"/>
      <c r="G15874" s="234"/>
      <c r="H15874" s="238"/>
      <c r="I15874" s="237"/>
    </row>
    <row r="15875" spans="1:9" s="232" customFormat="1" ht="17" customHeight="1">
      <c r="A15875" s="234"/>
      <c r="B15875" s="233"/>
      <c r="C15875" s="238"/>
      <c r="E15875" s="545"/>
      <c r="F15875" s="546"/>
      <c r="G15875" s="234"/>
      <c r="H15875" s="238"/>
      <c r="I15875" s="237"/>
    </row>
    <row r="15876" spans="1:9" s="232" customFormat="1" ht="17" customHeight="1">
      <c r="A15876" s="234"/>
      <c r="B15876" s="233"/>
      <c r="C15876" s="238"/>
      <c r="E15876" s="545"/>
      <c r="F15876" s="546"/>
      <c r="G15876" s="234"/>
      <c r="H15876" s="238"/>
      <c r="I15876" s="237"/>
    </row>
    <row r="15877" spans="1:9" s="232" customFormat="1" ht="17" customHeight="1">
      <c r="A15877" s="234"/>
      <c r="B15877" s="233"/>
      <c r="C15877" s="238"/>
      <c r="E15877" s="545"/>
      <c r="F15877" s="546"/>
      <c r="G15877" s="234"/>
      <c r="H15877" s="238"/>
      <c r="I15877" s="237"/>
    </row>
    <row r="15878" spans="1:9" s="232" customFormat="1" ht="17" customHeight="1">
      <c r="A15878" s="234"/>
      <c r="B15878" s="233"/>
      <c r="C15878" s="238"/>
      <c r="E15878" s="545"/>
      <c r="F15878" s="546"/>
      <c r="G15878" s="234"/>
      <c r="H15878" s="238"/>
      <c r="I15878" s="237"/>
    </row>
    <row r="15879" spans="1:9" s="232" customFormat="1" ht="17" customHeight="1">
      <c r="A15879" s="234"/>
      <c r="B15879" s="233"/>
      <c r="C15879" s="238"/>
      <c r="E15879" s="545"/>
      <c r="F15879" s="546"/>
      <c r="G15879" s="234"/>
      <c r="H15879" s="238"/>
      <c r="I15879" s="237"/>
    </row>
    <row r="15880" spans="1:9" s="232" customFormat="1" ht="17" customHeight="1">
      <c r="A15880" s="234"/>
      <c r="B15880" s="233"/>
      <c r="C15880" s="238"/>
      <c r="E15880" s="545"/>
      <c r="F15880" s="546"/>
      <c r="G15880" s="234"/>
      <c r="H15880" s="238"/>
      <c r="I15880" s="237"/>
    </row>
    <row r="15881" spans="1:9" s="232" customFormat="1" ht="17" customHeight="1">
      <c r="A15881" s="234"/>
      <c r="B15881" s="233"/>
      <c r="C15881" s="238"/>
      <c r="E15881" s="545"/>
      <c r="F15881" s="546"/>
      <c r="G15881" s="234"/>
      <c r="H15881" s="238"/>
      <c r="I15881" s="237"/>
    </row>
    <row r="15882" spans="1:9" s="232" customFormat="1" ht="17" customHeight="1">
      <c r="A15882" s="234"/>
      <c r="B15882" s="233"/>
      <c r="C15882" s="238"/>
      <c r="E15882" s="545"/>
      <c r="F15882" s="546"/>
      <c r="G15882" s="234"/>
      <c r="H15882" s="238"/>
      <c r="I15882" s="237"/>
    </row>
    <row r="15883" spans="1:9" s="232" customFormat="1" ht="17" customHeight="1">
      <c r="A15883" s="234"/>
      <c r="B15883" s="233"/>
      <c r="C15883" s="238"/>
      <c r="E15883" s="545"/>
      <c r="F15883" s="546"/>
      <c r="G15883" s="234"/>
      <c r="H15883" s="238"/>
      <c r="I15883" s="237"/>
    </row>
    <row r="15884" spans="1:9" s="232" customFormat="1" ht="17" customHeight="1">
      <c r="A15884" s="234"/>
      <c r="B15884" s="233"/>
      <c r="C15884" s="238"/>
      <c r="E15884" s="545"/>
      <c r="F15884" s="546"/>
      <c r="G15884" s="234"/>
      <c r="H15884" s="238"/>
      <c r="I15884" s="237"/>
    </row>
    <row r="15885" spans="1:9" s="232" customFormat="1" ht="17" customHeight="1">
      <c r="A15885" s="234"/>
      <c r="B15885" s="233"/>
      <c r="C15885" s="238"/>
      <c r="E15885" s="545"/>
      <c r="F15885" s="546"/>
      <c r="G15885" s="234"/>
      <c r="H15885" s="238"/>
      <c r="I15885" s="237"/>
    </row>
    <row r="15886" spans="1:9" s="232" customFormat="1" ht="17" customHeight="1">
      <c r="A15886" s="234"/>
      <c r="B15886" s="233"/>
      <c r="C15886" s="238"/>
      <c r="E15886" s="545"/>
      <c r="F15886" s="546"/>
      <c r="G15886" s="234"/>
      <c r="H15886" s="238"/>
      <c r="I15886" s="237"/>
    </row>
    <row r="15887" spans="1:9" s="232" customFormat="1" ht="17" customHeight="1">
      <c r="A15887" s="234"/>
      <c r="B15887" s="233"/>
      <c r="C15887" s="238"/>
      <c r="E15887" s="545"/>
      <c r="F15887" s="546"/>
      <c r="G15887" s="234"/>
      <c r="H15887" s="238"/>
      <c r="I15887" s="237"/>
    </row>
    <row r="15888" spans="1:9" s="232" customFormat="1" ht="17" customHeight="1">
      <c r="A15888" s="234"/>
      <c r="B15888" s="233"/>
      <c r="C15888" s="238"/>
      <c r="E15888" s="545"/>
      <c r="F15888" s="546"/>
      <c r="G15888" s="234"/>
      <c r="H15888" s="238"/>
      <c r="I15888" s="237"/>
    </row>
    <row r="15889" spans="1:9" s="232" customFormat="1" ht="17" customHeight="1">
      <c r="A15889" s="234"/>
      <c r="B15889" s="233"/>
      <c r="C15889" s="238"/>
      <c r="E15889" s="545"/>
      <c r="F15889" s="546"/>
      <c r="G15889" s="234"/>
      <c r="H15889" s="238"/>
      <c r="I15889" s="237"/>
    </row>
    <row r="15890" spans="1:9" s="232" customFormat="1" ht="17" customHeight="1">
      <c r="A15890" s="234"/>
      <c r="B15890" s="233"/>
      <c r="C15890" s="238"/>
      <c r="E15890" s="545"/>
      <c r="F15890" s="546"/>
      <c r="G15890" s="234"/>
      <c r="H15890" s="238"/>
      <c r="I15890" s="237"/>
    </row>
    <row r="15891" spans="1:9" s="232" customFormat="1" ht="17" customHeight="1">
      <c r="A15891" s="234"/>
      <c r="B15891" s="233"/>
      <c r="C15891" s="238"/>
      <c r="E15891" s="545"/>
      <c r="F15891" s="546"/>
      <c r="G15891" s="234"/>
      <c r="H15891" s="238"/>
      <c r="I15891" s="237"/>
    </row>
    <row r="15892" spans="1:9" s="232" customFormat="1" ht="17" customHeight="1">
      <c r="A15892" s="234"/>
      <c r="B15892" s="233"/>
      <c r="C15892" s="238"/>
      <c r="E15892" s="545"/>
      <c r="F15892" s="546"/>
      <c r="G15892" s="234"/>
      <c r="H15892" s="238"/>
      <c r="I15892" s="237"/>
    </row>
    <row r="15893" spans="1:9" s="232" customFormat="1" ht="17" customHeight="1">
      <c r="A15893" s="234"/>
      <c r="B15893" s="233"/>
      <c r="C15893" s="238"/>
      <c r="E15893" s="545"/>
      <c r="F15893" s="546"/>
      <c r="G15893" s="234"/>
      <c r="H15893" s="238"/>
      <c r="I15893" s="237"/>
    </row>
    <row r="15894" spans="1:9" s="232" customFormat="1" ht="17" customHeight="1">
      <c r="A15894" s="234"/>
      <c r="B15894" s="233"/>
      <c r="C15894" s="238"/>
      <c r="E15894" s="545"/>
      <c r="F15894" s="546"/>
      <c r="G15894" s="234"/>
      <c r="H15894" s="238"/>
      <c r="I15894" s="237"/>
    </row>
    <row r="15895" spans="1:9" s="232" customFormat="1" ht="17" customHeight="1">
      <c r="A15895" s="234"/>
      <c r="B15895" s="233"/>
      <c r="C15895" s="238"/>
      <c r="E15895" s="545"/>
      <c r="F15895" s="546"/>
      <c r="G15895" s="234"/>
      <c r="H15895" s="238"/>
      <c r="I15895" s="237"/>
    </row>
    <row r="15896" spans="1:9" s="232" customFormat="1" ht="17" customHeight="1">
      <c r="A15896" s="234"/>
      <c r="B15896" s="233"/>
      <c r="C15896" s="238"/>
      <c r="E15896" s="545"/>
      <c r="F15896" s="546"/>
      <c r="G15896" s="234"/>
      <c r="H15896" s="238"/>
      <c r="I15896" s="237"/>
    </row>
    <row r="15897" spans="1:9" s="232" customFormat="1" ht="17" customHeight="1">
      <c r="A15897" s="234"/>
      <c r="B15897" s="233"/>
      <c r="C15897" s="238"/>
      <c r="E15897" s="545"/>
      <c r="F15897" s="546"/>
      <c r="G15897" s="234"/>
      <c r="H15897" s="238"/>
      <c r="I15897" s="237"/>
    </row>
    <row r="15898" spans="1:9" s="232" customFormat="1" ht="17" customHeight="1">
      <c r="A15898" s="234"/>
      <c r="B15898" s="233"/>
      <c r="C15898" s="238"/>
      <c r="E15898" s="545"/>
      <c r="F15898" s="546"/>
      <c r="G15898" s="234"/>
      <c r="H15898" s="238"/>
      <c r="I15898" s="237"/>
    </row>
    <row r="15899" spans="1:9" s="232" customFormat="1" ht="17" customHeight="1">
      <c r="A15899" s="234"/>
      <c r="B15899" s="233"/>
      <c r="C15899" s="238"/>
      <c r="E15899" s="545"/>
      <c r="F15899" s="546"/>
      <c r="G15899" s="234"/>
      <c r="H15899" s="238"/>
      <c r="I15899" s="237"/>
    </row>
    <row r="15900" spans="1:9" s="232" customFormat="1" ht="17" customHeight="1">
      <c r="A15900" s="234"/>
      <c r="B15900" s="233"/>
      <c r="C15900" s="238"/>
      <c r="E15900" s="545"/>
      <c r="F15900" s="546"/>
      <c r="G15900" s="234"/>
      <c r="H15900" s="238"/>
      <c r="I15900" s="237"/>
    </row>
    <row r="15901" spans="1:9" s="232" customFormat="1" ht="17" customHeight="1">
      <c r="A15901" s="234"/>
      <c r="B15901" s="233"/>
      <c r="C15901" s="238"/>
      <c r="E15901" s="545"/>
      <c r="F15901" s="546"/>
      <c r="G15901" s="234"/>
      <c r="H15901" s="238"/>
      <c r="I15901" s="237"/>
    </row>
    <row r="15902" spans="1:9" s="232" customFormat="1" ht="17" customHeight="1">
      <c r="A15902" s="234"/>
      <c r="B15902" s="233"/>
      <c r="C15902" s="238"/>
      <c r="E15902" s="545"/>
      <c r="F15902" s="546"/>
      <c r="G15902" s="234"/>
      <c r="H15902" s="238"/>
      <c r="I15902" s="237"/>
    </row>
    <row r="15903" spans="1:9" s="232" customFormat="1" ht="17" customHeight="1">
      <c r="A15903" s="234"/>
      <c r="B15903" s="233"/>
      <c r="C15903" s="238"/>
      <c r="E15903" s="545"/>
      <c r="F15903" s="546"/>
      <c r="G15903" s="234"/>
      <c r="H15903" s="238"/>
      <c r="I15903" s="237"/>
    </row>
    <row r="15904" spans="1:9" s="232" customFormat="1" ht="17" customHeight="1">
      <c r="A15904" s="234"/>
      <c r="B15904" s="233"/>
      <c r="C15904" s="238"/>
      <c r="E15904" s="545"/>
      <c r="F15904" s="546"/>
      <c r="G15904" s="234"/>
      <c r="H15904" s="238"/>
      <c r="I15904" s="237"/>
    </row>
    <row r="15905" spans="1:9" s="232" customFormat="1" ht="17" customHeight="1">
      <c r="A15905" s="234"/>
      <c r="B15905" s="233"/>
      <c r="C15905" s="238"/>
      <c r="E15905" s="545"/>
      <c r="F15905" s="546"/>
      <c r="G15905" s="234"/>
      <c r="H15905" s="238"/>
      <c r="I15905" s="237"/>
    </row>
    <row r="15906" spans="1:9" s="232" customFormat="1" ht="17" customHeight="1">
      <c r="A15906" s="234"/>
      <c r="B15906" s="233"/>
      <c r="C15906" s="238"/>
      <c r="E15906" s="545"/>
      <c r="F15906" s="546"/>
      <c r="G15906" s="234"/>
      <c r="H15906" s="238"/>
      <c r="I15906" s="237"/>
    </row>
    <row r="15907" spans="1:9" s="232" customFormat="1" ht="17" customHeight="1">
      <c r="A15907" s="234"/>
      <c r="B15907" s="233"/>
      <c r="C15907" s="238"/>
      <c r="E15907" s="545"/>
      <c r="F15907" s="546"/>
      <c r="G15907" s="234"/>
      <c r="H15907" s="238"/>
      <c r="I15907" s="237"/>
    </row>
    <row r="15908" spans="1:9" s="232" customFormat="1" ht="17" customHeight="1">
      <c r="A15908" s="234"/>
      <c r="B15908" s="233"/>
      <c r="C15908" s="238"/>
      <c r="E15908" s="545"/>
      <c r="F15908" s="546"/>
      <c r="G15908" s="234"/>
      <c r="H15908" s="238"/>
      <c r="I15908" s="237"/>
    </row>
    <row r="15909" spans="1:9" s="232" customFormat="1" ht="17" customHeight="1">
      <c r="A15909" s="234"/>
      <c r="B15909" s="233"/>
      <c r="C15909" s="238"/>
      <c r="E15909" s="545"/>
      <c r="F15909" s="546"/>
      <c r="G15909" s="234"/>
      <c r="H15909" s="238"/>
      <c r="I15909" s="237"/>
    </row>
    <row r="15910" spans="1:9" s="232" customFormat="1" ht="17" customHeight="1">
      <c r="A15910" s="234"/>
      <c r="B15910" s="233"/>
      <c r="C15910" s="238"/>
      <c r="E15910" s="545"/>
      <c r="F15910" s="546"/>
      <c r="G15910" s="234"/>
      <c r="H15910" s="238"/>
      <c r="I15910" s="237"/>
    </row>
    <row r="15911" spans="1:9" s="232" customFormat="1" ht="17" customHeight="1">
      <c r="A15911" s="234"/>
      <c r="B15911" s="233"/>
      <c r="C15911" s="238"/>
      <c r="E15911" s="545"/>
      <c r="F15911" s="546"/>
      <c r="G15911" s="234"/>
      <c r="H15911" s="238"/>
      <c r="I15911" s="237"/>
    </row>
    <row r="15912" spans="1:9" s="232" customFormat="1" ht="17" customHeight="1">
      <c r="A15912" s="234"/>
      <c r="B15912" s="233"/>
      <c r="C15912" s="238"/>
      <c r="E15912" s="545"/>
      <c r="F15912" s="546"/>
      <c r="G15912" s="234"/>
      <c r="H15912" s="238"/>
      <c r="I15912" s="237"/>
    </row>
    <row r="15913" spans="1:9" s="232" customFormat="1" ht="17" customHeight="1">
      <c r="A15913" s="234"/>
      <c r="B15913" s="233"/>
      <c r="C15913" s="238"/>
      <c r="E15913" s="545"/>
      <c r="F15913" s="546"/>
      <c r="G15913" s="234"/>
      <c r="H15913" s="238"/>
      <c r="I15913" s="237"/>
    </row>
    <row r="15914" spans="1:9" s="232" customFormat="1" ht="17" customHeight="1">
      <c r="A15914" s="234"/>
      <c r="B15914" s="233"/>
      <c r="C15914" s="238"/>
      <c r="E15914" s="545"/>
      <c r="F15914" s="546"/>
      <c r="G15914" s="234"/>
      <c r="H15914" s="238"/>
      <c r="I15914" s="237"/>
    </row>
    <row r="15915" spans="1:9" s="232" customFormat="1" ht="17" customHeight="1">
      <c r="A15915" s="234"/>
      <c r="B15915" s="233"/>
      <c r="C15915" s="238"/>
      <c r="E15915" s="545"/>
      <c r="F15915" s="546"/>
      <c r="G15915" s="234"/>
      <c r="H15915" s="238"/>
      <c r="I15915" s="237"/>
    </row>
    <row r="15916" spans="1:9" s="232" customFormat="1" ht="17" customHeight="1">
      <c r="A15916" s="234"/>
      <c r="B15916" s="233"/>
      <c r="C15916" s="238"/>
      <c r="E15916" s="545"/>
      <c r="F15916" s="546"/>
      <c r="G15916" s="234"/>
      <c r="H15916" s="238"/>
      <c r="I15916" s="237"/>
    </row>
    <row r="15917" spans="1:9" s="232" customFormat="1" ht="17" customHeight="1">
      <c r="A15917" s="234"/>
      <c r="B15917" s="233"/>
      <c r="C15917" s="238"/>
      <c r="E15917" s="545"/>
      <c r="F15917" s="546"/>
      <c r="G15917" s="234"/>
      <c r="H15917" s="238"/>
      <c r="I15917" s="237"/>
    </row>
    <row r="15918" spans="1:9" s="232" customFormat="1" ht="17" customHeight="1">
      <c r="A15918" s="234"/>
      <c r="B15918" s="233"/>
      <c r="C15918" s="238"/>
      <c r="E15918" s="545"/>
      <c r="F15918" s="546"/>
      <c r="G15918" s="234"/>
      <c r="H15918" s="238"/>
      <c r="I15918" s="237"/>
    </row>
    <row r="15919" spans="1:9" s="232" customFormat="1" ht="17" customHeight="1">
      <c r="A15919" s="234"/>
      <c r="B15919" s="233"/>
      <c r="C15919" s="238"/>
      <c r="E15919" s="545"/>
      <c r="F15919" s="546"/>
      <c r="G15919" s="234"/>
      <c r="H15919" s="238"/>
      <c r="I15919" s="237"/>
    </row>
    <row r="15920" spans="1:9" s="232" customFormat="1" ht="17" customHeight="1">
      <c r="A15920" s="234"/>
      <c r="B15920" s="233"/>
      <c r="C15920" s="238"/>
      <c r="E15920" s="545"/>
      <c r="F15920" s="546"/>
      <c r="G15920" s="234"/>
      <c r="H15920" s="238"/>
      <c r="I15920" s="237"/>
    </row>
    <row r="15921" spans="1:9" s="232" customFormat="1" ht="17" customHeight="1">
      <c r="A15921" s="234"/>
      <c r="B15921" s="233"/>
      <c r="C15921" s="238"/>
      <c r="E15921" s="545"/>
      <c r="F15921" s="546"/>
      <c r="G15921" s="234"/>
      <c r="H15921" s="238"/>
      <c r="I15921" s="237"/>
    </row>
    <row r="15922" spans="1:9" s="232" customFormat="1" ht="17" customHeight="1">
      <c r="A15922" s="234"/>
      <c r="B15922" s="233"/>
      <c r="C15922" s="238"/>
      <c r="E15922" s="545"/>
      <c r="F15922" s="546"/>
      <c r="G15922" s="234"/>
      <c r="H15922" s="238"/>
      <c r="I15922" s="237"/>
    </row>
    <row r="15923" spans="1:9" s="232" customFormat="1" ht="17" customHeight="1">
      <c r="A15923" s="234"/>
      <c r="B15923" s="233"/>
      <c r="C15923" s="238"/>
      <c r="E15923" s="545"/>
      <c r="F15923" s="546"/>
      <c r="G15923" s="234"/>
      <c r="H15923" s="238"/>
      <c r="I15923" s="237"/>
    </row>
    <row r="15924" spans="1:9" s="232" customFormat="1" ht="17" customHeight="1">
      <c r="A15924" s="234"/>
      <c r="B15924" s="233"/>
      <c r="C15924" s="238"/>
      <c r="E15924" s="545"/>
      <c r="F15924" s="546"/>
      <c r="G15924" s="234"/>
      <c r="H15924" s="238"/>
      <c r="I15924" s="237"/>
    </row>
    <row r="15925" spans="1:9" s="232" customFormat="1" ht="17" customHeight="1">
      <c r="A15925" s="234"/>
      <c r="B15925" s="233"/>
      <c r="C15925" s="238"/>
      <c r="E15925" s="545"/>
      <c r="F15925" s="546"/>
      <c r="G15925" s="234"/>
      <c r="H15925" s="238"/>
      <c r="I15925" s="237"/>
    </row>
    <row r="15926" spans="1:9" s="232" customFormat="1" ht="17" customHeight="1">
      <c r="A15926" s="234"/>
      <c r="B15926" s="233"/>
      <c r="C15926" s="238"/>
      <c r="E15926" s="545"/>
      <c r="F15926" s="546"/>
      <c r="G15926" s="234"/>
      <c r="H15926" s="238"/>
      <c r="I15926" s="237"/>
    </row>
    <row r="15927" spans="1:9" s="232" customFormat="1" ht="17" customHeight="1">
      <c r="A15927" s="234"/>
      <c r="B15927" s="233"/>
      <c r="C15927" s="238"/>
      <c r="E15927" s="545"/>
      <c r="F15927" s="546"/>
      <c r="G15927" s="234"/>
      <c r="H15927" s="238"/>
      <c r="I15927" s="237"/>
    </row>
    <row r="15928" spans="1:9" s="232" customFormat="1" ht="17" customHeight="1">
      <c r="A15928" s="234"/>
      <c r="B15928" s="233"/>
      <c r="C15928" s="238"/>
      <c r="E15928" s="545"/>
      <c r="F15928" s="546"/>
      <c r="G15928" s="234"/>
      <c r="H15928" s="238"/>
      <c r="I15928" s="237"/>
    </row>
    <row r="15929" spans="1:9" s="232" customFormat="1" ht="17" customHeight="1">
      <c r="A15929" s="234"/>
      <c r="B15929" s="233"/>
      <c r="C15929" s="238"/>
      <c r="E15929" s="545"/>
      <c r="F15929" s="546"/>
      <c r="G15929" s="234"/>
      <c r="H15929" s="238"/>
      <c r="I15929" s="237"/>
    </row>
    <row r="15930" spans="1:9" s="232" customFormat="1" ht="17" customHeight="1">
      <c r="A15930" s="234"/>
      <c r="B15930" s="233"/>
      <c r="C15930" s="238"/>
      <c r="E15930" s="545"/>
      <c r="F15930" s="546"/>
      <c r="G15930" s="234"/>
      <c r="H15930" s="238"/>
      <c r="I15930" s="237"/>
    </row>
    <row r="15931" spans="1:9" s="232" customFormat="1" ht="17" customHeight="1">
      <c r="A15931" s="234"/>
      <c r="B15931" s="233"/>
      <c r="C15931" s="238"/>
      <c r="E15931" s="545"/>
      <c r="F15931" s="546"/>
      <c r="G15931" s="234"/>
      <c r="H15931" s="238"/>
      <c r="I15931" s="237"/>
    </row>
    <row r="15932" spans="1:9" s="232" customFormat="1" ht="17" customHeight="1">
      <c r="A15932" s="234"/>
      <c r="B15932" s="233"/>
      <c r="C15932" s="238"/>
      <c r="E15932" s="545"/>
      <c r="F15932" s="546"/>
      <c r="G15932" s="234"/>
      <c r="H15932" s="238"/>
      <c r="I15932" s="237"/>
    </row>
    <row r="15933" spans="1:9" s="232" customFormat="1" ht="17" customHeight="1">
      <c r="A15933" s="234"/>
      <c r="B15933" s="233"/>
      <c r="C15933" s="238"/>
      <c r="E15933" s="545"/>
      <c r="F15933" s="546"/>
      <c r="G15933" s="234"/>
      <c r="H15933" s="238"/>
      <c r="I15933" s="237"/>
    </row>
    <row r="15934" spans="1:9" s="232" customFormat="1" ht="17" customHeight="1">
      <c r="A15934" s="234"/>
      <c r="B15934" s="233"/>
      <c r="C15934" s="238"/>
      <c r="E15934" s="545"/>
      <c r="F15934" s="546"/>
      <c r="G15934" s="234"/>
      <c r="H15934" s="238"/>
      <c r="I15934" s="237"/>
    </row>
    <row r="15935" spans="1:9" s="232" customFormat="1" ht="17" customHeight="1">
      <c r="A15935" s="234"/>
      <c r="B15935" s="233"/>
      <c r="C15935" s="238"/>
      <c r="E15935" s="545"/>
      <c r="F15935" s="546"/>
      <c r="G15935" s="234"/>
      <c r="H15935" s="238"/>
      <c r="I15935" s="237"/>
    </row>
    <row r="15936" spans="1:9" s="232" customFormat="1" ht="17" customHeight="1">
      <c r="A15936" s="234"/>
      <c r="B15936" s="233"/>
      <c r="C15936" s="238"/>
      <c r="E15936" s="545"/>
      <c r="F15936" s="546"/>
      <c r="G15936" s="234"/>
      <c r="H15936" s="238"/>
      <c r="I15936" s="237"/>
    </row>
    <row r="15937" spans="1:9" s="232" customFormat="1" ht="17" customHeight="1">
      <c r="A15937" s="234"/>
      <c r="B15937" s="233"/>
      <c r="C15937" s="238"/>
      <c r="E15937" s="545"/>
      <c r="F15937" s="546"/>
      <c r="G15937" s="234"/>
      <c r="H15937" s="238"/>
      <c r="I15937" s="237"/>
    </row>
    <row r="15938" spans="1:9" s="232" customFormat="1" ht="17" customHeight="1">
      <c r="A15938" s="234"/>
      <c r="B15938" s="233"/>
      <c r="C15938" s="238"/>
      <c r="E15938" s="545"/>
      <c r="F15938" s="546"/>
      <c r="G15938" s="234"/>
      <c r="H15938" s="238"/>
      <c r="I15938" s="237"/>
    </row>
    <row r="15939" spans="1:9" s="232" customFormat="1" ht="17" customHeight="1">
      <c r="A15939" s="234"/>
      <c r="B15939" s="233"/>
      <c r="C15939" s="238"/>
      <c r="E15939" s="545"/>
      <c r="F15939" s="546"/>
      <c r="G15939" s="234"/>
      <c r="H15939" s="238"/>
      <c r="I15939" s="237"/>
    </row>
    <row r="15940" spans="1:9" s="232" customFormat="1" ht="17" customHeight="1">
      <c r="A15940" s="234"/>
      <c r="B15940" s="233"/>
      <c r="C15940" s="238"/>
      <c r="E15940" s="545"/>
      <c r="F15940" s="546"/>
      <c r="G15940" s="234"/>
      <c r="H15940" s="238"/>
      <c r="I15940" s="237"/>
    </row>
    <row r="15941" spans="1:9" s="232" customFormat="1" ht="17" customHeight="1">
      <c r="A15941" s="234"/>
      <c r="B15941" s="233"/>
      <c r="C15941" s="238"/>
      <c r="E15941" s="545"/>
      <c r="F15941" s="546"/>
      <c r="G15941" s="234"/>
      <c r="H15941" s="238"/>
      <c r="I15941" s="237"/>
    </row>
    <row r="15942" spans="1:9" s="232" customFormat="1" ht="17" customHeight="1">
      <c r="A15942" s="234"/>
      <c r="B15942" s="233"/>
      <c r="C15942" s="238"/>
      <c r="E15942" s="545"/>
      <c r="F15942" s="546"/>
      <c r="G15942" s="234"/>
      <c r="H15942" s="238"/>
      <c r="I15942" s="237"/>
    </row>
    <row r="15943" spans="1:9" s="232" customFormat="1" ht="17" customHeight="1">
      <c r="A15943" s="234"/>
      <c r="B15943" s="233"/>
      <c r="C15943" s="238"/>
      <c r="E15943" s="545"/>
      <c r="F15943" s="546"/>
      <c r="G15943" s="234"/>
      <c r="H15943" s="238"/>
      <c r="I15943" s="237"/>
    </row>
    <row r="15944" spans="1:9" s="232" customFormat="1" ht="17" customHeight="1">
      <c r="A15944" s="234"/>
      <c r="B15944" s="233"/>
      <c r="C15944" s="238"/>
      <c r="E15944" s="545"/>
      <c r="F15944" s="546"/>
      <c r="G15944" s="234"/>
      <c r="H15944" s="238"/>
      <c r="I15944" s="237"/>
    </row>
    <row r="15945" spans="1:9" s="232" customFormat="1" ht="17" customHeight="1">
      <c r="A15945" s="234"/>
      <c r="B15945" s="233"/>
      <c r="C15945" s="238"/>
      <c r="E15945" s="545"/>
      <c r="F15945" s="546"/>
      <c r="G15945" s="234"/>
      <c r="H15945" s="238"/>
      <c r="I15945" s="237"/>
    </row>
    <row r="15946" spans="1:9" s="232" customFormat="1" ht="17" customHeight="1">
      <c r="A15946" s="234"/>
      <c r="B15946" s="233"/>
      <c r="C15946" s="238"/>
      <c r="E15946" s="545"/>
      <c r="F15946" s="546"/>
      <c r="G15946" s="234"/>
      <c r="H15946" s="238"/>
      <c r="I15946" s="237"/>
    </row>
    <row r="15947" spans="1:9" s="232" customFormat="1" ht="17" customHeight="1">
      <c r="A15947" s="234"/>
      <c r="B15947" s="233"/>
      <c r="C15947" s="238"/>
      <c r="E15947" s="545"/>
      <c r="F15947" s="546"/>
      <c r="G15947" s="234"/>
      <c r="H15947" s="238"/>
      <c r="I15947" s="237"/>
    </row>
    <row r="15948" spans="1:9" s="232" customFormat="1" ht="17" customHeight="1">
      <c r="A15948" s="234"/>
      <c r="B15948" s="233"/>
      <c r="C15948" s="238"/>
      <c r="E15948" s="545"/>
      <c r="F15948" s="546"/>
      <c r="G15948" s="234"/>
      <c r="H15948" s="238"/>
      <c r="I15948" s="237"/>
    </row>
    <row r="15949" spans="1:9" s="232" customFormat="1" ht="17" customHeight="1">
      <c r="A15949" s="234"/>
      <c r="B15949" s="233"/>
      <c r="C15949" s="238"/>
      <c r="E15949" s="545"/>
      <c r="F15949" s="546"/>
      <c r="G15949" s="234"/>
      <c r="H15949" s="238"/>
      <c r="I15949" s="237"/>
    </row>
    <row r="15950" spans="1:9" s="232" customFormat="1" ht="17" customHeight="1">
      <c r="A15950" s="234"/>
      <c r="B15950" s="233"/>
      <c r="C15950" s="238"/>
      <c r="E15950" s="545"/>
      <c r="F15950" s="546"/>
      <c r="G15950" s="234"/>
      <c r="H15950" s="238"/>
      <c r="I15950" s="237"/>
    </row>
    <row r="15951" spans="1:9" s="232" customFormat="1" ht="17" customHeight="1">
      <c r="A15951" s="234"/>
      <c r="B15951" s="233"/>
      <c r="C15951" s="238"/>
      <c r="E15951" s="545"/>
      <c r="F15951" s="546"/>
      <c r="G15951" s="234"/>
      <c r="H15951" s="238"/>
      <c r="I15951" s="237"/>
    </row>
    <row r="15952" spans="1:9" s="232" customFormat="1" ht="17" customHeight="1">
      <c r="A15952" s="234"/>
      <c r="B15952" s="233"/>
      <c r="C15952" s="238"/>
      <c r="E15952" s="545"/>
      <c r="F15952" s="546"/>
      <c r="G15952" s="234"/>
      <c r="H15952" s="238"/>
      <c r="I15952" s="237"/>
    </row>
    <row r="15953" spans="1:9" s="232" customFormat="1" ht="17" customHeight="1">
      <c r="A15953" s="234"/>
      <c r="B15953" s="233"/>
      <c r="C15953" s="238"/>
      <c r="E15953" s="545"/>
      <c r="F15953" s="546"/>
      <c r="G15953" s="234"/>
      <c r="H15953" s="238"/>
      <c r="I15953" s="237"/>
    </row>
    <row r="15954" spans="1:9" s="232" customFormat="1" ht="17" customHeight="1">
      <c r="A15954" s="234"/>
      <c r="B15954" s="233"/>
      <c r="C15954" s="238"/>
      <c r="E15954" s="545"/>
      <c r="F15954" s="546"/>
      <c r="G15954" s="234"/>
      <c r="H15954" s="238"/>
      <c r="I15954" s="237"/>
    </row>
    <row r="15955" spans="1:9" s="232" customFormat="1" ht="17" customHeight="1">
      <c r="A15955" s="234"/>
      <c r="B15955" s="233"/>
      <c r="C15955" s="238"/>
      <c r="E15955" s="545"/>
      <c r="F15955" s="546"/>
      <c r="G15955" s="234"/>
      <c r="H15955" s="238"/>
      <c r="I15955" s="237"/>
    </row>
    <row r="15956" spans="1:9" s="232" customFormat="1" ht="17" customHeight="1">
      <c r="A15956" s="234"/>
      <c r="B15956" s="233"/>
      <c r="C15956" s="238"/>
      <c r="E15956" s="545"/>
      <c r="F15956" s="546"/>
      <c r="G15956" s="234"/>
      <c r="H15956" s="238"/>
      <c r="I15956" s="237"/>
    </row>
    <row r="15957" spans="1:9" s="232" customFormat="1" ht="17" customHeight="1">
      <c r="A15957" s="234"/>
      <c r="B15957" s="233"/>
      <c r="C15957" s="238"/>
      <c r="E15957" s="545"/>
      <c r="F15957" s="546"/>
      <c r="G15957" s="234"/>
      <c r="H15957" s="238"/>
      <c r="I15957" s="237"/>
    </row>
    <row r="15958" spans="1:9" s="232" customFormat="1" ht="17" customHeight="1">
      <c r="A15958" s="234"/>
      <c r="B15958" s="233"/>
      <c r="C15958" s="238"/>
      <c r="E15958" s="545"/>
      <c r="F15958" s="546"/>
      <c r="G15958" s="234"/>
      <c r="H15958" s="238"/>
      <c r="I15958" s="237"/>
    </row>
    <row r="15959" spans="1:9" s="232" customFormat="1" ht="17" customHeight="1">
      <c r="A15959" s="234"/>
      <c r="B15959" s="233"/>
      <c r="C15959" s="238"/>
      <c r="E15959" s="545"/>
      <c r="F15959" s="546"/>
      <c r="G15959" s="234"/>
      <c r="H15959" s="238"/>
      <c r="I15959" s="237"/>
    </row>
    <row r="15960" spans="1:9" s="232" customFormat="1" ht="17" customHeight="1">
      <c r="A15960" s="234"/>
      <c r="B15960" s="233"/>
      <c r="C15960" s="238"/>
      <c r="E15960" s="545"/>
      <c r="F15960" s="546"/>
      <c r="G15960" s="234"/>
      <c r="H15960" s="238"/>
      <c r="I15960" s="237"/>
    </row>
    <row r="15961" spans="1:9" s="232" customFormat="1" ht="17" customHeight="1">
      <c r="A15961" s="234"/>
      <c r="B15961" s="233"/>
      <c r="C15961" s="238"/>
      <c r="E15961" s="545"/>
      <c r="F15961" s="546"/>
      <c r="G15961" s="234"/>
      <c r="H15961" s="238"/>
      <c r="I15961" s="237"/>
    </row>
    <row r="15962" spans="1:9" s="232" customFormat="1" ht="17" customHeight="1">
      <c r="A15962" s="234"/>
      <c r="B15962" s="233"/>
      <c r="C15962" s="238"/>
      <c r="E15962" s="545"/>
      <c r="F15962" s="546"/>
      <c r="G15962" s="234"/>
      <c r="H15962" s="238"/>
      <c r="I15962" s="237"/>
    </row>
    <row r="15963" spans="1:9" s="232" customFormat="1" ht="17" customHeight="1">
      <c r="A15963" s="234"/>
      <c r="B15963" s="233"/>
      <c r="C15963" s="238"/>
      <c r="E15963" s="545"/>
      <c r="F15963" s="546"/>
      <c r="G15963" s="234"/>
      <c r="H15963" s="238"/>
      <c r="I15963" s="237"/>
    </row>
    <row r="15964" spans="1:9" s="232" customFormat="1" ht="17" customHeight="1">
      <c r="A15964" s="234"/>
      <c r="B15964" s="233"/>
      <c r="C15964" s="238"/>
      <c r="E15964" s="545"/>
      <c r="F15964" s="546"/>
      <c r="G15964" s="234"/>
      <c r="H15964" s="238"/>
      <c r="I15964" s="237"/>
    </row>
    <row r="15965" spans="1:9" s="232" customFormat="1" ht="17" customHeight="1">
      <c r="A15965" s="234"/>
      <c r="B15965" s="233"/>
      <c r="C15965" s="238"/>
      <c r="E15965" s="545"/>
      <c r="F15965" s="546"/>
      <c r="G15965" s="234"/>
      <c r="H15965" s="238"/>
      <c r="I15965" s="237"/>
    </row>
    <row r="15966" spans="1:9" s="232" customFormat="1" ht="17" customHeight="1">
      <c r="A15966" s="234"/>
      <c r="B15966" s="233"/>
      <c r="C15966" s="238"/>
      <c r="E15966" s="545"/>
      <c r="F15966" s="546"/>
      <c r="G15966" s="234"/>
      <c r="H15966" s="238"/>
      <c r="I15966" s="237"/>
    </row>
    <row r="15967" spans="1:9" s="232" customFormat="1" ht="17" customHeight="1">
      <c r="A15967" s="234"/>
      <c r="B15967" s="233"/>
      <c r="C15967" s="238"/>
      <c r="E15967" s="545"/>
      <c r="F15967" s="546"/>
      <c r="G15967" s="234"/>
      <c r="H15967" s="238"/>
      <c r="I15967" s="237"/>
    </row>
    <row r="15968" spans="1:9" s="232" customFormat="1" ht="17" customHeight="1">
      <c r="A15968" s="234"/>
      <c r="B15968" s="233"/>
      <c r="C15968" s="238"/>
      <c r="E15968" s="545"/>
      <c r="F15968" s="546"/>
      <c r="G15968" s="234"/>
      <c r="H15968" s="238"/>
      <c r="I15968" s="237"/>
    </row>
    <row r="15969" spans="1:9" s="232" customFormat="1" ht="17" customHeight="1">
      <c r="A15969" s="234"/>
      <c r="B15969" s="233"/>
      <c r="C15969" s="238"/>
      <c r="E15969" s="545"/>
      <c r="F15969" s="546"/>
      <c r="G15969" s="234"/>
      <c r="H15969" s="238"/>
      <c r="I15969" s="237"/>
    </row>
    <row r="15970" spans="1:9" s="232" customFormat="1" ht="17" customHeight="1">
      <c r="A15970" s="234"/>
      <c r="B15970" s="233"/>
      <c r="C15970" s="238"/>
      <c r="E15970" s="545"/>
      <c r="F15970" s="546"/>
      <c r="G15970" s="234"/>
      <c r="H15970" s="238"/>
      <c r="I15970" s="237"/>
    </row>
    <row r="15971" spans="1:9" s="232" customFormat="1" ht="17" customHeight="1">
      <c r="A15971" s="234"/>
      <c r="B15971" s="233"/>
      <c r="C15971" s="238"/>
      <c r="E15971" s="545"/>
      <c r="F15971" s="546"/>
      <c r="G15971" s="234"/>
      <c r="H15971" s="238"/>
      <c r="I15971" s="237"/>
    </row>
    <row r="15972" spans="1:9" s="232" customFormat="1" ht="17" customHeight="1">
      <c r="A15972" s="234"/>
      <c r="B15972" s="233"/>
      <c r="C15972" s="238"/>
      <c r="E15972" s="545"/>
      <c r="F15972" s="546"/>
      <c r="G15972" s="234"/>
      <c r="H15972" s="238"/>
      <c r="I15972" s="237"/>
    </row>
    <row r="15973" spans="1:9" s="232" customFormat="1" ht="17" customHeight="1">
      <c r="A15973" s="234"/>
      <c r="B15973" s="233"/>
      <c r="C15973" s="238"/>
      <c r="E15973" s="545"/>
      <c r="F15973" s="546"/>
      <c r="G15973" s="234"/>
      <c r="H15973" s="238"/>
      <c r="I15973" s="237"/>
    </row>
    <row r="15974" spans="1:9" s="232" customFormat="1" ht="17" customHeight="1">
      <c r="A15974" s="234"/>
      <c r="B15974" s="233"/>
      <c r="C15974" s="238"/>
      <c r="E15974" s="545"/>
      <c r="F15974" s="546"/>
      <c r="G15974" s="234"/>
      <c r="H15974" s="238"/>
      <c r="I15974" s="237"/>
    </row>
    <row r="15975" spans="1:9" s="232" customFormat="1" ht="17" customHeight="1">
      <c r="A15975" s="234"/>
      <c r="B15975" s="233"/>
      <c r="C15975" s="238"/>
      <c r="E15975" s="545"/>
      <c r="F15975" s="546"/>
      <c r="G15975" s="234"/>
      <c r="H15975" s="238"/>
      <c r="I15975" s="237"/>
    </row>
    <row r="15976" spans="1:9" s="232" customFormat="1" ht="17" customHeight="1">
      <c r="A15976" s="234"/>
      <c r="B15976" s="233"/>
      <c r="C15976" s="238"/>
      <c r="E15976" s="545"/>
      <c r="F15976" s="546"/>
      <c r="G15976" s="234"/>
      <c r="H15976" s="238"/>
      <c r="I15976" s="237"/>
    </row>
    <row r="15977" spans="1:9" s="232" customFormat="1" ht="17" customHeight="1">
      <c r="A15977" s="234"/>
      <c r="B15977" s="233"/>
      <c r="C15977" s="238"/>
      <c r="E15977" s="545"/>
      <c r="F15977" s="546"/>
      <c r="G15977" s="234"/>
      <c r="H15977" s="238"/>
      <c r="I15977" s="237"/>
    </row>
    <row r="15978" spans="1:9" s="232" customFormat="1" ht="17" customHeight="1">
      <c r="A15978" s="234"/>
      <c r="B15978" s="233"/>
      <c r="C15978" s="238"/>
      <c r="E15978" s="545"/>
      <c r="F15978" s="546"/>
      <c r="G15978" s="234"/>
      <c r="H15978" s="238"/>
      <c r="I15978" s="237"/>
    </row>
    <row r="15979" spans="1:9" s="232" customFormat="1" ht="17" customHeight="1">
      <c r="A15979" s="234"/>
      <c r="B15979" s="233"/>
      <c r="C15979" s="238"/>
      <c r="E15979" s="545"/>
      <c r="F15979" s="546"/>
      <c r="G15979" s="234"/>
      <c r="H15979" s="238"/>
      <c r="I15979" s="237"/>
    </row>
    <row r="15980" spans="1:9" s="232" customFormat="1" ht="17" customHeight="1">
      <c r="A15980" s="234"/>
      <c r="B15980" s="233"/>
      <c r="C15980" s="238"/>
      <c r="E15980" s="545"/>
      <c r="F15980" s="546"/>
      <c r="G15980" s="234"/>
      <c r="H15980" s="238"/>
      <c r="I15980" s="237"/>
    </row>
    <row r="15981" spans="1:9" s="232" customFormat="1" ht="17" customHeight="1">
      <c r="A15981" s="234"/>
      <c r="B15981" s="233"/>
      <c r="C15981" s="238"/>
      <c r="E15981" s="545"/>
      <c r="F15981" s="546"/>
      <c r="G15981" s="234"/>
      <c r="H15981" s="238"/>
      <c r="I15981" s="237"/>
    </row>
    <row r="15982" spans="1:9" s="232" customFormat="1" ht="17" customHeight="1">
      <c r="A15982" s="234"/>
      <c r="B15982" s="233"/>
      <c r="C15982" s="238"/>
      <c r="E15982" s="545"/>
      <c r="F15982" s="546"/>
      <c r="G15982" s="234"/>
      <c r="H15982" s="238"/>
      <c r="I15982" s="237"/>
    </row>
    <row r="15983" spans="1:9" s="232" customFormat="1" ht="17" customHeight="1">
      <c r="A15983" s="234"/>
      <c r="B15983" s="233"/>
      <c r="C15983" s="238"/>
      <c r="E15983" s="545"/>
      <c r="F15983" s="546"/>
      <c r="G15983" s="234"/>
      <c r="H15983" s="238"/>
      <c r="I15983" s="237"/>
    </row>
    <row r="15984" spans="1:9" s="232" customFormat="1" ht="17" customHeight="1">
      <c r="A15984" s="234"/>
      <c r="B15984" s="233"/>
      <c r="C15984" s="238"/>
      <c r="E15984" s="545"/>
      <c r="F15984" s="546"/>
      <c r="G15984" s="234"/>
      <c r="H15984" s="238"/>
      <c r="I15984" s="237"/>
    </row>
    <row r="15985" spans="1:9" s="232" customFormat="1" ht="17" customHeight="1">
      <c r="A15985" s="234"/>
      <c r="B15985" s="233"/>
      <c r="C15985" s="238"/>
      <c r="E15985" s="545"/>
      <c r="F15985" s="546"/>
      <c r="G15985" s="234"/>
      <c r="H15985" s="238"/>
      <c r="I15985" s="237"/>
    </row>
    <row r="15986" spans="1:9" s="232" customFormat="1" ht="17" customHeight="1">
      <c r="A15986" s="234"/>
      <c r="B15986" s="233"/>
      <c r="C15986" s="238"/>
      <c r="E15986" s="545"/>
      <c r="F15986" s="546"/>
      <c r="G15986" s="234"/>
      <c r="H15986" s="238"/>
      <c r="I15986" s="237"/>
    </row>
    <row r="15987" spans="1:9" s="232" customFormat="1" ht="17" customHeight="1">
      <c r="A15987" s="234"/>
      <c r="B15987" s="233"/>
      <c r="C15987" s="238"/>
      <c r="E15987" s="545"/>
      <c r="F15987" s="546"/>
      <c r="G15987" s="234"/>
      <c r="H15987" s="238"/>
      <c r="I15987" s="237"/>
    </row>
    <row r="15988" spans="1:9" s="232" customFormat="1" ht="17" customHeight="1">
      <c r="A15988" s="234"/>
      <c r="B15988" s="233"/>
      <c r="C15988" s="238"/>
      <c r="E15988" s="545"/>
      <c r="F15988" s="546"/>
      <c r="G15988" s="234"/>
      <c r="H15988" s="238"/>
      <c r="I15988" s="237"/>
    </row>
    <row r="15989" spans="1:9" s="232" customFormat="1" ht="17" customHeight="1">
      <c r="A15989" s="234"/>
      <c r="B15989" s="233"/>
      <c r="C15989" s="238"/>
      <c r="E15989" s="545"/>
      <c r="F15989" s="546"/>
      <c r="G15989" s="234"/>
      <c r="H15989" s="238"/>
      <c r="I15989" s="237"/>
    </row>
    <row r="15990" spans="1:9" s="232" customFormat="1" ht="17" customHeight="1">
      <c r="A15990" s="234"/>
      <c r="B15990" s="233"/>
      <c r="C15990" s="238"/>
      <c r="E15990" s="545"/>
      <c r="F15990" s="546"/>
      <c r="G15990" s="234"/>
      <c r="H15990" s="238"/>
      <c r="I15990" s="237"/>
    </row>
    <row r="15991" spans="1:9" s="232" customFormat="1" ht="17" customHeight="1">
      <c r="A15991" s="234"/>
      <c r="B15991" s="233"/>
      <c r="C15991" s="238"/>
      <c r="E15991" s="545"/>
      <c r="F15991" s="546"/>
      <c r="G15991" s="234"/>
      <c r="H15991" s="238"/>
      <c r="I15991" s="237"/>
    </row>
    <row r="15992" spans="1:9" s="232" customFormat="1" ht="17" customHeight="1">
      <c r="A15992" s="234"/>
      <c r="B15992" s="233"/>
      <c r="C15992" s="238"/>
      <c r="E15992" s="545"/>
      <c r="F15992" s="546"/>
      <c r="G15992" s="234"/>
      <c r="H15992" s="238"/>
      <c r="I15992" s="237"/>
    </row>
    <row r="15993" spans="1:9" s="232" customFormat="1" ht="17" customHeight="1">
      <c r="A15993" s="234"/>
      <c r="B15993" s="233"/>
      <c r="C15993" s="238"/>
      <c r="E15993" s="545"/>
      <c r="F15993" s="546"/>
      <c r="G15993" s="234"/>
      <c r="H15993" s="238"/>
      <c r="I15993" s="237"/>
    </row>
    <row r="15994" spans="1:9" s="232" customFormat="1" ht="17" customHeight="1">
      <c r="A15994" s="234"/>
      <c r="B15994" s="233"/>
      <c r="C15994" s="238"/>
      <c r="E15994" s="545"/>
      <c r="F15994" s="546"/>
      <c r="G15994" s="234"/>
      <c r="H15994" s="238"/>
      <c r="I15994" s="237"/>
    </row>
    <row r="15995" spans="1:9" s="232" customFormat="1" ht="17" customHeight="1">
      <c r="A15995" s="234"/>
      <c r="B15995" s="233"/>
      <c r="C15995" s="238"/>
      <c r="E15995" s="545"/>
      <c r="F15995" s="546"/>
      <c r="G15995" s="234"/>
      <c r="H15995" s="238"/>
      <c r="I15995" s="237"/>
    </row>
    <row r="15996" spans="1:9" s="232" customFormat="1" ht="17" customHeight="1">
      <c r="A15996" s="234"/>
      <c r="B15996" s="233"/>
      <c r="C15996" s="238"/>
      <c r="E15996" s="545"/>
      <c r="F15996" s="546"/>
      <c r="G15996" s="234"/>
      <c r="H15996" s="238"/>
      <c r="I15996" s="237"/>
    </row>
    <row r="15997" spans="1:9" s="232" customFormat="1" ht="17" customHeight="1">
      <c r="A15997" s="234"/>
      <c r="B15997" s="233"/>
      <c r="C15997" s="238"/>
      <c r="E15997" s="545"/>
      <c r="F15997" s="546"/>
      <c r="G15997" s="234"/>
      <c r="H15997" s="238"/>
      <c r="I15997" s="237"/>
    </row>
    <row r="15998" spans="1:9" s="232" customFormat="1" ht="17" customHeight="1">
      <c r="A15998" s="234"/>
      <c r="B15998" s="233"/>
      <c r="C15998" s="238"/>
      <c r="E15998" s="545"/>
      <c r="F15998" s="546"/>
      <c r="G15998" s="234"/>
      <c r="H15998" s="238"/>
      <c r="I15998" s="237"/>
    </row>
    <row r="15999" spans="1:9" s="232" customFormat="1" ht="17" customHeight="1">
      <c r="A15999" s="234"/>
      <c r="B15999" s="233"/>
      <c r="C15999" s="238"/>
      <c r="E15999" s="545"/>
      <c r="F15999" s="546"/>
      <c r="G15999" s="234"/>
      <c r="H15999" s="238"/>
      <c r="I15999" s="237"/>
    </row>
    <row r="16000" spans="1:9" s="232" customFormat="1" ht="17" customHeight="1">
      <c r="A16000" s="234"/>
      <c r="B16000" s="233"/>
      <c r="C16000" s="238"/>
      <c r="E16000" s="545"/>
      <c r="F16000" s="546"/>
      <c r="G16000" s="234"/>
      <c r="H16000" s="238"/>
      <c r="I16000" s="237"/>
    </row>
    <row r="16001" spans="1:9" s="232" customFormat="1" ht="17" customHeight="1">
      <c r="A16001" s="234"/>
      <c r="B16001" s="233"/>
      <c r="C16001" s="238"/>
      <c r="E16001" s="545"/>
      <c r="F16001" s="546"/>
      <c r="G16001" s="234"/>
      <c r="H16001" s="238"/>
      <c r="I16001" s="237"/>
    </row>
    <row r="16002" spans="1:9" s="232" customFormat="1" ht="17" customHeight="1">
      <c r="A16002" s="234"/>
      <c r="B16002" s="233"/>
      <c r="C16002" s="238"/>
      <c r="E16002" s="545"/>
      <c r="F16002" s="546"/>
      <c r="G16002" s="234"/>
      <c r="H16002" s="238"/>
      <c r="I16002" s="237"/>
    </row>
    <row r="16003" spans="1:9" s="232" customFormat="1" ht="17" customHeight="1">
      <c r="A16003" s="234"/>
      <c r="B16003" s="233"/>
      <c r="C16003" s="238"/>
      <c r="E16003" s="545"/>
      <c r="F16003" s="546"/>
      <c r="G16003" s="234"/>
      <c r="H16003" s="238"/>
      <c r="I16003" s="237"/>
    </row>
    <row r="16004" spans="1:9" s="232" customFormat="1" ht="17" customHeight="1">
      <c r="A16004" s="234"/>
      <c r="B16004" s="233"/>
      <c r="C16004" s="238"/>
      <c r="E16004" s="545"/>
      <c r="F16004" s="546"/>
      <c r="G16004" s="234"/>
      <c r="H16004" s="238"/>
      <c r="I16004" s="237"/>
    </row>
    <row r="16005" spans="1:9" s="232" customFormat="1" ht="17" customHeight="1">
      <c r="A16005" s="234"/>
      <c r="B16005" s="233"/>
      <c r="C16005" s="238"/>
      <c r="E16005" s="545"/>
      <c r="F16005" s="546"/>
      <c r="G16005" s="234"/>
      <c r="H16005" s="238"/>
      <c r="I16005" s="237"/>
    </row>
    <row r="16006" spans="1:9" s="232" customFormat="1" ht="17" customHeight="1">
      <c r="A16006" s="234"/>
      <c r="B16006" s="233"/>
      <c r="C16006" s="238"/>
      <c r="E16006" s="545"/>
      <c r="F16006" s="546"/>
      <c r="G16006" s="234"/>
      <c r="H16006" s="238"/>
      <c r="I16006" s="237"/>
    </row>
    <row r="16007" spans="1:9" s="232" customFormat="1" ht="17" customHeight="1">
      <c r="A16007" s="234"/>
      <c r="B16007" s="233"/>
      <c r="C16007" s="238"/>
      <c r="E16007" s="545"/>
      <c r="F16007" s="546"/>
      <c r="G16007" s="234"/>
      <c r="H16007" s="238"/>
      <c r="I16007" s="237"/>
    </row>
    <row r="16008" spans="1:9" s="232" customFormat="1" ht="17" customHeight="1">
      <c r="A16008" s="234"/>
      <c r="B16008" s="233"/>
      <c r="C16008" s="238"/>
      <c r="E16008" s="545"/>
      <c r="F16008" s="546"/>
      <c r="G16008" s="234"/>
      <c r="H16008" s="238"/>
      <c r="I16008" s="237"/>
    </row>
    <row r="16009" spans="1:9" s="232" customFormat="1" ht="17" customHeight="1">
      <c r="A16009" s="234"/>
      <c r="B16009" s="233"/>
      <c r="C16009" s="238"/>
      <c r="E16009" s="545"/>
      <c r="F16009" s="546"/>
      <c r="G16009" s="234"/>
      <c r="H16009" s="238"/>
      <c r="I16009" s="237"/>
    </row>
    <row r="16010" spans="1:9" s="232" customFormat="1" ht="17" customHeight="1">
      <c r="A16010" s="234"/>
      <c r="B16010" s="233"/>
      <c r="C16010" s="238"/>
      <c r="E16010" s="545"/>
      <c r="F16010" s="546"/>
      <c r="G16010" s="234"/>
      <c r="H16010" s="238"/>
      <c r="I16010" s="237"/>
    </row>
    <row r="16011" spans="1:9" s="232" customFormat="1" ht="17" customHeight="1">
      <c r="A16011" s="234"/>
      <c r="B16011" s="233"/>
      <c r="C16011" s="238"/>
      <c r="E16011" s="545"/>
      <c r="F16011" s="546"/>
      <c r="G16011" s="234"/>
      <c r="H16011" s="238"/>
      <c r="I16011" s="237"/>
    </row>
    <row r="16012" spans="1:9" s="232" customFormat="1" ht="17" customHeight="1">
      <c r="A16012" s="234"/>
      <c r="B16012" s="233"/>
      <c r="C16012" s="238"/>
      <c r="E16012" s="545"/>
      <c r="F16012" s="546"/>
      <c r="G16012" s="234"/>
      <c r="H16012" s="238"/>
      <c r="I16012" s="237"/>
    </row>
    <row r="16013" spans="1:9" s="232" customFormat="1" ht="17" customHeight="1">
      <c r="A16013" s="234"/>
      <c r="B16013" s="233"/>
      <c r="C16013" s="238"/>
      <c r="E16013" s="545"/>
      <c r="F16013" s="546"/>
      <c r="G16013" s="234"/>
      <c r="H16013" s="238"/>
      <c r="I16013" s="237"/>
    </row>
    <row r="16014" spans="1:9" s="232" customFormat="1" ht="17" customHeight="1">
      <c r="A16014" s="234"/>
      <c r="B16014" s="233"/>
      <c r="C16014" s="238"/>
      <c r="E16014" s="545"/>
      <c r="F16014" s="546"/>
      <c r="G16014" s="234"/>
      <c r="H16014" s="238"/>
      <c r="I16014" s="237"/>
    </row>
    <row r="16015" spans="1:9" s="232" customFormat="1" ht="17" customHeight="1">
      <c r="A16015" s="234"/>
      <c r="B16015" s="233"/>
      <c r="C16015" s="238"/>
      <c r="E16015" s="545"/>
      <c r="F16015" s="546"/>
      <c r="G16015" s="234"/>
      <c r="H16015" s="238"/>
      <c r="I16015" s="237"/>
    </row>
    <row r="16016" spans="1:9" s="232" customFormat="1" ht="17" customHeight="1">
      <c r="A16016" s="234"/>
      <c r="B16016" s="233"/>
      <c r="C16016" s="238"/>
      <c r="E16016" s="545"/>
      <c r="F16016" s="546"/>
      <c r="G16016" s="234"/>
      <c r="H16016" s="238"/>
      <c r="I16016" s="237"/>
    </row>
    <row r="16017" spans="1:9" s="232" customFormat="1" ht="17" customHeight="1">
      <c r="A16017" s="234"/>
      <c r="B16017" s="233"/>
      <c r="C16017" s="238"/>
      <c r="E16017" s="545"/>
      <c r="F16017" s="546"/>
      <c r="G16017" s="234"/>
      <c r="H16017" s="238"/>
      <c r="I16017" s="237"/>
    </row>
    <row r="16018" spans="1:9" s="232" customFormat="1" ht="17" customHeight="1">
      <c r="A16018" s="234"/>
      <c r="B16018" s="233"/>
      <c r="C16018" s="238"/>
      <c r="E16018" s="545"/>
      <c r="F16018" s="546"/>
      <c r="G16018" s="234"/>
      <c r="H16018" s="238"/>
      <c r="I16018" s="237"/>
    </row>
    <row r="16019" spans="1:9" s="232" customFormat="1" ht="17" customHeight="1">
      <c r="A16019" s="234"/>
      <c r="B16019" s="233"/>
      <c r="C16019" s="238"/>
      <c r="E16019" s="545"/>
      <c r="F16019" s="546"/>
      <c r="G16019" s="234"/>
      <c r="H16019" s="238"/>
      <c r="I16019" s="237"/>
    </row>
    <row r="16020" spans="1:9" s="232" customFormat="1" ht="17" customHeight="1">
      <c r="A16020" s="234"/>
      <c r="B16020" s="233"/>
      <c r="C16020" s="238"/>
      <c r="E16020" s="545"/>
      <c r="F16020" s="546"/>
      <c r="G16020" s="234"/>
      <c r="H16020" s="238"/>
      <c r="I16020" s="237"/>
    </row>
    <row r="16021" spans="1:9" s="232" customFormat="1" ht="17" customHeight="1">
      <c r="A16021" s="234"/>
      <c r="B16021" s="233"/>
      <c r="C16021" s="238"/>
      <c r="E16021" s="545"/>
      <c r="F16021" s="546"/>
      <c r="G16021" s="234"/>
      <c r="H16021" s="238"/>
      <c r="I16021" s="237"/>
    </row>
    <row r="16022" spans="1:9" s="232" customFormat="1" ht="17" customHeight="1">
      <c r="A16022" s="234"/>
      <c r="B16022" s="233"/>
      <c r="C16022" s="238"/>
      <c r="E16022" s="545"/>
      <c r="F16022" s="546"/>
      <c r="G16022" s="234"/>
      <c r="H16022" s="238"/>
      <c r="I16022" s="237"/>
    </row>
    <row r="16023" spans="1:9" s="232" customFormat="1" ht="17" customHeight="1">
      <c r="A16023" s="234"/>
      <c r="B16023" s="233"/>
      <c r="C16023" s="238"/>
      <c r="E16023" s="545"/>
      <c r="F16023" s="546"/>
      <c r="G16023" s="234"/>
      <c r="H16023" s="238"/>
      <c r="I16023" s="237"/>
    </row>
    <row r="16024" spans="1:9" s="232" customFormat="1" ht="17" customHeight="1">
      <c r="A16024" s="234"/>
      <c r="B16024" s="233"/>
      <c r="C16024" s="238"/>
      <c r="E16024" s="545"/>
      <c r="F16024" s="546"/>
      <c r="G16024" s="234"/>
      <c r="H16024" s="238"/>
      <c r="I16024" s="237"/>
    </row>
    <row r="16025" spans="1:9" s="232" customFormat="1" ht="17" customHeight="1">
      <c r="A16025" s="234"/>
      <c r="B16025" s="233"/>
      <c r="C16025" s="238"/>
      <c r="E16025" s="545"/>
      <c r="F16025" s="546"/>
      <c r="G16025" s="234"/>
      <c r="H16025" s="238"/>
      <c r="I16025" s="237"/>
    </row>
    <row r="16026" spans="1:9" s="232" customFormat="1" ht="17" customHeight="1">
      <c r="A16026" s="234"/>
      <c r="B16026" s="233"/>
      <c r="C16026" s="238"/>
      <c r="E16026" s="545"/>
      <c r="F16026" s="546"/>
      <c r="G16026" s="234"/>
      <c r="H16026" s="238"/>
      <c r="I16026" s="237"/>
    </row>
    <row r="16027" spans="1:9" s="232" customFormat="1" ht="17" customHeight="1">
      <c r="A16027" s="234"/>
      <c r="B16027" s="233"/>
      <c r="C16027" s="238"/>
      <c r="E16027" s="545"/>
      <c r="F16027" s="546"/>
      <c r="G16027" s="234"/>
      <c r="H16027" s="238"/>
      <c r="I16027" s="237"/>
    </row>
    <row r="16028" spans="1:9" s="232" customFormat="1" ht="17" customHeight="1">
      <c r="A16028" s="234"/>
      <c r="B16028" s="233"/>
      <c r="C16028" s="238"/>
      <c r="E16028" s="545"/>
      <c r="F16028" s="546"/>
      <c r="G16028" s="234"/>
      <c r="H16028" s="238"/>
      <c r="I16028" s="237"/>
    </row>
    <row r="16029" spans="1:9" s="232" customFormat="1" ht="17" customHeight="1">
      <c r="A16029" s="234"/>
      <c r="B16029" s="233"/>
      <c r="C16029" s="238"/>
      <c r="E16029" s="545"/>
      <c r="F16029" s="546"/>
      <c r="G16029" s="234"/>
      <c r="H16029" s="238"/>
      <c r="I16029" s="237"/>
    </row>
    <row r="16030" spans="1:9" s="232" customFormat="1" ht="17" customHeight="1">
      <c r="A16030" s="234"/>
      <c r="B16030" s="233"/>
      <c r="C16030" s="238"/>
      <c r="E16030" s="545"/>
      <c r="F16030" s="546"/>
      <c r="G16030" s="234"/>
      <c r="H16030" s="238"/>
      <c r="I16030" s="237"/>
    </row>
    <row r="16031" spans="1:9" s="232" customFormat="1" ht="17" customHeight="1">
      <c r="A16031" s="234"/>
      <c r="B16031" s="233"/>
      <c r="C16031" s="238"/>
      <c r="E16031" s="545"/>
      <c r="F16031" s="546"/>
      <c r="G16031" s="234"/>
      <c r="H16031" s="238"/>
      <c r="I16031" s="237"/>
    </row>
    <row r="16032" spans="1:9" s="232" customFormat="1" ht="17" customHeight="1">
      <c r="A16032" s="234"/>
      <c r="B16032" s="233"/>
      <c r="C16032" s="238"/>
      <c r="E16032" s="545"/>
      <c r="F16032" s="546"/>
      <c r="G16032" s="234"/>
      <c r="H16032" s="238"/>
      <c r="I16032" s="237"/>
    </row>
    <row r="16033" spans="1:9" s="232" customFormat="1" ht="17" customHeight="1">
      <c r="A16033" s="234"/>
      <c r="B16033" s="233"/>
      <c r="C16033" s="238"/>
      <c r="E16033" s="545"/>
      <c r="F16033" s="546"/>
      <c r="G16033" s="234"/>
      <c r="H16033" s="238"/>
      <c r="I16033" s="237"/>
    </row>
    <row r="16034" spans="1:9" s="232" customFormat="1" ht="17" customHeight="1">
      <c r="A16034" s="234"/>
      <c r="B16034" s="233"/>
      <c r="C16034" s="238"/>
      <c r="E16034" s="545"/>
      <c r="F16034" s="546"/>
      <c r="G16034" s="234"/>
      <c r="H16034" s="238"/>
      <c r="I16034" s="237"/>
    </row>
    <row r="16035" spans="1:9" s="232" customFormat="1" ht="17" customHeight="1">
      <c r="A16035" s="234"/>
      <c r="B16035" s="233"/>
      <c r="C16035" s="238"/>
      <c r="E16035" s="545"/>
      <c r="F16035" s="546"/>
      <c r="G16035" s="234"/>
      <c r="H16035" s="238"/>
      <c r="I16035" s="237"/>
    </row>
    <row r="16036" spans="1:9" s="232" customFormat="1" ht="17" customHeight="1">
      <c r="A16036" s="234"/>
      <c r="B16036" s="233"/>
      <c r="C16036" s="238"/>
      <c r="E16036" s="545"/>
      <c r="F16036" s="546"/>
      <c r="G16036" s="234"/>
      <c r="H16036" s="238"/>
      <c r="I16036" s="237"/>
    </row>
    <row r="16037" spans="1:9" s="232" customFormat="1" ht="17" customHeight="1">
      <c r="A16037" s="234"/>
      <c r="B16037" s="233"/>
      <c r="C16037" s="238"/>
      <c r="E16037" s="545"/>
      <c r="F16037" s="546"/>
      <c r="G16037" s="234"/>
      <c r="H16037" s="238"/>
      <c r="I16037" s="237"/>
    </row>
    <row r="16038" spans="1:9" s="232" customFormat="1" ht="17" customHeight="1">
      <c r="A16038" s="234"/>
      <c r="B16038" s="233"/>
      <c r="C16038" s="238"/>
      <c r="E16038" s="545"/>
      <c r="F16038" s="546"/>
      <c r="G16038" s="234"/>
      <c r="H16038" s="238"/>
      <c r="I16038" s="237"/>
    </row>
    <row r="16039" spans="1:9" s="232" customFormat="1" ht="17" customHeight="1">
      <c r="A16039" s="234"/>
      <c r="B16039" s="233"/>
      <c r="C16039" s="238"/>
      <c r="E16039" s="545"/>
      <c r="F16039" s="546"/>
      <c r="G16039" s="234"/>
      <c r="H16039" s="238"/>
      <c r="I16039" s="237"/>
    </row>
    <row r="16040" spans="1:9" s="232" customFormat="1" ht="17" customHeight="1">
      <c r="A16040" s="234"/>
      <c r="B16040" s="233"/>
      <c r="C16040" s="238"/>
      <c r="E16040" s="545"/>
      <c r="F16040" s="546"/>
      <c r="G16040" s="234"/>
      <c r="H16040" s="238"/>
      <c r="I16040" s="237"/>
    </row>
    <row r="16041" spans="1:9" s="232" customFormat="1" ht="17" customHeight="1">
      <c r="A16041" s="234"/>
      <c r="B16041" s="233"/>
      <c r="C16041" s="238"/>
      <c r="E16041" s="545"/>
      <c r="F16041" s="546"/>
      <c r="G16041" s="234"/>
      <c r="H16041" s="238"/>
      <c r="I16041" s="237"/>
    </row>
    <row r="16042" spans="1:9" s="232" customFormat="1" ht="17" customHeight="1">
      <c r="A16042" s="234"/>
      <c r="B16042" s="233"/>
      <c r="C16042" s="238"/>
      <c r="E16042" s="545"/>
      <c r="F16042" s="546"/>
      <c r="G16042" s="234"/>
      <c r="H16042" s="238"/>
      <c r="I16042" s="237"/>
    </row>
    <row r="16043" spans="1:9" s="232" customFormat="1" ht="17" customHeight="1">
      <c r="A16043" s="234"/>
      <c r="B16043" s="233"/>
      <c r="C16043" s="238"/>
      <c r="E16043" s="545"/>
      <c r="F16043" s="546"/>
      <c r="G16043" s="234"/>
      <c r="H16043" s="238"/>
      <c r="I16043" s="237"/>
    </row>
    <row r="16044" spans="1:9" s="232" customFormat="1" ht="17" customHeight="1">
      <c r="A16044" s="234"/>
      <c r="B16044" s="233"/>
      <c r="C16044" s="238"/>
      <c r="E16044" s="545"/>
      <c r="F16044" s="546"/>
      <c r="G16044" s="234"/>
      <c r="H16044" s="238"/>
      <c r="I16044" s="237"/>
    </row>
    <row r="16045" spans="1:9" s="232" customFormat="1" ht="17" customHeight="1">
      <c r="A16045" s="234"/>
      <c r="B16045" s="233"/>
      <c r="C16045" s="238"/>
      <c r="E16045" s="545"/>
      <c r="F16045" s="546"/>
      <c r="G16045" s="234"/>
      <c r="H16045" s="238"/>
      <c r="I16045" s="237"/>
    </row>
    <row r="16046" spans="1:9" s="232" customFormat="1" ht="17" customHeight="1">
      <c r="A16046" s="234"/>
      <c r="B16046" s="233"/>
      <c r="C16046" s="238"/>
      <c r="E16046" s="545"/>
      <c r="F16046" s="546"/>
      <c r="G16046" s="234"/>
      <c r="H16046" s="238"/>
      <c r="I16046" s="237"/>
    </row>
    <row r="16047" spans="1:9" s="232" customFormat="1" ht="17" customHeight="1">
      <c r="A16047" s="234"/>
      <c r="B16047" s="233"/>
      <c r="C16047" s="238"/>
      <c r="E16047" s="545"/>
      <c r="F16047" s="546"/>
      <c r="G16047" s="234"/>
      <c r="H16047" s="238"/>
      <c r="I16047" s="237"/>
    </row>
    <row r="16048" spans="1:9" s="232" customFormat="1" ht="17" customHeight="1">
      <c r="A16048" s="234"/>
      <c r="B16048" s="233"/>
      <c r="C16048" s="238"/>
      <c r="E16048" s="545"/>
      <c r="F16048" s="546"/>
      <c r="G16048" s="234"/>
      <c r="H16048" s="238"/>
      <c r="I16048" s="237"/>
    </row>
    <row r="16049" spans="1:9" s="232" customFormat="1" ht="17" customHeight="1">
      <c r="A16049" s="234"/>
      <c r="B16049" s="233"/>
      <c r="C16049" s="238"/>
      <c r="E16049" s="545"/>
      <c r="F16049" s="546"/>
      <c r="G16049" s="234"/>
      <c r="H16049" s="238"/>
      <c r="I16049" s="237"/>
    </row>
    <row r="16050" spans="1:9" s="232" customFormat="1" ht="17" customHeight="1">
      <c r="A16050" s="234"/>
      <c r="B16050" s="233"/>
      <c r="C16050" s="238"/>
      <c r="E16050" s="545"/>
      <c r="F16050" s="546"/>
      <c r="G16050" s="234"/>
      <c r="H16050" s="238"/>
      <c r="I16050" s="237"/>
    </row>
    <row r="16051" spans="1:9" s="232" customFormat="1" ht="17" customHeight="1">
      <c r="A16051" s="234"/>
      <c r="B16051" s="233"/>
      <c r="C16051" s="238"/>
      <c r="E16051" s="545"/>
      <c r="F16051" s="546"/>
      <c r="G16051" s="234"/>
      <c r="H16051" s="238"/>
      <c r="I16051" s="237"/>
    </row>
    <row r="16052" spans="1:9" s="232" customFormat="1" ht="17" customHeight="1">
      <c r="A16052" s="234"/>
      <c r="B16052" s="233"/>
      <c r="C16052" s="238"/>
      <c r="E16052" s="545"/>
      <c r="F16052" s="546"/>
      <c r="G16052" s="234"/>
      <c r="H16052" s="238"/>
      <c r="I16052" s="237"/>
    </row>
    <row r="16053" spans="1:9" s="232" customFormat="1" ht="17" customHeight="1">
      <c r="A16053" s="234"/>
      <c r="B16053" s="233"/>
      <c r="C16053" s="238"/>
      <c r="E16053" s="545"/>
      <c r="F16053" s="546"/>
      <c r="G16053" s="234"/>
      <c r="H16053" s="238"/>
      <c r="I16053" s="237"/>
    </row>
    <row r="16054" spans="1:9" s="232" customFormat="1" ht="17" customHeight="1">
      <c r="A16054" s="234"/>
      <c r="B16054" s="233"/>
      <c r="C16054" s="238"/>
      <c r="E16054" s="545"/>
      <c r="F16054" s="546"/>
      <c r="G16054" s="234"/>
      <c r="H16054" s="238"/>
      <c r="I16054" s="237"/>
    </row>
    <row r="16055" spans="1:9" s="232" customFormat="1" ht="17" customHeight="1">
      <c r="A16055" s="234"/>
      <c r="B16055" s="233"/>
      <c r="C16055" s="238"/>
      <c r="E16055" s="545"/>
      <c r="F16055" s="546"/>
      <c r="G16055" s="234"/>
      <c r="H16055" s="238"/>
      <c r="I16055" s="237"/>
    </row>
    <row r="16056" spans="1:9" s="232" customFormat="1" ht="17" customHeight="1">
      <c r="A16056" s="234"/>
      <c r="B16056" s="233"/>
      <c r="C16056" s="238"/>
      <c r="E16056" s="545"/>
      <c r="F16056" s="546"/>
      <c r="G16056" s="234"/>
      <c r="H16056" s="238"/>
      <c r="I16056" s="237"/>
    </row>
    <row r="16057" spans="1:9" s="232" customFormat="1" ht="17" customHeight="1">
      <c r="A16057" s="234"/>
      <c r="B16057" s="233"/>
      <c r="C16057" s="238"/>
      <c r="E16057" s="545"/>
      <c r="F16057" s="546"/>
      <c r="G16057" s="234"/>
      <c r="H16057" s="238"/>
      <c r="I16057" s="237"/>
    </row>
    <row r="16058" spans="1:9" s="232" customFormat="1" ht="17" customHeight="1">
      <c r="A16058" s="234"/>
      <c r="B16058" s="233"/>
      <c r="C16058" s="238"/>
      <c r="E16058" s="545"/>
      <c r="F16058" s="546"/>
      <c r="G16058" s="234"/>
      <c r="H16058" s="238"/>
      <c r="I16058" s="237"/>
    </row>
    <row r="16059" spans="1:9" s="232" customFormat="1" ht="17" customHeight="1">
      <c r="A16059" s="234"/>
      <c r="B16059" s="233"/>
      <c r="C16059" s="238"/>
      <c r="E16059" s="545"/>
      <c r="F16059" s="546"/>
      <c r="G16059" s="234"/>
      <c r="H16059" s="238"/>
      <c r="I16059" s="237"/>
    </row>
    <row r="16060" spans="1:9" s="232" customFormat="1" ht="17" customHeight="1">
      <c r="A16060" s="234"/>
      <c r="B16060" s="233"/>
      <c r="C16060" s="238"/>
      <c r="E16060" s="545"/>
      <c r="F16060" s="546"/>
      <c r="G16060" s="234"/>
      <c r="H16060" s="238"/>
      <c r="I16060" s="237"/>
    </row>
    <row r="16061" spans="1:9" s="232" customFormat="1" ht="17" customHeight="1">
      <c r="A16061" s="234"/>
      <c r="B16061" s="233"/>
      <c r="C16061" s="238"/>
      <c r="E16061" s="545"/>
      <c r="F16061" s="546"/>
      <c r="G16061" s="234"/>
      <c r="H16061" s="238"/>
      <c r="I16061" s="237"/>
    </row>
    <row r="16062" spans="1:9" s="232" customFormat="1" ht="17" customHeight="1">
      <c r="A16062" s="234"/>
      <c r="B16062" s="233"/>
      <c r="C16062" s="238"/>
      <c r="E16062" s="545"/>
      <c r="F16062" s="546"/>
      <c r="G16062" s="234"/>
      <c r="H16062" s="238"/>
      <c r="I16062" s="237"/>
    </row>
    <row r="16063" spans="1:9" s="232" customFormat="1" ht="17" customHeight="1">
      <c r="A16063" s="234"/>
      <c r="B16063" s="233"/>
      <c r="C16063" s="238"/>
      <c r="E16063" s="545"/>
      <c r="F16063" s="546"/>
      <c r="G16063" s="234"/>
      <c r="H16063" s="238"/>
      <c r="I16063" s="237"/>
    </row>
    <row r="16064" spans="1:9" s="232" customFormat="1" ht="17" customHeight="1">
      <c r="A16064" s="234"/>
      <c r="B16064" s="233"/>
      <c r="C16064" s="238"/>
      <c r="E16064" s="545"/>
      <c r="F16064" s="546"/>
      <c r="G16064" s="234"/>
      <c r="H16064" s="238"/>
      <c r="I16064" s="237"/>
    </row>
    <row r="16065" spans="1:9" s="232" customFormat="1" ht="17" customHeight="1">
      <c r="A16065" s="234"/>
      <c r="B16065" s="233"/>
      <c r="C16065" s="238"/>
      <c r="E16065" s="545"/>
      <c r="F16065" s="546"/>
      <c r="G16065" s="234"/>
      <c r="H16065" s="238"/>
      <c r="I16065" s="237"/>
    </row>
    <row r="16066" spans="1:9" s="232" customFormat="1" ht="17" customHeight="1">
      <c r="A16066" s="234"/>
      <c r="B16066" s="233"/>
      <c r="C16066" s="238"/>
      <c r="E16066" s="545"/>
      <c r="F16066" s="546"/>
      <c r="G16066" s="234"/>
      <c r="H16066" s="238"/>
      <c r="I16066" s="237"/>
    </row>
    <row r="16067" spans="1:9" s="232" customFormat="1" ht="17" customHeight="1">
      <c r="A16067" s="234"/>
      <c r="B16067" s="233"/>
      <c r="C16067" s="238"/>
      <c r="E16067" s="545"/>
      <c r="F16067" s="546"/>
      <c r="G16067" s="234"/>
      <c r="H16067" s="238"/>
      <c r="I16067" s="237"/>
    </row>
    <row r="16068" spans="1:9" s="232" customFormat="1" ht="17" customHeight="1">
      <c r="A16068" s="234"/>
      <c r="B16068" s="233"/>
      <c r="C16068" s="238"/>
      <c r="E16068" s="545"/>
      <c r="F16068" s="546"/>
      <c r="G16068" s="234"/>
      <c r="H16068" s="238"/>
      <c r="I16068" s="237"/>
    </row>
    <row r="16069" spans="1:9" s="232" customFormat="1" ht="17" customHeight="1">
      <c r="A16069" s="234"/>
      <c r="B16069" s="233"/>
      <c r="C16069" s="238"/>
      <c r="E16069" s="545"/>
      <c r="F16069" s="546"/>
      <c r="G16069" s="234"/>
      <c r="H16069" s="238"/>
      <c r="I16069" s="237"/>
    </row>
    <row r="16070" spans="1:9" s="232" customFormat="1" ht="17" customHeight="1">
      <c r="A16070" s="234"/>
      <c r="B16070" s="233"/>
      <c r="C16070" s="238"/>
      <c r="E16070" s="545"/>
      <c r="F16070" s="546"/>
      <c r="G16070" s="234"/>
      <c r="H16070" s="238"/>
      <c r="I16070" s="237"/>
    </row>
    <row r="16071" spans="1:9" s="232" customFormat="1" ht="17" customHeight="1">
      <c r="A16071" s="234"/>
      <c r="B16071" s="233"/>
      <c r="C16071" s="238"/>
      <c r="E16071" s="545"/>
      <c r="F16071" s="546"/>
      <c r="G16071" s="234"/>
      <c r="H16071" s="238"/>
      <c r="I16071" s="237"/>
    </row>
    <row r="16072" spans="1:9" s="232" customFormat="1" ht="17" customHeight="1">
      <c r="A16072" s="234"/>
      <c r="B16072" s="233"/>
      <c r="C16072" s="238"/>
      <c r="E16072" s="545"/>
      <c r="F16072" s="546"/>
      <c r="G16072" s="234"/>
      <c r="H16072" s="238"/>
      <c r="I16072" s="237"/>
    </row>
    <row r="16073" spans="1:9" s="232" customFormat="1" ht="17" customHeight="1">
      <c r="A16073" s="234"/>
      <c r="B16073" s="233"/>
      <c r="C16073" s="238"/>
      <c r="E16073" s="545"/>
      <c r="F16073" s="546"/>
      <c r="G16073" s="234"/>
      <c r="H16073" s="238"/>
      <c r="I16073" s="237"/>
    </row>
    <row r="16074" spans="1:9" s="232" customFormat="1" ht="17" customHeight="1">
      <c r="A16074" s="234"/>
      <c r="B16074" s="233"/>
      <c r="C16074" s="238"/>
      <c r="E16074" s="545"/>
      <c r="F16074" s="546"/>
      <c r="G16074" s="234"/>
      <c r="H16074" s="238"/>
      <c r="I16074" s="237"/>
    </row>
    <row r="16075" spans="1:9" s="232" customFormat="1" ht="17" customHeight="1">
      <c r="A16075" s="234"/>
      <c r="B16075" s="233"/>
      <c r="C16075" s="238"/>
      <c r="E16075" s="545"/>
      <c r="F16075" s="546"/>
      <c r="G16075" s="234"/>
      <c r="H16075" s="238"/>
      <c r="I16075" s="237"/>
    </row>
    <row r="16076" spans="1:9" s="232" customFormat="1" ht="17" customHeight="1">
      <c r="A16076" s="234"/>
      <c r="B16076" s="233"/>
      <c r="C16076" s="238"/>
      <c r="E16076" s="545"/>
      <c r="F16076" s="546"/>
      <c r="G16076" s="234"/>
      <c r="H16076" s="238"/>
      <c r="I16076" s="237"/>
    </row>
    <row r="16077" spans="1:9" s="232" customFormat="1" ht="17" customHeight="1">
      <c r="A16077" s="234"/>
      <c r="B16077" s="233"/>
      <c r="C16077" s="238"/>
      <c r="E16077" s="545"/>
      <c r="F16077" s="546"/>
      <c r="G16077" s="234"/>
      <c r="H16077" s="238"/>
      <c r="I16077" s="237"/>
    </row>
    <row r="16078" spans="1:9" s="232" customFormat="1" ht="17" customHeight="1">
      <c r="A16078" s="234"/>
      <c r="B16078" s="233"/>
      <c r="C16078" s="238"/>
      <c r="E16078" s="545"/>
      <c r="F16078" s="546"/>
      <c r="G16078" s="234"/>
      <c r="H16078" s="238"/>
      <c r="I16078" s="237"/>
    </row>
    <row r="16079" spans="1:9" s="232" customFormat="1" ht="17" customHeight="1">
      <c r="A16079" s="234"/>
      <c r="B16079" s="233"/>
      <c r="C16079" s="238"/>
      <c r="E16079" s="545"/>
      <c r="F16079" s="546"/>
      <c r="G16079" s="234"/>
      <c r="H16079" s="238"/>
      <c r="I16079" s="237"/>
    </row>
    <row r="16080" spans="1:9" s="232" customFormat="1" ht="17" customHeight="1">
      <c r="A16080" s="234"/>
      <c r="B16080" s="233"/>
      <c r="C16080" s="238"/>
      <c r="E16080" s="545"/>
      <c r="F16080" s="546"/>
      <c r="G16080" s="234"/>
      <c r="H16080" s="238"/>
      <c r="I16080" s="237"/>
    </row>
    <row r="16081" spans="1:9" s="232" customFormat="1" ht="17" customHeight="1">
      <c r="A16081" s="234"/>
      <c r="B16081" s="233"/>
      <c r="C16081" s="238"/>
      <c r="E16081" s="545"/>
      <c r="F16081" s="546"/>
      <c r="G16081" s="234"/>
      <c r="H16081" s="238"/>
      <c r="I16081" s="237"/>
    </row>
    <row r="16082" spans="1:9" s="232" customFormat="1" ht="17" customHeight="1">
      <c r="A16082" s="234"/>
      <c r="B16082" s="233"/>
      <c r="C16082" s="238"/>
      <c r="E16082" s="545"/>
      <c r="F16082" s="546"/>
      <c r="G16082" s="234"/>
      <c r="H16082" s="238"/>
      <c r="I16082" s="237"/>
    </row>
    <row r="16083" spans="1:9" s="232" customFormat="1" ht="17" customHeight="1">
      <c r="A16083" s="234"/>
      <c r="B16083" s="233"/>
      <c r="C16083" s="238"/>
      <c r="E16083" s="545"/>
      <c r="F16083" s="546"/>
      <c r="G16083" s="234"/>
      <c r="H16083" s="238"/>
      <c r="I16083" s="237"/>
    </row>
    <row r="16084" spans="1:9" s="232" customFormat="1" ht="17" customHeight="1">
      <c r="A16084" s="234"/>
      <c r="B16084" s="233"/>
      <c r="C16084" s="238"/>
      <c r="E16084" s="545"/>
      <c r="F16084" s="546"/>
      <c r="G16084" s="234"/>
      <c r="H16084" s="238"/>
      <c r="I16084" s="237"/>
    </row>
    <row r="16085" spans="1:9" s="232" customFormat="1" ht="17" customHeight="1">
      <c r="A16085" s="234"/>
      <c r="B16085" s="233"/>
      <c r="C16085" s="238"/>
      <c r="E16085" s="545"/>
      <c r="F16085" s="546"/>
      <c r="G16085" s="234"/>
      <c r="H16085" s="238"/>
      <c r="I16085" s="237"/>
    </row>
    <row r="16086" spans="1:9" s="232" customFormat="1" ht="17" customHeight="1">
      <c r="A16086" s="234"/>
      <c r="B16086" s="233"/>
      <c r="C16086" s="238"/>
      <c r="E16086" s="545"/>
      <c r="F16086" s="546"/>
      <c r="G16086" s="234"/>
      <c r="H16086" s="238"/>
      <c r="I16086" s="237"/>
    </row>
    <row r="16087" spans="1:9" s="232" customFormat="1" ht="17" customHeight="1">
      <c r="A16087" s="234"/>
      <c r="B16087" s="233"/>
      <c r="C16087" s="238"/>
      <c r="E16087" s="545"/>
      <c r="F16087" s="546"/>
      <c r="G16087" s="234"/>
      <c r="H16087" s="238"/>
      <c r="I16087" s="237"/>
    </row>
    <row r="16088" spans="1:9" s="232" customFormat="1" ht="17" customHeight="1">
      <c r="A16088" s="234"/>
      <c r="B16088" s="233"/>
      <c r="C16088" s="238"/>
      <c r="E16088" s="545"/>
      <c r="F16088" s="546"/>
      <c r="G16088" s="234"/>
      <c r="H16088" s="238"/>
      <c r="I16088" s="237"/>
    </row>
    <row r="16089" spans="1:9" s="232" customFormat="1" ht="17" customHeight="1">
      <c r="A16089" s="234"/>
      <c r="B16089" s="233"/>
      <c r="C16089" s="238"/>
      <c r="E16089" s="545"/>
      <c r="F16089" s="546"/>
      <c r="G16089" s="234"/>
      <c r="H16089" s="238"/>
      <c r="I16089" s="237"/>
    </row>
    <row r="16090" spans="1:9" s="232" customFormat="1" ht="17" customHeight="1">
      <c r="A16090" s="234"/>
      <c r="B16090" s="233"/>
      <c r="C16090" s="238"/>
      <c r="E16090" s="545"/>
      <c r="F16090" s="546"/>
      <c r="G16090" s="234"/>
      <c r="H16090" s="238"/>
      <c r="I16090" s="237"/>
    </row>
    <row r="16091" spans="1:9" s="232" customFormat="1" ht="17" customHeight="1">
      <c r="A16091" s="234"/>
      <c r="B16091" s="233"/>
      <c r="C16091" s="238"/>
      <c r="E16091" s="545"/>
      <c r="F16091" s="546"/>
      <c r="G16091" s="234"/>
      <c r="H16091" s="238"/>
      <c r="I16091" s="237"/>
    </row>
    <row r="16092" spans="1:9" s="232" customFormat="1" ht="17" customHeight="1">
      <c r="A16092" s="234"/>
      <c r="B16092" s="233"/>
      <c r="C16092" s="238"/>
      <c r="E16092" s="545"/>
      <c r="F16092" s="546"/>
      <c r="G16092" s="234"/>
      <c r="H16092" s="238"/>
      <c r="I16092" s="237"/>
    </row>
    <row r="16093" spans="1:9" s="232" customFormat="1" ht="17" customHeight="1">
      <c r="A16093" s="234"/>
      <c r="B16093" s="233"/>
      <c r="C16093" s="238"/>
      <c r="E16093" s="545"/>
      <c r="F16093" s="546"/>
      <c r="G16093" s="234"/>
      <c r="H16093" s="238"/>
      <c r="I16093" s="237"/>
    </row>
    <row r="16094" spans="1:9" s="232" customFormat="1" ht="17" customHeight="1">
      <c r="A16094" s="234"/>
      <c r="B16094" s="233"/>
      <c r="C16094" s="238"/>
      <c r="E16094" s="545"/>
      <c r="F16094" s="546"/>
      <c r="G16094" s="234"/>
      <c r="H16094" s="238"/>
      <c r="I16094" s="237"/>
    </row>
    <row r="16095" spans="1:9" s="232" customFormat="1" ht="17" customHeight="1">
      <c r="A16095" s="234"/>
      <c r="B16095" s="233"/>
      <c r="C16095" s="238"/>
      <c r="E16095" s="545"/>
      <c r="F16095" s="546"/>
      <c r="G16095" s="234"/>
      <c r="H16095" s="238"/>
      <c r="I16095" s="237"/>
    </row>
    <row r="16096" spans="1:9" s="232" customFormat="1" ht="17" customHeight="1">
      <c r="A16096" s="234"/>
      <c r="B16096" s="233"/>
      <c r="C16096" s="238"/>
      <c r="E16096" s="545"/>
      <c r="F16096" s="546"/>
      <c r="G16096" s="234"/>
      <c r="H16096" s="238"/>
      <c r="I16096" s="237"/>
    </row>
    <row r="16097" spans="1:9" s="232" customFormat="1" ht="17" customHeight="1">
      <c r="A16097" s="234"/>
      <c r="B16097" s="233"/>
      <c r="C16097" s="238"/>
      <c r="E16097" s="545"/>
      <c r="F16097" s="546"/>
      <c r="G16097" s="234"/>
      <c r="H16097" s="238"/>
      <c r="I16097" s="237"/>
    </row>
    <row r="16098" spans="1:9" s="232" customFormat="1" ht="17" customHeight="1">
      <c r="A16098" s="234"/>
      <c r="B16098" s="233"/>
      <c r="C16098" s="238"/>
      <c r="E16098" s="545"/>
      <c r="F16098" s="546"/>
      <c r="G16098" s="234"/>
      <c r="H16098" s="238"/>
      <c r="I16098" s="237"/>
    </row>
    <row r="16099" spans="1:9" s="232" customFormat="1" ht="17" customHeight="1">
      <c r="A16099" s="234"/>
      <c r="B16099" s="233"/>
      <c r="C16099" s="238"/>
      <c r="E16099" s="545"/>
      <c r="F16099" s="546"/>
      <c r="G16099" s="234"/>
      <c r="H16099" s="238"/>
      <c r="I16099" s="237"/>
    </row>
    <row r="16100" spans="1:9" s="232" customFormat="1" ht="17" customHeight="1">
      <c r="A16100" s="234"/>
      <c r="B16100" s="233"/>
      <c r="C16100" s="238"/>
      <c r="E16100" s="545"/>
      <c r="F16100" s="546"/>
      <c r="G16100" s="234"/>
      <c r="H16100" s="238"/>
      <c r="I16100" s="237"/>
    </row>
    <row r="16101" spans="1:9" s="232" customFormat="1" ht="17" customHeight="1">
      <c r="A16101" s="234"/>
      <c r="B16101" s="233"/>
      <c r="C16101" s="238"/>
      <c r="E16101" s="545"/>
      <c r="F16101" s="546"/>
      <c r="G16101" s="234"/>
      <c r="H16101" s="238"/>
      <c r="I16101" s="237"/>
    </row>
    <row r="16102" spans="1:9" s="232" customFormat="1" ht="17" customHeight="1">
      <c r="A16102" s="234"/>
      <c r="B16102" s="233"/>
      <c r="C16102" s="238"/>
      <c r="E16102" s="545"/>
      <c r="F16102" s="546"/>
      <c r="G16102" s="234"/>
      <c r="H16102" s="238"/>
      <c r="I16102" s="237"/>
    </row>
    <row r="16103" spans="1:9" s="232" customFormat="1" ht="17" customHeight="1">
      <c r="A16103" s="234"/>
      <c r="B16103" s="233"/>
      <c r="C16103" s="238"/>
      <c r="E16103" s="545"/>
      <c r="F16103" s="546"/>
      <c r="G16103" s="234"/>
      <c r="H16103" s="238"/>
      <c r="I16103" s="237"/>
    </row>
    <row r="16104" spans="1:9" s="232" customFormat="1" ht="17" customHeight="1">
      <c r="A16104" s="234"/>
      <c r="B16104" s="233"/>
      <c r="C16104" s="238"/>
      <c r="E16104" s="545"/>
      <c r="F16104" s="546"/>
      <c r="G16104" s="234"/>
      <c r="H16104" s="238"/>
      <c r="I16104" s="237"/>
    </row>
    <row r="16105" spans="1:9" s="232" customFormat="1" ht="17" customHeight="1">
      <c r="A16105" s="234"/>
      <c r="B16105" s="233"/>
      <c r="C16105" s="238"/>
      <c r="E16105" s="545"/>
      <c r="F16105" s="546"/>
      <c r="G16105" s="234"/>
      <c r="H16105" s="238"/>
      <c r="I16105" s="237"/>
    </row>
    <row r="16106" spans="1:9" s="232" customFormat="1" ht="17" customHeight="1">
      <c r="A16106" s="234"/>
      <c r="B16106" s="233"/>
      <c r="C16106" s="238"/>
      <c r="E16106" s="545"/>
      <c r="F16106" s="546"/>
      <c r="G16106" s="234"/>
      <c r="H16106" s="238"/>
      <c r="I16106" s="237"/>
    </row>
    <row r="16107" spans="1:9" s="232" customFormat="1" ht="17" customHeight="1">
      <c r="A16107" s="234"/>
      <c r="B16107" s="233"/>
      <c r="C16107" s="238"/>
      <c r="E16107" s="545"/>
      <c r="F16107" s="546"/>
      <c r="G16107" s="234"/>
      <c r="H16107" s="238"/>
      <c r="I16107" s="237"/>
    </row>
    <row r="16108" spans="1:9" s="232" customFormat="1" ht="17" customHeight="1">
      <c r="A16108" s="234"/>
      <c r="B16108" s="233"/>
      <c r="C16108" s="238"/>
      <c r="E16108" s="545"/>
      <c r="F16108" s="546"/>
      <c r="G16108" s="234"/>
      <c r="H16108" s="238"/>
      <c r="I16108" s="237"/>
    </row>
    <row r="16109" spans="1:9" s="232" customFormat="1" ht="17" customHeight="1">
      <c r="A16109" s="234"/>
      <c r="B16109" s="233"/>
      <c r="C16109" s="238"/>
      <c r="E16109" s="545"/>
      <c r="F16109" s="546"/>
      <c r="G16109" s="234"/>
      <c r="H16109" s="238"/>
      <c r="I16109" s="237"/>
    </row>
    <row r="16110" spans="1:9" s="232" customFormat="1" ht="17" customHeight="1">
      <c r="A16110" s="234"/>
      <c r="B16110" s="233"/>
      <c r="C16110" s="238"/>
      <c r="E16110" s="545"/>
      <c r="F16110" s="546"/>
      <c r="G16110" s="234"/>
      <c r="H16110" s="238"/>
      <c r="I16110" s="237"/>
    </row>
    <row r="16111" spans="1:9" s="232" customFormat="1" ht="17" customHeight="1">
      <c r="A16111" s="234"/>
      <c r="B16111" s="233"/>
      <c r="C16111" s="238"/>
      <c r="E16111" s="545"/>
      <c r="F16111" s="546"/>
      <c r="G16111" s="234"/>
      <c r="H16111" s="238"/>
      <c r="I16111" s="237"/>
    </row>
    <row r="16112" spans="1:9" s="232" customFormat="1" ht="17" customHeight="1">
      <c r="A16112" s="234"/>
      <c r="B16112" s="233"/>
      <c r="C16112" s="238"/>
      <c r="E16112" s="545"/>
      <c r="F16112" s="546"/>
      <c r="G16112" s="234"/>
      <c r="H16112" s="238"/>
      <c r="I16112" s="237"/>
    </row>
    <row r="16113" spans="1:9" s="232" customFormat="1" ht="17" customHeight="1">
      <c r="A16113" s="234"/>
      <c r="B16113" s="233"/>
      <c r="C16113" s="238"/>
      <c r="E16113" s="545"/>
      <c r="F16113" s="546"/>
      <c r="G16113" s="234"/>
      <c r="H16113" s="238"/>
      <c r="I16113" s="237"/>
    </row>
    <row r="16114" spans="1:9" s="232" customFormat="1" ht="17" customHeight="1">
      <c r="A16114" s="234"/>
      <c r="B16114" s="233"/>
      <c r="C16114" s="238"/>
      <c r="E16114" s="545"/>
      <c r="F16114" s="546"/>
      <c r="G16114" s="234"/>
      <c r="H16114" s="238"/>
      <c r="I16114" s="237"/>
    </row>
    <row r="16115" spans="1:9" s="232" customFormat="1" ht="17" customHeight="1">
      <c r="A16115" s="234"/>
      <c r="B16115" s="233"/>
      <c r="C16115" s="238"/>
      <c r="E16115" s="545"/>
      <c r="F16115" s="546"/>
      <c r="G16115" s="234"/>
      <c r="H16115" s="238"/>
      <c r="I16115" s="237"/>
    </row>
    <row r="16116" spans="1:9" s="232" customFormat="1" ht="17" customHeight="1">
      <c r="A16116" s="234"/>
      <c r="B16116" s="233"/>
      <c r="C16116" s="238"/>
      <c r="E16116" s="545"/>
      <c r="F16116" s="546"/>
      <c r="G16116" s="234"/>
      <c r="H16116" s="238"/>
      <c r="I16116" s="237"/>
    </row>
    <row r="16117" spans="1:9" s="232" customFormat="1" ht="17" customHeight="1">
      <c r="A16117" s="234"/>
      <c r="B16117" s="233"/>
      <c r="C16117" s="238"/>
      <c r="E16117" s="545"/>
      <c r="F16117" s="546"/>
      <c r="G16117" s="234"/>
      <c r="H16117" s="238"/>
      <c r="I16117" s="237"/>
    </row>
    <row r="16118" spans="1:9" s="232" customFormat="1" ht="17" customHeight="1">
      <c r="A16118" s="234"/>
      <c r="B16118" s="233"/>
      <c r="C16118" s="238"/>
      <c r="E16118" s="545"/>
      <c r="F16118" s="546"/>
      <c r="G16118" s="234"/>
      <c r="H16118" s="238"/>
      <c r="I16118" s="237"/>
    </row>
    <row r="16119" spans="1:9" s="232" customFormat="1" ht="17" customHeight="1">
      <c r="A16119" s="234"/>
      <c r="B16119" s="233"/>
      <c r="C16119" s="238"/>
      <c r="E16119" s="545"/>
      <c r="F16119" s="546"/>
      <c r="G16119" s="234"/>
      <c r="H16119" s="238"/>
      <c r="I16119" s="237"/>
    </row>
    <row r="16120" spans="1:9" s="232" customFormat="1" ht="17" customHeight="1">
      <c r="A16120" s="234"/>
      <c r="B16120" s="233"/>
      <c r="C16120" s="238"/>
      <c r="E16120" s="545"/>
      <c r="F16120" s="546"/>
      <c r="G16120" s="234"/>
      <c r="H16120" s="238"/>
      <c r="I16120" s="237"/>
    </row>
    <row r="16121" spans="1:9" s="232" customFormat="1" ht="17" customHeight="1">
      <c r="A16121" s="234"/>
      <c r="B16121" s="233"/>
      <c r="C16121" s="238"/>
      <c r="E16121" s="545"/>
      <c r="F16121" s="546"/>
      <c r="G16121" s="234"/>
      <c r="H16121" s="238"/>
      <c r="I16121" s="237"/>
    </row>
    <row r="16122" spans="1:9" s="232" customFormat="1" ht="17" customHeight="1">
      <c r="A16122" s="234"/>
      <c r="B16122" s="233"/>
      <c r="C16122" s="238"/>
      <c r="E16122" s="545"/>
      <c r="F16122" s="546"/>
      <c r="G16122" s="234"/>
      <c r="H16122" s="238"/>
      <c r="I16122" s="237"/>
    </row>
    <row r="16123" spans="1:9" s="232" customFormat="1" ht="17" customHeight="1">
      <c r="A16123" s="234"/>
      <c r="B16123" s="233"/>
      <c r="C16123" s="238"/>
      <c r="E16123" s="545"/>
      <c r="F16123" s="546"/>
      <c r="G16123" s="234"/>
      <c r="H16123" s="238"/>
      <c r="I16123" s="237"/>
    </row>
    <row r="16124" spans="1:9" s="232" customFormat="1" ht="17" customHeight="1">
      <c r="A16124" s="234"/>
      <c r="B16124" s="233"/>
      <c r="C16124" s="238"/>
      <c r="E16124" s="545"/>
      <c r="F16124" s="546"/>
      <c r="G16124" s="234"/>
      <c r="H16124" s="238"/>
      <c r="I16124" s="237"/>
    </row>
    <row r="16125" spans="1:9" s="232" customFormat="1" ht="17" customHeight="1">
      <c r="A16125" s="234"/>
      <c r="B16125" s="233"/>
      <c r="C16125" s="238"/>
      <c r="E16125" s="545"/>
      <c r="F16125" s="546"/>
      <c r="G16125" s="234"/>
      <c r="H16125" s="238"/>
      <c r="I16125" s="237"/>
    </row>
    <row r="16126" spans="1:9" s="232" customFormat="1" ht="17" customHeight="1">
      <c r="A16126" s="234"/>
      <c r="B16126" s="233"/>
      <c r="C16126" s="238"/>
      <c r="E16126" s="545"/>
      <c r="F16126" s="546"/>
      <c r="G16126" s="234"/>
      <c r="H16126" s="238"/>
      <c r="I16126" s="237"/>
    </row>
    <row r="16127" spans="1:9" s="232" customFormat="1" ht="17" customHeight="1">
      <c r="A16127" s="234"/>
      <c r="B16127" s="233"/>
      <c r="C16127" s="238"/>
      <c r="E16127" s="545"/>
      <c r="F16127" s="546"/>
      <c r="G16127" s="234"/>
      <c r="H16127" s="238"/>
      <c r="I16127" s="237"/>
    </row>
    <row r="16128" spans="1:9" s="232" customFormat="1" ht="17" customHeight="1">
      <c r="A16128" s="234"/>
      <c r="B16128" s="233"/>
      <c r="C16128" s="238"/>
      <c r="E16128" s="545"/>
      <c r="F16128" s="546"/>
      <c r="G16128" s="234"/>
      <c r="H16128" s="238"/>
      <c r="I16128" s="237"/>
    </row>
    <row r="16129" spans="1:9" s="232" customFormat="1" ht="17" customHeight="1">
      <c r="A16129" s="234"/>
      <c r="B16129" s="233"/>
      <c r="C16129" s="238"/>
      <c r="E16129" s="545"/>
      <c r="F16129" s="546"/>
      <c r="G16129" s="234"/>
      <c r="H16129" s="238"/>
      <c r="I16129" s="237"/>
    </row>
    <row r="16130" spans="1:9" s="232" customFormat="1" ht="17" customHeight="1">
      <c r="A16130" s="234"/>
      <c r="B16130" s="233"/>
      <c r="C16130" s="238"/>
      <c r="E16130" s="545"/>
      <c r="F16130" s="546"/>
      <c r="G16130" s="234"/>
      <c r="H16130" s="238"/>
      <c r="I16130" s="237"/>
    </row>
    <row r="16131" spans="1:9" s="232" customFormat="1" ht="17" customHeight="1">
      <c r="A16131" s="234"/>
      <c r="B16131" s="233"/>
      <c r="C16131" s="238"/>
      <c r="E16131" s="545"/>
      <c r="F16131" s="546"/>
      <c r="G16131" s="234"/>
      <c r="H16131" s="238"/>
      <c r="I16131" s="237"/>
    </row>
    <row r="16132" spans="1:9" s="232" customFormat="1" ht="17" customHeight="1">
      <c r="A16132" s="234"/>
      <c r="B16132" s="233"/>
      <c r="C16132" s="238"/>
      <c r="E16132" s="545"/>
      <c r="F16132" s="546"/>
      <c r="G16132" s="234"/>
      <c r="H16132" s="238"/>
      <c r="I16132" s="237"/>
    </row>
    <row r="16133" spans="1:9" s="232" customFormat="1" ht="17" customHeight="1">
      <c r="A16133" s="234"/>
      <c r="B16133" s="233"/>
      <c r="C16133" s="238"/>
      <c r="E16133" s="545"/>
      <c r="F16133" s="546"/>
      <c r="G16133" s="234"/>
      <c r="H16133" s="238"/>
      <c r="I16133" s="237"/>
    </row>
    <row r="16134" spans="1:9" s="232" customFormat="1" ht="17" customHeight="1">
      <c r="A16134" s="234"/>
      <c r="B16134" s="233"/>
      <c r="C16134" s="238"/>
      <c r="E16134" s="545"/>
      <c r="F16134" s="546"/>
      <c r="G16134" s="234"/>
      <c r="H16134" s="238"/>
      <c r="I16134" s="237"/>
    </row>
    <row r="16135" spans="1:9" s="232" customFormat="1" ht="17" customHeight="1">
      <c r="A16135" s="234"/>
      <c r="B16135" s="233"/>
      <c r="C16135" s="238"/>
      <c r="E16135" s="545"/>
      <c r="F16135" s="546"/>
      <c r="G16135" s="234"/>
      <c r="H16135" s="238"/>
      <c r="I16135" s="237"/>
    </row>
    <row r="16136" spans="1:9" s="232" customFormat="1" ht="17" customHeight="1">
      <c r="A16136" s="234"/>
      <c r="B16136" s="233"/>
      <c r="C16136" s="238"/>
      <c r="E16136" s="545"/>
      <c r="F16136" s="546"/>
      <c r="G16136" s="234"/>
      <c r="H16136" s="238"/>
      <c r="I16136" s="237"/>
    </row>
    <row r="16137" spans="1:9" s="232" customFormat="1" ht="17" customHeight="1">
      <c r="A16137" s="234"/>
      <c r="B16137" s="233"/>
      <c r="C16137" s="238"/>
      <c r="E16137" s="545"/>
      <c r="F16137" s="546"/>
      <c r="G16137" s="234"/>
      <c r="H16137" s="238"/>
      <c r="I16137" s="237"/>
    </row>
    <row r="16138" spans="1:9" s="232" customFormat="1" ht="17" customHeight="1">
      <c r="A16138" s="234"/>
      <c r="B16138" s="233"/>
      <c r="C16138" s="238"/>
      <c r="E16138" s="545"/>
      <c r="F16138" s="546"/>
      <c r="G16138" s="234"/>
      <c r="H16138" s="238"/>
      <c r="I16138" s="237"/>
    </row>
    <row r="16139" spans="1:9" s="232" customFormat="1" ht="17" customHeight="1">
      <c r="A16139" s="234"/>
      <c r="B16139" s="233"/>
      <c r="C16139" s="238"/>
      <c r="E16139" s="545"/>
      <c r="F16139" s="546"/>
      <c r="G16139" s="234"/>
      <c r="H16139" s="238"/>
      <c r="I16139" s="237"/>
    </row>
    <row r="16140" spans="1:9" s="232" customFormat="1" ht="17" customHeight="1">
      <c r="A16140" s="234"/>
      <c r="B16140" s="233"/>
      <c r="C16140" s="238"/>
      <c r="E16140" s="545"/>
      <c r="F16140" s="546"/>
      <c r="G16140" s="234"/>
      <c r="H16140" s="238"/>
      <c r="I16140" s="237"/>
    </row>
    <row r="16141" spans="1:9" s="232" customFormat="1" ht="17" customHeight="1">
      <c r="A16141" s="234"/>
      <c r="B16141" s="233"/>
      <c r="C16141" s="238"/>
      <c r="E16141" s="545"/>
      <c r="F16141" s="546"/>
      <c r="G16141" s="234"/>
      <c r="H16141" s="238"/>
      <c r="I16141" s="237"/>
    </row>
    <row r="16142" spans="1:9" s="232" customFormat="1" ht="17" customHeight="1">
      <c r="A16142" s="234"/>
      <c r="B16142" s="233"/>
      <c r="C16142" s="238"/>
      <c r="E16142" s="545"/>
      <c r="F16142" s="546"/>
      <c r="G16142" s="234"/>
      <c r="H16142" s="238"/>
      <c r="I16142" s="237"/>
    </row>
    <row r="16143" spans="1:9" s="232" customFormat="1" ht="17" customHeight="1">
      <c r="A16143" s="234"/>
      <c r="B16143" s="233"/>
      <c r="C16143" s="238"/>
      <c r="E16143" s="545"/>
      <c r="F16143" s="546"/>
      <c r="G16143" s="234"/>
      <c r="H16143" s="238"/>
      <c r="I16143" s="237"/>
    </row>
    <row r="16144" spans="1:9" s="232" customFormat="1" ht="17" customHeight="1">
      <c r="A16144" s="234"/>
      <c r="B16144" s="233"/>
      <c r="C16144" s="238"/>
      <c r="E16144" s="545"/>
      <c r="F16144" s="546"/>
      <c r="G16144" s="234"/>
      <c r="H16144" s="238"/>
      <c r="I16144" s="237"/>
    </row>
    <row r="16145" spans="1:9" s="232" customFormat="1" ht="17" customHeight="1">
      <c r="A16145" s="234"/>
      <c r="B16145" s="233"/>
      <c r="C16145" s="238"/>
      <c r="E16145" s="545"/>
      <c r="F16145" s="546"/>
      <c r="G16145" s="234"/>
      <c r="H16145" s="238"/>
      <c r="I16145" s="237"/>
    </row>
    <row r="16146" spans="1:9" s="232" customFormat="1" ht="17" customHeight="1">
      <c r="A16146" s="234"/>
      <c r="B16146" s="233"/>
      <c r="C16146" s="238"/>
      <c r="E16146" s="545"/>
      <c r="F16146" s="546"/>
      <c r="G16146" s="234"/>
      <c r="H16146" s="238"/>
      <c r="I16146" s="237"/>
    </row>
    <row r="16147" spans="1:9" s="232" customFormat="1" ht="17" customHeight="1">
      <c r="A16147" s="234"/>
      <c r="B16147" s="233"/>
      <c r="C16147" s="238"/>
      <c r="E16147" s="545"/>
      <c r="F16147" s="546"/>
      <c r="G16147" s="234"/>
      <c r="H16147" s="238"/>
      <c r="I16147" s="237"/>
    </row>
    <row r="16148" spans="1:9" s="232" customFormat="1" ht="17" customHeight="1">
      <c r="A16148" s="234"/>
      <c r="B16148" s="233"/>
      <c r="C16148" s="238"/>
      <c r="E16148" s="545"/>
      <c r="F16148" s="546"/>
      <c r="G16148" s="234"/>
      <c r="H16148" s="238"/>
      <c r="I16148" s="237"/>
    </row>
    <row r="16149" spans="1:9" s="232" customFormat="1" ht="17" customHeight="1">
      <c r="A16149" s="234"/>
      <c r="B16149" s="233"/>
      <c r="C16149" s="238"/>
      <c r="E16149" s="545"/>
      <c r="F16149" s="546"/>
      <c r="G16149" s="234"/>
      <c r="H16149" s="238"/>
      <c r="I16149" s="237"/>
    </row>
    <row r="16150" spans="1:9" s="232" customFormat="1" ht="17" customHeight="1">
      <c r="A16150" s="234"/>
      <c r="B16150" s="233"/>
      <c r="C16150" s="238"/>
      <c r="E16150" s="545"/>
      <c r="F16150" s="546"/>
      <c r="G16150" s="234"/>
      <c r="H16150" s="238"/>
      <c r="I16150" s="237"/>
    </row>
    <row r="16151" spans="1:9" s="232" customFormat="1" ht="17" customHeight="1">
      <c r="A16151" s="234"/>
      <c r="B16151" s="233"/>
      <c r="C16151" s="238"/>
      <c r="E16151" s="545"/>
      <c r="F16151" s="546"/>
      <c r="G16151" s="234"/>
      <c r="H16151" s="238"/>
      <c r="I16151" s="237"/>
    </row>
    <row r="16152" spans="1:9" s="232" customFormat="1" ht="17" customHeight="1">
      <c r="A16152" s="234"/>
      <c r="B16152" s="233"/>
      <c r="C16152" s="238"/>
      <c r="E16152" s="545"/>
      <c r="F16152" s="546"/>
      <c r="G16152" s="234"/>
      <c r="H16152" s="238"/>
      <c r="I16152" s="237"/>
    </row>
    <row r="16153" spans="1:9" s="232" customFormat="1" ht="17" customHeight="1">
      <c r="A16153" s="234"/>
      <c r="B16153" s="233"/>
      <c r="C16153" s="238"/>
      <c r="E16153" s="545"/>
      <c r="F16153" s="546"/>
      <c r="G16153" s="234"/>
      <c r="H16153" s="238"/>
      <c r="I16153" s="237"/>
    </row>
    <row r="16154" spans="1:9" s="232" customFormat="1" ht="17" customHeight="1">
      <c r="A16154" s="234"/>
      <c r="B16154" s="233"/>
      <c r="C16154" s="238"/>
      <c r="E16154" s="545"/>
      <c r="F16154" s="546"/>
      <c r="G16154" s="234"/>
      <c r="H16154" s="238"/>
      <c r="I16154" s="237"/>
    </row>
    <row r="16155" spans="1:9" s="232" customFormat="1" ht="17" customHeight="1">
      <c r="A16155" s="234"/>
      <c r="B16155" s="233"/>
      <c r="C16155" s="238"/>
      <c r="E16155" s="545"/>
      <c r="F16155" s="546"/>
      <c r="G16155" s="234"/>
      <c r="H16155" s="238"/>
      <c r="I16155" s="237"/>
    </row>
    <row r="16156" spans="1:9" s="232" customFormat="1" ht="17" customHeight="1">
      <c r="A16156" s="234"/>
      <c r="B16156" s="233"/>
      <c r="C16156" s="238"/>
      <c r="E16156" s="545"/>
      <c r="F16156" s="546"/>
      <c r="G16156" s="234"/>
      <c r="H16156" s="238"/>
      <c r="I16156" s="237"/>
    </row>
    <row r="16157" spans="1:9" s="232" customFormat="1" ht="17" customHeight="1">
      <c r="A16157" s="234"/>
      <c r="B16157" s="233"/>
      <c r="C16157" s="238"/>
      <c r="E16157" s="545"/>
      <c r="F16157" s="546"/>
      <c r="G16157" s="234"/>
      <c r="H16157" s="238"/>
      <c r="I16157" s="237"/>
    </row>
    <row r="16158" spans="1:9" s="232" customFormat="1" ht="17" customHeight="1">
      <c r="A16158" s="234"/>
      <c r="B16158" s="233"/>
      <c r="C16158" s="238"/>
      <c r="E16158" s="545"/>
      <c r="F16158" s="546"/>
      <c r="G16158" s="234"/>
      <c r="H16158" s="238"/>
      <c r="I16158" s="237"/>
    </row>
    <row r="16159" spans="1:9" s="232" customFormat="1" ht="17" customHeight="1">
      <c r="A16159" s="234"/>
      <c r="B16159" s="233"/>
      <c r="C16159" s="238"/>
      <c r="E16159" s="545"/>
      <c r="F16159" s="546"/>
      <c r="G16159" s="234"/>
      <c r="H16159" s="238"/>
      <c r="I16159" s="237"/>
    </row>
    <row r="16160" spans="1:9" s="232" customFormat="1" ht="17" customHeight="1">
      <c r="A16160" s="234"/>
      <c r="B16160" s="233"/>
      <c r="C16160" s="238"/>
      <c r="E16160" s="545"/>
      <c r="F16160" s="546"/>
      <c r="G16160" s="234"/>
      <c r="H16160" s="238"/>
      <c r="I16160" s="237"/>
    </row>
    <row r="16161" spans="1:9" s="232" customFormat="1" ht="17" customHeight="1">
      <c r="A16161" s="234"/>
      <c r="B16161" s="233"/>
      <c r="C16161" s="238"/>
      <c r="E16161" s="545"/>
      <c r="F16161" s="546"/>
      <c r="G16161" s="234"/>
      <c r="H16161" s="238"/>
      <c r="I16161" s="237"/>
    </row>
    <row r="16162" spans="1:9" s="232" customFormat="1" ht="17" customHeight="1">
      <c r="A16162" s="234"/>
      <c r="B16162" s="233"/>
      <c r="C16162" s="238"/>
      <c r="E16162" s="545"/>
      <c r="F16162" s="546"/>
      <c r="G16162" s="234"/>
      <c r="H16162" s="238"/>
      <c r="I16162" s="237"/>
    </row>
    <row r="16163" spans="1:9" s="232" customFormat="1" ht="17" customHeight="1">
      <c r="A16163" s="234"/>
      <c r="B16163" s="233"/>
      <c r="C16163" s="238"/>
      <c r="E16163" s="545"/>
      <c r="F16163" s="546"/>
      <c r="G16163" s="234"/>
      <c r="H16163" s="238"/>
      <c r="I16163" s="237"/>
    </row>
    <row r="16164" spans="1:9" s="232" customFormat="1" ht="17" customHeight="1">
      <c r="A16164" s="234"/>
      <c r="B16164" s="233"/>
      <c r="C16164" s="238"/>
      <c r="E16164" s="545"/>
      <c r="F16164" s="546"/>
      <c r="G16164" s="234"/>
      <c r="H16164" s="238"/>
      <c r="I16164" s="237"/>
    </row>
    <row r="16165" spans="1:9" s="232" customFormat="1" ht="17" customHeight="1">
      <c r="A16165" s="234"/>
      <c r="B16165" s="233"/>
      <c r="C16165" s="238"/>
      <c r="E16165" s="545"/>
      <c r="F16165" s="546"/>
      <c r="G16165" s="234"/>
      <c r="H16165" s="238"/>
      <c r="I16165" s="237"/>
    </row>
    <row r="16166" spans="1:9" s="232" customFormat="1" ht="17" customHeight="1">
      <c r="A16166" s="234"/>
      <c r="B16166" s="233"/>
      <c r="C16166" s="238"/>
      <c r="E16166" s="545"/>
      <c r="F16166" s="546"/>
      <c r="G16166" s="234"/>
      <c r="H16166" s="238"/>
      <c r="I16166" s="237"/>
    </row>
    <row r="16167" spans="1:9" s="232" customFormat="1" ht="17" customHeight="1">
      <c r="A16167" s="234"/>
      <c r="B16167" s="233"/>
      <c r="C16167" s="238"/>
      <c r="E16167" s="545"/>
      <c r="F16167" s="546"/>
      <c r="G16167" s="234"/>
      <c r="H16167" s="238"/>
      <c r="I16167" s="237"/>
    </row>
    <row r="16168" spans="1:9" s="232" customFormat="1" ht="17" customHeight="1">
      <c r="A16168" s="234"/>
      <c r="B16168" s="233"/>
      <c r="C16168" s="238"/>
      <c r="E16168" s="545"/>
      <c r="F16168" s="546"/>
      <c r="G16168" s="234"/>
      <c r="H16168" s="238"/>
      <c r="I16168" s="237"/>
    </row>
    <row r="16169" spans="1:9" s="232" customFormat="1" ht="17" customHeight="1">
      <c r="A16169" s="234"/>
      <c r="B16169" s="233"/>
      <c r="C16169" s="238"/>
      <c r="E16169" s="545"/>
      <c r="F16169" s="546"/>
      <c r="G16169" s="234"/>
      <c r="H16169" s="238"/>
      <c r="I16169" s="237"/>
    </row>
    <row r="16170" spans="1:9" s="232" customFormat="1" ht="17" customHeight="1">
      <c r="A16170" s="234"/>
      <c r="B16170" s="233"/>
      <c r="C16170" s="238"/>
      <c r="E16170" s="545"/>
      <c r="F16170" s="546"/>
      <c r="G16170" s="234"/>
      <c r="H16170" s="238"/>
      <c r="I16170" s="237"/>
    </row>
    <row r="16171" spans="1:9" s="232" customFormat="1" ht="17" customHeight="1">
      <c r="A16171" s="234"/>
      <c r="B16171" s="233"/>
      <c r="C16171" s="238"/>
      <c r="E16171" s="545"/>
      <c r="F16171" s="546"/>
      <c r="G16171" s="234"/>
      <c r="H16171" s="238"/>
      <c r="I16171" s="237"/>
    </row>
    <row r="16172" spans="1:9" s="232" customFormat="1" ht="17" customHeight="1">
      <c r="A16172" s="234"/>
      <c r="B16172" s="233"/>
      <c r="C16172" s="238"/>
      <c r="E16172" s="545"/>
      <c r="F16172" s="546"/>
      <c r="G16172" s="234"/>
      <c r="H16172" s="238"/>
      <c r="I16172" s="237"/>
    </row>
    <row r="16173" spans="1:9" s="232" customFormat="1" ht="17" customHeight="1">
      <c r="A16173" s="234"/>
      <c r="B16173" s="233"/>
      <c r="C16173" s="238"/>
      <c r="E16173" s="545"/>
      <c r="F16173" s="546"/>
      <c r="G16173" s="234"/>
      <c r="H16173" s="238"/>
      <c r="I16173" s="237"/>
    </row>
    <row r="16174" spans="1:9" s="232" customFormat="1" ht="17" customHeight="1">
      <c r="A16174" s="234"/>
      <c r="B16174" s="233"/>
      <c r="C16174" s="238"/>
      <c r="E16174" s="545"/>
      <c r="F16174" s="546"/>
      <c r="G16174" s="234"/>
      <c r="H16174" s="238"/>
      <c r="I16174" s="237"/>
    </row>
    <row r="16175" spans="1:9" s="232" customFormat="1" ht="17" customHeight="1">
      <c r="A16175" s="234"/>
      <c r="B16175" s="233"/>
      <c r="C16175" s="238"/>
      <c r="E16175" s="545"/>
      <c r="F16175" s="546"/>
      <c r="G16175" s="234"/>
      <c r="H16175" s="238"/>
      <c r="I16175" s="237"/>
    </row>
    <row r="16176" spans="1:9" s="232" customFormat="1" ht="17" customHeight="1">
      <c r="A16176" s="234"/>
      <c r="B16176" s="233"/>
      <c r="C16176" s="238"/>
      <c r="E16176" s="545"/>
      <c r="F16176" s="546"/>
      <c r="G16176" s="234"/>
      <c r="H16176" s="238"/>
      <c r="I16176" s="237"/>
    </row>
    <row r="16177" spans="1:9" s="232" customFormat="1" ht="17" customHeight="1">
      <c r="A16177" s="234"/>
      <c r="B16177" s="233"/>
      <c r="C16177" s="238"/>
      <c r="E16177" s="545"/>
      <c r="F16177" s="546"/>
      <c r="G16177" s="234"/>
      <c r="H16177" s="238"/>
      <c r="I16177" s="237"/>
    </row>
    <row r="16178" spans="1:9" s="232" customFormat="1" ht="17" customHeight="1">
      <c r="A16178" s="234"/>
      <c r="B16178" s="233"/>
      <c r="C16178" s="238"/>
      <c r="E16178" s="545"/>
      <c r="F16178" s="546"/>
      <c r="G16178" s="234"/>
      <c r="H16178" s="238"/>
      <c r="I16178" s="237"/>
    </row>
    <row r="16179" spans="1:9" s="232" customFormat="1" ht="17" customHeight="1">
      <c r="A16179" s="234"/>
      <c r="B16179" s="233"/>
      <c r="C16179" s="238"/>
      <c r="E16179" s="545"/>
      <c r="F16179" s="546"/>
      <c r="G16179" s="234"/>
      <c r="H16179" s="238"/>
      <c r="I16179" s="237"/>
    </row>
    <row r="16180" spans="1:9" s="232" customFormat="1" ht="17" customHeight="1">
      <c r="A16180" s="234"/>
      <c r="B16180" s="233"/>
      <c r="C16180" s="238"/>
      <c r="E16180" s="545"/>
      <c r="F16180" s="546"/>
      <c r="G16180" s="234"/>
      <c r="H16180" s="238"/>
      <c r="I16180" s="237"/>
    </row>
    <row r="16181" spans="1:9" s="232" customFormat="1" ht="17" customHeight="1">
      <c r="A16181" s="234"/>
      <c r="B16181" s="233"/>
      <c r="C16181" s="238"/>
      <c r="E16181" s="545"/>
      <c r="F16181" s="546"/>
      <c r="G16181" s="234"/>
      <c r="H16181" s="238"/>
      <c r="I16181" s="237"/>
    </row>
    <row r="16182" spans="1:9" s="232" customFormat="1" ht="17" customHeight="1">
      <c r="A16182" s="234"/>
      <c r="B16182" s="233"/>
      <c r="C16182" s="238"/>
      <c r="E16182" s="545"/>
      <c r="F16182" s="546"/>
      <c r="G16182" s="234"/>
      <c r="H16182" s="238"/>
      <c r="I16182" s="237"/>
    </row>
    <row r="16183" spans="1:9" s="232" customFormat="1" ht="17" customHeight="1">
      <c r="A16183" s="234"/>
      <c r="B16183" s="233"/>
      <c r="C16183" s="238"/>
      <c r="E16183" s="545"/>
      <c r="F16183" s="546"/>
      <c r="G16183" s="234"/>
      <c r="H16183" s="238"/>
      <c r="I16183" s="237"/>
    </row>
    <row r="16184" spans="1:9" s="232" customFormat="1" ht="17" customHeight="1">
      <c r="A16184" s="234"/>
      <c r="B16184" s="233"/>
      <c r="C16184" s="238"/>
      <c r="E16184" s="545"/>
      <c r="F16184" s="546"/>
      <c r="G16184" s="234"/>
      <c r="H16184" s="238"/>
      <c r="I16184" s="237"/>
    </row>
    <row r="16185" spans="1:9" s="232" customFormat="1" ht="17" customHeight="1">
      <c r="A16185" s="234"/>
      <c r="B16185" s="233"/>
      <c r="C16185" s="238"/>
      <c r="E16185" s="545"/>
      <c r="F16185" s="546"/>
      <c r="G16185" s="234"/>
      <c r="H16185" s="238"/>
      <c r="I16185" s="237"/>
    </row>
    <row r="16186" spans="1:9" s="232" customFormat="1" ht="17" customHeight="1">
      <c r="A16186" s="234"/>
      <c r="B16186" s="233"/>
      <c r="C16186" s="238"/>
      <c r="E16186" s="545"/>
      <c r="F16186" s="546"/>
      <c r="G16186" s="234"/>
      <c r="H16186" s="238"/>
      <c r="I16186" s="237"/>
    </row>
    <row r="16187" spans="1:9" s="232" customFormat="1" ht="17" customHeight="1">
      <c r="A16187" s="234"/>
      <c r="B16187" s="233"/>
      <c r="C16187" s="238"/>
      <c r="E16187" s="545"/>
      <c r="F16187" s="546"/>
      <c r="G16187" s="234"/>
      <c r="H16187" s="238"/>
      <c r="I16187" s="237"/>
    </row>
    <row r="16188" spans="1:9" s="232" customFormat="1" ht="17" customHeight="1">
      <c r="A16188" s="234"/>
      <c r="B16188" s="233"/>
      <c r="C16188" s="238"/>
      <c r="E16188" s="545"/>
      <c r="F16188" s="546"/>
      <c r="G16188" s="234"/>
      <c r="H16188" s="238"/>
      <c r="I16188" s="237"/>
    </row>
    <row r="16189" spans="1:9" s="232" customFormat="1" ht="17" customHeight="1">
      <c r="A16189" s="234"/>
      <c r="B16189" s="233"/>
      <c r="C16189" s="238"/>
      <c r="E16189" s="545"/>
      <c r="F16189" s="546"/>
      <c r="G16189" s="234"/>
      <c r="H16189" s="238"/>
      <c r="I16189" s="237"/>
    </row>
    <row r="16190" spans="1:9" s="232" customFormat="1" ht="17" customHeight="1">
      <c r="A16190" s="234"/>
      <c r="B16190" s="233"/>
      <c r="C16190" s="238"/>
      <c r="E16190" s="545"/>
      <c r="F16190" s="546"/>
      <c r="G16190" s="234"/>
      <c r="H16190" s="238"/>
      <c r="I16190" s="237"/>
    </row>
    <row r="16191" spans="1:9" s="232" customFormat="1" ht="17" customHeight="1">
      <c r="A16191" s="234"/>
      <c r="B16191" s="233"/>
      <c r="C16191" s="238"/>
      <c r="E16191" s="545"/>
      <c r="F16191" s="546"/>
      <c r="G16191" s="234"/>
      <c r="H16191" s="238"/>
      <c r="I16191" s="237"/>
    </row>
    <row r="16192" spans="1:9" s="232" customFormat="1" ht="17" customHeight="1">
      <c r="A16192" s="234"/>
      <c r="B16192" s="233"/>
      <c r="C16192" s="238"/>
      <c r="E16192" s="545"/>
      <c r="F16192" s="546"/>
      <c r="G16192" s="234"/>
      <c r="H16192" s="238"/>
      <c r="I16192" s="237"/>
    </row>
    <row r="16193" spans="1:9" s="232" customFormat="1" ht="17" customHeight="1">
      <c r="A16193" s="234"/>
      <c r="B16193" s="233"/>
      <c r="C16193" s="238"/>
      <c r="E16193" s="545"/>
      <c r="F16193" s="546"/>
      <c r="G16193" s="234"/>
      <c r="H16193" s="238"/>
      <c r="I16193" s="237"/>
    </row>
    <row r="16194" spans="1:9" s="232" customFormat="1" ht="17" customHeight="1">
      <c r="A16194" s="234"/>
      <c r="B16194" s="233"/>
      <c r="C16194" s="238"/>
      <c r="E16194" s="545"/>
      <c r="F16194" s="546"/>
      <c r="G16194" s="234"/>
      <c r="H16194" s="238"/>
      <c r="I16194" s="237"/>
    </row>
    <row r="16195" spans="1:9" s="232" customFormat="1" ht="17" customHeight="1">
      <c r="A16195" s="234"/>
      <c r="B16195" s="233"/>
      <c r="C16195" s="238"/>
      <c r="E16195" s="545"/>
      <c r="F16195" s="546"/>
      <c r="G16195" s="234"/>
      <c r="H16195" s="238"/>
      <c r="I16195" s="237"/>
    </row>
    <row r="16196" spans="1:9" s="232" customFormat="1" ht="17" customHeight="1">
      <c r="A16196" s="234"/>
      <c r="B16196" s="233"/>
      <c r="C16196" s="238"/>
      <c r="E16196" s="545"/>
      <c r="F16196" s="546"/>
      <c r="G16196" s="234"/>
      <c r="H16196" s="238"/>
      <c r="I16196" s="237"/>
    </row>
    <row r="16197" spans="1:9" s="232" customFormat="1" ht="17" customHeight="1">
      <c r="A16197" s="234"/>
      <c r="B16197" s="233"/>
      <c r="C16197" s="238"/>
      <c r="E16197" s="545"/>
      <c r="F16197" s="546"/>
      <c r="G16197" s="234"/>
      <c r="H16197" s="238"/>
      <c r="I16197" s="237"/>
    </row>
    <row r="16198" spans="1:9" s="232" customFormat="1" ht="17" customHeight="1">
      <c r="A16198" s="234"/>
      <c r="B16198" s="233"/>
      <c r="C16198" s="238"/>
      <c r="E16198" s="545"/>
      <c r="F16198" s="546"/>
      <c r="G16198" s="234"/>
      <c r="H16198" s="238"/>
      <c r="I16198" s="237"/>
    </row>
    <row r="16199" spans="1:9" s="232" customFormat="1" ht="17" customHeight="1">
      <c r="A16199" s="234"/>
      <c r="B16199" s="233"/>
      <c r="C16199" s="238"/>
      <c r="E16199" s="545"/>
      <c r="F16199" s="546"/>
      <c r="G16199" s="234"/>
      <c r="H16199" s="238"/>
      <c r="I16199" s="237"/>
    </row>
    <row r="16200" spans="1:9" s="232" customFormat="1" ht="17" customHeight="1">
      <c r="A16200" s="234"/>
      <c r="B16200" s="233"/>
      <c r="C16200" s="238"/>
      <c r="E16200" s="545"/>
      <c r="F16200" s="546"/>
      <c r="G16200" s="234"/>
      <c r="H16200" s="238"/>
      <c r="I16200" s="237"/>
    </row>
    <row r="16201" spans="1:9" s="232" customFormat="1" ht="17" customHeight="1">
      <c r="A16201" s="234"/>
      <c r="B16201" s="233"/>
      <c r="C16201" s="238"/>
      <c r="E16201" s="545"/>
      <c r="F16201" s="546"/>
      <c r="G16201" s="234"/>
      <c r="H16201" s="238"/>
      <c r="I16201" s="237"/>
    </row>
    <row r="16202" spans="1:9" s="232" customFormat="1" ht="17" customHeight="1">
      <c r="A16202" s="234"/>
      <c r="B16202" s="233"/>
      <c r="C16202" s="238"/>
      <c r="E16202" s="545"/>
      <c r="F16202" s="546"/>
      <c r="G16202" s="234"/>
      <c r="H16202" s="238"/>
      <c r="I16202" s="237"/>
    </row>
    <row r="16203" spans="1:9" s="232" customFormat="1" ht="17" customHeight="1">
      <c r="A16203" s="234"/>
      <c r="B16203" s="233"/>
      <c r="C16203" s="238"/>
      <c r="E16203" s="545"/>
      <c r="F16203" s="546"/>
      <c r="G16203" s="234"/>
      <c r="H16203" s="238"/>
      <c r="I16203" s="237"/>
    </row>
    <row r="16204" spans="1:9" s="232" customFormat="1" ht="17" customHeight="1">
      <c r="A16204" s="234"/>
      <c r="B16204" s="233"/>
      <c r="C16204" s="238"/>
      <c r="E16204" s="545"/>
      <c r="F16204" s="546"/>
      <c r="G16204" s="234"/>
      <c r="H16204" s="238"/>
      <c r="I16204" s="237"/>
    </row>
    <row r="16205" spans="1:9" s="232" customFormat="1" ht="17" customHeight="1">
      <c r="A16205" s="234"/>
      <c r="B16205" s="233"/>
      <c r="C16205" s="238"/>
      <c r="E16205" s="545"/>
      <c r="F16205" s="546"/>
      <c r="G16205" s="234"/>
      <c r="H16205" s="238"/>
      <c r="I16205" s="237"/>
    </row>
    <row r="16206" spans="1:9" s="232" customFormat="1" ht="17" customHeight="1">
      <c r="A16206" s="234"/>
      <c r="B16206" s="233"/>
      <c r="C16206" s="238"/>
      <c r="E16206" s="545"/>
      <c r="F16206" s="546"/>
      <c r="G16206" s="234"/>
      <c r="H16206" s="238"/>
      <c r="I16206" s="237"/>
    </row>
    <row r="16207" spans="1:9" s="232" customFormat="1" ht="17" customHeight="1">
      <c r="A16207" s="234"/>
      <c r="B16207" s="233"/>
      <c r="C16207" s="238"/>
      <c r="E16207" s="545"/>
      <c r="F16207" s="546"/>
      <c r="G16207" s="234"/>
      <c r="H16207" s="238"/>
      <c r="I16207" s="237"/>
    </row>
    <row r="16208" spans="1:9" s="232" customFormat="1" ht="17" customHeight="1">
      <c r="A16208" s="234"/>
      <c r="B16208" s="233"/>
      <c r="C16208" s="238"/>
      <c r="E16208" s="545"/>
      <c r="F16208" s="546"/>
      <c r="G16208" s="234"/>
      <c r="H16208" s="238"/>
      <c r="I16208" s="237"/>
    </row>
    <row r="16209" spans="1:9" s="232" customFormat="1" ht="17" customHeight="1">
      <c r="A16209" s="234"/>
      <c r="B16209" s="233"/>
      <c r="C16209" s="238"/>
      <c r="E16209" s="545"/>
      <c r="F16209" s="546"/>
      <c r="G16209" s="234"/>
      <c r="H16209" s="238"/>
      <c r="I16209" s="237"/>
    </row>
    <row r="16210" spans="1:9" s="232" customFormat="1" ht="17" customHeight="1">
      <c r="A16210" s="234"/>
      <c r="B16210" s="233"/>
      <c r="C16210" s="238"/>
      <c r="E16210" s="545"/>
      <c r="F16210" s="546"/>
      <c r="G16210" s="234"/>
      <c r="H16210" s="238"/>
      <c r="I16210" s="237"/>
    </row>
    <row r="16211" spans="1:9" s="232" customFormat="1" ht="17" customHeight="1">
      <c r="A16211" s="234"/>
      <c r="B16211" s="233"/>
      <c r="C16211" s="238"/>
      <c r="E16211" s="545"/>
      <c r="F16211" s="546"/>
      <c r="G16211" s="234"/>
      <c r="H16211" s="238"/>
      <c r="I16211" s="237"/>
    </row>
    <row r="16212" spans="1:9" s="232" customFormat="1" ht="17" customHeight="1">
      <c r="A16212" s="234"/>
      <c r="B16212" s="233"/>
      <c r="C16212" s="238"/>
      <c r="E16212" s="545"/>
      <c r="F16212" s="546"/>
      <c r="G16212" s="234"/>
      <c r="H16212" s="238"/>
      <c r="I16212" s="237"/>
    </row>
    <row r="16213" spans="1:9" s="232" customFormat="1" ht="17" customHeight="1">
      <c r="A16213" s="234"/>
      <c r="B16213" s="233"/>
      <c r="C16213" s="238"/>
      <c r="E16213" s="545"/>
      <c r="F16213" s="546"/>
      <c r="G16213" s="234"/>
      <c r="H16213" s="238"/>
      <c r="I16213" s="237"/>
    </row>
    <row r="16214" spans="1:9" s="232" customFormat="1" ht="17" customHeight="1">
      <c r="A16214" s="234"/>
      <c r="B16214" s="233"/>
      <c r="C16214" s="238"/>
      <c r="E16214" s="545"/>
      <c r="F16214" s="546"/>
      <c r="G16214" s="234"/>
      <c r="H16214" s="238"/>
      <c r="I16214" s="237"/>
    </row>
    <row r="16215" spans="1:9" s="232" customFormat="1" ht="17" customHeight="1">
      <c r="A16215" s="234"/>
      <c r="B16215" s="233"/>
      <c r="C16215" s="238"/>
      <c r="E16215" s="545"/>
      <c r="F16215" s="546"/>
      <c r="G16215" s="234"/>
      <c r="H16215" s="238"/>
      <c r="I16215" s="237"/>
    </row>
    <row r="16216" spans="1:9" s="232" customFormat="1" ht="17" customHeight="1">
      <c r="A16216" s="234"/>
      <c r="B16216" s="233"/>
      <c r="C16216" s="238"/>
      <c r="E16216" s="545"/>
      <c r="F16216" s="546"/>
      <c r="G16216" s="234"/>
      <c r="H16216" s="238"/>
      <c r="I16216" s="237"/>
    </row>
    <row r="16217" spans="1:9" s="232" customFormat="1" ht="17" customHeight="1">
      <c r="A16217" s="234"/>
      <c r="B16217" s="233"/>
      <c r="C16217" s="238"/>
      <c r="E16217" s="545"/>
      <c r="F16217" s="546"/>
      <c r="G16217" s="234"/>
      <c r="H16217" s="238"/>
      <c r="I16217" s="237"/>
    </row>
    <row r="16218" spans="1:9" s="232" customFormat="1" ht="17" customHeight="1">
      <c r="A16218" s="234"/>
      <c r="B16218" s="233"/>
      <c r="C16218" s="238"/>
      <c r="E16218" s="545"/>
      <c r="F16218" s="546"/>
      <c r="G16218" s="234"/>
      <c r="H16218" s="238"/>
      <c r="I16218" s="237"/>
    </row>
    <row r="16219" spans="1:9" s="232" customFormat="1" ht="17" customHeight="1">
      <c r="A16219" s="234"/>
      <c r="B16219" s="233"/>
      <c r="C16219" s="238"/>
      <c r="E16219" s="545"/>
      <c r="F16219" s="546"/>
      <c r="G16219" s="234"/>
      <c r="H16219" s="238"/>
      <c r="I16219" s="237"/>
    </row>
    <row r="16220" spans="1:9" s="232" customFormat="1" ht="17" customHeight="1">
      <c r="A16220" s="234"/>
      <c r="B16220" s="233"/>
      <c r="C16220" s="238"/>
      <c r="E16220" s="545"/>
      <c r="F16220" s="546"/>
      <c r="G16220" s="234"/>
      <c r="H16220" s="238"/>
      <c r="I16220" s="237"/>
    </row>
    <row r="16221" spans="1:9" s="232" customFormat="1" ht="17" customHeight="1">
      <c r="A16221" s="234"/>
      <c r="B16221" s="233"/>
      <c r="C16221" s="238"/>
      <c r="E16221" s="545"/>
      <c r="F16221" s="546"/>
      <c r="G16221" s="234"/>
      <c r="H16221" s="238"/>
      <c r="I16221" s="237"/>
    </row>
    <row r="16222" spans="1:9" s="232" customFormat="1" ht="17" customHeight="1">
      <c r="A16222" s="234"/>
      <c r="B16222" s="233"/>
      <c r="C16222" s="238"/>
      <c r="E16222" s="545"/>
      <c r="F16222" s="546"/>
      <c r="G16222" s="234"/>
      <c r="H16222" s="238"/>
      <c r="I16222" s="237"/>
    </row>
    <row r="16223" spans="1:9" s="232" customFormat="1" ht="17" customHeight="1">
      <c r="A16223" s="234"/>
      <c r="B16223" s="233"/>
      <c r="C16223" s="238"/>
      <c r="E16223" s="545"/>
      <c r="F16223" s="546"/>
      <c r="G16223" s="234"/>
      <c r="H16223" s="238"/>
      <c r="I16223" s="237"/>
    </row>
    <row r="16224" spans="1:9" s="232" customFormat="1" ht="17" customHeight="1">
      <c r="A16224" s="234"/>
      <c r="B16224" s="233"/>
      <c r="C16224" s="238"/>
      <c r="E16224" s="545"/>
      <c r="F16224" s="546"/>
      <c r="G16224" s="234"/>
      <c r="H16224" s="238"/>
      <c r="I16224" s="237"/>
    </row>
    <row r="16225" spans="1:9" s="232" customFormat="1" ht="17" customHeight="1">
      <c r="A16225" s="234"/>
      <c r="B16225" s="233"/>
      <c r="C16225" s="238"/>
      <c r="E16225" s="545"/>
      <c r="F16225" s="546"/>
      <c r="G16225" s="234"/>
      <c r="H16225" s="238"/>
      <c r="I16225" s="237"/>
    </row>
    <row r="16226" spans="1:9" s="232" customFormat="1" ht="17" customHeight="1">
      <c r="A16226" s="234"/>
      <c r="B16226" s="233"/>
      <c r="C16226" s="238"/>
      <c r="E16226" s="545"/>
      <c r="F16226" s="546"/>
      <c r="G16226" s="234"/>
      <c r="H16226" s="238"/>
      <c r="I16226" s="237"/>
    </row>
    <row r="16227" spans="1:9" s="232" customFormat="1" ht="17" customHeight="1">
      <c r="A16227" s="234"/>
      <c r="B16227" s="233"/>
      <c r="C16227" s="238"/>
      <c r="E16227" s="545"/>
      <c r="F16227" s="546"/>
      <c r="G16227" s="234"/>
      <c r="H16227" s="238"/>
      <c r="I16227" s="237"/>
    </row>
    <row r="16228" spans="1:9" s="232" customFormat="1" ht="17" customHeight="1">
      <c r="A16228" s="234"/>
      <c r="B16228" s="233"/>
      <c r="C16228" s="238"/>
      <c r="E16228" s="545"/>
      <c r="F16228" s="546"/>
      <c r="G16228" s="234"/>
      <c r="H16228" s="238"/>
      <c r="I16228" s="237"/>
    </row>
    <row r="16229" spans="1:9" s="232" customFormat="1" ht="17" customHeight="1">
      <c r="A16229" s="234"/>
      <c r="B16229" s="233"/>
      <c r="C16229" s="238"/>
      <c r="E16229" s="545"/>
      <c r="F16229" s="546"/>
      <c r="G16229" s="234"/>
      <c r="H16229" s="238"/>
      <c r="I16229" s="237"/>
    </row>
    <row r="16230" spans="1:9" s="232" customFormat="1" ht="17" customHeight="1">
      <c r="A16230" s="234"/>
      <c r="B16230" s="233"/>
      <c r="C16230" s="238"/>
      <c r="E16230" s="545"/>
      <c r="F16230" s="546"/>
      <c r="G16230" s="234"/>
      <c r="H16230" s="238"/>
      <c r="I16230" s="237"/>
    </row>
    <row r="16231" spans="1:9" s="232" customFormat="1" ht="17" customHeight="1">
      <c r="A16231" s="234"/>
      <c r="B16231" s="233"/>
      <c r="C16231" s="238"/>
      <c r="E16231" s="545"/>
      <c r="F16231" s="546"/>
      <c r="G16231" s="234"/>
      <c r="H16231" s="238"/>
      <c r="I16231" s="237"/>
    </row>
    <row r="16232" spans="1:9" s="232" customFormat="1" ht="17" customHeight="1">
      <c r="A16232" s="234"/>
      <c r="B16232" s="233"/>
      <c r="C16232" s="238"/>
      <c r="E16232" s="545"/>
      <c r="F16232" s="546"/>
      <c r="G16232" s="234"/>
      <c r="H16232" s="238"/>
      <c r="I16232" s="237"/>
    </row>
    <row r="16233" spans="1:9" s="232" customFormat="1" ht="17" customHeight="1">
      <c r="A16233" s="234"/>
      <c r="B16233" s="233"/>
      <c r="C16233" s="238"/>
      <c r="E16233" s="545"/>
      <c r="F16233" s="546"/>
      <c r="G16233" s="234"/>
      <c r="H16233" s="238"/>
      <c r="I16233" s="237"/>
    </row>
    <row r="16234" spans="1:9" s="232" customFormat="1" ht="17" customHeight="1">
      <c r="A16234" s="234"/>
      <c r="B16234" s="233"/>
      <c r="C16234" s="238"/>
      <c r="E16234" s="545"/>
      <c r="F16234" s="546"/>
      <c r="G16234" s="234"/>
      <c r="H16234" s="238"/>
      <c r="I16234" s="237"/>
    </row>
    <row r="16235" spans="1:9" s="232" customFormat="1" ht="17" customHeight="1">
      <c r="A16235" s="234"/>
      <c r="B16235" s="233"/>
      <c r="C16235" s="238"/>
      <c r="E16235" s="545"/>
      <c r="F16235" s="546"/>
      <c r="G16235" s="234"/>
      <c r="H16235" s="238"/>
      <c r="I16235" s="237"/>
    </row>
    <row r="16236" spans="1:9" s="232" customFormat="1" ht="17" customHeight="1">
      <c r="A16236" s="234"/>
      <c r="B16236" s="233"/>
      <c r="C16236" s="238"/>
      <c r="E16236" s="545"/>
      <c r="F16236" s="546"/>
      <c r="G16236" s="234"/>
      <c r="H16236" s="238"/>
      <c r="I16236" s="237"/>
    </row>
    <row r="16237" spans="1:9" s="232" customFormat="1" ht="17" customHeight="1">
      <c r="A16237" s="234"/>
      <c r="B16237" s="233"/>
      <c r="C16237" s="238"/>
      <c r="E16237" s="545"/>
      <c r="F16237" s="546"/>
      <c r="G16237" s="234"/>
      <c r="H16237" s="238"/>
      <c r="I16237" s="237"/>
    </row>
    <row r="16238" spans="1:9" s="232" customFormat="1" ht="17" customHeight="1">
      <c r="A16238" s="234"/>
      <c r="B16238" s="233"/>
      <c r="C16238" s="238"/>
      <c r="E16238" s="545"/>
      <c r="F16238" s="546"/>
      <c r="G16238" s="234"/>
      <c r="H16238" s="238"/>
      <c r="I16238" s="237"/>
    </row>
    <row r="16239" spans="1:9" s="232" customFormat="1" ht="17" customHeight="1">
      <c r="A16239" s="234"/>
      <c r="B16239" s="233"/>
      <c r="C16239" s="238"/>
      <c r="E16239" s="545"/>
      <c r="F16239" s="546"/>
      <c r="G16239" s="234"/>
      <c r="H16239" s="238"/>
      <c r="I16239" s="237"/>
    </row>
    <row r="16240" spans="1:9" s="232" customFormat="1" ht="17" customHeight="1">
      <c r="A16240" s="234"/>
      <c r="B16240" s="233"/>
      <c r="C16240" s="238"/>
      <c r="E16240" s="545"/>
      <c r="F16240" s="546"/>
      <c r="G16240" s="234"/>
      <c r="H16240" s="238"/>
      <c r="I16240" s="237"/>
    </row>
    <row r="16241" spans="1:9" s="232" customFormat="1" ht="17" customHeight="1">
      <c r="A16241" s="234"/>
      <c r="B16241" s="233"/>
      <c r="C16241" s="238"/>
      <c r="E16241" s="545"/>
      <c r="F16241" s="546"/>
      <c r="G16241" s="234"/>
      <c r="H16241" s="238"/>
      <c r="I16241" s="237"/>
    </row>
    <row r="16242" spans="1:9" s="232" customFormat="1" ht="17" customHeight="1">
      <c r="A16242" s="234"/>
      <c r="B16242" s="233"/>
      <c r="C16242" s="238"/>
      <c r="E16242" s="545"/>
      <c r="F16242" s="546"/>
      <c r="G16242" s="234"/>
      <c r="H16242" s="238"/>
      <c r="I16242" s="237"/>
    </row>
    <row r="16243" spans="1:9" s="232" customFormat="1" ht="17" customHeight="1">
      <c r="A16243" s="234"/>
      <c r="B16243" s="233"/>
      <c r="C16243" s="238"/>
      <c r="E16243" s="545"/>
      <c r="F16243" s="546"/>
      <c r="G16243" s="234"/>
      <c r="H16243" s="238"/>
      <c r="I16243" s="237"/>
    </row>
    <row r="16244" spans="1:9" s="232" customFormat="1" ht="17" customHeight="1">
      <c r="A16244" s="234"/>
      <c r="B16244" s="233"/>
      <c r="C16244" s="238"/>
      <c r="E16244" s="545"/>
      <c r="F16244" s="546"/>
      <c r="G16244" s="234"/>
      <c r="H16244" s="238"/>
      <c r="I16244" s="237"/>
    </row>
    <row r="16245" spans="1:9" s="232" customFormat="1" ht="17" customHeight="1">
      <c r="A16245" s="234"/>
      <c r="B16245" s="233"/>
      <c r="C16245" s="238"/>
      <c r="E16245" s="545"/>
      <c r="F16245" s="546"/>
      <c r="G16245" s="234"/>
      <c r="H16245" s="238"/>
      <c r="I16245" s="237"/>
    </row>
    <row r="16246" spans="1:9" s="232" customFormat="1" ht="17" customHeight="1">
      <c r="A16246" s="234"/>
      <c r="B16246" s="233"/>
      <c r="C16246" s="238"/>
      <c r="E16246" s="545"/>
      <c r="F16246" s="546"/>
      <c r="G16246" s="234"/>
      <c r="H16246" s="238"/>
      <c r="I16246" s="237"/>
    </row>
    <row r="16247" spans="1:9" s="232" customFormat="1" ht="17" customHeight="1">
      <c r="A16247" s="234"/>
      <c r="B16247" s="233"/>
      <c r="C16247" s="238"/>
      <c r="E16247" s="545"/>
      <c r="F16247" s="546"/>
      <c r="G16247" s="234"/>
      <c r="H16247" s="238"/>
      <c r="I16247" s="237"/>
    </row>
    <row r="16248" spans="1:9" s="232" customFormat="1" ht="17" customHeight="1">
      <c r="A16248" s="234"/>
      <c r="B16248" s="233"/>
      <c r="C16248" s="238"/>
      <c r="E16248" s="545"/>
      <c r="F16248" s="546"/>
      <c r="G16248" s="234"/>
      <c r="H16248" s="238"/>
      <c r="I16248" s="237"/>
    </row>
    <row r="16249" spans="1:9" s="232" customFormat="1" ht="17" customHeight="1">
      <c r="A16249" s="234"/>
      <c r="B16249" s="233"/>
      <c r="C16249" s="238"/>
      <c r="E16249" s="545"/>
      <c r="F16249" s="546"/>
      <c r="G16249" s="234"/>
      <c r="H16249" s="238"/>
      <c r="I16249" s="237"/>
    </row>
    <row r="16250" spans="1:9" s="232" customFormat="1" ht="17" customHeight="1">
      <c r="A16250" s="234"/>
      <c r="B16250" s="233"/>
      <c r="C16250" s="238"/>
      <c r="E16250" s="545"/>
      <c r="F16250" s="546"/>
      <c r="G16250" s="234"/>
      <c r="H16250" s="238"/>
      <c r="I16250" s="237"/>
    </row>
    <row r="16251" spans="1:9" s="232" customFormat="1" ht="17" customHeight="1">
      <c r="A16251" s="234"/>
      <c r="B16251" s="233"/>
      <c r="C16251" s="238"/>
      <c r="E16251" s="545"/>
      <c r="F16251" s="546"/>
      <c r="G16251" s="234"/>
      <c r="H16251" s="238"/>
      <c r="I16251" s="237"/>
    </row>
    <row r="16252" spans="1:9" s="232" customFormat="1" ht="17" customHeight="1">
      <c r="A16252" s="234"/>
      <c r="B16252" s="233"/>
      <c r="C16252" s="238"/>
      <c r="E16252" s="545"/>
      <c r="F16252" s="546"/>
      <c r="G16252" s="234"/>
      <c r="H16252" s="238"/>
      <c r="I16252" s="237"/>
    </row>
    <row r="16253" spans="1:9" s="232" customFormat="1" ht="17" customHeight="1">
      <c r="A16253" s="234"/>
      <c r="B16253" s="233"/>
      <c r="C16253" s="238"/>
      <c r="E16253" s="545"/>
      <c r="F16253" s="546"/>
      <c r="G16253" s="234"/>
      <c r="H16253" s="238"/>
      <c r="I16253" s="237"/>
    </row>
    <row r="16254" spans="1:9" s="232" customFormat="1" ht="17" customHeight="1">
      <c r="A16254" s="234"/>
      <c r="B16254" s="233"/>
      <c r="C16254" s="238"/>
      <c r="E16254" s="545"/>
      <c r="F16254" s="546"/>
      <c r="G16254" s="234"/>
      <c r="H16254" s="238"/>
      <c r="I16254" s="237"/>
    </row>
    <row r="16255" spans="1:9" s="232" customFormat="1" ht="17" customHeight="1">
      <c r="A16255" s="234"/>
      <c r="B16255" s="233"/>
      <c r="C16255" s="238"/>
      <c r="E16255" s="545"/>
      <c r="F16255" s="546"/>
      <c r="G16255" s="234"/>
      <c r="H16255" s="238"/>
      <c r="I16255" s="237"/>
    </row>
    <row r="16256" spans="1:9" s="232" customFormat="1" ht="17" customHeight="1">
      <c r="A16256" s="234"/>
      <c r="B16256" s="233"/>
      <c r="C16256" s="238"/>
      <c r="E16256" s="545"/>
      <c r="F16256" s="546"/>
      <c r="G16256" s="234"/>
      <c r="H16256" s="238"/>
      <c r="I16256" s="237"/>
    </row>
    <row r="16257" spans="1:9" s="232" customFormat="1" ht="17" customHeight="1">
      <c r="A16257" s="234"/>
      <c r="B16257" s="233"/>
      <c r="C16257" s="238"/>
      <c r="E16257" s="545"/>
      <c r="F16257" s="546"/>
      <c r="G16257" s="234"/>
      <c r="H16257" s="238"/>
      <c r="I16257" s="237"/>
    </row>
    <row r="16258" spans="1:9" s="232" customFormat="1" ht="17" customHeight="1">
      <c r="A16258" s="234"/>
      <c r="B16258" s="233"/>
      <c r="C16258" s="238"/>
      <c r="E16258" s="545"/>
      <c r="F16258" s="546"/>
      <c r="G16258" s="234"/>
      <c r="H16258" s="238"/>
      <c r="I16258" s="237"/>
    </row>
    <row r="16259" spans="1:9" s="232" customFormat="1" ht="17" customHeight="1">
      <c r="A16259" s="234"/>
      <c r="B16259" s="233"/>
      <c r="C16259" s="238"/>
      <c r="E16259" s="545"/>
      <c r="F16259" s="546"/>
      <c r="G16259" s="234"/>
      <c r="H16259" s="238"/>
      <c r="I16259" s="237"/>
    </row>
    <row r="16260" spans="1:9" s="232" customFormat="1" ht="17" customHeight="1">
      <c r="A16260" s="234"/>
      <c r="B16260" s="233"/>
      <c r="C16260" s="238"/>
      <c r="E16260" s="545"/>
      <c r="F16260" s="546"/>
      <c r="G16260" s="234"/>
      <c r="H16260" s="238"/>
      <c r="I16260" s="237"/>
    </row>
    <row r="16261" spans="1:9" s="232" customFormat="1" ht="17" customHeight="1">
      <c r="A16261" s="234"/>
      <c r="B16261" s="233"/>
      <c r="C16261" s="238"/>
      <c r="E16261" s="545"/>
      <c r="F16261" s="546"/>
      <c r="G16261" s="234"/>
      <c r="H16261" s="238"/>
      <c r="I16261" s="237"/>
    </row>
    <row r="16262" spans="1:9" s="232" customFormat="1" ht="17" customHeight="1">
      <c r="A16262" s="234"/>
      <c r="B16262" s="233"/>
      <c r="C16262" s="238"/>
      <c r="E16262" s="545"/>
      <c r="F16262" s="546"/>
      <c r="G16262" s="234"/>
      <c r="H16262" s="238"/>
      <c r="I16262" s="237"/>
    </row>
    <row r="16263" spans="1:9" s="232" customFormat="1" ht="17" customHeight="1">
      <c r="A16263" s="234"/>
      <c r="B16263" s="233"/>
      <c r="C16263" s="238"/>
      <c r="E16263" s="545"/>
      <c r="F16263" s="546"/>
      <c r="G16263" s="234"/>
      <c r="H16263" s="238"/>
      <c r="I16263" s="237"/>
    </row>
    <row r="16264" spans="1:9" s="232" customFormat="1" ht="17" customHeight="1">
      <c r="A16264" s="234"/>
      <c r="B16264" s="233"/>
      <c r="C16264" s="238"/>
      <c r="E16264" s="545"/>
      <c r="F16264" s="546"/>
      <c r="G16264" s="234"/>
      <c r="H16264" s="238"/>
      <c r="I16264" s="237"/>
    </row>
    <row r="16265" spans="1:9" s="232" customFormat="1" ht="17" customHeight="1">
      <c r="A16265" s="234"/>
      <c r="B16265" s="233"/>
      <c r="C16265" s="238"/>
      <c r="E16265" s="545"/>
      <c r="F16265" s="546"/>
      <c r="G16265" s="234"/>
      <c r="H16265" s="238"/>
      <c r="I16265" s="237"/>
    </row>
    <row r="16266" spans="1:9" s="232" customFormat="1" ht="17" customHeight="1">
      <c r="A16266" s="234"/>
      <c r="B16266" s="233"/>
      <c r="C16266" s="238"/>
      <c r="E16266" s="545"/>
      <c r="F16266" s="546"/>
      <c r="G16266" s="234"/>
      <c r="H16266" s="238"/>
      <c r="I16266" s="237"/>
    </row>
    <row r="16267" spans="1:9" s="232" customFormat="1" ht="17" customHeight="1">
      <c r="A16267" s="234"/>
      <c r="B16267" s="233"/>
      <c r="C16267" s="238"/>
      <c r="E16267" s="545"/>
      <c r="F16267" s="546"/>
      <c r="G16267" s="234"/>
      <c r="H16267" s="238"/>
      <c r="I16267" s="237"/>
    </row>
    <row r="16268" spans="1:9" s="232" customFormat="1" ht="17" customHeight="1">
      <c r="A16268" s="234"/>
      <c r="B16268" s="233"/>
      <c r="C16268" s="238"/>
      <c r="E16268" s="545"/>
      <c r="F16268" s="546"/>
      <c r="G16268" s="234"/>
      <c r="H16268" s="238"/>
      <c r="I16268" s="237"/>
    </row>
    <row r="16269" spans="1:9" s="232" customFormat="1" ht="17" customHeight="1">
      <c r="A16269" s="234"/>
      <c r="B16269" s="233"/>
      <c r="C16269" s="238"/>
      <c r="E16269" s="545"/>
      <c r="F16269" s="546"/>
      <c r="G16269" s="234"/>
      <c r="H16269" s="238"/>
      <c r="I16269" s="237"/>
    </row>
    <row r="16270" spans="1:9" s="232" customFormat="1" ht="17" customHeight="1">
      <c r="A16270" s="234"/>
      <c r="B16270" s="233"/>
      <c r="C16270" s="238"/>
      <c r="E16270" s="545"/>
      <c r="F16270" s="546"/>
      <c r="G16270" s="234"/>
      <c r="H16270" s="238"/>
      <c r="I16270" s="237"/>
    </row>
    <row r="16271" spans="1:9" s="232" customFormat="1" ht="17" customHeight="1">
      <c r="A16271" s="234"/>
      <c r="B16271" s="233"/>
      <c r="C16271" s="238"/>
      <c r="E16271" s="545"/>
      <c r="F16271" s="546"/>
      <c r="G16271" s="234"/>
      <c r="H16271" s="238"/>
      <c r="I16271" s="237"/>
    </row>
    <row r="16272" spans="1:9" s="232" customFormat="1" ht="17" customHeight="1">
      <c r="A16272" s="234"/>
      <c r="B16272" s="233"/>
      <c r="C16272" s="238"/>
      <c r="E16272" s="545"/>
      <c r="F16272" s="546"/>
      <c r="G16272" s="234"/>
      <c r="H16272" s="238"/>
      <c r="I16272" s="237"/>
    </row>
    <row r="16273" spans="1:9" s="232" customFormat="1" ht="17" customHeight="1">
      <c r="A16273" s="234"/>
      <c r="B16273" s="233"/>
      <c r="C16273" s="238"/>
      <c r="E16273" s="545"/>
      <c r="F16273" s="546"/>
      <c r="G16273" s="234"/>
      <c r="H16273" s="238"/>
      <c r="I16273" s="237"/>
    </row>
    <row r="16274" spans="1:9" s="232" customFormat="1" ht="17" customHeight="1">
      <c r="A16274" s="234"/>
      <c r="B16274" s="233"/>
      <c r="C16274" s="238"/>
      <c r="E16274" s="545"/>
      <c r="F16274" s="546"/>
      <c r="G16274" s="234"/>
      <c r="H16274" s="238"/>
      <c r="I16274" s="237"/>
    </row>
    <row r="16275" spans="1:9" s="232" customFormat="1" ht="17" customHeight="1">
      <c r="A16275" s="234"/>
      <c r="B16275" s="233"/>
      <c r="C16275" s="238"/>
      <c r="E16275" s="545"/>
      <c r="F16275" s="546"/>
      <c r="G16275" s="234"/>
      <c r="H16275" s="238"/>
      <c r="I16275" s="237"/>
    </row>
    <row r="16276" spans="1:9" s="232" customFormat="1" ht="17" customHeight="1">
      <c r="A16276" s="234"/>
      <c r="B16276" s="233"/>
      <c r="C16276" s="238"/>
      <c r="E16276" s="545"/>
      <c r="F16276" s="546"/>
      <c r="G16276" s="234"/>
      <c r="H16276" s="238"/>
      <c r="I16276" s="237"/>
    </row>
    <row r="16277" spans="1:9" s="232" customFormat="1" ht="17" customHeight="1">
      <c r="A16277" s="234"/>
      <c r="B16277" s="233"/>
      <c r="C16277" s="238"/>
      <c r="E16277" s="545"/>
      <c r="F16277" s="546"/>
      <c r="G16277" s="234"/>
      <c r="H16277" s="238"/>
      <c r="I16277" s="237"/>
    </row>
    <row r="16278" spans="1:9" s="232" customFormat="1" ht="17" customHeight="1">
      <c r="A16278" s="234"/>
      <c r="B16278" s="233"/>
      <c r="C16278" s="238"/>
      <c r="E16278" s="545"/>
      <c r="F16278" s="546"/>
      <c r="G16278" s="234"/>
      <c r="H16278" s="238"/>
      <c r="I16278" s="237"/>
    </row>
    <row r="16279" spans="1:9" s="232" customFormat="1" ht="17" customHeight="1">
      <c r="A16279" s="234"/>
      <c r="B16279" s="233"/>
      <c r="C16279" s="238"/>
      <c r="E16279" s="545"/>
      <c r="F16279" s="546"/>
      <c r="G16279" s="234"/>
      <c r="H16279" s="238"/>
      <c r="I16279" s="237"/>
    </row>
    <row r="16280" spans="1:9" s="232" customFormat="1" ht="17" customHeight="1">
      <c r="A16280" s="234"/>
      <c r="B16280" s="233"/>
      <c r="C16280" s="238"/>
      <c r="E16280" s="545"/>
      <c r="F16280" s="546"/>
      <c r="G16280" s="234"/>
      <c r="H16280" s="238"/>
      <c r="I16280" s="237"/>
    </row>
    <row r="16281" spans="1:9" s="232" customFormat="1" ht="17" customHeight="1">
      <c r="A16281" s="234"/>
      <c r="B16281" s="233"/>
      <c r="C16281" s="238"/>
      <c r="E16281" s="545"/>
      <c r="F16281" s="546"/>
      <c r="G16281" s="234"/>
      <c r="H16281" s="238"/>
      <c r="I16281" s="237"/>
    </row>
    <row r="16282" spans="1:9" s="232" customFormat="1" ht="17" customHeight="1">
      <c r="A16282" s="234"/>
      <c r="B16282" s="233"/>
      <c r="C16282" s="238"/>
      <c r="E16282" s="545"/>
      <c r="F16282" s="546"/>
      <c r="G16282" s="234"/>
      <c r="H16282" s="238"/>
      <c r="I16282" s="237"/>
    </row>
    <row r="16283" spans="1:9" s="232" customFormat="1" ht="17" customHeight="1">
      <c r="A16283" s="234"/>
      <c r="B16283" s="233"/>
      <c r="C16283" s="238"/>
      <c r="E16283" s="545"/>
      <c r="F16283" s="546"/>
      <c r="G16283" s="234"/>
      <c r="H16283" s="238"/>
      <c r="I16283" s="237"/>
    </row>
    <row r="16284" spans="1:9" s="232" customFormat="1" ht="17" customHeight="1">
      <c r="A16284" s="234"/>
      <c r="B16284" s="233"/>
      <c r="C16284" s="238"/>
      <c r="E16284" s="545"/>
      <c r="F16284" s="546"/>
      <c r="G16284" s="234"/>
      <c r="H16284" s="238"/>
      <c r="I16284" s="237"/>
    </row>
    <row r="16285" spans="1:9" s="232" customFormat="1" ht="17" customHeight="1">
      <c r="A16285" s="234"/>
      <c r="B16285" s="233"/>
      <c r="C16285" s="238"/>
      <c r="E16285" s="545"/>
      <c r="F16285" s="546"/>
      <c r="G16285" s="234"/>
      <c r="H16285" s="238"/>
      <c r="I16285" s="237"/>
    </row>
    <row r="16286" spans="1:9" s="232" customFormat="1" ht="17" customHeight="1">
      <c r="A16286" s="234"/>
      <c r="B16286" s="233"/>
      <c r="C16286" s="238"/>
      <c r="E16286" s="545"/>
      <c r="F16286" s="546"/>
      <c r="G16286" s="234"/>
      <c r="H16286" s="238"/>
      <c r="I16286" s="237"/>
    </row>
    <row r="16287" spans="1:9" s="232" customFormat="1" ht="17" customHeight="1">
      <c r="A16287" s="234"/>
      <c r="B16287" s="233"/>
      <c r="C16287" s="238"/>
      <c r="E16287" s="545"/>
      <c r="F16287" s="546"/>
      <c r="G16287" s="234"/>
      <c r="H16287" s="238"/>
      <c r="I16287" s="237"/>
    </row>
    <row r="16288" spans="1:9" s="232" customFormat="1" ht="17" customHeight="1">
      <c r="A16288" s="234"/>
      <c r="B16288" s="233"/>
      <c r="C16288" s="238"/>
      <c r="E16288" s="545"/>
      <c r="F16288" s="546"/>
      <c r="G16288" s="234"/>
      <c r="H16288" s="238"/>
      <c r="I16288" s="237"/>
    </row>
    <row r="16289" spans="1:9" s="232" customFormat="1" ht="17" customHeight="1">
      <c r="A16289" s="234"/>
      <c r="B16289" s="233"/>
      <c r="C16289" s="238"/>
      <c r="E16289" s="545"/>
      <c r="F16289" s="546"/>
      <c r="G16289" s="234"/>
      <c r="H16289" s="238"/>
      <c r="I16289" s="237"/>
    </row>
    <row r="16290" spans="1:9" s="232" customFormat="1" ht="17" customHeight="1">
      <c r="A16290" s="234"/>
      <c r="B16290" s="233"/>
      <c r="C16290" s="238"/>
      <c r="E16290" s="545"/>
      <c r="F16290" s="546"/>
      <c r="G16290" s="234"/>
      <c r="H16290" s="238"/>
      <c r="I16290" s="237"/>
    </row>
    <row r="16291" spans="1:9" s="232" customFormat="1" ht="17" customHeight="1">
      <c r="A16291" s="234"/>
      <c r="B16291" s="233"/>
      <c r="C16291" s="238"/>
      <c r="E16291" s="545"/>
      <c r="F16291" s="546"/>
      <c r="G16291" s="234"/>
      <c r="H16291" s="238"/>
      <c r="I16291" s="237"/>
    </row>
    <row r="16292" spans="1:9" s="232" customFormat="1" ht="17" customHeight="1">
      <c r="A16292" s="234"/>
      <c r="B16292" s="233"/>
      <c r="C16292" s="238"/>
      <c r="E16292" s="545"/>
      <c r="F16292" s="546"/>
      <c r="G16292" s="234"/>
      <c r="H16292" s="238"/>
      <c r="I16292" s="237"/>
    </row>
    <row r="16293" spans="1:9" s="232" customFormat="1" ht="17" customHeight="1">
      <c r="A16293" s="234"/>
      <c r="B16293" s="233"/>
      <c r="C16293" s="238"/>
      <c r="E16293" s="545"/>
      <c r="F16293" s="546"/>
      <c r="G16293" s="234"/>
      <c r="H16293" s="238"/>
      <c r="I16293" s="237"/>
    </row>
    <row r="16294" spans="1:9" s="232" customFormat="1" ht="17" customHeight="1">
      <c r="A16294" s="234"/>
      <c r="B16294" s="233"/>
      <c r="C16294" s="238"/>
      <c r="E16294" s="545"/>
      <c r="F16294" s="546"/>
      <c r="G16294" s="234"/>
      <c r="H16294" s="238"/>
      <c r="I16294" s="237"/>
    </row>
    <row r="16295" spans="1:9" s="232" customFormat="1" ht="17" customHeight="1">
      <c r="A16295" s="234"/>
      <c r="B16295" s="233"/>
      <c r="C16295" s="238"/>
      <c r="E16295" s="545"/>
      <c r="F16295" s="546"/>
      <c r="G16295" s="234"/>
      <c r="H16295" s="238"/>
      <c r="I16295" s="237"/>
    </row>
    <row r="16296" spans="1:9" s="232" customFormat="1" ht="17" customHeight="1">
      <c r="A16296" s="234"/>
      <c r="B16296" s="233"/>
      <c r="C16296" s="238"/>
      <c r="E16296" s="545"/>
      <c r="F16296" s="546"/>
      <c r="G16296" s="234"/>
      <c r="H16296" s="238"/>
      <c r="I16296" s="237"/>
    </row>
    <row r="16297" spans="1:9" s="232" customFormat="1" ht="17" customHeight="1">
      <c r="A16297" s="234"/>
      <c r="B16297" s="233"/>
      <c r="C16297" s="238"/>
      <c r="E16297" s="545"/>
      <c r="F16297" s="546"/>
      <c r="G16297" s="234"/>
      <c r="H16297" s="238"/>
      <c r="I16297" s="237"/>
    </row>
    <row r="16298" spans="1:9" s="232" customFormat="1" ht="17" customHeight="1">
      <c r="A16298" s="234"/>
      <c r="B16298" s="233"/>
      <c r="C16298" s="238"/>
      <c r="E16298" s="545"/>
      <c r="F16298" s="546"/>
      <c r="G16298" s="234"/>
      <c r="H16298" s="238"/>
      <c r="I16298" s="237"/>
    </row>
    <row r="16299" spans="1:9" s="232" customFormat="1" ht="17" customHeight="1">
      <c r="A16299" s="234"/>
      <c r="B16299" s="233"/>
      <c r="C16299" s="238"/>
      <c r="E16299" s="545"/>
      <c r="F16299" s="546"/>
      <c r="G16299" s="234"/>
      <c r="H16299" s="238"/>
      <c r="I16299" s="237"/>
    </row>
    <row r="16300" spans="1:9" s="232" customFormat="1" ht="17" customHeight="1">
      <c r="A16300" s="234"/>
      <c r="B16300" s="233"/>
      <c r="C16300" s="238"/>
      <c r="E16300" s="545"/>
      <c r="F16300" s="546"/>
      <c r="G16300" s="234"/>
      <c r="H16300" s="238"/>
      <c r="I16300" s="237"/>
    </row>
    <row r="16301" spans="1:9" s="232" customFormat="1" ht="17" customHeight="1">
      <c r="A16301" s="234"/>
      <c r="B16301" s="233"/>
      <c r="C16301" s="238"/>
      <c r="E16301" s="545"/>
      <c r="F16301" s="546"/>
      <c r="G16301" s="234"/>
      <c r="H16301" s="238"/>
      <c r="I16301" s="237"/>
    </row>
    <row r="16302" spans="1:9" s="232" customFormat="1" ht="17" customHeight="1">
      <c r="A16302" s="234"/>
      <c r="B16302" s="233"/>
      <c r="C16302" s="238"/>
      <c r="E16302" s="545"/>
      <c r="F16302" s="546"/>
      <c r="G16302" s="234"/>
      <c r="H16302" s="238"/>
      <c r="I16302" s="237"/>
    </row>
    <row r="16303" spans="1:9" s="232" customFormat="1" ht="17" customHeight="1">
      <c r="A16303" s="234"/>
      <c r="B16303" s="233"/>
      <c r="C16303" s="238"/>
      <c r="E16303" s="545"/>
      <c r="F16303" s="546"/>
      <c r="G16303" s="234"/>
      <c r="H16303" s="238"/>
      <c r="I16303" s="237"/>
    </row>
    <row r="16304" spans="1:9" s="232" customFormat="1" ht="17" customHeight="1">
      <c r="A16304" s="234"/>
      <c r="B16304" s="233"/>
      <c r="C16304" s="238"/>
      <c r="E16304" s="545"/>
      <c r="F16304" s="546"/>
      <c r="G16304" s="234"/>
      <c r="H16304" s="238"/>
      <c r="I16304" s="237"/>
    </row>
    <row r="16305" spans="1:9" s="232" customFormat="1" ht="17" customHeight="1">
      <c r="A16305" s="234"/>
      <c r="B16305" s="233"/>
      <c r="C16305" s="238"/>
      <c r="E16305" s="545"/>
      <c r="F16305" s="546"/>
      <c r="G16305" s="234"/>
      <c r="H16305" s="238"/>
      <c r="I16305" s="237"/>
    </row>
    <row r="16306" spans="1:9" s="232" customFormat="1" ht="17" customHeight="1">
      <c r="A16306" s="234"/>
      <c r="B16306" s="233"/>
      <c r="C16306" s="238"/>
      <c r="E16306" s="545"/>
      <c r="F16306" s="546"/>
      <c r="G16306" s="234"/>
      <c r="H16306" s="238"/>
      <c r="I16306" s="237"/>
    </row>
    <row r="16307" spans="1:9" s="232" customFormat="1" ht="17" customHeight="1">
      <c r="A16307" s="234"/>
      <c r="B16307" s="233"/>
      <c r="C16307" s="238"/>
      <c r="E16307" s="545"/>
      <c r="F16307" s="546"/>
      <c r="G16307" s="234"/>
      <c r="H16307" s="238"/>
      <c r="I16307" s="237"/>
    </row>
    <row r="16308" spans="1:9" s="232" customFormat="1" ht="17" customHeight="1">
      <c r="A16308" s="234"/>
      <c r="B16308" s="233"/>
      <c r="C16308" s="238"/>
      <c r="E16308" s="545"/>
      <c r="F16308" s="546"/>
      <c r="G16308" s="234"/>
      <c r="H16308" s="238"/>
      <c r="I16308" s="237"/>
    </row>
    <row r="16309" spans="1:9" s="232" customFormat="1" ht="17" customHeight="1">
      <c r="A16309" s="234"/>
      <c r="B16309" s="233"/>
      <c r="C16309" s="238"/>
      <c r="E16309" s="545"/>
      <c r="F16309" s="546"/>
      <c r="G16309" s="234"/>
      <c r="H16309" s="238"/>
      <c r="I16309" s="237"/>
    </row>
    <row r="16310" spans="1:9" s="232" customFormat="1" ht="17" customHeight="1">
      <c r="A16310" s="234"/>
      <c r="B16310" s="233"/>
      <c r="C16310" s="238"/>
      <c r="E16310" s="545"/>
      <c r="F16310" s="546"/>
      <c r="G16310" s="234"/>
      <c r="H16310" s="238"/>
      <c r="I16310" s="237"/>
    </row>
    <row r="16311" spans="1:9" s="232" customFormat="1" ht="17" customHeight="1">
      <c r="A16311" s="234"/>
      <c r="B16311" s="233"/>
      <c r="C16311" s="238"/>
      <c r="E16311" s="545"/>
      <c r="F16311" s="546"/>
      <c r="G16311" s="234"/>
      <c r="H16311" s="238"/>
      <c r="I16311" s="237"/>
    </row>
    <row r="16312" spans="1:9" s="232" customFormat="1" ht="17" customHeight="1">
      <c r="A16312" s="234"/>
      <c r="B16312" s="233"/>
      <c r="C16312" s="238"/>
      <c r="E16312" s="545"/>
      <c r="F16312" s="546"/>
      <c r="G16312" s="234"/>
      <c r="H16312" s="238"/>
      <c r="I16312" s="237"/>
    </row>
    <row r="16313" spans="1:9" s="232" customFormat="1" ht="17" customHeight="1">
      <c r="A16313" s="234"/>
      <c r="B16313" s="233"/>
      <c r="C16313" s="238"/>
      <c r="E16313" s="545"/>
      <c r="F16313" s="546"/>
      <c r="G16313" s="234"/>
      <c r="H16313" s="238"/>
      <c r="I16313" s="237"/>
    </row>
    <row r="16314" spans="1:9" s="232" customFormat="1" ht="17" customHeight="1">
      <c r="A16314" s="234"/>
      <c r="B16314" s="233"/>
      <c r="C16314" s="238"/>
      <c r="E16314" s="545"/>
      <c r="F16314" s="546"/>
      <c r="G16314" s="234"/>
      <c r="H16314" s="238"/>
      <c r="I16314" s="237"/>
    </row>
    <row r="16315" spans="1:9" s="232" customFormat="1" ht="17" customHeight="1">
      <c r="A16315" s="234"/>
      <c r="B16315" s="233"/>
      <c r="C16315" s="238"/>
      <c r="E16315" s="545"/>
      <c r="F16315" s="546"/>
      <c r="G16315" s="234"/>
      <c r="H16315" s="238"/>
      <c r="I16315" s="237"/>
    </row>
    <row r="16316" spans="1:9" s="232" customFormat="1" ht="17" customHeight="1">
      <c r="A16316" s="234"/>
      <c r="B16316" s="233"/>
      <c r="C16316" s="238"/>
      <c r="E16316" s="545"/>
      <c r="F16316" s="546"/>
      <c r="G16316" s="234"/>
      <c r="H16316" s="238"/>
      <c r="I16316" s="237"/>
    </row>
    <row r="16317" spans="1:9" s="232" customFormat="1" ht="17" customHeight="1">
      <c r="A16317" s="234"/>
      <c r="B16317" s="233"/>
      <c r="C16317" s="238"/>
      <c r="E16317" s="545"/>
      <c r="F16317" s="546"/>
      <c r="G16317" s="234"/>
      <c r="H16317" s="238"/>
      <c r="I16317" s="237"/>
    </row>
    <row r="16318" spans="1:9" s="232" customFormat="1" ht="17" customHeight="1">
      <c r="A16318" s="234"/>
      <c r="B16318" s="233"/>
      <c r="C16318" s="238"/>
      <c r="E16318" s="545"/>
      <c r="F16318" s="546"/>
      <c r="G16318" s="234"/>
      <c r="H16318" s="238"/>
      <c r="I16318" s="237"/>
    </row>
    <row r="16319" spans="1:9" s="232" customFormat="1" ht="17" customHeight="1">
      <c r="A16319" s="234"/>
      <c r="B16319" s="233"/>
      <c r="C16319" s="238"/>
      <c r="E16319" s="545"/>
      <c r="F16319" s="546"/>
      <c r="G16319" s="234"/>
      <c r="H16319" s="238"/>
      <c r="I16319" s="237"/>
    </row>
    <row r="16320" spans="1:9" s="232" customFormat="1" ht="17" customHeight="1">
      <c r="A16320" s="234"/>
      <c r="B16320" s="233"/>
      <c r="C16320" s="238"/>
      <c r="E16320" s="545"/>
      <c r="F16320" s="546"/>
      <c r="G16320" s="234"/>
      <c r="H16320" s="238"/>
      <c r="I16320" s="237"/>
    </row>
    <row r="16321" spans="1:9" s="232" customFormat="1" ht="17" customHeight="1">
      <c r="A16321" s="234"/>
      <c r="B16321" s="233"/>
      <c r="C16321" s="238"/>
      <c r="E16321" s="545"/>
      <c r="F16321" s="546"/>
      <c r="G16321" s="234"/>
      <c r="H16321" s="238"/>
      <c r="I16321" s="237"/>
    </row>
    <row r="16322" spans="1:9" s="232" customFormat="1" ht="17" customHeight="1">
      <c r="A16322" s="234"/>
      <c r="B16322" s="233"/>
      <c r="C16322" s="238"/>
      <c r="E16322" s="545"/>
      <c r="F16322" s="546"/>
      <c r="G16322" s="234"/>
      <c r="H16322" s="238"/>
      <c r="I16322" s="237"/>
    </row>
    <row r="16323" spans="1:9" s="232" customFormat="1" ht="17" customHeight="1">
      <c r="A16323" s="234"/>
      <c r="B16323" s="233"/>
      <c r="C16323" s="238"/>
      <c r="E16323" s="545"/>
      <c r="F16323" s="546"/>
      <c r="G16323" s="234"/>
      <c r="H16323" s="238"/>
      <c r="I16323" s="237"/>
    </row>
    <row r="16324" spans="1:9" s="232" customFormat="1" ht="17" customHeight="1">
      <c r="A16324" s="234"/>
      <c r="B16324" s="233"/>
      <c r="C16324" s="238"/>
      <c r="E16324" s="545"/>
      <c r="F16324" s="546"/>
      <c r="G16324" s="234"/>
      <c r="H16324" s="238"/>
      <c r="I16324" s="237"/>
    </row>
    <row r="16325" spans="1:9" s="232" customFormat="1" ht="17" customHeight="1">
      <c r="A16325" s="234"/>
      <c r="B16325" s="233"/>
      <c r="C16325" s="238"/>
      <c r="E16325" s="545"/>
      <c r="F16325" s="546"/>
      <c r="G16325" s="234"/>
      <c r="H16325" s="238"/>
      <c r="I16325" s="237"/>
    </row>
    <row r="16326" spans="1:9" s="232" customFormat="1" ht="17" customHeight="1">
      <c r="A16326" s="234"/>
      <c r="B16326" s="233"/>
      <c r="C16326" s="238"/>
      <c r="E16326" s="545"/>
      <c r="F16326" s="546"/>
      <c r="G16326" s="234"/>
      <c r="H16326" s="238"/>
      <c r="I16326" s="237"/>
    </row>
    <row r="16327" spans="1:9" s="232" customFormat="1" ht="17" customHeight="1">
      <c r="A16327" s="234"/>
      <c r="B16327" s="233"/>
      <c r="C16327" s="238"/>
      <c r="E16327" s="545"/>
      <c r="F16327" s="546"/>
      <c r="G16327" s="234"/>
      <c r="H16327" s="238"/>
      <c r="I16327" s="237"/>
    </row>
    <row r="16328" spans="1:9" s="232" customFormat="1" ht="17" customHeight="1">
      <c r="A16328" s="234"/>
      <c r="B16328" s="233"/>
      <c r="C16328" s="238"/>
      <c r="E16328" s="545"/>
      <c r="F16328" s="546"/>
      <c r="G16328" s="234"/>
      <c r="H16328" s="238"/>
      <c r="I16328" s="237"/>
    </row>
    <row r="16329" spans="1:9" s="232" customFormat="1" ht="17" customHeight="1">
      <c r="A16329" s="234"/>
      <c r="B16329" s="233"/>
      <c r="C16329" s="238"/>
      <c r="E16329" s="545"/>
      <c r="F16329" s="546"/>
      <c r="G16329" s="234"/>
      <c r="H16329" s="238"/>
      <c r="I16329" s="237"/>
    </row>
    <row r="16330" spans="1:9" s="232" customFormat="1" ht="17" customHeight="1">
      <c r="A16330" s="234"/>
      <c r="B16330" s="233"/>
      <c r="C16330" s="238"/>
      <c r="E16330" s="545"/>
      <c r="F16330" s="546"/>
      <c r="G16330" s="234"/>
      <c r="H16330" s="238"/>
      <c r="I16330" s="237"/>
    </row>
    <row r="16331" spans="1:9" s="232" customFormat="1" ht="17" customHeight="1">
      <c r="A16331" s="234"/>
      <c r="B16331" s="233"/>
      <c r="C16331" s="238"/>
      <c r="E16331" s="545"/>
      <c r="F16331" s="546"/>
      <c r="G16331" s="234"/>
      <c r="H16331" s="238"/>
      <c r="I16331" s="237"/>
    </row>
    <row r="16332" spans="1:9" s="232" customFormat="1" ht="17" customHeight="1">
      <c r="A16332" s="234"/>
      <c r="B16332" s="233"/>
      <c r="C16332" s="238"/>
      <c r="E16332" s="545"/>
      <c r="F16332" s="546"/>
      <c r="G16332" s="234"/>
      <c r="H16332" s="238"/>
      <c r="I16332" s="237"/>
    </row>
    <row r="16333" spans="1:9" s="232" customFormat="1" ht="17" customHeight="1">
      <c r="A16333" s="234"/>
      <c r="B16333" s="233"/>
      <c r="C16333" s="238"/>
      <c r="E16333" s="545"/>
      <c r="F16333" s="546"/>
      <c r="G16333" s="234"/>
      <c r="H16333" s="238"/>
      <c r="I16333" s="237"/>
    </row>
    <row r="16334" spans="1:9" s="232" customFormat="1" ht="17" customHeight="1">
      <c r="A16334" s="234"/>
      <c r="B16334" s="233"/>
      <c r="C16334" s="238"/>
      <c r="E16334" s="545"/>
      <c r="F16334" s="546"/>
      <c r="G16334" s="234"/>
      <c r="H16334" s="238"/>
      <c r="I16334" s="237"/>
    </row>
    <row r="16335" spans="1:9" s="232" customFormat="1" ht="17" customHeight="1">
      <c r="A16335" s="234"/>
      <c r="B16335" s="233"/>
      <c r="C16335" s="238"/>
      <c r="E16335" s="545"/>
      <c r="F16335" s="546"/>
      <c r="G16335" s="234"/>
      <c r="H16335" s="238"/>
      <c r="I16335" s="237"/>
    </row>
    <row r="16336" spans="1:9" s="232" customFormat="1" ht="17" customHeight="1">
      <c r="A16336" s="234"/>
      <c r="B16336" s="233"/>
      <c r="C16336" s="238"/>
      <c r="E16336" s="545"/>
      <c r="F16336" s="546"/>
      <c r="G16336" s="234"/>
      <c r="H16336" s="238"/>
      <c r="I16336" s="237"/>
    </row>
    <row r="16337" spans="1:9" s="232" customFormat="1" ht="17" customHeight="1">
      <c r="A16337" s="234"/>
      <c r="B16337" s="233"/>
      <c r="C16337" s="238"/>
      <c r="E16337" s="545"/>
      <c r="F16337" s="546"/>
      <c r="G16337" s="234"/>
      <c r="H16337" s="238"/>
      <c r="I16337" s="237"/>
    </row>
    <row r="16338" spans="1:9" s="232" customFormat="1" ht="17" customHeight="1">
      <c r="A16338" s="234"/>
      <c r="B16338" s="233"/>
      <c r="C16338" s="238"/>
      <c r="E16338" s="545"/>
      <c r="F16338" s="546"/>
      <c r="G16338" s="234"/>
      <c r="H16338" s="238"/>
      <c r="I16338" s="237"/>
    </row>
    <row r="16339" spans="1:9" s="232" customFormat="1" ht="17" customHeight="1">
      <c r="A16339" s="234"/>
      <c r="B16339" s="233"/>
      <c r="C16339" s="238"/>
      <c r="E16339" s="545"/>
      <c r="F16339" s="546"/>
      <c r="G16339" s="234"/>
      <c r="H16339" s="238"/>
      <c r="I16339" s="237"/>
    </row>
    <row r="16340" spans="1:9" s="232" customFormat="1" ht="17" customHeight="1">
      <c r="A16340" s="234"/>
      <c r="B16340" s="233"/>
      <c r="C16340" s="238"/>
      <c r="E16340" s="545"/>
      <c r="F16340" s="546"/>
      <c r="G16340" s="234"/>
      <c r="H16340" s="238"/>
      <c r="I16340" s="237"/>
    </row>
    <row r="16341" spans="1:9" s="232" customFormat="1" ht="17" customHeight="1">
      <c r="A16341" s="234"/>
      <c r="B16341" s="233"/>
      <c r="C16341" s="238"/>
      <c r="E16341" s="545"/>
      <c r="F16341" s="546"/>
      <c r="G16341" s="234"/>
      <c r="H16341" s="238"/>
      <c r="I16341" s="237"/>
    </row>
    <row r="16342" spans="1:9" s="232" customFormat="1" ht="17" customHeight="1">
      <c r="A16342" s="234"/>
      <c r="B16342" s="233"/>
      <c r="C16342" s="238"/>
      <c r="E16342" s="545"/>
      <c r="F16342" s="546"/>
      <c r="G16342" s="234"/>
      <c r="H16342" s="238"/>
      <c r="I16342" s="237"/>
    </row>
    <row r="16343" spans="1:9" s="232" customFormat="1" ht="17" customHeight="1">
      <c r="A16343" s="234"/>
      <c r="B16343" s="233"/>
      <c r="C16343" s="238"/>
      <c r="E16343" s="545"/>
      <c r="F16343" s="546"/>
      <c r="G16343" s="234"/>
      <c r="H16343" s="238"/>
      <c r="I16343" s="237"/>
    </row>
    <row r="16344" spans="1:9" s="232" customFormat="1" ht="17" customHeight="1">
      <c r="A16344" s="234"/>
      <c r="B16344" s="233"/>
      <c r="C16344" s="238"/>
      <c r="E16344" s="545"/>
      <c r="F16344" s="546"/>
      <c r="G16344" s="234"/>
      <c r="H16344" s="238"/>
      <c r="I16344" s="237"/>
    </row>
    <row r="16345" spans="1:9" s="232" customFormat="1" ht="17" customHeight="1">
      <c r="A16345" s="234"/>
      <c r="B16345" s="233"/>
      <c r="C16345" s="238"/>
      <c r="E16345" s="545"/>
      <c r="F16345" s="546"/>
      <c r="G16345" s="234"/>
      <c r="H16345" s="238"/>
      <c r="I16345" s="237"/>
    </row>
    <row r="16346" spans="1:9" s="232" customFormat="1" ht="17" customHeight="1">
      <c r="A16346" s="234"/>
      <c r="B16346" s="233"/>
      <c r="C16346" s="238"/>
      <c r="E16346" s="545"/>
      <c r="F16346" s="546"/>
      <c r="G16346" s="234"/>
      <c r="H16346" s="238"/>
      <c r="I16346" s="237"/>
    </row>
    <row r="16347" spans="1:9" s="232" customFormat="1" ht="17" customHeight="1">
      <c r="A16347" s="234"/>
      <c r="B16347" s="233"/>
      <c r="C16347" s="238"/>
      <c r="E16347" s="545"/>
      <c r="F16347" s="546"/>
      <c r="G16347" s="234"/>
      <c r="H16347" s="238"/>
      <c r="I16347" s="237"/>
    </row>
    <row r="16348" spans="1:9" s="232" customFormat="1" ht="17" customHeight="1">
      <c r="A16348" s="234"/>
      <c r="B16348" s="233"/>
      <c r="C16348" s="238"/>
      <c r="E16348" s="545"/>
      <c r="F16348" s="546"/>
      <c r="G16348" s="234"/>
      <c r="H16348" s="238"/>
      <c r="I16348" s="237"/>
    </row>
    <row r="16349" spans="1:9" s="232" customFormat="1" ht="17" customHeight="1">
      <c r="A16349" s="234"/>
      <c r="B16349" s="233"/>
      <c r="C16349" s="238"/>
      <c r="E16349" s="545"/>
      <c r="F16349" s="546"/>
      <c r="G16349" s="234"/>
      <c r="H16349" s="238"/>
      <c r="I16349" s="237"/>
    </row>
    <row r="16350" spans="1:9" s="232" customFormat="1" ht="17" customHeight="1">
      <c r="A16350" s="234"/>
      <c r="B16350" s="233"/>
      <c r="C16350" s="238"/>
      <c r="E16350" s="545"/>
      <c r="F16350" s="546"/>
      <c r="G16350" s="234"/>
      <c r="H16350" s="238"/>
      <c r="I16350" s="237"/>
    </row>
    <row r="16351" spans="1:9" s="232" customFormat="1" ht="17" customHeight="1">
      <c r="A16351" s="234"/>
      <c r="B16351" s="233"/>
      <c r="C16351" s="238"/>
      <c r="E16351" s="545"/>
      <c r="F16351" s="546"/>
      <c r="G16351" s="234"/>
      <c r="H16351" s="238"/>
      <c r="I16351" s="237"/>
    </row>
    <row r="16352" spans="1:9" s="232" customFormat="1" ht="17" customHeight="1">
      <c r="A16352" s="234"/>
      <c r="B16352" s="233"/>
      <c r="C16352" s="238"/>
      <c r="E16352" s="545"/>
      <c r="F16352" s="546"/>
      <c r="G16352" s="234"/>
      <c r="H16352" s="238"/>
      <c r="I16352" s="237"/>
    </row>
    <row r="16353" spans="1:9" s="232" customFormat="1" ht="17" customHeight="1">
      <c r="A16353" s="234"/>
      <c r="B16353" s="233"/>
      <c r="C16353" s="238"/>
      <c r="E16353" s="545"/>
      <c r="F16353" s="546"/>
      <c r="G16353" s="234"/>
      <c r="H16353" s="238"/>
      <c r="I16353" s="237"/>
    </row>
    <row r="16354" spans="1:9" s="232" customFormat="1" ht="17" customHeight="1">
      <c r="A16354" s="234"/>
      <c r="B16354" s="233"/>
      <c r="C16354" s="238"/>
      <c r="E16354" s="545"/>
      <c r="F16354" s="546"/>
      <c r="G16354" s="234"/>
      <c r="H16354" s="238"/>
      <c r="I16354" s="237"/>
    </row>
    <row r="16355" spans="1:9" s="232" customFormat="1" ht="17" customHeight="1">
      <c r="A16355" s="234"/>
      <c r="B16355" s="233"/>
      <c r="C16355" s="238"/>
      <c r="E16355" s="545"/>
      <c r="F16355" s="546"/>
      <c r="G16355" s="234"/>
      <c r="H16355" s="238"/>
      <c r="I16355" s="237"/>
    </row>
    <row r="16356" spans="1:9" s="232" customFormat="1" ht="17" customHeight="1">
      <c r="A16356" s="234"/>
      <c r="B16356" s="233"/>
      <c r="C16356" s="238"/>
      <c r="E16356" s="545"/>
      <c r="F16356" s="546"/>
      <c r="G16356" s="234"/>
      <c r="H16356" s="238"/>
      <c r="I16356" s="237"/>
    </row>
    <row r="16357" spans="1:9" s="232" customFormat="1" ht="17" customHeight="1">
      <c r="A16357" s="234"/>
      <c r="B16357" s="233"/>
      <c r="C16357" s="238"/>
      <c r="E16357" s="545"/>
      <c r="F16357" s="546"/>
      <c r="G16357" s="234"/>
      <c r="H16357" s="238"/>
      <c r="I16357" s="237"/>
    </row>
    <row r="16358" spans="1:9" s="232" customFormat="1" ht="17" customHeight="1">
      <c r="A16358" s="234"/>
      <c r="B16358" s="233"/>
      <c r="C16358" s="238"/>
      <c r="E16358" s="545"/>
      <c r="F16358" s="546"/>
      <c r="G16358" s="234"/>
      <c r="H16358" s="238"/>
      <c r="I16358" s="237"/>
    </row>
    <row r="16359" spans="1:9" s="232" customFormat="1" ht="17" customHeight="1">
      <c r="A16359" s="234"/>
      <c r="B16359" s="233"/>
      <c r="C16359" s="238"/>
      <c r="E16359" s="545"/>
      <c r="F16359" s="546"/>
      <c r="G16359" s="234"/>
      <c r="H16359" s="238"/>
      <c r="I16359" s="237"/>
    </row>
    <row r="16360" spans="1:9" s="232" customFormat="1" ht="17" customHeight="1">
      <c r="A16360" s="234"/>
      <c r="B16360" s="233"/>
      <c r="C16360" s="238"/>
      <c r="E16360" s="545"/>
      <c r="F16360" s="546"/>
      <c r="G16360" s="234"/>
      <c r="H16360" s="238"/>
      <c r="I16360" s="237"/>
    </row>
    <row r="16361" spans="1:9" s="232" customFormat="1" ht="17" customHeight="1">
      <c r="A16361" s="234"/>
      <c r="B16361" s="233"/>
      <c r="C16361" s="238"/>
      <c r="E16361" s="545"/>
      <c r="F16361" s="546"/>
      <c r="G16361" s="234"/>
      <c r="H16361" s="238"/>
      <c r="I16361" s="237"/>
    </row>
    <row r="16362" spans="1:9" s="232" customFormat="1" ht="17" customHeight="1">
      <c r="A16362" s="234"/>
      <c r="B16362" s="233"/>
      <c r="C16362" s="238"/>
      <c r="E16362" s="545"/>
      <c r="F16362" s="546"/>
      <c r="G16362" s="234"/>
      <c r="H16362" s="238"/>
      <c r="I16362" s="237"/>
    </row>
    <row r="16363" spans="1:9" s="232" customFormat="1" ht="17" customHeight="1">
      <c r="A16363" s="234"/>
      <c r="B16363" s="233"/>
      <c r="C16363" s="238"/>
      <c r="E16363" s="545"/>
      <c r="F16363" s="546"/>
      <c r="G16363" s="234"/>
      <c r="H16363" s="238"/>
      <c r="I16363" s="237"/>
    </row>
    <row r="16364" spans="1:9" s="232" customFormat="1" ht="17" customHeight="1">
      <c r="A16364" s="234"/>
      <c r="B16364" s="233"/>
      <c r="C16364" s="238"/>
      <c r="E16364" s="545"/>
      <c r="F16364" s="546"/>
      <c r="G16364" s="234"/>
      <c r="H16364" s="238"/>
      <c r="I16364" s="237"/>
    </row>
    <row r="16365" spans="1:9" s="232" customFormat="1" ht="17" customHeight="1">
      <c r="A16365" s="234"/>
      <c r="B16365" s="233"/>
      <c r="C16365" s="238"/>
      <c r="E16365" s="545"/>
      <c r="F16365" s="546"/>
      <c r="G16365" s="234"/>
      <c r="H16365" s="238"/>
      <c r="I16365" s="237"/>
    </row>
    <row r="16366" spans="1:9" s="232" customFormat="1" ht="17" customHeight="1">
      <c r="A16366" s="234"/>
      <c r="B16366" s="233"/>
      <c r="C16366" s="238"/>
      <c r="E16366" s="545"/>
      <c r="F16366" s="546"/>
      <c r="G16366" s="234"/>
      <c r="H16366" s="238"/>
      <c r="I16366" s="237"/>
    </row>
    <row r="16367" spans="1:9" s="232" customFormat="1" ht="17" customHeight="1">
      <c r="A16367" s="234"/>
      <c r="B16367" s="233"/>
      <c r="C16367" s="238"/>
      <c r="E16367" s="545"/>
      <c r="F16367" s="546"/>
      <c r="G16367" s="234"/>
      <c r="H16367" s="238"/>
      <c r="I16367" s="237"/>
    </row>
    <row r="16368" spans="1:9" s="232" customFormat="1" ht="17" customHeight="1">
      <c r="A16368" s="234"/>
      <c r="B16368" s="233"/>
      <c r="C16368" s="238"/>
      <c r="E16368" s="545"/>
      <c r="F16368" s="546"/>
      <c r="G16368" s="234"/>
      <c r="H16368" s="238"/>
      <c r="I16368" s="237"/>
    </row>
    <row r="16369" spans="1:9" s="232" customFormat="1" ht="17" customHeight="1">
      <c r="A16369" s="234"/>
      <c r="B16369" s="233"/>
      <c r="C16369" s="238"/>
      <c r="E16369" s="545"/>
      <c r="F16369" s="546"/>
      <c r="G16369" s="234"/>
      <c r="H16369" s="238"/>
      <c r="I16369" s="237"/>
    </row>
    <row r="16370" spans="1:9" s="232" customFormat="1" ht="17" customHeight="1">
      <c r="A16370" s="234"/>
      <c r="B16370" s="233"/>
      <c r="C16370" s="238"/>
      <c r="E16370" s="545"/>
      <c r="F16370" s="546"/>
      <c r="G16370" s="234"/>
      <c r="H16370" s="238"/>
      <c r="I16370" s="237"/>
    </row>
    <row r="16371" spans="1:9" s="232" customFormat="1" ht="17" customHeight="1">
      <c r="A16371" s="234"/>
      <c r="B16371" s="233"/>
      <c r="C16371" s="238"/>
      <c r="E16371" s="545"/>
      <c r="F16371" s="546"/>
      <c r="G16371" s="234"/>
      <c r="H16371" s="238"/>
      <c r="I16371" s="237"/>
    </row>
    <row r="16372" spans="1:9" s="232" customFormat="1" ht="17" customHeight="1">
      <c r="A16372" s="234"/>
      <c r="B16372" s="233"/>
      <c r="C16372" s="238"/>
      <c r="E16372" s="545"/>
      <c r="F16372" s="546"/>
      <c r="G16372" s="234"/>
      <c r="H16372" s="238"/>
      <c r="I16372" s="237"/>
    </row>
    <row r="16373" spans="1:9" s="232" customFormat="1" ht="17" customHeight="1">
      <c r="A16373" s="234"/>
      <c r="B16373" s="233"/>
      <c r="C16373" s="238"/>
      <c r="E16373" s="545"/>
      <c r="F16373" s="546"/>
      <c r="G16373" s="234"/>
      <c r="H16373" s="238"/>
      <c r="I16373" s="237"/>
    </row>
    <row r="16374" spans="1:9" s="232" customFormat="1" ht="17" customHeight="1">
      <c r="A16374" s="234"/>
      <c r="B16374" s="233"/>
      <c r="C16374" s="238"/>
      <c r="E16374" s="545"/>
      <c r="F16374" s="546"/>
      <c r="G16374" s="234"/>
      <c r="H16374" s="238"/>
      <c r="I16374" s="237"/>
    </row>
    <row r="16375" spans="1:9" s="232" customFormat="1" ht="17" customHeight="1">
      <c r="A16375" s="234"/>
      <c r="B16375" s="233"/>
      <c r="C16375" s="238"/>
      <c r="E16375" s="545"/>
      <c r="F16375" s="546"/>
      <c r="G16375" s="234"/>
      <c r="H16375" s="238"/>
      <c r="I16375" s="237"/>
    </row>
    <row r="16376" spans="1:9" s="232" customFormat="1" ht="17" customHeight="1">
      <c r="A16376" s="234"/>
      <c r="B16376" s="233"/>
      <c r="C16376" s="238"/>
      <c r="E16376" s="545"/>
      <c r="F16376" s="546"/>
      <c r="G16376" s="234"/>
      <c r="H16376" s="238"/>
      <c r="I16376" s="237"/>
    </row>
    <row r="16377" spans="1:9" s="232" customFormat="1" ht="17" customHeight="1">
      <c r="A16377" s="234"/>
      <c r="B16377" s="233"/>
      <c r="C16377" s="238"/>
      <c r="E16377" s="545"/>
      <c r="F16377" s="546"/>
      <c r="G16377" s="234"/>
      <c r="H16377" s="238"/>
      <c r="I16377" s="237"/>
    </row>
    <row r="16378" spans="1:9" s="232" customFormat="1" ht="17" customHeight="1">
      <c r="A16378" s="234"/>
      <c r="B16378" s="233"/>
      <c r="C16378" s="238"/>
      <c r="E16378" s="545"/>
      <c r="F16378" s="546"/>
      <c r="G16378" s="234"/>
      <c r="H16378" s="238"/>
      <c r="I16378" s="237"/>
    </row>
    <row r="16379" spans="1:9" s="232" customFormat="1" ht="17" customHeight="1">
      <c r="A16379" s="234"/>
      <c r="B16379" s="233"/>
      <c r="C16379" s="238"/>
      <c r="E16379" s="545"/>
      <c r="F16379" s="546"/>
      <c r="G16379" s="234"/>
      <c r="H16379" s="238"/>
      <c r="I16379" s="237"/>
    </row>
    <row r="16380" spans="1:9" s="232" customFormat="1" ht="17" customHeight="1">
      <c r="A16380" s="234"/>
      <c r="B16380" s="233"/>
      <c r="C16380" s="238"/>
      <c r="E16380" s="545"/>
      <c r="F16380" s="546"/>
      <c r="G16380" s="234"/>
      <c r="H16380" s="238"/>
      <c r="I16380" s="237"/>
    </row>
    <row r="16381" spans="1:9" s="232" customFormat="1" ht="17" customHeight="1">
      <c r="A16381" s="234"/>
      <c r="B16381" s="233"/>
      <c r="C16381" s="238"/>
      <c r="E16381" s="545"/>
      <c r="F16381" s="546"/>
      <c r="G16381" s="234"/>
      <c r="H16381" s="238"/>
      <c r="I16381" s="237"/>
    </row>
    <row r="16382" spans="1:9" s="232" customFormat="1" ht="17" customHeight="1">
      <c r="A16382" s="234"/>
      <c r="B16382" s="233"/>
      <c r="C16382" s="238"/>
      <c r="E16382" s="545"/>
      <c r="F16382" s="546"/>
      <c r="G16382" s="234"/>
      <c r="H16382" s="238"/>
      <c r="I16382" s="237"/>
    </row>
    <row r="16383" spans="1:9" s="232" customFormat="1" ht="17" customHeight="1">
      <c r="A16383" s="234"/>
      <c r="B16383" s="233"/>
      <c r="C16383" s="238"/>
      <c r="E16383" s="545"/>
      <c r="F16383" s="546"/>
      <c r="G16383" s="234"/>
      <c r="H16383" s="238"/>
      <c r="I16383" s="237"/>
    </row>
    <row r="16384" spans="1:9" s="232" customFormat="1" ht="17" customHeight="1">
      <c r="A16384" s="234"/>
      <c r="B16384" s="233"/>
      <c r="C16384" s="238"/>
      <c r="E16384" s="545"/>
      <c r="F16384" s="546"/>
      <c r="G16384" s="234"/>
      <c r="H16384" s="238"/>
      <c r="I16384" s="237"/>
    </row>
    <row r="16385" spans="1:9" s="232" customFormat="1" ht="17" customHeight="1">
      <c r="A16385" s="234"/>
      <c r="B16385" s="233"/>
      <c r="C16385" s="238"/>
      <c r="E16385" s="545"/>
      <c r="F16385" s="546"/>
      <c r="G16385" s="234"/>
      <c r="H16385" s="238"/>
      <c r="I16385" s="237"/>
    </row>
    <row r="16386" spans="1:9" s="232" customFormat="1" ht="17" customHeight="1">
      <c r="A16386" s="234"/>
      <c r="B16386" s="233"/>
      <c r="C16386" s="238"/>
      <c r="E16386" s="545"/>
      <c r="F16386" s="546"/>
      <c r="G16386" s="234"/>
      <c r="H16386" s="238"/>
      <c r="I16386" s="237"/>
    </row>
    <row r="16387" spans="1:9" s="232" customFormat="1" ht="17" customHeight="1">
      <c r="A16387" s="234"/>
      <c r="B16387" s="233"/>
      <c r="C16387" s="238"/>
      <c r="E16387" s="545"/>
      <c r="F16387" s="546"/>
      <c r="G16387" s="234"/>
      <c r="H16387" s="238"/>
      <c r="I16387" s="237"/>
    </row>
    <row r="16388" spans="1:9" s="232" customFormat="1" ht="17" customHeight="1">
      <c r="A16388" s="234"/>
      <c r="B16388" s="233"/>
      <c r="C16388" s="238"/>
      <c r="E16388" s="545"/>
      <c r="F16388" s="546"/>
      <c r="G16388" s="234"/>
      <c r="H16388" s="238"/>
      <c r="I16388" s="237"/>
    </row>
    <row r="16389" spans="1:9" s="232" customFormat="1" ht="17" customHeight="1">
      <c r="A16389" s="234"/>
      <c r="B16389" s="233"/>
      <c r="C16389" s="238"/>
      <c r="E16389" s="545"/>
      <c r="F16389" s="546"/>
      <c r="G16389" s="234"/>
      <c r="H16389" s="238"/>
      <c r="I16389" s="237"/>
    </row>
    <row r="16390" spans="1:9" s="232" customFormat="1" ht="17" customHeight="1">
      <c r="A16390" s="234"/>
      <c r="B16390" s="233"/>
      <c r="C16390" s="238"/>
      <c r="E16390" s="545"/>
      <c r="F16390" s="546"/>
      <c r="G16390" s="234"/>
      <c r="H16390" s="238"/>
      <c r="I16390" s="237"/>
    </row>
    <row r="16391" spans="1:9" s="232" customFormat="1" ht="17" customHeight="1">
      <c r="A16391" s="234"/>
      <c r="B16391" s="233"/>
      <c r="C16391" s="238"/>
      <c r="E16391" s="545"/>
      <c r="F16391" s="546"/>
      <c r="G16391" s="234"/>
      <c r="H16391" s="238"/>
      <c r="I16391" s="237"/>
    </row>
    <row r="16392" spans="1:9" s="232" customFormat="1" ht="17" customHeight="1">
      <c r="A16392" s="234"/>
      <c r="B16392" s="233"/>
      <c r="C16392" s="238"/>
      <c r="E16392" s="545"/>
      <c r="F16392" s="546"/>
      <c r="G16392" s="234"/>
      <c r="H16392" s="238"/>
      <c r="I16392" s="237"/>
    </row>
    <row r="16393" spans="1:9" s="232" customFormat="1" ht="17" customHeight="1">
      <c r="A16393" s="234"/>
      <c r="B16393" s="233"/>
      <c r="C16393" s="238"/>
      <c r="E16393" s="545"/>
      <c r="F16393" s="546"/>
      <c r="G16393" s="234"/>
      <c r="H16393" s="238"/>
      <c r="I16393" s="237"/>
    </row>
    <row r="16394" spans="1:9" s="232" customFormat="1" ht="17" customHeight="1">
      <c r="A16394" s="234"/>
      <c r="B16394" s="233"/>
      <c r="C16394" s="238"/>
      <c r="E16394" s="545"/>
      <c r="F16394" s="546"/>
      <c r="G16394" s="234"/>
      <c r="H16394" s="238"/>
      <c r="I16394" s="237"/>
    </row>
    <row r="16395" spans="1:9" s="232" customFormat="1" ht="17" customHeight="1">
      <c r="A16395" s="234"/>
      <c r="B16395" s="233"/>
      <c r="C16395" s="238"/>
      <c r="E16395" s="545"/>
      <c r="F16395" s="546"/>
      <c r="G16395" s="234"/>
      <c r="H16395" s="238"/>
      <c r="I16395" s="237"/>
    </row>
    <row r="16396" spans="1:9" s="232" customFormat="1" ht="17" customHeight="1">
      <c r="A16396" s="234"/>
      <c r="B16396" s="233"/>
      <c r="C16396" s="238"/>
      <c r="E16396" s="545"/>
      <c r="F16396" s="546"/>
      <c r="G16396" s="234"/>
      <c r="H16396" s="238"/>
      <c r="I16396" s="237"/>
    </row>
    <row r="16397" spans="1:9" s="232" customFormat="1" ht="17" customHeight="1">
      <c r="A16397" s="234"/>
      <c r="B16397" s="233"/>
      <c r="C16397" s="238"/>
      <c r="E16397" s="545"/>
      <c r="F16397" s="546"/>
      <c r="G16397" s="234"/>
      <c r="H16397" s="238"/>
      <c r="I16397" s="237"/>
    </row>
    <row r="16398" spans="1:9" s="232" customFormat="1" ht="17" customHeight="1">
      <c r="A16398" s="234"/>
      <c r="B16398" s="233"/>
      <c r="C16398" s="238"/>
      <c r="E16398" s="545"/>
      <c r="F16398" s="546"/>
      <c r="G16398" s="234"/>
      <c r="H16398" s="238"/>
      <c r="I16398" s="237"/>
    </row>
    <row r="16399" spans="1:9" s="232" customFormat="1" ht="17" customHeight="1">
      <c r="A16399" s="234"/>
      <c r="B16399" s="233"/>
      <c r="C16399" s="238"/>
      <c r="E16399" s="545"/>
      <c r="F16399" s="546"/>
      <c r="G16399" s="234"/>
      <c r="H16399" s="238"/>
      <c r="I16399" s="237"/>
    </row>
    <row r="16400" spans="1:9" s="232" customFormat="1" ht="17" customHeight="1">
      <c r="A16400" s="234"/>
      <c r="B16400" s="233"/>
      <c r="C16400" s="238"/>
      <c r="E16400" s="545"/>
      <c r="F16400" s="546"/>
      <c r="G16400" s="234"/>
      <c r="H16400" s="238"/>
      <c r="I16400" s="237"/>
    </row>
    <row r="16401" spans="1:9" s="232" customFormat="1" ht="17" customHeight="1">
      <c r="A16401" s="234"/>
      <c r="B16401" s="233"/>
      <c r="C16401" s="238"/>
      <c r="E16401" s="545"/>
      <c r="F16401" s="546"/>
      <c r="G16401" s="234"/>
      <c r="H16401" s="238"/>
      <c r="I16401" s="237"/>
    </row>
    <row r="16402" spans="1:9" s="232" customFormat="1" ht="17" customHeight="1">
      <c r="A16402" s="234"/>
      <c r="B16402" s="233"/>
      <c r="C16402" s="238"/>
      <c r="E16402" s="545"/>
      <c r="F16402" s="546"/>
      <c r="G16402" s="234"/>
      <c r="H16402" s="238"/>
      <c r="I16402" s="237"/>
    </row>
    <row r="16403" spans="1:9" s="232" customFormat="1" ht="17" customHeight="1">
      <c r="A16403" s="234"/>
      <c r="B16403" s="233"/>
      <c r="C16403" s="238"/>
      <c r="E16403" s="545"/>
      <c r="F16403" s="546"/>
      <c r="G16403" s="234"/>
      <c r="H16403" s="238"/>
      <c r="I16403" s="237"/>
    </row>
    <row r="16404" spans="1:9" s="232" customFormat="1" ht="17" customHeight="1">
      <c r="A16404" s="234"/>
      <c r="B16404" s="233"/>
      <c r="C16404" s="238"/>
      <c r="E16404" s="545"/>
      <c r="F16404" s="546"/>
      <c r="G16404" s="234"/>
      <c r="H16404" s="238"/>
      <c r="I16404" s="237"/>
    </row>
    <row r="16405" spans="1:9" s="232" customFormat="1" ht="17" customHeight="1">
      <c r="A16405" s="234"/>
      <c r="B16405" s="233"/>
      <c r="C16405" s="238"/>
      <c r="E16405" s="545"/>
      <c r="F16405" s="546"/>
      <c r="G16405" s="234"/>
      <c r="H16405" s="238"/>
      <c r="I16405" s="237"/>
    </row>
    <row r="16406" spans="1:9" s="232" customFormat="1" ht="17" customHeight="1">
      <c r="A16406" s="234"/>
      <c r="B16406" s="233"/>
      <c r="C16406" s="238"/>
      <c r="E16406" s="545"/>
      <c r="F16406" s="546"/>
      <c r="G16406" s="234"/>
      <c r="H16406" s="238"/>
      <c r="I16406" s="237"/>
    </row>
    <row r="16407" spans="1:9" s="232" customFormat="1" ht="17" customHeight="1">
      <c r="A16407" s="234"/>
      <c r="B16407" s="233"/>
      <c r="C16407" s="238"/>
      <c r="E16407" s="545"/>
      <c r="F16407" s="546"/>
      <c r="G16407" s="234"/>
      <c r="H16407" s="238"/>
      <c r="I16407" s="237"/>
    </row>
    <row r="16408" spans="1:9" s="232" customFormat="1" ht="17" customHeight="1">
      <c r="A16408" s="234"/>
      <c r="B16408" s="233"/>
      <c r="C16408" s="238"/>
      <c r="E16408" s="545"/>
      <c r="F16408" s="546"/>
      <c r="G16408" s="234"/>
      <c r="H16408" s="238"/>
      <c r="I16408" s="237"/>
    </row>
    <row r="16409" spans="1:9" s="232" customFormat="1" ht="17" customHeight="1">
      <c r="A16409" s="234"/>
      <c r="B16409" s="233"/>
      <c r="C16409" s="238"/>
      <c r="E16409" s="545"/>
      <c r="F16409" s="546"/>
      <c r="G16409" s="234"/>
      <c r="H16409" s="238"/>
      <c r="I16409" s="237"/>
    </row>
    <row r="16410" spans="1:9" s="232" customFormat="1" ht="17" customHeight="1">
      <c r="A16410" s="234"/>
      <c r="B16410" s="233"/>
      <c r="C16410" s="238"/>
      <c r="E16410" s="545"/>
      <c r="F16410" s="546"/>
      <c r="G16410" s="234"/>
      <c r="H16410" s="238"/>
      <c r="I16410" s="237"/>
    </row>
    <row r="16411" spans="1:9" s="232" customFormat="1" ht="17" customHeight="1">
      <c r="A16411" s="234"/>
      <c r="B16411" s="233"/>
      <c r="C16411" s="238"/>
      <c r="E16411" s="545"/>
      <c r="F16411" s="546"/>
      <c r="G16411" s="234"/>
      <c r="H16411" s="238"/>
      <c r="I16411" s="237"/>
    </row>
    <row r="16412" spans="1:9" s="232" customFormat="1" ht="17" customHeight="1">
      <c r="A16412" s="234"/>
      <c r="B16412" s="233"/>
      <c r="C16412" s="238"/>
      <c r="E16412" s="545"/>
      <c r="F16412" s="546"/>
      <c r="G16412" s="234"/>
      <c r="H16412" s="238"/>
      <c r="I16412" s="237"/>
    </row>
    <row r="16413" spans="1:9" s="232" customFormat="1" ht="17" customHeight="1">
      <c r="A16413" s="234"/>
      <c r="B16413" s="233"/>
      <c r="C16413" s="238"/>
      <c r="E16413" s="545"/>
      <c r="F16413" s="546"/>
      <c r="G16413" s="234"/>
      <c r="H16413" s="238"/>
      <c r="I16413" s="237"/>
    </row>
    <row r="16414" spans="1:9" s="232" customFormat="1" ht="17" customHeight="1">
      <c r="A16414" s="234"/>
      <c r="B16414" s="233"/>
      <c r="C16414" s="238"/>
      <c r="E16414" s="545"/>
      <c r="F16414" s="546"/>
      <c r="G16414" s="234"/>
      <c r="H16414" s="238"/>
      <c r="I16414" s="237"/>
    </row>
    <row r="16415" spans="1:9" s="232" customFormat="1" ht="17" customHeight="1">
      <c r="A16415" s="234"/>
      <c r="B16415" s="233"/>
      <c r="C16415" s="238"/>
      <c r="E16415" s="545"/>
      <c r="F16415" s="546"/>
      <c r="G16415" s="234"/>
      <c r="H16415" s="238"/>
      <c r="I16415" s="237"/>
    </row>
    <row r="16416" spans="1:9" s="232" customFormat="1" ht="17" customHeight="1">
      <c r="A16416" s="234"/>
      <c r="B16416" s="233"/>
      <c r="C16416" s="238"/>
      <c r="E16416" s="545"/>
      <c r="F16416" s="546"/>
      <c r="G16416" s="234"/>
      <c r="H16416" s="238"/>
      <c r="I16416" s="237"/>
    </row>
    <row r="16417" spans="1:9" s="232" customFormat="1" ht="17" customHeight="1">
      <c r="A16417" s="234"/>
      <c r="B16417" s="233"/>
      <c r="C16417" s="238"/>
      <c r="E16417" s="545"/>
      <c r="F16417" s="546"/>
      <c r="G16417" s="234"/>
      <c r="H16417" s="238"/>
      <c r="I16417" s="237"/>
    </row>
    <row r="16418" spans="1:9" s="232" customFormat="1" ht="17" customHeight="1">
      <c r="A16418" s="234"/>
      <c r="B16418" s="233"/>
      <c r="C16418" s="238"/>
      <c r="E16418" s="545"/>
      <c r="F16418" s="546"/>
      <c r="G16418" s="234"/>
      <c r="H16418" s="238"/>
      <c r="I16418" s="237"/>
    </row>
    <row r="16419" spans="1:9" s="232" customFormat="1" ht="17" customHeight="1">
      <c r="A16419" s="234"/>
      <c r="B16419" s="233"/>
      <c r="C16419" s="238"/>
      <c r="E16419" s="545"/>
      <c r="F16419" s="546"/>
      <c r="G16419" s="234"/>
      <c r="H16419" s="238"/>
      <c r="I16419" s="237"/>
    </row>
    <row r="16420" spans="1:9" s="232" customFormat="1" ht="17" customHeight="1">
      <c r="A16420" s="234"/>
      <c r="B16420" s="233"/>
      <c r="C16420" s="238"/>
      <c r="E16420" s="545"/>
      <c r="F16420" s="546"/>
      <c r="G16420" s="234"/>
      <c r="H16420" s="238"/>
      <c r="I16420" s="237"/>
    </row>
    <row r="16421" spans="1:9" s="232" customFormat="1" ht="17" customHeight="1">
      <c r="A16421" s="234"/>
      <c r="B16421" s="233"/>
      <c r="C16421" s="238"/>
      <c r="E16421" s="545"/>
      <c r="F16421" s="546"/>
      <c r="G16421" s="234"/>
      <c r="H16421" s="238"/>
      <c r="I16421" s="237"/>
    </row>
    <row r="16422" spans="1:9" s="232" customFormat="1" ht="17" customHeight="1">
      <c r="A16422" s="234"/>
      <c r="B16422" s="233"/>
      <c r="C16422" s="238"/>
      <c r="E16422" s="545"/>
      <c r="F16422" s="546"/>
      <c r="G16422" s="234"/>
      <c r="H16422" s="238"/>
      <c r="I16422" s="237"/>
    </row>
    <row r="16423" spans="1:9" s="232" customFormat="1" ht="17" customHeight="1">
      <c r="A16423" s="234"/>
      <c r="B16423" s="233"/>
      <c r="C16423" s="238"/>
      <c r="E16423" s="545"/>
      <c r="F16423" s="546"/>
      <c r="G16423" s="234"/>
      <c r="H16423" s="238"/>
      <c r="I16423" s="237"/>
    </row>
    <row r="16424" spans="1:9" s="232" customFormat="1" ht="17" customHeight="1">
      <c r="A16424" s="234"/>
      <c r="B16424" s="233"/>
      <c r="C16424" s="238"/>
      <c r="E16424" s="545"/>
      <c r="F16424" s="546"/>
      <c r="G16424" s="234"/>
      <c r="H16424" s="238"/>
      <c r="I16424" s="237"/>
    </row>
    <row r="16425" spans="1:9" s="232" customFormat="1" ht="17" customHeight="1">
      <c r="A16425" s="234"/>
      <c r="B16425" s="233"/>
      <c r="C16425" s="238"/>
      <c r="E16425" s="545"/>
      <c r="F16425" s="546"/>
      <c r="G16425" s="234"/>
      <c r="H16425" s="238"/>
      <c r="I16425" s="237"/>
    </row>
    <row r="16426" spans="1:9" s="232" customFormat="1" ht="17" customHeight="1">
      <c r="A16426" s="234"/>
      <c r="B16426" s="233"/>
      <c r="C16426" s="238"/>
      <c r="E16426" s="545"/>
      <c r="F16426" s="546"/>
      <c r="G16426" s="234"/>
      <c r="H16426" s="238"/>
      <c r="I16426" s="237"/>
    </row>
    <row r="16427" spans="1:9" s="232" customFormat="1" ht="17" customHeight="1">
      <c r="A16427" s="234"/>
      <c r="B16427" s="233"/>
      <c r="C16427" s="238"/>
      <c r="E16427" s="545"/>
      <c r="F16427" s="546"/>
      <c r="G16427" s="234"/>
      <c r="H16427" s="238"/>
      <c r="I16427" s="237"/>
    </row>
    <row r="16428" spans="1:9" s="232" customFormat="1" ht="17" customHeight="1">
      <c r="A16428" s="234"/>
      <c r="B16428" s="233"/>
      <c r="C16428" s="238"/>
      <c r="E16428" s="545"/>
      <c r="F16428" s="546"/>
      <c r="G16428" s="234"/>
      <c r="H16428" s="238"/>
      <c r="I16428" s="237"/>
    </row>
    <row r="16429" spans="1:9" s="232" customFormat="1" ht="17" customHeight="1">
      <c r="A16429" s="234"/>
      <c r="B16429" s="233"/>
      <c r="C16429" s="238"/>
      <c r="E16429" s="545"/>
      <c r="F16429" s="546"/>
      <c r="G16429" s="234"/>
      <c r="H16429" s="238"/>
      <c r="I16429" s="237"/>
    </row>
    <row r="16430" spans="1:9" s="232" customFormat="1" ht="17" customHeight="1">
      <c r="A16430" s="234"/>
      <c r="B16430" s="233"/>
      <c r="C16430" s="238"/>
      <c r="E16430" s="545"/>
      <c r="F16430" s="546"/>
      <c r="G16430" s="234"/>
      <c r="H16430" s="238"/>
      <c r="I16430" s="237"/>
    </row>
    <row r="16431" spans="1:9" s="232" customFormat="1" ht="17" customHeight="1">
      <c r="A16431" s="234"/>
      <c r="B16431" s="233"/>
      <c r="C16431" s="238"/>
      <c r="E16431" s="545"/>
      <c r="F16431" s="546"/>
      <c r="G16431" s="234"/>
      <c r="H16431" s="238"/>
      <c r="I16431" s="237"/>
    </row>
    <row r="16432" spans="1:9" s="232" customFormat="1" ht="17" customHeight="1">
      <c r="A16432" s="234"/>
      <c r="B16432" s="233"/>
      <c r="C16432" s="238"/>
      <c r="E16432" s="545"/>
      <c r="F16432" s="546"/>
      <c r="G16432" s="234"/>
      <c r="H16432" s="238"/>
      <c r="I16432" s="237"/>
    </row>
    <row r="16433" spans="1:9" s="232" customFormat="1" ht="17" customHeight="1">
      <c r="A16433" s="234"/>
      <c r="B16433" s="233"/>
      <c r="C16433" s="238"/>
      <c r="E16433" s="545"/>
      <c r="F16433" s="546"/>
      <c r="G16433" s="234"/>
      <c r="H16433" s="238"/>
      <c r="I16433" s="237"/>
    </row>
    <row r="16434" spans="1:9" s="232" customFormat="1" ht="17" customHeight="1">
      <c r="A16434" s="234"/>
      <c r="B16434" s="233"/>
      <c r="C16434" s="238"/>
      <c r="E16434" s="545"/>
      <c r="F16434" s="546"/>
      <c r="G16434" s="234"/>
      <c r="H16434" s="238"/>
      <c r="I16434" s="237"/>
    </row>
    <row r="16435" spans="1:9" s="232" customFormat="1" ht="17" customHeight="1">
      <c r="A16435" s="234"/>
      <c r="B16435" s="233"/>
      <c r="C16435" s="238"/>
      <c r="E16435" s="545"/>
      <c r="F16435" s="546"/>
      <c r="G16435" s="234"/>
      <c r="H16435" s="238"/>
      <c r="I16435" s="237"/>
    </row>
    <row r="16436" spans="1:9" s="232" customFormat="1" ht="17" customHeight="1">
      <c r="A16436" s="234"/>
      <c r="B16436" s="233"/>
      <c r="C16436" s="238"/>
      <c r="E16436" s="545"/>
      <c r="F16436" s="546"/>
      <c r="G16436" s="234"/>
      <c r="H16436" s="238"/>
      <c r="I16436" s="237"/>
    </row>
    <row r="16437" spans="1:9" s="232" customFormat="1" ht="17" customHeight="1">
      <c r="A16437" s="234"/>
      <c r="B16437" s="233"/>
      <c r="C16437" s="238"/>
      <c r="E16437" s="545"/>
      <c r="F16437" s="546"/>
      <c r="G16437" s="234"/>
      <c r="H16437" s="238"/>
      <c r="I16437" s="237"/>
    </row>
    <row r="16438" spans="1:9" s="232" customFormat="1" ht="17" customHeight="1">
      <c r="A16438" s="234"/>
      <c r="B16438" s="233"/>
      <c r="C16438" s="238"/>
      <c r="E16438" s="545"/>
      <c r="F16438" s="546"/>
      <c r="G16438" s="234"/>
      <c r="H16438" s="238"/>
      <c r="I16438" s="237"/>
    </row>
    <row r="16439" spans="1:9" s="232" customFormat="1" ht="17" customHeight="1">
      <c r="A16439" s="234"/>
      <c r="B16439" s="233"/>
      <c r="C16439" s="238"/>
      <c r="E16439" s="545"/>
      <c r="F16439" s="546"/>
      <c r="G16439" s="234"/>
      <c r="H16439" s="238"/>
      <c r="I16439" s="237"/>
    </row>
    <row r="16440" spans="1:9" s="232" customFormat="1" ht="17" customHeight="1">
      <c r="A16440" s="234"/>
      <c r="B16440" s="233"/>
      <c r="C16440" s="238"/>
      <c r="E16440" s="545"/>
      <c r="F16440" s="546"/>
      <c r="G16440" s="234"/>
      <c r="H16440" s="238"/>
      <c r="I16440" s="237"/>
    </row>
    <row r="16441" spans="1:9" s="232" customFormat="1" ht="17" customHeight="1">
      <c r="A16441" s="234"/>
      <c r="B16441" s="233"/>
      <c r="C16441" s="238"/>
      <c r="E16441" s="545"/>
      <c r="F16441" s="546"/>
      <c r="G16441" s="234"/>
      <c r="H16441" s="238"/>
      <c r="I16441" s="237"/>
    </row>
    <row r="16442" spans="1:9" s="232" customFormat="1" ht="17" customHeight="1">
      <c r="A16442" s="234"/>
      <c r="B16442" s="233"/>
      <c r="C16442" s="238"/>
      <c r="E16442" s="545"/>
      <c r="F16442" s="546"/>
      <c r="G16442" s="234"/>
      <c r="H16442" s="238"/>
      <c r="I16442" s="237"/>
    </row>
    <row r="16443" spans="1:9" s="232" customFormat="1" ht="17" customHeight="1">
      <c r="A16443" s="234"/>
      <c r="B16443" s="233"/>
      <c r="C16443" s="238"/>
      <c r="E16443" s="545"/>
      <c r="F16443" s="546"/>
      <c r="G16443" s="234"/>
      <c r="H16443" s="238"/>
      <c r="I16443" s="237"/>
    </row>
    <row r="16444" spans="1:9" s="232" customFormat="1" ht="17" customHeight="1">
      <c r="A16444" s="234"/>
      <c r="B16444" s="233"/>
      <c r="C16444" s="238"/>
      <c r="E16444" s="545"/>
      <c r="F16444" s="546"/>
      <c r="G16444" s="234"/>
      <c r="H16444" s="238"/>
      <c r="I16444" s="237"/>
    </row>
    <row r="16445" spans="1:9" s="232" customFormat="1" ht="17" customHeight="1">
      <c r="A16445" s="234"/>
      <c r="B16445" s="233"/>
      <c r="C16445" s="238"/>
      <c r="E16445" s="545"/>
      <c r="F16445" s="546"/>
      <c r="G16445" s="234"/>
      <c r="H16445" s="238"/>
      <c r="I16445" s="237"/>
    </row>
    <row r="16446" spans="1:9" s="232" customFormat="1" ht="17" customHeight="1">
      <c r="A16446" s="234"/>
      <c r="B16446" s="233"/>
      <c r="C16446" s="238"/>
      <c r="E16446" s="545"/>
      <c r="F16446" s="546"/>
      <c r="G16446" s="234"/>
      <c r="H16446" s="238"/>
      <c r="I16446" s="237"/>
    </row>
    <row r="16447" spans="1:9" s="232" customFormat="1" ht="17" customHeight="1">
      <c r="A16447" s="234"/>
      <c r="B16447" s="233"/>
      <c r="C16447" s="238"/>
      <c r="E16447" s="545"/>
      <c r="F16447" s="546"/>
      <c r="G16447" s="234"/>
      <c r="H16447" s="238"/>
      <c r="I16447" s="237"/>
    </row>
    <row r="16448" spans="1:9" s="232" customFormat="1" ht="17" customHeight="1">
      <c r="A16448" s="234"/>
      <c r="B16448" s="233"/>
      <c r="C16448" s="238"/>
      <c r="E16448" s="545"/>
      <c r="F16448" s="546"/>
      <c r="G16448" s="234"/>
      <c r="H16448" s="238"/>
      <c r="I16448" s="237"/>
    </row>
    <row r="16449" spans="1:9" s="232" customFormat="1" ht="17" customHeight="1">
      <c r="A16449" s="234"/>
      <c r="B16449" s="233"/>
      <c r="C16449" s="238"/>
      <c r="E16449" s="545"/>
      <c r="F16449" s="546"/>
      <c r="G16449" s="234"/>
      <c r="H16449" s="238"/>
      <c r="I16449" s="237"/>
    </row>
    <row r="16450" spans="1:9" s="232" customFormat="1" ht="17" customHeight="1">
      <c r="A16450" s="234"/>
      <c r="B16450" s="233"/>
      <c r="C16450" s="238"/>
      <c r="E16450" s="545"/>
      <c r="F16450" s="546"/>
      <c r="G16450" s="234"/>
      <c r="H16450" s="238"/>
      <c r="I16450" s="237"/>
    </row>
    <row r="16451" spans="1:9" s="232" customFormat="1" ht="17" customHeight="1">
      <c r="A16451" s="234"/>
      <c r="B16451" s="233"/>
      <c r="C16451" s="238"/>
      <c r="E16451" s="545"/>
      <c r="F16451" s="546"/>
      <c r="G16451" s="234"/>
      <c r="H16451" s="238"/>
      <c r="I16451" s="237"/>
    </row>
    <row r="16452" spans="1:9" s="232" customFormat="1" ht="17" customHeight="1">
      <c r="A16452" s="234"/>
      <c r="B16452" s="233"/>
      <c r="C16452" s="238"/>
      <c r="E16452" s="545"/>
      <c r="F16452" s="546"/>
      <c r="G16452" s="234"/>
      <c r="H16452" s="238"/>
      <c r="I16452" s="237"/>
    </row>
    <row r="16453" spans="1:9" s="232" customFormat="1" ht="17" customHeight="1">
      <c r="A16453" s="234"/>
      <c r="B16453" s="233"/>
      <c r="C16453" s="238"/>
      <c r="E16453" s="545"/>
      <c r="F16453" s="546"/>
      <c r="G16453" s="234"/>
      <c r="H16453" s="238"/>
      <c r="I16453" s="237"/>
    </row>
    <row r="16454" spans="1:9" s="232" customFormat="1" ht="17" customHeight="1">
      <c r="A16454" s="234"/>
      <c r="B16454" s="233"/>
      <c r="C16454" s="238"/>
      <c r="E16454" s="545"/>
      <c r="F16454" s="546"/>
      <c r="G16454" s="234"/>
      <c r="H16454" s="238"/>
      <c r="I16454" s="237"/>
    </row>
    <row r="16455" spans="1:9" s="232" customFormat="1" ht="17" customHeight="1">
      <c r="A16455" s="234"/>
      <c r="B16455" s="233"/>
      <c r="C16455" s="238"/>
      <c r="E16455" s="545"/>
      <c r="F16455" s="546"/>
      <c r="G16455" s="234"/>
      <c r="H16455" s="238"/>
      <c r="I16455" s="237"/>
    </row>
    <row r="16456" spans="1:9" s="232" customFormat="1" ht="17" customHeight="1">
      <c r="A16456" s="234"/>
      <c r="B16456" s="233"/>
      <c r="C16456" s="238"/>
      <c r="E16456" s="545"/>
      <c r="F16456" s="546"/>
      <c r="G16456" s="234"/>
      <c r="H16456" s="238"/>
      <c r="I16456" s="237"/>
    </row>
    <row r="16457" spans="1:9" s="232" customFormat="1" ht="17" customHeight="1">
      <c r="A16457" s="234"/>
      <c r="B16457" s="233"/>
      <c r="C16457" s="238"/>
      <c r="E16457" s="545"/>
      <c r="F16457" s="546"/>
      <c r="G16457" s="234"/>
      <c r="H16457" s="238"/>
      <c r="I16457" s="237"/>
    </row>
    <row r="16458" spans="1:9" s="232" customFormat="1" ht="17" customHeight="1">
      <c r="A16458" s="234"/>
      <c r="B16458" s="233"/>
      <c r="C16458" s="238"/>
      <c r="E16458" s="545"/>
      <c r="F16458" s="546"/>
      <c r="G16458" s="234"/>
      <c r="H16458" s="238"/>
      <c r="I16458" s="237"/>
    </row>
    <row r="16459" spans="1:9" s="232" customFormat="1" ht="17" customHeight="1">
      <c r="A16459" s="234"/>
      <c r="B16459" s="233"/>
      <c r="C16459" s="238"/>
      <c r="E16459" s="545"/>
      <c r="F16459" s="546"/>
      <c r="G16459" s="234"/>
      <c r="H16459" s="238"/>
      <c r="I16459" s="237"/>
    </row>
    <row r="16460" spans="1:9" s="232" customFormat="1" ht="17" customHeight="1">
      <c r="A16460" s="234"/>
      <c r="B16460" s="233"/>
      <c r="C16460" s="238"/>
      <c r="E16460" s="545"/>
      <c r="F16460" s="546"/>
      <c r="G16460" s="234"/>
      <c r="H16460" s="238"/>
      <c r="I16460" s="237"/>
    </row>
    <row r="16461" spans="1:9" s="232" customFormat="1" ht="17" customHeight="1">
      <c r="A16461" s="234"/>
      <c r="B16461" s="233"/>
      <c r="C16461" s="238"/>
      <c r="E16461" s="545"/>
      <c r="F16461" s="546"/>
      <c r="G16461" s="234"/>
      <c r="H16461" s="238"/>
      <c r="I16461" s="237"/>
    </row>
    <row r="16462" spans="1:9" s="232" customFormat="1" ht="17" customHeight="1">
      <c r="A16462" s="234"/>
      <c r="B16462" s="233"/>
      <c r="C16462" s="238"/>
      <c r="E16462" s="545"/>
      <c r="F16462" s="546"/>
      <c r="G16462" s="234"/>
      <c r="H16462" s="238"/>
      <c r="I16462" s="237"/>
    </row>
    <row r="16463" spans="1:9" s="232" customFormat="1" ht="17" customHeight="1">
      <c r="A16463" s="234"/>
      <c r="B16463" s="233"/>
      <c r="C16463" s="238"/>
      <c r="E16463" s="545"/>
      <c r="F16463" s="546"/>
      <c r="G16463" s="234"/>
      <c r="H16463" s="238"/>
      <c r="I16463" s="237"/>
    </row>
    <row r="16464" spans="1:9" s="232" customFormat="1" ht="17" customHeight="1">
      <c r="A16464" s="234"/>
      <c r="B16464" s="233"/>
      <c r="C16464" s="238"/>
      <c r="E16464" s="545"/>
      <c r="F16464" s="546"/>
      <c r="G16464" s="234"/>
      <c r="H16464" s="238"/>
      <c r="I16464" s="237"/>
    </row>
    <row r="16465" spans="1:9" s="232" customFormat="1" ht="17" customHeight="1">
      <c r="A16465" s="234"/>
      <c r="B16465" s="233"/>
      <c r="C16465" s="238"/>
      <c r="E16465" s="545"/>
      <c r="F16465" s="546"/>
      <c r="G16465" s="234"/>
      <c r="H16465" s="238"/>
      <c r="I16465" s="237"/>
    </row>
    <row r="16466" spans="1:9" s="232" customFormat="1" ht="17" customHeight="1">
      <c r="A16466" s="234"/>
      <c r="B16466" s="233"/>
      <c r="C16466" s="238"/>
      <c r="E16466" s="545"/>
      <c r="F16466" s="546"/>
      <c r="G16466" s="234"/>
      <c r="H16466" s="238"/>
      <c r="I16466" s="237"/>
    </row>
    <row r="16467" spans="1:9" s="232" customFormat="1" ht="17" customHeight="1">
      <c r="A16467" s="234"/>
      <c r="B16467" s="233"/>
      <c r="C16467" s="238"/>
      <c r="E16467" s="545"/>
      <c r="F16467" s="546"/>
      <c r="G16467" s="234"/>
      <c r="H16467" s="238"/>
      <c r="I16467" s="237"/>
    </row>
    <row r="16468" spans="1:9" s="232" customFormat="1" ht="17" customHeight="1">
      <c r="A16468" s="234"/>
      <c r="B16468" s="233"/>
      <c r="C16468" s="238"/>
      <c r="E16468" s="545"/>
      <c r="F16468" s="546"/>
      <c r="G16468" s="234"/>
      <c r="H16468" s="238"/>
      <c r="I16468" s="237"/>
    </row>
    <row r="16469" spans="1:9" s="232" customFormat="1" ht="17" customHeight="1">
      <c r="A16469" s="234"/>
      <c r="B16469" s="233"/>
      <c r="C16469" s="238"/>
      <c r="E16469" s="545"/>
      <c r="F16469" s="546"/>
      <c r="G16469" s="234"/>
      <c r="H16469" s="238"/>
      <c r="I16469" s="237"/>
    </row>
    <row r="16470" spans="1:9" s="232" customFormat="1" ht="17" customHeight="1">
      <c r="A16470" s="234"/>
      <c r="B16470" s="233"/>
      <c r="C16470" s="238"/>
      <c r="E16470" s="545"/>
      <c r="F16470" s="546"/>
      <c r="G16470" s="234"/>
      <c r="H16470" s="238"/>
      <c r="I16470" s="237"/>
    </row>
    <row r="16471" spans="1:9" s="232" customFormat="1" ht="17" customHeight="1">
      <c r="A16471" s="234"/>
      <c r="B16471" s="233"/>
      <c r="C16471" s="238"/>
      <c r="E16471" s="545"/>
      <c r="F16471" s="546"/>
      <c r="G16471" s="234"/>
      <c r="H16471" s="238"/>
      <c r="I16471" s="237"/>
    </row>
    <row r="16472" spans="1:9" s="232" customFormat="1" ht="17" customHeight="1">
      <c r="A16472" s="234"/>
      <c r="B16472" s="233"/>
      <c r="C16472" s="238"/>
      <c r="E16472" s="545"/>
      <c r="F16472" s="546"/>
      <c r="G16472" s="234"/>
      <c r="H16472" s="238"/>
      <c r="I16472" s="237"/>
    </row>
    <row r="16473" spans="1:9" s="232" customFormat="1" ht="17" customHeight="1">
      <c r="A16473" s="234"/>
      <c r="B16473" s="233"/>
      <c r="C16473" s="238"/>
      <c r="E16473" s="545"/>
      <c r="F16473" s="546"/>
      <c r="G16473" s="234"/>
      <c r="H16473" s="238"/>
      <c r="I16473" s="237"/>
    </row>
    <row r="16474" spans="1:9" s="232" customFormat="1" ht="17" customHeight="1">
      <c r="A16474" s="234"/>
      <c r="B16474" s="233"/>
      <c r="C16474" s="238"/>
      <c r="E16474" s="545"/>
      <c r="F16474" s="546"/>
      <c r="G16474" s="234"/>
      <c r="H16474" s="238"/>
      <c r="I16474" s="237"/>
    </row>
    <row r="16475" spans="1:9" s="232" customFormat="1" ht="17" customHeight="1">
      <c r="A16475" s="234"/>
      <c r="B16475" s="233"/>
      <c r="C16475" s="238"/>
      <c r="E16475" s="545"/>
      <c r="F16475" s="546"/>
      <c r="G16475" s="234"/>
      <c r="H16475" s="238"/>
      <c r="I16475" s="237"/>
    </row>
    <row r="16476" spans="1:9" s="232" customFormat="1" ht="17" customHeight="1">
      <c r="A16476" s="234"/>
      <c r="B16476" s="233"/>
      <c r="C16476" s="238"/>
      <c r="E16476" s="545"/>
      <c r="F16476" s="546"/>
      <c r="G16476" s="234"/>
      <c r="H16476" s="238"/>
      <c r="I16476" s="237"/>
    </row>
    <row r="16477" spans="1:9" s="232" customFormat="1" ht="17" customHeight="1">
      <c r="A16477" s="234"/>
      <c r="B16477" s="233"/>
      <c r="C16477" s="238"/>
      <c r="E16477" s="545"/>
      <c r="F16477" s="546"/>
      <c r="G16477" s="234"/>
      <c r="H16477" s="238"/>
      <c r="I16477" s="237"/>
    </row>
    <row r="16478" spans="1:9" s="232" customFormat="1" ht="17" customHeight="1">
      <c r="A16478" s="234"/>
      <c r="B16478" s="233"/>
      <c r="C16478" s="238"/>
      <c r="E16478" s="545"/>
      <c r="F16478" s="546"/>
      <c r="G16478" s="234"/>
      <c r="H16478" s="238"/>
      <c r="I16478" s="237"/>
    </row>
    <row r="16479" spans="1:9" s="232" customFormat="1" ht="17" customHeight="1">
      <c r="A16479" s="234"/>
      <c r="B16479" s="233"/>
      <c r="C16479" s="238"/>
      <c r="E16479" s="545"/>
      <c r="F16479" s="546"/>
      <c r="G16479" s="234"/>
      <c r="H16479" s="238"/>
      <c r="I16479" s="237"/>
    </row>
    <row r="16480" spans="1:9" s="232" customFormat="1" ht="17" customHeight="1">
      <c r="A16480" s="234"/>
      <c r="B16480" s="233"/>
      <c r="C16480" s="238"/>
      <c r="E16480" s="545"/>
      <c r="F16480" s="546"/>
      <c r="G16480" s="234"/>
      <c r="H16480" s="238"/>
      <c r="I16480" s="237"/>
    </row>
    <row r="16481" spans="1:9" s="232" customFormat="1" ht="17" customHeight="1">
      <c r="A16481" s="234"/>
      <c r="B16481" s="233"/>
      <c r="C16481" s="238"/>
      <c r="E16481" s="545"/>
      <c r="F16481" s="546"/>
      <c r="G16481" s="234"/>
      <c r="H16481" s="238"/>
      <c r="I16481" s="237"/>
    </row>
    <row r="16482" spans="1:9" s="232" customFormat="1" ht="17" customHeight="1">
      <c r="A16482" s="234"/>
      <c r="B16482" s="233"/>
      <c r="C16482" s="238"/>
      <c r="E16482" s="545"/>
      <c r="F16482" s="546"/>
      <c r="G16482" s="234"/>
      <c r="H16482" s="238"/>
      <c r="I16482" s="237"/>
    </row>
    <row r="16483" spans="1:9" s="232" customFormat="1" ht="17" customHeight="1">
      <c r="A16483" s="234"/>
      <c r="B16483" s="233"/>
      <c r="C16483" s="238"/>
      <c r="E16483" s="545"/>
      <c r="F16483" s="546"/>
      <c r="G16483" s="234"/>
      <c r="H16483" s="238"/>
      <c r="I16483" s="237"/>
    </row>
    <row r="16484" spans="1:9" s="232" customFormat="1" ht="17" customHeight="1">
      <c r="A16484" s="234"/>
      <c r="B16484" s="233"/>
      <c r="C16484" s="238"/>
      <c r="E16484" s="545"/>
      <c r="F16484" s="546"/>
      <c r="G16484" s="234"/>
      <c r="H16484" s="238"/>
      <c r="I16484" s="237"/>
    </row>
    <row r="16485" spans="1:9" s="232" customFormat="1" ht="17" customHeight="1">
      <c r="A16485" s="234"/>
      <c r="B16485" s="233"/>
      <c r="C16485" s="238"/>
      <c r="E16485" s="545"/>
      <c r="F16485" s="546"/>
      <c r="G16485" s="234"/>
      <c r="H16485" s="238"/>
      <c r="I16485" s="237"/>
    </row>
    <row r="16486" spans="1:9" s="232" customFormat="1" ht="17" customHeight="1">
      <c r="A16486" s="234"/>
      <c r="B16486" s="233"/>
      <c r="C16486" s="238"/>
      <c r="E16486" s="545"/>
      <c r="F16486" s="546"/>
      <c r="G16486" s="234"/>
      <c r="H16486" s="238"/>
      <c r="I16486" s="237"/>
    </row>
    <row r="16487" spans="1:9" s="232" customFormat="1" ht="17" customHeight="1">
      <c r="A16487" s="234"/>
      <c r="B16487" s="233"/>
      <c r="C16487" s="238"/>
      <c r="E16487" s="545"/>
      <c r="F16487" s="546"/>
      <c r="G16487" s="234"/>
      <c r="H16487" s="238"/>
      <c r="I16487" s="237"/>
    </row>
    <row r="16488" spans="1:9" s="232" customFormat="1" ht="17" customHeight="1">
      <c r="A16488" s="234"/>
      <c r="B16488" s="233"/>
      <c r="C16488" s="238"/>
      <c r="E16488" s="545"/>
      <c r="F16488" s="546"/>
      <c r="G16488" s="234"/>
      <c r="H16488" s="238"/>
      <c r="I16488" s="237"/>
    </row>
    <row r="16489" spans="1:9" s="232" customFormat="1" ht="17" customHeight="1">
      <c r="A16489" s="234"/>
      <c r="B16489" s="233"/>
      <c r="C16489" s="238"/>
      <c r="E16489" s="545"/>
      <c r="F16489" s="546"/>
      <c r="G16489" s="234"/>
      <c r="H16489" s="238"/>
      <c r="I16489" s="237"/>
    </row>
    <row r="16490" spans="1:9" s="232" customFormat="1" ht="17" customHeight="1">
      <c r="A16490" s="234"/>
      <c r="B16490" s="233"/>
      <c r="C16490" s="238"/>
      <c r="E16490" s="545"/>
      <c r="F16490" s="546"/>
      <c r="G16490" s="234"/>
      <c r="H16490" s="238"/>
      <c r="I16490" s="237"/>
    </row>
    <row r="16491" spans="1:9" s="232" customFormat="1" ht="17" customHeight="1">
      <c r="A16491" s="234"/>
      <c r="B16491" s="233"/>
      <c r="C16491" s="238"/>
      <c r="E16491" s="545"/>
      <c r="F16491" s="546"/>
      <c r="G16491" s="234"/>
      <c r="H16491" s="238"/>
      <c r="I16491" s="237"/>
    </row>
    <row r="16492" spans="1:9" s="232" customFormat="1" ht="17" customHeight="1">
      <c r="A16492" s="234"/>
      <c r="B16492" s="233"/>
      <c r="C16492" s="238"/>
      <c r="E16492" s="545"/>
      <c r="F16492" s="546"/>
      <c r="G16492" s="234"/>
      <c r="H16492" s="238"/>
      <c r="I16492" s="237"/>
    </row>
    <row r="16493" spans="1:9" s="232" customFormat="1" ht="17" customHeight="1">
      <c r="A16493" s="234"/>
      <c r="B16493" s="233"/>
      <c r="C16493" s="238"/>
      <c r="E16493" s="545"/>
      <c r="F16493" s="546"/>
      <c r="G16493" s="234"/>
      <c r="H16493" s="238"/>
      <c r="I16493" s="237"/>
    </row>
    <row r="16494" spans="1:9" s="232" customFormat="1" ht="17" customHeight="1">
      <c r="A16494" s="234"/>
      <c r="B16494" s="233"/>
      <c r="C16494" s="238"/>
      <c r="E16494" s="545"/>
      <c r="F16494" s="546"/>
      <c r="G16494" s="234"/>
      <c r="H16494" s="238"/>
      <c r="I16494" s="237"/>
    </row>
    <row r="16495" spans="1:9" s="232" customFormat="1" ht="17" customHeight="1">
      <c r="A16495" s="234"/>
      <c r="B16495" s="233"/>
      <c r="C16495" s="238"/>
      <c r="E16495" s="545"/>
      <c r="F16495" s="546"/>
      <c r="G16495" s="234"/>
      <c r="H16495" s="238"/>
      <c r="I16495" s="237"/>
    </row>
    <row r="16496" spans="1:9" s="232" customFormat="1" ht="17" customHeight="1">
      <c r="A16496" s="234"/>
      <c r="B16496" s="233"/>
      <c r="C16496" s="238"/>
      <c r="E16496" s="545"/>
      <c r="F16496" s="546"/>
      <c r="G16496" s="234"/>
      <c r="H16496" s="238"/>
      <c r="I16496" s="237"/>
    </row>
    <row r="16497" spans="1:9" s="232" customFormat="1" ht="17" customHeight="1">
      <c r="A16497" s="234"/>
      <c r="B16497" s="233"/>
      <c r="C16497" s="238"/>
      <c r="E16497" s="545"/>
      <c r="F16497" s="546"/>
      <c r="G16497" s="234"/>
      <c r="H16497" s="238"/>
      <c r="I16497" s="237"/>
    </row>
    <row r="16498" spans="1:9" s="232" customFormat="1" ht="17" customHeight="1">
      <c r="A16498" s="234"/>
      <c r="B16498" s="233"/>
      <c r="C16498" s="238"/>
      <c r="E16498" s="545"/>
      <c r="F16498" s="546"/>
      <c r="G16498" s="234"/>
      <c r="H16498" s="238"/>
      <c r="I16498" s="237"/>
    </row>
    <row r="16499" spans="1:9" s="232" customFormat="1" ht="17" customHeight="1">
      <c r="A16499" s="234"/>
      <c r="B16499" s="233"/>
      <c r="C16499" s="238"/>
      <c r="E16499" s="545"/>
      <c r="F16499" s="546"/>
      <c r="G16499" s="234"/>
      <c r="H16499" s="238"/>
      <c r="I16499" s="237"/>
    </row>
    <row r="16500" spans="1:9" s="232" customFormat="1" ht="17" customHeight="1">
      <c r="A16500" s="234"/>
      <c r="B16500" s="233"/>
      <c r="C16500" s="238"/>
      <c r="E16500" s="545"/>
      <c r="F16500" s="546"/>
      <c r="G16500" s="234"/>
      <c r="H16500" s="238"/>
      <c r="I16500" s="237"/>
    </row>
    <row r="16501" spans="1:9" s="232" customFormat="1" ht="17" customHeight="1">
      <c r="A16501" s="234"/>
      <c r="B16501" s="233"/>
      <c r="C16501" s="238"/>
      <c r="E16501" s="545"/>
      <c r="F16501" s="546"/>
      <c r="G16501" s="234"/>
      <c r="H16501" s="238"/>
      <c r="I16501" s="237"/>
    </row>
    <row r="16502" spans="1:9" s="232" customFormat="1" ht="17" customHeight="1">
      <c r="A16502" s="234"/>
      <c r="B16502" s="233"/>
      <c r="C16502" s="238"/>
      <c r="E16502" s="545"/>
      <c r="F16502" s="546"/>
      <c r="G16502" s="234"/>
      <c r="H16502" s="238"/>
      <c r="I16502" s="237"/>
    </row>
    <row r="16503" spans="1:9" s="232" customFormat="1" ht="17" customHeight="1">
      <c r="A16503" s="234"/>
      <c r="B16503" s="233"/>
      <c r="C16503" s="238"/>
      <c r="E16503" s="545"/>
      <c r="F16503" s="546"/>
      <c r="G16503" s="234"/>
      <c r="H16503" s="238"/>
      <c r="I16503" s="237"/>
    </row>
    <row r="16504" spans="1:9" s="232" customFormat="1" ht="17" customHeight="1">
      <c r="A16504" s="234"/>
      <c r="B16504" s="233"/>
      <c r="C16504" s="238"/>
      <c r="E16504" s="545"/>
      <c r="F16504" s="546"/>
      <c r="G16504" s="234"/>
      <c r="H16504" s="238"/>
      <c r="I16504" s="237"/>
    </row>
    <row r="16505" spans="1:9" s="232" customFormat="1" ht="17" customHeight="1">
      <c r="A16505" s="234"/>
      <c r="B16505" s="233"/>
      <c r="C16505" s="238"/>
      <c r="E16505" s="545"/>
      <c r="F16505" s="546"/>
      <c r="G16505" s="234"/>
      <c r="H16505" s="238"/>
      <c r="I16505" s="237"/>
    </row>
    <row r="16506" spans="1:9" s="232" customFormat="1" ht="17" customHeight="1">
      <c r="A16506" s="234"/>
      <c r="B16506" s="233"/>
      <c r="C16506" s="238"/>
      <c r="E16506" s="545"/>
      <c r="F16506" s="546"/>
      <c r="G16506" s="234"/>
      <c r="H16506" s="238"/>
      <c r="I16506" s="237"/>
    </row>
    <row r="16507" spans="1:9" s="232" customFormat="1" ht="17" customHeight="1">
      <c r="A16507" s="234"/>
      <c r="B16507" s="233"/>
      <c r="C16507" s="238"/>
      <c r="E16507" s="545"/>
      <c r="F16507" s="546"/>
      <c r="G16507" s="234"/>
      <c r="H16507" s="238"/>
      <c r="I16507" s="237"/>
    </row>
    <row r="16508" spans="1:9" s="232" customFormat="1" ht="17" customHeight="1">
      <c r="A16508" s="234"/>
      <c r="B16508" s="233"/>
      <c r="C16508" s="238"/>
      <c r="E16508" s="545"/>
      <c r="F16508" s="546"/>
      <c r="G16508" s="234"/>
      <c r="H16508" s="238"/>
      <c r="I16508" s="237"/>
    </row>
    <row r="16509" spans="1:9" s="232" customFormat="1" ht="17" customHeight="1">
      <c r="A16509" s="234"/>
      <c r="B16509" s="233"/>
      <c r="C16509" s="238"/>
      <c r="E16509" s="545"/>
      <c r="F16509" s="546"/>
      <c r="G16509" s="234"/>
      <c r="H16509" s="238"/>
      <c r="I16509" s="237"/>
    </row>
    <row r="16510" spans="1:9" s="232" customFormat="1" ht="17" customHeight="1">
      <c r="A16510" s="234"/>
      <c r="B16510" s="233"/>
      <c r="C16510" s="238"/>
      <c r="E16510" s="545"/>
      <c r="F16510" s="546"/>
      <c r="G16510" s="234"/>
      <c r="H16510" s="238"/>
      <c r="I16510" s="237"/>
    </row>
    <row r="16511" spans="1:9" s="232" customFormat="1" ht="17" customHeight="1">
      <c r="A16511" s="234"/>
      <c r="B16511" s="233"/>
      <c r="C16511" s="238"/>
      <c r="E16511" s="545"/>
      <c r="F16511" s="546"/>
      <c r="G16511" s="234"/>
      <c r="H16511" s="238"/>
      <c r="I16511" s="237"/>
    </row>
    <row r="16512" spans="1:9" s="232" customFormat="1" ht="17" customHeight="1">
      <c r="A16512" s="234"/>
      <c r="B16512" s="233"/>
      <c r="C16512" s="238"/>
      <c r="E16512" s="545"/>
      <c r="F16512" s="546"/>
      <c r="G16512" s="234"/>
      <c r="H16512" s="238"/>
      <c r="I16512" s="237"/>
    </row>
    <row r="16513" spans="1:9" s="232" customFormat="1" ht="17" customHeight="1">
      <c r="A16513" s="234"/>
      <c r="B16513" s="233"/>
      <c r="C16513" s="238"/>
      <c r="E16513" s="545"/>
      <c r="F16513" s="546"/>
      <c r="G16513" s="234"/>
      <c r="H16513" s="238"/>
      <c r="I16513" s="237"/>
    </row>
    <row r="16514" spans="1:9" s="232" customFormat="1" ht="17" customHeight="1">
      <c r="A16514" s="234"/>
      <c r="B16514" s="233"/>
      <c r="C16514" s="238"/>
      <c r="E16514" s="545"/>
      <c r="F16514" s="546"/>
      <c r="G16514" s="234"/>
      <c r="H16514" s="238"/>
      <c r="I16514" s="237"/>
    </row>
    <row r="16515" spans="1:9" s="232" customFormat="1" ht="17" customHeight="1">
      <c r="A16515" s="234"/>
      <c r="B16515" s="233"/>
      <c r="C16515" s="238"/>
      <c r="E16515" s="545"/>
      <c r="F16515" s="546"/>
      <c r="G16515" s="234"/>
      <c r="H16515" s="238"/>
      <c r="I16515" s="237"/>
    </row>
    <row r="16516" spans="1:9" s="232" customFormat="1" ht="17" customHeight="1">
      <c r="A16516" s="234"/>
      <c r="B16516" s="233"/>
      <c r="C16516" s="238"/>
      <c r="E16516" s="545"/>
      <c r="F16516" s="546"/>
      <c r="G16516" s="234"/>
      <c r="H16516" s="238"/>
      <c r="I16516" s="237"/>
    </row>
    <row r="16517" spans="1:9" s="232" customFormat="1" ht="17" customHeight="1">
      <c r="A16517" s="234"/>
      <c r="B16517" s="233"/>
      <c r="C16517" s="238"/>
      <c r="E16517" s="545"/>
      <c r="F16517" s="546"/>
      <c r="G16517" s="234"/>
      <c r="H16517" s="238"/>
      <c r="I16517" s="237"/>
    </row>
    <row r="16518" spans="1:9" s="232" customFormat="1" ht="17" customHeight="1">
      <c r="A16518" s="234"/>
      <c r="B16518" s="233"/>
      <c r="C16518" s="238"/>
      <c r="E16518" s="545"/>
      <c r="F16518" s="546"/>
      <c r="G16518" s="234"/>
      <c r="H16518" s="238"/>
      <c r="I16518" s="237"/>
    </row>
    <row r="16519" spans="1:9" s="232" customFormat="1" ht="17" customHeight="1">
      <c r="A16519" s="234"/>
      <c r="B16519" s="233"/>
      <c r="C16519" s="238"/>
      <c r="E16519" s="545"/>
      <c r="F16519" s="546"/>
      <c r="G16519" s="234"/>
      <c r="H16519" s="238"/>
      <c r="I16519" s="237"/>
    </row>
    <row r="16520" spans="1:9" s="232" customFormat="1" ht="17" customHeight="1">
      <c r="A16520" s="234"/>
      <c r="B16520" s="233"/>
      <c r="C16520" s="238"/>
      <c r="E16520" s="545"/>
      <c r="F16520" s="546"/>
      <c r="G16520" s="234"/>
      <c r="H16520" s="238"/>
      <c r="I16520" s="237"/>
    </row>
    <row r="16521" spans="1:9" s="232" customFormat="1" ht="17" customHeight="1">
      <c r="A16521" s="234"/>
      <c r="B16521" s="233"/>
      <c r="C16521" s="238"/>
      <c r="E16521" s="545"/>
      <c r="F16521" s="546"/>
      <c r="G16521" s="234"/>
      <c r="H16521" s="238"/>
      <c r="I16521" s="237"/>
    </row>
    <row r="16522" spans="1:9" s="232" customFormat="1" ht="17" customHeight="1">
      <c r="A16522" s="234"/>
      <c r="B16522" s="233"/>
      <c r="C16522" s="238"/>
      <c r="E16522" s="545"/>
      <c r="F16522" s="546"/>
      <c r="G16522" s="234"/>
      <c r="H16522" s="238"/>
      <c r="I16522" s="237"/>
    </row>
    <row r="16523" spans="1:9" s="232" customFormat="1" ht="17" customHeight="1">
      <c r="A16523" s="234"/>
      <c r="B16523" s="233"/>
      <c r="C16523" s="238"/>
      <c r="E16523" s="545"/>
      <c r="F16523" s="546"/>
      <c r="G16523" s="234"/>
      <c r="H16523" s="238"/>
      <c r="I16523" s="237"/>
    </row>
    <row r="16524" spans="1:9" s="232" customFormat="1" ht="17" customHeight="1">
      <c r="A16524" s="234"/>
      <c r="B16524" s="233"/>
      <c r="C16524" s="238"/>
      <c r="E16524" s="545"/>
      <c r="F16524" s="546"/>
      <c r="G16524" s="234"/>
      <c r="H16524" s="238"/>
      <c r="I16524" s="237"/>
    </row>
    <row r="16525" spans="1:9" s="232" customFormat="1" ht="17" customHeight="1">
      <c r="A16525" s="234"/>
      <c r="B16525" s="233"/>
      <c r="C16525" s="238"/>
      <c r="E16525" s="545"/>
      <c r="F16525" s="546"/>
      <c r="G16525" s="234"/>
      <c r="H16525" s="238"/>
      <c r="I16525" s="237"/>
    </row>
    <row r="16526" spans="1:9" s="232" customFormat="1" ht="17" customHeight="1">
      <c r="A16526" s="234"/>
      <c r="B16526" s="233"/>
      <c r="C16526" s="238"/>
      <c r="E16526" s="545"/>
      <c r="F16526" s="546"/>
      <c r="G16526" s="234"/>
      <c r="H16526" s="238"/>
      <c r="I16526" s="237"/>
    </row>
    <row r="16527" spans="1:9" s="232" customFormat="1" ht="17" customHeight="1">
      <c r="A16527" s="234"/>
      <c r="B16527" s="233"/>
      <c r="C16527" s="238"/>
      <c r="E16527" s="545"/>
      <c r="F16527" s="546"/>
      <c r="G16527" s="234"/>
      <c r="H16527" s="238"/>
      <c r="I16527" s="237"/>
    </row>
    <row r="16528" spans="1:9" s="232" customFormat="1" ht="17" customHeight="1">
      <c r="A16528" s="234"/>
      <c r="B16528" s="233"/>
      <c r="C16528" s="238"/>
      <c r="E16528" s="545"/>
      <c r="F16528" s="546"/>
      <c r="G16528" s="234"/>
      <c r="H16528" s="238"/>
      <c r="I16528" s="237"/>
    </row>
    <row r="16529" spans="1:9" s="232" customFormat="1" ht="17" customHeight="1">
      <c r="A16529" s="234"/>
      <c r="B16529" s="233"/>
      <c r="C16529" s="238"/>
      <c r="E16529" s="545"/>
      <c r="F16529" s="546"/>
      <c r="G16529" s="234"/>
      <c r="H16529" s="238"/>
      <c r="I16529" s="237"/>
    </row>
    <row r="16530" spans="1:9" s="232" customFormat="1" ht="17" customHeight="1">
      <c r="A16530" s="234"/>
      <c r="B16530" s="233"/>
      <c r="C16530" s="238"/>
      <c r="E16530" s="545"/>
      <c r="F16530" s="546"/>
      <c r="G16530" s="234"/>
      <c r="H16530" s="238"/>
      <c r="I16530" s="237"/>
    </row>
    <row r="16531" spans="1:9" s="232" customFormat="1" ht="17" customHeight="1">
      <c r="A16531" s="234"/>
      <c r="B16531" s="233"/>
      <c r="C16531" s="238"/>
      <c r="E16531" s="545"/>
      <c r="F16531" s="546"/>
      <c r="G16531" s="234"/>
      <c r="H16531" s="238"/>
      <c r="I16531" s="237"/>
    </row>
    <row r="16532" spans="1:9" s="232" customFormat="1" ht="17" customHeight="1">
      <c r="A16532" s="234"/>
      <c r="B16532" s="233"/>
      <c r="C16532" s="238"/>
      <c r="E16532" s="545"/>
      <c r="F16532" s="546"/>
      <c r="G16532" s="234"/>
      <c r="H16532" s="238"/>
      <c r="I16532" s="237"/>
    </row>
    <row r="16533" spans="1:9" s="232" customFormat="1" ht="17" customHeight="1">
      <c r="A16533" s="234"/>
      <c r="B16533" s="233"/>
      <c r="C16533" s="238"/>
      <c r="E16533" s="545"/>
      <c r="F16533" s="546"/>
      <c r="G16533" s="234"/>
      <c r="H16533" s="238"/>
      <c r="I16533" s="237"/>
    </row>
    <row r="16534" spans="1:9" s="232" customFormat="1" ht="17" customHeight="1">
      <c r="A16534" s="234"/>
      <c r="B16534" s="233"/>
      <c r="C16534" s="238"/>
      <c r="E16534" s="545"/>
      <c r="F16534" s="546"/>
      <c r="G16534" s="234"/>
      <c r="H16534" s="238"/>
      <c r="I16534" s="237"/>
    </row>
    <row r="16535" spans="1:9" s="232" customFormat="1" ht="17" customHeight="1">
      <c r="A16535" s="234"/>
      <c r="B16535" s="233"/>
      <c r="C16535" s="238"/>
      <c r="E16535" s="545"/>
      <c r="F16535" s="546"/>
      <c r="G16535" s="234"/>
      <c r="H16535" s="238"/>
      <c r="I16535" s="237"/>
    </row>
    <row r="16536" spans="1:9" s="232" customFormat="1" ht="17" customHeight="1">
      <c r="A16536" s="234"/>
      <c r="B16536" s="233"/>
      <c r="C16536" s="238"/>
      <c r="E16536" s="545"/>
      <c r="F16536" s="546"/>
      <c r="G16536" s="234"/>
      <c r="H16536" s="238"/>
      <c r="I16536" s="237"/>
    </row>
    <row r="16537" spans="1:9" s="232" customFormat="1" ht="17" customHeight="1">
      <c r="A16537" s="234"/>
      <c r="B16537" s="233"/>
      <c r="C16537" s="238"/>
      <c r="E16537" s="545"/>
      <c r="F16537" s="546"/>
      <c r="G16537" s="234"/>
      <c r="H16537" s="238"/>
      <c r="I16537" s="237"/>
    </row>
    <row r="16538" spans="1:9" s="232" customFormat="1" ht="17" customHeight="1">
      <c r="A16538" s="234"/>
      <c r="B16538" s="233"/>
      <c r="C16538" s="238"/>
      <c r="E16538" s="545"/>
      <c r="F16538" s="546"/>
      <c r="G16538" s="234"/>
      <c r="H16538" s="238"/>
      <c r="I16538" s="237"/>
    </row>
    <row r="16539" spans="1:9" s="232" customFormat="1" ht="17" customHeight="1">
      <c r="A16539" s="234"/>
      <c r="B16539" s="233"/>
      <c r="C16539" s="238"/>
      <c r="E16539" s="545"/>
      <c r="F16539" s="546"/>
      <c r="G16539" s="234"/>
      <c r="H16539" s="238"/>
      <c r="I16539" s="237"/>
    </row>
    <row r="16540" spans="1:9" s="232" customFormat="1" ht="17" customHeight="1">
      <c r="A16540" s="234"/>
      <c r="B16540" s="233"/>
      <c r="C16540" s="238"/>
      <c r="E16540" s="545"/>
      <c r="F16540" s="546"/>
      <c r="G16540" s="234"/>
      <c r="H16540" s="238"/>
      <c r="I16540" s="237"/>
    </row>
    <row r="16541" spans="1:9" s="232" customFormat="1" ht="17" customHeight="1">
      <c r="A16541" s="234"/>
      <c r="B16541" s="233"/>
      <c r="C16541" s="238"/>
      <c r="E16541" s="545"/>
      <c r="F16541" s="546"/>
      <c r="G16541" s="234"/>
      <c r="H16541" s="238"/>
      <c r="I16541" s="237"/>
    </row>
    <row r="16542" spans="1:9" s="232" customFormat="1" ht="17" customHeight="1">
      <c r="A16542" s="234"/>
      <c r="B16542" s="233"/>
      <c r="C16542" s="238"/>
      <c r="E16542" s="545"/>
      <c r="F16542" s="546"/>
      <c r="G16542" s="234"/>
      <c r="H16542" s="238"/>
      <c r="I16542" s="237"/>
    </row>
    <row r="16543" spans="1:9" s="232" customFormat="1" ht="17" customHeight="1">
      <c r="A16543" s="234"/>
      <c r="B16543" s="233"/>
      <c r="C16543" s="238"/>
      <c r="E16543" s="545"/>
      <c r="F16543" s="546"/>
      <c r="G16543" s="234"/>
      <c r="H16543" s="238"/>
      <c r="I16543" s="237"/>
    </row>
    <row r="16544" spans="1:9" s="232" customFormat="1" ht="17" customHeight="1">
      <c r="A16544" s="234"/>
      <c r="B16544" s="233"/>
      <c r="C16544" s="238"/>
      <c r="E16544" s="545"/>
      <c r="F16544" s="546"/>
      <c r="G16544" s="234"/>
      <c r="H16544" s="238"/>
      <c r="I16544" s="237"/>
    </row>
    <row r="16545" spans="1:9" s="232" customFormat="1" ht="17" customHeight="1">
      <c r="A16545" s="234"/>
      <c r="B16545" s="233"/>
      <c r="C16545" s="238"/>
      <c r="E16545" s="545"/>
      <c r="F16545" s="546"/>
      <c r="G16545" s="234"/>
      <c r="H16545" s="238"/>
      <c r="I16545" s="237"/>
    </row>
    <row r="16546" spans="1:9" s="232" customFormat="1" ht="17" customHeight="1">
      <c r="A16546" s="234"/>
      <c r="B16546" s="233"/>
      <c r="C16546" s="238"/>
      <c r="E16546" s="545"/>
      <c r="F16546" s="546"/>
      <c r="G16546" s="234"/>
      <c r="H16546" s="238"/>
      <c r="I16546" s="237"/>
    </row>
    <row r="16547" spans="1:9" s="232" customFormat="1" ht="17" customHeight="1">
      <c r="A16547" s="234"/>
      <c r="B16547" s="233"/>
      <c r="C16547" s="238"/>
      <c r="E16547" s="545"/>
      <c r="F16547" s="546"/>
      <c r="G16547" s="234"/>
      <c r="H16547" s="238"/>
      <c r="I16547" s="237"/>
    </row>
    <row r="16548" spans="1:9" s="232" customFormat="1" ht="17" customHeight="1">
      <c r="A16548" s="234"/>
      <c r="B16548" s="233"/>
      <c r="C16548" s="238"/>
      <c r="E16548" s="545"/>
      <c r="F16548" s="546"/>
      <c r="G16548" s="234"/>
      <c r="H16548" s="238"/>
      <c r="I16548" s="237"/>
    </row>
    <row r="16549" spans="1:9" s="232" customFormat="1" ht="17" customHeight="1">
      <c r="A16549" s="234"/>
      <c r="B16549" s="233"/>
      <c r="C16549" s="238"/>
      <c r="E16549" s="545"/>
      <c r="F16549" s="546"/>
      <c r="G16549" s="234"/>
      <c r="H16549" s="238"/>
      <c r="I16549" s="237"/>
    </row>
    <row r="16550" spans="1:9" s="232" customFormat="1" ht="17" customHeight="1">
      <c r="A16550" s="234"/>
      <c r="B16550" s="233"/>
      <c r="C16550" s="238"/>
      <c r="E16550" s="545"/>
      <c r="F16550" s="546"/>
      <c r="G16550" s="234"/>
      <c r="H16550" s="238"/>
      <c r="I16550" s="237"/>
    </row>
    <row r="16551" spans="1:9" s="232" customFormat="1" ht="17" customHeight="1">
      <c r="A16551" s="234"/>
      <c r="B16551" s="233"/>
      <c r="C16551" s="238"/>
      <c r="E16551" s="545"/>
      <c r="F16551" s="546"/>
      <c r="G16551" s="234"/>
      <c r="H16551" s="238"/>
      <c r="I16551" s="237"/>
    </row>
    <row r="16552" spans="1:9" s="232" customFormat="1" ht="17" customHeight="1">
      <c r="A16552" s="234"/>
      <c r="B16552" s="233"/>
      <c r="C16552" s="238"/>
      <c r="E16552" s="545"/>
      <c r="F16552" s="546"/>
      <c r="G16552" s="234"/>
      <c r="H16552" s="238"/>
      <c r="I16552" s="237"/>
    </row>
    <row r="16553" spans="1:9" s="232" customFormat="1" ht="17" customHeight="1">
      <c r="A16553" s="234"/>
      <c r="B16553" s="233"/>
      <c r="C16553" s="238"/>
      <c r="E16553" s="545"/>
      <c r="F16553" s="546"/>
      <c r="G16553" s="234"/>
      <c r="H16553" s="238"/>
      <c r="I16553" s="237"/>
    </row>
    <row r="16554" spans="1:9" s="232" customFormat="1" ht="17" customHeight="1">
      <c r="A16554" s="234"/>
      <c r="B16554" s="233"/>
      <c r="C16554" s="238"/>
      <c r="E16554" s="545"/>
      <c r="F16554" s="546"/>
      <c r="G16554" s="234"/>
      <c r="H16554" s="238"/>
      <c r="I16554" s="237"/>
    </row>
    <row r="16555" spans="1:9" s="232" customFormat="1" ht="17" customHeight="1">
      <c r="A16555" s="234"/>
      <c r="B16555" s="233"/>
      <c r="C16555" s="238"/>
      <c r="E16555" s="545"/>
      <c r="F16555" s="546"/>
      <c r="G16555" s="234"/>
      <c r="H16555" s="238"/>
      <c r="I16555" s="237"/>
    </row>
    <row r="16556" spans="1:9" s="232" customFormat="1" ht="17" customHeight="1">
      <c r="A16556" s="234"/>
      <c r="B16556" s="233"/>
      <c r="C16556" s="238"/>
      <c r="E16556" s="545"/>
      <c r="F16556" s="546"/>
      <c r="G16556" s="234"/>
      <c r="H16556" s="238"/>
      <c r="I16556" s="237"/>
    </row>
    <row r="16557" spans="1:9" s="232" customFormat="1" ht="17" customHeight="1">
      <c r="A16557" s="234"/>
      <c r="B16557" s="233"/>
      <c r="C16557" s="238"/>
      <c r="E16557" s="545"/>
      <c r="F16557" s="546"/>
      <c r="G16557" s="234"/>
      <c r="H16557" s="238"/>
      <c r="I16557" s="237"/>
    </row>
    <row r="16558" spans="1:9" s="232" customFormat="1" ht="17" customHeight="1">
      <c r="A16558" s="234"/>
      <c r="B16558" s="233"/>
      <c r="C16558" s="238"/>
      <c r="E16558" s="545"/>
      <c r="F16558" s="546"/>
      <c r="G16558" s="234"/>
      <c r="H16558" s="238"/>
      <c r="I16558" s="237"/>
    </row>
    <row r="16559" spans="1:9" s="232" customFormat="1" ht="17" customHeight="1">
      <c r="A16559" s="234"/>
      <c r="B16559" s="233"/>
      <c r="C16559" s="238"/>
      <c r="E16559" s="545"/>
      <c r="F16559" s="546"/>
      <c r="G16559" s="234"/>
      <c r="H16559" s="238"/>
      <c r="I16559" s="237"/>
    </row>
    <row r="16560" spans="1:9" s="232" customFormat="1" ht="17" customHeight="1">
      <c r="A16560" s="234"/>
      <c r="B16560" s="233"/>
      <c r="C16560" s="238"/>
      <c r="E16560" s="545"/>
      <c r="F16560" s="546"/>
      <c r="G16560" s="234"/>
      <c r="H16560" s="238"/>
      <c r="I16560" s="237"/>
    </row>
    <row r="16561" spans="1:9" s="232" customFormat="1" ht="17" customHeight="1">
      <c r="A16561" s="234"/>
      <c r="B16561" s="233"/>
      <c r="C16561" s="238"/>
      <c r="E16561" s="545"/>
      <c r="F16561" s="546"/>
      <c r="G16561" s="234"/>
      <c r="H16561" s="238"/>
      <c r="I16561" s="237"/>
    </row>
    <row r="16562" spans="1:9" s="232" customFormat="1" ht="17" customHeight="1">
      <c r="A16562" s="234"/>
      <c r="B16562" s="233"/>
      <c r="C16562" s="238"/>
      <c r="E16562" s="545"/>
      <c r="F16562" s="546"/>
      <c r="G16562" s="234"/>
      <c r="H16562" s="238"/>
      <c r="I16562" s="237"/>
    </row>
    <row r="16563" spans="1:9" s="232" customFormat="1" ht="17" customHeight="1">
      <c r="A16563" s="234"/>
      <c r="B16563" s="233"/>
      <c r="C16563" s="238"/>
      <c r="E16563" s="545"/>
      <c r="F16563" s="546"/>
      <c r="G16563" s="234"/>
      <c r="H16563" s="238"/>
      <c r="I16563" s="237"/>
    </row>
    <row r="16564" spans="1:9" s="232" customFormat="1" ht="17" customHeight="1">
      <c r="A16564" s="234"/>
      <c r="B16564" s="233"/>
      <c r="C16564" s="238"/>
      <c r="E16564" s="545"/>
      <c r="F16564" s="546"/>
      <c r="G16564" s="234"/>
      <c r="H16564" s="238"/>
      <c r="I16564" s="237"/>
    </row>
    <row r="16565" spans="1:9" s="232" customFormat="1" ht="17" customHeight="1">
      <c r="A16565" s="234"/>
      <c r="B16565" s="233"/>
      <c r="C16565" s="238"/>
      <c r="E16565" s="545"/>
      <c r="F16565" s="546"/>
      <c r="G16565" s="234"/>
      <c r="H16565" s="238"/>
      <c r="I16565" s="237"/>
    </row>
    <row r="16566" spans="1:9" s="232" customFormat="1" ht="17" customHeight="1">
      <c r="A16566" s="234"/>
      <c r="B16566" s="233"/>
      <c r="C16566" s="238"/>
      <c r="E16566" s="545"/>
      <c r="F16566" s="546"/>
      <c r="G16566" s="234"/>
      <c r="H16566" s="238"/>
      <c r="I16566" s="237"/>
    </row>
    <row r="16567" spans="1:9" s="232" customFormat="1" ht="17" customHeight="1">
      <c r="A16567" s="234"/>
      <c r="B16567" s="233"/>
      <c r="C16567" s="238"/>
      <c r="E16567" s="545"/>
      <c r="F16567" s="546"/>
      <c r="G16567" s="234"/>
      <c r="H16567" s="238"/>
      <c r="I16567" s="237"/>
    </row>
    <row r="16568" spans="1:9" s="232" customFormat="1" ht="17" customHeight="1">
      <c r="A16568" s="234"/>
      <c r="B16568" s="233"/>
      <c r="C16568" s="238"/>
      <c r="E16568" s="545"/>
      <c r="F16568" s="546"/>
      <c r="G16568" s="234"/>
      <c r="H16568" s="238"/>
      <c r="I16568" s="237"/>
    </row>
    <row r="16569" spans="1:9" s="232" customFormat="1" ht="17" customHeight="1">
      <c r="A16569" s="234"/>
      <c r="B16569" s="233"/>
      <c r="C16569" s="238"/>
      <c r="E16569" s="545"/>
      <c r="F16569" s="546"/>
      <c r="G16569" s="234"/>
      <c r="H16569" s="238"/>
      <c r="I16569" s="237"/>
    </row>
    <row r="16570" spans="1:9" s="232" customFormat="1" ht="17" customHeight="1">
      <c r="A16570" s="234"/>
      <c r="B16570" s="233"/>
      <c r="C16570" s="238"/>
      <c r="E16570" s="545"/>
      <c r="F16570" s="546"/>
      <c r="G16570" s="234"/>
      <c r="H16570" s="238"/>
      <c r="I16570" s="237"/>
    </row>
    <row r="16571" spans="1:9" s="232" customFormat="1" ht="17" customHeight="1">
      <c r="A16571" s="234"/>
      <c r="B16571" s="233"/>
      <c r="C16571" s="238"/>
      <c r="E16571" s="545"/>
      <c r="F16571" s="546"/>
      <c r="G16571" s="234"/>
      <c r="H16571" s="238"/>
      <c r="I16571" s="237"/>
    </row>
    <row r="16572" spans="1:9" s="232" customFormat="1" ht="17" customHeight="1">
      <c r="A16572" s="234"/>
      <c r="B16572" s="233"/>
      <c r="C16572" s="238"/>
      <c r="E16572" s="545"/>
      <c r="F16572" s="546"/>
      <c r="G16572" s="234"/>
      <c r="H16572" s="238"/>
      <c r="I16572" s="237"/>
    </row>
    <row r="16573" spans="1:9" s="232" customFormat="1" ht="17" customHeight="1">
      <c r="A16573" s="234"/>
      <c r="B16573" s="233"/>
      <c r="C16573" s="238"/>
      <c r="E16573" s="545"/>
      <c r="F16573" s="546"/>
      <c r="G16573" s="234"/>
      <c r="H16573" s="238"/>
      <c r="I16573" s="237"/>
    </row>
    <row r="16574" spans="1:9" s="232" customFormat="1" ht="17" customHeight="1">
      <c r="A16574" s="234"/>
      <c r="B16574" s="233"/>
      <c r="C16574" s="238"/>
      <c r="E16574" s="545"/>
      <c r="F16574" s="546"/>
      <c r="G16574" s="234"/>
      <c r="H16574" s="238"/>
      <c r="I16574" s="237"/>
    </row>
    <row r="16575" spans="1:9" s="232" customFormat="1" ht="17" customHeight="1">
      <c r="A16575" s="234"/>
      <c r="B16575" s="233"/>
      <c r="C16575" s="238"/>
      <c r="E16575" s="545"/>
      <c r="F16575" s="546"/>
      <c r="G16575" s="234"/>
      <c r="H16575" s="238"/>
      <c r="I16575" s="237"/>
    </row>
    <row r="16576" spans="1:9" s="232" customFormat="1" ht="17" customHeight="1">
      <c r="A16576" s="234"/>
      <c r="B16576" s="233"/>
      <c r="C16576" s="238"/>
      <c r="E16576" s="545"/>
      <c r="F16576" s="546"/>
      <c r="G16576" s="234"/>
      <c r="H16576" s="238"/>
      <c r="I16576" s="237"/>
    </row>
    <row r="16577" spans="1:9" s="232" customFormat="1" ht="17" customHeight="1">
      <c r="A16577" s="234"/>
      <c r="B16577" s="233"/>
      <c r="C16577" s="238"/>
      <c r="E16577" s="545"/>
      <c r="F16577" s="546"/>
      <c r="G16577" s="234"/>
      <c r="H16577" s="238"/>
      <c r="I16577" s="237"/>
    </row>
    <row r="16578" spans="1:9" s="232" customFormat="1" ht="17" customHeight="1">
      <c r="A16578" s="234"/>
      <c r="B16578" s="233"/>
      <c r="C16578" s="238"/>
      <c r="E16578" s="545"/>
      <c r="F16578" s="546"/>
      <c r="G16578" s="234"/>
      <c r="H16578" s="238"/>
      <c r="I16578" s="237"/>
    </row>
    <row r="16579" spans="1:9" s="232" customFormat="1" ht="17" customHeight="1">
      <c r="A16579" s="234"/>
      <c r="B16579" s="233"/>
      <c r="C16579" s="238"/>
      <c r="E16579" s="545"/>
      <c r="F16579" s="546"/>
      <c r="G16579" s="234"/>
      <c r="H16579" s="238"/>
      <c r="I16579" s="237"/>
    </row>
    <row r="16580" spans="1:9" s="232" customFormat="1" ht="17" customHeight="1">
      <c r="A16580" s="234"/>
      <c r="B16580" s="233"/>
      <c r="C16580" s="238"/>
      <c r="E16580" s="545"/>
      <c r="F16580" s="546"/>
      <c r="G16580" s="234"/>
      <c r="H16580" s="238"/>
      <c r="I16580" s="237"/>
    </row>
    <row r="16581" spans="1:9" s="232" customFormat="1" ht="17" customHeight="1">
      <c r="A16581" s="234"/>
      <c r="B16581" s="233"/>
      <c r="C16581" s="238"/>
      <c r="E16581" s="545"/>
      <c r="F16581" s="546"/>
      <c r="G16581" s="234"/>
      <c r="H16581" s="238"/>
      <c r="I16581" s="237"/>
    </row>
    <row r="16582" spans="1:9" s="232" customFormat="1" ht="17" customHeight="1">
      <c r="A16582" s="234"/>
      <c r="B16582" s="233"/>
      <c r="C16582" s="238"/>
      <c r="E16582" s="545"/>
      <c r="F16582" s="546"/>
      <c r="G16582" s="234"/>
      <c r="H16582" s="238"/>
      <c r="I16582" s="237"/>
    </row>
    <row r="16583" spans="1:9" s="232" customFormat="1" ht="17" customHeight="1">
      <c r="A16583" s="234"/>
      <c r="B16583" s="233"/>
      <c r="C16583" s="238"/>
      <c r="E16583" s="545"/>
      <c r="F16583" s="546"/>
      <c r="G16583" s="234"/>
      <c r="H16583" s="238"/>
      <c r="I16583" s="237"/>
    </row>
    <row r="16584" spans="1:9" s="232" customFormat="1" ht="17" customHeight="1">
      <c r="A16584" s="234"/>
      <c r="B16584" s="233"/>
      <c r="C16584" s="238"/>
      <c r="E16584" s="545"/>
      <c r="F16584" s="546"/>
      <c r="G16584" s="234"/>
      <c r="H16584" s="238"/>
      <c r="I16584" s="237"/>
    </row>
    <row r="16585" spans="1:9" s="232" customFormat="1" ht="17" customHeight="1">
      <c r="A16585" s="234"/>
      <c r="B16585" s="233"/>
      <c r="C16585" s="238"/>
      <c r="E16585" s="545"/>
      <c r="F16585" s="546"/>
      <c r="G16585" s="234"/>
      <c r="H16585" s="238"/>
      <c r="I16585" s="237"/>
    </row>
    <row r="16586" spans="1:9" s="232" customFormat="1" ht="17" customHeight="1">
      <c r="A16586" s="234"/>
      <c r="B16586" s="233"/>
      <c r="C16586" s="238"/>
      <c r="E16586" s="545"/>
      <c r="F16586" s="546"/>
      <c r="G16586" s="234"/>
      <c r="H16586" s="238"/>
      <c r="I16586" s="237"/>
    </row>
    <row r="16587" spans="1:9" s="232" customFormat="1" ht="17" customHeight="1">
      <c r="A16587" s="234"/>
      <c r="B16587" s="233"/>
      <c r="C16587" s="238"/>
      <c r="E16587" s="545"/>
      <c r="F16587" s="546"/>
      <c r="G16587" s="234"/>
      <c r="H16587" s="238"/>
      <c r="I16587" s="237"/>
    </row>
    <row r="16588" spans="1:9" s="232" customFormat="1" ht="17" customHeight="1">
      <c r="A16588" s="234"/>
      <c r="B16588" s="233"/>
      <c r="C16588" s="238"/>
      <c r="E16588" s="545"/>
      <c r="F16588" s="546"/>
      <c r="G16588" s="234"/>
      <c r="H16588" s="238"/>
      <c r="I16588" s="237"/>
    </row>
    <row r="16589" spans="1:9" s="232" customFormat="1" ht="17" customHeight="1">
      <c r="A16589" s="234"/>
      <c r="B16589" s="233"/>
      <c r="C16589" s="238"/>
      <c r="E16589" s="545"/>
      <c r="F16589" s="546"/>
      <c r="G16589" s="234"/>
      <c r="H16589" s="238"/>
      <c r="I16589" s="237"/>
    </row>
    <row r="16590" spans="1:9" s="232" customFormat="1" ht="17" customHeight="1">
      <c r="A16590" s="234"/>
      <c r="B16590" s="233"/>
      <c r="C16590" s="238"/>
      <c r="E16590" s="545"/>
      <c r="F16590" s="546"/>
      <c r="G16590" s="234"/>
      <c r="H16590" s="238"/>
      <c r="I16590" s="237"/>
    </row>
    <row r="16591" spans="1:9" s="232" customFormat="1" ht="17" customHeight="1">
      <c r="A16591" s="234"/>
      <c r="B16591" s="233"/>
      <c r="C16591" s="238"/>
      <c r="E16591" s="545"/>
      <c r="F16591" s="546"/>
      <c r="G16591" s="234"/>
      <c r="H16591" s="238"/>
      <c r="I16591" s="237"/>
    </row>
    <row r="16592" spans="1:9" s="232" customFormat="1" ht="17" customHeight="1">
      <c r="A16592" s="234"/>
      <c r="B16592" s="233"/>
      <c r="C16592" s="238"/>
      <c r="E16592" s="545"/>
      <c r="F16592" s="546"/>
      <c r="G16592" s="234"/>
      <c r="H16592" s="238"/>
      <c r="I16592" s="237"/>
    </row>
    <row r="16593" spans="1:9" s="232" customFormat="1" ht="17" customHeight="1">
      <c r="A16593" s="234"/>
      <c r="B16593" s="233"/>
      <c r="C16593" s="238"/>
      <c r="E16593" s="545"/>
      <c r="F16593" s="546"/>
      <c r="G16593" s="234"/>
      <c r="H16593" s="238"/>
      <c r="I16593" s="237"/>
    </row>
    <row r="16594" spans="1:9" s="232" customFormat="1" ht="17" customHeight="1">
      <c r="A16594" s="234"/>
      <c r="B16594" s="233"/>
      <c r="C16594" s="238"/>
      <c r="E16594" s="545"/>
      <c r="F16594" s="546"/>
      <c r="G16594" s="234"/>
      <c r="H16594" s="238"/>
      <c r="I16594" s="237"/>
    </row>
    <row r="16595" spans="1:9" s="232" customFormat="1" ht="17" customHeight="1">
      <c r="A16595" s="234"/>
      <c r="B16595" s="233"/>
      <c r="C16595" s="238"/>
      <c r="E16595" s="545"/>
      <c r="F16595" s="546"/>
      <c r="G16595" s="234"/>
      <c r="H16595" s="238"/>
      <c r="I16595" s="237"/>
    </row>
    <row r="16596" spans="1:9" s="232" customFormat="1" ht="17" customHeight="1">
      <c r="A16596" s="234"/>
      <c r="B16596" s="233"/>
      <c r="C16596" s="238"/>
      <c r="E16596" s="545"/>
      <c r="F16596" s="546"/>
      <c r="G16596" s="234"/>
      <c r="H16596" s="238"/>
      <c r="I16596" s="237"/>
    </row>
    <row r="16597" spans="1:9" s="232" customFormat="1" ht="17" customHeight="1">
      <c r="A16597" s="234"/>
      <c r="B16597" s="233"/>
      <c r="C16597" s="238"/>
      <c r="E16597" s="545"/>
      <c r="F16597" s="546"/>
      <c r="G16597" s="234"/>
      <c r="H16597" s="238"/>
      <c r="I16597" s="237"/>
    </row>
    <row r="16598" spans="1:9" s="232" customFormat="1" ht="17" customHeight="1">
      <c r="A16598" s="234"/>
      <c r="B16598" s="233"/>
      <c r="C16598" s="238"/>
      <c r="E16598" s="545"/>
      <c r="F16598" s="546"/>
      <c r="G16598" s="234"/>
      <c r="H16598" s="238"/>
      <c r="I16598" s="237"/>
    </row>
    <row r="16599" spans="1:9" s="232" customFormat="1" ht="17" customHeight="1">
      <c r="A16599" s="234"/>
      <c r="B16599" s="233"/>
      <c r="C16599" s="238"/>
      <c r="E16599" s="545"/>
      <c r="F16599" s="546"/>
      <c r="G16599" s="234"/>
      <c r="H16599" s="238"/>
      <c r="I16599" s="237"/>
    </row>
    <row r="16600" spans="1:9" s="232" customFormat="1" ht="17" customHeight="1">
      <c r="A16600" s="234"/>
      <c r="B16600" s="233"/>
      <c r="C16600" s="238"/>
      <c r="E16600" s="545"/>
      <c r="F16600" s="546"/>
      <c r="G16600" s="234"/>
      <c r="H16600" s="238"/>
      <c r="I16600" s="237"/>
    </row>
    <row r="16601" spans="1:9" s="232" customFormat="1" ht="17" customHeight="1">
      <c r="A16601" s="234"/>
      <c r="B16601" s="233"/>
      <c r="C16601" s="238"/>
      <c r="E16601" s="545"/>
      <c r="F16601" s="546"/>
      <c r="G16601" s="234"/>
      <c r="H16601" s="238"/>
      <c r="I16601" s="237"/>
    </row>
    <row r="16602" spans="1:9" s="232" customFormat="1" ht="17" customHeight="1">
      <c r="A16602" s="234"/>
      <c r="B16602" s="233"/>
      <c r="C16602" s="238"/>
      <c r="E16602" s="545"/>
      <c r="F16602" s="546"/>
      <c r="G16602" s="234"/>
      <c r="H16602" s="238"/>
      <c r="I16602" s="237"/>
    </row>
    <row r="16603" spans="1:9" s="232" customFormat="1" ht="17" customHeight="1">
      <c r="A16603" s="234"/>
      <c r="B16603" s="233"/>
      <c r="C16603" s="238"/>
      <c r="E16603" s="545"/>
      <c r="F16603" s="546"/>
      <c r="G16603" s="234"/>
      <c r="H16603" s="238"/>
      <c r="I16603" s="237"/>
    </row>
    <row r="16604" spans="1:9" s="232" customFormat="1" ht="17" customHeight="1">
      <c r="A16604" s="234"/>
      <c r="B16604" s="233"/>
      <c r="C16604" s="238"/>
      <c r="E16604" s="545"/>
      <c r="F16604" s="546"/>
      <c r="G16604" s="234"/>
      <c r="H16604" s="238"/>
      <c r="I16604" s="237"/>
    </row>
    <row r="16605" spans="1:9" s="232" customFormat="1" ht="17" customHeight="1">
      <c r="A16605" s="234"/>
      <c r="B16605" s="233"/>
      <c r="C16605" s="238"/>
      <c r="E16605" s="545"/>
      <c r="F16605" s="546"/>
      <c r="G16605" s="234"/>
      <c r="H16605" s="238"/>
      <c r="I16605" s="237"/>
    </row>
    <row r="16606" spans="1:9" s="232" customFormat="1" ht="17" customHeight="1">
      <c r="A16606" s="234"/>
      <c r="B16606" s="233"/>
      <c r="C16606" s="238"/>
      <c r="E16606" s="545"/>
      <c r="F16606" s="546"/>
      <c r="G16606" s="234"/>
      <c r="H16606" s="238"/>
      <c r="I16606" s="237"/>
    </row>
    <row r="16607" spans="1:9" s="232" customFormat="1" ht="17" customHeight="1">
      <c r="A16607" s="234"/>
      <c r="B16607" s="233"/>
      <c r="C16607" s="238"/>
      <c r="E16607" s="545"/>
      <c r="F16607" s="546"/>
      <c r="G16607" s="234"/>
      <c r="H16607" s="238"/>
      <c r="I16607" s="237"/>
    </row>
    <row r="16608" spans="1:9" s="232" customFormat="1" ht="17" customHeight="1">
      <c r="A16608" s="234"/>
      <c r="B16608" s="233"/>
      <c r="C16608" s="238"/>
      <c r="E16608" s="545"/>
      <c r="F16608" s="546"/>
      <c r="G16608" s="234"/>
      <c r="H16608" s="238"/>
      <c r="I16608" s="237"/>
    </row>
    <row r="16609" spans="1:9" s="232" customFormat="1" ht="17" customHeight="1">
      <c r="A16609" s="234"/>
      <c r="B16609" s="233"/>
      <c r="C16609" s="238"/>
      <c r="E16609" s="545"/>
      <c r="F16609" s="546"/>
      <c r="G16609" s="234"/>
      <c r="H16609" s="238"/>
      <c r="I16609" s="237"/>
    </row>
    <row r="16610" spans="1:9" s="232" customFormat="1" ht="17" customHeight="1">
      <c r="A16610" s="234"/>
      <c r="B16610" s="233"/>
      <c r="C16610" s="238"/>
      <c r="E16610" s="545"/>
      <c r="F16610" s="546"/>
      <c r="G16610" s="234"/>
      <c r="H16610" s="238"/>
      <c r="I16610" s="237"/>
    </row>
    <row r="16611" spans="1:9" s="232" customFormat="1" ht="17" customHeight="1">
      <c r="A16611" s="234"/>
      <c r="B16611" s="233"/>
      <c r="C16611" s="238"/>
      <c r="E16611" s="545"/>
      <c r="F16611" s="546"/>
      <c r="G16611" s="234"/>
      <c r="H16611" s="238"/>
      <c r="I16611" s="237"/>
    </row>
    <row r="16612" spans="1:9" s="232" customFormat="1" ht="17" customHeight="1">
      <c r="A16612" s="234"/>
      <c r="B16612" s="233"/>
      <c r="C16612" s="238"/>
      <c r="E16612" s="545"/>
      <c r="F16612" s="546"/>
      <c r="G16612" s="234"/>
      <c r="H16612" s="238"/>
      <c r="I16612" s="237"/>
    </row>
    <row r="16613" spans="1:9" s="232" customFormat="1" ht="17" customHeight="1">
      <c r="A16613" s="234"/>
      <c r="B16613" s="233"/>
      <c r="C16613" s="238"/>
      <c r="E16613" s="545"/>
      <c r="F16613" s="546"/>
      <c r="G16613" s="234"/>
      <c r="H16613" s="238"/>
      <c r="I16613" s="237"/>
    </row>
    <row r="16614" spans="1:9" s="232" customFormat="1" ht="17" customHeight="1">
      <c r="A16614" s="234"/>
      <c r="B16614" s="233"/>
      <c r="C16614" s="238"/>
      <c r="E16614" s="545"/>
      <c r="F16614" s="546"/>
      <c r="G16614" s="234"/>
      <c r="H16614" s="238"/>
      <c r="I16614" s="237"/>
    </row>
    <row r="16615" spans="1:9" s="232" customFormat="1" ht="17" customHeight="1">
      <c r="A16615" s="234"/>
      <c r="B16615" s="233"/>
      <c r="C16615" s="238"/>
      <c r="E16615" s="545"/>
      <c r="F16615" s="546"/>
      <c r="G16615" s="234"/>
      <c r="H16615" s="238"/>
      <c r="I16615" s="237"/>
    </row>
    <row r="16616" spans="1:9" s="232" customFormat="1" ht="17" customHeight="1">
      <c r="A16616" s="234"/>
      <c r="B16616" s="233"/>
      <c r="C16616" s="238"/>
      <c r="E16616" s="545"/>
      <c r="F16616" s="546"/>
      <c r="G16616" s="234"/>
      <c r="H16616" s="238"/>
      <c r="I16616" s="237"/>
    </row>
    <row r="16617" spans="1:9" s="232" customFormat="1" ht="17" customHeight="1">
      <c r="A16617" s="234"/>
      <c r="B16617" s="233"/>
      <c r="C16617" s="238"/>
      <c r="E16617" s="545"/>
      <c r="F16617" s="546"/>
      <c r="G16617" s="234"/>
      <c r="H16617" s="238"/>
      <c r="I16617" s="237"/>
    </row>
    <row r="16618" spans="1:9" s="232" customFormat="1" ht="17" customHeight="1">
      <c r="A16618" s="234"/>
      <c r="B16618" s="233"/>
      <c r="C16618" s="238"/>
      <c r="E16618" s="545"/>
      <c r="F16618" s="546"/>
      <c r="G16618" s="234"/>
      <c r="H16618" s="238"/>
      <c r="I16618" s="237"/>
    </row>
    <row r="16619" spans="1:9" s="232" customFormat="1" ht="17" customHeight="1">
      <c r="A16619" s="234"/>
      <c r="B16619" s="233"/>
      <c r="C16619" s="238"/>
      <c r="E16619" s="545"/>
      <c r="F16619" s="546"/>
      <c r="G16619" s="234"/>
      <c r="H16619" s="238"/>
      <c r="I16619" s="237"/>
    </row>
    <row r="16620" spans="1:9" s="232" customFormat="1" ht="17" customHeight="1">
      <c r="A16620" s="234"/>
      <c r="B16620" s="233"/>
      <c r="C16620" s="238"/>
      <c r="E16620" s="545"/>
      <c r="F16620" s="546"/>
      <c r="G16620" s="234"/>
      <c r="H16620" s="238"/>
      <c r="I16620" s="237"/>
    </row>
    <row r="16621" spans="1:9" s="232" customFormat="1" ht="17" customHeight="1">
      <c r="A16621" s="234"/>
      <c r="B16621" s="233"/>
      <c r="C16621" s="238"/>
      <c r="E16621" s="545"/>
      <c r="F16621" s="546"/>
      <c r="G16621" s="234"/>
      <c r="H16621" s="238"/>
      <c r="I16621" s="237"/>
    </row>
    <row r="16622" spans="1:9" s="232" customFormat="1" ht="17" customHeight="1">
      <c r="A16622" s="234"/>
      <c r="B16622" s="233"/>
      <c r="C16622" s="238"/>
      <c r="E16622" s="545"/>
      <c r="F16622" s="546"/>
      <c r="G16622" s="234"/>
      <c r="H16622" s="238"/>
      <c r="I16622" s="237"/>
    </row>
    <row r="16623" spans="1:9" s="232" customFormat="1" ht="17" customHeight="1">
      <c r="A16623" s="234"/>
      <c r="B16623" s="233"/>
      <c r="C16623" s="238"/>
      <c r="E16623" s="545"/>
      <c r="F16623" s="546"/>
      <c r="G16623" s="234"/>
      <c r="H16623" s="238"/>
      <c r="I16623" s="237"/>
    </row>
    <row r="16624" spans="1:9" s="232" customFormat="1" ht="17" customHeight="1">
      <c r="A16624" s="234"/>
      <c r="B16624" s="233"/>
      <c r="C16624" s="238"/>
      <c r="E16624" s="545"/>
      <c r="F16624" s="546"/>
      <c r="G16624" s="234"/>
      <c r="H16624" s="238"/>
      <c r="I16624" s="237"/>
    </row>
    <row r="16625" spans="1:9" s="232" customFormat="1" ht="17" customHeight="1">
      <c r="A16625" s="234"/>
      <c r="B16625" s="233"/>
      <c r="C16625" s="238"/>
      <c r="E16625" s="545"/>
      <c r="F16625" s="546"/>
      <c r="G16625" s="234"/>
      <c r="H16625" s="238"/>
      <c r="I16625" s="237"/>
    </row>
    <row r="16626" spans="1:9" s="232" customFormat="1" ht="17" customHeight="1">
      <c r="A16626" s="234"/>
      <c r="B16626" s="233"/>
      <c r="C16626" s="238"/>
      <c r="E16626" s="545"/>
      <c r="F16626" s="546"/>
      <c r="G16626" s="234"/>
      <c r="H16626" s="238"/>
      <c r="I16626" s="237"/>
    </row>
    <row r="16627" spans="1:9" s="232" customFormat="1" ht="17" customHeight="1">
      <c r="A16627" s="234"/>
      <c r="B16627" s="233"/>
      <c r="C16627" s="238"/>
      <c r="E16627" s="545"/>
      <c r="F16627" s="546"/>
      <c r="G16627" s="234"/>
      <c r="H16627" s="238"/>
      <c r="I16627" s="237"/>
    </row>
    <row r="16628" spans="1:9" s="232" customFormat="1" ht="17" customHeight="1">
      <c r="A16628" s="234"/>
      <c r="B16628" s="233"/>
      <c r="C16628" s="238"/>
      <c r="E16628" s="545"/>
      <c r="F16628" s="546"/>
      <c r="G16628" s="234"/>
      <c r="H16628" s="238"/>
      <c r="I16628" s="237"/>
    </row>
    <row r="16629" spans="1:9" s="232" customFormat="1" ht="17" customHeight="1">
      <c r="A16629" s="234"/>
      <c r="B16629" s="233"/>
      <c r="C16629" s="238"/>
      <c r="E16629" s="545"/>
      <c r="F16629" s="546"/>
      <c r="G16629" s="234"/>
      <c r="H16629" s="238"/>
      <c r="I16629" s="237"/>
    </row>
    <row r="16630" spans="1:9" s="232" customFormat="1" ht="17" customHeight="1">
      <c r="A16630" s="234"/>
      <c r="B16630" s="233"/>
      <c r="C16630" s="238"/>
      <c r="E16630" s="545"/>
      <c r="F16630" s="546"/>
      <c r="G16630" s="234"/>
      <c r="H16630" s="238"/>
      <c r="I16630" s="237"/>
    </row>
    <row r="16631" spans="1:9" s="232" customFormat="1" ht="17" customHeight="1">
      <c r="A16631" s="234"/>
      <c r="B16631" s="233"/>
      <c r="C16631" s="238"/>
      <c r="E16631" s="545"/>
      <c r="F16631" s="546"/>
      <c r="G16631" s="234"/>
      <c r="H16631" s="238"/>
      <c r="I16631" s="237"/>
    </row>
    <row r="16632" spans="1:9" s="232" customFormat="1" ht="17" customHeight="1">
      <c r="A16632" s="234"/>
      <c r="B16632" s="233"/>
      <c r="C16632" s="238"/>
      <c r="E16632" s="545"/>
      <c r="F16632" s="546"/>
      <c r="G16632" s="234"/>
      <c r="H16632" s="238"/>
      <c r="I16632" s="237"/>
    </row>
    <row r="16633" spans="1:9" s="232" customFormat="1" ht="17" customHeight="1">
      <c r="A16633" s="234"/>
      <c r="B16633" s="233"/>
      <c r="C16633" s="238"/>
      <c r="E16633" s="545"/>
      <c r="F16633" s="546"/>
      <c r="G16633" s="234"/>
      <c r="H16633" s="238"/>
      <c r="I16633" s="237"/>
    </row>
    <row r="16634" spans="1:9" s="232" customFormat="1" ht="17" customHeight="1">
      <c r="A16634" s="234"/>
      <c r="B16634" s="233"/>
      <c r="C16634" s="238"/>
      <c r="E16634" s="545"/>
      <c r="F16634" s="546"/>
      <c r="G16634" s="234"/>
      <c r="H16634" s="238"/>
      <c r="I16634" s="237"/>
    </row>
    <row r="16635" spans="1:9" s="232" customFormat="1" ht="17" customHeight="1">
      <c r="A16635" s="234"/>
      <c r="B16635" s="233"/>
      <c r="C16635" s="238"/>
      <c r="E16635" s="545"/>
      <c r="F16635" s="546"/>
      <c r="G16635" s="234"/>
      <c r="H16635" s="238"/>
      <c r="I16635" s="237"/>
    </row>
    <row r="16636" spans="1:9" s="232" customFormat="1" ht="17" customHeight="1">
      <c r="A16636" s="234"/>
      <c r="B16636" s="233"/>
      <c r="C16636" s="238"/>
      <c r="E16636" s="545"/>
      <c r="F16636" s="546"/>
      <c r="G16636" s="234"/>
      <c r="H16636" s="238"/>
      <c r="I16636" s="237"/>
    </row>
    <row r="16637" spans="1:9" s="232" customFormat="1" ht="17" customHeight="1">
      <c r="A16637" s="234"/>
      <c r="B16637" s="233"/>
      <c r="C16637" s="238"/>
      <c r="E16637" s="545"/>
      <c r="F16637" s="546"/>
      <c r="G16637" s="234"/>
      <c r="H16637" s="238"/>
      <c r="I16637" s="237"/>
    </row>
    <row r="16638" spans="1:9" s="232" customFormat="1" ht="17" customHeight="1">
      <c r="A16638" s="234"/>
      <c r="B16638" s="233"/>
      <c r="C16638" s="238"/>
      <c r="E16638" s="545"/>
      <c r="F16638" s="546"/>
      <c r="G16638" s="234"/>
      <c r="H16638" s="238"/>
      <c r="I16638" s="237"/>
    </row>
    <row r="16639" spans="1:9" s="232" customFormat="1" ht="17" customHeight="1">
      <c r="A16639" s="234"/>
      <c r="B16639" s="233"/>
      <c r="C16639" s="238"/>
      <c r="E16639" s="545"/>
      <c r="F16639" s="546"/>
      <c r="G16639" s="234"/>
      <c r="H16639" s="238"/>
      <c r="I16639" s="237"/>
    </row>
    <row r="16640" spans="1:9" s="232" customFormat="1" ht="17" customHeight="1">
      <c r="A16640" s="234"/>
      <c r="B16640" s="233"/>
      <c r="C16640" s="238"/>
      <c r="E16640" s="545"/>
      <c r="F16640" s="546"/>
      <c r="G16640" s="234"/>
      <c r="H16640" s="238"/>
      <c r="I16640" s="237"/>
    </row>
    <row r="16641" spans="1:9" s="232" customFormat="1" ht="17" customHeight="1">
      <c r="A16641" s="234"/>
      <c r="B16641" s="233"/>
      <c r="C16641" s="238"/>
      <c r="E16641" s="545"/>
      <c r="F16641" s="546"/>
      <c r="G16641" s="234"/>
      <c r="H16641" s="238"/>
      <c r="I16641" s="237"/>
    </row>
    <row r="16642" spans="1:9" s="232" customFormat="1" ht="17" customHeight="1">
      <c r="A16642" s="234"/>
      <c r="B16642" s="233"/>
      <c r="C16642" s="238"/>
      <c r="E16642" s="545"/>
      <c r="F16642" s="546"/>
      <c r="G16642" s="234"/>
      <c r="H16642" s="238"/>
      <c r="I16642" s="237"/>
    </row>
    <row r="16643" spans="1:9" s="232" customFormat="1" ht="17" customHeight="1">
      <c r="A16643" s="234"/>
      <c r="B16643" s="233"/>
      <c r="C16643" s="238"/>
      <c r="E16643" s="545"/>
      <c r="F16643" s="546"/>
      <c r="G16643" s="234"/>
      <c r="H16643" s="238"/>
      <c r="I16643" s="237"/>
    </row>
    <row r="16644" spans="1:9" s="232" customFormat="1" ht="17" customHeight="1">
      <c r="A16644" s="234"/>
      <c r="B16644" s="233"/>
      <c r="C16644" s="238"/>
      <c r="E16644" s="545"/>
      <c r="F16644" s="546"/>
      <c r="G16644" s="234"/>
      <c r="H16644" s="238"/>
      <c r="I16644" s="237"/>
    </row>
    <row r="16645" spans="1:9" s="232" customFormat="1" ht="17" customHeight="1">
      <c r="A16645" s="234"/>
      <c r="B16645" s="233"/>
      <c r="C16645" s="238"/>
      <c r="E16645" s="545"/>
      <c r="F16645" s="546"/>
      <c r="G16645" s="234"/>
      <c r="H16645" s="238"/>
      <c r="I16645" s="237"/>
    </row>
    <row r="16646" spans="1:9" s="232" customFormat="1" ht="17" customHeight="1">
      <c r="A16646" s="234"/>
      <c r="B16646" s="233"/>
      <c r="C16646" s="238"/>
      <c r="E16646" s="545"/>
      <c r="F16646" s="546"/>
      <c r="G16646" s="234"/>
      <c r="H16646" s="238"/>
      <c r="I16646" s="237"/>
    </row>
    <row r="16647" spans="1:9" s="232" customFormat="1" ht="17" customHeight="1">
      <c r="A16647" s="234"/>
      <c r="B16647" s="233"/>
      <c r="C16647" s="238"/>
      <c r="E16647" s="545"/>
      <c r="F16647" s="546"/>
      <c r="G16647" s="234"/>
      <c r="H16647" s="238"/>
      <c r="I16647" s="237"/>
    </row>
    <row r="16648" spans="1:9" s="232" customFormat="1" ht="17" customHeight="1">
      <c r="A16648" s="234"/>
      <c r="B16648" s="233"/>
      <c r="C16648" s="238"/>
      <c r="E16648" s="545"/>
      <c r="F16648" s="546"/>
      <c r="G16648" s="234"/>
      <c r="H16648" s="238"/>
      <c r="I16648" s="237"/>
    </row>
    <row r="16649" spans="1:9" s="232" customFormat="1" ht="17" customHeight="1">
      <c r="A16649" s="234"/>
      <c r="B16649" s="233"/>
      <c r="C16649" s="238"/>
      <c r="E16649" s="545"/>
      <c r="F16649" s="546"/>
      <c r="G16649" s="234"/>
      <c r="H16649" s="238"/>
      <c r="I16649" s="237"/>
    </row>
    <row r="16650" spans="1:9" s="232" customFormat="1" ht="17" customHeight="1">
      <c r="A16650" s="234"/>
      <c r="B16650" s="233"/>
      <c r="C16650" s="238"/>
      <c r="E16650" s="545"/>
      <c r="F16650" s="546"/>
      <c r="G16650" s="234"/>
      <c r="H16650" s="238"/>
      <c r="I16650" s="237"/>
    </row>
    <row r="16651" spans="1:9" s="232" customFormat="1" ht="17" customHeight="1">
      <c r="A16651" s="234"/>
      <c r="B16651" s="233"/>
      <c r="C16651" s="238"/>
      <c r="E16651" s="545"/>
      <c r="F16651" s="546"/>
      <c r="G16651" s="234"/>
      <c r="H16651" s="238"/>
      <c r="I16651" s="237"/>
    </row>
    <row r="16652" spans="1:9" s="232" customFormat="1" ht="17" customHeight="1">
      <c r="A16652" s="234"/>
      <c r="B16652" s="233"/>
      <c r="C16652" s="238"/>
      <c r="E16652" s="545"/>
      <c r="F16652" s="546"/>
      <c r="G16652" s="234"/>
      <c r="H16652" s="238"/>
      <c r="I16652" s="237"/>
    </row>
    <row r="16653" spans="1:9" s="232" customFormat="1" ht="17" customHeight="1">
      <c r="A16653" s="234"/>
      <c r="B16653" s="233"/>
      <c r="C16653" s="238"/>
      <c r="E16653" s="545"/>
      <c r="F16653" s="546"/>
      <c r="G16653" s="234"/>
      <c r="H16653" s="238"/>
      <c r="I16653" s="237"/>
    </row>
    <row r="16654" spans="1:9" s="232" customFormat="1" ht="17" customHeight="1">
      <c r="A16654" s="234"/>
      <c r="B16654" s="233"/>
      <c r="C16654" s="238"/>
      <c r="E16654" s="545"/>
      <c r="F16654" s="546"/>
      <c r="G16654" s="234"/>
      <c r="H16654" s="238"/>
      <c r="I16654" s="237"/>
    </row>
    <row r="16655" spans="1:9" s="232" customFormat="1" ht="17" customHeight="1">
      <c r="A16655" s="234"/>
      <c r="B16655" s="233"/>
      <c r="C16655" s="238"/>
      <c r="E16655" s="545"/>
      <c r="F16655" s="546"/>
      <c r="G16655" s="234"/>
      <c r="H16655" s="238"/>
      <c r="I16655" s="237"/>
    </row>
    <row r="16656" spans="1:9" s="232" customFormat="1" ht="17" customHeight="1">
      <c r="A16656" s="234"/>
      <c r="B16656" s="233"/>
      <c r="C16656" s="238"/>
      <c r="E16656" s="545"/>
      <c r="F16656" s="546"/>
      <c r="G16656" s="234"/>
      <c r="H16656" s="238"/>
      <c r="I16656" s="237"/>
    </row>
    <row r="16657" spans="1:9" s="232" customFormat="1" ht="17" customHeight="1">
      <c r="A16657" s="234"/>
      <c r="B16657" s="233"/>
      <c r="C16657" s="238"/>
      <c r="E16657" s="545"/>
      <c r="F16657" s="546"/>
      <c r="G16657" s="234"/>
      <c r="H16657" s="238"/>
      <c r="I16657" s="237"/>
    </row>
    <row r="16658" spans="1:9" s="232" customFormat="1" ht="17" customHeight="1">
      <c r="A16658" s="234"/>
      <c r="B16658" s="233"/>
      <c r="C16658" s="238"/>
      <c r="E16658" s="545"/>
      <c r="F16658" s="546"/>
      <c r="G16658" s="234"/>
      <c r="H16658" s="238"/>
      <c r="I16658" s="237"/>
    </row>
    <row r="16659" spans="1:9" s="232" customFormat="1" ht="17" customHeight="1">
      <c r="A16659" s="234"/>
      <c r="B16659" s="233"/>
      <c r="C16659" s="238"/>
      <c r="E16659" s="545"/>
      <c r="F16659" s="546"/>
      <c r="G16659" s="234"/>
      <c r="H16659" s="238"/>
      <c r="I16659" s="237"/>
    </row>
    <row r="16660" spans="1:9" s="232" customFormat="1" ht="17" customHeight="1">
      <c r="A16660" s="234"/>
      <c r="B16660" s="233"/>
      <c r="C16660" s="238"/>
      <c r="E16660" s="545"/>
      <c r="F16660" s="546"/>
      <c r="G16660" s="234"/>
      <c r="H16660" s="238"/>
      <c r="I16660" s="237"/>
    </row>
    <row r="16661" spans="1:9" s="232" customFormat="1" ht="17" customHeight="1">
      <c r="A16661" s="234"/>
      <c r="B16661" s="233"/>
      <c r="C16661" s="238"/>
      <c r="E16661" s="545"/>
      <c r="F16661" s="546"/>
      <c r="G16661" s="234"/>
      <c r="H16661" s="238"/>
      <c r="I16661" s="237"/>
    </row>
    <row r="16662" spans="1:9" s="232" customFormat="1" ht="17" customHeight="1">
      <c r="A16662" s="234"/>
      <c r="B16662" s="233"/>
      <c r="C16662" s="238"/>
      <c r="E16662" s="545"/>
      <c r="F16662" s="546"/>
      <c r="G16662" s="234"/>
      <c r="H16662" s="238"/>
      <c r="I16662" s="237"/>
    </row>
    <row r="16663" spans="1:9" s="232" customFormat="1" ht="17" customHeight="1">
      <c r="A16663" s="234"/>
      <c r="B16663" s="233"/>
      <c r="C16663" s="238"/>
      <c r="E16663" s="545"/>
      <c r="F16663" s="546"/>
      <c r="G16663" s="234"/>
      <c r="H16663" s="238"/>
      <c r="I16663" s="237"/>
    </row>
    <row r="16664" spans="1:9" s="232" customFormat="1" ht="17" customHeight="1">
      <c r="A16664" s="234"/>
      <c r="B16664" s="233"/>
      <c r="C16664" s="238"/>
      <c r="E16664" s="545"/>
      <c r="F16664" s="546"/>
      <c r="G16664" s="234"/>
      <c r="H16664" s="238"/>
      <c r="I16664" s="237"/>
    </row>
    <row r="16665" spans="1:9" s="232" customFormat="1" ht="17" customHeight="1">
      <c r="A16665" s="234"/>
      <c r="B16665" s="233"/>
      <c r="C16665" s="238"/>
      <c r="E16665" s="545"/>
      <c r="F16665" s="546"/>
      <c r="G16665" s="234"/>
      <c r="H16665" s="238"/>
      <c r="I16665" s="237"/>
    </row>
    <row r="16666" spans="1:9" s="232" customFormat="1" ht="17" customHeight="1">
      <c r="A16666" s="234"/>
      <c r="B16666" s="233"/>
      <c r="C16666" s="238"/>
      <c r="E16666" s="545"/>
      <c r="F16666" s="546"/>
      <c r="G16666" s="234"/>
      <c r="H16666" s="238"/>
      <c r="I16666" s="237"/>
    </row>
    <row r="16667" spans="1:9" s="232" customFormat="1" ht="17" customHeight="1">
      <c r="A16667" s="234"/>
      <c r="B16667" s="233"/>
      <c r="C16667" s="238"/>
      <c r="E16667" s="545"/>
      <c r="F16667" s="546"/>
      <c r="G16667" s="234"/>
      <c r="H16667" s="238"/>
      <c r="I16667" s="237"/>
    </row>
    <row r="16668" spans="1:9" s="232" customFormat="1" ht="17" customHeight="1">
      <c r="A16668" s="234"/>
      <c r="B16668" s="233"/>
      <c r="C16668" s="238"/>
      <c r="E16668" s="545"/>
      <c r="F16668" s="546"/>
      <c r="G16668" s="234"/>
      <c r="H16668" s="238"/>
      <c r="I16668" s="237"/>
    </row>
    <row r="16669" spans="1:9" s="232" customFormat="1" ht="17" customHeight="1">
      <c r="A16669" s="234"/>
      <c r="B16669" s="233"/>
      <c r="C16669" s="238"/>
      <c r="E16669" s="545"/>
      <c r="F16669" s="546"/>
      <c r="G16669" s="234"/>
      <c r="H16669" s="238"/>
      <c r="I16669" s="237"/>
    </row>
    <row r="16670" spans="1:9" s="232" customFormat="1" ht="17" customHeight="1">
      <c r="A16670" s="234"/>
      <c r="B16670" s="233"/>
      <c r="C16670" s="238"/>
      <c r="E16670" s="545"/>
      <c r="F16670" s="546"/>
      <c r="G16670" s="234"/>
      <c r="H16670" s="238"/>
      <c r="I16670" s="237"/>
    </row>
    <row r="16671" spans="1:9" s="232" customFormat="1" ht="17" customHeight="1">
      <c r="A16671" s="234"/>
      <c r="B16671" s="233"/>
      <c r="C16671" s="238"/>
      <c r="E16671" s="545"/>
      <c r="F16671" s="546"/>
      <c r="G16671" s="234"/>
      <c r="H16671" s="238"/>
      <c r="I16671" s="237"/>
    </row>
    <row r="16672" spans="1:9" s="232" customFormat="1" ht="17" customHeight="1">
      <c r="A16672" s="234"/>
      <c r="B16672" s="233"/>
      <c r="C16672" s="238"/>
      <c r="E16672" s="545"/>
      <c r="F16672" s="546"/>
      <c r="G16672" s="234"/>
      <c r="H16672" s="238"/>
      <c r="I16672" s="237"/>
    </row>
    <row r="16673" spans="1:9" s="232" customFormat="1" ht="17" customHeight="1">
      <c r="A16673" s="234"/>
      <c r="B16673" s="233"/>
      <c r="C16673" s="238"/>
      <c r="E16673" s="545"/>
      <c r="F16673" s="546"/>
      <c r="G16673" s="234"/>
      <c r="H16673" s="238"/>
      <c r="I16673" s="237"/>
    </row>
    <row r="16674" spans="1:9" s="232" customFormat="1" ht="17" customHeight="1">
      <c r="A16674" s="234"/>
      <c r="B16674" s="233"/>
      <c r="C16674" s="238"/>
      <c r="E16674" s="545"/>
      <c r="F16674" s="546"/>
      <c r="G16674" s="234"/>
      <c r="H16674" s="238"/>
      <c r="I16674" s="237"/>
    </row>
    <row r="16675" spans="1:9" s="232" customFormat="1" ht="17" customHeight="1">
      <c r="A16675" s="234"/>
      <c r="B16675" s="233"/>
      <c r="C16675" s="238"/>
      <c r="E16675" s="545"/>
      <c r="F16675" s="546"/>
      <c r="G16675" s="234"/>
      <c r="H16675" s="238"/>
      <c r="I16675" s="237"/>
    </row>
    <row r="16676" spans="1:9" s="232" customFormat="1" ht="17" customHeight="1">
      <c r="A16676" s="234"/>
      <c r="B16676" s="233"/>
      <c r="C16676" s="238"/>
      <c r="E16676" s="545"/>
      <c r="F16676" s="546"/>
      <c r="G16676" s="234"/>
      <c r="H16676" s="238"/>
      <c r="I16676" s="237"/>
    </row>
    <row r="16677" spans="1:9" s="232" customFormat="1" ht="17" customHeight="1">
      <c r="A16677" s="234"/>
      <c r="B16677" s="233"/>
      <c r="C16677" s="238"/>
      <c r="E16677" s="545"/>
      <c r="F16677" s="546"/>
      <c r="G16677" s="234"/>
      <c r="H16677" s="238"/>
      <c r="I16677" s="237"/>
    </row>
    <row r="16678" spans="1:9" s="232" customFormat="1" ht="17" customHeight="1">
      <c r="A16678" s="234"/>
      <c r="B16678" s="233"/>
      <c r="C16678" s="238"/>
      <c r="E16678" s="545"/>
      <c r="F16678" s="546"/>
      <c r="G16678" s="234"/>
      <c r="H16678" s="238"/>
      <c r="I16678" s="237"/>
    </row>
    <row r="16679" spans="1:9" s="232" customFormat="1" ht="17" customHeight="1">
      <c r="A16679" s="234"/>
      <c r="B16679" s="233"/>
      <c r="C16679" s="238"/>
      <c r="E16679" s="545"/>
      <c r="F16679" s="546"/>
      <c r="G16679" s="234"/>
      <c r="H16679" s="238"/>
      <c r="I16679" s="237"/>
    </row>
    <row r="16680" spans="1:9" s="232" customFormat="1" ht="17" customHeight="1">
      <c r="A16680" s="234"/>
      <c r="B16680" s="233"/>
      <c r="C16680" s="238"/>
      <c r="E16680" s="545"/>
      <c r="F16680" s="546"/>
      <c r="G16680" s="234"/>
      <c r="H16680" s="238"/>
      <c r="I16680" s="237"/>
    </row>
    <row r="16681" spans="1:9" s="232" customFormat="1" ht="17" customHeight="1">
      <c r="A16681" s="234"/>
      <c r="B16681" s="233"/>
      <c r="C16681" s="238"/>
      <c r="E16681" s="545"/>
      <c r="F16681" s="546"/>
      <c r="G16681" s="234"/>
      <c r="H16681" s="238"/>
      <c r="I16681" s="237"/>
    </row>
    <row r="16682" spans="1:9" s="232" customFormat="1" ht="17" customHeight="1">
      <c r="A16682" s="234"/>
      <c r="B16682" s="233"/>
      <c r="C16682" s="238"/>
      <c r="E16682" s="545"/>
      <c r="F16682" s="546"/>
      <c r="G16682" s="234"/>
      <c r="H16682" s="238"/>
      <c r="I16682" s="237"/>
    </row>
    <row r="16683" spans="1:9" s="232" customFormat="1" ht="17" customHeight="1">
      <c r="A16683" s="234"/>
      <c r="B16683" s="233"/>
      <c r="C16683" s="238"/>
      <c r="E16683" s="545"/>
      <c r="F16683" s="546"/>
      <c r="G16683" s="234"/>
      <c r="H16683" s="238"/>
      <c r="I16683" s="237"/>
    </row>
    <row r="16684" spans="1:9" s="232" customFormat="1" ht="17" customHeight="1">
      <c r="A16684" s="234"/>
      <c r="B16684" s="233"/>
      <c r="C16684" s="238"/>
      <c r="E16684" s="545"/>
      <c r="F16684" s="546"/>
      <c r="G16684" s="234"/>
      <c r="H16684" s="238"/>
      <c r="I16684" s="237"/>
    </row>
    <row r="16685" spans="1:9" s="232" customFormat="1" ht="17" customHeight="1">
      <c r="A16685" s="234"/>
      <c r="B16685" s="233"/>
      <c r="C16685" s="238"/>
      <c r="E16685" s="545"/>
      <c r="F16685" s="546"/>
      <c r="G16685" s="234"/>
      <c r="H16685" s="238"/>
      <c r="I16685" s="237"/>
    </row>
    <row r="16686" spans="1:9" s="232" customFormat="1" ht="17" customHeight="1">
      <c r="A16686" s="234"/>
      <c r="B16686" s="233"/>
      <c r="C16686" s="238"/>
      <c r="E16686" s="545"/>
      <c r="F16686" s="546"/>
      <c r="G16686" s="234"/>
      <c r="H16686" s="238"/>
      <c r="I16686" s="237"/>
    </row>
    <row r="16687" spans="1:9" s="232" customFormat="1" ht="17" customHeight="1">
      <c r="A16687" s="234"/>
      <c r="B16687" s="233"/>
      <c r="C16687" s="238"/>
      <c r="E16687" s="545"/>
      <c r="F16687" s="546"/>
      <c r="G16687" s="234"/>
      <c r="H16687" s="238"/>
      <c r="I16687" s="237"/>
    </row>
    <row r="16688" spans="1:9" s="232" customFormat="1" ht="17" customHeight="1">
      <c r="A16688" s="234"/>
      <c r="B16688" s="233"/>
      <c r="C16688" s="238"/>
      <c r="E16688" s="545"/>
      <c r="F16688" s="546"/>
      <c r="G16688" s="234"/>
      <c r="H16688" s="238"/>
      <c r="I16688" s="237"/>
    </row>
    <row r="16689" spans="1:9" s="232" customFormat="1" ht="17" customHeight="1">
      <c r="A16689" s="234"/>
      <c r="B16689" s="233"/>
      <c r="C16689" s="238"/>
      <c r="E16689" s="545"/>
      <c r="F16689" s="546"/>
      <c r="G16689" s="234"/>
      <c r="H16689" s="238"/>
      <c r="I16689" s="237"/>
    </row>
    <row r="16690" spans="1:9" s="232" customFormat="1" ht="17" customHeight="1">
      <c r="A16690" s="234"/>
      <c r="B16690" s="233"/>
      <c r="C16690" s="238"/>
      <c r="E16690" s="545"/>
      <c r="F16690" s="546"/>
      <c r="G16690" s="234"/>
      <c r="H16690" s="238"/>
      <c r="I16690" s="237"/>
    </row>
    <row r="16691" spans="1:9" s="232" customFormat="1" ht="17" customHeight="1">
      <c r="A16691" s="234"/>
      <c r="B16691" s="233"/>
      <c r="C16691" s="238"/>
      <c r="E16691" s="545"/>
      <c r="F16691" s="546"/>
      <c r="G16691" s="234"/>
      <c r="H16691" s="238"/>
      <c r="I16691" s="237"/>
    </row>
    <row r="16692" spans="1:9" s="232" customFormat="1" ht="17" customHeight="1">
      <c r="A16692" s="234"/>
      <c r="B16692" s="233"/>
      <c r="C16692" s="238"/>
      <c r="E16692" s="545"/>
      <c r="F16692" s="546"/>
      <c r="G16692" s="234"/>
      <c r="H16692" s="238"/>
      <c r="I16692" s="237"/>
    </row>
    <row r="16693" spans="1:9" s="232" customFormat="1" ht="17" customHeight="1">
      <c r="A16693" s="234"/>
      <c r="B16693" s="233"/>
      <c r="C16693" s="238"/>
      <c r="E16693" s="545"/>
      <c r="F16693" s="546"/>
      <c r="G16693" s="234"/>
      <c r="H16693" s="238"/>
      <c r="I16693" s="237"/>
    </row>
    <row r="16694" spans="1:9" s="232" customFormat="1" ht="17" customHeight="1">
      <c r="A16694" s="234"/>
      <c r="B16694" s="233"/>
      <c r="C16694" s="238"/>
      <c r="E16694" s="545"/>
      <c r="F16694" s="546"/>
      <c r="G16694" s="234"/>
      <c r="H16694" s="238"/>
      <c r="I16694" s="237"/>
    </row>
    <row r="16695" spans="1:9" s="232" customFormat="1" ht="17" customHeight="1">
      <c r="A16695" s="234"/>
      <c r="B16695" s="233"/>
      <c r="C16695" s="238"/>
      <c r="E16695" s="545"/>
      <c r="F16695" s="546"/>
      <c r="G16695" s="234"/>
      <c r="H16695" s="238"/>
      <c r="I16695" s="237"/>
    </row>
    <row r="16696" spans="1:9" s="232" customFormat="1" ht="17" customHeight="1">
      <c r="A16696" s="234"/>
      <c r="B16696" s="233"/>
      <c r="C16696" s="238"/>
      <c r="E16696" s="545"/>
      <c r="F16696" s="546"/>
      <c r="G16696" s="234"/>
      <c r="H16696" s="238"/>
      <c r="I16696" s="237"/>
    </row>
    <row r="16697" spans="1:9" s="232" customFormat="1" ht="17" customHeight="1">
      <c r="A16697" s="234"/>
      <c r="B16697" s="233"/>
      <c r="C16697" s="238"/>
      <c r="E16697" s="545"/>
      <c r="F16697" s="546"/>
      <c r="G16697" s="234"/>
      <c r="H16697" s="238"/>
      <c r="I16697" s="237"/>
    </row>
    <row r="16698" spans="1:9" s="232" customFormat="1" ht="17" customHeight="1">
      <c r="A16698" s="234"/>
      <c r="B16698" s="233"/>
      <c r="C16698" s="238"/>
      <c r="E16698" s="545"/>
      <c r="F16698" s="546"/>
      <c r="G16698" s="234"/>
      <c r="H16698" s="238"/>
      <c r="I16698" s="237"/>
    </row>
    <row r="16699" spans="1:9" s="232" customFormat="1" ht="17" customHeight="1">
      <c r="A16699" s="234"/>
      <c r="B16699" s="233"/>
      <c r="C16699" s="238"/>
      <c r="E16699" s="545"/>
      <c r="F16699" s="546"/>
      <c r="G16699" s="234"/>
      <c r="H16699" s="238"/>
      <c r="I16699" s="237"/>
    </row>
    <row r="16700" spans="1:9" s="232" customFormat="1" ht="17" customHeight="1">
      <c r="A16700" s="234"/>
      <c r="B16700" s="233"/>
      <c r="C16700" s="238"/>
      <c r="E16700" s="545"/>
      <c r="F16700" s="546"/>
      <c r="G16700" s="234"/>
      <c r="H16700" s="238"/>
      <c r="I16700" s="237"/>
    </row>
    <row r="16701" spans="1:9" s="232" customFormat="1" ht="17" customHeight="1">
      <c r="A16701" s="234"/>
      <c r="B16701" s="233"/>
      <c r="C16701" s="238"/>
      <c r="E16701" s="545"/>
      <c r="F16701" s="546"/>
      <c r="G16701" s="234"/>
      <c r="H16701" s="238"/>
      <c r="I16701" s="237"/>
    </row>
    <row r="16702" spans="1:9" s="232" customFormat="1" ht="17" customHeight="1">
      <c r="A16702" s="234"/>
      <c r="B16702" s="233"/>
      <c r="C16702" s="238"/>
      <c r="E16702" s="545"/>
      <c r="F16702" s="546"/>
      <c r="G16702" s="234"/>
      <c r="H16702" s="238"/>
      <c r="I16702" s="237"/>
    </row>
    <row r="16703" spans="1:9" s="232" customFormat="1" ht="17" customHeight="1">
      <c r="A16703" s="234"/>
      <c r="B16703" s="233"/>
      <c r="C16703" s="238"/>
      <c r="E16703" s="545"/>
      <c r="F16703" s="546"/>
      <c r="G16703" s="234"/>
      <c r="H16703" s="238"/>
      <c r="I16703" s="237"/>
    </row>
    <row r="16704" spans="1:9" s="232" customFormat="1" ht="17" customHeight="1">
      <c r="A16704" s="234"/>
      <c r="B16704" s="233"/>
      <c r="C16704" s="238"/>
      <c r="E16704" s="545"/>
      <c r="F16704" s="546"/>
      <c r="G16704" s="234"/>
      <c r="H16704" s="238"/>
      <c r="I16704" s="237"/>
    </row>
    <row r="16705" spans="1:9" s="232" customFormat="1" ht="17" customHeight="1">
      <c r="A16705" s="234"/>
      <c r="B16705" s="233"/>
      <c r="C16705" s="238"/>
      <c r="E16705" s="545"/>
      <c r="F16705" s="546"/>
      <c r="G16705" s="234"/>
      <c r="H16705" s="238"/>
      <c r="I16705" s="237"/>
    </row>
    <row r="16706" spans="1:9" s="232" customFormat="1" ht="17" customHeight="1">
      <c r="A16706" s="234"/>
      <c r="B16706" s="233"/>
      <c r="C16706" s="238"/>
      <c r="E16706" s="545"/>
      <c r="F16706" s="546"/>
      <c r="G16706" s="234"/>
      <c r="H16706" s="238"/>
      <c r="I16706" s="237"/>
    </row>
    <row r="16707" spans="1:9" s="232" customFormat="1" ht="17" customHeight="1">
      <c r="A16707" s="234"/>
      <c r="B16707" s="233"/>
      <c r="C16707" s="238"/>
      <c r="E16707" s="545"/>
      <c r="F16707" s="546"/>
      <c r="G16707" s="234"/>
      <c r="H16707" s="238"/>
      <c r="I16707" s="237"/>
    </row>
    <row r="16708" spans="1:9" s="232" customFormat="1" ht="17" customHeight="1">
      <c r="A16708" s="234"/>
      <c r="B16708" s="233"/>
      <c r="C16708" s="238"/>
      <c r="E16708" s="545"/>
      <c r="F16708" s="546"/>
      <c r="G16708" s="234"/>
      <c r="H16708" s="238"/>
      <c r="I16708" s="237"/>
    </row>
    <row r="16709" spans="1:9" s="232" customFormat="1" ht="17" customHeight="1">
      <c r="A16709" s="234"/>
      <c r="B16709" s="233"/>
      <c r="C16709" s="238"/>
      <c r="E16709" s="545"/>
      <c r="F16709" s="546"/>
      <c r="G16709" s="234"/>
      <c r="H16709" s="238"/>
      <c r="I16709" s="237"/>
    </row>
    <row r="16710" spans="1:9" s="232" customFormat="1" ht="17" customHeight="1">
      <c r="A16710" s="234"/>
      <c r="B16710" s="233"/>
      <c r="C16710" s="238"/>
      <c r="E16710" s="545"/>
      <c r="F16710" s="546"/>
      <c r="G16710" s="234"/>
      <c r="H16710" s="238"/>
      <c r="I16710" s="237"/>
    </row>
    <row r="16711" spans="1:9" s="232" customFormat="1" ht="17" customHeight="1">
      <c r="A16711" s="234"/>
      <c r="B16711" s="233"/>
      <c r="C16711" s="238"/>
      <c r="E16711" s="545"/>
      <c r="F16711" s="546"/>
      <c r="G16711" s="234"/>
      <c r="H16711" s="238"/>
      <c r="I16711" s="237"/>
    </row>
    <row r="16712" spans="1:9" s="232" customFormat="1" ht="17" customHeight="1">
      <c r="A16712" s="234"/>
      <c r="B16712" s="233"/>
      <c r="C16712" s="238"/>
      <c r="E16712" s="545"/>
      <c r="F16712" s="546"/>
      <c r="G16712" s="234"/>
      <c r="H16712" s="238"/>
      <c r="I16712" s="237"/>
    </row>
    <row r="16713" spans="1:9" s="232" customFormat="1" ht="17" customHeight="1">
      <c r="A16713" s="234"/>
      <c r="B16713" s="233"/>
      <c r="C16713" s="238"/>
      <c r="E16713" s="545"/>
      <c r="F16713" s="546"/>
      <c r="G16713" s="234"/>
      <c r="H16713" s="238"/>
      <c r="I16713" s="237"/>
    </row>
    <row r="16714" spans="1:9" s="232" customFormat="1" ht="17" customHeight="1">
      <c r="A16714" s="234"/>
      <c r="B16714" s="233"/>
      <c r="C16714" s="238"/>
      <c r="E16714" s="545"/>
      <c r="F16714" s="546"/>
      <c r="G16714" s="234"/>
      <c r="H16714" s="238"/>
      <c r="I16714" s="237"/>
    </row>
    <row r="16715" spans="1:9" s="232" customFormat="1" ht="17" customHeight="1">
      <c r="A16715" s="234"/>
      <c r="B16715" s="233"/>
      <c r="C16715" s="238"/>
      <c r="E16715" s="545"/>
      <c r="F16715" s="546"/>
      <c r="G16715" s="234"/>
      <c r="H16715" s="238"/>
      <c r="I16715" s="237"/>
    </row>
    <row r="16716" spans="1:9" s="232" customFormat="1" ht="17" customHeight="1">
      <c r="A16716" s="234"/>
      <c r="B16716" s="233"/>
      <c r="C16716" s="238"/>
      <c r="E16716" s="545"/>
      <c r="F16716" s="546"/>
      <c r="G16716" s="234"/>
      <c r="H16716" s="238"/>
      <c r="I16716" s="237"/>
    </row>
    <row r="16717" spans="1:9" s="232" customFormat="1" ht="17" customHeight="1">
      <c r="A16717" s="234"/>
      <c r="B16717" s="233"/>
      <c r="C16717" s="238"/>
      <c r="E16717" s="545"/>
      <c r="F16717" s="546"/>
      <c r="G16717" s="234"/>
      <c r="H16717" s="238"/>
      <c r="I16717" s="237"/>
    </row>
    <row r="16718" spans="1:9" s="232" customFormat="1" ht="17" customHeight="1">
      <c r="A16718" s="234"/>
      <c r="B16718" s="233"/>
      <c r="C16718" s="238"/>
      <c r="E16718" s="545"/>
      <c r="F16718" s="546"/>
      <c r="G16718" s="234"/>
      <c r="H16718" s="238"/>
      <c r="I16718" s="237"/>
    </row>
    <row r="16719" spans="1:9" s="232" customFormat="1" ht="17" customHeight="1">
      <c r="A16719" s="234"/>
      <c r="B16719" s="233"/>
      <c r="C16719" s="238"/>
      <c r="E16719" s="545"/>
      <c r="F16719" s="546"/>
      <c r="G16719" s="234"/>
      <c r="H16719" s="238"/>
      <c r="I16719" s="237"/>
    </row>
    <row r="16720" spans="1:9" s="232" customFormat="1" ht="17" customHeight="1">
      <c r="A16720" s="234"/>
      <c r="B16720" s="233"/>
      <c r="C16720" s="238"/>
      <c r="E16720" s="545"/>
      <c r="F16720" s="546"/>
      <c r="G16720" s="234"/>
      <c r="H16720" s="238"/>
      <c r="I16720" s="237"/>
    </row>
    <row r="16721" spans="1:9" s="232" customFormat="1" ht="17" customHeight="1">
      <c r="A16721" s="234"/>
      <c r="B16721" s="233"/>
      <c r="C16721" s="238"/>
      <c r="E16721" s="545"/>
      <c r="F16721" s="546"/>
      <c r="G16721" s="234"/>
      <c r="H16721" s="238"/>
      <c r="I16721" s="237"/>
    </row>
    <row r="16722" spans="1:9" s="232" customFormat="1" ht="17" customHeight="1">
      <c r="A16722" s="234"/>
      <c r="B16722" s="233"/>
      <c r="C16722" s="238"/>
      <c r="E16722" s="545"/>
      <c r="F16722" s="546"/>
      <c r="G16722" s="234"/>
      <c r="H16722" s="238"/>
      <c r="I16722" s="237"/>
    </row>
    <row r="16723" spans="1:9" s="232" customFormat="1" ht="17" customHeight="1">
      <c r="A16723" s="234"/>
      <c r="B16723" s="233"/>
      <c r="C16723" s="238"/>
      <c r="E16723" s="545"/>
      <c r="F16723" s="546"/>
      <c r="G16723" s="234"/>
      <c r="H16723" s="238"/>
      <c r="I16723" s="237"/>
    </row>
    <row r="16724" spans="1:9" s="232" customFormat="1" ht="17" customHeight="1">
      <c r="A16724" s="234"/>
      <c r="B16724" s="233"/>
      <c r="C16724" s="238"/>
      <c r="E16724" s="545"/>
      <c r="F16724" s="546"/>
      <c r="G16724" s="234"/>
      <c r="H16724" s="238"/>
      <c r="I16724" s="237"/>
    </row>
    <row r="16725" spans="1:9" s="232" customFormat="1" ht="17" customHeight="1">
      <c r="A16725" s="234"/>
      <c r="B16725" s="233"/>
      <c r="C16725" s="238"/>
      <c r="E16725" s="545"/>
      <c r="F16725" s="546"/>
      <c r="G16725" s="234"/>
      <c r="H16725" s="238"/>
      <c r="I16725" s="237"/>
    </row>
    <row r="16726" spans="1:9" s="232" customFormat="1" ht="17" customHeight="1">
      <c r="A16726" s="234"/>
      <c r="B16726" s="233"/>
      <c r="C16726" s="238"/>
      <c r="E16726" s="545"/>
      <c r="F16726" s="546"/>
      <c r="G16726" s="234"/>
      <c r="H16726" s="238"/>
      <c r="I16726" s="237"/>
    </row>
    <row r="16727" spans="1:9" s="232" customFormat="1" ht="17" customHeight="1">
      <c r="A16727" s="234"/>
      <c r="B16727" s="233"/>
      <c r="C16727" s="238"/>
      <c r="E16727" s="545"/>
      <c r="F16727" s="546"/>
      <c r="G16727" s="234"/>
      <c r="H16727" s="238"/>
      <c r="I16727" s="237"/>
    </row>
    <row r="16728" spans="1:9" s="232" customFormat="1" ht="17" customHeight="1">
      <c r="A16728" s="234"/>
      <c r="B16728" s="233"/>
      <c r="C16728" s="238"/>
      <c r="E16728" s="545"/>
      <c r="F16728" s="546"/>
      <c r="G16728" s="234"/>
      <c r="H16728" s="238"/>
      <c r="I16728" s="237"/>
    </row>
    <row r="16729" spans="1:9" s="232" customFormat="1" ht="17" customHeight="1">
      <c r="A16729" s="234"/>
      <c r="B16729" s="233"/>
      <c r="C16729" s="238"/>
      <c r="E16729" s="545"/>
      <c r="F16729" s="546"/>
      <c r="G16729" s="234"/>
      <c r="H16729" s="238"/>
      <c r="I16729" s="237"/>
    </row>
    <row r="16730" spans="1:9" s="232" customFormat="1" ht="17" customHeight="1">
      <c r="A16730" s="234"/>
      <c r="B16730" s="233"/>
      <c r="C16730" s="238"/>
      <c r="E16730" s="545"/>
      <c r="F16730" s="546"/>
      <c r="G16730" s="234"/>
      <c r="H16730" s="238"/>
      <c r="I16730" s="237"/>
    </row>
    <row r="16731" spans="1:9" s="232" customFormat="1" ht="17" customHeight="1">
      <c r="A16731" s="234"/>
      <c r="B16731" s="233"/>
      <c r="C16731" s="238"/>
      <c r="E16731" s="545"/>
      <c r="F16731" s="546"/>
      <c r="G16731" s="234"/>
      <c r="H16731" s="238"/>
      <c r="I16731" s="237"/>
    </row>
    <row r="16732" spans="1:9" s="232" customFormat="1" ht="17" customHeight="1">
      <c r="A16732" s="234"/>
      <c r="B16732" s="233"/>
      <c r="C16732" s="238"/>
      <c r="E16732" s="545"/>
      <c r="F16732" s="546"/>
      <c r="G16732" s="234"/>
      <c r="H16732" s="238"/>
      <c r="I16732" s="237"/>
    </row>
    <row r="16733" spans="1:9" s="232" customFormat="1" ht="17" customHeight="1">
      <c r="A16733" s="234"/>
      <c r="B16733" s="233"/>
      <c r="C16733" s="238"/>
      <c r="E16733" s="545"/>
      <c r="F16733" s="546"/>
      <c r="G16733" s="234"/>
      <c r="H16733" s="238"/>
      <c r="I16733" s="237"/>
    </row>
    <row r="16734" spans="1:9" s="232" customFormat="1" ht="17" customHeight="1">
      <c r="A16734" s="234"/>
      <c r="B16734" s="233"/>
      <c r="C16734" s="238"/>
      <c r="E16734" s="545"/>
      <c r="F16734" s="546"/>
      <c r="G16734" s="234"/>
      <c r="H16734" s="238"/>
      <c r="I16734" s="237"/>
    </row>
    <row r="16735" spans="1:9" s="232" customFormat="1" ht="17" customHeight="1">
      <c r="A16735" s="234"/>
      <c r="B16735" s="233"/>
      <c r="C16735" s="238"/>
      <c r="E16735" s="545"/>
      <c r="F16735" s="546"/>
      <c r="G16735" s="234"/>
      <c r="H16735" s="238"/>
      <c r="I16735" s="237"/>
    </row>
    <row r="16736" spans="1:9" s="232" customFormat="1" ht="17" customHeight="1">
      <c r="A16736" s="234"/>
      <c r="B16736" s="233"/>
      <c r="C16736" s="238"/>
      <c r="E16736" s="545"/>
      <c r="F16736" s="546"/>
      <c r="G16736" s="234"/>
      <c r="H16736" s="238"/>
      <c r="I16736" s="237"/>
    </row>
    <row r="16737" spans="1:9" s="232" customFormat="1" ht="17" customHeight="1">
      <c r="A16737" s="234"/>
      <c r="B16737" s="233"/>
      <c r="C16737" s="238"/>
      <c r="E16737" s="545"/>
      <c r="F16737" s="546"/>
      <c r="G16737" s="234"/>
      <c r="H16737" s="238"/>
      <c r="I16737" s="237"/>
    </row>
    <row r="16738" spans="1:9" s="232" customFormat="1" ht="17" customHeight="1">
      <c r="A16738" s="234"/>
      <c r="B16738" s="233"/>
      <c r="C16738" s="238"/>
      <c r="E16738" s="545"/>
      <c r="F16738" s="546"/>
      <c r="G16738" s="234"/>
      <c r="H16738" s="238"/>
      <c r="I16738" s="237"/>
    </row>
    <row r="16739" spans="1:9" s="232" customFormat="1" ht="17" customHeight="1">
      <c r="A16739" s="234"/>
      <c r="B16739" s="233"/>
      <c r="C16739" s="238"/>
      <c r="E16739" s="545"/>
      <c r="F16739" s="546"/>
      <c r="G16739" s="234"/>
      <c r="H16739" s="238"/>
      <c r="I16739" s="237"/>
    </row>
    <row r="16740" spans="1:9" s="232" customFormat="1" ht="17" customHeight="1">
      <c r="A16740" s="234"/>
      <c r="B16740" s="233"/>
      <c r="C16740" s="238"/>
      <c r="E16740" s="545"/>
      <c r="F16740" s="546"/>
      <c r="G16740" s="234"/>
      <c r="H16740" s="238"/>
      <c r="I16740" s="237"/>
    </row>
    <row r="16741" spans="1:9" s="232" customFormat="1" ht="17" customHeight="1">
      <c r="A16741" s="234"/>
      <c r="B16741" s="233"/>
      <c r="C16741" s="238"/>
      <c r="E16741" s="545"/>
      <c r="F16741" s="546"/>
      <c r="G16741" s="234"/>
      <c r="H16741" s="238"/>
      <c r="I16741" s="237"/>
    </row>
    <row r="16742" spans="1:9" s="232" customFormat="1" ht="17" customHeight="1">
      <c r="A16742" s="234"/>
      <c r="B16742" s="233"/>
      <c r="C16742" s="238"/>
      <c r="E16742" s="545"/>
      <c r="F16742" s="546"/>
      <c r="G16742" s="234"/>
      <c r="H16742" s="238"/>
      <c r="I16742" s="237"/>
    </row>
    <row r="16743" spans="1:9" s="232" customFormat="1" ht="17" customHeight="1">
      <c r="A16743" s="234"/>
      <c r="B16743" s="233"/>
      <c r="C16743" s="238"/>
      <c r="E16743" s="545"/>
      <c r="F16743" s="546"/>
      <c r="G16743" s="234"/>
      <c r="H16743" s="238"/>
      <c r="I16743" s="237"/>
    </row>
    <row r="16744" spans="1:9" s="232" customFormat="1" ht="17" customHeight="1">
      <c r="A16744" s="234"/>
      <c r="B16744" s="233"/>
      <c r="C16744" s="238"/>
      <c r="E16744" s="545"/>
      <c r="F16744" s="546"/>
      <c r="G16744" s="234"/>
      <c r="H16744" s="238"/>
      <c r="I16744" s="237"/>
    </row>
    <row r="16745" spans="1:9" s="232" customFormat="1" ht="17" customHeight="1">
      <c r="A16745" s="234"/>
      <c r="B16745" s="233"/>
      <c r="C16745" s="238"/>
      <c r="E16745" s="545"/>
      <c r="F16745" s="546"/>
      <c r="G16745" s="234"/>
      <c r="H16745" s="238"/>
      <c r="I16745" s="237"/>
    </row>
    <row r="16746" spans="1:9" s="232" customFormat="1" ht="17" customHeight="1">
      <c r="A16746" s="234"/>
      <c r="B16746" s="233"/>
      <c r="C16746" s="238"/>
      <c r="E16746" s="545"/>
      <c r="F16746" s="546"/>
      <c r="G16746" s="234"/>
      <c r="H16746" s="238"/>
      <c r="I16746" s="237"/>
    </row>
    <row r="16747" spans="1:9" s="232" customFormat="1" ht="17" customHeight="1">
      <c r="A16747" s="234"/>
      <c r="B16747" s="233"/>
      <c r="C16747" s="238"/>
      <c r="E16747" s="545"/>
      <c r="F16747" s="546"/>
      <c r="G16747" s="234"/>
      <c r="H16747" s="238"/>
      <c r="I16747" s="237"/>
    </row>
    <row r="16748" spans="1:9" s="232" customFormat="1" ht="17" customHeight="1">
      <c r="A16748" s="234"/>
      <c r="B16748" s="233"/>
      <c r="C16748" s="238"/>
      <c r="E16748" s="545"/>
      <c r="F16748" s="546"/>
      <c r="G16748" s="234"/>
      <c r="H16748" s="238"/>
      <c r="I16748" s="237"/>
    </row>
    <row r="16749" spans="1:9" s="232" customFormat="1" ht="17" customHeight="1">
      <c r="A16749" s="234"/>
      <c r="B16749" s="233"/>
      <c r="C16749" s="238"/>
      <c r="E16749" s="545"/>
      <c r="F16749" s="546"/>
      <c r="G16749" s="234"/>
      <c r="H16749" s="238"/>
      <c r="I16749" s="237"/>
    </row>
    <row r="16750" spans="1:9" s="232" customFormat="1" ht="17" customHeight="1">
      <c r="A16750" s="234"/>
      <c r="B16750" s="233"/>
      <c r="C16750" s="238"/>
      <c r="E16750" s="545"/>
      <c r="F16750" s="546"/>
      <c r="G16750" s="234"/>
      <c r="H16750" s="238"/>
      <c r="I16750" s="237"/>
    </row>
    <row r="16751" spans="1:9" s="232" customFormat="1" ht="17" customHeight="1">
      <c r="A16751" s="234"/>
      <c r="B16751" s="233"/>
      <c r="C16751" s="238"/>
      <c r="E16751" s="545"/>
      <c r="F16751" s="546"/>
      <c r="G16751" s="234"/>
      <c r="H16751" s="238"/>
      <c r="I16751" s="237"/>
    </row>
    <row r="16752" spans="1:9" s="232" customFormat="1" ht="17" customHeight="1">
      <c r="A16752" s="234"/>
      <c r="B16752" s="233"/>
      <c r="C16752" s="238"/>
      <c r="E16752" s="545"/>
      <c r="F16752" s="546"/>
      <c r="G16752" s="234"/>
      <c r="H16752" s="238"/>
      <c r="I16752" s="237"/>
    </row>
    <row r="16753" spans="1:9" s="232" customFormat="1" ht="17" customHeight="1">
      <c r="A16753" s="234"/>
      <c r="B16753" s="233"/>
      <c r="C16753" s="238"/>
      <c r="E16753" s="545"/>
      <c r="F16753" s="546"/>
      <c r="G16753" s="234"/>
      <c r="H16753" s="238"/>
      <c r="I16753" s="237"/>
    </row>
    <row r="16754" spans="1:9" s="232" customFormat="1" ht="17" customHeight="1">
      <c r="A16754" s="234"/>
      <c r="B16754" s="233"/>
      <c r="C16754" s="238"/>
      <c r="E16754" s="545"/>
      <c r="F16754" s="546"/>
      <c r="G16754" s="234"/>
      <c r="H16754" s="238"/>
      <c r="I16754" s="237"/>
    </row>
    <row r="16755" spans="1:9" s="232" customFormat="1" ht="17" customHeight="1">
      <c r="A16755" s="234"/>
      <c r="B16755" s="233"/>
      <c r="C16755" s="238"/>
      <c r="E16755" s="545"/>
      <c r="F16755" s="546"/>
      <c r="G16755" s="234"/>
      <c r="H16755" s="238"/>
      <c r="I16755" s="237"/>
    </row>
    <row r="16756" spans="1:9" s="232" customFormat="1" ht="17" customHeight="1">
      <c r="A16756" s="234"/>
      <c r="B16756" s="233"/>
      <c r="C16756" s="238"/>
      <c r="E16756" s="545"/>
      <c r="F16756" s="546"/>
      <c r="G16756" s="234"/>
      <c r="H16756" s="238"/>
      <c r="I16756" s="237"/>
    </row>
    <row r="16757" spans="1:9" s="232" customFormat="1" ht="17" customHeight="1">
      <c r="A16757" s="234"/>
      <c r="B16757" s="233"/>
      <c r="C16757" s="238"/>
      <c r="E16757" s="545"/>
      <c r="F16757" s="546"/>
      <c r="G16757" s="234"/>
      <c r="H16757" s="238"/>
      <c r="I16757" s="237"/>
    </row>
    <row r="16758" spans="1:9" s="232" customFormat="1" ht="17" customHeight="1">
      <c r="A16758" s="234"/>
      <c r="B16758" s="233"/>
      <c r="C16758" s="238"/>
      <c r="E16758" s="545"/>
      <c r="F16758" s="546"/>
      <c r="G16758" s="234"/>
      <c r="H16758" s="238"/>
      <c r="I16758" s="237"/>
    </row>
    <row r="16759" spans="1:9" s="232" customFormat="1" ht="17" customHeight="1">
      <c r="A16759" s="234"/>
      <c r="B16759" s="233"/>
      <c r="C16759" s="238"/>
      <c r="E16759" s="545"/>
      <c r="F16759" s="546"/>
      <c r="G16759" s="234"/>
      <c r="H16759" s="238"/>
      <c r="I16759" s="237"/>
    </row>
    <row r="16760" spans="1:9" s="232" customFormat="1" ht="17" customHeight="1">
      <c r="A16760" s="234"/>
      <c r="B16760" s="233"/>
      <c r="C16760" s="238"/>
      <c r="E16760" s="545"/>
      <c r="F16760" s="546"/>
      <c r="G16760" s="234"/>
      <c r="H16760" s="238"/>
      <c r="I16760" s="237"/>
    </row>
    <row r="16761" spans="1:9" s="232" customFormat="1" ht="17" customHeight="1">
      <c r="A16761" s="234"/>
      <c r="B16761" s="233"/>
      <c r="C16761" s="238"/>
      <c r="E16761" s="545"/>
      <c r="F16761" s="546"/>
      <c r="G16761" s="234"/>
      <c r="H16761" s="238"/>
      <c r="I16761" s="237"/>
    </row>
    <row r="16762" spans="1:9" s="232" customFormat="1" ht="17" customHeight="1">
      <c r="A16762" s="234"/>
      <c r="B16762" s="233"/>
      <c r="C16762" s="238"/>
      <c r="E16762" s="545"/>
      <c r="F16762" s="546"/>
      <c r="G16762" s="234"/>
      <c r="H16762" s="238"/>
      <c r="I16762" s="237"/>
    </row>
    <row r="16763" spans="1:9" s="232" customFormat="1" ht="17" customHeight="1">
      <c r="A16763" s="234"/>
      <c r="B16763" s="233"/>
      <c r="C16763" s="238"/>
      <c r="E16763" s="545"/>
      <c r="F16763" s="546"/>
      <c r="G16763" s="234"/>
      <c r="H16763" s="238"/>
      <c r="I16763" s="237"/>
    </row>
    <row r="16764" spans="1:9" s="232" customFormat="1" ht="17" customHeight="1">
      <c r="A16764" s="234"/>
      <c r="B16764" s="233"/>
      <c r="C16764" s="238"/>
      <c r="E16764" s="545"/>
      <c r="F16764" s="546"/>
      <c r="G16764" s="234"/>
      <c r="H16764" s="238"/>
      <c r="I16764" s="237"/>
    </row>
    <row r="16765" spans="1:9" s="232" customFormat="1" ht="17" customHeight="1">
      <c r="A16765" s="234"/>
      <c r="B16765" s="233"/>
      <c r="C16765" s="238"/>
      <c r="E16765" s="545"/>
      <c r="F16765" s="546"/>
      <c r="G16765" s="234"/>
      <c r="H16765" s="238"/>
      <c r="I16765" s="237"/>
    </row>
    <row r="16766" spans="1:9" s="232" customFormat="1" ht="17" customHeight="1">
      <c r="A16766" s="234"/>
      <c r="B16766" s="233"/>
      <c r="C16766" s="238"/>
      <c r="E16766" s="545"/>
      <c r="F16766" s="546"/>
      <c r="G16766" s="234"/>
      <c r="H16766" s="238"/>
      <c r="I16766" s="237"/>
    </row>
    <row r="16767" spans="1:9" s="232" customFormat="1" ht="17" customHeight="1">
      <c r="A16767" s="234"/>
      <c r="B16767" s="233"/>
      <c r="C16767" s="238"/>
      <c r="E16767" s="545"/>
      <c r="F16767" s="546"/>
      <c r="G16767" s="234"/>
      <c r="H16767" s="238"/>
      <c r="I16767" s="237"/>
    </row>
    <row r="16768" spans="1:9" s="232" customFormat="1" ht="17" customHeight="1">
      <c r="A16768" s="234"/>
      <c r="B16768" s="233"/>
      <c r="C16768" s="238"/>
      <c r="E16768" s="545"/>
      <c r="F16768" s="546"/>
      <c r="G16768" s="234"/>
      <c r="H16768" s="238"/>
      <c r="I16768" s="237"/>
    </row>
    <row r="16769" spans="1:9" s="232" customFormat="1" ht="17" customHeight="1">
      <c r="A16769" s="234"/>
      <c r="B16769" s="233"/>
      <c r="C16769" s="238"/>
      <c r="E16769" s="545"/>
      <c r="F16769" s="546"/>
      <c r="G16769" s="234"/>
      <c r="H16769" s="238"/>
      <c r="I16769" s="237"/>
    </row>
    <row r="16770" spans="1:9" s="232" customFormat="1" ht="17" customHeight="1">
      <c r="A16770" s="234"/>
      <c r="B16770" s="233"/>
      <c r="C16770" s="238"/>
      <c r="E16770" s="545"/>
      <c r="F16770" s="546"/>
      <c r="G16770" s="234"/>
      <c r="H16770" s="238"/>
      <c r="I16770" s="237"/>
    </row>
    <row r="16771" spans="1:9" s="232" customFormat="1" ht="17" customHeight="1">
      <c r="A16771" s="234"/>
      <c r="B16771" s="233"/>
      <c r="C16771" s="238"/>
      <c r="E16771" s="545"/>
      <c r="F16771" s="546"/>
      <c r="G16771" s="234"/>
      <c r="H16771" s="238"/>
      <c r="I16771" s="237"/>
    </row>
    <row r="16772" spans="1:9" s="232" customFormat="1" ht="17" customHeight="1">
      <c r="A16772" s="234"/>
      <c r="B16772" s="233"/>
      <c r="C16772" s="238"/>
      <c r="E16772" s="545"/>
      <c r="F16772" s="546"/>
      <c r="G16772" s="234"/>
      <c r="H16772" s="238"/>
      <c r="I16772" s="237"/>
    </row>
    <row r="16773" spans="1:9" s="232" customFormat="1" ht="17" customHeight="1">
      <c r="A16773" s="234"/>
      <c r="B16773" s="233"/>
      <c r="C16773" s="238"/>
      <c r="E16773" s="545"/>
      <c r="F16773" s="546"/>
      <c r="G16773" s="234"/>
      <c r="H16773" s="238"/>
      <c r="I16773" s="237"/>
    </row>
    <row r="16774" spans="1:9" s="232" customFormat="1" ht="17" customHeight="1">
      <c r="A16774" s="234"/>
      <c r="B16774" s="233"/>
      <c r="C16774" s="238"/>
      <c r="E16774" s="545"/>
      <c r="F16774" s="546"/>
      <c r="G16774" s="234"/>
      <c r="H16774" s="238"/>
      <c r="I16774" s="237"/>
    </row>
    <row r="16775" spans="1:9" s="232" customFormat="1" ht="17" customHeight="1">
      <c r="A16775" s="234"/>
      <c r="B16775" s="233"/>
      <c r="C16775" s="238"/>
      <c r="E16775" s="545"/>
      <c r="F16775" s="546"/>
      <c r="G16775" s="234"/>
      <c r="H16775" s="238"/>
      <c r="I16775" s="237"/>
    </row>
    <row r="16776" spans="1:9" s="232" customFormat="1" ht="17" customHeight="1">
      <c r="A16776" s="234"/>
      <c r="B16776" s="233"/>
      <c r="C16776" s="238"/>
      <c r="E16776" s="545"/>
      <c r="F16776" s="546"/>
      <c r="G16776" s="234"/>
      <c r="H16776" s="238"/>
      <c r="I16776" s="237"/>
    </row>
    <row r="16777" spans="1:9" s="232" customFormat="1" ht="17" customHeight="1">
      <c r="A16777" s="234"/>
      <c r="B16777" s="233"/>
      <c r="C16777" s="238"/>
      <c r="E16777" s="545"/>
      <c r="F16777" s="546"/>
      <c r="G16777" s="234"/>
      <c r="H16777" s="238"/>
      <c r="I16777" s="237"/>
    </row>
    <row r="16778" spans="1:9" s="232" customFormat="1" ht="17" customHeight="1">
      <c r="A16778" s="234"/>
      <c r="B16778" s="233"/>
      <c r="C16778" s="238"/>
      <c r="E16778" s="545"/>
      <c r="F16778" s="546"/>
      <c r="G16778" s="234"/>
      <c r="H16778" s="238"/>
      <c r="I16778" s="237"/>
    </row>
    <row r="16779" spans="1:9" s="232" customFormat="1" ht="17" customHeight="1">
      <c r="A16779" s="234"/>
      <c r="B16779" s="233"/>
      <c r="C16779" s="238"/>
      <c r="E16779" s="545"/>
      <c r="F16779" s="546"/>
      <c r="G16779" s="234"/>
      <c r="H16779" s="238"/>
      <c r="I16779" s="237"/>
    </row>
    <row r="16780" spans="1:9" s="232" customFormat="1" ht="17" customHeight="1">
      <c r="A16780" s="234"/>
      <c r="B16780" s="233"/>
      <c r="C16780" s="238"/>
      <c r="E16780" s="545"/>
      <c r="F16780" s="546"/>
      <c r="G16780" s="234"/>
      <c r="H16780" s="238"/>
      <c r="I16780" s="237"/>
    </row>
    <row r="16781" spans="1:9" s="232" customFormat="1" ht="17" customHeight="1">
      <c r="A16781" s="234"/>
      <c r="B16781" s="233"/>
      <c r="C16781" s="238"/>
      <c r="E16781" s="545"/>
      <c r="F16781" s="546"/>
      <c r="G16781" s="234"/>
      <c r="H16781" s="238"/>
      <c r="I16781" s="237"/>
    </row>
    <row r="16782" spans="1:9" s="232" customFormat="1" ht="17" customHeight="1">
      <c r="A16782" s="234"/>
      <c r="B16782" s="233"/>
      <c r="C16782" s="238"/>
      <c r="E16782" s="545"/>
      <c r="F16782" s="546"/>
      <c r="G16782" s="234"/>
      <c r="H16782" s="238"/>
      <c r="I16782" s="237"/>
    </row>
    <row r="16783" spans="1:9" s="232" customFormat="1" ht="17" customHeight="1">
      <c r="A16783" s="234"/>
      <c r="B16783" s="233"/>
      <c r="C16783" s="238"/>
      <c r="E16783" s="545"/>
      <c r="F16783" s="546"/>
      <c r="G16783" s="234"/>
      <c r="H16783" s="238"/>
      <c r="I16783" s="237"/>
    </row>
    <row r="16784" spans="1:9" s="232" customFormat="1" ht="17" customHeight="1">
      <c r="A16784" s="234"/>
      <c r="B16784" s="233"/>
      <c r="C16784" s="238"/>
      <c r="E16784" s="545"/>
      <c r="F16784" s="546"/>
      <c r="G16784" s="234"/>
      <c r="H16784" s="238"/>
      <c r="I16784" s="237"/>
    </row>
    <row r="16785" spans="1:9" s="232" customFormat="1" ht="17" customHeight="1">
      <c r="A16785" s="234"/>
      <c r="B16785" s="233"/>
      <c r="C16785" s="238"/>
      <c r="E16785" s="545"/>
      <c r="F16785" s="546"/>
      <c r="G16785" s="234"/>
      <c r="H16785" s="238"/>
      <c r="I16785" s="237"/>
    </row>
    <row r="16786" spans="1:9" s="232" customFormat="1" ht="17" customHeight="1">
      <c r="A16786" s="234"/>
      <c r="B16786" s="233"/>
      <c r="C16786" s="238"/>
      <c r="E16786" s="545"/>
      <c r="F16786" s="546"/>
      <c r="G16786" s="234"/>
      <c r="H16786" s="238"/>
      <c r="I16786" s="237"/>
    </row>
    <row r="16787" spans="1:9" s="232" customFormat="1" ht="17" customHeight="1">
      <c r="A16787" s="234"/>
      <c r="B16787" s="233"/>
      <c r="C16787" s="238"/>
      <c r="E16787" s="545"/>
      <c r="F16787" s="546"/>
      <c r="G16787" s="234"/>
      <c r="H16787" s="238"/>
      <c r="I16787" s="237"/>
    </row>
    <row r="16788" spans="1:9" s="232" customFormat="1" ht="17" customHeight="1">
      <c r="A16788" s="234"/>
      <c r="B16788" s="233"/>
      <c r="C16788" s="238"/>
      <c r="E16788" s="545"/>
      <c r="F16788" s="546"/>
      <c r="G16788" s="234"/>
      <c r="H16788" s="238"/>
      <c r="I16788" s="237"/>
    </row>
    <row r="16789" spans="1:9" s="232" customFormat="1" ht="17" customHeight="1">
      <c r="A16789" s="234"/>
      <c r="B16789" s="233"/>
      <c r="C16789" s="238"/>
      <c r="E16789" s="545"/>
      <c r="F16789" s="546"/>
      <c r="G16789" s="234"/>
      <c r="H16789" s="238"/>
      <c r="I16789" s="237"/>
    </row>
    <row r="16790" spans="1:9" s="232" customFormat="1" ht="17" customHeight="1">
      <c r="A16790" s="234"/>
      <c r="B16790" s="233"/>
      <c r="C16790" s="238"/>
      <c r="E16790" s="545"/>
      <c r="F16790" s="546"/>
      <c r="G16790" s="234"/>
      <c r="H16790" s="238"/>
      <c r="I16790" s="237"/>
    </row>
    <row r="16791" spans="1:9" s="232" customFormat="1" ht="17" customHeight="1">
      <c r="A16791" s="234"/>
      <c r="B16791" s="233"/>
      <c r="C16791" s="238"/>
      <c r="E16791" s="545"/>
      <c r="F16791" s="546"/>
      <c r="G16791" s="234"/>
      <c r="H16791" s="238"/>
      <c r="I16791" s="237"/>
    </row>
    <row r="16792" spans="1:9" s="232" customFormat="1" ht="17" customHeight="1">
      <c r="A16792" s="234"/>
      <c r="B16792" s="233"/>
      <c r="C16792" s="238"/>
      <c r="E16792" s="545"/>
      <c r="F16792" s="546"/>
      <c r="G16792" s="234"/>
      <c r="H16792" s="238"/>
      <c r="I16792" s="237"/>
    </row>
    <row r="16793" spans="1:9" s="232" customFormat="1" ht="17" customHeight="1">
      <c r="A16793" s="234"/>
      <c r="B16793" s="233"/>
      <c r="C16793" s="238"/>
      <c r="E16793" s="545"/>
      <c r="F16793" s="546"/>
      <c r="G16793" s="234"/>
      <c r="H16793" s="238"/>
      <c r="I16793" s="237"/>
    </row>
    <row r="16794" spans="1:9" s="232" customFormat="1" ht="17" customHeight="1">
      <c r="A16794" s="234"/>
      <c r="B16794" s="233"/>
      <c r="C16794" s="238"/>
      <c r="E16794" s="545"/>
      <c r="F16794" s="546"/>
      <c r="G16794" s="234"/>
      <c r="H16794" s="238"/>
      <c r="I16794" s="237"/>
    </row>
    <row r="16795" spans="1:9" s="232" customFormat="1" ht="17" customHeight="1">
      <c r="A16795" s="234"/>
      <c r="B16795" s="233"/>
      <c r="C16795" s="238"/>
      <c r="E16795" s="545"/>
      <c r="F16795" s="546"/>
      <c r="G16795" s="234"/>
      <c r="H16795" s="238"/>
      <c r="I16795" s="237"/>
    </row>
    <row r="16796" spans="1:9" s="232" customFormat="1" ht="17" customHeight="1">
      <c r="A16796" s="234"/>
      <c r="B16796" s="233"/>
      <c r="C16796" s="238"/>
      <c r="E16796" s="545"/>
      <c r="F16796" s="546"/>
      <c r="G16796" s="234"/>
      <c r="H16796" s="238"/>
      <c r="I16796" s="237"/>
    </row>
    <row r="16797" spans="1:9" s="232" customFormat="1" ht="17" customHeight="1">
      <c r="A16797" s="234"/>
      <c r="B16797" s="233"/>
      <c r="C16797" s="238"/>
      <c r="E16797" s="545"/>
      <c r="F16797" s="546"/>
      <c r="G16797" s="234"/>
      <c r="H16797" s="238"/>
      <c r="I16797" s="237"/>
    </row>
    <row r="16798" spans="1:9" s="232" customFormat="1" ht="17" customHeight="1">
      <c r="A16798" s="234"/>
      <c r="B16798" s="233"/>
      <c r="C16798" s="238"/>
      <c r="E16798" s="545"/>
      <c r="F16798" s="546"/>
      <c r="G16798" s="234"/>
      <c r="H16798" s="238"/>
      <c r="I16798" s="237"/>
    </row>
    <row r="16799" spans="1:9" s="232" customFormat="1" ht="17" customHeight="1">
      <c r="A16799" s="234"/>
      <c r="B16799" s="233"/>
      <c r="C16799" s="238"/>
      <c r="E16799" s="545"/>
      <c r="F16799" s="546"/>
      <c r="G16799" s="234"/>
      <c r="H16799" s="238"/>
      <c r="I16799" s="237"/>
    </row>
    <row r="16800" spans="1:9" s="232" customFormat="1" ht="17" customHeight="1">
      <c r="A16800" s="234"/>
      <c r="B16800" s="233"/>
      <c r="C16800" s="238"/>
      <c r="E16800" s="545"/>
      <c r="F16800" s="546"/>
      <c r="G16800" s="234"/>
      <c r="H16800" s="238"/>
      <c r="I16800" s="237"/>
    </row>
    <row r="16801" spans="1:9" s="232" customFormat="1" ht="17" customHeight="1">
      <c r="A16801" s="234"/>
      <c r="B16801" s="233"/>
      <c r="C16801" s="238"/>
      <c r="E16801" s="545"/>
      <c r="F16801" s="546"/>
      <c r="G16801" s="234"/>
      <c r="H16801" s="238"/>
      <c r="I16801" s="237"/>
    </row>
    <row r="16802" spans="1:9" s="232" customFormat="1" ht="17" customHeight="1">
      <c r="A16802" s="234"/>
      <c r="B16802" s="233"/>
      <c r="C16802" s="238"/>
      <c r="E16802" s="545"/>
      <c r="F16802" s="546"/>
      <c r="G16802" s="234"/>
      <c r="H16802" s="238"/>
      <c r="I16802" s="237"/>
    </row>
    <row r="16803" spans="1:9" s="232" customFormat="1" ht="17" customHeight="1">
      <c r="A16803" s="234"/>
      <c r="B16803" s="233"/>
      <c r="C16803" s="238"/>
      <c r="E16803" s="545"/>
      <c r="F16803" s="546"/>
      <c r="G16803" s="234"/>
      <c r="H16803" s="238"/>
      <c r="I16803" s="237"/>
    </row>
    <row r="16804" spans="1:9" s="232" customFormat="1" ht="17" customHeight="1">
      <c r="A16804" s="234"/>
      <c r="B16804" s="233"/>
      <c r="C16804" s="238"/>
      <c r="E16804" s="545"/>
      <c r="F16804" s="546"/>
      <c r="G16804" s="234"/>
      <c r="H16804" s="238"/>
      <c r="I16804" s="237"/>
    </row>
    <row r="16805" spans="1:9" s="232" customFormat="1" ht="17" customHeight="1">
      <c r="A16805" s="234"/>
      <c r="B16805" s="233"/>
      <c r="C16805" s="238"/>
      <c r="E16805" s="545"/>
      <c r="F16805" s="546"/>
      <c r="G16805" s="234"/>
      <c r="H16805" s="238"/>
      <c r="I16805" s="237"/>
    </row>
    <row r="16806" spans="1:9" s="232" customFormat="1" ht="17" customHeight="1">
      <c r="A16806" s="234"/>
      <c r="B16806" s="233"/>
      <c r="C16806" s="238"/>
      <c r="E16806" s="545"/>
      <c r="F16806" s="546"/>
      <c r="G16806" s="234"/>
      <c r="H16806" s="238"/>
      <c r="I16806" s="237"/>
    </row>
    <row r="16807" spans="1:9" s="232" customFormat="1" ht="17" customHeight="1">
      <c r="A16807" s="234"/>
      <c r="B16807" s="233"/>
      <c r="C16807" s="238"/>
      <c r="E16807" s="545"/>
      <c r="F16807" s="546"/>
      <c r="G16807" s="234"/>
      <c r="H16807" s="238"/>
      <c r="I16807" s="237"/>
    </row>
    <row r="16808" spans="1:9" s="232" customFormat="1" ht="17" customHeight="1">
      <c r="A16808" s="234"/>
      <c r="B16808" s="233"/>
      <c r="C16808" s="238"/>
      <c r="E16808" s="545"/>
      <c r="F16808" s="546"/>
      <c r="G16808" s="234"/>
      <c r="H16808" s="238"/>
      <c r="I16808" s="237"/>
    </row>
    <row r="16809" spans="1:9" s="232" customFormat="1" ht="17" customHeight="1">
      <c r="A16809" s="234"/>
      <c r="B16809" s="233"/>
      <c r="C16809" s="238"/>
      <c r="E16809" s="545"/>
      <c r="F16809" s="546"/>
      <c r="G16809" s="234"/>
      <c r="H16809" s="238"/>
      <c r="I16809" s="237"/>
    </row>
    <row r="16810" spans="1:9" s="232" customFormat="1" ht="17" customHeight="1">
      <c r="A16810" s="234"/>
      <c r="B16810" s="233"/>
      <c r="C16810" s="238"/>
      <c r="E16810" s="545"/>
      <c r="F16810" s="546"/>
      <c r="G16810" s="234"/>
      <c r="H16810" s="238"/>
      <c r="I16810" s="237"/>
    </row>
    <row r="16811" spans="1:9" s="232" customFormat="1" ht="17" customHeight="1">
      <c r="A16811" s="234"/>
      <c r="B16811" s="233"/>
      <c r="C16811" s="238"/>
      <c r="E16811" s="545"/>
      <c r="F16811" s="546"/>
      <c r="G16811" s="234"/>
      <c r="H16811" s="238"/>
      <c r="I16811" s="237"/>
    </row>
    <row r="16812" spans="1:9" s="232" customFormat="1" ht="17" customHeight="1">
      <c r="A16812" s="234"/>
      <c r="B16812" s="233"/>
      <c r="C16812" s="238"/>
      <c r="E16812" s="545"/>
      <c r="F16812" s="546"/>
      <c r="G16812" s="234"/>
      <c r="H16812" s="238"/>
      <c r="I16812" s="237"/>
    </row>
    <row r="16813" spans="1:9" s="232" customFormat="1" ht="17" customHeight="1">
      <c r="A16813" s="234"/>
      <c r="B16813" s="233"/>
      <c r="C16813" s="238"/>
      <c r="E16813" s="545"/>
      <c r="F16813" s="546"/>
      <c r="G16813" s="234"/>
      <c r="H16813" s="238"/>
      <c r="I16813" s="237"/>
    </row>
    <row r="16814" spans="1:9" s="232" customFormat="1" ht="17" customHeight="1">
      <c r="A16814" s="234"/>
      <c r="B16814" s="233"/>
      <c r="C16814" s="238"/>
      <c r="E16814" s="545"/>
      <c r="F16814" s="546"/>
      <c r="G16814" s="234"/>
      <c r="H16814" s="238"/>
      <c r="I16814" s="237"/>
    </row>
    <row r="16815" spans="1:9" s="232" customFormat="1" ht="17" customHeight="1">
      <c r="A16815" s="234"/>
      <c r="B16815" s="233"/>
      <c r="C16815" s="238"/>
      <c r="E16815" s="545"/>
      <c r="F16815" s="546"/>
      <c r="G16815" s="234"/>
      <c r="H16815" s="238"/>
      <c r="I16815" s="237"/>
    </row>
    <row r="16816" spans="1:9" s="232" customFormat="1" ht="17" customHeight="1">
      <c r="A16816" s="234"/>
      <c r="B16816" s="233"/>
      <c r="C16816" s="238"/>
      <c r="E16816" s="545"/>
      <c r="F16816" s="546"/>
      <c r="G16816" s="234"/>
      <c r="H16816" s="238"/>
      <c r="I16816" s="237"/>
    </row>
    <row r="16817" spans="1:9" s="232" customFormat="1" ht="17" customHeight="1">
      <c r="A16817" s="234"/>
      <c r="B16817" s="233"/>
      <c r="C16817" s="238"/>
      <c r="E16817" s="545"/>
      <c r="F16817" s="546"/>
      <c r="G16817" s="234"/>
      <c r="H16817" s="238"/>
      <c r="I16817" s="237"/>
    </row>
    <row r="16818" spans="1:9" s="232" customFormat="1" ht="17" customHeight="1">
      <c r="A16818" s="234"/>
      <c r="B16818" s="233"/>
      <c r="C16818" s="238"/>
      <c r="E16818" s="545"/>
      <c r="F16818" s="546"/>
      <c r="G16818" s="234"/>
      <c r="H16818" s="238"/>
      <c r="I16818" s="237"/>
    </row>
    <row r="16819" spans="1:9" s="232" customFormat="1" ht="17" customHeight="1">
      <c r="A16819" s="234"/>
      <c r="B16819" s="233"/>
      <c r="C16819" s="238"/>
      <c r="E16819" s="545"/>
      <c r="F16819" s="546"/>
      <c r="G16819" s="234"/>
      <c r="H16819" s="238"/>
      <c r="I16819" s="237"/>
    </row>
    <row r="16820" spans="1:9" s="232" customFormat="1" ht="17" customHeight="1">
      <c r="A16820" s="234"/>
      <c r="B16820" s="233"/>
      <c r="C16820" s="238"/>
      <c r="E16820" s="545"/>
      <c r="F16820" s="546"/>
      <c r="G16820" s="234"/>
      <c r="H16820" s="238"/>
      <c r="I16820" s="237"/>
    </row>
    <row r="16821" spans="1:9" s="232" customFormat="1" ht="17" customHeight="1">
      <c r="A16821" s="234"/>
      <c r="B16821" s="233"/>
      <c r="C16821" s="238"/>
      <c r="E16821" s="545"/>
      <c r="F16821" s="546"/>
      <c r="G16821" s="234"/>
      <c r="H16821" s="238"/>
      <c r="I16821" s="237"/>
    </row>
    <row r="16822" spans="1:9" s="232" customFormat="1" ht="17" customHeight="1">
      <c r="A16822" s="234"/>
      <c r="B16822" s="233"/>
      <c r="C16822" s="238"/>
      <c r="E16822" s="545"/>
      <c r="F16822" s="546"/>
      <c r="G16822" s="234"/>
      <c r="H16822" s="238"/>
      <c r="I16822" s="237"/>
    </row>
    <row r="16823" spans="1:9" s="232" customFormat="1" ht="17" customHeight="1">
      <c r="A16823" s="234"/>
      <c r="B16823" s="233"/>
      <c r="C16823" s="238"/>
      <c r="E16823" s="545"/>
      <c r="F16823" s="546"/>
      <c r="G16823" s="234"/>
      <c r="H16823" s="238"/>
      <c r="I16823" s="237"/>
    </row>
    <row r="16824" spans="1:9" s="232" customFormat="1" ht="17" customHeight="1">
      <c r="A16824" s="234"/>
      <c r="B16824" s="233"/>
      <c r="C16824" s="238"/>
      <c r="E16824" s="545"/>
      <c r="F16824" s="546"/>
      <c r="G16824" s="234"/>
      <c r="H16824" s="238"/>
      <c r="I16824" s="237"/>
    </row>
    <row r="16825" spans="1:9" s="232" customFormat="1" ht="17" customHeight="1">
      <c r="A16825" s="234"/>
      <c r="B16825" s="233"/>
      <c r="C16825" s="238"/>
      <c r="E16825" s="545"/>
      <c r="F16825" s="546"/>
      <c r="G16825" s="234"/>
      <c r="H16825" s="238"/>
      <c r="I16825" s="237"/>
    </row>
    <row r="16826" spans="1:9" s="232" customFormat="1" ht="17" customHeight="1">
      <c r="A16826" s="234"/>
      <c r="B16826" s="233"/>
      <c r="C16826" s="238"/>
      <c r="E16826" s="545"/>
      <c r="F16826" s="546"/>
      <c r="G16826" s="234"/>
      <c r="H16826" s="238"/>
      <c r="I16826" s="237"/>
    </row>
    <row r="16827" spans="1:9" s="232" customFormat="1" ht="17" customHeight="1">
      <c r="A16827" s="234"/>
      <c r="B16827" s="233"/>
      <c r="C16827" s="238"/>
      <c r="E16827" s="545"/>
      <c r="F16827" s="546"/>
      <c r="G16827" s="234"/>
      <c r="H16827" s="238"/>
      <c r="I16827" s="237"/>
    </row>
    <row r="16828" spans="1:9" s="232" customFormat="1" ht="17" customHeight="1">
      <c r="A16828" s="234"/>
      <c r="B16828" s="233"/>
      <c r="C16828" s="238"/>
      <c r="E16828" s="545"/>
      <c r="F16828" s="546"/>
      <c r="G16828" s="234"/>
      <c r="H16828" s="238"/>
      <c r="I16828" s="237"/>
    </row>
    <row r="16829" spans="1:9" s="232" customFormat="1" ht="17" customHeight="1">
      <c r="A16829" s="234"/>
      <c r="B16829" s="233"/>
      <c r="C16829" s="238"/>
      <c r="E16829" s="545"/>
      <c r="F16829" s="546"/>
      <c r="G16829" s="234"/>
      <c r="H16829" s="238"/>
      <c r="I16829" s="237"/>
    </row>
    <row r="16830" spans="1:9" s="232" customFormat="1" ht="17" customHeight="1">
      <c r="A16830" s="234"/>
      <c r="B16830" s="233"/>
      <c r="C16830" s="238"/>
      <c r="E16830" s="545"/>
      <c r="F16830" s="546"/>
      <c r="G16830" s="234"/>
      <c r="H16830" s="238"/>
      <c r="I16830" s="237"/>
    </row>
    <row r="16831" spans="1:9" s="232" customFormat="1" ht="17" customHeight="1">
      <c r="A16831" s="234"/>
      <c r="B16831" s="233"/>
      <c r="C16831" s="238"/>
      <c r="E16831" s="545"/>
      <c r="F16831" s="546"/>
      <c r="G16831" s="234"/>
      <c r="H16831" s="238"/>
      <c r="I16831" s="237"/>
    </row>
    <row r="16832" spans="1:9" s="232" customFormat="1" ht="17" customHeight="1">
      <c r="A16832" s="234"/>
      <c r="B16832" s="233"/>
      <c r="C16832" s="238"/>
      <c r="E16832" s="545"/>
      <c r="F16832" s="546"/>
      <c r="G16832" s="234"/>
      <c r="H16832" s="238"/>
      <c r="I16832" s="237"/>
    </row>
    <row r="16833" spans="1:9" s="232" customFormat="1" ht="17" customHeight="1">
      <c r="A16833" s="234"/>
      <c r="B16833" s="233"/>
      <c r="C16833" s="238"/>
      <c r="E16833" s="545"/>
      <c r="F16833" s="546"/>
      <c r="G16833" s="234"/>
      <c r="H16833" s="238"/>
      <c r="I16833" s="237"/>
    </row>
    <row r="16834" spans="1:9" s="232" customFormat="1" ht="17" customHeight="1">
      <c r="A16834" s="234"/>
      <c r="B16834" s="233"/>
      <c r="C16834" s="238"/>
      <c r="E16834" s="545"/>
      <c r="F16834" s="546"/>
      <c r="G16834" s="234"/>
      <c r="H16834" s="238"/>
      <c r="I16834" s="237"/>
    </row>
    <row r="16835" spans="1:9" s="232" customFormat="1" ht="17" customHeight="1">
      <c r="A16835" s="234"/>
      <c r="B16835" s="233"/>
      <c r="C16835" s="238"/>
      <c r="E16835" s="545"/>
      <c r="F16835" s="546"/>
      <c r="G16835" s="234"/>
      <c r="H16835" s="238"/>
      <c r="I16835" s="237"/>
    </row>
    <row r="16836" spans="1:9" s="232" customFormat="1" ht="17" customHeight="1">
      <c r="A16836" s="234"/>
      <c r="B16836" s="233"/>
      <c r="C16836" s="238"/>
      <c r="E16836" s="545"/>
      <c r="F16836" s="546"/>
      <c r="G16836" s="234"/>
      <c r="H16836" s="238"/>
      <c r="I16836" s="237"/>
    </row>
    <row r="16837" spans="1:9" s="232" customFormat="1" ht="17" customHeight="1">
      <c r="A16837" s="234"/>
      <c r="B16837" s="233"/>
      <c r="C16837" s="238"/>
      <c r="E16837" s="545"/>
      <c r="F16837" s="546"/>
      <c r="G16837" s="234"/>
      <c r="H16837" s="238"/>
      <c r="I16837" s="237"/>
    </row>
    <row r="16838" spans="1:9" s="232" customFormat="1" ht="17" customHeight="1">
      <c r="A16838" s="234"/>
      <c r="B16838" s="233"/>
      <c r="C16838" s="238"/>
      <c r="E16838" s="545"/>
      <c r="F16838" s="546"/>
      <c r="G16838" s="234"/>
      <c r="H16838" s="238"/>
      <c r="I16838" s="237"/>
    </row>
    <row r="16839" spans="1:9" s="232" customFormat="1" ht="17" customHeight="1">
      <c r="A16839" s="234"/>
      <c r="B16839" s="233"/>
      <c r="C16839" s="238"/>
      <c r="E16839" s="545"/>
      <c r="F16839" s="546"/>
      <c r="G16839" s="234"/>
      <c r="H16839" s="238"/>
      <c r="I16839" s="237"/>
    </row>
    <row r="16840" spans="1:9" s="232" customFormat="1" ht="17" customHeight="1">
      <c r="A16840" s="234"/>
      <c r="B16840" s="233"/>
      <c r="C16840" s="238"/>
      <c r="E16840" s="545"/>
      <c r="F16840" s="546"/>
      <c r="G16840" s="234"/>
      <c r="H16840" s="238"/>
      <c r="I16840" s="237"/>
    </row>
    <row r="16841" spans="1:9" s="232" customFormat="1" ht="17" customHeight="1">
      <c r="A16841" s="234"/>
      <c r="B16841" s="233"/>
      <c r="C16841" s="238"/>
      <c r="E16841" s="545"/>
      <c r="F16841" s="546"/>
      <c r="G16841" s="234"/>
      <c r="H16841" s="238"/>
      <c r="I16841" s="237"/>
    </row>
    <row r="16842" spans="1:9" s="232" customFormat="1" ht="17" customHeight="1">
      <c r="A16842" s="234"/>
      <c r="B16842" s="233"/>
      <c r="C16842" s="238"/>
      <c r="E16842" s="545"/>
      <c r="F16842" s="546"/>
      <c r="G16842" s="234"/>
      <c r="H16842" s="238"/>
      <c r="I16842" s="237"/>
    </row>
    <row r="16843" spans="1:9" s="232" customFormat="1" ht="17" customHeight="1">
      <c r="A16843" s="234"/>
      <c r="B16843" s="233"/>
      <c r="C16843" s="238"/>
      <c r="E16843" s="545"/>
      <c r="F16843" s="546"/>
      <c r="G16843" s="234"/>
      <c r="H16843" s="238"/>
      <c r="I16843" s="237"/>
    </row>
    <row r="16844" spans="1:9" s="232" customFormat="1" ht="17" customHeight="1">
      <c r="A16844" s="234"/>
      <c r="B16844" s="233"/>
      <c r="C16844" s="238"/>
      <c r="E16844" s="545"/>
      <c r="F16844" s="546"/>
      <c r="G16844" s="234"/>
      <c r="H16844" s="238"/>
      <c r="I16844" s="237"/>
    </row>
    <row r="16845" spans="1:9" s="232" customFormat="1" ht="17" customHeight="1">
      <c r="A16845" s="234"/>
      <c r="B16845" s="233"/>
      <c r="C16845" s="238"/>
      <c r="E16845" s="545"/>
      <c r="F16845" s="546"/>
      <c r="G16845" s="234"/>
      <c r="H16845" s="238"/>
      <c r="I16845" s="237"/>
    </row>
    <row r="16846" spans="1:9" s="232" customFormat="1" ht="17" customHeight="1">
      <c r="A16846" s="234"/>
      <c r="B16846" s="233"/>
      <c r="C16846" s="238"/>
      <c r="E16846" s="545"/>
      <c r="F16846" s="546"/>
      <c r="G16846" s="234"/>
      <c r="H16846" s="238"/>
      <c r="I16846" s="237"/>
    </row>
    <row r="16847" spans="1:9" s="232" customFormat="1" ht="17" customHeight="1">
      <c r="A16847" s="234"/>
      <c r="B16847" s="233"/>
      <c r="C16847" s="238"/>
      <c r="E16847" s="545"/>
      <c r="F16847" s="546"/>
      <c r="G16847" s="234"/>
      <c r="H16847" s="238"/>
      <c r="I16847" s="237"/>
    </row>
    <row r="16848" spans="1:9" s="232" customFormat="1" ht="17" customHeight="1">
      <c r="A16848" s="234"/>
      <c r="B16848" s="233"/>
      <c r="C16848" s="238"/>
      <c r="E16848" s="545"/>
      <c r="F16848" s="546"/>
      <c r="G16848" s="234"/>
      <c r="H16848" s="238"/>
      <c r="I16848" s="237"/>
    </row>
    <row r="16849" spans="1:9" s="232" customFormat="1" ht="17" customHeight="1">
      <c r="A16849" s="234"/>
      <c r="B16849" s="233"/>
      <c r="C16849" s="238"/>
      <c r="E16849" s="545"/>
      <c r="F16849" s="546"/>
      <c r="G16849" s="234"/>
      <c r="H16849" s="238"/>
      <c r="I16849" s="237"/>
    </row>
    <row r="16850" spans="1:9" s="232" customFormat="1" ht="17" customHeight="1">
      <c r="A16850" s="234"/>
      <c r="B16850" s="233"/>
      <c r="C16850" s="238"/>
      <c r="E16850" s="545"/>
      <c r="F16850" s="546"/>
      <c r="G16850" s="234"/>
      <c r="H16850" s="238"/>
      <c r="I16850" s="237"/>
    </row>
    <row r="16851" spans="1:9" s="232" customFormat="1" ht="17" customHeight="1">
      <c r="A16851" s="234"/>
      <c r="B16851" s="233"/>
      <c r="C16851" s="238"/>
      <c r="E16851" s="545"/>
      <c r="F16851" s="546"/>
      <c r="G16851" s="234"/>
      <c r="H16851" s="238"/>
      <c r="I16851" s="237"/>
    </row>
    <row r="16852" spans="1:9" s="232" customFormat="1" ht="17" customHeight="1">
      <c r="A16852" s="234"/>
      <c r="B16852" s="233"/>
      <c r="C16852" s="238"/>
      <c r="E16852" s="545"/>
      <c r="F16852" s="546"/>
      <c r="G16852" s="234"/>
      <c r="H16852" s="238"/>
      <c r="I16852" s="237"/>
    </row>
    <row r="16853" spans="1:9" s="232" customFormat="1" ht="17" customHeight="1">
      <c r="A16853" s="234"/>
      <c r="B16853" s="233"/>
      <c r="C16853" s="238"/>
      <c r="E16853" s="545"/>
      <c r="F16853" s="546"/>
      <c r="G16853" s="234"/>
      <c r="H16853" s="238"/>
      <c r="I16853" s="237"/>
    </row>
    <row r="16854" spans="1:9" s="232" customFormat="1" ht="17" customHeight="1">
      <c r="A16854" s="234"/>
      <c r="B16854" s="233"/>
      <c r="C16854" s="238"/>
      <c r="E16854" s="545"/>
      <c r="F16854" s="546"/>
      <c r="G16854" s="234"/>
      <c r="H16854" s="238"/>
      <c r="I16854" s="237"/>
    </row>
    <row r="16855" spans="1:9" s="232" customFormat="1" ht="17" customHeight="1">
      <c r="A16855" s="234"/>
      <c r="B16855" s="233"/>
      <c r="C16855" s="238"/>
      <c r="E16855" s="545"/>
      <c r="F16855" s="546"/>
      <c r="G16855" s="234"/>
      <c r="H16855" s="238"/>
      <c r="I16855" s="237"/>
    </row>
    <row r="16856" spans="1:9" s="232" customFormat="1" ht="17" customHeight="1">
      <c r="A16856" s="234"/>
      <c r="B16856" s="233"/>
      <c r="C16856" s="238"/>
      <c r="E16856" s="545"/>
      <c r="F16856" s="546"/>
      <c r="G16856" s="234"/>
      <c r="H16856" s="238"/>
      <c r="I16856" s="237"/>
    </row>
    <row r="16857" spans="1:9" s="232" customFormat="1" ht="17" customHeight="1">
      <c r="A16857" s="234"/>
      <c r="B16857" s="233"/>
      <c r="C16857" s="238"/>
      <c r="E16857" s="545"/>
      <c r="F16857" s="546"/>
      <c r="G16857" s="234"/>
      <c r="H16857" s="238"/>
      <c r="I16857" s="237"/>
    </row>
    <row r="16858" spans="1:9" s="232" customFormat="1" ht="17" customHeight="1">
      <c r="A16858" s="234"/>
      <c r="B16858" s="233"/>
      <c r="C16858" s="238"/>
      <c r="E16858" s="545"/>
      <c r="F16858" s="546"/>
      <c r="G16858" s="234"/>
      <c r="H16858" s="238"/>
      <c r="I16858" s="237"/>
    </row>
    <row r="16859" spans="1:9" s="232" customFormat="1" ht="17" customHeight="1">
      <c r="A16859" s="234"/>
      <c r="B16859" s="233"/>
      <c r="C16859" s="238"/>
      <c r="E16859" s="545"/>
      <c r="F16859" s="546"/>
      <c r="G16859" s="234"/>
      <c r="H16859" s="238"/>
      <c r="I16859" s="237"/>
    </row>
    <row r="16860" spans="1:9" s="232" customFormat="1" ht="17" customHeight="1">
      <c r="A16860" s="234"/>
      <c r="B16860" s="233"/>
      <c r="C16860" s="238"/>
      <c r="E16860" s="545"/>
      <c r="F16860" s="546"/>
      <c r="G16860" s="234"/>
      <c r="H16860" s="238"/>
      <c r="I16860" s="237"/>
    </row>
    <row r="16861" spans="1:9" s="232" customFormat="1" ht="17" customHeight="1">
      <c r="A16861" s="234"/>
      <c r="B16861" s="233"/>
      <c r="C16861" s="238"/>
      <c r="E16861" s="545"/>
      <c r="F16861" s="546"/>
      <c r="G16861" s="234"/>
      <c r="H16861" s="238"/>
      <c r="I16861" s="237"/>
    </row>
    <row r="16862" spans="1:9" s="232" customFormat="1" ht="17" customHeight="1">
      <c r="A16862" s="234"/>
      <c r="B16862" s="233"/>
      <c r="C16862" s="238"/>
      <c r="E16862" s="545"/>
      <c r="F16862" s="546"/>
      <c r="G16862" s="234"/>
      <c r="H16862" s="238"/>
      <c r="I16862" s="237"/>
    </row>
    <row r="16863" spans="1:9" s="232" customFormat="1" ht="17" customHeight="1">
      <c r="A16863" s="234"/>
      <c r="B16863" s="233"/>
      <c r="C16863" s="238"/>
      <c r="E16863" s="545"/>
      <c r="F16863" s="546"/>
      <c r="G16863" s="234"/>
      <c r="H16863" s="238"/>
      <c r="I16863" s="237"/>
    </row>
    <row r="16864" spans="1:9" s="232" customFormat="1" ht="17" customHeight="1">
      <c r="A16864" s="234"/>
      <c r="B16864" s="233"/>
      <c r="C16864" s="238"/>
      <c r="E16864" s="545"/>
      <c r="F16864" s="546"/>
      <c r="G16864" s="234"/>
      <c r="H16864" s="238"/>
      <c r="I16864" s="237"/>
    </row>
    <row r="16865" spans="1:9" s="232" customFormat="1" ht="17" customHeight="1">
      <c r="A16865" s="234"/>
      <c r="B16865" s="233"/>
      <c r="C16865" s="238"/>
      <c r="E16865" s="545"/>
      <c r="F16865" s="546"/>
      <c r="G16865" s="234"/>
      <c r="H16865" s="238"/>
      <c r="I16865" s="237"/>
    </row>
    <row r="16866" spans="1:9" s="232" customFormat="1" ht="17" customHeight="1">
      <c r="A16866" s="234"/>
      <c r="B16866" s="233"/>
      <c r="C16866" s="238"/>
      <c r="E16866" s="545"/>
      <c r="F16866" s="546"/>
      <c r="G16866" s="234"/>
      <c r="H16866" s="238"/>
      <c r="I16866" s="237"/>
    </row>
    <row r="16867" spans="1:9" s="232" customFormat="1" ht="17" customHeight="1">
      <c r="A16867" s="234"/>
      <c r="B16867" s="233"/>
      <c r="C16867" s="238"/>
      <c r="E16867" s="545"/>
      <c r="F16867" s="546"/>
      <c r="G16867" s="234"/>
      <c r="H16867" s="238"/>
      <c r="I16867" s="237"/>
    </row>
    <row r="16868" spans="1:9" s="232" customFormat="1" ht="17" customHeight="1">
      <c r="A16868" s="234"/>
      <c r="B16868" s="233"/>
      <c r="C16868" s="238"/>
      <c r="E16868" s="545"/>
      <c r="F16868" s="546"/>
      <c r="G16868" s="234"/>
      <c r="H16868" s="238"/>
      <c r="I16868" s="237"/>
    </row>
    <row r="16869" spans="1:9" s="232" customFormat="1" ht="17" customHeight="1">
      <c r="A16869" s="234"/>
      <c r="B16869" s="233"/>
      <c r="C16869" s="238"/>
      <c r="E16869" s="545"/>
      <c r="F16869" s="546"/>
      <c r="G16869" s="234"/>
      <c r="H16869" s="238"/>
      <c r="I16869" s="237"/>
    </row>
    <row r="16870" spans="1:9" s="232" customFormat="1" ht="17" customHeight="1">
      <c r="A16870" s="234"/>
      <c r="B16870" s="233"/>
      <c r="C16870" s="238"/>
      <c r="E16870" s="545"/>
      <c r="F16870" s="546"/>
      <c r="G16870" s="234"/>
      <c r="H16870" s="238"/>
      <c r="I16870" s="237"/>
    </row>
    <row r="16871" spans="1:9" s="232" customFormat="1" ht="17" customHeight="1">
      <c r="A16871" s="234"/>
      <c r="B16871" s="233"/>
      <c r="C16871" s="238"/>
      <c r="E16871" s="545"/>
      <c r="F16871" s="546"/>
      <c r="G16871" s="234"/>
      <c r="H16871" s="238"/>
      <c r="I16871" s="237"/>
    </row>
    <row r="16872" spans="1:9" s="232" customFormat="1" ht="17" customHeight="1">
      <c r="A16872" s="234"/>
      <c r="B16872" s="233"/>
      <c r="C16872" s="238"/>
      <c r="E16872" s="545"/>
      <c r="F16872" s="546"/>
      <c r="G16872" s="234"/>
      <c r="H16872" s="238"/>
      <c r="I16872" s="237"/>
    </row>
    <row r="16873" spans="1:9" s="232" customFormat="1" ht="17" customHeight="1">
      <c r="A16873" s="234"/>
      <c r="B16873" s="233"/>
      <c r="C16873" s="238"/>
      <c r="E16873" s="545"/>
      <c r="F16873" s="546"/>
      <c r="G16873" s="234"/>
      <c r="H16873" s="238"/>
      <c r="I16873" s="237"/>
    </row>
    <row r="16874" spans="1:9" s="232" customFormat="1" ht="17" customHeight="1">
      <c r="A16874" s="234"/>
      <c r="B16874" s="233"/>
      <c r="C16874" s="238"/>
      <c r="E16874" s="545"/>
      <c r="F16874" s="546"/>
      <c r="G16874" s="234"/>
      <c r="H16874" s="238"/>
      <c r="I16874" s="237"/>
    </row>
    <row r="16875" spans="1:9" s="232" customFormat="1" ht="17" customHeight="1">
      <c r="A16875" s="234"/>
      <c r="B16875" s="233"/>
      <c r="C16875" s="238"/>
      <c r="E16875" s="545"/>
      <c r="F16875" s="546"/>
      <c r="G16875" s="234"/>
      <c r="H16875" s="238"/>
      <c r="I16875" s="237"/>
    </row>
    <row r="16876" spans="1:9" s="232" customFormat="1" ht="17" customHeight="1">
      <c r="A16876" s="234"/>
      <c r="B16876" s="233"/>
      <c r="C16876" s="238"/>
      <c r="E16876" s="545"/>
      <c r="F16876" s="546"/>
      <c r="G16876" s="234"/>
      <c r="H16876" s="238"/>
      <c r="I16876" s="237"/>
    </row>
    <row r="16877" spans="1:9" s="232" customFormat="1" ht="17" customHeight="1">
      <c r="A16877" s="234"/>
      <c r="B16877" s="233"/>
      <c r="C16877" s="238"/>
      <c r="E16877" s="545"/>
      <c r="F16877" s="546"/>
      <c r="G16877" s="234"/>
      <c r="H16877" s="238"/>
      <c r="I16877" s="237"/>
    </row>
    <row r="16878" spans="1:9" s="232" customFormat="1" ht="17" customHeight="1">
      <c r="A16878" s="234"/>
      <c r="B16878" s="233"/>
      <c r="C16878" s="238"/>
      <c r="E16878" s="545"/>
      <c r="F16878" s="546"/>
      <c r="G16878" s="234"/>
      <c r="H16878" s="238"/>
      <c r="I16878" s="237"/>
    </row>
    <row r="16879" spans="1:9" s="232" customFormat="1" ht="17" customHeight="1">
      <c r="A16879" s="234"/>
      <c r="B16879" s="233"/>
      <c r="C16879" s="238"/>
      <c r="E16879" s="545"/>
      <c r="F16879" s="546"/>
      <c r="G16879" s="234"/>
      <c r="H16879" s="238"/>
      <c r="I16879" s="237"/>
    </row>
    <row r="16880" spans="1:9" s="232" customFormat="1" ht="17" customHeight="1">
      <c r="A16880" s="234"/>
      <c r="B16880" s="233"/>
      <c r="C16880" s="238"/>
      <c r="E16880" s="545"/>
      <c r="F16880" s="546"/>
      <c r="G16880" s="234"/>
      <c r="H16880" s="238"/>
      <c r="I16880" s="237"/>
    </row>
    <row r="16881" spans="1:9" s="232" customFormat="1" ht="17" customHeight="1">
      <c r="A16881" s="234"/>
      <c r="B16881" s="233"/>
      <c r="C16881" s="238"/>
      <c r="E16881" s="545"/>
      <c r="F16881" s="546"/>
      <c r="G16881" s="234"/>
      <c r="H16881" s="238"/>
      <c r="I16881" s="237"/>
    </row>
    <row r="16882" spans="1:9" s="232" customFormat="1" ht="17" customHeight="1">
      <c r="A16882" s="234"/>
      <c r="B16882" s="233"/>
      <c r="C16882" s="238"/>
      <c r="E16882" s="545"/>
      <c r="F16882" s="546"/>
      <c r="G16882" s="234"/>
      <c r="H16882" s="238"/>
      <c r="I16882" s="237"/>
    </row>
    <row r="16883" spans="1:9" s="232" customFormat="1" ht="17" customHeight="1">
      <c r="A16883" s="234"/>
      <c r="B16883" s="233"/>
      <c r="C16883" s="238"/>
      <c r="E16883" s="545"/>
      <c r="F16883" s="546"/>
      <c r="G16883" s="234"/>
      <c r="H16883" s="238"/>
      <c r="I16883" s="237"/>
    </row>
    <row r="16884" spans="1:9" s="232" customFormat="1" ht="17" customHeight="1">
      <c r="A16884" s="234"/>
      <c r="B16884" s="233"/>
      <c r="C16884" s="238"/>
      <c r="E16884" s="545"/>
      <c r="F16884" s="546"/>
      <c r="G16884" s="234"/>
      <c r="H16884" s="238"/>
      <c r="I16884" s="237"/>
    </row>
    <row r="16885" spans="1:9" s="232" customFormat="1" ht="17" customHeight="1">
      <c r="A16885" s="234"/>
      <c r="B16885" s="233"/>
      <c r="C16885" s="238"/>
      <c r="E16885" s="545"/>
      <c r="F16885" s="546"/>
      <c r="G16885" s="234"/>
      <c r="H16885" s="238"/>
      <c r="I16885" s="237"/>
    </row>
    <row r="16886" spans="1:9" s="232" customFormat="1" ht="17" customHeight="1">
      <c r="A16886" s="234"/>
      <c r="B16886" s="233"/>
      <c r="C16886" s="238"/>
      <c r="E16886" s="545"/>
      <c r="F16886" s="546"/>
      <c r="G16886" s="234"/>
      <c r="H16886" s="238"/>
      <c r="I16886" s="237"/>
    </row>
    <row r="16887" spans="1:9" s="232" customFormat="1" ht="17" customHeight="1">
      <c r="A16887" s="234"/>
      <c r="B16887" s="233"/>
      <c r="C16887" s="238"/>
      <c r="E16887" s="545"/>
      <c r="F16887" s="546"/>
      <c r="G16887" s="234"/>
      <c r="H16887" s="238"/>
      <c r="I16887" s="237"/>
    </row>
    <row r="16888" spans="1:9" s="232" customFormat="1" ht="17" customHeight="1">
      <c r="A16888" s="234"/>
      <c r="B16888" s="233"/>
      <c r="C16888" s="238"/>
      <c r="E16888" s="545"/>
      <c r="F16888" s="546"/>
      <c r="G16888" s="234"/>
      <c r="H16888" s="238"/>
      <c r="I16888" s="237"/>
    </row>
    <row r="16889" spans="1:9" s="232" customFormat="1" ht="17" customHeight="1">
      <c r="A16889" s="234"/>
      <c r="B16889" s="233"/>
      <c r="C16889" s="238"/>
      <c r="E16889" s="545"/>
      <c r="F16889" s="546"/>
      <c r="G16889" s="234"/>
      <c r="H16889" s="238"/>
      <c r="I16889" s="237"/>
    </row>
    <row r="16890" spans="1:9" s="232" customFormat="1" ht="17" customHeight="1">
      <c r="A16890" s="234"/>
      <c r="B16890" s="233"/>
      <c r="C16890" s="238"/>
      <c r="E16890" s="545"/>
      <c r="F16890" s="546"/>
      <c r="G16890" s="234"/>
      <c r="H16890" s="238"/>
      <c r="I16890" s="237"/>
    </row>
    <row r="16891" spans="1:9" s="232" customFormat="1" ht="17" customHeight="1">
      <c r="A16891" s="234"/>
      <c r="B16891" s="233"/>
      <c r="C16891" s="238"/>
      <c r="E16891" s="545"/>
      <c r="F16891" s="546"/>
      <c r="G16891" s="234"/>
      <c r="H16891" s="238"/>
      <c r="I16891" s="237"/>
    </row>
    <row r="16892" spans="1:9" s="232" customFormat="1" ht="17" customHeight="1">
      <c r="A16892" s="234"/>
      <c r="B16892" s="233"/>
      <c r="C16892" s="238"/>
      <c r="E16892" s="545"/>
      <c r="F16892" s="546"/>
      <c r="G16892" s="234"/>
      <c r="H16892" s="238"/>
      <c r="I16892" s="237"/>
    </row>
    <row r="16893" spans="1:9" s="232" customFormat="1" ht="17" customHeight="1">
      <c r="A16893" s="234"/>
      <c r="B16893" s="233"/>
      <c r="C16893" s="238"/>
      <c r="E16893" s="545"/>
      <c r="F16893" s="546"/>
      <c r="G16893" s="234"/>
      <c r="H16893" s="238"/>
      <c r="I16893" s="237"/>
    </row>
    <row r="16894" spans="1:9" s="232" customFormat="1" ht="17" customHeight="1">
      <c r="A16894" s="234"/>
      <c r="B16894" s="233"/>
      <c r="C16894" s="238"/>
      <c r="E16894" s="545"/>
      <c r="F16894" s="546"/>
      <c r="G16894" s="234"/>
      <c r="H16894" s="238"/>
      <c r="I16894" s="237"/>
    </row>
    <row r="16895" spans="1:9" s="232" customFormat="1" ht="17" customHeight="1">
      <c r="A16895" s="234"/>
      <c r="B16895" s="233"/>
      <c r="C16895" s="238"/>
      <c r="E16895" s="545"/>
      <c r="F16895" s="546"/>
      <c r="G16895" s="234"/>
      <c r="H16895" s="238"/>
      <c r="I16895" s="237"/>
    </row>
    <row r="16896" spans="1:9" s="232" customFormat="1" ht="17" customHeight="1">
      <c r="A16896" s="234"/>
      <c r="B16896" s="233"/>
      <c r="C16896" s="238"/>
      <c r="E16896" s="545"/>
      <c r="F16896" s="546"/>
      <c r="G16896" s="234"/>
      <c r="H16896" s="238"/>
      <c r="I16896" s="237"/>
    </row>
    <row r="16897" spans="1:9" s="232" customFormat="1" ht="17" customHeight="1">
      <c r="A16897" s="234"/>
      <c r="B16897" s="233"/>
      <c r="C16897" s="238"/>
      <c r="E16897" s="545"/>
      <c r="F16897" s="546"/>
      <c r="G16897" s="234"/>
      <c r="H16897" s="238"/>
      <c r="I16897" s="237"/>
    </row>
    <row r="16898" spans="1:9" s="232" customFormat="1" ht="17" customHeight="1">
      <c r="A16898" s="234"/>
      <c r="B16898" s="233"/>
      <c r="C16898" s="238"/>
      <c r="E16898" s="545"/>
      <c r="F16898" s="546"/>
      <c r="G16898" s="234"/>
      <c r="H16898" s="238"/>
      <c r="I16898" s="237"/>
    </row>
    <row r="16899" spans="1:9" s="232" customFormat="1" ht="17" customHeight="1">
      <c r="A16899" s="234"/>
      <c r="B16899" s="233"/>
      <c r="C16899" s="238"/>
      <c r="E16899" s="545"/>
      <c r="F16899" s="546"/>
      <c r="G16899" s="234"/>
      <c r="H16899" s="238"/>
      <c r="I16899" s="237"/>
    </row>
    <row r="16900" spans="1:9" s="232" customFormat="1" ht="17" customHeight="1">
      <c r="A16900" s="234"/>
      <c r="B16900" s="233"/>
      <c r="C16900" s="238"/>
      <c r="E16900" s="545"/>
      <c r="F16900" s="546"/>
      <c r="G16900" s="234"/>
      <c r="H16900" s="238"/>
      <c r="I16900" s="237"/>
    </row>
    <row r="16901" spans="1:9" s="232" customFormat="1" ht="17" customHeight="1">
      <c r="A16901" s="234"/>
      <c r="B16901" s="233"/>
      <c r="C16901" s="238"/>
      <c r="E16901" s="545"/>
      <c r="F16901" s="546"/>
      <c r="G16901" s="234"/>
      <c r="H16901" s="238"/>
      <c r="I16901" s="237"/>
    </row>
    <row r="16902" spans="1:9" s="232" customFormat="1" ht="17" customHeight="1">
      <c r="A16902" s="234"/>
      <c r="B16902" s="233"/>
      <c r="C16902" s="238"/>
      <c r="E16902" s="545"/>
      <c r="F16902" s="546"/>
      <c r="G16902" s="234"/>
      <c r="H16902" s="238"/>
      <c r="I16902" s="237"/>
    </row>
    <row r="16903" spans="1:9" s="232" customFormat="1" ht="17" customHeight="1">
      <c r="A16903" s="234"/>
      <c r="B16903" s="233"/>
      <c r="C16903" s="238"/>
      <c r="E16903" s="545"/>
      <c r="F16903" s="546"/>
      <c r="G16903" s="234"/>
      <c r="H16903" s="238"/>
      <c r="I16903" s="237"/>
    </row>
    <row r="16904" spans="1:9" s="232" customFormat="1" ht="17" customHeight="1">
      <c r="A16904" s="234"/>
      <c r="B16904" s="233"/>
      <c r="C16904" s="238"/>
      <c r="E16904" s="545"/>
      <c r="F16904" s="546"/>
      <c r="G16904" s="234"/>
      <c r="H16904" s="238"/>
      <c r="I16904" s="237"/>
    </row>
    <row r="16905" spans="1:9" s="232" customFormat="1" ht="17" customHeight="1">
      <c r="A16905" s="234"/>
      <c r="B16905" s="233"/>
      <c r="C16905" s="238"/>
      <c r="E16905" s="545"/>
      <c r="F16905" s="546"/>
      <c r="G16905" s="234"/>
      <c r="H16905" s="238"/>
      <c r="I16905" s="237"/>
    </row>
    <row r="16906" spans="1:9" s="232" customFormat="1" ht="17" customHeight="1">
      <c r="A16906" s="234"/>
      <c r="B16906" s="233"/>
      <c r="C16906" s="238"/>
      <c r="E16906" s="545"/>
      <c r="F16906" s="546"/>
      <c r="G16906" s="234"/>
      <c r="H16906" s="238"/>
      <c r="I16906" s="237"/>
    </row>
    <row r="16907" spans="1:9" s="232" customFormat="1" ht="17" customHeight="1">
      <c r="A16907" s="234"/>
      <c r="B16907" s="233"/>
      <c r="C16907" s="238"/>
      <c r="E16907" s="545"/>
      <c r="F16907" s="546"/>
      <c r="G16907" s="234"/>
      <c r="H16907" s="238"/>
      <c r="I16907" s="237"/>
    </row>
    <row r="16908" spans="1:9" s="232" customFormat="1" ht="17" customHeight="1">
      <c r="A16908" s="234"/>
      <c r="B16908" s="233"/>
      <c r="C16908" s="238"/>
      <c r="E16908" s="545"/>
      <c r="F16908" s="546"/>
      <c r="G16908" s="234"/>
      <c r="H16908" s="238"/>
      <c r="I16908" s="237"/>
    </row>
    <row r="16909" spans="1:9" s="232" customFormat="1" ht="17" customHeight="1">
      <c r="A16909" s="234"/>
      <c r="B16909" s="233"/>
      <c r="C16909" s="238"/>
      <c r="E16909" s="545"/>
      <c r="F16909" s="546"/>
      <c r="G16909" s="234"/>
      <c r="H16909" s="238"/>
      <c r="I16909" s="237"/>
    </row>
    <row r="16910" spans="1:9" s="232" customFormat="1" ht="17" customHeight="1">
      <c r="A16910" s="234"/>
      <c r="B16910" s="233"/>
      <c r="C16910" s="238"/>
      <c r="E16910" s="545"/>
      <c r="F16910" s="546"/>
      <c r="G16910" s="234"/>
      <c r="H16910" s="238"/>
      <c r="I16910" s="237"/>
    </row>
    <row r="16911" spans="1:9" s="232" customFormat="1" ht="17" customHeight="1">
      <c r="A16911" s="234"/>
      <c r="B16911" s="233"/>
      <c r="C16911" s="238"/>
      <c r="E16911" s="545"/>
      <c r="F16911" s="546"/>
      <c r="G16911" s="234"/>
      <c r="H16911" s="238"/>
      <c r="I16911" s="237"/>
    </row>
    <row r="16912" spans="1:9" s="232" customFormat="1" ht="17" customHeight="1">
      <c r="A16912" s="234"/>
      <c r="B16912" s="233"/>
      <c r="C16912" s="238"/>
      <c r="E16912" s="545"/>
      <c r="F16912" s="546"/>
      <c r="G16912" s="234"/>
      <c r="H16912" s="238"/>
      <c r="I16912" s="237"/>
    </row>
    <row r="16913" spans="1:9" s="232" customFormat="1" ht="17" customHeight="1">
      <c r="A16913" s="234"/>
      <c r="B16913" s="233"/>
      <c r="C16913" s="238"/>
      <c r="E16913" s="545"/>
      <c r="F16913" s="546"/>
      <c r="G16913" s="234"/>
      <c r="H16913" s="238"/>
      <c r="I16913" s="237"/>
    </row>
    <row r="16914" spans="1:9" s="232" customFormat="1" ht="17" customHeight="1">
      <c r="A16914" s="234"/>
      <c r="B16914" s="233"/>
      <c r="C16914" s="238"/>
      <c r="E16914" s="545"/>
      <c r="F16914" s="546"/>
      <c r="G16914" s="234"/>
      <c r="H16914" s="238"/>
      <c r="I16914" s="237"/>
    </row>
    <row r="16915" spans="1:9" s="232" customFormat="1" ht="17" customHeight="1">
      <c r="A16915" s="234"/>
      <c r="B16915" s="233"/>
      <c r="C16915" s="238"/>
      <c r="E16915" s="545"/>
      <c r="F16915" s="546"/>
      <c r="G16915" s="234"/>
      <c r="H16915" s="238"/>
      <c r="I16915" s="237"/>
    </row>
    <row r="16916" spans="1:9" s="232" customFormat="1" ht="17" customHeight="1">
      <c r="A16916" s="234"/>
      <c r="B16916" s="233"/>
      <c r="C16916" s="238"/>
      <c r="E16916" s="545"/>
      <c r="F16916" s="546"/>
      <c r="G16916" s="234"/>
      <c r="H16916" s="238"/>
      <c r="I16916" s="237"/>
    </row>
    <row r="16917" spans="1:9" s="232" customFormat="1" ht="17" customHeight="1">
      <c r="A16917" s="234"/>
      <c r="B16917" s="233"/>
      <c r="C16917" s="238"/>
      <c r="E16917" s="545"/>
      <c r="F16917" s="546"/>
      <c r="G16917" s="234"/>
      <c r="H16917" s="238"/>
      <c r="I16917" s="237"/>
    </row>
    <row r="16918" spans="1:9" s="232" customFormat="1" ht="17" customHeight="1">
      <c r="A16918" s="234"/>
      <c r="B16918" s="233"/>
      <c r="C16918" s="238"/>
      <c r="E16918" s="545"/>
      <c r="F16918" s="546"/>
      <c r="G16918" s="234"/>
      <c r="H16918" s="238"/>
      <c r="I16918" s="237"/>
    </row>
    <row r="16919" spans="1:9" s="232" customFormat="1" ht="17" customHeight="1">
      <c r="A16919" s="234"/>
      <c r="B16919" s="233"/>
      <c r="C16919" s="238"/>
      <c r="E16919" s="545"/>
      <c r="F16919" s="546"/>
      <c r="G16919" s="234"/>
      <c r="H16919" s="238"/>
      <c r="I16919" s="237"/>
    </row>
    <row r="16920" spans="1:9" s="232" customFormat="1" ht="17" customHeight="1">
      <c r="A16920" s="234"/>
      <c r="B16920" s="233"/>
      <c r="C16920" s="238"/>
      <c r="E16920" s="545"/>
      <c r="F16920" s="546"/>
      <c r="G16920" s="234"/>
      <c r="H16920" s="238"/>
      <c r="I16920" s="237"/>
    </row>
    <row r="16921" spans="1:9" s="232" customFormat="1" ht="17" customHeight="1">
      <c r="A16921" s="234"/>
      <c r="B16921" s="233"/>
      <c r="C16921" s="238"/>
      <c r="E16921" s="545"/>
      <c r="F16921" s="546"/>
      <c r="G16921" s="234"/>
      <c r="H16921" s="238"/>
      <c r="I16921" s="237"/>
    </row>
    <row r="16922" spans="1:9" s="232" customFormat="1" ht="17" customHeight="1">
      <c r="A16922" s="234"/>
      <c r="B16922" s="233"/>
      <c r="C16922" s="238"/>
      <c r="E16922" s="545"/>
      <c r="F16922" s="546"/>
      <c r="G16922" s="234"/>
      <c r="H16922" s="238"/>
      <c r="I16922" s="237"/>
    </row>
    <row r="16923" spans="1:9" s="232" customFormat="1" ht="17" customHeight="1">
      <c r="A16923" s="234"/>
      <c r="B16923" s="233"/>
      <c r="C16923" s="238"/>
      <c r="E16923" s="545"/>
      <c r="F16923" s="546"/>
      <c r="G16923" s="234"/>
      <c r="H16923" s="238"/>
      <c r="I16923" s="237"/>
    </row>
    <row r="16924" spans="1:9" s="232" customFormat="1" ht="17" customHeight="1">
      <c r="A16924" s="234"/>
      <c r="B16924" s="233"/>
      <c r="C16924" s="238"/>
      <c r="E16924" s="545"/>
      <c r="F16924" s="546"/>
      <c r="G16924" s="234"/>
      <c r="H16924" s="238"/>
      <c r="I16924" s="237"/>
    </row>
    <row r="16925" spans="1:9" s="232" customFormat="1" ht="17" customHeight="1">
      <c r="A16925" s="234"/>
      <c r="B16925" s="233"/>
      <c r="C16925" s="238"/>
      <c r="E16925" s="545"/>
      <c r="F16925" s="546"/>
      <c r="G16925" s="234"/>
      <c r="H16925" s="238"/>
      <c r="I16925" s="237"/>
    </row>
    <row r="16926" spans="1:9" s="232" customFormat="1" ht="17" customHeight="1">
      <c r="A16926" s="234"/>
      <c r="B16926" s="233"/>
      <c r="C16926" s="238"/>
      <c r="E16926" s="545"/>
      <c r="F16926" s="546"/>
      <c r="G16926" s="234"/>
      <c r="H16926" s="238"/>
      <c r="I16926" s="237"/>
    </row>
    <row r="16927" spans="1:9" s="232" customFormat="1" ht="17" customHeight="1">
      <c r="A16927" s="234"/>
      <c r="B16927" s="233"/>
      <c r="C16927" s="238"/>
      <c r="E16927" s="545"/>
      <c r="F16927" s="546"/>
      <c r="G16927" s="234"/>
      <c r="H16927" s="238"/>
      <c r="I16927" s="237"/>
    </row>
    <row r="16928" spans="1:9" s="232" customFormat="1" ht="17" customHeight="1">
      <c r="A16928" s="234"/>
      <c r="B16928" s="233"/>
      <c r="C16928" s="238"/>
      <c r="E16928" s="545"/>
      <c r="F16928" s="546"/>
      <c r="G16928" s="234"/>
      <c r="H16928" s="238"/>
      <c r="I16928" s="237"/>
    </row>
    <row r="16929" spans="1:9" s="232" customFormat="1" ht="17" customHeight="1">
      <c r="A16929" s="234"/>
      <c r="B16929" s="233"/>
      <c r="C16929" s="238"/>
      <c r="E16929" s="545"/>
      <c r="F16929" s="546"/>
      <c r="G16929" s="234"/>
      <c r="H16929" s="238"/>
      <c r="I16929" s="237"/>
    </row>
    <row r="16930" spans="1:9" s="232" customFormat="1" ht="17" customHeight="1">
      <c r="A16930" s="234"/>
      <c r="B16930" s="233"/>
      <c r="C16930" s="238"/>
      <c r="E16930" s="545"/>
      <c r="F16930" s="546"/>
      <c r="G16930" s="234"/>
      <c r="H16930" s="238"/>
      <c r="I16930" s="237"/>
    </row>
    <row r="16931" spans="1:9" s="232" customFormat="1" ht="17" customHeight="1">
      <c r="A16931" s="234"/>
      <c r="B16931" s="233"/>
      <c r="C16931" s="238"/>
      <c r="E16931" s="545"/>
      <c r="F16931" s="546"/>
      <c r="G16931" s="234"/>
      <c r="H16931" s="238"/>
      <c r="I16931" s="237"/>
    </row>
    <row r="16932" spans="1:9" s="232" customFormat="1" ht="17" customHeight="1">
      <c r="A16932" s="234"/>
      <c r="B16932" s="233"/>
      <c r="C16932" s="238"/>
      <c r="E16932" s="545"/>
      <c r="F16932" s="546"/>
      <c r="G16932" s="234"/>
      <c r="H16932" s="238"/>
      <c r="I16932" s="237"/>
    </row>
    <row r="16933" spans="1:9" s="232" customFormat="1" ht="17" customHeight="1">
      <c r="A16933" s="234"/>
      <c r="B16933" s="233"/>
      <c r="C16933" s="238"/>
      <c r="E16933" s="545"/>
      <c r="F16933" s="546"/>
      <c r="G16933" s="234"/>
      <c r="H16933" s="238"/>
      <c r="I16933" s="237"/>
    </row>
    <row r="16934" spans="1:9" s="232" customFormat="1" ht="17" customHeight="1">
      <c r="A16934" s="234"/>
      <c r="B16934" s="233"/>
      <c r="C16934" s="238"/>
      <c r="E16934" s="545"/>
      <c r="F16934" s="546"/>
      <c r="G16934" s="234"/>
      <c r="H16934" s="238"/>
      <c r="I16934" s="237"/>
    </row>
    <row r="16935" spans="1:9" s="232" customFormat="1" ht="17" customHeight="1">
      <c r="A16935" s="234"/>
      <c r="B16935" s="233"/>
      <c r="C16935" s="238"/>
      <c r="E16935" s="545"/>
      <c r="F16935" s="546"/>
      <c r="G16935" s="234"/>
      <c r="H16935" s="238"/>
      <c r="I16935" s="237"/>
    </row>
    <row r="16936" spans="1:9" s="232" customFormat="1" ht="17" customHeight="1">
      <c r="A16936" s="234"/>
      <c r="B16936" s="233"/>
      <c r="C16936" s="238"/>
      <c r="E16936" s="545"/>
      <c r="F16936" s="546"/>
      <c r="G16936" s="234"/>
      <c r="H16936" s="238"/>
      <c r="I16936" s="237"/>
    </row>
    <row r="16937" spans="1:9" s="232" customFormat="1" ht="17" customHeight="1">
      <c r="A16937" s="234"/>
      <c r="B16937" s="233"/>
      <c r="C16937" s="238"/>
      <c r="E16937" s="545"/>
      <c r="F16937" s="546"/>
      <c r="G16937" s="234"/>
      <c r="H16937" s="238"/>
      <c r="I16937" s="237"/>
    </row>
    <row r="16938" spans="1:9" s="232" customFormat="1" ht="17" customHeight="1">
      <c r="A16938" s="234"/>
      <c r="B16938" s="233"/>
      <c r="C16938" s="238"/>
      <c r="E16938" s="545"/>
      <c r="F16938" s="546"/>
      <c r="G16938" s="234"/>
      <c r="H16938" s="238"/>
      <c r="I16938" s="237"/>
    </row>
    <row r="16939" spans="1:9" s="232" customFormat="1" ht="17" customHeight="1">
      <c r="A16939" s="234"/>
      <c r="B16939" s="233"/>
      <c r="C16939" s="238"/>
      <c r="E16939" s="545"/>
      <c r="F16939" s="546"/>
      <c r="G16939" s="234"/>
      <c r="H16939" s="238"/>
      <c r="I16939" s="237"/>
    </row>
    <row r="16940" spans="1:9" s="232" customFormat="1" ht="17" customHeight="1">
      <c r="A16940" s="234"/>
      <c r="B16940" s="233"/>
      <c r="C16940" s="238"/>
      <c r="E16940" s="545"/>
      <c r="F16940" s="546"/>
      <c r="G16940" s="234"/>
      <c r="H16940" s="238"/>
      <c r="I16940" s="237"/>
    </row>
    <row r="16941" spans="1:9" s="232" customFormat="1" ht="17" customHeight="1">
      <c r="A16941" s="234"/>
      <c r="B16941" s="233"/>
      <c r="C16941" s="238"/>
      <c r="E16941" s="545"/>
      <c r="F16941" s="546"/>
      <c r="G16941" s="234"/>
      <c r="H16941" s="238"/>
      <c r="I16941" s="237"/>
    </row>
    <row r="16942" spans="1:9" s="232" customFormat="1" ht="17" customHeight="1">
      <c r="A16942" s="234"/>
      <c r="B16942" s="233"/>
      <c r="C16942" s="238"/>
      <c r="E16942" s="545"/>
      <c r="F16942" s="546"/>
      <c r="G16942" s="234"/>
      <c r="H16942" s="238"/>
      <c r="I16942" s="237"/>
    </row>
    <row r="16943" spans="1:9" s="232" customFormat="1" ht="17" customHeight="1">
      <c r="A16943" s="234"/>
      <c r="B16943" s="233"/>
      <c r="C16943" s="238"/>
      <c r="E16943" s="545"/>
      <c r="F16943" s="546"/>
      <c r="G16943" s="234"/>
      <c r="H16943" s="238"/>
      <c r="I16943" s="237"/>
    </row>
    <row r="16944" spans="1:9" s="232" customFormat="1" ht="17" customHeight="1">
      <c r="A16944" s="234"/>
      <c r="B16944" s="233"/>
      <c r="C16944" s="238"/>
      <c r="E16944" s="545"/>
      <c r="F16944" s="546"/>
      <c r="G16944" s="234"/>
      <c r="H16944" s="238"/>
      <c r="I16944" s="237"/>
    </row>
    <row r="16945" spans="1:9" s="232" customFormat="1" ht="17" customHeight="1">
      <c r="A16945" s="234"/>
      <c r="B16945" s="233"/>
      <c r="C16945" s="238"/>
      <c r="E16945" s="545"/>
      <c r="F16945" s="546"/>
      <c r="G16945" s="234"/>
      <c r="H16945" s="238"/>
      <c r="I16945" s="237"/>
    </row>
    <row r="16946" spans="1:9" s="232" customFormat="1" ht="17" customHeight="1">
      <c r="A16946" s="234"/>
      <c r="B16946" s="233"/>
      <c r="C16946" s="238"/>
      <c r="E16946" s="545"/>
      <c r="F16946" s="546"/>
      <c r="G16946" s="234"/>
      <c r="H16946" s="238"/>
      <c r="I16946" s="237"/>
    </row>
    <row r="16947" spans="1:9" s="232" customFormat="1" ht="17" customHeight="1">
      <c r="A16947" s="234"/>
      <c r="B16947" s="233"/>
      <c r="C16947" s="238"/>
      <c r="E16947" s="545"/>
      <c r="F16947" s="546"/>
      <c r="G16947" s="234"/>
      <c r="H16947" s="238"/>
      <c r="I16947" s="237"/>
    </row>
    <row r="16948" spans="1:9" s="232" customFormat="1" ht="17" customHeight="1">
      <c r="A16948" s="234"/>
      <c r="B16948" s="233"/>
      <c r="C16948" s="238"/>
      <c r="E16948" s="545"/>
      <c r="F16948" s="546"/>
      <c r="G16948" s="234"/>
      <c r="H16948" s="238"/>
      <c r="I16948" s="237"/>
    </row>
    <row r="16949" spans="1:9" s="232" customFormat="1" ht="17" customHeight="1">
      <c r="A16949" s="234"/>
      <c r="B16949" s="233"/>
      <c r="C16949" s="238"/>
      <c r="E16949" s="545"/>
      <c r="F16949" s="546"/>
      <c r="G16949" s="234"/>
      <c r="H16949" s="238"/>
      <c r="I16949" s="237"/>
    </row>
    <row r="16950" spans="1:9" s="232" customFormat="1" ht="17" customHeight="1">
      <c r="A16950" s="234"/>
      <c r="B16950" s="233"/>
      <c r="C16950" s="238"/>
      <c r="E16950" s="545"/>
      <c r="F16950" s="546"/>
      <c r="G16950" s="234"/>
      <c r="H16950" s="238"/>
      <c r="I16950" s="237"/>
    </row>
    <row r="16951" spans="1:9" s="232" customFormat="1" ht="17" customHeight="1">
      <c r="A16951" s="234"/>
      <c r="B16951" s="233"/>
      <c r="C16951" s="238"/>
      <c r="E16951" s="545"/>
      <c r="F16951" s="546"/>
      <c r="G16951" s="234"/>
      <c r="H16951" s="238"/>
      <c r="I16951" s="237"/>
    </row>
    <row r="16952" spans="1:9" s="232" customFormat="1" ht="17" customHeight="1">
      <c r="A16952" s="234"/>
      <c r="B16952" s="233"/>
      <c r="C16952" s="238"/>
      <c r="E16952" s="545"/>
      <c r="F16952" s="546"/>
      <c r="G16952" s="234"/>
      <c r="H16952" s="238"/>
      <c r="I16952" s="237"/>
    </row>
    <row r="16953" spans="1:9" s="232" customFormat="1" ht="17" customHeight="1">
      <c r="A16953" s="234"/>
      <c r="B16953" s="233"/>
      <c r="C16953" s="238"/>
      <c r="E16953" s="545"/>
      <c r="F16953" s="546"/>
      <c r="G16953" s="234"/>
      <c r="H16953" s="238"/>
      <c r="I16953" s="237"/>
    </row>
    <row r="16954" spans="1:9" s="232" customFormat="1" ht="17" customHeight="1">
      <c r="A16954" s="234"/>
      <c r="B16954" s="233"/>
      <c r="C16954" s="238"/>
      <c r="E16954" s="545"/>
      <c r="F16954" s="546"/>
      <c r="G16954" s="234"/>
      <c r="H16954" s="238"/>
      <c r="I16954" s="237"/>
    </row>
    <row r="16955" spans="1:9" s="232" customFormat="1" ht="17" customHeight="1">
      <c r="A16955" s="234"/>
      <c r="B16955" s="233"/>
      <c r="C16955" s="238"/>
      <c r="E16955" s="545"/>
      <c r="F16955" s="546"/>
      <c r="G16955" s="234"/>
      <c r="H16955" s="238"/>
      <c r="I16955" s="237"/>
    </row>
    <row r="16956" spans="1:9" s="232" customFormat="1" ht="17" customHeight="1">
      <c r="A16956" s="234"/>
      <c r="B16956" s="233"/>
      <c r="C16956" s="238"/>
      <c r="E16956" s="545"/>
      <c r="F16956" s="546"/>
      <c r="G16956" s="234"/>
      <c r="H16956" s="238"/>
      <c r="I16956" s="237"/>
    </row>
    <row r="16957" spans="1:9" s="232" customFormat="1" ht="17" customHeight="1">
      <c r="A16957" s="234"/>
      <c r="B16957" s="233"/>
      <c r="C16957" s="238"/>
      <c r="E16957" s="545"/>
      <c r="F16957" s="546"/>
      <c r="G16957" s="234"/>
      <c r="H16957" s="238"/>
      <c r="I16957" s="237"/>
    </row>
    <row r="16958" spans="1:9" s="232" customFormat="1" ht="17" customHeight="1">
      <c r="A16958" s="234"/>
      <c r="B16958" s="233"/>
      <c r="C16958" s="238"/>
      <c r="E16958" s="545"/>
      <c r="F16958" s="546"/>
      <c r="G16958" s="234"/>
      <c r="H16958" s="238"/>
      <c r="I16958" s="237"/>
    </row>
    <row r="16959" spans="1:9" s="232" customFormat="1" ht="17" customHeight="1">
      <c r="A16959" s="234"/>
      <c r="B16959" s="233"/>
      <c r="C16959" s="238"/>
      <c r="E16959" s="545"/>
      <c r="F16959" s="546"/>
      <c r="G16959" s="234"/>
      <c r="H16959" s="238"/>
      <c r="I16959" s="237"/>
    </row>
    <row r="16960" spans="1:9" s="232" customFormat="1" ht="17" customHeight="1">
      <c r="A16960" s="234"/>
      <c r="B16960" s="233"/>
      <c r="C16960" s="238"/>
      <c r="E16960" s="545"/>
      <c r="F16960" s="546"/>
      <c r="G16960" s="234"/>
      <c r="H16960" s="238"/>
      <c r="I16960" s="237"/>
    </row>
    <row r="16961" spans="1:9" s="232" customFormat="1" ht="17" customHeight="1">
      <c r="A16961" s="234"/>
      <c r="B16961" s="233"/>
      <c r="C16961" s="238"/>
      <c r="E16961" s="545"/>
      <c r="F16961" s="546"/>
      <c r="G16961" s="234"/>
      <c r="H16961" s="238"/>
      <c r="I16961" s="237"/>
    </row>
    <row r="16962" spans="1:9" s="232" customFormat="1" ht="17" customHeight="1">
      <c r="A16962" s="234"/>
      <c r="B16962" s="233"/>
      <c r="C16962" s="238"/>
      <c r="E16962" s="545"/>
      <c r="F16962" s="546"/>
      <c r="G16962" s="234"/>
      <c r="H16962" s="238"/>
      <c r="I16962" s="237"/>
    </row>
    <row r="16963" spans="1:9" s="232" customFormat="1" ht="17" customHeight="1">
      <c r="A16963" s="234"/>
      <c r="B16963" s="233"/>
      <c r="C16963" s="238"/>
      <c r="E16963" s="545"/>
      <c r="F16963" s="546"/>
      <c r="G16963" s="234"/>
      <c r="H16963" s="238"/>
      <c r="I16963" s="237"/>
    </row>
    <row r="16964" spans="1:9" s="232" customFormat="1" ht="17" customHeight="1">
      <c r="A16964" s="234"/>
      <c r="B16964" s="233"/>
      <c r="C16964" s="238"/>
      <c r="E16964" s="545"/>
      <c r="F16964" s="546"/>
      <c r="G16964" s="234"/>
      <c r="H16964" s="238"/>
      <c r="I16964" s="237"/>
    </row>
    <row r="16965" spans="1:9" s="232" customFormat="1" ht="17" customHeight="1">
      <c r="A16965" s="234"/>
      <c r="B16965" s="233"/>
      <c r="C16965" s="238"/>
      <c r="E16965" s="545"/>
      <c r="F16965" s="546"/>
      <c r="G16965" s="234"/>
      <c r="H16965" s="238"/>
      <c r="I16965" s="237"/>
    </row>
    <row r="16966" spans="1:9" s="232" customFormat="1" ht="17" customHeight="1">
      <c r="A16966" s="234"/>
      <c r="B16966" s="233"/>
      <c r="C16966" s="238"/>
      <c r="E16966" s="545"/>
      <c r="F16966" s="546"/>
      <c r="G16966" s="234"/>
      <c r="H16966" s="238"/>
      <c r="I16966" s="237"/>
    </row>
    <row r="16967" spans="1:9" s="232" customFormat="1" ht="17" customHeight="1">
      <c r="A16967" s="234"/>
      <c r="B16967" s="233"/>
      <c r="C16967" s="238"/>
      <c r="E16967" s="545"/>
      <c r="F16967" s="546"/>
      <c r="G16967" s="234"/>
      <c r="H16967" s="238"/>
      <c r="I16967" s="237"/>
    </row>
    <row r="16968" spans="1:9" s="232" customFormat="1" ht="17" customHeight="1">
      <c r="A16968" s="234"/>
      <c r="B16968" s="233"/>
      <c r="C16968" s="238"/>
      <c r="E16968" s="545"/>
      <c r="F16968" s="546"/>
      <c r="G16968" s="234"/>
      <c r="H16968" s="238"/>
      <c r="I16968" s="237"/>
    </row>
    <row r="16969" spans="1:9" s="232" customFormat="1" ht="17" customHeight="1">
      <c r="A16969" s="234"/>
      <c r="B16969" s="233"/>
      <c r="C16969" s="238"/>
      <c r="E16969" s="545"/>
      <c r="F16969" s="546"/>
      <c r="G16969" s="234"/>
      <c r="H16969" s="238"/>
      <c r="I16969" s="237"/>
    </row>
    <row r="16970" spans="1:9" s="232" customFormat="1" ht="17" customHeight="1">
      <c r="A16970" s="234"/>
      <c r="B16970" s="233"/>
      <c r="C16970" s="238"/>
      <c r="E16970" s="545"/>
      <c r="F16970" s="546"/>
      <c r="G16970" s="234"/>
      <c r="H16970" s="238"/>
      <c r="I16970" s="237"/>
    </row>
    <row r="16971" spans="1:9" s="232" customFormat="1" ht="17" customHeight="1">
      <c r="A16971" s="234"/>
      <c r="B16971" s="233"/>
      <c r="C16971" s="238"/>
      <c r="E16971" s="545"/>
      <c r="F16971" s="546"/>
      <c r="G16971" s="234"/>
      <c r="H16971" s="238"/>
      <c r="I16971" s="237"/>
    </row>
    <row r="16972" spans="1:9" s="232" customFormat="1" ht="17" customHeight="1">
      <c r="A16972" s="234"/>
      <c r="B16972" s="233"/>
      <c r="C16972" s="238"/>
      <c r="E16972" s="545"/>
      <c r="F16972" s="546"/>
      <c r="G16972" s="234"/>
      <c r="H16972" s="238"/>
      <c r="I16972" s="237"/>
    </row>
    <row r="16973" spans="1:9" s="232" customFormat="1" ht="17" customHeight="1">
      <c r="A16973" s="234"/>
      <c r="B16973" s="233"/>
      <c r="C16973" s="238"/>
      <c r="E16973" s="545"/>
      <c r="F16973" s="546"/>
      <c r="G16973" s="234"/>
      <c r="H16973" s="238"/>
      <c r="I16973" s="237"/>
    </row>
    <row r="16974" spans="1:9" s="232" customFormat="1" ht="17" customHeight="1">
      <c r="A16974" s="234"/>
      <c r="B16974" s="233"/>
      <c r="C16974" s="238"/>
      <c r="E16974" s="545"/>
      <c r="F16974" s="546"/>
      <c r="G16974" s="234"/>
      <c r="H16974" s="238"/>
      <c r="I16974" s="237"/>
    </row>
    <row r="16975" spans="1:9" s="232" customFormat="1" ht="17" customHeight="1">
      <c r="A16975" s="234"/>
      <c r="B16975" s="233"/>
      <c r="C16975" s="238"/>
      <c r="E16975" s="545"/>
      <c r="F16975" s="546"/>
      <c r="G16975" s="234"/>
      <c r="H16975" s="238"/>
      <c r="I16975" s="237"/>
    </row>
    <row r="16976" spans="1:9" s="232" customFormat="1" ht="17" customHeight="1">
      <c r="A16976" s="234"/>
      <c r="B16976" s="233"/>
      <c r="C16976" s="238"/>
      <c r="E16976" s="545"/>
      <c r="F16976" s="546"/>
      <c r="G16976" s="234"/>
      <c r="H16976" s="238"/>
      <c r="I16976" s="237"/>
    </row>
    <row r="16977" spans="1:9" s="232" customFormat="1" ht="17" customHeight="1">
      <c r="A16977" s="234"/>
      <c r="B16977" s="233"/>
      <c r="C16977" s="238"/>
      <c r="E16977" s="545"/>
      <c r="F16977" s="546"/>
      <c r="G16977" s="234"/>
      <c r="H16977" s="238"/>
      <c r="I16977" s="237"/>
    </row>
    <row r="16978" spans="1:9" s="232" customFormat="1" ht="17" customHeight="1">
      <c r="A16978" s="234"/>
      <c r="B16978" s="233"/>
      <c r="C16978" s="238"/>
      <c r="E16978" s="545"/>
      <c r="F16978" s="546"/>
      <c r="G16978" s="234"/>
      <c r="H16978" s="238"/>
      <c r="I16978" s="237"/>
    </row>
    <row r="16979" spans="1:9" s="232" customFormat="1" ht="17" customHeight="1">
      <c r="A16979" s="234"/>
      <c r="B16979" s="233"/>
      <c r="C16979" s="238"/>
      <c r="E16979" s="545"/>
      <c r="F16979" s="546"/>
      <c r="G16979" s="234"/>
      <c r="H16979" s="238"/>
      <c r="I16979" s="237"/>
    </row>
    <row r="16980" spans="1:9" s="232" customFormat="1" ht="17" customHeight="1">
      <c r="A16980" s="234"/>
      <c r="B16980" s="233"/>
      <c r="C16980" s="238"/>
      <c r="E16980" s="545"/>
      <c r="F16980" s="546"/>
      <c r="G16980" s="234"/>
      <c r="H16980" s="238"/>
      <c r="I16980" s="237"/>
    </row>
    <row r="16981" spans="1:9" s="232" customFormat="1" ht="17" customHeight="1">
      <c r="A16981" s="234"/>
      <c r="B16981" s="233"/>
      <c r="C16981" s="238"/>
      <c r="E16981" s="545"/>
      <c r="F16981" s="546"/>
      <c r="G16981" s="234"/>
      <c r="H16981" s="238"/>
      <c r="I16981" s="237"/>
    </row>
    <row r="16982" spans="1:9" s="232" customFormat="1" ht="17" customHeight="1">
      <c r="A16982" s="234"/>
      <c r="B16982" s="233"/>
      <c r="C16982" s="238"/>
      <c r="E16982" s="545"/>
      <c r="F16982" s="546"/>
      <c r="G16982" s="234"/>
      <c r="H16982" s="238"/>
      <c r="I16982" s="237"/>
    </row>
    <row r="16983" spans="1:9" s="232" customFormat="1" ht="17" customHeight="1">
      <c r="A16983" s="234"/>
      <c r="B16983" s="233"/>
      <c r="C16983" s="238"/>
      <c r="E16983" s="545"/>
      <c r="F16983" s="546"/>
      <c r="G16983" s="234"/>
      <c r="H16983" s="238"/>
      <c r="I16983" s="237"/>
    </row>
    <row r="16984" spans="1:9" s="232" customFormat="1" ht="17" customHeight="1">
      <c r="A16984" s="234"/>
      <c r="B16984" s="233"/>
      <c r="C16984" s="238"/>
      <c r="E16984" s="545"/>
      <c r="F16984" s="546"/>
      <c r="G16984" s="234"/>
      <c r="H16984" s="238"/>
      <c r="I16984" s="237"/>
    </row>
    <row r="16985" spans="1:9" s="232" customFormat="1" ht="17" customHeight="1">
      <c r="A16985" s="234"/>
      <c r="B16985" s="233"/>
      <c r="C16985" s="238"/>
      <c r="E16985" s="545"/>
      <c r="F16985" s="546"/>
      <c r="G16985" s="234"/>
      <c r="H16985" s="238"/>
      <c r="I16985" s="237"/>
    </row>
    <row r="16986" spans="1:9" s="232" customFormat="1" ht="17" customHeight="1">
      <c r="A16986" s="234"/>
      <c r="B16986" s="233"/>
      <c r="C16986" s="238"/>
      <c r="E16986" s="545"/>
      <c r="F16986" s="546"/>
      <c r="G16986" s="234"/>
      <c r="H16986" s="238"/>
      <c r="I16986" s="237"/>
    </row>
    <row r="16987" spans="1:9" s="232" customFormat="1" ht="17" customHeight="1">
      <c r="A16987" s="234"/>
      <c r="B16987" s="233"/>
      <c r="C16987" s="238"/>
      <c r="E16987" s="545"/>
      <c r="F16987" s="546"/>
      <c r="G16987" s="234"/>
      <c r="H16987" s="238"/>
      <c r="I16987" s="237"/>
    </row>
    <row r="16988" spans="1:9" s="232" customFormat="1" ht="17" customHeight="1">
      <c r="A16988" s="234"/>
      <c r="B16988" s="233"/>
      <c r="C16988" s="238"/>
      <c r="E16988" s="545"/>
      <c r="F16988" s="546"/>
      <c r="G16988" s="234"/>
      <c r="H16988" s="238"/>
      <c r="I16988" s="237"/>
    </row>
    <row r="16989" spans="1:9" s="232" customFormat="1" ht="17" customHeight="1">
      <c r="A16989" s="234"/>
      <c r="B16989" s="233"/>
      <c r="C16989" s="238"/>
      <c r="E16989" s="545"/>
      <c r="F16989" s="546"/>
      <c r="G16989" s="234"/>
      <c r="H16989" s="238"/>
      <c r="I16989" s="237"/>
    </row>
    <row r="16990" spans="1:9" s="232" customFormat="1" ht="17" customHeight="1">
      <c r="A16990" s="234"/>
      <c r="B16990" s="233"/>
      <c r="C16990" s="238"/>
      <c r="E16990" s="545"/>
      <c r="F16990" s="546"/>
      <c r="G16990" s="234"/>
      <c r="H16990" s="238"/>
      <c r="I16990" s="237"/>
    </row>
    <row r="16991" spans="1:9" s="232" customFormat="1" ht="17" customHeight="1">
      <c r="A16991" s="234"/>
      <c r="B16991" s="233"/>
      <c r="C16991" s="238"/>
      <c r="E16991" s="545"/>
      <c r="F16991" s="546"/>
      <c r="G16991" s="234"/>
      <c r="H16991" s="238"/>
      <c r="I16991" s="237"/>
    </row>
    <row r="16992" spans="1:9" s="232" customFormat="1" ht="17" customHeight="1">
      <c r="A16992" s="234"/>
      <c r="B16992" s="233"/>
      <c r="C16992" s="238"/>
      <c r="E16992" s="545"/>
      <c r="F16992" s="546"/>
      <c r="G16992" s="234"/>
      <c r="H16992" s="238"/>
      <c r="I16992" s="237"/>
    </row>
    <row r="16993" spans="1:9" s="232" customFormat="1" ht="17" customHeight="1">
      <c r="A16993" s="234"/>
      <c r="B16993" s="233"/>
      <c r="C16993" s="238"/>
      <c r="E16993" s="545"/>
      <c r="F16993" s="546"/>
      <c r="G16993" s="234"/>
      <c r="H16993" s="238"/>
      <c r="I16993" s="237"/>
    </row>
    <row r="16994" spans="1:9" s="232" customFormat="1" ht="17" customHeight="1">
      <c r="A16994" s="234"/>
      <c r="B16994" s="233"/>
      <c r="C16994" s="238"/>
      <c r="E16994" s="545"/>
      <c r="F16994" s="546"/>
      <c r="G16994" s="234"/>
      <c r="H16994" s="238"/>
      <c r="I16994" s="237"/>
    </row>
    <row r="16995" spans="1:9" s="232" customFormat="1" ht="17" customHeight="1">
      <c r="A16995" s="234"/>
      <c r="B16995" s="233"/>
      <c r="C16995" s="238"/>
      <c r="E16995" s="545"/>
      <c r="F16995" s="546"/>
      <c r="G16995" s="234"/>
      <c r="H16995" s="238"/>
      <c r="I16995" s="237"/>
    </row>
    <row r="16996" spans="1:9" s="232" customFormat="1" ht="17" customHeight="1">
      <c r="A16996" s="234"/>
      <c r="B16996" s="233"/>
      <c r="C16996" s="238"/>
      <c r="E16996" s="545"/>
      <c r="F16996" s="546"/>
      <c r="G16996" s="234"/>
      <c r="H16996" s="238"/>
      <c r="I16996" s="237"/>
    </row>
    <row r="16997" spans="1:9" s="232" customFormat="1" ht="17" customHeight="1">
      <c r="A16997" s="234"/>
      <c r="B16997" s="233"/>
      <c r="C16997" s="238"/>
      <c r="E16997" s="545"/>
      <c r="F16997" s="546"/>
      <c r="G16997" s="234"/>
      <c r="H16997" s="238"/>
      <c r="I16997" s="237"/>
    </row>
    <row r="16998" spans="1:9" s="232" customFormat="1" ht="17" customHeight="1">
      <c r="A16998" s="234"/>
      <c r="B16998" s="233"/>
      <c r="C16998" s="238"/>
      <c r="E16998" s="545"/>
      <c r="F16998" s="546"/>
      <c r="G16998" s="234"/>
      <c r="H16998" s="238"/>
      <c r="I16998" s="237"/>
    </row>
    <row r="16999" spans="1:9" s="232" customFormat="1" ht="17" customHeight="1">
      <c r="A16999" s="234"/>
      <c r="B16999" s="233"/>
      <c r="C16999" s="238"/>
      <c r="E16999" s="545"/>
      <c r="F16999" s="546"/>
      <c r="G16999" s="234"/>
      <c r="H16999" s="238"/>
      <c r="I16999" s="237"/>
    </row>
    <row r="17000" spans="1:9" s="232" customFormat="1" ht="17" customHeight="1">
      <c r="A17000" s="234"/>
      <c r="B17000" s="233"/>
      <c r="C17000" s="238"/>
      <c r="E17000" s="545"/>
      <c r="F17000" s="546"/>
      <c r="G17000" s="234"/>
      <c r="H17000" s="238"/>
      <c r="I17000" s="237"/>
    </row>
    <row r="17001" spans="1:9" s="232" customFormat="1" ht="17" customHeight="1">
      <c r="A17001" s="234"/>
      <c r="B17001" s="233"/>
      <c r="C17001" s="238"/>
      <c r="E17001" s="545"/>
      <c r="F17001" s="546"/>
      <c r="G17001" s="234"/>
      <c r="H17001" s="238"/>
      <c r="I17001" s="237"/>
    </row>
    <row r="17002" spans="1:9" s="232" customFormat="1" ht="17" customHeight="1">
      <c r="A17002" s="234"/>
      <c r="B17002" s="233"/>
      <c r="C17002" s="238"/>
      <c r="E17002" s="545"/>
      <c r="F17002" s="546"/>
      <c r="G17002" s="234"/>
      <c r="H17002" s="238"/>
      <c r="I17002" s="237"/>
    </row>
    <row r="17003" spans="1:9" s="232" customFormat="1" ht="17" customHeight="1">
      <c r="A17003" s="234"/>
      <c r="B17003" s="233"/>
      <c r="C17003" s="238"/>
      <c r="E17003" s="545"/>
      <c r="F17003" s="546"/>
      <c r="G17003" s="234"/>
      <c r="H17003" s="238"/>
      <c r="I17003" s="237"/>
    </row>
    <row r="17004" spans="1:9" s="232" customFormat="1" ht="17" customHeight="1">
      <c r="A17004" s="234"/>
      <c r="B17004" s="233"/>
      <c r="C17004" s="238"/>
      <c r="E17004" s="545"/>
      <c r="F17004" s="546"/>
      <c r="G17004" s="234"/>
      <c r="H17004" s="238"/>
      <c r="I17004" s="237"/>
    </row>
    <row r="17005" spans="1:9" s="232" customFormat="1" ht="17" customHeight="1">
      <c r="A17005" s="234"/>
      <c r="B17005" s="233"/>
      <c r="C17005" s="238"/>
      <c r="E17005" s="545"/>
      <c r="F17005" s="546"/>
      <c r="G17005" s="234"/>
      <c r="H17005" s="238"/>
      <c r="I17005" s="237"/>
    </row>
    <row r="17006" spans="1:9" s="232" customFormat="1" ht="17" customHeight="1">
      <c r="A17006" s="234"/>
      <c r="B17006" s="233"/>
      <c r="C17006" s="238"/>
      <c r="E17006" s="545"/>
      <c r="F17006" s="546"/>
      <c r="G17006" s="234"/>
      <c r="H17006" s="238"/>
      <c r="I17006" s="237"/>
    </row>
    <row r="17007" spans="1:9" s="232" customFormat="1" ht="17" customHeight="1">
      <c r="A17007" s="234"/>
      <c r="B17007" s="233"/>
      <c r="C17007" s="238"/>
      <c r="E17007" s="545"/>
      <c r="F17007" s="546"/>
      <c r="G17007" s="234"/>
      <c r="H17007" s="238"/>
      <c r="I17007" s="237"/>
    </row>
    <row r="17008" spans="1:9" s="232" customFormat="1" ht="17" customHeight="1">
      <c r="A17008" s="234"/>
      <c r="B17008" s="233"/>
      <c r="C17008" s="238"/>
      <c r="E17008" s="545"/>
      <c r="F17008" s="546"/>
      <c r="G17008" s="234"/>
      <c r="H17008" s="238"/>
      <c r="I17008" s="237"/>
    </row>
    <row r="17009" spans="1:9" s="232" customFormat="1" ht="17" customHeight="1">
      <c r="A17009" s="234"/>
      <c r="B17009" s="233"/>
      <c r="C17009" s="238"/>
      <c r="E17009" s="545"/>
      <c r="F17009" s="546"/>
      <c r="G17009" s="234"/>
      <c r="H17009" s="238"/>
      <c r="I17009" s="237"/>
    </row>
    <row r="17010" spans="1:9" s="232" customFormat="1" ht="17" customHeight="1">
      <c r="A17010" s="234"/>
      <c r="B17010" s="233"/>
      <c r="C17010" s="238"/>
      <c r="E17010" s="545"/>
      <c r="F17010" s="546"/>
      <c r="G17010" s="234"/>
      <c r="H17010" s="238"/>
      <c r="I17010" s="237"/>
    </row>
    <row r="17011" spans="1:9" s="232" customFormat="1" ht="17" customHeight="1">
      <c r="A17011" s="234"/>
      <c r="B17011" s="233"/>
      <c r="C17011" s="238"/>
      <c r="E17011" s="545"/>
      <c r="F17011" s="546"/>
      <c r="G17011" s="234"/>
      <c r="H17011" s="238"/>
      <c r="I17011" s="237"/>
    </row>
    <row r="17012" spans="1:9" s="232" customFormat="1" ht="17" customHeight="1">
      <c r="A17012" s="234"/>
      <c r="B17012" s="233"/>
      <c r="C17012" s="238"/>
      <c r="E17012" s="545"/>
      <c r="F17012" s="546"/>
      <c r="G17012" s="234"/>
      <c r="H17012" s="238"/>
      <c r="I17012" s="237"/>
    </row>
    <row r="17013" spans="1:9" s="232" customFormat="1" ht="17" customHeight="1">
      <c r="A17013" s="234"/>
      <c r="B17013" s="233"/>
      <c r="C17013" s="238"/>
      <c r="E17013" s="545"/>
      <c r="F17013" s="546"/>
      <c r="G17013" s="234"/>
      <c r="H17013" s="238"/>
      <c r="I17013" s="237"/>
    </row>
    <row r="17014" spans="1:9" s="232" customFormat="1" ht="17" customHeight="1">
      <c r="A17014" s="234"/>
      <c r="B17014" s="233"/>
      <c r="C17014" s="238"/>
      <c r="E17014" s="545"/>
      <c r="F17014" s="546"/>
      <c r="G17014" s="234"/>
      <c r="H17014" s="238"/>
      <c r="I17014" s="237"/>
    </row>
    <row r="17015" spans="1:9" s="232" customFormat="1" ht="17" customHeight="1">
      <c r="A17015" s="234"/>
      <c r="B17015" s="233"/>
      <c r="C17015" s="238"/>
      <c r="E17015" s="545"/>
      <c r="F17015" s="546"/>
      <c r="G17015" s="234"/>
      <c r="H17015" s="238"/>
      <c r="I17015" s="237"/>
    </row>
    <row r="17016" spans="1:9" s="232" customFormat="1" ht="17" customHeight="1">
      <c r="A17016" s="234"/>
      <c r="B17016" s="233"/>
      <c r="C17016" s="238"/>
      <c r="E17016" s="545"/>
      <c r="F17016" s="546"/>
      <c r="G17016" s="234"/>
      <c r="H17016" s="238"/>
      <c r="I17016" s="237"/>
    </row>
    <row r="17017" spans="1:9" s="232" customFormat="1" ht="17" customHeight="1">
      <c r="A17017" s="234"/>
      <c r="B17017" s="233"/>
      <c r="C17017" s="238"/>
      <c r="E17017" s="545"/>
      <c r="F17017" s="546"/>
      <c r="G17017" s="234"/>
      <c r="H17017" s="238"/>
      <c r="I17017" s="237"/>
    </row>
    <row r="17018" spans="1:9" s="232" customFormat="1" ht="17" customHeight="1">
      <c r="A17018" s="234"/>
      <c r="B17018" s="233"/>
      <c r="C17018" s="238"/>
      <c r="E17018" s="545"/>
      <c r="F17018" s="546"/>
      <c r="G17018" s="234"/>
      <c r="H17018" s="238"/>
      <c r="I17018" s="237"/>
    </row>
    <row r="17019" spans="1:9" s="232" customFormat="1" ht="17" customHeight="1">
      <c r="A17019" s="234"/>
      <c r="B17019" s="233"/>
      <c r="C17019" s="238"/>
      <c r="E17019" s="545"/>
      <c r="F17019" s="546"/>
      <c r="G17019" s="234"/>
      <c r="H17019" s="238"/>
      <c r="I17019" s="237"/>
    </row>
    <row r="17020" spans="1:9" s="232" customFormat="1" ht="17" customHeight="1">
      <c r="A17020" s="234"/>
      <c r="B17020" s="233"/>
      <c r="C17020" s="238"/>
      <c r="E17020" s="545"/>
      <c r="F17020" s="546"/>
      <c r="G17020" s="234"/>
      <c r="H17020" s="238"/>
      <c r="I17020" s="237"/>
    </row>
    <row r="17021" spans="1:9" s="232" customFormat="1" ht="17" customHeight="1">
      <c r="A17021" s="234"/>
      <c r="B17021" s="233"/>
      <c r="C17021" s="238"/>
      <c r="E17021" s="545"/>
      <c r="F17021" s="546"/>
      <c r="G17021" s="234"/>
      <c r="H17021" s="238"/>
      <c r="I17021" s="237"/>
    </row>
    <row r="17022" spans="1:9" s="232" customFormat="1" ht="17" customHeight="1">
      <c r="A17022" s="234"/>
      <c r="B17022" s="233"/>
      <c r="C17022" s="238"/>
      <c r="E17022" s="545"/>
      <c r="F17022" s="546"/>
      <c r="G17022" s="234"/>
      <c r="H17022" s="238"/>
      <c r="I17022" s="237"/>
    </row>
    <row r="17023" spans="1:9" s="232" customFormat="1" ht="17" customHeight="1">
      <c r="A17023" s="234"/>
      <c r="B17023" s="233"/>
      <c r="C17023" s="238"/>
      <c r="E17023" s="545"/>
      <c r="F17023" s="546"/>
      <c r="G17023" s="234"/>
      <c r="H17023" s="238"/>
      <c r="I17023" s="237"/>
    </row>
    <row r="17024" spans="1:9" s="232" customFormat="1" ht="17" customHeight="1">
      <c r="A17024" s="234"/>
      <c r="B17024" s="233"/>
      <c r="C17024" s="238"/>
      <c r="E17024" s="545"/>
      <c r="F17024" s="546"/>
      <c r="G17024" s="234"/>
      <c r="H17024" s="238"/>
      <c r="I17024" s="237"/>
    </row>
    <row r="17025" spans="1:9" s="232" customFormat="1" ht="17" customHeight="1">
      <c r="A17025" s="234"/>
      <c r="B17025" s="233"/>
      <c r="C17025" s="238"/>
      <c r="E17025" s="545"/>
      <c r="F17025" s="546"/>
      <c r="G17025" s="234"/>
      <c r="H17025" s="238"/>
      <c r="I17025" s="237"/>
    </row>
    <row r="17026" spans="1:9" s="232" customFormat="1" ht="17" customHeight="1">
      <c r="A17026" s="234"/>
      <c r="B17026" s="233"/>
      <c r="C17026" s="238"/>
      <c r="E17026" s="545"/>
      <c r="F17026" s="546"/>
      <c r="G17026" s="234"/>
      <c r="H17026" s="238"/>
      <c r="I17026" s="237"/>
    </row>
    <row r="17027" spans="1:9" s="232" customFormat="1" ht="17" customHeight="1">
      <c r="A17027" s="234"/>
      <c r="B17027" s="233"/>
      <c r="C17027" s="238"/>
      <c r="E17027" s="545"/>
      <c r="F17027" s="546"/>
      <c r="G17027" s="234"/>
      <c r="H17027" s="238"/>
      <c r="I17027" s="237"/>
    </row>
    <row r="17028" spans="1:9" s="232" customFormat="1" ht="17" customHeight="1">
      <c r="A17028" s="234"/>
      <c r="B17028" s="233"/>
      <c r="C17028" s="238"/>
      <c r="E17028" s="545"/>
      <c r="F17028" s="546"/>
      <c r="G17028" s="234"/>
      <c r="H17028" s="238"/>
      <c r="I17028" s="237"/>
    </row>
    <row r="17029" spans="1:9" s="232" customFormat="1" ht="17" customHeight="1">
      <c r="A17029" s="234"/>
      <c r="B17029" s="233"/>
      <c r="C17029" s="238"/>
      <c r="E17029" s="545"/>
      <c r="F17029" s="546"/>
      <c r="G17029" s="234"/>
      <c r="H17029" s="238"/>
      <c r="I17029" s="237"/>
    </row>
    <row r="17030" spans="1:9" s="232" customFormat="1" ht="17" customHeight="1">
      <c r="A17030" s="234"/>
      <c r="B17030" s="233"/>
      <c r="C17030" s="238"/>
      <c r="E17030" s="545"/>
      <c r="F17030" s="546"/>
      <c r="G17030" s="234"/>
      <c r="H17030" s="238"/>
      <c r="I17030" s="237"/>
    </row>
    <row r="17031" spans="1:9" s="232" customFormat="1" ht="17" customHeight="1">
      <c r="A17031" s="234"/>
      <c r="B17031" s="233"/>
      <c r="C17031" s="238"/>
      <c r="E17031" s="545"/>
      <c r="F17031" s="546"/>
      <c r="G17031" s="234"/>
      <c r="H17031" s="238"/>
      <c r="I17031" s="237"/>
    </row>
    <row r="17032" spans="1:9" s="232" customFormat="1" ht="17" customHeight="1">
      <c r="A17032" s="234"/>
      <c r="B17032" s="233"/>
      <c r="C17032" s="238"/>
      <c r="E17032" s="545"/>
      <c r="F17032" s="546"/>
      <c r="G17032" s="234"/>
      <c r="H17032" s="238"/>
      <c r="I17032" s="237"/>
    </row>
    <row r="17033" spans="1:9" s="232" customFormat="1" ht="17" customHeight="1">
      <c r="A17033" s="234"/>
      <c r="B17033" s="233"/>
      <c r="C17033" s="238"/>
      <c r="E17033" s="545"/>
      <c r="F17033" s="546"/>
      <c r="G17033" s="234"/>
      <c r="H17033" s="238"/>
      <c r="I17033" s="237"/>
    </row>
    <row r="17034" spans="1:9" s="232" customFormat="1" ht="17" customHeight="1">
      <c r="A17034" s="234"/>
      <c r="B17034" s="233"/>
      <c r="C17034" s="238"/>
      <c r="E17034" s="545"/>
      <c r="F17034" s="546"/>
      <c r="G17034" s="234"/>
      <c r="H17034" s="238"/>
      <c r="I17034" s="237"/>
    </row>
    <row r="17035" spans="1:9" s="232" customFormat="1" ht="17" customHeight="1">
      <c r="A17035" s="234"/>
      <c r="B17035" s="233"/>
      <c r="C17035" s="238"/>
      <c r="E17035" s="545"/>
      <c r="F17035" s="546"/>
      <c r="G17035" s="234"/>
      <c r="H17035" s="238"/>
      <c r="I17035" s="237"/>
    </row>
    <row r="17036" spans="1:9" s="232" customFormat="1" ht="17" customHeight="1">
      <c r="A17036" s="234"/>
      <c r="B17036" s="233"/>
      <c r="C17036" s="238"/>
      <c r="E17036" s="545"/>
      <c r="F17036" s="546"/>
      <c r="G17036" s="234"/>
      <c r="H17036" s="238"/>
      <c r="I17036" s="237"/>
    </row>
    <row r="17037" spans="1:9" s="232" customFormat="1" ht="17" customHeight="1">
      <c r="A17037" s="234"/>
      <c r="B17037" s="233"/>
      <c r="C17037" s="238"/>
      <c r="E17037" s="545"/>
      <c r="F17037" s="546"/>
      <c r="G17037" s="234"/>
      <c r="H17037" s="238"/>
      <c r="I17037" s="237"/>
    </row>
    <row r="17038" spans="1:9" s="232" customFormat="1" ht="17" customHeight="1">
      <c r="A17038" s="234"/>
      <c r="B17038" s="233"/>
      <c r="C17038" s="238"/>
      <c r="E17038" s="545"/>
      <c r="F17038" s="546"/>
      <c r="G17038" s="234"/>
      <c r="H17038" s="238"/>
      <c r="I17038" s="237"/>
    </row>
    <row r="17039" spans="1:9" s="232" customFormat="1" ht="17" customHeight="1">
      <c r="A17039" s="234"/>
      <c r="B17039" s="233"/>
      <c r="C17039" s="238"/>
      <c r="E17039" s="545"/>
      <c r="F17039" s="546"/>
      <c r="G17039" s="234"/>
      <c r="H17039" s="238"/>
      <c r="I17039" s="237"/>
    </row>
    <row r="17040" spans="1:9" s="232" customFormat="1" ht="17" customHeight="1">
      <c r="A17040" s="234"/>
      <c r="B17040" s="233"/>
      <c r="C17040" s="238"/>
      <c r="E17040" s="545"/>
      <c r="F17040" s="546"/>
      <c r="G17040" s="234"/>
      <c r="H17040" s="238"/>
      <c r="I17040" s="237"/>
    </row>
    <row r="17041" spans="1:9" s="232" customFormat="1" ht="17" customHeight="1">
      <c r="A17041" s="234"/>
      <c r="B17041" s="233"/>
      <c r="C17041" s="238"/>
      <c r="E17041" s="545"/>
      <c r="F17041" s="546"/>
      <c r="G17041" s="234"/>
      <c r="H17041" s="238"/>
      <c r="I17041" s="237"/>
    </row>
    <row r="17042" spans="1:9" s="232" customFormat="1" ht="17" customHeight="1">
      <c r="A17042" s="234"/>
      <c r="B17042" s="233"/>
      <c r="C17042" s="238"/>
      <c r="E17042" s="545"/>
      <c r="F17042" s="546"/>
      <c r="G17042" s="234"/>
      <c r="H17042" s="238"/>
      <c r="I17042" s="237"/>
    </row>
    <row r="17043" spans="1:9" s="232" customFormat="1" ht="17" customHeight="1">
      <c r="A17043" s="234"/>
      <c r="B17043" s="233"/>
      <c r="C17043" s="238"/>
      <c r="E17043" s="545"/>
      <c r="F17043" s="546"/>
      <c r="G17043" s="234"/>
      <c r="H17043" s="238"/>
      <c r="I17043" s="237"/>
    </row>
    <row r="17044" spans="1:9" s="232" customFormat="1" ht="17" customHeight="1">
      <c r="A17044" s="234"/>
      <c r="B17044" s="233"/>
      <c r="C17044" s="238"/>
      <c r="E17044" s="545"/>
      <c r="F17044" s="546"/>
      <c r="G17044" s="234"/>
      <c r="H17044" s="238"/>
      <c r="I17044" s="237"/>
    </row>
    <row r="17045" spans="1:9" s="232" customFormat="1" ht="17" customHeight="1">
      <c r="A17045" s="234"/>
      <c r="B17045" s="233"/>
      <c r="C17045" s="238"/>
      <c r="E17045" s="545"/>
      <c r="F17045" s="546"/>
      <c r="G17045" s="234"/>
      <c r="H17045" s="238"/>
      <c r="I17045" s="237"/>
    </row>
    <row r="17046" spans="1:9" s="232" customFormat="1" ht="17" customHeight="1">
      <c r="A17046" s="234"/>
      <c r="B17046" s="233"/>
      <c r="C17046" s="238"/>
      <c r="E17046" s="545"/>
      <c r="F17046" s="546"/>
      <c r="G17046" s="234"/>
      <c r="H17046" s="238"/>
      <c r="I17046" s="237"/>
    </row>
    <row r="17047" spans="1:9" s="232" customFormat="1" ht="17" customHeight="1">
      <c r="A17047" s="234"/>
      <c r="B17047" s="233"/>
      <c r="C17047" s="238"/>
      <c r="E17047" s="545"/>
      <c r="F17047" s="546"/>
      <c r="G17047" s="234"/>
      <c r="H17047" s="238"/>
      <c r="I17047" s="237"/>
    </row>
    <row r="17048" spans="1:9" s="232" customFormat="1" ht="17" customHeight="1">
      <c r="A17048" s="234"/>
      <c r="B17048" s="233"/>
      <c r="C17048" s="238"/>
      <c r="E17048" s="545"/>
      <c r="F17048" s="546"/>
      <c r="G17048" s="234"/>
      <c r="H17048" s="238"/>
      <c r="I17048" s="237"/>
    </row>
    <row r="17049" spans="1:9" s="232" customFormat="1" ht="17" customHeight="1">
      <c r="A17049" s="234"/>
      <c r="B17049" s="233"/>
      <c r="C17049" s="238"/>
      <c r="E17049" s="545"/>
      <c r="F17049" s="546"/>
      <c r="G17049" s="234"/>
      <c r="H17049" s="238"/>
      <c r="I17049" s="237"/>
    </row>
    <row r="17050" spans="1:9" s="232" customFormat="1" ht="17" customHeight="1">
      <c r="A17050" s="234"/>
      <c r="B17050" s="233"/>
      <c r="C17050" s="238"/>
      <c r="E17050" s="545"/>
      <c r="F17050" s="546"/>
      <c r="G17050" s="234"/>
      <c r="H17050" s="238"/>
      <c r="I17050" s="237"/>
    </row>
    <row r="17051" spans="1:9" s="232" customFormat="1" ht="17" customHeight="1">
      <c r="A17051" s="234"/>
      <c r="B17051" s="233"/>
      <c r="C17051" s="238"/>
      <c r="E17051" s="545"/>
      <c r="F17051" s="546"/>
      <c r="G17051" s="234"/>
      <c r="H17051" s="238"/>
      <c r="I17051" s="237"/>
    </row>
    <row r="17052" spans="1:9" s="232" customFormat="1" ht="17" customHeight="1">
      <c r="A17052" s="234"/>
      <c r="B17052" s="233"/>
      <c r="C17052" s="238"/>
      <c r="E17052" s="545"/>
      <c r="F17052" s="546"/>
      <c r="G17052" s="234"/>
      <c r="H17052" s="238"/>
      <c r="I17052" s="237"/>
    </row>
    <row r="17053" spans="1:9" s="232" customFormat="1" ht="17" customHeight="1">
      <c r="A17053" s="234"/>
      <c r="B17053" s="233"/>
      <c r="C17053" s="238"/>
      <c r="E17053" s="545"/>
      <c r="F17053" s="546"/>
      <c r="G17053" s="234"/>
      <c r="H17053" s="238"/>
      <c r="I17053" s="237"/>
    </row>
    <row r="17054" spans="1:9" s="232" customFormat="1" ht="17" customHeight="1">
      <c r="A17054" s="234"/>
      <c r="B17054" s="233"/>
      <c r="C17054" s="238"/>
      <c r="E17054" s="545"/>
      <c r="F17054" s="546"/>
      <c r="G17054" s="234"/>
      <c r="H17054" s="238"/>
      <c r="I17054" s="237"/>
    </row>
    <row r="17055" spans="1:9" s="232" customFormat="1" ht="17" customHeight="1">
      <c r="A17055" s="234"/>
      <c r="B17055" s="233"/>
      <c r="C17055" s="238"/>
      <c r="E17055" s="545"/>
      <c r="F17055" s="546"/>
      <c r="G17055" s="234"/>
      <c r="H17055" s="238"/>
      <c r="I17055" s="237"/>
    </row>
    <row r="17056" spans="1:9" s="232" customFormat="1" ht="17" customHeight="1">
      <c r="A17056" s="234"/>
      <c r="B17056" s="233"/>
      <c r="C17056" s="238"/>
      <c r="E17056" s="545"/>
      <c r="F17056" s="546"/>
      <c r="G17056" s="234"/>
      <c r="H17056" s="238"/>
      <c r="I17056" s="237"/>
    </row>
    <row r="17057" spans="1:9" s="232" customFormat="1" ht="17" customHeight="1">
      <c r="A17057" s="234"/>
      <c r="B17057" s="233"/>
      <c r="C17057" s="238"/>
      <c r="E17057" s="545"/>
      <c r="F17057" s="546"/>
      <c r="G17057" s="234"/>
      <c r="H17057" s="238"/>
      <c r="I17057" s="237"/>
    </row>
    <row r="17058" spans="1:9" s="232" customFormat="1" ht="17" customHeight="1">
      <c r="A17058" s="234"/>
      <c r="B17058" s="233"/>
      <c r="C17058" s="238"/>
      <c r="E17058" s="545"/>
      <c r="F17058" s="546"/>
      <c r="G17058" s="234"/>
      <c r="H17058" s="238"/>
      <c r="I17058" s="237"/>
    </row>
    <row r="17059" spans="1:9" s="232" customFormat="1" ht="17" customHeight="1">
      <c r="A17059" s="234"/>
      <c r="B17059" s="233"/>
      <c r="C17059" s="238"/>
      <c r="E17059" s="545"/>
      <c r="F17059" s="546"/>
      <c r="G17059" s="234"/>
      <c r="H17059" s="238"/>
      <c r="I17059" s="237"/>
    </row>
    <row r="17060" spans="1:9" s="232" customFormat="1" ht="17" customHeight="1">
      <c r="A17060" s="234"/>
      <c r="B17060" s="233"/>
      <c r="C17060" s="238"/>
      <c r="E17060" s="545"/>
      <c r="F17060" s="546"/>
      <c r="G17060" s="234"/>
      <c r="H17060" s="238"/>
      <c r="I17060" s="237"/>
    </row>
    <row r="17061" spans="1:9" s="232" customFormat="1" ht="17" customHeight="1">
      <c r="A17061" s="234"/>
      <c r="B17061" s="233"/>
      <c r="C17061" s="238"/>
      <c r="E17061" s="545"/>
      <c r="F17061" s="546"/>
      <c r="G17061" s="234"/>
      <c r="H17061" s="238"/>
      <c r="I17061" s="237"/>
    </row>
    <row r="17062" spans="1:9" s="232" customFormat="1" ht="17" customHeight="1">
      <c r="A17062" s="234"/>
      <c r="B17062" s="233"/>
      <c r="C17062" s="238"/>
      <c r="E17062" s="545"/>
      <c r="F17062" s="546"/>
      <c r="G17062" s="234"/>
      <c r="H17062" s="238"/>
      <c r="I17062" s="237"/>
    </row>
    <row r="17063" spans="1:9" s="232" customFormat="1" ht="17" customHeight="1">
      <c r="A17063" s="234"/>
      <c r="B17063" s="233"/>
      <c r="C17063" s="238"/>
      <c r="E17063" s="545"/>
      <c r="F17063" s="546"/>
      <c r="G17063" s="234"/>
      <c r="H17063" s="238"/>
      <c r="I17063" s="237"/>
    </row>
    <row r="17064" spans="1:9" s="232" customFormat="1" ht="17" customHeight="1">
      <c r="A17064" s="234"/>
      <c r="B17064" s="233"/>
      <c r="C17064" s="238"/>
      <c r="E17064" s="545"/>
      <c r="F17064" s="546"/>
      <c r="G17064" s="234"/>
      <c r="H17064" s="238"/>
      <c r="I17064" s="237"/>
    </row>
    <row r="17065" spans="1:9" s="232" customFormat="1" ht="17" customHeight="1">
      <c r="A17065" s="234"/>
      <c r="B17065" s="233"/>
      <c r="C17065" s="238"/>
      <c r="E17065" s="545"/>
      <c r="F17065" s="546"/>
      <c r="G17065" s="234"/>
      <c r="H17065" s="238"/>
      <c r="I17065" s="237"/>
    </row>
    <row r="17066" spans="1:9" s="232" customFormat="1" ht="17" customHeight="1">
      <c r="A17066" s="234"/>
      <c r="B17066" s="233"/>
      <c r="C17066" s="238"/>
      <c r="E17066" s="545"/>
      <c r="F17066" s="546"/>
      <c r="G17066" s="234"/>
      <c r="H17066" s="238"/>
      <c r="I17066" s="237"/>
    </row>
    <row r="17067" spans="1:9" s="232" customFormat="1" ht="17" customHeight="1">
      <c r="A17067" s="234"/>
      <c r="B17067" s="233"/>
      <c r="C17067" s="238"/>
      <c r="E17067" s="545"/>
      <c r="F17067" s="546"/>
      <c r="G17067" s="234"/>
      <c r="H17067" s="238"/>
      <c r="I17067" s="237"/>
    </row>
    <row r="17068" spans="1:9" s="232" customFormat="1" ht="17" customHeight="1">
      <c r="A17068" s="234"/>
      <c r="B17068" s="233"/>
      <c r="C17068" s="238"/>
      <c r="E17068" s="545"/>
      <c r="F17068" s="546"/>
      <c r="G17068" s="234"/>
      <c r="H17068" s="238"/>
      <c r="I17068" s="237"/>
    </row>
    <row r="17069" spans="1:9" s="232" customFormat="1" ht="17" customHeight="1">
      <c r="A17069" s="234"/>
      <c r="B17069" s="233"/>
      <c r="C17069" s="238"/>
      <c r="E17069" s="545"/>
      <c r="F17069" s="546"/>
      <c r="G17069" s="234"/>
      <c r="H17069" s="238"/>
      <c r="I17069" s="237"/>
    </row>
    <row r="17070" spans="1:9" s="232" customFormat="1" ht="17" customHeight="1">
      <c r="A17070" s="234"/>
      <c r="B17070" s="233"/>
      <c r="C17070" s="238"/>
      <c r="E17070" s="545"/>
      <c r="F17070" s="546"/>
      <c r="G17070" s="234"/>
      <c r="H17070" s="238"/>
      <c r="I17070" s="237"/>
    </row>
    <row r="17071" spans="1:9" s="232" customFormat="1" ht="17" customHeight="1">
      <c r="A17071" s="234"/>
      <c r="B17071" s="233"/>
      <c r="C17071" s="238"/>
      <c r="E17071" s="545"/>
      <c r="F17071" s="546"/>
      <c r="G17071" s="234"/>
      <c r="H17071" s="238"/>
      <c r="I17071" s="237"/>
    </row>
    <row r="17072" spans="1:9" s="232" customFormat="1" ht="17" customHeight="1">
      <c r="A17072" s="234"/>
      <c r="B17072" s="233"/>
      <c r="C17072" s="238"/>
      <c r="E17072" s="545"/>
      <c r="F17072" s="546"/>
      <c r="G17072" s="234"/>
      <c r="H17072" s="238"/>
      <c r="I17072" s="237"/>
    </row>
    <row r="17073" spans="1:9" s="232" customFormat="1" ht="17" customHeight="1">
      <c r="A17073" s="234"/>
      <c r="B17073" s="233"/>
      <c r="C17073" s="238"/>
      <c r="E17073" s="545"/>
      <c r="F17073" s="546"/>
      <c r="G17073" s="234"/>
      <c r="H17073" s="238"/>
      <c r="I17073" s="237"/>
    </row>
    <row r="17074" spans="1:9" s="232" customFormat="1" ht="17" customHeight="1">
      <c r="A17074" s="234"/>
      <c r="B17074" s="233"/>
      <c r="C17074" s="238"/>
      <c r="E17074" s="545"/>
      <c r="F17074" s="546"/>
      <c r="G17074" s="234"/>
      <c r="H17074" s="238"/>
      <c r="I17074" s="237"/>
    </row>
    <row r="17075" spans="1:9" s="232" customFormat="1" ht="17" customHeight="1">
      <c r="A17075" s="234"/>
      <c r="B17075" s="233"/>
      <c r="C17075" s="238"/>
      <c r="E17075" s="545"/>
      <c r="F17075" s="546"/>
      <c r="G17075" s="234"/>
      <c r="H17075" s="238"/>
      <c r="I17075" s="237"/>
    </row>
    <row r="17076" spans="1:9" s="232" customFormat="1" ht="17" customHeight="1">
      <c r="A17076" s="234"/>
      <c r="B17076" s="233"/>
      <c r="C17076" s="238"/>
      <c r="E17076" s="545"/>
      <c r="F17076" s="546"/>
      <c r="G17076" s="234"/>
      <c r="H17076" s="238"/>
      <c r="I17076" s="237"/>
    </row>
    <row r="17077" spans="1:9" s="232" customFormat="1" ht="17" customHeight="1">
      <c r="A17077" s="234"/>
      <c r="B17077" s="233"/>
      <c r="C17077" s="238"/>
      <c r="E17077" s="545"/>
      <c r="F17077" s="546"/>
      <c r="G17077" s="234"/>
      <c r="H17077" s="238"/>
      <c r="I17077" s="237"/>
    </row>
    <row r="17078" spans="1:9" s="232" customFormat="1" ht="17" customHeight="1">
      <c r="A17078" s="234"/>
      <c r="B17078" s="233"/>
      <c r="C17078" s="238"/>
      <c r="E17078" s="545"/>
      <c r="F17078" s="546"/>
      <c r="G17078" s="234"/>
      <c r="H17078" s="238"/>
      <c r="I17078" s="237"/>
    </row>
    <row r="17079" spans="1:9" s="232" customFormat="1" ht="17" customHeight="1">
      <c r="A17079" s="234"/>
      <c r="B17079" s="233"/>
      <c r="C17079" s="238"/>
      <c r="E17079" s="545"/>
      <c r="F17079" s="546"/>
      <c r="G17079" s="234"/>
      <c r="H17079" s="238"/>
      <c r="I17079" s="237"/>
    </row>
    <row r="17080" spans="1:9" s="232" customFormat="1" ht="17" customHeight="1">
      <c r="A17080" s="234"/>
      <c r="B17080" s="233"/>
      <c r="C17080" s="238"/>
      <c r="E17080" s="545"/>
      <c r="F17080" s="546"/>
      <c r="G17080" s="234"/>
      <c r="H17080" s="238"/>
      <c r="I17080" s="237"/>
    </row>
    <row r="17081" spans="1:9" s="232" customFormat="1" ht="17" customHeight="1">
      <c r="A17081" s="234"/>
      <c r="B17081" s="233"/>
      <c r="C17081" s="238"/>
      <c r="E17081" s="545"/>
      <c r="F17081" s="546"/>
      <c r="G17081" s="234"/>
      <c r="H17081" s="238"/>
      <c r="I17081" s="237"/>
    </row>
    <row r="17082" spans="1:9" s="232" customFormat="1" ht="17" customHeight="1">
      <c r="A17082" s="234"/>
      <c r="B17082" s="233"/>
      <c r="C17082" s="238"/>
      <c r="E17082" s="545"/>
      <c r="F17082" s="546"/>
      <c r="G17082" s="234"/>
      <c r="H17082" s="238"/>
      <c r="I17082" s="237"/>
    </row>
    <row r="17083" spans="1:9" s="232" customFormat="1" ht="17" customHeight="1">
      <c r="A17083" s="234"/>
      <c r="B17083" s="233"/>
      <c r="C17083" s="238"/>
      <c r="E17083" s="545"/>
      <c r="F17083" s="546"/>
      <c r="G17083" s="234"/>
      <c r="H17083" s="238"/>
      <c r="I17083" s="237"/>
    </row>
    <row r="17084" spans="1:9" s="232" customFormat="1" ht="17" customHeight="1">
      <c r="A17084" s="234"/>
      <c r="B17084" s="233"/>
      <c r="C17084" s="238"/>
      <c r="E17084" s="545"/>
      <c r="F17084" s="546"/>
      <c r="G17084" s="234"/>
      <c r="H17084" s="238"/>
      <c r="I17084" s="237"/>
    </row>
    <row r="17085" spans="1:9" s="232" customFormat="1" ht="17" customHeight="1">
      <c r="A17085" s="234"/>
      <c r="B17085" s="233"/>
      <c r="C17085" s="238"/>
      <c r="E17085" s="545"/>
      <c r="F17085" s="546"/>
      <c r="G17085" s="234"/>
      <c r="H17085" s="238"/>
      <c r="I17085" s="237"/>
    </row>
    <row r="17086" spans="1:9" s="232" customFormat="1" ht="17" customHeight="1">
      <c r="A17086" s="234"/>
      <c r="B17086" s="233"/>
      <c r="C17086" s="238"/>
      <c r="E17086" s="545"/>
      <c r="F17086" s="546"/>
      <c r="G17086" s="234"/>
      <c r="H17086" s="238"/>
      <c r="I17086" s="237"/>
    </row>
    <row r="17087" spans="1:9" s="232" customFormat="1" ht="17" customHeight="1">
      <c r="A17087" s="234"/>
      <c r="B17087" s="233"/>
      <c r="C17087" s="238"/>
      <c r="E17087" s="545"/>
      <c r="F17087" s="546"/>
      <c r="G17087" s="234"/>
      <c r="H17087" s="238"/>
      <c r="I17087" s="237"/>
    </row>
    <row r="17088" spans="1:9" s="232" customFormat="1" ht="17" customHeight="1">
      <c r="A17088" s="234"/>
      <c r="B17088" s="233"/>
      <c r="C17088" s="238"/>
      <c r="E17088" s="545"/>
      <c r="F17088" s="546"/>
      <c r="G17088" s="234"/>
      <c r="H17088" s="238"/>
      <c r="I17088" s="237"/>
    </row>
    <row r="17089" spans="1:9" s="232" customFormat="1" ht="17" customHeight="1">
      <c r="A17089" s="234"/>
      <c r="B17089" s="233"/>
      <c r="C17089" s="238"/>
      <c r="E17089" s="545"/>
      <c r="F17089" s="546"/>
      <c r="G17089" s="234"/>
      <c r="H17089" s="238"/>
      <c r="I17089" s="237"/>
    </row>
    <row r="17090" spans="1:9" s="232" customFormat="1" ht="17" customHeight="1">
      <c r="A17090" s="234"/>
      <c r="B17090" s="233"/>
      <c r="C17090" s="238"/>
      <c r="E17090" s="545"/>
      <c r="F17090" s="546"/>
      <c r="G17090" s="234"/>
      <c r="H17090" s="238"/>
      <c r="I17090" s="237"/>
    </row>
    <row r="17091" spans="1:9" s="232" customFormat="1" ht="17" customHeight="1">
      <c r="A17091" s="234"/>
      <c r="B17091" s="233"/>
      <c r="C17091" s="238"/>
      <c r="E17091" s="545"/>
      <c r="F17091" s="546"/>
      <c r="G17091" s="234"/>
      <c r="H17091" s="238"/>
      <c r="I17091" s="237"/>
    </row>
    <row r="17092" spans="1:9" s="232" customFormat="1" ht="17" customHeight="1">
      <c r="A17092" s="234"/>
      <c r="B17092" s="233"/>
      <c r="C17092" s="238"/>
      <c r="E17092" s="545"/>
      <c r="F17092" s="546"/>
      <c r="G17092" s="234"/>
      <c r="H17092" s="238"/>
      <c r="I17092" s="237"/>
    </row>
    <row r="17093" spans="1:9" s="232" customFormat="1" ht="17" customHeight="1">
      <c r="A17093" s="234"/>
      <c r="B17093" s="233"/>
      <c r="C17093" s="238"/>
      <c r="E17093" s="545"/>
      <c r="F17093" s="546"/>
      <c r="G17093" s="234"/>
      <c r="H17093" s="238"/>
      <c r="I17093" s="237"/>
    </row>
    <row r="17094" spans="1:9" s="232" customFormat="1" ht="17" customHeight="1">
      <c r="A17094" s="234"/>
      <c r="B17094" s="233"/>
      <c r="C17094" s="238"/>
      <c r="E17094" s="545"/>
      <c r="F17094" s="546"/>
      <c r="G17094" s="234"/>
      <c r="H17094" s="238"/>
      <c r="I17094" s="237"/>
    </row>
    <row r="17095" spans="1:9" s="232" customFormat="1" ht="17" customHeight="1">
      <c r="A17095" s="234"/>
      <c r="B17095" s="233"/>
      <c r="C17095" s="238"/>
      <c r="E17095" s="545"/>
      <c r="F17095" s="546"/>
      <c r="G17095" s="234"/>
      <c r="H17095" s="238"/>
      <c r="I17095" s="237"/>
    </row>
    <row r="17096" spans="1:9" s="232" customFormat="1" ht="17" customHeight="1">
      <c r="A17096" s="234"/>
      <c r="B17096" s="233"/>
      <c r="C17096" s="238"/>
      <c r="E17096" s="545"/>
      <c r="F17096" s="546"/>
      <c r="G17096" s="234"/>
      <c r="H17096" s="238"/>
      <c r="I17096" s="237"/>
    </row>
    <row r="17097" spans="1:9" s="232" customFormat="1" ht="17" customHeight="1">
      <c r="A17097" s="234"/>
      <c r="B17097" s="233"/>
      <c r="C17097" s="238"/>
      <c r="E17097" s="545"/>
      <c r="F17097" s="546"/>
      <c r="G17097" s="234"/>
      <c r="H17097" s="238"/>
      <c r="I17097" s="237"/>
    </row>
    <row r="17098" spans="1:9" s="232" customFormat="1" ht="17" customHeight="1">
      <c r="A17098" s="234"/>
      <c r="B17098" s="233"/>
      <c r="C17098" s="238"/>
      <c r="E17098" s="545"/>
      <c r="F17098" s="546"/>
      <c r="G17098" s="234"/>
      <c r="H17098" s="238"/>
      <c r="I17098" s="237"/>
    </row>
    <row r="17099" spans="1:9" s="232" customFormat="1" ht="17" customHeight="1">
      <c r="A17099" s="234"/>
      <c r="B17099" s="233"/>
      <c r="C17099" s="238"/>
      <c r="E17099" s="545"/>
      <c r="F17099" s="546"/>
      <c r="G17099" s="234"/>
      <c r="H17099" s="238"/>
      <c r="I17099" s="237"/>
    </row>
    <row r="17100" spans="1:9" s="232" customFormat="1" ht="17" customHeight="1">
      <c r="A17100" s="234"/>
      <c r="B17100" s="233"/>
      <c r="C17100" s="238"/>
      <c r="E17100" s="545"/>
      <c r="F17100" s="546"/>
      <c r="G17100" s="234"/>
      <c r="H17100" s="238"/>
      <c r="I17100" s="237"/>
    </row>
    <row r="17101" spans="1:9" s="232" customFormat="1" ht="17" customHeight="1">
      <c r="A17101" s="234"/>
      <c r="B17101" s="233"/>
      <c r="C17101" s="238"/>
      <c r="E17101" s="545"/>
      <c r="F17101" s="546"/>
      <c r="G17101" s="234"/>
      <c r="H17101" s="238"/>
      <c r="I17101" s="237"/>
    </row>
    <row r="17102" spans="1:9" s="232" customFormat="1" ht="17" customHeight="1">
      <c r="A17102" s="234"/>
      <c r="B17102" s="233"/>
      <c r="C17102" s="238"/>
      <c r="E17102" s="545"/>
      <c r="F17102" s="546"/>
      <c r="G17102" s="234"/>
      <c r="H17102" s="238"/>
      <c r="I17102" s="237"/>
    </row>
    <row r="17103" spans="1:9" s="232" customFormat="1" ht="17" customHeight="1">
      <c r="A17103" s="234"/>
      <c r="B17103" s="233"/>
      <c r="C17103" s="238"/>
      <c r="E17103" s="545"/>
      <c r="F17103" s="546"/>
      <c r="G17103" s="234"/>
      <c r="H17103" s="238"/>
      <c r="I17103" s="237"/>
    </row>
    <row r="17104" spans="1:9" s="232" customFormat="1" ht="17" customHeight="1">
      <c r="A17104" s="234"/>
      <c r="B17104" s="233"/>
      <c r="C17104" s="238"/>
      <c r="E17104" s="545"/>
      <c r="F17104" s="546"/>
      <c r="G17104" s="234"/>
      <c r="H17104" s="238"/>
      <c r="I17104" s="237"/>
    </row>
    <row r="17105" spans="1:9" s="232" customFormat="1" ht="17" customHeight="1">
      <c r="A17105" s="234"/>
      <c r="B17105" s="233"/>
      <c r="C17105" s="238"/>
      <c r="E17105" s="545"/>
      <c r="F17105" s="546"/>
      <c r="G17105" s="234"/>
      <c r="H17105" s="238"/>
      <c r="I17105" s="237"/>
    </row>
    <row r="17106" spans="1:9" s="232" customFormat="1" ht="17" customHeight="1">
      <c r="A17106" s="234"/>
      <c r="B17106" s="233"/>
      <c r="C17106" s="238"/>
      <c r="E17106" s="545"/>
      <c r="F17106" s="546"/>
      <c r="G17106" s="234"/>
      <c r="H17106" s="238"/>
      <c r="I17106" s="237"/>
    </row>
    <row r="17107" spans="1:9" s="232" customFormat="1" ht="17" customHeight="1">
      <c r="A17107" s="234"/>
      <c r="B17107" s="233"/>
      <c r="C17107" s="238"/>
      <c r="E17107" s="545"/>
      <c r="F17107" s="546"/>
      <c r="G17107" s="234"/>
      <c r="H17107" s="238"/>
      <c r="I17107" s="237"/>
    </row>
    <row r="17108" spans="1:9" s="232" customFormat="1" ht="17" customHeight="1">
      <c r="A17108" s="234"/>
      <c r="B17108" s="233"/>
      <c r="C17108" s="238"/>
      <c r="E17108" s="545"/>
      <c r="F17108" s="546"/>
      <c r="G17108" s="234"/>
      <c r="H17108" s="238"/>
      <c r="I17108" s="237"/>
    </row>
    <row r="17109" spans="1:9" s="232" customFormat="1" ht="17" customHeight="1">
      <c r="A17109" s="234"/>
      <c r="B17109" s="233"/>
      <c r="C17109" s="238"/>
      <c r="E17109" s="545"/>
      <c r="F17109" s="546"/>
      <c r="G17109" s="234"/>
      <c r="H17109" s="238"/>
      <c r="I17109" s="237"/>
    </row>
    <row r="17110" spans="1:9" s="232" customFormat="1" ht="17" customHeight="1">
      <c r="A17110" s="234"/>
      <c r="B17110" s="233"/>
      <c r="C17110" s="238"/>
      <c r="E17110" s="545"/>
      <c r="F17110" s="546"/>
      <c r="G17110" s="234"/>
      <c r="H17110" s="238"/>
      <c r="I17110" s="237"/>
    </row>
    <row r="17111" spans="1:9" s="232" customFormat="1" ht="17" customHeight="1">
      <c r="A17111" s="234"/>
      <c r="B17111" s="233"/>
      <c r="C17111" s="238"/>
      <c r="E17111" s="545"/>
      <c r="F17111" s="546"/>
      <c r="G17111" s="234"/>
      <c r="H17111" s="238"/>
      <c r="I17111" s="237"/>
    </row>
    <row r="17112" spans="1:9" s="232" customFormat="1" ht="17" customHeight="1">
      <c r="A17112" s="234"/>
      <c r="B17112" s="233"/>
      <c r="C17112" s="238"/>
      <c r="E17112" s="545"/>
      <c r="F17112" s="546"/>
      <c r="G17112" s="234"/>
      <c r="H17112" s="238"/>
      <c r="I17112" s="237"/>
    </row>
    <row r="17113" spans="1:9" s="232" customFormat="1" ht="17" customHeight="1">
      <c r="A17113" s="234"/>
      <c r="B17113" s="233"/>
      <c r="C17113" s="238"/>
      <c r="E17113" s="545"/>
      <c r="F17113" s="546"/>
      <c r="G17113" s="234"/>
      <c r="H17113" s="238"/>
      <c r="I17113" s="237"/>
    </row>
    <row r="17114" spans="1:9" s="232" customFormat="1" ht="17" customHeight="1">
      <c r="A17114" s="234"/>
      <c r="B17114" s="233"/>
      <c r="C17114" s="238"/>
      <c r="E17114" s="545"/>
      <c r="F17114" s="546"/>
      <c r="G17114" s="234"/>
      <c r="H17114" s="238"/>
      <c r="I17114" s="237"/>
    </row>
    <row r="17115" spans="1:9" s="232" customFormat="1" ht="17" customHeight="1">
      <c r="A17115" s="234"/>
      <c r="B17115" s="233"/>
      <c r="C17115" s="238"/>
      <c r="E17115" s="545"/>
      <c r="F17115" s="546"/>
      <c r="G17115" s="234"/>
      <c r="H17115" s="238"/>
      <c r="I17115" s="237"/>
    </row>
    <row r="17116" spans="1:9" s="232" customFormat="1" ht="17" customHeight="1">
      <c r="A17116" s="234"/>
      <c r="B17116" s="233"/>
      <c r="C17116" s="238"/>
      <c r="E17116" s="545"/>
      <c r="F17116" s="546"/>
      <c r="G17116" s="234"/>
      <c r="H17116" s="238"/>
      <c r="I17116" s="237"/>
    </row>
    <row r="17117" spans="1:9" s="232" customFormat="1" ht="17" customHeight="1">
      <c r="A17117" s="234"/>
      <c r="B17117" s="233"/>
      <c r="C17117" s="238"/>
      <c r="E17117" s="545"/>
      <c r="F17117" s="546"/>
      <c r="G17117" s="234"/>
      <c r="H17117" s="238"/>
      <c r="I17117" s="237"/>
    </row>
    <row r="17118" spans="1:9" s="232" customFormat="1" ht="17" customHeight="1">
      <c r="A17118" s="234"/>
      <c r="B17118" s="233"/>
      <c r="C17118" s="238"/>
      <c r="E17118" s="545"/>
      <c r="F17118" s="546"/>
      <c r="G17118" s="234"/>
      <c r="H17118" s="238"/>
      <c r="I17118" s="237"/>
    </row>
    <row r="17119" spans="1:9" s="232" customFormat="1" ht="17" customHeight="1">
      <c r="A17119" s="234"/>
      <c r="B17119" s="233"/>
      <c r="C17119" s="238"/>
      <c r="E17119" s="545"/>
      <c r="F17119" s="546"/>
      <c r="G17119" s="234"/>
      <c r="H17119" s="238"/>
      <c r="I17119" s="237"/>
    </row>
    <row r="17120" spans="1:9" s="232" customFormat="1" ht="17" customHeight="1">
      <c r="A17120" s="234"/>
      <c r="B17120" s="233"/>
      <c r="C17120" s="238"/>
      <c r="E17120" s="545"/>
      <c r="F17120" s="546"/>
      <c r="G17120" s="234"/>
      <c r="H17120" s="238"/>
      <c r="I17120" s="237"/>
    </row>
    <row r="17121" spans="1:9" s="232" customFormat="1" ht="17" customHeight="1">
      <c r="A17121" s="234"/>
      <c r="B17121" s="233"/>
      <c r="C17121" s="238"/>
      <c r="E17121" s="545"/>
      <c r="F17121" s="546"/>
      <c r="G17121" s="234"/>
      <c r="H17121" s="238"/>
      <c r="I17121" s="237"/>
    </row>
    <row r="17122" spans="1:9" s="232" customFormat="1" ht="17" customHeight="1">
      <c r="A17122" s="234"/>
      <c r="B17122" s="233"/>
      <c r="C17122" s="238"/>
      <c r="E17122" s="545"/>
      <c r="F17122" s="546"/>
      <c r="G17122" s="234"/>
      <c r="H17122" s="238"/>
      <c r="I17122" s="237"/>
    </row>
    <row r="17123" spans="1:9" s="232" customFormat="1" ht="17" customHeight="1">
      <c r="A17123" s="234"/>
      <c r="B17123" s="233"/>
      <c r="C17123" s="238"/>
      <c r="E17123" s="545"/>
      <c r="F17123" s="546"/>
      <c r="G17123" s="234"/>
      <c r="H17123" s="238"/>
      <c r="I17123" s="237"/>
    </row>
    <row r="17124" spans="1:9" s="232" customFormat="1" ht="17" customHeight="1">
      <c r="A17124" s="234"/>
      <c r="B17124" s="233"/>
      <c r="C17124" s="238"/>
      <c r="E17124" s="545"/>
      <c r="F17124" s="546"/>
      <c r="G17124" s="234"/>
      <c r="H17124" s="238"/>
      <c r="I17124" s="237"/>
    </row>
    <row r="17125" spans="1:9" s="232" customFormat="1" ht="17" customHeight="1">
      <c r="A17125" s="234"/>
      <c r="B17125" s="233"/>
      <c r="C17125" s="238"/>
      <c r="E17125" s="545"/>
      <c r="F17125" s="546"/>
      <c r="G17125" s="234"/>
      <c r="H17125" s="238"/>
      <c r="I17125" s="237"/>
    </row>
    <row r="17126" spans="1:9" s="232" customFormat="1" ht="17" customHeight="1">
      <c r="A17126" s="234"/>
      <c r="B17126" s="233"/>
      <c r="C17126" s="238"/>
      <c r="E17126" s="545"/>
      <c r="F17126" s="546"/>
      <c r="G17126" s="234"/>
      <c r="H17126" s="238"/>
      <c r="I17126" s="237"/>
    </row>
    <row r="17127" spans="1:9" s="232" customFormat="1" ht="17" customHeight="1">
      <c r="A17127" s="234"/>
      <c r="B17127" s="233"/>
      <c r="C17127" s="238"/>
      <c r="E17127" s="545"/>
      <c r="F17127" s="546"/>
      <c r="G17127" s="234"/>
      <c r="H17127" s="238"/>
      <c r="I17127" s="237"/>
    </row>
    <row r="17128" spans="1:9" s="232" customFormat="1" ht="17" customHeight="1">
      <c r="A17128" s="234"/>
      <c r="B17128" s="233"/>
      <c r="C17128" s="238"/>
      <c r="E17128" s="545"/>
      <c r="F17128" s="546"/>
      <c r="G17128" s="234"/>
      <c r="H17128" s="238"/>
      <c r="I17128" s="237"/>
    </row>
    <row r="17129" spans="1:9" s="232" customFormat="1" ht="17" customHeight="1">
      <c r="A17129" s="234"/>
      <c r="B17129" s="233"/>
      <c r="C17129" s="238"/>
      <c r="E17129" s="545"/>
      <c r="F17129" s="546"/>
      <c r="G17129" s="234"/>
      <c r="H17129" s="238"/>
      <c r="I17129" s="237"/>
    </row>
    <row r="17130" spans="1:9" s="232" customFormat="1" ht="17" customHeight="1">
      <c r="A17130" s="234"/>
      <c r="B17130" s="233"/>
      <c r="C17130" s="238"/>
      <c r="E17130" s="545"/>
      <c r="F17130" s="546"/>
      <c r="G17130" s="234"/>
      <c r="H17130" s="238"/>
      <c r="I17130" s="237"/>
    </row>
    <row r="17131" spans="1:9" s="232" customFormat="1" ht="17" customHeight="1">
      <c r="A17131" s="234"/>
      <c r="B17131" s="233"/>
      <c r="C17131" s="238"/>
      <c r="E17131" s="545"/>
      <c r="F17131" s="546"/>
      <c r="G17131" s="234"/>
      <c r="H17131" s="238"/>
      <c r="I17131" s="237"/>
    </row>
    <row r="17132" spans="1:9" s="232" customFormat="1" ht="17" customHeight="1">
      <c r="A17132" s="234"/>
      <c r="B17132" s="233"/>
      <c r="C17132" s="238"/>
      <c r="E17132" s="545"/>
      <c r="F17132" s="546"/>
      <c r="G17132" s="234"/>
      <c r="H17132" s="238"/>
      <c r="I17132" s="237"/>
    </row>
    <row r="17133" spans="1:9" s="232" customFormat="1" ht="17" customHeight="1">
      <c r="A17133" s="234"/>
      <c r="B17133" s="233"/>
      <c r="C17133" s="238"/>
      <c r="E17133" s="545"/>
      <c r="F17133" s="546"/>
      <c r="G17133" s="234"/>
      <c r="H17133" s="238"/>
      <c r="I17133" s="237"/>
    </row>
    <row r="17134" spans="1:9" s="232" customFormat="1" ht="17" customHeight="1">
      <c r="A17134" s="234"/>
      <c r="B17134" s="233"/>
      <c r="C17134" s="238"/>
      <c r="E17134" s="545"/>
      <c r="F17134" s="546"/>
      <c r="G17134" s="234"/>
      <c r="H17134" s="238"/>
      <c r="I17134" s="237"/>
    </row>
    <row r="17135" spans="1:9" s="232" customFormat="1" ht="17" customHeight="1">
      <c r="A17135" s="234"/>
      <c r="B17135" s="233"/>
      <c r="C17135" s="238"/>
      <c r="E17135" s="545"/>
      <c r="F17135" s="546"/>
      <c r="G17135" s="234"/>
      <c r="H17135" s="238"/>
      <c r="I17135" s="237"/>
    </row>
    <row r="17136" spans="1:9" s="232" customFormat="1" ht="17" customHeight="1">
      <c r="A17136" s="234"/>
      <c r="B17136" s="233"/>
      <c r="C17136" s="238"/>
      <c r="E17136" s="545"/>
      <c r="F17136" s="546"/>
      <c r="G17136" s="234"/>
      <c r="H17136" s="238"/>
      <c r="I17136" s="237"/>
    </row>
    <row r="17137" spans="1:9" s="232" customFormat="1" ht="17" customHeight="1">
      <c r="A17137" s="234"/>
      <c r="B17137" s="233"/>
      <c r="C17137" s="238"/>
      <c r="E17137" s="545"/>
      <c r="F17137" s="546"/>
      <c r="G17137" s="234"/>
      <c r="H17137" s="238"/>
      <c r="I17137" s="237"/>
    </row>
    <row r="17138" spans="1:9" s="232" customFormat="1" ht="17" customHeight="1">
      <c r="A17138" s="234"/>
      <c r="B17138" s="233"/>
      <c r="C17138" s="238"/>
      <c r="E17138" s="545"/>
      <c r="F17138" s="546"/>
      <c r="G17138" s="234"/>
      <c r="H17138" s="238"/>
      <c r="I17138" s="237"/>
    </row>
    <row r="17139" spans="1:9" s="232" customFormat="1" ht="17" customHeight="1">
      <c r="A17139" s="234"/>
      <c r="B17139" s="233"/>
      <c r="C17139" s="238"/>
      <c r="E17139" s="545"/>
      <c r="F17139" s="546"/>
      <c r="G17139" s="234"/>
      <c r="H17139" s="238"/>
      <c r="I17139" s="237"/>
    </row>
    <row r="17140" spans="1:9" s="232" customFormat="1" ht="17" customHeight="1">
      <c r="A17140" s="234"/>
      <c r="B17140" s="233"/>
      <c r="C17140" s="238"/>
      <c r="E17140" s="545"/>
      <c r="F17140" s="546"/>
      <c r="G17140" s="234"/>
      <c r="H17140" s="238"/>
      <c r="I17140" s="237"/>
    </row>
    <row r="17141" spans="1:9" s="232" customFormat="1" ht="17" customHeight="1">
      <c r="A17141" s="234"/>
      <c r="B17141" s="233"/>
      <c r="C17141" s="238"/>
      <c r="E17141" s="545"/>
      <c r="F17141" s="546"/>
      <c r="G17141" s="234"/>
      <c r="H17141" s="238"/>
      <c r="I17141" s="237"/>
    </row>
    <row r="17142" spans="1:9" s="232" customFormat="1" ht="17" customHeight="1">
      <c r="A17142" s="234"/>
      <c r="B17142" s="233"/>
      <c r="C17142" s="238"/>
      <c r="E17142" s="545"/>
      <c r="F17142" s="546"/>
      <c r="G17142" s="234"/>
      <c r="H17142" s="238"/>
      <c r="I17142" s="237"/>
    </row>
    <row r="17143" spans="1:9" s="232" customFormat="1" ht="17" customHeight="1">
      <c r="A17143" s="234"/>
      <c r="B17143" s="233"/>
      <c r="C17143" s="238"/>
      <c r="E17143" s="545"/>
      <c r="F17143" s="546"/>
      <c r="G17143" s="234"/>
      <c r="H17143" s="238"/>
      <c r="I17143" s="237"/>
    </row>
    <row r="17144" spans="1:9" s="232" customFormat="1" ht="17" customHeight="1">
      <c r="A17144" s="234"/>
      <c r="B17144" s="233"/>
      <c r="C17144" s="238"/>
      <c r="E17144" s="545"/>
      <c r="F17144" s="546"/>
      <c r="G17144" s="234"/>
      <c r="H17144" s="238"/>
      <c r="I17144" s="237"/>
    </row>
    <row r="17145" spans="1:9" s="232" customFormat="1" ht="17" customHeight="1">
      <c r="A17145" s="234"/>
      <c r="B17145" s="233"/>
      <c r="C17145" s="238"/>
      <c r="E17145" s="545"/>
      <c r="F17145" s="546"/>
      <c r="G17145" s="234"/>
      <c r="H17145" s="238"/>
      <c r="I17145" s="237"/>
    </row>
    <row r="17146" spans="1:9" s="232" customFormat="1" ht="17" customHeight="1">
      <c r="A17146" s="234"/>
      <c r="B17146" s="233"/>
      <c r="C17146" s="238"/>
      <c r="E17146" s="545"/>
      <c r="F17146" s="546"/>
      <c r="G17146" s="234"/>
      <c r="H17146" s="238"/>
      <c r="I17146" s="237"/>
    </row>
    <row r="17147" spans="1:9" s="232" customFormat="1" ht="17" customHeight="1">
      <c r="A17147" s="234"/>
      <c r="B17147" s="233"/>
      <c r="C17147" s="238"/>
      <c r="E17147" s="545"/>
      <c r="F17147" s="546"/>
      <c r="G17147" s="234"/>
      <c r="H17147" s="238"/>
      <c r="I17147" s="237"/>
    </row>
    <row r="17148" spans="1:9" s="232" customFormat="1" ht="17" customHeight="1">
      <c r="A17148" s="234"/>
      <c r="B17148" s="233"/>
      <c r="C17148" s="238"/>
      <c r="E17148" s="545"/>
      <c r="F17148" s="546"/>
      <c r="G17148" s="234"/>
      <c r="H17148" s="238"/>
      <c r="I17148" s="237"/>
    </row>
    <row r="17149" spans="1:9" s="232" customFormat="1" ht="17" customHeight="1">
      <c r="A17149" s="234"/>
      <c r="B17149" s="233"/>
      <c r="C17149" s="238"/>
      <c r="E17149" s="545"/>
      <c r="F17149" s="546"/>
      <c r="G17149" s="234"/>
      <c r="H17149" s="238"/>
      <c r="I17149" s="237"/>
    </row>
    <row r="17150" spans="1:9" s="232" customFormat="1" ht="17" customHeight="1">
      <c r="A17150" s="234"/>
      <c r="B17150" s="233"/>
      <c r="C17150" s="238"/>
      <c r="E17150" s="545"/>
      <c r="F17150" s="546"/>
      <c r="G17150" s="234"/>
      <c r="H17150" s="238"/>
      <c r="I17150" s="237"/>
    </row>
    <row r="17151" spans="1:9" s="232" customFormat="1" ht="17" customHeight="1">
      <c r="A17151" s="234"/>
      <c r="B17151" s="233"/>
      <c r="C17151" s="238"/>
      <c r="E17151" s="545"/>
      <c r="F17151" s="546"/>
      <c r="G17151" s="234"/>
      <c r="H17151" s="238"/>
      <c r="I17151" s="237"/>
    </row>
    <row r="17152" spans="1:9" s="232" customFormat="1" ht="17" customHeight="1">
      <c r="A17152" s="234"/>
      <c r="B17152" s="233"/>
      <c r="C17152" s="238"/>
      <c r="E17152" s="545"/>
      <c r="F17152" s="546"/>
      <c r="G17152" s="234"/>
      <c r="H17152" s="238"/>
      <c r="I17152" s="237"/>
    </row>
    <row r="17153" spans="1:9" s="232" customFormat="1" ht="17" customHeight="1">
      <c r="A17153" s="234"/>
      <c r="B17153" s="233"/>
      <c r="C17153" s="238"/>
      <c r="E17153" s="545"/>
      <c r="F17153" s="546"/>
      <c r="G17153" s="234"/>
      <c r="H17153" s="238"/>
      <c r="I17153" s="237"/>
    </row>
    <row r="17154" spans="1:9" s="232" customFormat="1" ht="17" customHeight="1">
      <c r="A17154" s="234"/>
      <c r="B17154" s="233"/>
      <c r="C17154" s="238"/>
      <c r="E17154" s="545"/>
      <c r="F17154" s="546"/>
      <c r="G17154" s="234"/>
      <c r="H17154" s="238"/>
      <c r="I17154" s="237"/>
    </row>
    <row r="17155" spans="1:9" s="232" customFormat="1" ht="17" customHeight="1">
      <c r="A17155" s="234"/>
      <c r="B17155" s="233"/>
      <c r="C17155" s="238"/>
      <c r="E17155" s="545"/>
      <c r="F17155" s="546"/>
      <c r="G17155" s="234"/>
      <c r="H17155" s="238"/>
      <c r="I17155" s="237"/>
    </row>
    <row r="17156" spans="1:9" s="232" customFormat="1" ht="17" customHeight="1">
      <c r="A17156" s="234"/>
      <c r="B17156" s="233"/>
      <c r="C17156" s="238"/>
      <c r="E17156" s="545"/>
      <c r="F17156" s="546"/>
      <c r="G17156" s="234"/>
      <c r="H17156" s="238"/>
      <c r="I17156" s="237"/>
    </row>
    <row r="17157" spans="1:9" s="232" customFormat="1" ht="17" customHeight="1">
      <c r="A17157" s="234"/>
      <c r="B17157" s="233"/>
      <c r="C17157" s="238"/>
      <c r="E17157" s="545"/>
      <c r="F17157" s="546"/>
      <c r="G17157" s="234"/>
      <c r="H17157" s="238"/>
      <c r="I17157" s="237"/>
    </row>
    <row r="17158" spans="1:9" s="232" customFormat="1" ht="17" customHeight="1">
      <c r="A17158" s="234"/>
      <c r="B17158" s="233"/>
      <c r="C17158" s="238"/>
      <c r="E17158" s="545"/>
      <c r="F17158" s="546"/>
      <c r="G17158" s="234"/>
      <c r="H17158" s="238"/>
      <c r="I17158" s="237"/>
    </row>
    <row r="17159" spans="1:9" s="232" customFormat="1" ht="17" customHeight="1">
      <c r="A17159" s="234"/>
      <c r="B17159" s="233"/>
      <c r="C17159" s="238"/>
      <c r="E17159" s="545"/>
      <c r="F17159" s="546"/>
      <c r="G17159" s="234"/>
      <c r="H17159" s="238"/>
      <c r="I17159" s="237"/>
    </row>
    <row r="17160" spans="1:9" s="232" customFormat="1" ht="17" customHeight="1">
      <c r="A17160" s="234"/>
      <c r="B17160" s="233"/>
      <c r="C17160" s="238"/>
      <c r="E17160" s="545"/>
      <c r="F17160" s="546"/>
      <c r="G17160" s="234"/>
      <c r="H17160" s="238"/>
      <c r="I17160" s="237"/>
    </row>
    <row r="17161" spans="1:9" s="232" customFormat="1" ht="17" customHeight="1">
      <c r="A17161" s="234"/>
      <c r="B17161" s="233"/>
      <c r="C17161" s="238"/>
      <c r="E17161" s="545"/>
      <c r="F17161" s="546"/>
      <c r="G17161" s="234"/>
      <c r="H17161" s="238"/>
      <c r="I17161" s="237"/>
    </row>
    <row r="17162" spans="1:9" s="232" customFormat="1" ht="17" customHeight="1">
      <c r="A17162" s="234"/>
      <c r="B17162" s="233"/>
      <c r="C17162" s="238"/>
      <c r="E17162" s="545"/>
      <c r="F17162" s="546"/>
      <c r="G17162" s="234"/>
      <c r="H17162" s="238"/>
      <c r="I17162" s="237"/>
    </row>
    <row r="17163" spans="1:9" s="232" customFormat="1" ht="17" customHeight="1">
      <c r="A17163" s="234"/>
      <c r="B17163" s="233"/>
      <c r="C17163" s="238"/>
      <c r="E17163" s="545"/>
      <c r="F17163" s="546"/>
      <c r="G17163" s="234"/>
      <c r="H17163" s="238"/>
      <c r="I17163" s="237"/>
    </row>
    <row r="17164" spans="1:9" s="232" customFormat="1" ht="17" customHeight="1">
      <c r="A17164" s="234"/>
      <c r="B17164" s="233"/>
      <c r="C17164" s="238"/>
      <c r="E17164" s="545"/>
      <c r="F17164" s="546"/>
      <c r="G17164" s="234"/>
      <c r="H17164" s="238"/>
      <c r="I17164" s="237"/>
    </row>
    <row r="17165" spans="1:9" s="232" customFormat="1" ht="17" customHeight="1">
      <c r="A17165" s="234"/>
      <c r="B17165" s="233"/>
      <c r="C17165" s="238"/>
      <c r="E17165" s="545"/>
      <c r="F17165" s="546"/>
      <c r="G17165" s="234"/>
      <c r="H17165" s="238"/>
      <c r="I17165" s="237"/>
    </row>
    <row r="17166" spans="1:9" s="232" customFormat="1" ht="17" customHeight="1">
      <c r="A17166" s="234"/>
      <c r="B17166" s="233"/>
      <c r="C17166" s="238"/>
      <c r="E17166" s="545"/>
      <c r="F17166" s="546"/>
      <c r="G17166" s="234"/>
      <c r="H17166" s="238"/>
      <c r="I17166" s="237"/>
    </row>
    <row r="17167" spans="1:9" s="232" customFormat="1" ht="17" customHeight="1">
      <c r="A17167" s="234"/>
      <c r="B17167" s="233"/>
      <c r="C17167" s="238"/>
      <c r="E17167" s="545"/>
      <c r="F17167" s="546"/>
      <c r="G17167" s="234"/>
      <c r="H17167" s="238"/>
      <c r="I17167" s="237"/>
    </row>
    <row r="17168" spans="1:9" s="232" customFormat="1" ht="17" customHeight="1">
      <c r="A17168" s="234"/>
      <c r="B17168" s="233"/>
      <c r="C17168" s="238"/>
      <c r="E17168" s="545"/>
      <c r="F17168" s="546"/>
      <c r="G17168" s="234"/>
      <c r="H17168" s="238"/>
      <c r="I17168" s="237"/>
    </row>
    <row r="17169" spans="1:9" s="232" customFormat="1" ht="17" customHeight="1">
      <c r="A17169" s="234"/>
      <c r="B17169" s="233"/>
      <c r="C17169" s="238"/>
      <c r="E17169" s="545"/>
      <c r="F17169" s="546"/>
      <c r="G17169" s="234"/>
      <c r="H17169" s="238"/>
      <c r="I17169" s="237"/>
    </row>
    <row r="17170" spans="1:9" s="232" customFormat="1" ht="17" customHeight="1">
      <c r="A17170" s="234"/>
      <c r="B17170" s="233"/>
      <c r="C17170" s="238"/>
      <c r="E17170" s="545"/>
      <c r="F17170" s="546"/>
      <c r="G17170" s="234"/>
      <c r="H17170" s="238"/>
      <c r="I17170" s="237"/>
    </row>
    <row r="17171" spans="1:9" s="232" customFormat="1" ht="17" customHeight="1">
      <c r="A17171" s="234"/>
      <c r="B17171" s="233"/>
      <c r="C17171" s="238"/>
      <c r="E17171" s="545"/>
      <c r="F17171" s="546"/>
      <c r="G17171" s="234"/>
      <c r="H17171" s="238"/>
      <c r="I17171" s="237"/>
    </row>
    <row r="17172" spans="1:9" s="232" customFormat="1" ht="17" customHeight="1">
      <c r="A17172" s="234"/>
      <c r="B17172" s="233"/>
      <c r="C17172" s="238"/>
      <c r="E17172" s="545"/>
      <c r="F17172" s="546"/>
      <c r="G17172" s="234"/>
      <c r="H17172" s="238"/>
      <c r="I17172" s="237"/>
    </row>
    <row r="17173" spans="1:9" s="232" customFormat="1" ht="17" customHeight="1">
      <c r="A17173" s="234"/>
      <c r="B17173" s="233"/>
      <c r="C17173" s="238"/>
      <c r="E17173" s="545"/>
      <c r="F17173" s="546"/>
      <c r="G17173" s="234"/>
      <c r="H17173" s="238"/>
      <c r="I17173" s="237"/>
    </row>
    <row r="17174" spans="1:9" s="232" customFormat="1" ht="17" customHeight="1">
      <c r="A17174" s="234"/>
      <c r="B17174" s="233"/>
      <c r="C17174" s="238"/>
      <c r="E17174" s="545"/>
      <c r="F17174" s="546"/>
      <c r="G17174" s="234"/>
      <c r="H17174" s="238"/>
      <c r="I17174" s="237"/>
    </row>
    <row r="17175" spans="1:9" s="232" customFormat="1" ht="17" customHeight="1">
      <c r="A17175" s="234"/>
      <c r="B17175" s="233"/>
      <c r="C17175" s="238"/>
      <c r="E17175" s="545"/>
      <c r="F17175" s="546"/>
      <c r="G17175" s="234"/>
      <c r="H17175" s="238"/>
      <c r="I17175" s="237"/>
    </row>
    <row r="17176" spans="1:9" s="232" customFormat="1" ht="17" customHeight="1">
      <c r="A17176" s="234"/>
      <c r="B17176" s="233"/>
      <c r="C17176" s="238"/>
      <c r="E17176" s="545"/>
      <c r="F17176" s="546"/>
      <c r="G17176" s="234"/>
      <c r="H17176" s="238"/>
      <c r="I17176" s="237"/>
    </row>
    <row r="17177" spans="1:9" s="232" customFormat="1" ht="17" customHeight="1">
      <c r="A17177" s="234"/>
      <c r="B17177" s="233"/>
      <c r="C17177" s="238"/>
      <c r="E17177" s="545"/>
      <c r="F17177" s="546"/>
      <c r="G17177" s="234"/>
      <c r="H17177" s="238"/>
      <c r="I17177" s="237"/>
    </row>
    <row r="17178" spans="1:9" s="232" customFormat="1" ht="17" customHeight="1">
      <c r="A17178" s="234"/>
      <c r="B17178" s="233"/>
      <c r="C17178" s="238"/>
      <c r="E17178" s="545"/>
      <c r="F17178" s="546"/>
      <c r="G17178" s="234"/>
      <c r="H17178" s="238"/>
      <c r="I17178" s="237"/>
    </row>
    <row r="17179" spans="1:9" s="232" customFormat="1" ht="17" customHeight="1">
      <c r="A17179" s="234"/>
      <c r="B17179" s="233"/>
      <c r="C17179" s="238"/>
      <c r="E17179" s="545"/>
      <c r="F17179" s="546"/>
      <c r="G17179" s="234"/>
      <c r="H17179" s="238"/>
      <c r="I17179" s="237"/>
    </row>
    <row r="17180" spans="1:9" s="232" customFormat="1" ht="17" customHeight="1">
      <c r="A17180" s="234"/>
      <c r="B17180" s="233"/>
      <c r="C17180" s="238"/>
      <c r="E17180" s="545"/>
      <c r="F17180" s="546"/>
      <c r="G17180" s="234"/>
      <c r="H17180" s="238"/>
      <c r="I17180" s="237"/>
    </row>
    <row r="17181" spans="1:9" s="232" customFormat="1" ht="17" customHeight="1">
      <c r="A17181" s="234"/>
      <c r="B17181" s="233"/>
      <c r="C17181" s="238"/>
      <c r="E17181" s="545"/>
      <c r="F17181" s="546"/>
      <c r="G17181" s="234"/>
      <c r="H17181" s="238"/>
      <c r="I17181" s="237"/>
    </row>
    <row r="17182" spans="1:9" s="232" customFormat="1" ht="17" customHeight="1">
      <c r="A17182" s="234"/>
      <c r="B17182" s="233"/>
      <c r="C17182" s="238"/>
      <c r="E17182" s="545"/>
      <c r="F17182" s="546"/>
      <c r="G17182" s="234"/>
      <c r="H17182" s="238"/>
      <c r="I17182" s="237"/>
    </row>
    <row r="17183" spans="1:9" s="232" customFormat="1" ht="17" customHeight="1">
      <c r="A17183" s="234"/>
      <c r="B17183" s="233"/>
      <c r="C17183" s="238"/>
      <c r="E17183" s="545"/>
      <c r="F17183" s="546"/>
      <c r="G17183" s="234"/>
      <c r="H17183" s="238"/>
      <c r="I17183" s="237"/>
    </row>
    <row r="17184" spans="1:9" s="232" customFormat="1" ht="17" customHeight="1">
      <c r="A17184" s="234"/>
      <c r="B17184" s="233"/>
      <c r="C17184" s="238"/>
      <c r="E17184" s="545"/>
      <c r="F17184" s="546"/>
      <c r="G17184" s="234"/>
      <c r="H17184" s="238"/>
      <c r="I17184" s="237"/>
    </row>
    <row r="17185" spans="1:9" s="232" customFormat="1" ht="17" customHeight="1">
      <c r="A17185" s="234"/>
      <c r="B17185" s="233"/>
      <c r="C17185" s="238"/>
      <c r="E17185" s="545"/>
      <c r="F17185" s="546"/>
      <c r="G17185" s="234"/>
      <c r="H17185" s="238"/>
      <c r="I17185" s="237"/>
    </row>
    <row r="17186" spans="1:9" s="232" customFormat="1" ht="17" customHeight="1">
      <c r="A17186" s="234"/>
      <c r="B17186" s="233"/>
      <c r="C17186" s="238"/>
      <c r="E17186" s="545"/>
      <c r="F17186" s="546"/>
      <c r="G17186" s="234"/>
      <c r="H17186" s="238"/>
      <c r="I17186" s="237"/>
    </row>
    <row r="17187" spans="1:9" s="232" customFormat="1" ht="17" customHeight="1">
      <c r="A17187" s="234"/>
      <c r="B17187" s="233"/>
      <c r="C17187" s="238"/>
      <c r="E17187" s="545"/>
      <c r="F17187" s="546"/>
      <c r="G17187" s="234"/>
      <c r="H17187" s="238"/>
      <c r="I17187" s="237"/>
    </row>
    <row r="17188" spans="1:9" s="232" customFormat="1" ht="17" customHeight="1">
      <c r="A17188" s="234"/>
      <c r="B17188" s="233"/>
      <c r="C17188" s="238"/>
      <c r="E17188" s="545"/>
      <c r="F17188" s="546"/>
      <c r="G17188" s="234"/>
      <c r="H17188" s="238"/>
      <c r="I17188" s="237"/>
    </row>
    <row r="17189" spans="1:9" s="232" customFormat="1" ht="17" customHeight="1">
      <c r="A17189" s="234"/>
      <c r="B17189" s="233"/>
      <c r="C17189" s="238"/>
      <c r="E17189" s="545"/>
      <c r="F17189" s="546"/>
      <c r="G17189" s="234"/>
      <c r="H17189" s="238"/>
      <c r="I17189" s="237"/>
    </row>
    <row r="17190" spans="1:9" s="232" customFormat="1" ht="17" customHeight="1">
      <c r="A17190" s="234"/>
      <c r="B17190" s="233"/>
      <c r="C17190" s="238"/>
      <c r="E17190" s="545"/>
      <c r="F17190" s="546"/>
      <c r="G17190" s="234"/>
      <c r="H17190" s="238"/>
      <c r="I17190" s="237"/>
    </row>
    <row r="17191" spans="1:9" s="232" customFormat="1" ht="17" customHeight="1">
      <c r="A17191" s="234"/>
      <c r="B17191" s="233"/>
      <c r="C17191" s="238"/>
      <c r="E17191" s="545"/>
      <c r="F17191" s="546"/>
      <c r="G17191" s="234"/>
      <c r="H17191" s="238"/>
      <c r="I17191" s="237"/>
    </row>
    <row r="17192" spans="1:9" s="232" customFormat="1" ht="17" customHeight="1">
      <c r="A17192" s="234"/>
      <c r="B17192" s="233"/>
      <c r="C17192" s="238"/>
      <c r="E17192" s="545"/>
      <c r="F17192" s="546"/>
      <c r="G17192" s="234"/>
      <c r="H17192" s="238"/>
      <c r="I17192" s="237"/>
    </row>
    <row r="17193" spans="1:9" s="232" customFormat="1" ht="17" customHeight="1">
      <c r="A17193" s="234"/>
      <c r="B17193" s="233"/>
      <c r="C17193" s="238"/>
      <c r="E17193" s="545"/>
      <c r="F17193" s="546"/>
      <c r="G17193" s="234"/>
      <c r="H17193" s="238"/>
      <c r="I17193" s="237"/>
    </row>
    <row r="17194" spans="1:9" s="232" customFormat="1" ht="17" customHeight="1">
      <c r="A17194" s="234"/>
      <c r="B17194" s="233"/>
      <c r="C17194" s="238"/>
      <c r="E17194" s="545"/>
      <c r="F17194" s="546"/>
      <c r="G17194" s="234"/>
      <c r="H17194" s="238"/>
      <c r="I17194" s="237"/>
    </row>
    <row r="17195" spans="1:9" s="232" customFormat="1" ht="17" customHeight="1">
      <c r="A17195" s="234"/>
      <c r="B17195" s="233"/>
      <c r="C17195" s="238"/>
      <c r="E17195" s="545"/>
      <c r="F17195" s="546"/>
      <c r="G17195" s="234"/>
      <c r="H17195" s="238"/>
      <c r="I17195" s="237"/>
    </row>
    <row r="17196" spans="1:9" s="232" customFormat="1" ht="17" customHeight="1">
      <c r="A17196" s="234"/>
      <c r="B17196" s="233"/>
      <c r="C17196" s="238"/>
      <c r="E17196" s="545"/>
      <c r="F17196" s="546"/>
      <c r="G17196" s="234"/>
      <c r="H17196" s="238"/>
      <c r="I17196" s="237"/>
    </row>
    <row r="17197" spans="1:9" s="232" customFormat="1" ht="17" customHeight="1">
      <c r="A17197" s="234"/>
      <c r="B17197" s="233"/>
      <c r="C17197" s="238"/>
      <c r="E17197" s="545"/>
      <c r="F17197" s="546"/>
      <c r="G17197" s="234"/>
      <c r="H17197" s="238"/>
      <c r="I17197" s="237"/>
    </row>
    <row r="17198" spans="1:9" s="232" customFormat="1" ht="17" customHeight="1">
      <c r="A17198" s="234"/>
      <c r="B17198" s="233"/>
      <c r="C17198" s="238"/>
      <c r="E17198" s="545"/>
      <c r="F17198" s="546"/>
      <c r="G17198" s="234"/>
      <c r="H17198" s="238"/>
      <c r="I17198" s="237"/>
    </row>
    <row r="17199" spans="1:9" s="232" customFormat="1" ht="17" customHeight="1">
      <c r="A17199" s="234"/>
      <c r="B17199" s="233"/>
      <c r="C17199" s="238"/>
      <c r="E17199" s="545"/>
      <c r="F17199" s="546"/>
      <c r="G17199" s="234"/>
      <c r="H17199" s="238"/>
      <c r="I17199" s="237"/>
    </row>
    <row r="17200" spans="1:9" s="232" customFormat="1" ht="17" customHeight="1">
      <c r="A17200" s="234"/>
      <c r="B17200" s="233"/>
      <c r="C17200" s="238"/>
      <c r="E17200" s="545"/>
      <c r="F17200" s="546"/>
      <c r="G17200" s="234"/>
      <c r="H17200" s="238"/>
      <c r="I17200" s="237"/>
    </row>
    <row r="17201" spans="1:9" s="232" customFormat="1" ht="17" customHeight="1">
      <c r="A17201" s="234"/>
      <c r="B17201" s="233"/>
      <c r="C17201" s="238"/>
      <c r="E17201" s="545"/>
      <c r="F17201" s="546"/>
      <c r="G17201" s="234"/>
      <c r="H17201" s="238"/>
      <c r="I17201" s="237"/>
    </row>
    <row r="17202" spans="1:9" s="232" customFormat="1" ht="17" customHeight="1">
      <c r="A17202" s="234"/>
      <c r="B17202" s="233"/>
      <c r="C17202" s="238"/>
      <c r="E17202" s="545"/>
      <c r="F17202" s="546"/>
      <c r="G17202" s="234"/>
      <c r="H17202" s="238"/>
      <c r="I17202" s="237"/>
    </row>
    <row r="17203" spans="1:9" s="232" customFormat="1" ht="17" customHeight="1">
      <c r="A17203" s="234"/>
      <c r="B17203" s="233"/>
      <c r="C17203" s="238"/>
      <c r="E17203" s="545"/>
      <c r="F17203" s="546"/>
      <c r="G17203" s="234"/>
      <c r="H17203" s="238"/>
      <c r="I17203" s="237"/>
    </row>
    <row r="17204" spans="1:9" s="232" customFormat="1" ht="17" customHeight="1">
      <c r="A17204" s="234"/>
      <c r="B17204" s="233"/>
      <c r="C17204" s="238"/>
      <c r="E17204" s="545"/>
      <c r="F17204" s="546"/>
      <c r="G17204" s="234"/>
      <c r="H17204" s="238"/>
      <c r="I17204" s="237"/>
    </row>
    <row r="17205" spans="1:9" s="232" customFormat="1" ht="17" customHeight="1">
      <c r="A17205" s="234"/>
      <c r="B17205" s="233"/>
      <c r="C17205" s="238"/>
      <c r="E17205" s="545"/>
      <c r="F17205" s="546"/>
      <c r="G17205" s="234"/>
      <c r="H17205" s="238"/>
      <c r="I17205" s="237"/>
    </row>
    <row r="17206" spans="1:9" s="232" customFormat="1" ht="17" customHeight="1">
      <c r="A17206" s="234"/>
      <c r="B17206" s="233"/>
      <c r="C17206" s="238"/>
      <c r="E17206" s="545"/>
      <c r="F17206" s="546"/>
      <c r="G17206" s="234"/>
      <c r="H17206" s="238"/>
      <c r="I17206" s="237"/>
    </row>
    <row r="17207" spans="1:9" s="232" customFormat="1" ht="17" customHeight="1">
      <c r="A17207" s="234"/>
      <c r="B17207" s="233"/>
      <c r="C17207" s="238"/>
      <c r="E17207" s="545"/>
      <c r="F17207" s="546"/>
      <c r="G17207" s="234"/>
      <c r="H17207" s="238"/>
      <c r="I17207" s="237"/>
    </row>
    <row r="17208" spans="1:9" s="232" customFormat="1" ht="17" customHeight="1">
      <c r="A17208" s="234"/>
      <c r="B17208" s="233"/>
      <c r="C17208" s="238"/>
      <c r="E17208" s="545"/>
      <c r="F17208" s="546"/>
      <c r="G17208" s="234"/>
      <c r="H17208" s="238"/>
      <c r="I17208" s="237"/>
    </row>
    <row r="17209" spans="1:9" s="232" customFormat="1" ht="17" customHeight="1">
      <c r="A17209" s="234"/>
      <c r="B17209" s="233"/>
      <c r="C17209" s="238"/>
      <c r="E17209" s="545"/>
      <c r="F17209" s="546"/>
      <c r="G17209" s="234"/>
      <c r="H17209" s="238"/>
      <c r="I17209" s="237"/>
    </row>
    <row r="17210" spans="1:9" s="232" customFormat="1" ht="17" customHeight="1">
      <c r="A17210" s="234"/>
      <c r="B17210" s="233"/>
      <c r="C17210" s="238"/>
      <c r="E17210" s="545"/>
      <c r="F17210" s="546"/>
      <c r="G17210" s="234"/>
      <c r="H17210" s="238"/>
      <c r="I17210" s="237"/>
    </row>
    <row r="17211" spans="1:9" s="232" customFormat="1" ht="17" customHeight="1">
      <c r="A17211" s="234"/>
      <c r="B17211" s="233"/>
      <c r="C17211" s="238"/>
      <c r="E17211" s="545"/>
      <c r="F17211" s="546"/>
      <c r="G17211" s="234"/>
      <c r="H17211" s="238"/>
      <c r="I17211" s="237"/>
    </row>
    <row r="17212" spans="1:9" s="232" customFormat="1" ht="17" customHeight="1">
      <c r="A17212" s="234"/>
      <c r="B17212" s="233"/>
      <c r="C17212" s="238"/>
      <c r="E17212" s="545"/>
      <c r="F17212" s="546"/>
      <c r="G17212" s="234"/>
      <c r="H17212" s="238"/>
      <c r="I17212" s="237"/>
    </row>
    <row r="17213" spans="1:9" s="232" customFormat="1" ht="17" customHeight="1">
      <c r="A17213" s="234"/>
      <c r="B17213" s="233"/>
      <c r="C17213" s="238"/>
      <c r="E17213" s="545"/>
      <c r="F17213" s="546"/>
      <c r="G17213" s="234"/>
      <c r="H17213" s="238"/>
      <c r="I17213" s="237"/>
    </row>
    <row r="17214" spans="1:9" s="232" customFormat="1" ht="17" customHeight="1">
      <c r="A17214" s="234"/>
      <c r="B17214" s="233"/>
      <c r="C17214" s="238"/>
      <c r="E17214" s="545"/>
      <c r="F17214" s="546"/>
      <c r="G17214" s="234"/>
      <c r="H17214" s="238"/>
      <c r="I17214" s="237"/>
    </row>
    <row r="17215" spans="1:9" s="232" customFormat="1" ht="17" customHeight="1">
      <c r="A17215" s="234"/>
      <c r="B17215" s="233"/>
      <c r="C17215" s="238"/>
      <c r="E17215" s="545"/>
      <c r="F17215" s="546"/>
      <c r="G17215" s="234"/>
      <c r="H17215" s="238"/>
      <c r="I17215" s="237"/>
    </row>
    <row r="17216" spans="1:9" s="232" customFormat="1" ht="17" customHeight="1">
      <c r="A17216" s="234"/>
      <c r="B17216" s="233"/>
      <c r="C17216" s="238"/>
      <c r="E17216" s="545"/>
      <c r="F17216" s="546"/>
      <c r="G17216" s="234"/>
      <c r="H17216" s="238"/>
      <c r="I17216" s="237"/>
    </row>
    <row r="17217" spans="1:9" s="232" customFormat="1" ht="17" customHeight="1">
      <c r="A17217" s="234"/>
      <c r="B17217" s="233"/>
      <c r="C17217" s="238"/>
      <c r="E17217" s="545"/>
      <c r="F17217" s="546"/>
      <c r="G17217" s="234"/>
      <c r="H17217" s="238"/>
      <c r="I17217" s="237"/>
    </row>
    <row r="17218" spans="1:9" s="232" customFormat="1" ht="17" customHeight="1">
      <c r="A17218" s="234"/>
      <c r="B17218" s="233"/>
      <c r="C17218" s="238"/>
      <c r="E17218" s="545"/>
      <c r="F17218" s="546"/>
      <c r="G17218" s="234"/>
      <c r="H17218" s="238"/>
      <c r="I17218" s="237"/>
    </row>
    <row r="17219" spans="1:9" s="232" customFormat="1" ht="17" customHeight="1">
      <c r="A17219" s="234"/>
      <c r="B17219" s="233"/>
      <c r="C17219" s="238"/>
      <c r="E17219" s="545"/>
      <c r="F17219" s="546"/>
      <c r="G17219" s="234"/>
      <c r="H17219" s="238"/>
      <c r="I17219" s="237"/>
    </row>
    <row r="17220" spans="1:9" s="232" customFormat="1" ht="17" customHeight="1">
      <c r="A17220" s="234"/>
      <c r="B17220" s="233"/>
      <c r="C17220" s="238"/>
      <c r="E17220" s="545"/>
      <c r="F17220" s="546"/>
      <c r="G17220" s="234"/>
      <c r="H17220" s="238"/>
      <c r="I17220" s="237"/>
    </row>
    <row r="17221" spans="1:9" s="232" customFormat="1" ht="17" customHeight="1">
      <c r="A17221" s="234"/>
      <c r="B17221" s="233"/>
      <c r="C17221" s="238"/>
      <c r="E17221" s="545"/>
      <c r="F17221" s="546"/>
      <c r="G17221" s="234"/>
      <c r="H17221" s="238"/>
      <c r="I17221" s="237"/>
    </row>
    <row r="17222" spans="1:9" s="232" customFormat="1" ht="17" customHeight="1">
      <c r="A17222" s="234"/>
      <c r="B17222" s="233"/>
      <c r="C17222" s="238"/>
      <c r="E17222" s="545"/>
      <c r="F17222" s="546"/>
      <c r="G17222" s="234"/>
      <c r="H17222" s="238"/>
      <c r="I17222" s="237"/>
    </row>
    <row r="17223" spans="1:9" s="232" customFormat="1" ht="17" customHeight="1">
      <c r="A17223" s="234"/>
      <c r="B17223" s="233"/>
      <c r="C17223" s="238"/>
      <c r="E17223" s="545"/>
      <c r="F17223" s="546"/>
      <c r="G17223" s="234"/>
      <c r="H17223" s="238"/>
      <c r="I17223" s="237"/>
    </row>
    <row r="17224" spans="1:9" s="232" customFormat="1" ht="17" customHeight="1">
      <c r="A17224" s="234"/>
      <c r="B17224" s="233"/>
      <c r="C17224" s="238"/>
      <c r="E17224" s="545"/>
      <c r="F17224" s="546"/>
      <c r="G17224" s="234"/>
      <c r="H17224" s="238"/>
      <c r="I17224" s="237"/>
    </row>
    <row r="17225" spans="1:9" s="232" customFormat="1" ht="17" customHeight="1">
      <c r="A17225" s="234"/>
      <c r="B17225" s="233"/>
      <c r="C17225" s="238"/>
      <c r="E17225" s="545"/>
      <c r="F17225" s="546"/>
      <c r="G17225" s="234"/>
      <c r="H17225" s="238"/>
      <c r="I17225" s="237"/>
    </row>
    <row r="17226" spans="1:9" s="232" customFormat="1" ht="17" customHeight="1">
      <c r="A17226" s="234"/>
      <c r="B17226" s="233"/>
      <c r="C17226" s="238"/>
      <c r="E17226" s="545"/>
      <c r="F17226" s="546"/>
      <c r="G17226" s="234"/>
      <c r="H17226" s="238"/>
      <c r="I17226" s="237"/>
    </row>
    <row r="17227" spans="1:9" s="232" customFormat="1" ht="17" customHeight="1">
      <c r="A17227" s="234"/>
      <c r="B17227" s="233"/>
      <c r="C17227" s="238"/>
      <c r="E17227" s="545"/>
      <c r="F17227" s="546"/>
      <c r="G17227" s="234"/>
      <c r="H17227" s="238"/>
      <c r="I17227" s="237"/>
    </row>
    <row r="17228" spans="1:9" s="232" customFormat="1" ht="17" customHeight="1">
      <c r="A17228" s="234"/>
      <c r="B17228" s="233"/>
      <c r="C17228" s="238"/>
      <c r="E17228" s="545"/>
      <c r="F17228" s="546"/>
      <c r="G17228" s="234"/>
      <c r="H17228" s="238"/>
      <c r="I17228" s="237"/>
    </row>
    <row r="17229" spans="1:9" s="232" customFormat="1" ht="17" customHeight="1">
      <c r="A17229" s="234"/>
      <c r="B17229" s="233"/>
      <c r="C17229" s="238"/>
      <c r="E17229" s="545"/>
      <c r="F17229" s="546"/>
      <c r="G17229" s="234"/>
      <c r="H17229" s="238"/>
      <c r="I17229" s="237"/>
    </row>
    <row r="17230" spans="1:9" s="232" customFormat="1" ht="17" customHeight="1">
      <c r="A17230" s="234"/>
      <c r="B17230" s="233"/>
      <c r="C17230" s="238"/>
      <c r="E17230" s="545"/>
      <c r="F17230" s="546"/>
      <c r="G17230" s="234"/>
      <c r="H17230" s="238"/>
      <c r="I17230" s="237"/>
    </row>
    <row r="17231" spans="1:9" s="232" customFormat="1" ht="17" customHeight="1">
      <c r="A17231" s="234"/>
      <c r="B17231" s="233"/>
      <c r="C17231" s="238"/>
      <c r="E17231" s="545"/>
      <c r="F17231" s="546"/>
      <c r="G17231" s="234"/>
      <c r="H17231" s="238"/>
      <c r="I17231" s="237"/>
    </row>
    <row r="17232" spans="1:9" s="232" customFormat="1" ht="17" customHeight="1">
      <c r="A17232" s="234"/>
      <c r="B17232" s="233"/>
      <c r="C17232" s="238"/>
      <c r="E17232" s="545"/>
      <c r="F17232" s="546"/>
      <c r="G17232" s="234"/>
      <c r="H17232" s="238"/>
      <c r="I17232" s="237"/>
    </row>
    <row r="17233" spans="1:9" s="232" customFormat="1" ht="17" customHeight="1">
      <c r="A17233" s="234"/>
      <c r="B17233" s="233"/>
      <c r="C17233" s="238"/>
      <c r="E17233" s="545"/>
      <c r="F17233" s="546"/>
      <c r="G17233" s="234"/>
      <c r="H17233" s="238"/>
      <c r="I17233" s="237"/>
    </row>
    <row r="17234" spans="1:9" s="232" customFormat="1" ht="17" customHeight="1">
      <c r="A17234" s="234"/>
      <c r="B17234" s="233"/>
      <c r="C17234" s="238"/>
      <c r="E17234" s="545"/>
      <c r="F17234" s="546"/>
      <c r="G17234" s="234"/>
      <c r="H17234" s="238"/>
      <c r="I17234" s="237"/>
    </row>
    <row r="17235" spans="1:9" s="232" customFormat="1" ht="17" customHeight="1">
      <c r="A17235" s="234"/>
      <c r="B17235" s="233"/>
      <c r="C17235" s="238"/>
      <c r="E17235" s="545"/>
      <c r="F17235" s="546"/>
      <c r="G17235" s="234"/>
      <c r="H17235" s="238"/>
      <c r="I17235" s="237"/>
    </row>
    <row r="17236" spans="1:9" s="232" customFormat="1" ht="17" customHeight="1">
      <c r="A17236" s="234"/>
      <c r="B17236" s="233"/>
      <c r="C17236" s="238"/>
      <c r="E17236" s="545"/>
      <c r="F17236" s="546"/>
      <c r="G17236" s="234"/>
      <c r="H17236" s="238"/>
      <c r="I17236" s="237"/>
    </row>
    <row r="17237" spans="1:9" s="232" customFormat="1" ht="17" customHeight="1">
      <c r="A17237" s="234"/>
      <c r="B17237" s="233"/>
      <c r="C17237" s="238"/>
      <c r="E17237" s="545"/>
      <c r="F17237" s="546"/>
      <c r="G17237" s="234"/>
      <c r="H17237" s="238"/>
      <c r="I17237" s="237"/>
    </row>
    <row r="17238" spans="1:9" s="232" customFormat="1" ht="17" customHeight="1">
      <c r="A17238" s="234"/>
      <c r="B17238" s="233"/>
      <c r="C17238" s="238"/>
      <c r="E17238" s="545"/>
      <c r="F17238" s="546"/>
      <c r="G17238" s="234"/>
      <c r="H17238" s="238"/>
      <c r="I17238" s="237"/>
    </row>
    <row r="17239" spans="1:9" s="232" customFormat="1" ht="17" customHeight="1">
      <c r="A17239" s="234"/>
      <c r="B17239" s="233"/>
      <c r="C17239" s="238"/>
      <c r="E17239" s="545"/>
      <c r="F17239" s="546"/>
      <c r="G17239" s="234"/>
      <c r="H17239" s="238"/>
      <c r="I17239" s="237"/>
    </row>
    <row r="17240" spans="1:9" s="232" customFormat="1" ht="17" customHeight="1">
      <c r="A17240" s="234"/>
      <c r="B17240" s="233"/>
      <c r="C17240" s="238"/>
      <c r="E17240" s="545"/>
      <c r="F17240" s="546"/>
      <c r="G17240" s="234"/>
      <c r="H17240" s="238"/>
      <c r="I17240" s="237"/>
    </row>
    <row r="17241" spans="1:9" s="232" customFormat="1" ht="17" customHeight="1">
      <c r="A17241" s="234"/>
      <c r="B17241" s="233"/>
      <c r="C17241" s="238"/>
      <c r="E17241" s="545"/>
      <c r="F17241" s="546"/>
      <c r="G17241" s="234"/>
      <c r="H17241" s="238"/>
      <c r="I17241" s="237"/>
    </row>
    <row r="17242" spans="1:9" s="232" customFormat="1" ht="17" customHeight="1">
      <c r="A17242" s="234"/>
      <c r="B17242" s="233"/>
      <c r="C17242" s="238"/>
      <c r="E17242" s="545"/>
      <c r="F17242" s="546"/>
      <c r="G17242" s="234"/>
      <c r="H17242" s="238"/>
      <c r="I17242" s="237"/>
    </row>
    <row r="17243" spans="1:9" s="232" customFormat="1" ht="17" customHeight="1">
      <c r="A17243" s="234"/>
      <c r="B17243" s="233"/>
      <c r="C17243" s="238"/>
      <c r="E17243" s="545"/>
      <c r="F17243" s="546"/>
      <c r="G17243" s="234"/>
      <c r="H17243" s="238"/>
      <c r="I17243" s="237"/>
    </row>
    <row r="17244" spans="1:9" s="232" customFormat="1" ht="17" customHeight="1">
      <c r="A17244" s="234"/>
      <c r="B17244" s="233"/>
      <c r="C17244" s="238"/>
      <c r="E17244" s="545"/>
      <c r="F17244" s="546"/>
      <c r="G17244" s="234"/>
      <c r="H17244" s="238"/>
      <c r="I17244" s="237"/>
    </row>
    <row r="17245" spans="1:9" s="232" customFormat="1" ht="17" customHeight="1">
      <c r="A17245" s="234"/>
      <c r="B17245" s="233"/>
      <c r="C17245" s="238"/>
      <c r="E17245" s="545"/>
      <c r="F17245" s="546"/>
      <c r="G17245" s="234"/>
      <c r="H17245" s="238"/>
      <c r="I17245" s="237"/>
    </row>
    <row r="17246" spans="1:9" s="232" customFormat="1" ht="17" customHeight="1">
      <c r="A17246" s="234"/>
      <c r="B17246" s="233"/>
      <c r="C17246" s="238"/>
      <c r="E17246" s="545"/>
      <c r="F17246" s="546"/>
      <c r="G17246" s="234"/>
      <c r="H17246" s="238"/>
      <c r="I17246" s="237"/>
    </row>
    <row r="17247" spans="1:9" s="232" customFormat="1" ht="17" customHeight="1">
      <c r="A17247" s="234"/>
      <c r="B17247" s="233"/>
      <c r="C17247" s="238"/>
      <c r="E17247" s="545"/>
      <c r="F17247" s="546"/>
      <c r="G17247" s="234"/>
      <c r="H17247" s="238"/>
      <c r="I17247" s="237"/>
    </row>
    <row r="17248" spans="1:9" s="232" customFormat="1" ht="17" customHeight="1">
      <c r="A17248" s="234"/>
      <c r="B17248" s="233"/>
      <c r="C17248" s="238"/>
      <c r="E17248" s="545"/>
      <c r="F17248" s="546"/>
      <c r="G17248" s="234"/>
      <c r="H17248" s="238"/>
      <c r="I17248" s="237"/>
    </row>
    <row r="17249" spans="1:9" s="232" customFormat="1" ht="17" customHeight="1">
      <c r="A17249" s="234"/>
      <c r="B17249" s="233"/>
      <c r="C17249" s="238"/>
      <c r="E17249" s="545"/>
      <c r="F17249" s="546"/>
      <c r="G17249" s="234"/>
      <c r="H17249" s="238"/>
      <c r="I17249" s="237"/>
    </row>
    <row r="17250" spans="1:9" s="232" customFormat="1" ht="17" customHeight="1">
      <c r="A17250" s="234"/>
      <c r="B17250" s="233"/>
      <c r="C17250" s="238"/>
      <c r="E17250" s="545"/>
      <c r="F17250" s="546"/>
      <c r="G17250" s="234"/>
      <c r="H17250" s="238"/>
      <c r="I17250" s="237"/>
    </row>
    <row r="17251" spans="1:9" s="232" customFormat="1" ht="17" customHeight="1">
      <c r="A17251" s="234"/>
      <c r="B17251" s="233"/>
      <c r="C17251" s="238"/>
      <c r="E17251" s="545"/>
      <c r="F17251" s="546"/>
      <c r="G17251" s="234"/>
      <c r="H17251" s="238"/>
      <c r="I17251" s="237"/>
    </row>
    <row r="17252" spans="1:9" s="232" customFormat="1" ht="17" customHeight="1">
      <c r="A17252" s="234"/>
      <c r="B17252" s="233"/>
      <c r="C17252" s="238"/>
      <c r="E17252" s="545"/>
      <c r="F17252" s="546"/>
      <c r="G17252" s="234"/>
      <c r="H17252" s="238"/>
      <c r="I17252" s="237"/>
    </row>
    <row r="17253" spans="1:9" s="232" customFormat="1" ht="17" customHeight="1">
      <c r="A17253" s="234"/>
      <c r="B17253" s="233"/>
      <c r="C17253" s="238"/>
      <c r="E17253" s="545"/>
      <c r="F17253" s="546"/>
      <c r="G17253" s="234"/>
      <c r="H17253" s="238"/>
      <c r="I17253" s="237"/>
    </row>
    <row r="17254" spans="1:9" s="232" customFormat="1" ht="17" customHeight="1">
      <c r="A17254" s="234"/>
      <c r="B17254" s="233"/>
      <c r="C17254" s="238"/>
      <c r="E17254" s="545"/>
      <c r="F17254" s="546"/>
      <c r="G17254" s="234"/>
      <c r="H17254" s="238"/>
      <c r="I17254" s="237"/>
    </row>
    <row r="17255" spans="1:9" s="232" customFormat="1" ht="17" customHeight="1">
      <c r="A17255" s="234"/>
      <c r="B17255" s="233"/>
      <c r="C17255" s="238"/>
      <c r="E17255" s="545"/>
      <c r="F17255" s="546"/>
      <c r="G17255" s="234"/>
      <c r="H17255" s="238"/>
      <c r="I17255" s="237"/>
    </row>
    <row r="17256" spans="1:9" s="232" customFormat="1" ht="17" customHeight="1">
      <c r="A17256" s="234"/>
      <c r="B17256" s="233"/>
      <c r="C17256" s="238"/>
      <c r="E17256" s="545"/>
      <c r="F17256" s="546"/>
      <c r="G17256" s="234"/>
      <c r="H17256" s="238"/>
      <c r="I17256" s="237"/>
    </row>
    <row r="17257" spans="1:9" s="232" customFormat="1" ht="17" customHeight="1">
      <c r="A17257" s="234"/>
      <c r="B17257" s="233"/>
      <c r="C17257" s="238"/>
      <c r="E17257" s="545"/>
      <c r="F17257" s="546"/>
      <c r="G17257" s="234"/>
      <c r="H17257" s="238"/>
      <c r="I17257" s="237"/>
    </row>
    <row r="17258" spans="1:9" s="232" customFormat="1" ht="17" customHeight="1">
      <c r="A17258" s="234"/>
      <c r="B17258" s="233"/>
      <c r="C17258" s="238"/>
      <c r="E17258" s="545"/>
      <c r="F17258" s="546"/>
      <c r="G17258" s="234"/>
      <c r="H17258" s="238"/>
      <c r="I17258" s="237"/>
    </row>
    <row r="17259" spans="1:9" s="232" customFormat="1" ht="17" customHeight="1">
      <c r="A17259" s="234"/>
      <c r="B17259" s="233"/>
      <c r="C17259" s="238"/>
      <c r="E17259" s="545"/>
      <c r="F17259" s="546"/>
      <c r="G17259" s="234"/>
      <c r="H17259" s="238"/>
      <c r="I17259" s="237"/>
    </row>
    <row r="17260" spans="1:9" s="232" customFormat="1" ht="17" customHeight="1">
      <c r="A17260" s="234"/>
      <c r="B17260" s="233"/>
      <c r="C17260" s="238"/>
      <c r="E17260" s="545"/>
      <c r="F17260" s="546"/>
      <c r="G17260" s="234"/>
      <c r="H17260" s="238"/>
      <c r="I17260" s="237"/>
    </row>
    <row r="17261" spans="1:9" s="232" customFormat="1" ht="17" customHeight="1">
      <c r="A17261" s="234"/>
      <c r="B17261" s="233"/>
      <c r="C17261" s="238"/>
      <c r="E17261" s="545"/>
      <c r="F17261" s="546"/>
      <c r="G17261" s="234"/>
      <c r="H17261" s="238"/>
      <c r="I17261" s="237"/>
    </row>
    <row r="17262" spans="1:9" s="232" customFormat="1" ht="17" customHeight="1">
      <c r="A17262" s="234"/>
      <c r="B17262" s="233"/>
      <c r="C17262" s="238"/>
      <c r="E17262" s="545"/>
      <c r="F17262" s="546"/>
      <c r="G17262" s="234"/>
      <c r="H17262" s="238"/>
      <c r="I17262" s="237"/>
    </row>
    <row r="17263" spans="1:9" s="232" customFormat="1" ht="17" customHeight="1">
      <c r="A17263" s="234"/>
      <c r="B17263" s="233"/>
      <c r="C17263" s="238"/>
      <c r="E17263" s="545"/>
      <c r="F17263" s="546"/>
      <c r="G17263" s="234"/>
      <c r="H17263" s="238"/>
      <c r="I17263" s="237"/>
    </row>
    <row r="17264" spans="1:9" s="232" customFormat="1" ht="17" customHeight="1">
      <c r="A17264" s="234"/>
      <c r="B17264" s="233"/>
      <c r="C17264" s="238"/>
      <c r="E17264" s="545"/>
      <c r="F17264" s="546"/>
      <c r="G17264" s="234"/>
      <c r="H17264" s="238"/>
      <c r="I17264" s="237"/>
    </row>
    <row r="17265" spans="1:9" s="232" customFormat="1" ht="17" customHeight="1">
      <c r="A17265" s="234"/>
      <c r="B17265" s="233"/>
      <c r="C17265" s="238"/>
      <c r="E17265" s="545"/>
      <c r="F17265" s="546"/>
      <c r="G17265" s="234"/>
      <c r="H17265" s="238"/>
      <c r="I17265" s="237"/>
    </row>
    <row r="17266" spans="1:9" s="232" customFormat="1" ht="17" customHeight="1">
      <c r="A17266" s="234"/>
      <c r="B17266" s="233"/>
      <c r="C17266" s="238"/>
      <c r="E17266" s="545"/>
      <c r="F17266" s="546"/>
      <c r="G17266" s="234"/>
      <c r="H17266" s="238"/>
      <c r="I17266" s="237"/>
    </row>
    <row r="17267" spans="1:9" s="232" customFormat="1" ht="17" customHeight="1">
      <c r="A17267" s="234"/>
      <c r="B17267" s="233"/>
      <c r="C17267" s="238"/>
      <c r="E17267" s="545"/>
      <c r="F17267" s="546"/>
      <c r="G17267" s="234"/>
      <c r="H17267" s="238"/>
      <c r="I17267" s="237"/>
    </row>
    <row r="17268" spans="1:9" s="232" customFormat="1" ht="17" customHeight="1">
      <c r="A17268" s="234"/>
      <c r="B17268" s="233"/>
      <c r="C17268" s="238"/>
      <c r="E17268" s="545"/>
      <c r="F17268" s="546"/>
      <c r="G17268" s="234"/>
      <c r="H17268" s="238"/>
      <c r="I17268" s="237"/>
    </row>
    <row r="17269" spans="1:9" s="232" customFormat="1" ht="17" customHeight="1">
      <c r="A17269" s="234"/>
      <c r="B17269" s="233"/>
      <c r="C17269" s="238"/>
      <c r="E17269" s="545"/>
      <c r="F17269" s="546"/>
      <c r="G17269" s="234"/>
      <c r="H17269" s="238"/>
      <c r="I17269" s="237"/>
    </row>
    <row r="17270" spans="1:9" s="232" customFormat="1" ht="17" customHeight="1">
      <c r="A17270" s="234"/>
      <c r="B17270" s="233"/>
      <c r="C17270" s="238"/>
      <c r="E17270" s="545"/>
      <c r="F17270" s="546"/>
      <c r="G17270" s="234"/>
      <c r="H17270" s="238"/>
      <c r="I17270" s="237"/>
    </row>
    <row r="17271" spans="1:9" s="232" customFormat="1" ht="17" customHeight="1">
      <c r="A17271" s="234"/>
      <c r="B17271" s="233"/>
      <c r="C17271" s="238"/>
      <c r="E17271" s="545"/>
      <c r="F17271" s="546"/>
      <c r="G17271" s="234"/>
      <c r="H17271" s="238"/>
      <c r="I17271" s="237"/>
    </row>
    <row r="17272" spans="1:9" s="232" customFormat="1" ht="17" customHeight="1">
      <c r="A17272" s="234"/>
      <c r="B17272" s="233"/>
      <c r="C17272" s="238"/>
      <c r="E17272" s="545"/>
      <c r="F17272" s="546"/>
      <c r="G17272" s="234"/>
      <c r="H17272" s="238"/>
      <c r="I17272" s="237"/>
    </row>
    <row r="17273" spans="1:9" s="232" customFormat="1" ht="17" customHeight="1">
      <c r="A17273" s="234"/>
      <c r="B17273" s="233"/>
      <c r="C17273" s="238"/>
      <c r="E17273" s="545"/>
      <c r="F17273" s="546"/>
      <c r="G17273" s="234"/>
      <c r="H17273" s="238"/>
      <c r="I17273" s="237"/>
    </row>
    <row r="17274" spans="1:9" s="232" customFormat="1" ht="17" customHeight="1">
      <c r="A17274" s="234"/>
      <c r="B17274" s="233"/>
      <c r="C17274" s="238"/>
      <c r="E17274" s="545"/>
      <c r="F17274" s="546"/>
      <c r="G17274" s="234"/>
      <c r="H17274" s="238"/>
      <c r="I17274" s="237"/>
    </row>
    <row r="17275" spans="1:9" s="232" customFormat="1" ht="17" customHeight="1">
      <c r="A17275" s="234"/>
      <c r="B17275" s="233"/>
      <c r="C17275" s="238"/>
      <c r="E17275" s="545"/>
      <c r="F17275" s="546"/>
      <c r="G17275" s="234"/>
      <c r="H17275" s="238"/>
      <c r="I17275" s="237"/>
    </row>
    <row r="17276" spans="1:9" s="232" customFormat="1" ht="17" customHeight="1">
      <c r="A17276" s="234"/>
      <c r="B17276" s="233"/>
      <c r="C17276" s="238"/>
      <c r="E17276" s="545"/>
      <c r="F17276" s="546"/>
      <c r="G17276" s="234"/>
      <c r="H17276" s="238"/>
      <c r="I17276" s="237"/>
    </row>
    <row r="17277" spans="1:9" s="232" customFormat="1" ht="17" customHeight="1">
      <c r="A17277" s="234"/>
      <c r="B17277" s="233"/>
      <c r="C17277" s="238"/>
      <c r="E17277" s="545"/>
      <c r="F17277" s="546"/>
      <c r="G17277" s="234"/>
      <c r="H17277" s="238"/>
      <c r="I17277" s="237"/>
    </row>
    <row r="17278" spans="1:9" s="232" customFormat="1" ht="17" customHeight="1">
      <c r="A17278" s="234"/>
      <c r="B17278" s="233"/>
      <c r="C17278" s="238"/>
      <c r="E17278" s="545"/>
      <c r="F17278" s="546"/>
      <c r="G17278" s="234"/>
      <c r="H17278" s="238"/>
      <c r="I17278" s="237"/>
    </row>
    <row r="17279" spans="1:9" s="232" customFormat="1" ht="17" customHeight="1">
      <c r="A17279" s="234"/>
      <c r="B17279" s="233"/>
      <c r="C17279" s="238"/>
      <c r="E17279" s="545"/>
      <c r="F17279" s="546"/>
      <c r="G17279" s="234"/>
      <c r="H17279" s="238"/>
      <c r="I17279" s="237"/>
    </row>
    <row r="17280" spans="1:9" s="232" customFormat="1" ht="17" customHeight="1">
      <c r="A17280" s="234"/>
      <c r="B17280" s="233"/>
      <c r="C17280" s="238"/>
      <c r="E17280" s="545"/>
      <c r="F17280" s="546"/>
      <c r="G17280" s="234"/>
      <c r="H17280" s="238"/>
      <c r="I17280" s="237"/>
    </row>
    <row r="17281" spans="1:9" s="232" customFormat="1" ht="17" customHeight="1">
      <c r="A17281" s="234"/>
      <c r="B17281" s="233"/>
      <c r="C17281" s="238"/>
      <c r="E17281" s="545"/>
      <c r="F17281" s="546"/>
      <c r="G17281" s="234"/>
      <c r="H17281" s="238"/>
      <c r="I17281" s="237"/>
    </row>
    <row r="17282" spans="1:9" s="232" customFormat="1" ht="17" customHeight="1">
      <c r="A17282" s="234"/>
      <c r="B17282" s="233"/>
      <c r="C17282" s="238"/>
      <c r="E17282" s="545"/>
      <c r="F17282" s="546"/>
      <c r="G17282" s="234"/>
      <c r="H17282" s="238"/>
      <c r="I17282" s="237"/>
    </row>
    <row r="17283" spans="1:9" s="232" customFormat="1" ht="17" customHeight="1">
      <c r="A17283" s="234"/>
      <c r="B17283" s="233"/>
      <c r="C17283" s="238"/>
      <c r="E17283" s="545"/>
      <c r="F17283" s="546"/>
      <c r="G17283" s="234"/>
      <c r="H17283" s="238"/>
      <c r="I17283" s="237"/>
    </row>
    <row r="17284" spans="1:9" s="232" customFormat="1" ht="17" customHeight="1">
      <c r="A17284" s="234"/>
      <c r="B17284" s="233"/>
      <c r="C17284" s="238"/>
      <c r="E17284" s="545"/>
      <c r="F17284" s="546"/>
      <c r="G17284" s="234"/>
      <c r="H17284" s="238"/>
      <c r="I17284" s="237"/>
    </row>
    <row r="17285" spans="1:9" s="232" customFormat="1" ht="17" customHeight="1">
      <c r="A17285" s="234"/>
      <c r="B17285" s="233"/>
      <c r="C17285" s="238"/>
      <c r="E17285" s="545"/>
      <c r="F17285" s="546"/>
      <c r="G17285" s="234"/>
      <c r="H17285" s="238"/>
      <c r="I17285" s="237"/>
    </row>
    <row r="17286" spans="1:9" s="232" customFormat="1" ht="17" customHeight="1">
      <c r="A17286" s="234"/>
      <c r="B17286" s="233"/>
      <c r="C17286" s="238"/>
      <c r="E17286" s="545"/>
      <c r="F17286" s="546"/>
      <c r="G17286" s="234"/>
      <c r="H17286" s="238"/>
      <c r="I17286" s="237"/>
    </row>
    <row r="17287" spans="1:9" s="232" customFormat="1" ht="17" customHeight="1">
      <c r="A17287" s="234"/>
      <c r="B17287" s="233"/>
      <c r="C17287" s="238"/>
      <c r="E17287" s="545"/>
      <c r="F17287" s="546"/>
      <c r="G17287" s="234"/>
      <c r="H17287" s="238"/>
      <c r="I17287" s="237"/>
    </row>
    <row r="17288" spans="1:9" s="232" customFormat="1" ht="17" customHeight="1">
      <c r="A17288" s="234"/>
      <c r="B17288" s="233"/>
      <c r="C17288" s="238"/>
      <c r="E17288" s="545"/>
      <c r="F17288" s="546"/>
      <c r="G17288" s="234"/>
      <c r="H17288" s="238"/>
      <c r="I17288" s="237"/>
    </row>
    <row r="17289" spans="1:9" s="232" customFormat="1" ht="17" customHeight="1">
      <c r="A17289" s="234"/>
      <c r="B17289" s="233"/>
      <c r="C17289" s="238"/>
      <c r="E17289" s="545"/>
      <c r="F17289" s="546"/>
      <c r="G17289" s="234"/>
      <c r="H17289" s="238"/>
      <c r="I17289" s="237"/>
    </row>
    <row r="17290" spans="1:9" s="232" customFormat="1" ht="17" customHeight="1">
      <c r="A17290" s="234"/>
      <c r="B17290" s="233"/>
      <c r="C17290" s="238"/>
      <c r="E17290" s="545"/>
      <c r="F17290" s="546"/>
      <c r="G17290" s="234"/>
      <c r="H17290" s="238"/>
      <c r="I17290" s="237"/>
    </row>
    <row r="17291" spans="1:9" s="232" customFormat="1" ht="17" customHeight="1">
      <c r="A17291" s="234"/>
      <c r="B17291" s="233"/>
      <c r="C17291" s="238"/>
      <c r="E17291" s="545"/>
      <c r="F17291" s="546"/>
      <c r="G17291" s="234"/>
      <c r="H17291" s="238"/>
      <c r="I17291" s="237"/>
    </row>
    <row r="17292" spans="1:9" s="232" customFormat="1" ht="17" customHeight="1">
      <c r="A17292" s="234"/>
      <c r="B17292" s="233"/>
      <c r="C17292" s="238"/>
      <c r="E17292" s="545"/>
      <c r="F17292" s="546"/>
      <c r="G17292" s="234"/>
      <c r="H17292" s="238"/>
      <c r="I17292" s="237"/>
    </row>
    <row r="17293" spans="1:9" s="232" customFormat="1" ht="17" customHeight="1">
      <c r="A17293" s="234"/>
      <c r="B17293" s="233"/>
      <c r="C17293" s="238"/>
      <c r="E17293" s="545"/>
      <c r="F17293" s="546"/>
      <c r="G17293" s="234"/>
      <c r="H17293" s="238"/>
      <c r="I17293" s="237"/>
    </row>
    <row r="17294" spans="1:9" s="232" customFormat="1" ht="17" customHeight="1">
      <c r="A17294" s="234"/>
      <c r="B17294" s="233"/>
      <c r="C17294" s="238"/>
      <c r="E17294" s="545"/>
      <c r="F17294" s="546"/>
      <c r="G17294" s="234"/>
      <c r="H17294" s="238"/>
      <c r="I17294" s="237"/>
    </row>
    <row r="17295" spans="1:9" s="232" customFormat="1" ht="17" customHeight="1">
      <c r="A17295" s="234"/>
      <c r="B17295" s="233"/>
      <c r="C17295" s="238"/>
      <c r="E17295" s="545"/>
      <c r="F17295" s="546"/>
      <c r="G17295" s="234"/>
      <c r="H17295" s="238"/>
      <c r="I17295" s="237"/>
    </row>
    <row r="17296" spans="1:9" s="232" customFormat="1" ht="17" customHeight="1">
      <c r="A17296" s="234"/>
      <c r="B17296" s="233"/>
      <c r="C17296" s="238"/>
      <c r="E17296" s="545"/>
      <c r="F17296" s="546"/>
      <c r="G17296" s="234"/>
      <c r="H17296" s="238"/>
      <c r="I17296" s="237"/>
    </row>
    <row r="17297" spans="1:9" s="232" customFormat="1" ht="17" customHeight="1">
      <c r="A17297" s="234"/>
      <c r="B17297" s="233"/>
      <c r="C17297" s="238"/>
      <c r="E17297" s="545"/>
      <c r="F17297" s="546"/>
      <c r="G17297" s="234"/>
      <c r="H17297" s="238"/>
      <c r="I17297" s="237"/>
    </row>
    <row r="17298" spans="1:9" s="232" customFormat="1" ht="17" customHeight="1">
      <c r="A17298" s="234"/>
      <c r="B17298" s="233"/>
      <c r="C17298" s="238"/>
      <c r="E17298" s="545"/>
      <c r="F17298" s="546"/>
      <c r="G17298" s="234"/>
      <c r="H17298" s="238"/>
      <c r="I17298" s="237"/>
    </row>
    <row r="17299" spans="1:9" s="232" customFormat="1" ht="17" customHeight="1">
      <c r="A17299" s="234"/>
      <c r="B17299" s="233"/>
      <c r="C17299" s="238"/>
      <c r="E17299" s="545"/>
      <c r="F17299" s="546"/>
      <c r="G17299" s="234"/>
      <c r="H17299" s="238"/>
      <c r="I17299" s="237"/>
    </row>
    <row r="17300" spans="1:9" s="232" customFormat="1" ht="17" customHeight="1">
      <c r="A17300" s="234"/>
      <c r="B17300" s="233"/>
      <c r="C17300" s="238"/>
      <c r="E17300" s="545"/>
      <c r="F17300" s="546"/>
      <c r="G17300" s="234"/>
      <c r="H17300" s="238"/>
      <c r="I17300" s="237"/>
    </row>
    <row r="17301" spans="1:9" s="232" customFormat="1" ht="17" customHeight="1">
      <c r="A17301" s="234"/>
      <c r="B17301" s="233"/>
      <c r="C17301" s="238"/>
      <c r="E17301" s="545"/>
      <c r="F17301" s="546"/>
      <c r="G17301" s="234"/>
      <c r="H17301" s="238"/>
      <c r="I17301" s="237"/>
    </row>
    <row r="17302" spans="1:9" s="232" customFormat="1" ht="17" customHeight="1">
      <c r="A17302" s="234"/>
      <c r="B17302" s="233"/>
      <c r="C17302" s="238"/>
      <c r="E17302" s="545"/>
      <c r="F17302" s="546"/>
      <c r="G17302" s="234"/>
      <c r="H17302" s="238"/>
      <c r="I17302" s="237"/>
    </row>
    <row r="17303" spans="1:9" s="232" customFormat="1" ht="17" customHeight="1">
      <c r="A17303" s="234"/>
      <c r="B17303" s="233"/>
      <c r="C17303" s="238"/>
      <c r="E17303" s="545"/>
      <c r="F17303" s="546"/>
      <c r="G17303" s="234"/>
      <c r="H17303" s="238"/>
      <c r="I17303" s="237"/>
    </row>
    <row r="17304" spans="1:9" s="232" customFormat="1" ht="17" customHeight="1">
      <c r="A17304" s="234"/>
      <c r="B17304" s="233"/>
      <c r="C17304" s="238"/>
      <c r="E17304" s="545"/>
      <c r="F17304" s="546"/>
      <c r="G17304" s="234"/>
      <c r="H17304" s="238"/>
      <c r="I17304" s="237"/>
    </row>
    <row r="17305" spans="1:9" s="232" customFormat="1" ht="17" customHeight="1">
      <c r="A17305" s="234"/>
      <c r="B17305" s="233"/>
      <c r="C17305" s="238"/>
      <c r="E17305" s="545"/>
      <c r="F17305" s="546"/>
      <c r="G17305" s="234"/>
      <c r="H17305" s="238"/>
      <c r="I17305" s="237"/>
    </row>
    <row r="17306" spans="1:9" s="232" customFormat="1" ht="17" customHeight="1">
      <c r="A17306" s="234"/>
      <c r="B17306" s="233"/>
      <c r="C17306" s="238"/>
      <c r="E17306" s="545"/>
      <c r="F17306" s="546"/>
      <c r="G17306" s="234"/>
      <c r="H17306" s="238"/>
      <c r="I17306" s="237"/>
    </row>
    <row r="17307" spans="1:9" s="232" customFormat="1" ht="17" customHeight="1">
      <c r="A17307" s="234"/>
      <c r="B17307" s="233"/>
      <c r="C17307" s="238"/>
      <c r="E17307" s="545"/>
      <c r="F17307" s="546"/>
      <c r="G17307" s="234"/>
      <c r="H17307" s="238"/>
      <c r="I17307" s="237"/>
    </row>
    <row r="17308" spans="1:9" s="232" customFormat="1" ht="17" customHeight="1">
      <c r="A17308" s="234"/>
      <c r="B17308" s="233"/>
      <c r="C17308" s="238"/>
      <c r="E17308" s="545"/>
      <c r="F17308" s="546"/>
      <c r="G17308" s="234"/>
      <c r="H17308" s="238"/>
      <c r="I17308" s="237"/>
    </row>
    <row r="17309" spans="1:9" s="232" customFormat="1" ht="17" customHeight="1">
      <c r="A17309" s="234"/>
      <c r="B17309" s="233"/>
      <c r="C17309" s="238"/>
      <c r="E17309" s="545"/>
      <c r="F17309" s="546"/>
      <c r="G17309" s="234"/>
      <c r="H17309" s="238"/>
      <c r="I17309" s="237"/>
    </row>
    <row r="17310" spans="1:9" s="232" customFormat="1" ht="17" customHeight="1">
      <c r="A17310" s="234"/>
      <c r="B17310" s="233"/>
      <c r="C17310" s="238"/>
      <c r="E17310" s="545"/>
      <c r="F17310" s="546"/>
      <c r="G17310" s="234"/>
      <c r="H17310" s="238"/>
      <c r="I17310" s="237"/>
    </row>
    <row r="17311" spans="1:9" s="232" customFormat="1" ht="17" customHeight="1">
      <c r="A17311" s="234"/>
      <c r="B17311" s="233"/>
      <c r="C17311" s="238"/>
      <c r="E17311" s="545"/>
      <c r="F17311" s="546"/>
      <c r="G17311" s="234"/>
      <c r="H17311" s="238"/>
      <c r="I17311" s="237"/>
    </row>
    <row r="17312" spans="1:9" s="232" customFormat="1" ht="17" customHeight="1">
      <c r="A17312" s="234"/>
      <c r="B17312" s="233"/>
      <c r="C17312" s="238"/>
      <c r="E17312" s="545"/>
      <c r="F17312" s="546"/>
      <c r="G17312" s="234"/>
      <c r="H17312" s="238"/>
      <c r="I17312" s="237"/>
    </row>
    <row r="17313" spans="1:9" s="232" customFormat="1" ht="17" customHeight="1">
      <c r="A17313" s="234"/>
      <c r="B17313" s="233"/>
      <c r="C17313" s="238"/>
      <c r="E17313" s="545"/>
      <c r="F17313" s="546"/>
      <c r="G17313" s="234"/>
      <c r="H17313" s="238"/>
      <c r="I17313" s="237"/>
    </row>
    <row r="17314" spans="1:9" s="232" customFormat="1" ht="17" customHeight="1">
      <c r="A17314" s="234"/>
      <c r="B17314" s="233"/>
      <c r="C17314" s="238"/>
      <c r="E17314" s="545"/>
      <c r="F17314" s="546"/>
      <c r="G17314" s="234"/>
      <c r="H17314" s="238"/>
      <c r="I17314" s="237"/>
    </row>
    <row r="17315" spans="1:9" s="232" customFormat="1" ht="17" customHeight="1">
      <c r="A17315" s="234"/>
      <c r="B17315" s="233"/>
      <c r="C17315" s="238"/>
      <c r="E17315" s="545"/>
      <c r="F17315" s="546"/>
      <c r="G17315" s="234"/>
      <c r="H17315" s="238"/>
      <c r="I17315" s="237"/>
    </row>
    <row r="17316" spans="1:9" s="232" customFormat="1" ht="17" customHeight="1">
      <c r="A17316" s="234"/>
      <c r="B17316" s="233"/>
      <c r="C17316" s="238"/>
      <c r="E17316" s="545"/>
      <c r="F17316" s="546"/>
      <c r="G17316" s="234"/>
      <c r="H17316" s="238"/>
      <c r="I17316" s="237"/>
    </row>
    <row r="17317" spans="1:9" s="232" customFormat="1" ht="17" customHeight="1">
      <c r="A17317" s="234"/>
      <c r="B17317" s="233"/>
      <c r="C17317" s="238"/>
      <c r="E17317" s="545"/>
      <c r="F17317" s="546"/>
      <c r="G17317" s="234"/>
      <c r="H17317" s="238"/>
      <c r="I17317" s="237"/>
    </row>
    <row r="17318" spans="1:9" s="232" customFormat="1" ht="17" customHeight="1">
      <c r="A17318" s="234"/>
      <c r="B17318" s="233"/>
      <c r="C17318" s="238"/>
      <c r="E17318" s="545"/>
      <c r="F17318" s="546"/>
      <c r="G17318" s="234"/>
      <c r="H17318" s="238"/>
      <c r="I17318" s="237"/>
    </row>
    <row r="17319" spans="1:9" s="232" customFormat="1" ht="17" customHeight="1">
      <c r="A17319" s="234"/>
      <c r="B17319" s="233"/>
      <c r="C17319" s="238"/>
      <c r="E17319" s="545"/>
      <c r="F17319" s="546"/>
      <c r="G17319" s="234"/>
      <c r="H17319" s="238"/>
      <c r="I17319" s="237"/>
    </row>
    <row r="17320" spans="1:9" s="232" customFormat="1" ht="17" customHeight="1">
      <c r="A17320" s="234"/>
      <c r="B17320" s="233"/>
      <c r="C17320" s="238"/>
      <c r="E17320" s="545"/>
      <c r="F17320" s="546"/>
      <c r="G17320" s="234"/>
      <c r="H17320" s="238"/>
      <c r="I17320" s="237"/>
    </row>
    <row r="17321" spans="1:9" s="232" customFormat="1" ht="17" customHeight="1">
      <c r="A17321" s="234"/>
      <c r="B17321" s="233"/>
      <c r="C17321" s="238"/>
      <c r="E17321" s="545"/>
      <c r="F17321" s="546"/>
      <c r="G17321" s="234"/>
      <c r="H17321" s="238"/>
      <c r="I17321" s="237"/>
    </row>
    <row r="17322" spans="1:9" s="232" customFormat="1" ht="17" customHeight="1">
      <c r="A17322" s="234"/>
      <c r="B17322" s="233"/>
      <c r="C17322" s="238"/>
      <c r="E17322" s="545"/>
      <c r="F17322" s="546"/>
      <c r="G17322" s="234"/>
      <c r="H17322" s="238"/>
      <c r="I17322" s="237"/>
    </row>
    <row r="17323" spans="1:9" s="232" customFormat="1" ht="17" customHeight="1">
      <c r="A17323" s="234"/>
      <c r="B17323" s="233"/>
      <c r="C17323" s="238"/>
      <c r="E17323" s="545"/>
      <c r="F17323" s="546"/>
      <c r="G17323" s="234"/>
      <c r="H17323" s="238"/>
      <c r="I17323" s="237"/>
    </row>
    <row r="17324" spans="1:9" s="232" customFormat="1" ht="17" customHeight="1">
      <c r="A17324" s="234"/>
      <c r="B17324" s="233"/>
      <c r="C17324" s="238"/>
      <c r="E17324" s="545"/>
      <c r="F17324" s="546"/>
      <c r="G17324" s="234"/>
      <c r="H17324" s="238"/>
      <c r="I17324" s="237"/>
    </row>
    <row r="17325" spans="1:9" s="232" customFormat="1" ht="17" customHeight="1">
      <c r="A17325" s="234"/>
      <c r="B17325" s="233"/>
      <c r="C17325" s="238"/>
      <c r="E17325" s="545"/>
      <c r="F17325" s="546"/>
      <c r="G17325" s="234"/>
      <c r="H17325" s="238"/>
      <c r="I17325" s="237"/>
    </row>
    <row r="17326" spans="1:9" s="232" customFormat="1" ht="17" customHeight="1">
      <c r="A17326" s="234"/>
      <c r="B17326" s="233"/>
      <c r="C17326" s="238"/>
      <c r="E17326" s="545"/>
      <c r="F17326" s="546"/>
      <c r="G17326" s="234"/>
      <c r="H17326" s="238"/>
      <c r="I17326" s="237"/>
    </row>
    <row r="17327" spans="1:9" s="232" customFormat="1" ht="17" customHeight="1">
      <c r="A17327" s="234"/>
      <c r="B17327" s="233"/>
      <c r="C17327" s="238"/>
      <c r="E17327" s="545"/>
      <c r="F17327" s="546"/>
      <c r="G17327" s="234"/>
      <c r="H17327" s="238"/>
      <c r="I17327" s="237"/>
    </row>
    <row r="17328" spans="1:9" s="232" customFormat="1" ht="17" customHeight="1">
      <c r="A17328" s="234"/>
      <c r="B17328" s="233"/>
      <c r="C17328" s="238"/>
      <c r="E17328" s="545"/>
      <c r="F17328" s="546"/>
      <c r="G17328" s="234"/>
      <c r="H17328" s="238"/>
      <c r="I17328" s="237"/>
    </row>
    <row r="17329" spans="1:9" s="232" customFormat="1" ht="17" customHeight="1">
      <c r="A17329" s="234"/>
      <c r="B17329" s="233"/>
      <c r="C17329" s="238"/>
      <c r="E17329" s="545"/>
      <c r="F17329" s="546"/>
      <c r="G17329" s="234"/>
      <c r="H17329" s="238"/>
      <c r="I17329" s="237"/>
    </row>
    <row r="17330" spans="1:9" s="232" customFormat="1" ht="17" customHeight="1">
      <c r="A17330" s="234"/>
      <c r="B17330" s="233"/>
      <c r="C17330" s="238"/>
      <c r="E17330" s="545"/>
      <c r="F17330" s="546"/>
      <c r="G17330" s="234"/>
      <c r="H17330" s="238"/>
      <c r="I17330" s="237"/>
    </row>
    <row r="17331" spans="1:9" s="232" customFormat="1" ht="17" customHeight="1">
      <c r="A17331" s="234"/>
      <c r="B17331" s="233"/>
      <c r="C17331" s="238"/>
      <c r="E17331" s="545"/>
      <c r="F17331" s="546"/>
      <c r="G17331" s="234"/>
      <c r="H17331" s="238"/>
      <c r="I17331" s="237"/>
    </row>
    <row r="17332" spans="1:9" s="232" customFormat="1" ht="17" customHeight="1">
      <c r="A17332" s="234"/>
      <c r="B17332" s="233"/>
      <c r="C17332" s="238"/>
      <c r="E17332" s="545"/>
      <c r="F17332" s="546"/>
      <c r="G17332" s="234"/>
      <c r="H17332" s="238"/>
      <c r="I17332" s="237"/>
    </row>
    <row r="17333" spans="1:9" s="232" customFormat="1" ht="17" customHeight="1">
      <c r="A17333" s="234"/>
      <c r="B17333" s="233"/>
      <c r="C17333" s="238"/>
      <c r="E17333" s="545"/>
      <c r="F17333" s="546"/>
      <c r="G17333" s="234"/>
      <c r="H17333" s="238"/>
      <c r="I17333" s="237"/>
    </row>
    <row r="17334" spans="1:9" s="232" customFormat="1" ht="17" customHeight="1">
      <c r="A17334" s="234"/>
      <c r="B17334" s="233"/>
      <c r="C17334" s="238"/>
      <c r="E17334" s="545"/>
      <c r="F17334" s="546"/>
      <c r="G17334" s="234"/>
      <c r="H17334" s="238"/>
      <c r="I17334" s="237"/>
    </row>
    <row r="17335" spans="1:9" s="232" customFormat="1" ht="17" customHeight="1">
      <c r="A17335" s="234"/>
      <c r="B17335" s="233"/>
      <c r="C17335" s="238"/>
      <c r="E17335" s="545"/>
      <c r="F17335" s="546"/>
      <c r="G17335" s="234"/>
      <c r="H17335" s="238"/>
      <c r="I17335" s="237"/>
    </row>
    <row r="17336" spans="1:9" s="232" customFormat="1" ht="17" customHeight="1">
      <c r="A17336" s="234"/>
      <c r="B17336" s="233"/>
      <c r="C17336" s="238"/>
      <c r="E17336" s="545"/>
      <c r="F17336" s="546"/>
      <c r="G17336" s="234"/>
      <c r="H17336" s="238"/>
      <c r="I17336" s="237"/>
    </row>
    <row r="17337" spans="1:9" s="232" customFormat="1" ht="17" customHeight="1">
      <c r="A17337" s="234"/>
      <c r="B17337" s="233"/>
      <c r="C17337" s="238"/>
      <c r="E17337" s="545"/>
      <c r="F17337" s="546"/>
      <c r="G17337" s="234"/>
      <c r="H17337" s="238"/>
      <c r="I17337" s="237"/>
    </row>
    <row r="17338" spans="1:9" s="232" customFormat="1" ht="17" customHeight="1">
      <c r="A17338" s="234"/>
      <c r="B17338" s="233"/>
      <c r="C17338" s="238"/>
      <c r="E17338" s="545"/>
      <c r="F17338" s="546"/>
      <c r="G17338" s="234"/>
      <c r="H17338" s="238"/>
      <c r="I17338" s="237"/>
    </row>
    <row r="17339" spans="1:9" s="232" customFormat="1" ht="17" customHeight="1">
      <c r="A17339" s="234"/>
      <c r="B17339" s="233"/>
      <c r="C17339" s="238"/>
      <c r="E17339" s="545"/>
      <c r="F17339" s="546"/>
      <c r="G17339" s="234"/>
      <c r="H17339" s="238"/>
      <c r="I17339" s="237"/>
    </row>
    <row r="17340" spans="1:9" s="232" customFormat="1" ht="17" customHeight="1">
      <c r="A17340" s="234"/>
      <c r="B17340" s="233"/>
      <c r="C17340" s="238"/>
      <c r="E17340" s="545"/>
      <c r="F17340" s="546"/>
      <c r="G17340" s="234"/>
      <c r="H17340" s="238"/>
      <c r="I17340" s="237"/>
    </row>
    <row r="17341" spans="1:9" s="232" customFormat="1" ht="17" customHeight="1">
      <c r="A17341" s="234"/>
      <c r="B17341" s="233"/>
      <c r="C17341" s="238"/>
      <c r="E17341" s="545"/>
      <c r="F17341" s="546"/>
      <c r="G17341" s="234"/>
      <c r="H17341" s="238"/>
      <c r="I17341" s="237"/>
    </row>
    <row r="17342" spans="1:9" s="232" customFormat="1" ht="17" customHeight="1">
      <c r="A17342" s="234"/>
      <c r="B17342" s="233"/>
      <c r="C17342" s="238"/>
      <c r="E17342" s="545"/>
      <c r="F17342" s="546"/>
      <c r="G17342" s="234"/>
      <c r="H17342" s="238"/>
      <c r="I17342" s="237"/>
    </row>
    <row r="17343" spans="1:9" s="232" customFormat="1" ht="17" customHeight="1">
      <c r="A17343" s="234"/>
      <c r="B17343" s="233"/>
      <c r="C17343" s="238"/>
      <c r="E17343" s="545"/>
      <c r="F17343" s="546"/>
      <c r="G17343" s="234"/>
      <c r="H17343" s="238"/>
      <c r="I17343" s="237"/>
    </row>
    <row r="17344" spans="1:9" s="232" customFormat="1" ht="17" customHeight="1">
      <c r="A17344" s="234"/>
      <c r="B17344" s="233"/>
      <c r="C17344" s="238"/>
      <c r="E17344" s="545"/>
      <c r="F17344" s="546"/>
      <c r="G17344" s="234"/>
      <c r="H17344" s="238"/>
      <c r="I17344" s="237"/>
    </row>
    <row r="17345" spans="1:9" s="232" customFormat="1" ht="17" customHeight="1">
      <c r="A17345" s="234"/>
      <c r="B17345" s="233"/>
      <c r="C17345" s="238"/>
      <c r="E17345" s="545"/>
      <c r="F17345" s="546"/>
      <c r="G17345" s="234"/>
      <c r="H17345" s="238"/>
      <c r="I17345" s="237"/>
    </row>
    <row r="17346" spans="1:9" s="232" customFormat="1" ht="17" customHeight="1">
      <c r="A17346" s="234"/>
      <c r="B17346" s="233"/>
      <c r="C17346" s="238"/>
      <c r="E17346" s="545"/>
      <c r="F17346" s="546"/>
      <c r="G17346" s="234"/>
      <c r="H17346" s="238"/>
      <c r="I17346" s="237"/>
    </row>
    <row r="17347" spans="1:9" s="232" customFormat="1" ht="17" customHeight="1">
      <c r="A17347" s="234"/>
      <c r="B17347" s="233"/>
      <c r="C17347" s="238"/>
      <c r="E17347" s="545"/>
      <c r="F17347" s="546"/>
      <c r="G17347" s="234"/>
      <c r="H17347" s="238"/>
      <c r="I17347" s="237"/>
    </row>
    <row r="17348" spans="1:9" s="232" customFormat="1" ht="17" customHeight="1">
      <c r="A17348" s="234"/>
      <c r="B17348" s="233"/>
      <c r="C17348" s="238"/>
      <c r="E17348" s="545"/>
      <c r="F17348" s="546"/>
      <c r="G17348" s="234"/>
      <c r="H17348" s="238"/>
      <c r="I17348" s="237"/>
    </row>
    <row r="17349" spans="1:9" s="232" customFormat="1" ht="17" customHeight="1">
      <c r="A17349" s="234"/>
      <c r="B17349" s="233"/>
      <c r="C17349" s="238"/>
      <c r="E17349" s="545"/>
      <c r="F17349" s="546"/>
      <c r="G17349" s="234"/>
      <c r="H17349" s="238"/>
      <c r="I17349" s="237"/>
    </row>
    <row r="17350" spans="1:9" s="232" customFormat="1" ht="17" customHeight="1">
      <c r="A17350" s="234"/>
      <c r="B17350" s="233"/>
      <c r="C17350" s="238"/>
      <c r="E17350" s="545"/>
      <c r="F17350" s="546"/>
      <c r="G17350" s="234"/>
      <c r="H17350" s="238"/>
      <c r="I17350" s="237"/>
    </row>
    <row r="17351" spans="1:9" s="232" customFormat="1" ht="17" customHeight="1">
      <c r="A17351" s="234"/>
      <c r="B17351" s="233"/>
      <c r="C17351" s="238"/>
      <c r="E17351" s="545"/>
      <c r="F17351" s="546"/>
      <c r="G17351" s="234"/>
      <c r="H17351" s="238"/>
      <c r="I17351" s="237"/>
    </row>
    <row r="17352" spans="1:9" s="232" customFormat="1" ht="17" customHeight="1">
      <c r="A17352" s="234"/>
      <c r="B17352" s="233"/>
      <c r="C17352" s="238"/>
      <c r="E17352" s="545"/>
      <c r="F17352" s="546"/>
      <c r="G17352" s="234"/>
      <c r="H17352" s="238"/>
      <c r="I17352" s="237"/>
    </row>
    <row r="17353" spans="1:9" s="232" customFormat="1" ht="17" customHeight="1">
      <c r="A17353" s="234"/>
      <c r="B17353" s="233"/>
      <c r="C17353" s="238"/>
      <c r="E17353" s="545"/>
      <c r="F17353" s="546"/>
      <c r="G17353" s="234"/>
      <c r="H17353" s="238"/>
      <c r="I17353" s="237"/>
    </row>
    <row r="17354" spans="1:9" s="232" customFormat="1" ht="17" customHeight="1">
      <c r="A17354" s="234"/>
      <c r="B17354" s="233"/>
      <c r="C17354" s="238"/>
      <c r="E17354" s="545"/>
      <c r="F17354" s="546"/>
      <c r="G17354" s="234"/>
      <c r="H17354" s="238"/>
      <c r="I17354" s="237"/>
    </row>
    <row r="17355" spans="1:9" s="232" customFormat="1" ht="17" customHeight="1">
      <c r="A17355" s="234"/>
      <c r="B17355" s="233"/>
      <c r="C17355" s="238"/>
      <c r="E17355" s="545"/>
      <c r="F17355" s="546"/>
      <c r="G17355" s="234"/>
      <c r="H17355" s="238"/>
      <c r="I17355" s="237"/>
    </row>
    <row r="17356" spans="1:9" s="232" customFormat="1" ht="17" customHeight="1">
      <c r="A17356" s="234"/>
      <c r="B17356" s="233"/>
      <c r="C17356" s="238"/>
      <c r="E17356" s="545"/>
      <c r="F17356" s="546"/>
      <c r="G17356" s="234"/>
      <c r="H17356" s="238"/>
      <c r="I17356" s="237"/>
    </row>
    <row r="17357" spans="1:9" s="232" customFormat="1" ht="17" customHeight="1">
      <c r="A17357" s="234"/>
      <c r="B17357" s="233"/>
      <c r="C17357" s="238"/>
      <c r="E17357" s="545"/>
      <c r="F17357" s="546"/>
      <c r="G17357" s="234"/>
      <c r="H17357" s="238"/>
      <c r="I17357" s="237"/>
    </row>
    <row r="17358" spans="1:9" s="232" customFormat="1" ht="17" customHeight="1">
      <c r="A17358" s="234"/>
      <c r="B17358" s="233"/>
      <c r="C17358" s="238"/>
      <c r="E17358" s="545"/>
      <c r="F17358" s="546"/>
      <c r="G17358" s="234"/>
      <c r="H17358" s="238"/>
      <c r="I17358" s="237"/>
    </row>
    <row r="17359" spans="1:9" s="232" customFormat="1" ht="17" customHeight="1">
      <c r="A17359" s="234"/>
      <c r="B17359" s="233"/>
      <c r="C17359" s="238"/>
      <c r="E17359" s="545"/>
      <c r="F17359" s="546"/>
      <c r="G17359" s="234"/>
      <c r="H17359" s="238"/>
      <c r="I17359" s="237"/>
    </row>
    <row r="17360" spans="1:9" s="232" customFormat="1" ht="17" customHeight="1">
      <c r="A17360" s="234"/>
      <c r="B17360" s="233"/>
      <c r="C17360" s="238"/>
      <c r="E17360" s="545"/>
      <c r="F17360" s="546"/>
      <c r="G17360" s="234"/>
      <c r="H17360" s="238"/>
      <c r="I17360" s="237"/>
    </row>
    <row r="17361" spans="1:9" s="232" customFormat="1" ht="17" customHeight="1">
      <c r="A17361" s="234"/>
      <c r="B17361" s="233"/>
      <c r="C17361" s="238"/>
      <c r="E17361" s="545"/>
      <c r="F17361" s="546"/>
      <c r="G17361" s="234"/>
      <c r="H17361" s="238"/>
      <c r="I17361" s="237"/>
    </row>
    <row r="17362" spans="1:9" s="232" customFormat="1" ht="17" customHeight="1">
      <c r="A17362" s="234"/>
      <c r="B17362" s="233"/>
      <c r="C17362" s="238"/>
      <c r="E17362" s="545"/>
      <c r="F17362" s="546"/>
      <c r="G17362" s="234"/>
      <c r="H17362" s="238"/>
      <c r="I17362" s="237"/>
    </row>
    <row r="17363" spans="1:9" s="232" customFormat="1" ht="17" customHeight="1">
      <c r="A17363" s="234"/>
      <c r="B17363" s="233"/>
      <c r="C17363" s="238"/>
      <c r="E17363" s="545"/>
      <c r="F17363" s="546"/>
      <c r="G17363" s="234"/>
      <c r="H17363" s="238"/>
      <c r="I17363" s="237"/>
    </row>
    <row r="17364" spans="1:9" s="232" customFormat="1" ht="17" customHeight="1">
      <c r="A17364" s="234"/>
      <c r="B17364" s="233"/>
      <c r="C17364" s="238"/>
      <c r="E17364" s="545"/>
      <c r="F17364" s="546"/>
      <c r="G17364" s="234"/>
      <c r="H17364" s="238"/>
      <c r="I17364" s="237"/>
    </row>
    <row r="17365" spans="1:9" s="232" customFormat="1" ht="17" customHeight="1">
      <c r="A17365" s="234"/>
      <c r="B17365" s="233"/>
      <c r="C17365" s="238"/>
      <c r="E17365" s="545"/>
      <c r="F17365" s="546"/>
      <c r="G17365" s="234"/>
      <c r="H17365" s="238"/>
      <c r="I17365" s="237"/>
    </row>
    <row r="17366" spans="1:9" s="232" customFormat="1" ht="17" customHeight="1">
      <c r="A17366" s="234"/>
      <c r="B17366" s="233"/>
      <c r="C17366" s="238"/>
      <c r="E17366" s="545"/>
      <c r="F17366" s="546"/>
      <c r="G17366" s="234"/>
      <c r="H17366" s="238"/>
      <c r="I17366" s="237"/>
    </row>
    <row r="17367" spans="1:9" s="232" customFormat="1" ht="17" customHeight="1">
      <c r="A17367" s="234"/>
      <c r="B17367" s="233"/>
      <c r="C17367" s="238"/>
      <c r="E17367" s="545"/>
      <c r="F17367" s="546"/>
      <c r="G17367" s="234"/>
      <c r="H17367" s="238"/>
      <c r="I17367" s="237"/>
    </row>
    <row r="17368" spans="1:9" s="232" customFormat="1" ht="17" customHeight="1">
      <c r="A17368" s="234"/>
      <c r="B17368" s="233"/>
      <c r="C17368" s="238"/>
      <c r="E17368" s="545"/>
      <c r="F17368" s="546"/>
      <c r="G17368" s="234"/>
      <c r="H17368" s="238"/>
      <c r="I17368" s="237"/>
    </row>
    <row r="17369" spans="1:9" s="232" customFormat="1" ht="17" customHeight="1">
      <c r="A17369" s="234"/>
      <c r="B17369" s="233"/>
      <c r="C17369" s="238"/>
      <c r="E17369" s="545"/>
      <c r="F17369" s="546"/>
      <c r="G17369" s="234"/>
      <c r="H17369" s="238"/>
      <c r="I17369" s="237"/>
    </row>
    <row r="17370" spans="1:9" s="232" customFormat="1" ht="17" customHeight="1">
      <c r="A17370" s="234"/>
      <c r="B17370" s="233"/>
      <c r="C17370" s="238"/>
      <c r="E17370" s="545"/>
      <c r="F17370" s="546"/>
      <c r="G17370" s="234"/>
      <c r="H17370" s="238"/>
      <c r="I17370" s="237"/>
    </row>
    <row r="17371" spans="1:9" s="232" customFormat="1" ht="17" customHeight="1">
      <c r="A17371" s="234"/>
      <c r="B17371" s="233"/>
      <c r="C17371" s="238"/>
      <c r="E17371" s="545"/>
      <c r="F17371" s="546"/>
      <c r="G17371" s="234"/>
      <c r="H17371" s="238"/>
      <c r="I17371" s="237"/>
    </row>
    <row r="17372" spans="1:9" s="232" customFormat="1" ht="17" customHeight="1">
      <c r="A17372" s="234"/>
      <c r="B17372" s="233"/>
      <c r="C17372" s="238"/>
      <c r="E17372" s="545"/>
      <c r="F17372" s="546"/>
      <c r="G17372" s="234"/>
      <c r="H17372" s="238"/>
      <c r="I17372" s="237"/>
    </row>
    <row r="17373" spans="1:9" s="232" customFormat="1" ht="17" customHeight="1">
      <c r="A17373" s="234"/>
      <c r="B17373" s="233"/>
      <c r="C17373" s="238"/>
      <c r="E17373" s="545"/>
      <c r="F17373" s="546"/>
      <c r="G17373" s="234"/>
      <c r="H17373" s="238"/>
      <c r="I17373" s="237"/>
    </row>
    <row r="17374" spans="1:9" s="232" customFormat="1" ht="17" customHeight="1">
      <c r="A17374" s="234"/>
      <c r="B17374" s="233"/>
      <c r="C17374" s="238"/>
      <c r="E17374" s="545"/>
      <c r="F17374" s="546"/>
      <c r="G17374" s="234"/>
      <c r="H17374" s="238"/>
      <c r="I17374" s="237"/>
    </row>
    <row r="17375" spans="1:9" s="232" customFormat="1" ht="17" customHeight="1">
      <c r="A17375" s="234"/>
      <c r="B17375" s="233"/>
      <c r="C17375" s="238"/>
      <c r="E17375" s="545"/>
      <c r="F17375" s="546"/>
      <c r="G17375" s="234"/>
      <c r="H17375" s="238"/>
      <c r="I17375" s="237"/>
    </row>
    <row r="17376" spans="1:9" s="232" customFormat="1" ht="17" customHeight="1">
      <c r="A17376" s="234"/>
      <c r="B17376" s="233"/>
      <c r="C17376" s="238"/>
      <c r="E17376" s="545"/>
      <c r="F17376" s="546"/>
      <c r="G17376" s="234"/>
      <c r="H17376" s="238"/>
      <c r="I17376" s="237"/>
    </row>
    <row r="17377" spans="1:9" s="232" customFormat="1" ht="17" customHeight="1">
      <c r="A17377" s="234"/>
      <c r="B17377" s="233"/>
      <c r="C17377" s="238"/>
      <c r="E17377" s="545"/>
      <c r="F17377" s="546"/>
      <c r="G17377" s="234"/>
      <c r="H17377" s="238"/>
      <c r="I17377" s="237"/>
    </row>
    <row r="17378" spans="1:9" s="232" customFormat="1" ht="17" customHeight="1">
      <c r="A17378" s="234"/>
      <c r="B17378" s="233"/>
      <c r="C17378" s="238"/>
      <c r="E17378" s="545"/>
      <c r="F17378" s="546"/>
      <c r="G17378" s="234"/>
      <c r="H17378" s="238"/>
      <c r="I17378" s="237"/>
    </row>
    <row r="17379" spans="1:9" s="232" customFormat="1" ht="17" customHeight="1">
      <c r="A17379" s="234"/>
      <c r="B17379" s="233"/>
      <c r="C17379" s="238"/>
      <c r="E17379" s="545"/>
      <c r="F17379" s="546"/>
      <c r="G17379" s="234"/>
      <c r="H17379" s="238"/>
      <c r="I17379" s="237"/>
    </row>
    <row r="17380" spans="1:9" s="232" customFormat="1" ht="17" customHeight="1">
      <c r="A17380" s="234"/>
      <c r="B17380" s="233"/>
      <c r="C17380" s="238"/>
      <c r="E17380" s="545"/>
      <c r="F17380" s="546"/>
      <c r="G17380" s="234"/>
      <c r="H17380" s="238"/>
      <c r="I17380" s="237"/>
    </row>
    <row r="17381" spans="1:9" s="232" customFormat="1" ht="17" customHeight="1">
      <c r="A17381" s="234"/>
      <c r="B17381" s="233"/>
      <c r="C17381" s="238"/>
      <c r="E17381" s="545"/>
      <c r="F17381" s="546"/>
      <c r="G17381" s="234"/>
      <c r="H17381" s="238"/>
      <c r="I17381" s="237"/>
    </row>
    <row r="17382" spans="1:9" s="232" customFormat="1" ht="17" customHeight="1">
      <c r="A17382" s="234"/>
      <c r="B17382" s="233"/>
      <c r="C17382" s="238"/>
      <c r="E17382" s="545"/>
      <c r="F17382" s="546"/>
      <c r="G17382" s="234"/>
      <c r="H17382" s="238"/>
      <c r="I17382" s="237"/>
    </row>
    <row r="17383" spans="1:9" s="232" customFormat="1" ht="17" customHeight="1">
      <c r="A17383" s="234"/>
      <c r="B17383" s="233"/>
      <c r="C17383" s="238"/>
      <c r="E17383" s="545"/>
      <c r="F17383" s="546"/>
      <c r="G17383" s="234"/>
      <c r="H17383" s="238"/>
      <c r="I17383" s="237"/>
    </row>
    <row r="17384" spans="1:9" s="232" customFormat="1" ht="17" customHeight="1">
      <c r="A17384" s="234"/>
      <c r="B17384" s="233"/>
      <c r="C17384" s="238"/>
      <c r="E17384" s="545"/>
      <c r="F17384" s="546"/>
      <c r="G17384" s="234"/>
      <c r="H17384" s="238"/>
      <c r="I17384" s="237"/>
    </row>
    <row r="17385" spans="1:9" s="232" customFormat="1" ht="17" customHeight="1">
      <c r="A17385" s="234"/>
      <c r="B17385" s="233"/>
      <c r="C17385" s="238"/>
      <c r="E17385" s="545"/>
      <c r="F17385" s="546"/>
      <c r="G17385" s="234"/>
      <c r="H17385" s="238"/>
      <c r="I17385" s="237"/>
    </row>
    <row r="17386" spans="1:9" s="232" customFormat="1" ht="17" customHeight="1">
      <c r="A17386" s="234"/>
      <c r="B17386" s="233"/>
      <c r="C17386" s="238"/>
      <c r="E17386" s="545"/>
      <c r="F17386" s="546"/>
      <c r="G17386" s="234"/>
      <c r="H17386" s="238"/>
      <c r="I17386" s="237"/>
    </row>
    <row r="17387" spans="1:9" s="232" customFormat="1" ht="17" customHeight="1">
      <c r="A17387" s="234"/>
      <c r="B17387" s="233"/>
      <c r="C17387" s="238"/>
      <c r="E17387" s="545"/>
      <c r="F17387" s="546"/>
      <c r="G17387" s="234"/>
      <c r="H17387" s="238"/>
      <c r="I17387" s="237"/>
    </row>
    <row r="17388" spans="1:9" s="232" customFormat="1" ht="17" customHeight="1">
      <c r="A17388" s="234"/>
      <c r="B17388" s="233"/>
      <c r="C17388" s="238"/>
      <c r="E17388" s="545"/>
      <c r="F17388" s="546"/>
      <c r="G17388" s="234"/>
      <c r="H17388" s="238"/>
      <c r="I17388" s="237"/>
    </row>
    <row r="17389" spans="1:9" s="232" customFormat="1" ht="17" customHeight="1">
      <c r="A17389" s="234"/>
      <c r="B17389" s="233"/>
      <c r="C17389" s="238"/>
      <c r="E17389" s="545"/>
      <c r="F17389" s="546"/>
      <c r="G17389" s="234"/>
      <c r="H17389" s="238"/>
      <c r="I17389" s="237"/>
    </row>
    <row r="17390" spans="1:9" s="232" customFormat="1" ht="17" customHeight="1">
      <c r="A17390" s="234"/>
      <c r="B17390" s="233"/>
      <c r="C17390" s="238"/>
      <c r="E17390" s="545"/>
      <c r="F17390" s="546"/>
      <c r="G17390" s="234"/>
      <c r="H17390" s="238"/>
      <c r="I17390" s="237"/>
    </row>
    <row r="17391" spans="1:9" s="232" customFormat="1" ht="17" customHeight="1">
      <c r="A17391" s="234"/>
      <c r="B17391" s="233"/>
      <c r="C17391" s="238"/>
      <c r="E17391" s="545"/>
      <c r="F17391" s="546"/>
      <c r="G17391" s="234"/>
      <c r="H17391" s="238"/>
      <c r="I17391" s="237"/>
    </row>
    <row r="17392" spans="1:9" s="232" customFormat="1" ht="17" customHeight="1">
      <c r="A17392" s="234"/>
      <c r="B17392" s="233"/>
      <c r="C17392" s="238"/>
      <c r="E17392" s="545"/>
      <c r="F17392" s="546"/>
      <c r="G17392" s="234"/>
      <c r="H17392" s="238"/>
      <c r="I17392" s="237"/>
    </row>
    <row r="17393" spans="1:9" s="232" customFormat="1" ht="17" customHeight="1">
      <c r="A17393" s="234"/>
      <c r="B17393" s="233"/>
      <c r="C17393" s="238"/>
      <c r="E17393" s="545"/>
      <c r="F17393" s="546"/>
      <c r="G17393" s="234"/>
      <c r="H17393" s="238"/>
      <c r="I17393" s="237"/>
    </row>
    <row r="17394" spans="1:9" s="232" customFormat="1" ht="17" customHeight="1">
      <c r="A17394" s="234"/>
      <c r="B17394" s="233"/>
      <c r="C17394" s="238"/>
      <c r="E17394" s="545"/>
      <c r="F17394" s="546"/>
      <c r="G17394" s="234"/>
      <c r="H17394" s="238"/>
      <c r="I17394" s="237"/>
    </row>
    <row r="17395" spans="1:9" s="232" customFormat="1" ht="17" customHeight="1">
      <c r="A17395" s="234"/>
      <c r="B17395" s="233"/>
      <c r="C17395" s="238"/>
      <c r="E17395" s="545"/>
      <c r="F17395" s="546"/>
      <c r="G17395" s="234"/>
      <c r="H17395" s="238"/>
      <c r="I17395" s="237"/>
    </row>
    <row r="17396" spans="1:9" s="232" customFormat="1" ht="17" customHeight="1">
      <c r="A17396" s="234"/>
      <c r="B17396" s="233"/>
      <c r="C17396" s="238"/>
      <c r="E17396" s="545"/>
      <c r="F17396" s="546"/>
      <c r="G17396" s="234"/>
      <c r="H17396" s="238"/>
      <c r="I17396" s="237"/>
    </row>
    <row r="17397" spans="1:9" s="232" customFormat="1" ht="17" customHeight="1">
      <c r="A17397" s="234"/>
      <c r="B17397" s="233"/>
      <c r="C17397" s="238"/>
      <c r="E17397" s="545"/>
      <c r="F17397" s="546"/>
      <c r="G17397" s="234"/>
      <c r="H17397" s="238"/>
      <c r="I17397" s="237"/>
    </row>
    <row r="17398" spans="1:9" s="232" customFormat="1" ht="17" customHeight="1">
      <c r="A17398" s="234"/>
      <c r="B17398" s="233"/>
      <c r="C17398" s="238"/>
      <c r="E17398" s="545"/>
      <c r="F17398" s="546"/>
      <c r="G17398" s="234"/>
      <c r="H17398" s="238"/>
      <c r="I17398" s="237"/>
    </row>
    <row r="17399" spans="1:9" s="232" customFormat="1" ht="17" customHeight="1">
      <c r="A17399" s="234"/>
      <c r="B17399" s="233"/>
      <c r="C17399" s="238"/>
      <c r="E17399" s="545"/>
      <c r="F17399" s="546"/>
      <c r="G17399" s="234"/>
      <c r="H17399" s="238"/>
      <c r="I17399" s="237"/>
    </row>
    <row r="17400" spans="1:9" s="232" customFormat="1" ht="17" customHeight="1">
      <c r="A17400" s="234"/>
      <c r="B17400" s="233"/>
      <c r="C17400" s="238"/>
      <c r="E17400" s="545"/>
      <c r="F17400" s="546"/>
      <c r="G17400" s="234"/>
      <c r="H17400" s="238"/>
      <c r="I17400" s="237"/>
    </row>
    <row r="17401" spans="1:9" s="232" customFormat="1" ht="17" customHeight="1">
      <c r="A17401" s="234"/>
      <c r="B17401" s="233"/>
      <c r="C17401" s="238"/>
      <c r="E17401" s="545"/>
      <c r="F17401" s="546"/>
      <c r="G17401" s="234"/>
      <c r="H17401" s="238"/>
      <c r="I17401" s="237"/>
    </row>
    <row r="17402" spans="1:9" s="232" customFormat="1" ht="17" customHeight="1">
      <c r="A17402" s="234"/>
      <c r="B17402" s="233"/>
      <c r="C17402" s="238"/>
      <c r="E17402" s="545"/>
      <c r="F17402" s="546"/>
      <c r="G17402" s="234"/>
      <c r="H17402" s="238"/>
      <c r="I17402" s="237"/>
    </row>
    <row r="17403" spans="1:9" s="232" customFormat="1" ht="17" customHeight="1">
      <c r="A17403" s="234"/>
      <c r="B17403" s="233"/>
      <c r="C17403" s="238"/>
      <c r="E17403" s="545"/>
      <c r="F17403" s="546"/>
      <c r="G17403" s="234"/>
      <c r="H17403" s="238"/>
      <c r="I17403" s="237"/>
    </row>
    <row r="17404" spans="1:9" s="232" customFormat="1" ht="17" customHeight="1">
      <c r="A17404" s="234"/>
      <c r="B17404" s="233"/>
      <c r="C17404" s="238"/>
      <c r="E17404" s="545"/>
      <c r="F17404" s="546"/>
      <c r="G17404" s="234"/>
      <c r="H17404" s="238"/>
      <c r="I17404" s="237"/>
    </row>
    <row r="17405" spans="1:9" s="232" customFormat="1" ht="17" customHeight="1">
      <c r="A17405" s="234"/>
      <c r="B17405" s="233"/>
      <c r="C17405" s="238"/>
      <c r="E17405" s="545"/>
      <c r="F17405" s="546"/>
      <c r="G17405" s="234"/>
      <c r="H17405" s="238"/>
      <c r="I17405" s="237"/>
    </row>
    <row r="17406" spans="1:9" s="232" customFormat="1" ht="17" customHeight="1">
      <c r="A17406" s="234"/>
      <c r="B17406" s="233"/>
      <c r="C17406" s="238"/>
      <c r="E17406" s="545"/>
      <c r="F17406" s="546"/>
      <c r="G17406" s="234"/>
      <c r="H17406" s="238"/>
      <c r="I17406" s="237"/>
    </row>
    <row r="17407" spans="1:9" s="232" customFormat="1" ht="17" customHeight="1">
      <c r="A17407" s="234"/>
      <c r="B17407" s="233"/>
      <c r="C17407" s="238"/>
      <c r="E17407" s="545"/>
      <c r="F17407" s="546"/>
      <c r="G17407" s="234"/>
      <c r="H17407" s="238"/>
      <c r="I17407" s="237"/>
    </row>
    <row r="17408" spans="1:9" s="232" customFormat="1" ht="17" customHeight="1">
      <c r="A17408" s="234"/>
      <c r="B17408" s="233"/>
      <c r="C17408" s="238"/>
      <c r="E17408" s="545"/>
      <c r="F17408" s="546"/>
      <c r="G17408" s="234"/>
      <c r="H17408" s="238"/>
      <c r="I17408" s="237"/>
    </row>
    <row r="17409" spans="1:9" s="232" customFormat="1" ht="17" customHeight="1">
      <c r="A17409" s="234"/>
      <c r="B17409" s="233"/>
      <c r="C17409" s="238"/>
      <c r="E17409" s="545"/>
      <c r="F17409" s="546"/>
      <c r="G17409" s="234"/>
      <c r="H17409" s="238"/>
      <c r="I17409" s="237"/>
    </row>
    <row r="17410" spans="1:9" s="232" customFormat="1" ht="17" customHeight="1">
      <c r="A17410" s="234"/>
      <c r="B17410" s="233"/>
      <c r="C17410" s="238"/>
      <c r="E17410" s="545"/>
      <c r="F17410" s="546"/>
      <c r="G17410" s="234"/>
      <c r="H17410" s="238"/>
      <c r="I17410" s="237"/>
    </row>
    <row r="17411" spans="1:9" s="232" customFormat="1" ht="17" customHeight="1">
      <c r="A17411" s="234"/>
      <c r="B17411" s="233"/>
      <c r="C17411" s="238"/>
      <c r="E17411" s="545"/>
      <c r="F17411" s="546"/>
      <c r="G17411" s="234"/>
      <c r="H17411" s="238"/>
      <c r="I17411" s="237"/>
    </row>
    <row r="17412" spans="1:9" s="232" customFormat="1" ht="17" customHeight="1">
      <c r="A17412" s="234"/>
      <c r="B17412" s="233"/>
      <c r="C17412" s="238"/>
      <c r="E17412" s="545"/>
      <c r="F17412" s="546"/>
      <c r="G17412" s="234"/>
      <c r="H17412" s="238"/>
      <c r="I17412" s="237"/>
    </row>
    <row r="17413" spans="1:9" s="232" customFormat="1" ht="17" customHeight="1">
      <c r="A17413" s="234"/>
      <c r="B17413" s="233"/>
      <c r="C17413" s="238"/>
      <c r="E17413" s="545"/>
      <c r="F17413" s="546"/>
      <c r="G17413" s="234"/>
      <c r="H17413" s="238"/>
      <c r="I17413" s="237"/>
    </row>
    <row r="17414" spans="1:9" s="232" customFormat="1" ht="17" customHeight="1">
      <c r="A17414" s="234"/>
      <c r="B17414" s="233"/>
      <c r="C17414" s="238"/>
      <c r="E17414" s="545"/>
      <c r="F17414" s="546"/>
      <c r="G17414" s="234"/>
      <c r="H17414" s="238"/>
      <c r="I17414" s="237"/>
    </row>
    <row r="17415" spans="1:9" s="232" customFormat="1" ht="17" customHeight="1">
      <c r="A17415" s="234"/>
      <c r="B17415" s="233"/>
      <c r="C17415" s="238"/>
      <c r="E17415" s="545"/>
      <c r="F17415" s="546"/>
      <c r="G17415" s="234"/>
      <c r="H17415" s="238"/>
      <c r="I17415" s="237"/>
    </row>
    <row r="17416" spans="1:9" s="232" customFormat="1" ht="17" customHeight="1">
      <c r="A17416" s="234"/>
      <c r="B17416" s="233"/>
      <c r="C17416" s="238"/>
      <c r="E17416" s="545"/>
      <c r="F17416" s="546"/>
      <c r="G17416" s="234"/>
      <c r="H17416" s="238"/>
      <c r="I17416" s="237"/>
    </row>
    <row r="17417" spans="1:9" s="232" customFormat="1" ht="17" customHeight="1">
      <c r="A17417" s="234"/>
      <c r="B17417" s="233"/>
      <c r="C17417" s="238"/>
      <c r="E17417" s="545"/>
      <c r="F17417" s="546"/>
      <c r="G17417" s="234"/>
      <c r="H17417" s="238"/>
      <c r="I17417" s="237"/>
    </row>
    <row r="17418" spans="1:9" s="232" customFormat="1" ht="17" customHeight="1">
      <c r="A17418" s="234"/>
      <c r="B17418" s="233"/>
      <c r="C17418" s="238"/>
      <c r="E17418" s="545"/>
      <c r="F17418" s="546"/>
      <c r="G17418" s="234"/>
      <c r="H17418" s="238"/>
      <c r="I17418" s="237"/>
    </row>
    <row r="17419" spans="1:9" s="232" customFormat="1" ht="17" customHeight="1">
      <c r="A17419" s="234"/>
      <c r="B17419" s="233"/>
      <c r="C17419" s="238"/>
      <c r="E17419" s="545"/>
      <c r="F17419" s="546"/>
      <c r="G17419" s="234"/>
      <c r="H17419" s="238"/>
      <c r="I17419" s="237"/>
    </row>
    <row r="17420" spans="1:9" s="232" customFormat="1" ht="17" customHeight="1">
      <c r="A17420" s="234"/>
      <c r="B17420" s="233"/>
      <c r="C17420" s="238"/>
      <c r="E17420" s="545"/>
      <c r="F17420" s="546"/>
      <c r="G17420" s="234"/>
      <c r="H17420" s="238"/>
      <c r="I17420" s="237"/>
    </row>
    <row r="17421" spans="1:9" s="232" customFormat="1" ht="17" customHeight="1">
      <c r="A17421" s="234"/>
      <c r="B17421" s="233"/>
      <c r="C17421" s="238"/>
      <c r="E17421" s="545"/>
      <c r="F17421" s="546"/>
      <c r="G17421" s="234"/>
      <c r="H17421" s="238"/>
      <c r="I17421" s="237"/>
    </row>
    <row r="17422" spans="1:9" s="232" customFormat="1" ht="17" customHeight="1">
      <c r="A17422" s="234"/>
      <c r="B17422" s="233"/>
      <c r="C17422" s="238"/>
      <c r="E17422" s="545"/>
      <c r="F17422" s="546"/>
      <c r="G17422" s="234"/>
      <c r="H17422" s="238"/>
      <c r="I17422" s="237"/>
    </row>
    <row r="17423" spans="1:9" s="232" customFormat="1" ht="17" customHeight="1">
      <c r="A17423" s="234"/>
      <c r="B17423" s="233"/>
      <c r="C17423" s="238"/>
      <c r="E17423" s="545"/>
      <c r="F17423" s="546"/>
      <c r="G17423" s="234"/>
      <c r="H17423" s="238"/>
      <c r="I17423" s="237"/>
    </row>
    <row r="17424" spans="1:9" s="232" customFormat="1" ht="17" customHeight="1">
      <c r="A17424" s="234"/>
      <c r="B17424" s="233"/>
      <c r="C17424" s="238"/>
      <c r="E17424" s="545"/>
      <c r="F17424" s="546"/>
      <c r="G17424" s="234"/>
      <c r="H17424" s="238"/>
      <c r="I17424" s="237"/>
    </row>
    <row r="17425" spans="1:9" s="232" customFormat="1" ht="17" customHeight="1">
      <c r="A17425" s="234"/>
      <c r="B17425" s="233"/>
      <c r="C17425" s="238"/>
      <c r="E17425" s="545"/>
      <c r="F17425" s="546"/>
      <c r="G17425" s="234"/>
      <c r="H17425" s="238"/>
      <c r="I17425" s="237"/>
    </row>
    <row r="17426" spans="1:9" s="232" customFormat="1" ht="17" customHeight="1">
      <c r="A17426" s="234"/>
      <c r="B17426" s="233"/>
      <c r="C17426" s="238"/>
      <c r="E17426" s="545"/>
      <c r="F17426" s="546"/>
      <c r="G17426" s="234"/>
      <c r="H17426" s="238"/>
      <c r="I17426" s="237"/>
    </row>
    <row r="17427" spans="1:9" s="232" customFormat="1" ht="17" customHeight="1">
      <c r="A17427" s="234"/>
      <c r="B17427" s="233"/>
      <c r="C17427" s="238"/>
      <c r="E17427" s="545"/>
      <c r="F17427" s="546"/>
      <c r="G17427" s="234"/>
      <c r="H17427" s="238"/>
      <c r="I17427" s="237"/>
    </row>
    <row r="17428" spans="1:9" s="232" customFormat="1" ht="17" customHeight="1">
      <c r="A17428" s="234"/>
      <c r="B17428" s="233"/>
      <c r="C17428" s="238"/>
      <c r="E17428" s="545"/>
      <c r="F17428" s="546"/>
      <c r="G17428" s="234"/>
      <c r="H17428" s="238"/>
      <c r="I17428" s="237"/>
    </row>
    <row r="17429" spans="1:9" s="232" customFormat="1" ht="17" customHeight="1">
      <c r="A17429" s="234"/>
      <c r="B17429" s="233"/>
      <c r="C17429" s="238"/>
      <c r="E17429" s="545"/>
      <c r="F17429" s="546"/>
      <c r="G17429" s="234"/>
      <c r="H17429" s="238"/>
      <c r="I17429" s="237"/>
    </row>
    <row r="17430" spans="1:9" s="232" customFormat="1" ht="17" customHeight="1">
      <c r="A17430" s="234"/>
      <c r="B17430" s="233"/>
      <c r="C17430" s="238"/>
      <c r="E17430" s="545"/>
      <c r="F17430" s="546"/>
      <c r="G17430" s="234"/>
      <c r="H17430" s="238"/>
      <c r="I17430" s="237"/>
    </row>
    <row r="17431" spans="1:9" s="232" customFormat="1" ht="17" customHeight="1">
      <c r="A17431" s="234"/>
      <c r="B17431" s="233"/>
      <c r="C17431" s="238"/>
      <c r="E17431" s="545"/>
      <c r="F17431" s="546"/>
      <c r="G17431" s="234"/>
      <c r="H17431" s="238"/>
      <c r="I17431" s="237"/>
    </row>
    <row r="17432" spans="1:9" s="232" customFormat="1" ht="17" customHeight="1">
      <c r="A17432" s="234"/>
      <c r="B17432" s="233"/>
      <c r="C17432" s="238"/>
      <c r="E17432" s="545"/>
      <c r="F17432" s="546"/>
      <c r="G17432" s="234"/>
      <c r="H17432" s="238"/>
      <c r="I17432" s="237"/>
    </row>
    <row r="17433" spans="1:9" s="232" customFormat="1" ht="17" customHeight="1">
      <c r="A17433" s="234"/>
      <c r="B17433" s="233"/>
      <c r="C17433" s="238"/>
      <c r="E17433" s="545"/>
      <c r="F17433" s="546"/>
      <c r="G17433" s="234"/>
      <c r="H17433" s="238"/>
      <c r="I17433" s="237"/>
    </row>
    <row r="17434" spans="1:9" s="232" customFormat="1" ht="17" customHeight="1">
      <c r="A17434" s="234"/>
      <c r="B17434" s="233"/>
      <c r="C17434" s="238"/>
      <c r="E17434" s="545"/>
      <c r="F17434" s="546"/>
      <c r="G17434" s="234"/>
      <c r="H17434" s="238"/>
      <c r="I17434" s="237"/>
    </row>
    <row r="17435" spans="1:9" s="232" customFormat="1" ht="17" customHeight="1">
      <c r="A17435" s="234"/>
      <c r="B17435" s="233"/>
      <c r="C17435" s="238"/>
      <c r="E17435" s="545"/>
      <c r="F17435" s="546"/>
      <c r="G17435" s="234"/>
      <c r="H17435" s="238"/>
      <c r="I17435" s="237"/>
    </row>
    <row r="17436" spans="1:9" s="232" customFormat="1" ht="17" customHeight="1">
      <c r="A17436" s="234"/>
      <c r="B17436" s="233"/>
      <c r="C17436" s="238"/>
      <c r="E17436" s="545"/>
      <c r="F17436" s="546"/>
      <c r="G17436" s="234"/>
      <c r="H17436" s="238"/>
      <c r="I17436" s="237"/>
    </row>
    <row r="17437" spans="1:9" s="232" customFormat="1" ht="17" customHeight="1">
      <c r="A17437" s="234"/>
      <c r="B17437" s="233"/>
      <c r="C17437" s="238"/>
      <c r="E17437" s="545"/>
      <c r="F17437" s="546"/>
      <c r="G17437" s="234"/>
      <c r="H17437" s="238"/>
      <c r="I17437" s="237"/>
    </row>
    <row r="17438" spans="1:9" s="232" customFormat="1" ht="17" customHeight="1">
      <c r="A17438" s="234"/>
      <c r="B17438" s="233"/>
      <c r="C17438" s="238"/>
      <c r="E17438" s="545"/>
      <c r="F17438" s="546"/>
      <c r="G17438" s="234"/>
      <c r="H17438" s="238"/>
      <c r="I17438" s="237"/>
    </row>
    <row r="17439" spans="1:9" s="232" customFormat="1" ht="17" customHeight="1">
      <c r="A17439" s="234"/>
      <c r="B17439" s="233"/>
      <c r="C17439" s="238"/>
      <c r="E17439" s="545"/>
      <c r="F17439" s="546"/>
      <c r="G17439" s="234"/>
      <c r="H17439" s="238"/>
      <c r="I17439" s="237"/>
    </row>
    <row r="17440" spans="1:9" s="232" customFormat="1" ht="17" customHeight="1">
      <c r="A17440" s="234"/>
      <c r="B17440" s="233"/>
      <c r="C17440" s="238"/>
      <c r="E17440" s="545"/>
      <c r="F17440" s="546"/>
      <c r="G17440" s="234"/>
      <c r="H17440" s="238"/>
      <c r="I17440" s="237"/>
    </row>
    <row r="17441" spans="1:9" s="232" customFormat="1" ht="17" customHeight="1">
      <c r="A17441" s="234"/>
      <c r="B17441" s="233"/>
      <c r="C17441" s="238"/>
      <c r="E17441" s="545"/>
      <c r="F17441" s="546"/>
      <c r="G17441" s="234"/>
      <c r="H17441" s="238"/>
      <c r="I17441" s="237"/>
    </row>
    <row r="17442" spans="1:9" s="232" customFormat="1" ht="17" customHeight="1">
      <c r="A17442" s="234"/>
      <c r="B17442" s="233"/>
      <c r="C17442" s="238"/>
      <c r="E17442" s="545"/>
      <c r="F17442" s="546"/>
      <c r="G17442" s="234"/>
      <c r="H17442" s="238"/>
      <c r="I17442" s="237"/>
    </row>
    <row r="17443" spans="1:9" s="232" customFormat="1" ht="17" customHeight="1">
      <c r="A17443" s="234"/>
      <c r="B17443" s="233"/>
      <c r="C17443" s="238"/>
      <c r="E17443" s="545"/>
      <c r="F17443" s="546"/>
      <c r="G17443" s="234"/>
      <c r="H17443" s="238"/>
      <c r="I17443" s="237"/>
    </row>
    <row r="17444" spans="1:9" s="232" customFormat="1" ht="17" customHeight="1">
      <c r="A17444" s="234"/>
      <c r="B17444" s="233"/>
      <c r="C17444" s="238"/>
      <c r="E17444" s="545"/>
      <c r="F17444" s="546"/>
      <c r="G17444" s="234"/>
      <c r="H17444" s="238"/>
      <c r="I17444" s="237"/>
    </row>
    <row r="17445" spans="1:9" s="232" customFormat="1" ht="17" customHeight="1">
      <c r="A17445" s="234"/>
      <c r="B17445" s="233"/>
      <c r="C17445" s="238"/>
      <c r="E17445" s="545"/>
      <c r="F17445" s="546"/>
      <c r="G17445" s="234"/>
      <c r="H17445" s="238"/>
      <c r="I17445" s="237"/>
    </row>
    <row r="17446" spans="1:9" s="232" customFormat="1" ht="17" customHeight="1">
      <c r="A17446" s="234"/>
      <c r="B17446" s="233"/>
      <c r="C17446" s="238"/>
      <c r="E17446" s="545"/>
      <c r="F17446" s="546"/>
      <c r="G17446" s="234"/>
      <c r="H17446" s="238"/>
      <c r="I17446" s="237"/>
    </row>
    <row r="17447" spans="1:9" s="232" customFormat="1" ht="17" customHeight="1">
      <c r="A17447" s="234"/>
      <c r="B17447" s="233"/>
      <c r="C17447" s="238"/>
      <c r="E17447" s="545"/>
      <c r="F17447" s="546"/>
      <c r="G17447" s="234"/>
      <c r="H17447" s="238"/>
      <c r="I17447" s="237"/>
    </row>
    <row r="17448" spans="1:9" s="232" customFormat="1" ht="17" customHeight="1">
      <c r="A17448" s="234"/>
      <c r="B17448" s="233"/>
      <c r="C17448" s="238"/>
      <c r="E17448" s="545"/>
      <c r="F17448" s="546"/>
      <c r="G17448" s="234"/>
      <c r="H17448" s="238"/>
      <c r="I17448" s="237"/>
    </row>
    <row r="17449" spans="1:9" s="232" customFormat="1" ht="17" customHeight="1">
      <c r="A17449" s="234"/>
      <c r="B17449" s="233"/>
      <c r="C17449" s="238"/>
      <c r="E17449" s="545"/>
      <c r="F17449" s="546"/>
      <c r="G17449" s="234"/>
      <c r="H17449" s="238"/>
      <c r="I17449" s="237"/>
    </row>
    <row r="17450" spans="1:9" s="232" customFormat="1" ht="17" customHeight="1">
      <c r="A17450" s="234"/>
      <c r="B17450" s="233"/>
      <c r="C17450" s="238"/>
      <c r="E17450" s="545"/>
      <c r="F17450" s="546"/>
      <c r="G17450" s="234"/>
      <c r="H17450" s="238"/>
      <c r="I17450" s="237"/>
    </row>
    <row r="17451" spans="1:9" s="232" customFormat="1" ht="17" customHeight="1">
      <c r="A17451" s="234"/>
      <c r="B17451" s="233"/>
      <c r="C17451" s="238"/>
      <c r="E17451" s="545"/>
      <c r="F17451" s="546"/>
      <c r="G17451" s="234"/>
      <c r="H17451" s="238"/>
      <c r="I17451" s="237"/>
    </row>
    <row r="17452" spans="1:9" s="232" customFormat="1" ht="17" customHeight="1">
      <c r="A17452" s="234"/>
      <c r="B17452" s="233"/>
      <c r="C17452" s="238"/>
      <c r="E17452" s="545"/>
      <c r="F17452" s="546"/>
      <c r="G17452" s="234"/>
      <c r="H17452" s="238"/>
      <c r="I17452" s="237"/>
    </row>
    <row r="17453" spans="1:9" s="232" customFormat="1" ht="17" customHeight="1">
      <c r="A17453" s="234"/>
      <c r="B17453" s="233"/>
      <c r="C17453" s="238"/>
      <c r="E17453" s="545"/>
      <c r="F17453" s="546"/>
      <c r="G17453" s="234"/>
      <c r="H17453" s="238"/>
      <c r="I17453" s="237"/>
    </row>
    <row r="17454" spans="1:9" s="232" customFormat="1" ht="17" customHeight="1">
      <c r="A17454" s="234"/>
      <c r="B17454" s="233"/>
      <c r="C17454" s="238"/>
      <c r="E17454" s="545"/>
      <c r="F17454" s="546"/>
      <c r="G17454" s="234"/>
      <c r="H17454" s="238"/>
      <c r="I17454" s="237"/>
    </row>
    <row r="17455" spans="1:9" s="232" customFormat="1" ht="17" customHeight="1">
      <c r="A17455" s="234"/>
      <c r="B17455" s="233"/>
      <c r="C17455" s="238"/>
      <c r="E17455" s="545"/>
      <c r="F17455" s="546"/>
      <c r="G17455" s="234"/>
      <c r="H17455" s="238"/>
      <c r="I17455" s="237"/>
    </row>
    <row r="17456" spans="1:9" s="232" customFormat="1" ht="17" customHeight="1">
      <c r="A17456" s="234"/>
      <c r="B17456" s="233"/>
      <c r="C17456" s="238"/>
      <c r="E17456" s="545"/>
      <c r="F17456" s="546"/>
      <c r="G17456" s="234"/>
      <c r="H17456" s="238"/>
      <c r="I17456" s="237"/>
    </row>
    <row r="17457" spans="1:9" s="232" customFormat="1" ht="17" customHeight="1">
      <c r="A17457" s="234"/>
      <c r="B17457" s="233"/>
      <c r="C17457" s="238"/>
      <c r="E17457" s="545"/>
      <c r="F17457" s="546"/>
      <c r="G17457" s="234"/>
      <c r="H17457" s="238"/>
      <c r="I17457" s="237"/>
    </row>
    <row r="17458" spans="1:9" s="232" customFormat="1" ht="17" customHeight="1">
      <c r="A17458" s="234"/>
      <c r="B17458" s="233"/>
      <c r="C17458" s="238"/>
      <c r="E17458" s="545"/>
      <c r="F17458" s="546"/>
      <c r="G17458" s="234"/>
      <c r="H17458" s="238"/>
      <c r="I17458" s="237"/>
    </row>
    <row r="17459" spans="1:9" s="232" customFormat="1" ht="17" customHeight="1">
      <c r="A17459" s="234"/>
      <c r="B17459" s="233"/>
      <c r="C17459" s="238"/>
      <c r="E17459" s="545"/>
      <c r="F17459" s="546"/>
      <c r="G17459" s="234"/>
      <c r="H17459" s="238"/>
      <c r="I17459" s="237"/>
    </row>
    <row r="17460" spans="1:9" s="232" customFormat="1" ht="17" customHeight="1">
      <c r="A17460" s="234"/>
      <c r="B17460" s="233"/>
      <c r="C17460" s="238"/>
      <c r="E17460" s="545"/>
      <c r="F17460" s="546"/>
      <c r="G17460" s="234"/>
      <c r="H17460" s="238"/>
      <c r="I17460" s="237"/>
    </row>
    <row r="17461" spans="1:9" s="232" customFormat="1" ht="17" customHeight="1">
      <c r="A17461" s="234"/>
      <c r="B17461" s="233"/>
      <c r="C17461" s="238"/>
      <c r="E17461" s="545"/>
      <c r="F17461" s="546"/>
      <c r="G17461" s="234"/>
      <c r="H17461" s="238"/>
      <c r="I17461" s="237"/>
    </row>
    <row r="17462" spans="1:9" s="232" customFormat="1" ht="17" customHeight="1">
      <c r="A17462" s="234"/>
      <c r="B17462" s="233"/>
      <c r="C17462" s="238"/>
      <c r="E17462" s="545"/>
      <c r="F17462" s="546"/>
      <c r="G17462" s="234"/>
      <c r="H17462" s="238"/>
      <c r="I17462" s="237"/>
    </row>
    <row r="17463" spans="1:9" s="232" customFormat="1" ht="17" customHeight="1">
      <c r="A17463" s="234"/>
      <c r="B17463" s="233"/>
      <c r="C17463" s="238"/>
      <c r="E17463" s="545"/>
      <c r="F17463" s="546"/>
      <c r="G17463" s="234"/>
      <c r="H17463" s="238"/>
      <c r="I17463" s="237"/>
    </row>
    <row r="17464" spans="1:9" s="232" customFormat="1" ht="17" customHeight="1">
      <c r="A17464" s="234"/>
      <c r="B17464" s="233"/>
      <c r="C17464" s="238"/>
      <c r="E17464" s="545"/>
      <c r="F17464" s="546"/>
      <c r="G17464" s="234"/>
      <c r="H17464" s="238"/>
      <c r="I17464" s="237"/>
    </row>
    <row r="17465" spans="1:9" s="232" customFormat="1" ht="17" customHeight="1">
      <c r="A17465" s="234"/>
      <c r="B17465" s="233"/>
      <c r="C17465" s="238"/>
      <c r="E17465" s="545"/>
      <c r="F17465" s="546"/>
      <c r="G17465" s="234"/>
      <c r="H17465" s="238"/>
      <c r="I17465" s="237"/>
    </row>
    <row r="17466" spans="1:9" s="232" customFormat="1" ht="17" customHeight="1">
      <c r="A17466" s="234"/>
      <c r="B17466" s="233"/>
      <c r="C17466" s="238"/>
      <c r="E17466" s="545"/>
      <c r="F17466" s="546"/>
      <c r="G17466" s="234"/>
      <c r="H17466" s="238"/>
      <c r="I17466" s="237"/>
    </row>
    <row r="17467" spans="1:9" s="232" customFormat="1" ht="17" customHeight="1">
      <c r="A17467" s="234"/>
      <c r="B17467" s="233"/>
      <c r="C17467" s="238"/>
      <c r="E17467" s="545"/>
      <c r="F17467" s="546"/>
      <c r="G17467" s="234"/>
      <c r="H17467" s="238"/>
      <c r="I17467" s="237"/>
    </row>
    <row r="17468" spans="1:9" s="232" customFormat="1" ht="17" customHeight="1">
      <c r="A17468" s="234"/>
      <c r="B17468" s="233"/>
      <c r="C17468" s="238"/>
      <c r="E17468" s="545"/>
      <c r="F17468" s="546"/>
      <c r="G17468" s="234"/>
      <c r="H17468" s="238"/>
      <c r="I17468" s="237"/>
    </row>
    <row r="17469" spans="1:9" s="232" customFormat="1" ht="17" customHeight="1">
      <c r="A17469" s="234"/>
      <c r="B17469" s="233"/>
      <c r="C17469" s="238"/>
      <c r="E17469" s="545"/>
      <c r="F17469" s="546"/>
      <c r="G17469" s="234"/>
      <c r="H17469" s="238"/>
      <c r="I17469" s="237"/>
    </row>
    <row r="17470" spans="1:9" s="232" customFormat="1" ht="17" customHeight="1">
      <c r="A17470" s="234"/>
      <c r="B17470" s="233"/>
      <c r="C17470" s="238"/>
      <c r="E17470" s="545"/>
      <c r="F17470" s="546"/>
      <c r="G17470" s="234"/>
      <c r="H17470" s="238"/>
      <c r="I17470" s="237"/>
    </row>
    <row r="17471" spans="1:9" s="232" customFormat="1" ht="17" customHeight="1">
      <c r="A17471" s="234"/>
      <c r="B17471" s="233"/>
      <c r="C17471" s="238"/>
      <c r="E17471" s="545"/>
      <c r="F17471" s="546"/>
      <c r="G17471" s="234"/>
      <c r="H17471" s="238"/>
      <c r="I17471" s="237"/>
    </row>
    <row r="17472" spans="1:9" s="232" customFormat="1" ht="17" customHeight="1">
      <c r="A17472" s="234"/>
      <c r="B17472" s="233"/>
      <c r="C17472" s="238"/>
      <c r="E17472" s="545"/>
      <c r="F17472" s="546"/>
      <c r="G17472" s="234"/>
      <c r="H17472" s="238"/>
      <c r="I17472" s="237"/>
    </row>
    <row r="17473" spans="1:9" s="232" customFormat="1" ht="17" customHeight="1">
      <c r="A17473" s="234"/>
      <c r="B17473" s="233"/>
      <c r="C17473" s="238"/>
      <c r="E17473" s="545"/>
      <c r="F17473" s="546"/>
      <c r="G17473" s="234"/>
      <c r="H17473" s="238"/>
      <c r="I17473" s="237"/>
    </row>
    <row r="17474" spans="1:9" s="232" customFormat="1" ht="17" customHeight="1">
      <c r="A17474" s="234"/>
      <c r="B17474" s="233"/>
      <c r="C17474" s="238"/>
      <c r="E17474" s="545"/>
      <c r="F17474" s="546"/>
      <c r="G17474" s="234"/>
      <c r="H17474" s="238"/>
      <c r="I17474" s="237"/>
    </row>
    <row r="17475" spans="1:9" s="232" customFormat="1" ht="17" customHeight="1">
      <c r="A17475" s="234"/>
      <c r="B17475" s="233"/>
      <c r="C17475" s="238"/>
      <c r="E17475" s="545"/>
      <c r="F17475" s="546"/>
      <c r="G17475" s="234"/>
      <c r="H17475" s="238"/>
      <c r="I17475" s="237"/>
    </row>
    <row r="17476" spans="1:9" s="232" customFormat="1" ht="17" customHeight="1">
      <c r="A17476" s="234"/>
      <c r="B17476" s="233"/>
      <c r="C17476" s="238"/>
      <c r="E17476" s="545"/>
      <c r="F17476" s="546"/>
      <c r="G17476" s="234"/>
      <c r="H17476" s="238"/>
      <c r="I17476" s="237"/>
    </row>
    <row r="17477" spans="1:9" s="232" customFormat="1" ht="17" customHeight="1">
      <c r="A17477" s="234"/>
      <c r="B17477" s="233"/>
      <c r="C17477" s="238"/>
      <c r="E17477" s="545"/>
      <c r="F17477" s="546"/>
      <c r="G17477" s="234"/>
      <c r="H17477" s="238"/>
      <c r="I17477" s="237"/>
    </row>
    <row r="17478" spans="1:9" s="232" customFormat="1" ht="17" customHeight="1">
      <c r="A17478" s="234"/>
      <c r="B17478" s="233"/>
      <c r="C17478" s="238"/>
      <c r="E17478" s="545"/>
      <c r="F17478" s="546"/>
      <c r="G17478" s="234"/>
      <c r="H17478" s="238"/>
      <c r="I17478" s="237"/>
    </row>
    <row r="17479" spans="1:9" s="232" customFormat="1" ht="17" customHeight="1">
      <c r="A17479" s="234"/>
      <c r="B17479" s="233"/>
      <c r="C17479" s="238"/>
      <c r="E17479" s="545"/>
      <c r="F17479" s="546"/>
      <c r="G17479" s="234"/>
      <c r="H17479" s="238"/>
      <c r="I17479" s="237"/>
    </row>
    <row r="17480" spans="1:9" s="232" customFormat="1" ht="17" customHeight="1">
      <c r="A17480" s="234"/>
      <c r="B17480" s="233"/>
      <c r="C17480" s="238"/>
      <c r="E17480" s="545"/>
      <c r="F17480" s="546"/>
      <c r="G17480" s="234"/>
      <c r="H17480" s="238"/>
      <c r="I17480" s="237"/>
    </row>
    <row r="17481" spans="1:9" s="232" customFormat="1" ht="17" customHeight="1">
      <c r="A17481" s="234"/>
      <c r="B17481" s="233"/>
      <c r="C17481" s="238"/>
      <c r="E17481" s="545"/>
      <c r="F17481" s="546"/>
      <c r="G17481" s="234"/>
      <c r="H17481" s="238"/>
      <c r="I17481" s="237"/>
    </row>
    <row r="17482" spans="1:9" s="232" customFormat="1" ht="17" customHeight="1">
      <c r="A17482" s="234"/>
      <c r="B17482" s="233"/>
      <c r="C17482" s="238"/>
      <c r="E17482" s="545"/>
      <c r="F17482" s="546"/>
      <c r="G17482" s="234"/>
      <c r="H17482" s="238"/>
      <c r="I17482" s="237"/>
    </row>
    <row r="17483" spans="1:9" s="232" customFormat="1" ht="17" customHeight="1">
      <c r="A17483" s="234"/>
      <c r="B17483" s="233"/>
      <c r="C17483" s="238"/>
      <c r="E17483" s="545"/>
      <c r="F17483" s="546"/>
      <c r="G17483" s="234"/>
      <c r="H17483" s="238"/>
      <c r="I17483" s="237"/>
    </row>
    <row r="17484" spans="1:9" s="232" customFormat="1" ht="17" customHeight="1">
      <c r="A17484" s="234"/>
      <c r="B17484" s="233"/>
      <c r="C17484" s="238"/>
      <c r="E17484" s="545"/>
      <c r="F17484" s="546"/>
      <c r="G17484" s="234"/>
      <c r="H17484" s="238"/>
      <c r="I17484" s="237"/>
    </row>
    <row r="17485" spans="1:9" s="232" customFormat="1" ht="17" customHeight="1">
      <c r="A17485" s="234"/>
      <c r="B17485" s="233"/>
      <c r="C17485" s="238"/>
      <c r="E17485" s="545"/>
      <c r="F17485" s="546"/>
      <c r="G17485" s="234"/>
      <c r="H17485" s="238"/>
      <c r="I17485" s="237"/>
    </row>
    <row r="17486" spans="1:9" s="232" customFormat="1" ht="17" customHeight="1">
      <c r="A17486" s="234"/>
      <c r="B17486" s="233"/>
      <c r="C17486" s="238"/>
      <c r="E17486" s="545"/>
      <c r="F17486" s="546"/>
      <c r="G17486" s="234"/>
      <c r="H17486" s="238"/>
      <c r="I17486" s="237"/>
    </row>
    <row r="17487" spans="1:9" s="232" customFormat="1" ht="17" customHeight="1">
      <c r="A17487" s="234"/>
      <c r="B17487" s="233"/>
      <c r="C17487" s="238"/>
      <c r="E17487" s="545"/>
      <c r="F17487" s="546"/>
      <c r="G17487" s="234"/>
      <c r="H17487" s="238"/>
      <c r="I17487" s="237"/>
    </row>
    <row r="17488" spans="1:9" s="232" customFormat="1" ht="17" customHeight="1">
      <c r="A17488" s="234"/>
      <c r="B17488" s="233"/>
      <c r="C17488" s="238"/>
      <c r="E17488" s="545"/>
      <c r="F17488" s="546"/>
      <c r="G17488" s="234"/>
      <c r="H17488" s="238"/>
      <c r="I17488" s="237"/>
    </row>
    <row r="17489" spans="1:9" s="232" customFormat="1" ht="17" customHeight="1">
      <c r="A17489" s="234"/>
      <c r="B17489" s="233"/>
      <c r="C17489" s="238"/>
      <c r="E17489" s="545"/>
      <c r="F17489" s="546"/>
      <c r="G17489" s="234"/>
      <c r="H17489" s="238"/>
      <c r="I17489" s="237"/>
    </row>
    <row r="17490" spans="1:9" s="232" customFormat="1" ht="17" customHeight="1">
      <c r="A17490" s="234"/>
      <c r="B17490" s="233"/>
      <c r="C17490" s="238"/>
      <c r="E17490" s="545"/>
      <c r="F17490" s="546"/>
      <c r="G17490" s="234"/>
      <c r="H17490" s="238"/>
      <c r="I17490" s="237"/>
    </row>
    <row r="17491" spans="1:9" s="232" customFormat="1" ht="17" customHeight="1">
      <c r="A17491" s="234"/>
      <c r="B17491" s="233"/>
      <c r="C17491" s="238"/>
      <c r="E17491" s="545"/>
      <c r="F17491" s="546"/>
      <c r="G17491" s="234"/>
      <c r="H17491" s="238"/>
      <c r="I17491" s="237"/>
    </row>
    <row r="17492" spans="1:9" s="232" customFormat="1" ht="17" customHeight="1">
      <c r="A17492" s="234"/>
      <c r="B17492" s="233"/>
      <c r="C17492" s="238"/>
      <c r="E17492" s="545"/>
      <c r="F17492" s="546"/>
      <c r="G17492" s="234"/>
      <c r="H17492" s="238"/>
      <c r="I17492" s="237"/>
    </row>
    <row r="17493" spans="1:9" s="232" customFormat="1" ht="17" customHeight="1">
      <c r="A17493" s="234"/>
      <c r="B17493" s="233"/>
      <c r="C17493" s="238"/>
      <c r="E17493" s="545"/>
      <c r="F17493" s="546"/>
      <c r="G17493" s="234"/>
      <c r="H17493" s="238"/>
      <c r="I17493" s="237"/>
    </row>
    <row r="17494" spans="1:9" s="232" customFormat="1" ht="17" customHeight="1">
      <c r="A17494" s="234"/>
      <c r="B17494" s="233"/>
      <c r="C17494" s="238"/>
      <c r="E17494" s="545"/>
      <c r="F17494" s="546"/>
      <c r="G17494" s="234"/>
      <c r="H17494" s="238"/>
      <c r="I17494" s="237"/>
    </row>
    <row r="17495" spans="1:9" s="232" customFormat="1" ht="17" customHeight="1">
      <c r="A17495" s="234"/>
      <c r="B17495" s="233"/>
      <c r="C17495" s="238"/>
      <c r="E17495" s="545"/>
      <c r="F17495" s="546"/>
      <c r="G17495" s="234"/>
      <c r="H17495" s="238"/>
      <c r="I17495" s="237"/>
    </row>
    <row r="17496" spans="1:9" s="232" customFormat="1" ht="17" customHeight="1">
      <c r="A17496" s="234"/>
      <c r="B17496" s="233"/>
      <c r="C17496" s="238"/>
      <c r="E17496" s="545"/>
      <c r="F17496" s="546"/>
      <c r="G17496" s="234"/>
      <c r="H17496" s="238"/>
      <c r="I17496" s="237"/>
    </row>
    <row r="17497" spans="1:9" s="232" customFormat="1" ht="17" customHeight="1">
      <c r="A17497" s="234"/>
      <c r="B17497" s="233"/>
      <c r="C17497" s="238"/>
      <c r="E17497" s="545"/>
      <c r="F17497" s="546"/>
      <c r="G17497" s="234"/>
      <c r="H17497" s="238"/>
      <c r="I17497" s="237"/>
    </row>
    <row r="17498" spans="1:9" s="232" customFormat="1" ht="17" customHeight="1">
      <c r="A17498" s="234"/>
      <c r="B17498" s="233"/>
      <c r="C17498" s="238"/>
      <c r="E17498" s="545"/>
      <c r="F17498" s="546"/>
      <c r="G17498" s="234"/>
      <c r="H17498" s="238"/>
      <c r="I17498" s="237"/>
    </row>
    <row r="17499" spans="1:9" s="232" customFormat="1" ht="17" customHeight="1">
      <c r="A17499" s="234"/>
      <c r="B17499" s="233"/>
      <c r="C17499" s="238"/>
      <c r="E17499" s="545"/>
      <c r="F17499" s="546"/>
      <c r="G17499" s="234"/>
      <c r="H17499" s="238"/>
      <c r="I17499" s="237"/>
    </row>
    <row r="17500" spans="1:9" s="232" customFormat="1" ht="17" customHeight="1">
      <c r="A17500" s="234"/>
      <c r="B17500" s="233"/>
      <c r="C17500" s="238"/>
      <c r="E17500" s="545"/>
      <c r="F17500" s="546"/>
      <c r="G17500" s="234"/>
      <c r="H17500" s="238"/>
      <c r="I17500" s="237"/>
    </row>
    <row r="17501" spans="1:9" s="232" customFormat="1" ht="17" customHeight="1">
      <c r="A17501" s="234"/>
      <c r="B17501" s="233"/>
      <c r="C17501" s="238"/>
      <c r="E17501" s="545"/>
      <c r="F17501" s="546"/>
      <c r="G17501" s="234"/>
      <c r="H17501" s="238"/>
      <c r="I17501" s="237"/>
    </row>
    <row r="17502" spans="1:9" s="232" customFormat="1" ht="17" customHeight="1">
      <c r="A17502" s="234"/>
      <c r="B17502" s="233"/>
      <c r="C17502" s="238"/>
      <c r="E17502" s="545"/>
      <c r="F17502" s="546"/>
      <c r="G17502" s="234"/>
      <c r="H17502" s="238"/>
      <c r="I17502" s="237"/>
    </row>
    <row r="17503" spans="1:9" s="232" customFormat="1" ht="17" customHeight="1">
      <c r="A17503" s="234"/>
      <c r="B17503" s="233"/>
      <c r="C17503" s="238"/>
      <c r="E17503" s="545"/>
      <c r="F17503" s="546"/>
      <c r="G17503" s="234"/>
      <c r="H17503" s="238"/>
      <c r="I17503" s="237"/>
    </row>
    <row r="17504" spans="1:9" s="232" customFormat="1" ht="17" customHeight="1">
      <c r="A17504" s="234"/>
      <c r="B17504" s="233"/>
      <c r="C17504" s="238"/>
      <c r="E17504" s="545"/>
      <c r="F17504" s="546"/>
      <c r="G17504" s="234"/>
      <c r="H17504" s="238"/>
      <c r="I17504" s="237"/>
    </row>
    <row r="17505" spans="1:9" s="232" customFormat="1" ht="17" customHeight="1">
      <c r="A17505" s="234"/>
      <c r="B17505" s="233"/>
      <c r="C17505" s="238"/>
      <c r="E17505" s="545"/>
      <c r="F17505" s="546"/>
      <c r="G17505" s="234"/>
      <c r="H17505" s="238"/>
      <c r="I17505" s="237"/>
    </row>
    <row r="17506" spans="1:9" s="232" customFormat="1" ht="17" customHeight="1">
      <c r="A17506" s="234"/>
      <c r="B17506" s="233"/>
      <c r="C17506" s="238"/>
      <c r="E17506" s="545"/>
      <c r="F17506" s="546"/>
      <c r="G17506" s="234"/>
      <c r="H17506" s="238"/>
      <c r="I17506" s="237"/>
    </row>
    <row r="17507" spans="1:9" s="232" customFormat="1" ht="17" customHeight="1">
      <c r="A17507" s="234"/>
      <c r="B17507" s="233"/>
      <c r="C17507" s="238"/>
      <c r="E17507" s="545"/>
      <c r="F17507" s="546"/>
      <c r="G17507" s="234"/>
      <c r="H17507" s="238"/>
      <c r="I17507" s="237"/>
    </row>
    <row r="17508" spans="1:9" s="232" customFormat="1" ht="17" customHeight="1">
      <c r="A17508" s="234"/>
      <c r="B17508" s="233"/>
      <c r="C17508" s="238"/>
      <c r="E17508" s="545"/>
      <c r="F17508" s="546"/>
      <c r="G17508" s="234"/>
      <c r="H17508" s="238"/>
      <c r="I17508" s="237"/>
    </row>
    <row r="17509" spans="1:9" s="232" customFormat="1" ht="17" customHeight="1">
      <c r="A17509" s="234"/>
      <c r="B17509" s="233"/>
      <c r="C17509" s="238"/>
      <c r="E17509" s="545"/>
      <c r="F17509" s="546"/>
      <c r="G17509" s="234"/>
      <c r="H17509" s="238"/>
      <c r="I17509" s="237"/>
    </row>
    <row r="17510" spans="1:9" s="232" customFormat="1" ht="17" customHeight="1">
      <c r="A17510" s="234"/>
      <c r="B17510" s="233"/>
      <c r="C17510" s="238"/>
      <c r="E17510" s="545"/>
      <c r="F17510" s="546"/>
      <c r="G17510" s="234"/>
      <c r="H17510" s="238"/>
      <c r="I17510" s="237"/>
    </row>
    <row r="17511" spans="1:9" s="232" customFormat="1" ht="17" customHeight="1">
      <c r="A17511" s="234"/>
      <c r="B17511" s="233"/>
      <c r="C17511" s="238"/>
      <c r="E17511" s="545"/>
      <c r="F17511" s="546"/>
      <c r="G17511" s="234"/>
      <c r="H17511" s="238"/>
      <c r="I17511" s="237"/>
    </row>
    <row r="17512" spans="1:9" s="232" customFormat="1" ht="17" customHeight="1">
      <c r="A17512" s="234"/>
      <c r="B17512" s="233"/>
      <c r="C17512" s="238"/>
      <c r="E17512" s="545"/>
      <c r="F17512" s="546"/>
      <c r="G17512" s="234"/>
      <c r="H17512" s="238"/>
      <c r="I17512" s="237"/>
    </row>
    <row r="17513" spans="1:9" s="232" customFormat="1" ht="17" customHeight="1">
      <c r="A17513" s="234"/>
      <c r="B17513" s="233"/>
      <c r="C17513" s="238"/>
      <c r="E17513" s="545"/>
      <c r="F17513" s="546"/>
      <c r="G17513" s="234"/>
      <c r="H17513" s="238"/>
      <c r="I17513" s="237"/>
    </row>
    <row r="17514" spans="1:9" s="232" customFormat="1" ht="17" customHeight="1">
      <c r="A17514" s="234"/>
      <c r="B17514" s="233"/>
      <c r="C17514" s="238"/>
      <c r="E17514" s="545"/>
      <c r="F17514" s="546"/>
      <c r="G17514" s="234"/>
      <c r="H17514" s="238"/>
      <c r="I17514" s="237"/>
    </row>
    <row r="17515" spans="1:9" s="232" customFormat="1" ht="17" customHeight="1">
      <c r="A17515" s="234"/>
      <c r="B17515" s="233"/>
      <c r="C17515" s="238"/>
      <c r="E17515" s="545"/>
      <c r="F17515" s="546"/>
      <c r="G17515" s="234"/>
      <c r="H17515" s="238"/>
      <c r="I17515" s="237"/>
    </row>
    <row r="17516" spans="1:9" s="232" customFormat="1" ht="17" customHeight="1">
      <c r="A17516" s="234"/>
      <c r="B17516" s="233"/>
      <c r="C17516" s="238"/>
      <c r="E17516" s="545"/>
      <c r="F17516" s="546"/>
      <c r="G17516" s="234"/>
      <c r="H17516" s="238"/>
      <c r="I17516" s="237"/>
    </row>
    <row r="17517" spans="1:9" s="232" customFormat="1" ht="17" customHeight="1">
      <c r="A17517" s="234"/>
      <c r="B17517" s="233"/>
      <c r="C17517" s="238"/>
      <c r="E17517" s="545"/>
      <c r="F17517" s="546"/>
      <c r="G17517" s="234"/>
      <c r="H17517" s="238"/>
      <c r="I17517" s="237"/>
    </row>
    <row r="17518" spans="1:9" s="232" customFormat="1" ht="17" customHeight="1">
      <c r="A17518" s="234"/>
      <c r="B17518" s="233"/>
      <c r="C17518" s="238"/>
      <c r="E17518" s="545"/>
      <c r="F17518" s="546"/>
      <c r="G17518" s="234"/>
      <c r="H17518" s="238"/>
      <c r="I17518" s="237"/>
    </row>
    <row r="17519" spans="1:9" s="232" customFormat="1" ht="17" customHeight="1">
      <c r="A17519" s="234"/>
      <c r="B17519" s="233"/>
      <c r="C17519" s="238"/>
      <c r="E17519" s="545"/>
      <c r="F17519" s="546"/>
      <c r="G17519" s="234"/>
      <c r="H17519" s="238"/>
      <c r="I17519" s="237"/>
    </row>
    <row r="17520" spans="1:9" s="232" customFormat="1" ht="17" customHeight="1">
      <c r="A17520" s="234"/>
      <c r="B17520" s="233"/>
      <c r="C17520" s="238"/>
      <c r="E17520" s="545"/>
      <c r="F17520" s="546"/>
      <c r="G17520" s="234"/>
      <c r="H17520" s="238"/>
      <c r="I17520" s="237"/>
    </row>
    <row r="17521" spans="1:9" s="232" customFormat="1" ht="17" customHeight="1">
      <c r="A17521" s="234"/>
      <c r="B17521" s="233"/>
      <c r="C17521" s="238"/>
      <c r="E17521" s="545"/>
      <c r="F17521" s="546"/>
      <c r="G17521" s="234"/>
      <c r="H17521" s="238"/>
      <c r="I17521" s="237"/>
    </row>
    <row r="17522" spans="1:9" s="232" customFormat="1" ht="17" customHeight="1">
      <c r="A17522" s="234"/>
      <c r="B17522" s="233"/>
      <c r="C17522" s="238"/>
      <c r="E17522" s="545"/>
      <c r="F17522" s="546"/>
      <c r="G17522" s="234"/>
      <c r="H17522" s="238"/>
      <c r="I17522" s="237"/>
    </row>
    <row r="17523" spans="1:9" s="232" customFormat="1" ht="17" customHeight="1">
      <c r="A17523" s="234"/>
      <c r="B17523" s="233"/>
      <c r="C17523" s="238"/>
      <c r="E17523" s="545"/>
      <c r="F17523" s="546"/>
      <c r="G17523" s="234"/>
      <c r="H17523" s="238"/>
      <c r="I17523" s="237"/>
    </row>
    <row r="17524" spans="1:9" s="232" customFormat="1" ht="17" customHeight="1">
      <c r="A17524" s="234"/>
      <c r="B17524" s="233"/>
      <c r="C17524" s="238"/>
      <c r="E17524" s="545"/>
      <c r="F17524" s="546"/>
      <c r="G17524" s="234"/>
      <c r="H17524" s="238"/>
      <c r="I17524" s="237"/>
    </row>
    <row r="17525" spans="1:9" s="232" customFormat="1" ht="17" customHeight="1">
      <c r="A17525" s="234"/>
      <c r="B17525" s="233"/>
      <c r="C17525" s="238"/>
      <c r="E17525" s="545"/>
      <c r="F17525" s="546"/>
      <c r="G17525" s="234"/>
      <c r="H17525" s="238"/>
      <c r="I17525" s="237"/>
    </row>
    <row r="17526" spans="1:9" s="232" customFormat="1" ht="17" customHeight="1">
      <c r="A17526" s="234"/>
      <c r="B17526" s="233"/>
      <c r="C17526" s="238"/>
      <c r="E17526" s="545"/>
      <c r="F17526" s="546"/>
      <c r="G17526" s="234"/>
      <c r="H17526" s="238"/>
      <c r="I17526" s="237"/>
    </row>
    <row r="17527" spans="1:9" s="232" customFormat="1" ht="17" customHeight="1">
      <c r="A17527" s="234"/>
      <c r="B17527" s="233"/>
      <c r="C17527" s="238"/>
      <c r="E17527" s="545"/>
      <c r="F17527" s="546"/>
      <c r="G17527" s="234"/>
      <c r="H17527" s="238"/>
      <c r="I17527" s="237"/>
    </row>
    <row r="17528" spans="1:9" s="232" customFormat="1" ht="17" customHeight="1">
      <c r="A17528" s="234"/>
      <c r="B17528" s="233"/>
      <c r="C17528" s="238"/>
      <c r="E17528" s="545"/>
      <c r="F17528" s="546"/>
      <c r="G17528" s="234"/>
      <c r="H17528" s="238"/>
      <c r="I17528" s="237"/>
    </row>
    <row r="17529" spans="1:9" s="232" customFormat="1" ht="17" customHeight="1">
      <c r="A17529" s="234"/>
      <c r="B17529" s="233"/>
      <c r="C17529" s="238"/>
      <c r="E17529" s="545"/>
      <c r="F17529" s="546"/>
      <c r="G17529" s="234"/>
      <c r="H17529" s="238"/>
      <c r="I17529" s="237"/>
    </row>
    <row r="17530" spans="1:9" s="232" customFormat="1" ht="17" customHeight="1">
      <c r="A17530" s="234"/>
      <c r="B17530" s="233"/>
      <c r="C17530" s="238"/>
      <c r="E17530" s="545"/>
      <c r="F17530" s="546"/>
      <c r="G17530" s="234"/>
      <c r="H17530" s="238"/>
      <c r="I17530" s="237"/>
    </row>
    <row r="17531" spans="1:9" s="232" customFormat="1" ht="17" customHeight="1">
      <c r="A17531" s="234"/>
      <c r="B17531" s="233"/>
      <c r="C17531" s="238"/>
      <c r="E17531" s="545"/>
      <c r="F17531" s="546"/>
      <c r="G17531" s="234"/>
      <c r="H17531" s="238"/>
      <c r="I17531" s="237"/>
    </row>
    <row r="17532" spans="1:9" s="232" customFormat="1" ht="17" customHeight="1">
      <c r="A17532" s="234"/>
      <c r="B17532" s="233"/>
      <c r="C17532" s="238"/>
      <c r="E17532" s="545"/>
      <c r="F17532" s="546"/>
      <c r="G17532" s="234"/>
      <c r="H17532" s="238"/>
      <c r="I17532" s="237"/>
    </row>
    <row r="17533" spans="1:9" s="232" customFormat="1" ht="17" customHeight="1">
      <c r="A17533" s="234"/>
      <c r="B17533" s="233"/>
      <c r="C17533" s="238"/>
      <c r="E17533" s="545"/>
      <c r="F17533" s="546"/>
      <c r="G17533" s="234"/>
      <c r="H17533" s="238"/>
      <c r="I17533" s="237"/>
    </row>
    <row r="17534" spans="1:9" s="232" customFormat="1" ht="17" customHeight="1">
      <c r="A17534" s="234"/>
      <c r="B17534" s="233"/>
      <c r="C17534" s="238"/>
      <c r="E17534" s="545"/>
      <c r="F17534" s="546"/>
      <c r="G17534" s="234"/>
      <c r="H17534" s="238"/>
      <c r="I17534" s="237"/>
    </row>
    <row r="17535" spans="1:9" s="232" customFormat="1" ht="17" customHeight="1">
      <c r="A17535" s="234"/>
      <c r="B17535" s="233"/>
      <c r="C17535" s="238"/>
      <c r="E17535" s="545"/>
      <c r="F17535" s="546"/>
      <c r="G17535" s="234"/>
      <c r="H17535" s="238"/>
      <c r="I17535" s="237"/>
    </row>
    <row r="17536" spans="1:9" s="232" customFormat="1" ht="17" customHeight="1">
      <c r="A17536" s="234"/>
      <c r="B17536" s="233"/>
      <c r="C17536" s="238"/>
      <c r="E17536" s="545"/>
      <c r="F17536" s="546"/>
      <c r="G17536" s="234"/>
      <c r="H17536" s="238"/>
      <c r="I17536" s="237"/>
    </row>
    <row r="17537" spans="1:9" s="232" customFormat="1" ht="17" customHeight="1">
      <c r="A17537" s="234"/>
      <c r="B17537" s="233"/>
      <c r="C17537" s="238"/>
      <c r="E17537" s="545"/>
      <c r="F17537" s="546"/>
      <c r="G17537" s="234"/>
      <c r="H17537" s="238"/>
      <c r="I17537" s="237"/>
    </row>
    <row r="17538" spans="1:9" s="232" customFormat="1" ht="17" customHeight="1">
      <c r="A17538" s="234"/>
      <c r="B17538" s="233"/>
      <c r="C17538" s="238"/>
      <c r="E17538" s="545"/>
      <c r="F17538" s="546"/>
      <c r="G17538" s="234"/>
      <c r="H17538" s="238"/>
      <c r="I17538" s="237"/>
    </row>
    <row r="17539" spans="1:9" s="232" customFormat="1" ht="17" customHeight="1">
      <c r="A17539" s="234"/>
      <c r="B17539" s="233"/>
      <c r="C17539" s="238"/>
      <c r="E17539" s="545"/>
      <c r="F17539" s="546"/>
      <c r="G17539" s="234"/>
      <c r="H17539" s="238"/>
      <c r="I17539" s="237"/>
    </row>
    <row r="17540" spans="1:9" s="232" customFormat="1" ht="17" customHeight="1">
      <c r="A17540" s="234"/>
      <c r="B17540" s="233"/>
      <c r="C17540" s="238"/>
      <c r="E17540" s="545"/>
      <c r="F17540" s="546"/>
      <c r="G17540" s="234"/>
      <c r="H17540" s="238"/>
      <c r="I17540" s="237"/>
    </row>
    <row r="17541" spans="1:9" s="232" customFormat="1" ht="17" customHeight="1">
      <c r="A17541" s="234"/>
      <c r="B17541" s="233"/>
      <c r="C17541" s="238"/>
      <c r="E17541" s="545"/>
      <c r="F17541" s="546"/>
      <c r="G17541" s="234"/>
      <c r="H17541" s="238"/>
      <c r="I17541" s="237"/>
    </row>
    <row r="17542" spans="1:9" s="232" customFormat="1" ht="17" customHeight="1">
      <c r="A17542" s="234"/>
      <c r="B17542" s="233"/>
      <c r="C17542" s="238"/>
      <c r="E17542" s="545"/>
      <c r="F17542" s="546"/>
      <c r="G17542" s="234"/>
      <c r="H17542" s="238"/>
      <c r="I17542" s="237"/>
    </row>
    <row r="17543" spans="1:9" s="232" customFormat="1" ht="17" customHeight="1">
      <c r="A17543" s="234"/>
      <c r="B17543" s="233"/>
      <c r="C17543" s="238"/>
      <c r="E17543" s="545"/>
      <c r="F17543" s="546"/>
      <c r="G17543" s="234"/>
      <c r="H17543" s="238"/>
      <c r="I17543" s="237"/>
    </row>
    <row r="17544" spans="1:9" s="232" customFormat="1" ht="17" customHeight="1">
      <c r="A17544" s="234"/>
      <c r="B17544" s="233"/>
      <c r="C17544" s="238"/>
      <c r="E17544" s="545"/>
      <c r="F17544" s="546"/>
      <c r="G17544" s="234"/>
      <c r="H17544" s="238"/>
      <c r="I17544" s="237"/>
    </row>
    <row r="17545" spans="1:9" s="232" customFormat="1" ht="17" customHeight="1">
      <c r="A17545" s="234"/>
      <c r="B17545" s="233"/>
      <c r="C17545" s="238"/>
      <c r="E17545" s="545"/>
      <c r="F17545" s="546"/>
      <c r="G17545" s="234"/>
      <c r="H17545" s="238"/>
      <c r="I17545" s="237"/>
    </row>
    <row r="17546" spans="1:9" s="232" customFormat="1" ht="17" customHeight="1">
      <c r="A17546" s="234"/>
      <c r="B17546" s="233"/>
      <c r="C17546" s="238"/>
      <c r="E17546" s="545"/>
      <c r="F17546" s="546"/>
      <c r="G17546" s="234"/>
      <c r="H17546" s="238"/>
      <c r="I17546" s="237"/>
    </row>
    <row r="17547" spans="1:9" s="232" customFormat="1" ht="17" customHeight="1">
      <c r="A17547" s="234"/>
      <c r="B17547" s="233"/>
      <c r="C17547" s="238"/>
      <c r="E17547" s="545"/>
      <c r="F17547" s="546"/>
      <c r="G17547" s="234"/>
      <c r="H17547" s="238"/>
      <c r="I17547" s="237"/>
    </row>
    <row r="17548" spans="1:9" s="232" customFormat="1" ht="17" customHeight="1">
      <c r="A17548" s="234"/>
      <c r="B17548" s="233"/>
      <c r="C17548" s="238"/>
      <c r="E17548" s="545"/>
      <c r="F17548" s="546"/>
      <c r="G17548" s="234"/>
      <c r="H17548" s="238"/>
      <c r="I17548" s="237"/>
    </row>
    <row r="17549" spans="1:9" s="232" customFormat="1" ht="17" customHeight="1">
      <c r="A17549" s="234"/>
      <c r="B17549" s="233"/>
      <c r="C17549" s="238"/>
      <c r="E17549" s="545"/>
      <c r="F17549" s="546"/>
      <c r="G17549" s="234"/>
      <c r="H17549" s="238"/>
      <c r="I17549" s="237"/>
    </row>
    <row r="17550" spans="1:9" s="232" customFormat="1" ht="17" customHeight="1">
      <c r="A17550" s="234"/>
      <c r="B17550" s="233"/>
      <c r="C17550" s="238"/>
      <c r="E17550" s="545"/>
      <c r="F17550" s="546"/>
      <c r="G17550" s="234"/>
      <c r="H17550" s="238"/>
      <c r="I17550" s="237"/>
    </row>
    <row r="17551" spans="1:9" s="232" customFormat="1" ht="17" customHeight="1">
      <c r="A17551" s="234"/>
      <c r="B17551" s="233"/>
      <c r="C17551" s="238"/>
      <c r="E17551" s="545"/>
      <c r="F17551" s="546"/>
      <c r="G17551" s="234"/>
      <c r="H17551" s="238"/>
      <c r="I17551" s="237"/>
    </row>
    <row r="17552" spans="1:9" s="232" customFormat="1" ht="17" customHeight="1">
      <c r="A17552" s="234"/>
      <c r="B17552" s="233"/>
      <c r="C17552" s="238"/>
      <c r="E17552" s="545"/>
      <c r="F17552" s="546"/>
      <c r="G17552" s="234"/>
      <c r="H17552" s="238"/>
      <c r="I17552" s="237"/>
    </row>
    <row r="17553" spans="1:9" s="232" customFormat="1" ht="17" customHeight="1">
      <c r="A17553" s="234"/>
      <c r="B17553" s="233"/>
      <c r="C17553" s="238"/>
      <c r="E17553" s="545"/>
      <c r="F17553" s="546"/>
      <c r="G17553" s="234"/>
      <c r="H17553" s="238"/>
      <c r="I17553" s="237"/>
    </row>
    <row r="17554" spans="1:9" s="232" customFormat="1" ht="17" customHeight="1">
      <c r="A17554" s="234"/>
      <c r="B17554" s="233"/>
      <c r="C17554" s="238"/>
      <c r="E17554" s="545"/>
      <c r="F17554" s="546"/>
      <c r="G17554" s="234"/>
      <c r="H17554" s="238"/>
      <c r="I17554" s="237"/>
    </row>
    <row r="17555" spans="1:9" s="232" customFormat="1" ht="17" customHeight="1">
      <c r="A17555" s="234"/>
      <c r="B17555" s="233"/>
      <c r="C17555" s="238"/>
      <c r="E17555" s="545"/>
      <c r="F17555" s="546"/>
      <c r="G17555" s="234"/>
      <c r="H17555" s="238"/>
      <c r="I17555" s="237"/>
    </row>
    <row r="17556" spans="1:9" s="232" customFormat="1" ht="17" customHeight="1">
      <c r="A17556" s="234"/>
      <c r="B17556" s="233"/>
      <c r="C17556" s="238"/>
      <c r="E17556" s="545"/>
      <c r="F17556" s="546"/>
      <c r="G17556" s="234"/>
      <c r="H17556" s="238"/>
      <c r="I17556" s="237"/>
    </row>
    <row r="17557" spans="1:9" s="232" customFormat="1" ht="17" customHeight="1">
      <c r="A17557" s="234"/>
      <c r="B17557" s="233"/>
      <c r="C17557" s="238"/>
      <c r="E17557" s="545"/>
      <c r="F17557" s="546"/>
      <c r="G17557" s="234"/>
      <c r="H17557" s="238"/>
      <c r="I17557" s="237"/>
    </row>
    <row r="17558" spans="1:9" s="232" customFormat="1" ht="17" customHeight="1">
      <c r="A17558" s="234"/>
      <c r="B17558" s="233"/>
      <c r="C17558" s="238"/>
      <c r="E17558" s="545"/>
      <c r="F17558" s="546"/>
      <c r="G17558" s="234"/>
      <c r="H17558" s="238"/>
      <c r="I17558" s="237"/>
    </row>
    <row r="17559" spans="1:9" s="232" customFormat="1" ht="17" customHeight="1">
      <c r="A17559" s="234"/>
      <c r="B17559" s="233"/>
      <c r="C17559" s="238"/>
      <c r="E17559" s="545"/>
      <c r="F17559" s="546"/>
      <c r="G17559" s="234"/>
      <c r="H17559" s="238"/>
      <c r="I17559" s="237"/>
    </row>
    <row r="17560" spans="1:9" s="232" customFormat="1" ht="17" customHeight="1">
      <c r="A17560" s="234"/>
      <c r="B17560" s="233"/>
      <c r="C17560" s="238"/>
      <c r="E17560" s="545"/>
      <c r="F17560" s="546"/>
      <c r="G17560" s="234"/>
      <c r="H17560" s="238"/>
      <c r="I17560" s="237"/>
    </row>
    <row r="17561" spans="1:9" s="232" customFormat="1" ht="17" customHeight="1">
      <c r="A17561" s="234"/>
      <c r="B17561" s="233"/>
      <c r="C17561" s="238"/>
      <c r="E17561" s="545"/>
      <c r="F17561" s="546"/>
      <c r="G17561" s="234"/>
      <c r="H17561" s="238"/>
      <c r="I17561" s="237"/>
    </row>
    <row r="17562" spans="1:9" s="232" customFormat="1" ht="17" customHeight="1">
      <c r="A17562" s="234"/>
      <c r="B17562" s="233"/>
      <c r="C17562" s="238"/>
      <c r="E17562" s="545"/>
      <c r="F17562" s="546"/>
      <c r="G17562" s="234"/>
      <c r="H17562" s="238"/>
      <c r="I17562" s="237"/>
    </row>
    <row r="17563" spans="1:9" s="232" customFormat="1" ht="17" customHeight="1">
      <c r="A17563" s="234"/>
      <c r="B17563" s="233"/>
      <c r="C17563" s="238"/>
      <c r="E17563" s="545"/>
      <c r="F17563" s="546"/>
      <c r="G17563" s="234"/>
      <c r="H17563" s="238"/>
      <c r="I17563" s="237"/>
    </row>
    <row r="17564" spans="1:9" s="232" customFormat="1" ht="17" customHeight="1">
      <c r="A17564" s="234"/>
      <c r="B17564" s="233"/>
      <c r="C17564" s="238"/>
      <c r="E17564" s="545"/>
      <c r="F17564" s="546"/>
      <c r="G17564" s="234"/>
      <c r="H17564" s="238"/>
      <c r="I17564" s="237"/>
    </row>
    <row r="17565" spans="1:9" s="232" customFormat="1" ht="17" customHeight="1">
      <c r="A17565" s="234"/>
      <c r="B17565" s="233"/>
      <c r="C17565" s="238"/>
      <c r="E17565" s="545"/>
      <c r="F17565" s="546"/>
      <c r="G17565" s="234"/>
      <c r="H17565" s="238"/>
      <c r="I17565" s="237"/>
    </row>
    <row r="17566" spans="1:9" s="232" customFormat="1" ht="17" customHeight="1">
      <c r="A17566" s="234"/>
      <c r="B17566" s="233"/>
      <c r="C17566" s="238"/>
      <c r="E17566" s="545"/>
      <c r="F17566" s="546"/>
      <c r="G17566" s="234"/>
      <c r="H17566" s="238"/>
      <c r="I17566" s="237"/>
    </row>
    <row r="17567" spans="1:9" s="232" customFormat="1" ht="17" customHeight="1">
      <c r="A17567" s="234"/>
      <c r="B17567" s="233"/>
      <c r="C17567" s="238"/>
      <c r="E17567" s="545"/>
      <c r="F17567" s="546"/>
      <c r="G17567" s="234"/>
      <c r="H17567" s="238"/>
      <c r="I17567" s="237"/>
    </row>
    <row r="17568" spans="1:9" s="232" customFormat="1" ht="17" customHeight="1">
      <c r="A17568" s="234"/>
      <c r="B17568" s="233"/>
      <c r="C17568" s="238"/>
      <c r="E17568" s="545"/>
      <c r="F17568" s="546"/>
      <c r="G17568" s="234"/>
      <c r="H17568" s="238"/>
      <c r="I17568" s="237"/>
    </row>
    <row r="17569" spans="1:9" s="232" customFormat="1" ht="17" customHeight="1">
      <c r="A17569" s="234"/>
      <c r="B17569" s="233"/>
      <c r="C17569" s="238"/>
      <c r="E17569" s="545"/>
      <c r="F17569" s="546"/>
      <c r="G17569" s="234"/>
      <c r="H17569" s="238"/>
      <c r="I17569" s="237"/>
    </row>
    <row r="17570" spans="1:9" s="232" customFormat="1" ht="17" customHeight="1">
      <c r="A17570" s="234"/>
      <c r="B17570" s="233"/>
      <c r="C17570" s="238"/>
      <c r="E17570" s="545"/>
      <c r="F17570" s="546"/>
      <c r="G17570" s="234"/>
      <c r="H17570" s="238"/>
      <c r="I17570" s="237"/>
    </row>
    <row r="17571" spans="1:9" s="232" customFormat="1" ht="17" customHeight="1">
      <c r="A17571" s="234"/>
      <c r="B17571" s="233"/>
      <c r="C17571" s="238"/>
      <c r="E17571" s="545"/>
      <c r="F17571" s="546"/>
      <c r="G17571" s="234"/>
      <c r="H17571" s="238"/>
      <c r="I17571" s="237"/>
    </row>
    <row r="17572" spans="1:9" s="232" customFormat="1" ht="17" customHeight="1">
      <c r="A17572" s="234"/>
      <c r="B17572" s="233"/>
      <c r="C17572" s="238"/>
      <c r="E17572" s="545"/>
      <c r="F17572" s="546"/>
      <c r="G17572" s="234"/>
      <c r="H17572" s="238"/>
      <c r="I17572" s="237"/>
    </row>
    <row r="17573" spans="1:9" s="232" customFormat="1" ht="17" customHeight="1">
      <c r="A17573" s="234"/>
      <c r="B17573" s="233"/>
      <c r="C17573" s="238"/>
      <c r="E17573" s="545"/>
      <c r="F17573" s="546"/>
      <c r="G17573" s="234"/>
      <c r="H17573" s="238"/>
      <c r="I17573" s="237"/>
    </row>
    <row r="17574" spans="1:9" s="232" customFormat="1" ht="17" customHeight="1">
      <c r="A17574" s="234"/>
      <c r="B17574" s="233"/>
      <c r="C17574" s="238"/>
      <c r="E17574" s="545"/>
      <c r="F17574" s="546"/>
      <c r="G17574" s="234"/>
      <c r="H17574" s="238"/>
      <c r="I17574" s="237"/>
    </row>
    <row r="17575" spans="1:9" s="232" customFormat="1" ht="17" customHeight="1">
      <c r="A17575" s="234"/>
      <c r="B17575" s="233"/>
      <c r="C17575" s="238"/>
      <c r="E17575" s="545"/>
      <c r="F17575" s="546"/>
      <c r="G17575" s="234"/>
      <c r="H17575" s="238"/>
      <c r="I17575" s="237"/>
    </row>
    <row r="17576" spans="1:9" s="232" customFormat="1" ht="17" customHeight="1">
      <c r="A17576" s="234"/>
      <c r="B17576" s="233"/>
      <c r="C17576" s="238"/>
      <c r="E17576" s="545"/>
      <c r="F17576" s="546"/>
      <c r="G17576" s="234"/>
      <c r="H17576" s="238"/>
      <c r="I17576" s="237"/>
    </row>
    <row r="17577" spans="1:9" s="232" customFormat="1" ht="17" customHeight="1">
      <c r="A17577" s="234"/>
      <c r="B17577" s="233"/>
      <c r="C17577" s="238"/>
      <c r="E17577" s="545"/>
      <c r="F17577" s="546"/>
      <c r="G17577" s="234"/>
      <c r="H17577" s="238"/>
      <c r="I17577" s="237"/>
    </row>
    <row r="17578" spans="1:9" s="232" customFormat="1" ht="17" customHeight="1">
      <c r="A17578" s="234"/>
      <c r="B17578" s="233"/>
      <c r="C17578" s="238"/>
      <c r="E17578" s="545"/>
      <c r="F17578" s="546"/>
      <c r="G17578" s="234"/>
      <c r="H17578" s="238"/>
      <c r="I17578" s="237"/>
    </row>
    <row r="17579" spans="1:9" s="232" customFormat="1" ht="17" customHeight="1">
      <c r="A17579" s="234"/>
      <c r="B17579" s="233"/>
      <c r="C17579" s="238"/>
      <c r="E17579" s="545"/>
      <c r="F17579" s="546"/>
      <c r="G17579" s="234"/>
      <c r="H17579" s="238"/>
      <c r="I17579" s="237"/>
    </row>
    <row r="17580" spans="1:9" s="232" customFormat="1" ht="17" customHeight="1">
      <c r="A17580" s="234"/>
      <c r="B17580" s="233"/>
      <c r="C17580" s="238"/>
      <c r="E17580" s="545"/>
      <c r="F17580" s="546"/>
      <c r="G17580" s="234"/>
      <c r="H17580" s="238"/>
      <c r="I17580" s="237"/>
    </row>
    <row r="17581" spans="1:9" s="232" customFormat="1" ht="17" customHeight="1">
      <c r="A17581" s="234"/>
      <c r="B17581" s="233"/>
      <c r="C17581" s="238"/>
      <c r="E17581" s="545"/>
      <c r="F17581" s="546"/>
      <c r="G17581" s="234"/>
      <c r="H17581" s="238"/>
      <c r="I17581" s="237"/>
    </row>
    <row r="17582" spans="1:9" s="232" customFormat="1" ht="17" customHeight="1">
      <c r="A17582" s="234"/>
      <c r="B17582" s="233"/>
      <c r="C17582" s="238"/>
      <c r="E17582" s="545"/>
      <c r="F17582" s="546"/>
      <c r="G17582" s="234"/>
      <c r="H17582" s="238"/>
      <c r="I17582" s="237"/>
    </row>
    <row r="17583" spans="1:9" s="232" customFormat="1" ht="17" customHeight="1">
      <c r="A17583" s="234"/>
      <c r="B17583" s="233"/>
      <c r="C17583" s="238"/>
      <c r="E17583" s="545"/>
      <c r="F17583" s="546"/>
      <c r="G17583" s="234"/>
      <c r="H17583" s="238"/>
      <c r="I17583" s="237"/>
    </row>
    <row r="17584" spans="1:9" s="232" customFormat="1" ht="17" customHeight="1">
      <c r="A17584" s="234"/>
      <c r="B17584" s="233"/>
      <c r="C17584" s="238"/>
      <c r="E17584" s="545"/>
      <c r="F17584" s="546"/>
      <c r="G17584" s="234"/>
      <c r="H17584" s="238"/>
      <c r="I17584" s="237"/>
    </row>
    <row r="17585" spans="1:9" s="232" customFormat="1" ht="17" customHeight="1">
      <c r="A17585" s="234"/>
      <c r="B17585" s="233"/>
      <c r="C17585" s="238"/>
      <c r="E17585" s="545"/>
      <c r="F17585" s="546"/>
      <c r="G17585" s="234"/>
      <c r="H17585" s="238"/>
      <c r="I17585" s="237"/>
    </row>
    <row r="17586" spans="1:9" s="232" customFormat="1" ht="17" customHeight="1">
      <c r="A17586" s="234"/>
      <c r="B17586" s="233"/>
      <c r="C17586" s="238"/>
      <c r="E17586" s="545"/>
      <c r="F17586" s="546"/>
      <c r="G17586" s="234"/>
      <c r="H17586" s="238"/>
      <c r="I17586" s="237"/>
    </row>
    <row r="17587" spans="1:9" s="232" customFormat="1" ht="17" customHeight="1">
      <c r="A17587" s="234"/>
      <c r="B17587" s="233"/>
      <c r="C17587" s="238"/>
      <c r="E17587" s="545"/>
      <c r="F17587" s="546"/>
      <c r="G17587" s="234"/>
      <c r="H17587" s="238"/>
      <c r="I17587" s="237"/>
    </row>
    <row r="17588" spans="1:9" s="232" customFormat="1" ht="17" customHeight="1">
      <c r="A17588" s="234"/>
      <c r="B17588" s="233"/>
      <c r="C17588" s="238"/>
      <c r="E17588" s="545"/>
      <c r="F17588" s="546"/>
      <c r="G17588" s="234"/>
      <c r="H17588" s="238"/>
      <c r="I17588" s="237"/>
    </row>
    <row r="17589" spans="1:9" s="232" customFormat="1" ht="17" customHeight="1">
      <c r="A17589" s="234"/>
      <c r="B17589" s="233"/>
      <c r="C17589" s="238"/>
      <c r="E17589" s="545"/>
      <c r="F17589" s="546"/>
      <c r="G17589" s="234"/>
      <c r="H17589" s="238"/>
      <c r="I17589" s="237"/>
    </row>
    <row r="17590" spans="1:9" s="232" customFormat="1" ht="17" customHeight="1">
      <c r="A17590" s="234"/>
      <c r="B17590" s="233"/>
      <c r="C17590" s="238"/>
      <c r="E17590" s="545"/>
      <c r="F17590" s="546"/>
      <c r="G17590" s="234"/>
      <c r="H17590" s="238"/>
      <c r="I17590" s="237"/>
    </row>
    <row r="17591" spans="1:9" s="232" customFormat="1" ht="17" customHeight="1">
      <c r="A17591" s="234"/>
      <c r="B17591" s="233"/>
      <c r="C17591" s="238"/>
      <c r="E17591" s="545"/>
      <c r="F17591" s="546"/>
      <c r="G17591" s="234"/>
      <c r="H17591" s="238"/>
      <c r="I17591" s="237"/>
    </row>
    <row r="17592" spans="1:9" s="232" customFormat="1" ht="17" customHeight="1">
      <c r="A17592" s="234"/>
      <c r="B17592" s="233"/>
      <c r="C17592" s="238"/>
      <c r="E17592" s="545"/>
      <c r="F17592" s="546"/>
      <c r="G17592" s="234"/>
      <c r="H17592" s="238"/>
      <c r="I17592" s="237"/>
    </row>
    <row r="17593" spans="1:9" s="232" customFormat="1" ht="17" customHeight="1">
      <c r="A17593" s="234"/>
      <c r="B17593" s="233"/>
      <c r="C17593" s="238"/>
      <c r="E17593" s="545"/>
      <c r="F17593" s="546"/>
      <c r="G17593" s="234"/>
      <c r="H17593" s="238"/>
      <c r="I17593" s="237"/>
    </row>
    <row r="17594" spans="1:9" s="232" customFormat="1" ht="17" customHeight="1">
      <c r="A17594" s="234"/>
      <c r="B17594" s="233"/>
      <c r="C17594" s="238"/>
      <c r="E17594" s="545"/>
      <c r="F17594" s="546"/>
      <c r="G17594" s="234"/>
      <c r="H17594" s="238"/>
      <c r="I17594" s="237"/>
    </row>
    <row r="17595" spans="1:9" s="232" customFormat="1" ht="17" customHeight="1">
      <c r="A17595" s="234"/>
      <c r="B17595" s="233"/>
      <c r="C17595" s="238"/>
      <c r="E17595" s="545"/>
      <c r="F17595" s="546"/>
      <c r="G17595" s="234"/>
      <c r="H17595" s="238"/>
      <c r="I17595" s="237"/>
    </row>
    <row r="17596" spans="1:9" s="232" customFormat="1" ht="17" customHeight="1">
      <c r="A17596" s="234"/>
      <c r="B17596" s="233"/>
      <c r="C17596" s="238"/>
      <c r="E17596" s="545"/>
      <c r="F17596" s="546"/>
      <c r="G17596" s="234"/>
      <c r="H17596" s="238"/>
      <c r="I17596" s="237"/>
    </row>
    <row r="17597" spans="1:9" s="232" customFormat="1" ht="17" customHeight="1">
      <c r="A17597" s="234"/>
      <c r="B17597" s="233"/>
      <c r="C17597" s="238"/>
      <c r="E17597" s="545"/>
      <c r="F17597" s="546"/>
      <c r="G17597" s="234"/>
      <c r="H17597" s="238"/>
      <c r="I17597" s="237"/>
    </row>
    <row r="17598" spans="1:9" s="232" customFormat="1" ht="17" customHeight="1">
      <c r="A17598" s="234"/>
      <c r="B17598" s="233"/>
      <c r="C17598" s="238"/>
      <c r="E17598" s="545"/>
      <c r="F17598" s="546"/>
      <c r="G17598" s="234"/>
      <c r="H17598" s="238"/>
      <c r="I17598" s="237"/>
    </row>
    <row r="17599" spans="1:9" s="232" customFormat="1" ht="17" customHeight="1">
      <c r="A17599" s="234"/>
      <c r="B17599" s="233"/>
      <c r="C17599" s="238"/>
      <c r="E17599" s="545"/>
      <c r="F17599" s="546"/>
      <c r="G17599" s="234"/>
      <c r="H17599" s="238"/>
      <c r="I17599" s="237"/>
    </row>
    <row r="17600" spans="1:9" s="232" customFormat="1" ht="17" customHeight="1">
      <c r="A17600" s="234"/>
      <c r="B17600" s="233"/>
      <c r="C17600" s="238"/>
      <c r="E17600" s="545"/>
      <c r="F17600" s="546"/>
      <c r="G17600" s="234"/>
      <c r="H17600" s="238"/>
      <c r="I17600" s="237"/>
    </row>
    <row r="17601" spans="1:9" s="232" customFormat="1" ht="17" customHeight="1">
      <c r="A17601" s="234"/>
      <c r="B17601" s="233"/>
      <c r="C17601" s="238"/>
      <c r="E17601" s="545"/>
      <c r="F17601" s="546"/>
      <c r="G17601" s="234"/>
      <c r="H17601" s="238"/>
      <c r="I17601" s="237"/>
    </row>
    <row r="17602" spans="1:9" s="232" customFormat="1" ht="17" customHeight="1">
      <c r="A17602" s="234"/>
      <c r="B17602" s="233"/>
      <c r="C17602" s="238"/>
      <c r="E17602" s="545"/>
      <c r="F17602" s="546"/>
      <c r="G17602" s="234"/>
      <c r="H17602" s="238"/>
      <c r="I17602" s="237"/>
    </row>
    <row r="17603" spans="1:9" s="232" customFormat="1" ht="17" customHeight="1">
      <c r="A17603" s="234"/>
      <c r="B17603" s="233"/>
      <c r="C17603" s="238"/>
      <c r="E17603" s="545"/>
      <c r="F17603" s="546"/>
      <c r="G17603" s="234"/>
      <c r="H17603" s="238"/>
      <c r="I17603" s="237"/>
    </row>
    <row r="17604" spans="1:9" s="232" customFormat="1" ht="17" customHeight="1">
      <c r="A17604" s="234"/>
      <c r="B17604" s="233"/>
      <c r="C17604" s="238"/>
      <c r="E17604" s="545"/>
      <c r="F17604" s="546"/>
      <c r="G17604" s="234"/>
      <c r="H17604" s="238"/>
      <c r="I17604" s="237"/>
    </row>
    <row r="17605" spans="1:9" s="232" customFormat="1" ht="17" customHeight="1">
      <c r="A17605" s="234"/>
      <c r="B17605" s="233"/>
      <c r="C17605" s="238"/>
      <c r="E17605" s="545"/>
      <c r="F17605" s="546"/>
      <c r="G17605" s="234"/>
      <c r="H17605" s="238"/>
      <c r="I17605" s="237"/>
    </row>
    <row r="17606" spans="1:9" s="232" customFormat="1" ht="17" customHeight="1">
      <c r="A17606" s="234"/>
      <c r="B17606" s="233"/>
      <c r="C17606" s="238"/>
      <c r="E17606" s="545"/>
      <c r="F17606" s="546"/>
      <c r="G17606" s="234"/>
      <c r="H17606" s="238"/>
      <c r="I17606" s="237"/>
    </row>
    <row r="17607" spans="1:9" s="232" customFormat="1" ht="17" customHeight="1">
      <c r="A17607" s="234"/>
      <c r="B17607" s="233"/>
      <c r="C17607" s="238"/>
      <c r="E17607" s="545"/>
      <c r="F17607" s="546"/>
      <c r="G17607" s="234"/>
      <c r="H17607" s="238"/>
      <c r="I17607" s="237"/>
    </row>
    <row r="17608" spans="1:9" s="232" customFormat="1" ht="17" customHeight="1">
      <c r="A17608" s="234"/>
      <c r="B17608" s="233"/>
      <c r="C17608" s="238"/>
      <c r="E17608" s="545"/>
      <c r="F17608" s="546"/>
      <c r="G17608" s="234"/>
      <c r="H17608" s="238"/>
      <c r="I17608" s="237"/>
    </row>
    <row r="17609" spans="1:9" s="232" customFormat="1" ht="17" customHeight="1">
      <c r="A17609" s="234"/>
      <c r="B17609" s="233"/>
      <c r="C17609" s="238"/>
      <c r="E17609" s="545"/>
      <c r="F17609" s="546"/>
      <c r="G17609" s="234"/>
      <c r="H17609" s="238"/>
      <c r="I17609" s="237"/>
    </row>
    <row r="17610" spans="1:9" s="232" customFormat="1" ht="17" customHeight="1">
      <c r="A17610" s="234"/>
      <c r="B17610" s="233"/>
      <c r="C17610" s="238"/>
      <c r="E17610" s="545"/>
      <c r="F17610" s="546"/>
      <c r="G17610" s="234"/>
      <c r="H17610" s="238"/>
      <c r="I17610" s="237"/>
    </row>
    <row r="17611" spans="1:9" s="232" customFormat="1" ht="17" customHeight="1">
      <c r="A17611" s="234"/>
      <c r="B17611" s="233"/>
      <c r="C17611" s="238"/>
      <c r="E17611" s="545"/>
      <c r="F17611" s="546"/>
      <c r="G17611" s="234"/>
      <c r="H17611" s="238"/>
      <c r="I17611" s="237"/>
    </row>
    <row r="17612" spans="1:9" s="232" customFormat="1" ht="17" customHeight="1">
      <c r="A17612" s="234"/>
      <c r="B17612" s="233"/>
      <c r="C17612" s="238"/>
      <c r="E17612" s="545"/>
      <c r="F17612" s="546"/>
      <c r="G17612" s="234"/>
      <c r="H17612" s="238"/>
      <c r="I17612" s="237"/>
    </row>
    <row r="17613" spans="1:9" s="232" customFormat="1" ht="17" customHeight="1">
      <c r="A17613" s="234"/>
      <c r="B17613" s="233"/>
      <c r="C17613" s="238"/>
      <c r="E17613" s="545"/>
      <c r="F17613" s="546"/>
      <c r="G17613" s="234"/>
      <c r="H17613" s="238"/>
      <c r="I17613" s="237"/>
    </row>
    <row r="17614" spans="1:9" s="232" customFormat="1" ht="17" customHeight="1">
      <c r="A17614" s="234"/>
      <c r="B17614" s="233"/>
      <c r="C17614" s="238"/>
      <c r="E17614" s="545"/>
      <c r="F17614" s="546"/>
      <c r="G17614" s="234"/>
      <c r="H17614" s="238"/>
      <c r="I17614" s="237"/>
    </row>
    <row r="17615" spans="1:9" s="232" customFormat="1" ht="17" customHeight="1">
      <c r="A17615" s="234"/>
      <c r="B17615" s="233"/>
      <c r="C17615" s="238"/>
      <c r="E17615" s="545"/>
      <c r="F17615" s="546"/>
      <c r="G17615" s="234"/>
      <c r="H17615" s="238"/>
      <c r="I17615" s="237"/>
    </row>
    <row r="17616" spans="1:9" s="232" customFormat="1" ht="17" customHeight="1">
      <c r="A17616" s="234"/>
      <c r="B17616" s="233"/>
      <c r="C17616" s="238"/>
      <c r="E17616" s="545"/>
      <c r="F17616" s="546"/>
      <c r="G17616" s="234"/>
      <c r="H17616" s="238"/>
      <c r="I17616" s="237"/>
    </row>
    <row r="17617" spans="1:9" s="232" customFormat="1" ht="17" customHeight="1">
      <c r="A17617" s="234"/>
      <c r="B17617" s="233"/>
      <c r="C17617" s="238"/>
      <c r="E17617" s="545"/>
      <c r="F17617" s="546"/>
      <c r="G17617" s="234"/>
      <c r="H17617" s="238"/>
      <c r="I17617" s="237"/>
    </row>
    <row r="17618" spans="1:9" s="232" customFormat="1" ht="17" customHeight="1">
      <c r="A17618" s="234"/>
      <c r="B17618" s="233"/>
      <c r="C17618" s="238"/>
      <c r="E17618" s="545"/>
      <c r="F17618" s="546"/>
      <c r="G17618" s="234"/>
      <c r="H17618" s="238"/>
      <c r="I17618" s="237"/>
    </row>
    <row r="17619" spans="1:9" s="232" customFormat="1" ht="17" customHeight="1">
      <c r="A17619" s="234"/>
      <c r="B17619" s="233"/>
      <c r="C17619" s="238"/>
      <c r="E17619" s="545"/>
      <c r="F17619" s="546"/>
      <c r="G17619" s="234"/>
      <c r="H17619" s="238"/>
      <c r="I17619" s="237"/>
    </row>
    <row r="17620" spans="1:9" s="232" customFormat="1" ht="17" customHeight="1">
      <c r="A17620" s="234"/>
      <c r="B17620" s="233"/>
      <c r="C17620" s="238"/>
      <c r="E17620" s="545"/>
      <c r="F17620" s="546"/>
      <c r="G17620" s="234"/>
      <c r="H17620" s="238"/>
      <c r="I17620" s="237"/>
    </row>
    <row r="17621" spans="1:9" s="232" customFormat="1" ht="17" customHeight="1">
      <c r="A17621" s="234"/>
      <c r="B17621" s="233"/>
      <c r="C17621" s="238"/>
      <c r="E17621" s="545"/>
      <c r="F17621" s="546"/>
      <c r="G17621" s="234"/>
      <c r="H17621" s="238"/>
      <c r="I17621" s="237"/>
    </row>
    <row r="17622" spans="1:9" s="232" customFormat="1" ht="17" customHeight="1">
      <c r="A17622" s="234"/>
      <c r="B17622" s="233"/>
      <c r="C17622" s="238"/>
      <c r="E17622" s="545"/>
      <c r="F17622" s="546"/>
      <c r="G17622" s="234"/>
      <c r="H17622" s="238"/>
      <c r="I17622" s="237"/>
    </row>
    <row r="17623" spans="1:9" s="232" customFormat="1" ht="17" customHeight="1">
      <c r="A17623" s="234"/>
      <c r="B17623" s="233"/>
      <c r="C17623" s="238"/>
      <c r="E17623" s="545"/>
      <c r="F17623" s="546"/>
      <c r="G17623" s="234"/>
      <c r="H17623" s="238"/>
      <c r="I17623" s="237"/>
    </row>
    <row r="17624" spans="1:9" s="232" customFormat="1" ht="17" customHeight="1">
      <c r="A17624" s="234"/>
      <c r="B17624" s="233"/>
      <c r="C17624" s="238"/>
      <c r="E17624" s="545"/>
      <c r="F17624" s="546"/>
      <c r="G17624" s="234"/>
      <c r="H17624" s="238"/>
      <c r="I17624" s="237"/>
    </row>
    <row r="17625" spans="1:9" s="232" customFormat="1" ht="17" customHeight="1">
      <c r="A17625" s="234"/>
      <c r="B17625" s="233"/>
      <c r="C17625" s="238"/>
      <c r="E17625" s="545"/>
      <c r="F17625" s="546"/>
      <c r="G17625" s="234"/>
      <c r="H17625" s="238"/>
      <c r="I17625" s="237"/>
    </row>
    <row r="17626" spans="1:9" s="232" customFormat="1" ht="17" customHeight="1">
      <c r="A17626" s="234"/>
      <c r="B17626" s="233"/>
      <c r="C17626" s="238"/>
      <c r="E17626" s="545"/>
      <c r="F17626" s="546"/>
      <c r="G17626" s="234"/>
      <c r="H17626" s="238"/>
      <c r="I17626" s="237"/>
    </row>
    <row r="17627" spans="1:9" s="232" customFormat="1" ht="17" customHeight="1">
      <c r="A17627" s="234"/>
      <c r="B17627" s="233"/>
      <c r="C17627" s="238"/>
      <c r="E17627" s="545"/>
      <c r="F17627" s="546"/>
      <c r="G17627" s="234"/>
      <c r="H17627" s="238"/>
      <c r="I17627" s="237"/>
    </row>
    <row r="17628" spans="1:9" s="232" customFormat="1" ht="17" customHeight="1">
      <c r="A17628" s="234"/>
      <c r="B17628" s="233"/>
      <c r="C17628" s="238"/>
      <c r="E17628" s="545"/>
      <c r="F17628" s="546"/>
      <c r="G17628" s="234"/>
      <c r="H17628" s="238"/>
      <c r="I17628" s="237"/>
    </row>
    <row r="17629" spans="1:9" s="232" customFormat="1" ht="17" customHeight="1">
      <c r="A17629" s="234"/>
      <c r="B17629" s="233"/>
      <c r="C17629" s="238"/>
      <c r="E17629" s="545"/>
      <c r="F17629" s="546"/>
      <c r="G17629" s="234"/>
      <c r="H17629" s="238"/>
      <c r="I17629" s="237"/>
    </row>
    <row r="17630" spans="1:9" s="232" customFormat="1" ht="17" customHeight="1">
      <c r="A17630" s="234"/>
      <c r="B17630" s="233"/>
      <c r="C17630" s="238"/>
      <c r="E17630" s="545"/>
      <c r="F17630" s="546"/>
      <c r="G17630" s="234"/>
      <c r="H17630" s="238"/>
      <c r="I17630" s="237"/>
    </row>
    <row r="17631" spans="1:9" s="232" customFormat="1" ht="17" customHeight="1">
      <c r="A17631" s="234"/>
      <c r="B17631" s="233"/>
      <c r="C17631" s="238"/>
      <c r="E17631" s="545"/>
      <c r="F17631" s="546"/>
      <c r="G17631" s="234"/>
      <c r="H17631" s="238"/>
      <c r="I17631" s="237"/>
    </row>
    <row r="17632" spans="1:9" s="232" customFormat="1" ht="17" customHeight="1">
      <c r="A17632" s="234"/>
      <c r="B17632" s="233"/>
      <c r="C17632" s="238"/>
      <c r="E17632" s="545"/>
      <c r="F17632" s="546"/>
      <c r="G17632" s="234"/>
      <c r="H17632" s="238"/>
      <c r="I17632" s="237"/>
    </row>
    <row r="17633" spans="1:9" s="232" customFormat="1" ht="17" customHeight="1">
      <c r="A17633" s="234"/>
      <c r="B17633" s="233"/>
      <c r="C17633" s="238"/>
      <c r="E17633" s="545"/>
      <c r="F17633" s="546"/>
      <c r="G17633" s="234"/>
      <c r="H17633" s="238"/>
      <c r="I17633" s="237"/>
    </row>
    <row r="17634" spans="1:9" s="232" customFormat="1" ht="17" customHeight="1">
      <c r="A17634" s="234"/>
      <c r="B17634" s="233"/>
      <c r="C17634" s="238"/>
      <c r="E17634" s="545"/>
      <c r="F17634" s="546"/>
      <c r="G17634" s="234"/>
      <c r="H17634" s="238"/>
      <c r="I17634" s="237"/>
    </row>
    <row r="17635" spans="1:9" s="232" customFormat="1" ht="17" customHeight="1">
      <c r="A17635" s="234"/>
      <c r="B17635" s="233"/>
      <c r="C17635" s="238"/>
      <c r="E17635" s="545"/>
      <c r="F17635" s="546"/>
      <c r="G17635" s="234"/>
      <c r="H17635" s="238"/>
      <c r="I17635" s="237"/>
    </row>
    <row r="17636" spans="1:9" s="232" customFormat="1" ht="17" customHeight="1">
      <c r="A17636" s="234"/>
      <c r="B17636" s="233"/>
      <c r="C17636" s="238"/>
      <c r="E17636" s="545"/>
      <c r="F17636" s="546"/>
      <c r="G17636" s="234"/>
      <c r="H17636" s="238"/>
      <c r="I17636" s="237"/>
    </row>
    <row r="17637" spans="1:9" s="232" customFormat="1" ht="17" customHeight="1">
      <c r="A17637" s="234"/>
      <c r="B17637" s="233"/>
      <c r="C17637" s="238"/>
      <c r="E17637" s="545"/>
      <c r="F17637" s="546"/>
      <c r="G17637" s="234"/>
      <c r="H17637" s="238"/>
      <c r="I17637" s="237"/>
    </row>
    <row r="17638" spans="1:9" s="232" customFormat="1" ht="17" customHeight="1">
      <c r="A17638" s="234"/>
      <c r="B17638" s="233"/>
      <c r="C17638" s="238"/>
      <c r="E17638" s="545"/>
      <c r="F17638" s="546"/>
      <c r="G17638" s="234"/>
      <c r="H17638" s="238"/>
      <c r="I17638" s="237"/>
    </row>
    <row r="17639" spans="1:9" s="232" customFormat="1" ht="17" customHeight="1">
      <c r="A17639" s="234"/>
      <c r="B17639" s="233"/>
      <c r="C17639" s="238"/>
      <c r="E17639" s="545"/>
      <c r="F17639" s="546"/>
      <c r="G17639" s="234"/>
      <c r="H17639" s="238"/>
      <c r="I17639" s="237"/>
    </row>
    <row r="17640" spans="1:9" s="232" customFormat="1" ht="17" customHeight="1">
      <c r="A17640" s="234"/>
      <c r="B17640" s="233"/>
      <c r="C17640" s="238"/>
      <c r="E17640" s="545"/>
      <c r="F17640" s="546"/>
      <c r="G17640" s="234"/>
      <c r="H17640" s="238"/>
      <c r="I17640" s="237"/>
    </row>
    <row r="17641" spans="1:9" s="232" customFormat="1" ht="17" customHeight="1">
      <c r="A17641" s="234"/>
      <c r="B17641" s="233"/>
      <c r="C17641" s="238"/>
      <c r="E17641" s="545"/>
      <c r="F17641" s="546"/>
      <c r="G17641" s="234"/>
      <c r="H17641" s="238"/>
      <c r="I17641" s="237"/>
    </row>
    <row r="17642" spans="1:9" s="232" customFormat="1" ht="17" customHeight="1">
      <c r="A17642" s="234"/>
      <c r="B17642" s="233"/>
      <c r="C17642" s="238"/>
      <c r="E17642" s="545"/>
      <c r="F17642" s="546"/>
      <c r="G17642" s="234"/>
      <c r="H17642" s="238"/>
      <c r="I17642" s="237"/>
    </row>
    <row r="17643" spans="1:9" s="232" customFormat="1" ht="17" customHeight="1">
      <c r="A17643" s="234"/>
      <c r="B17643" s="233"/>
      <c r="C17643" s="238"/>
      <c r="E17643" s="545"/>
      <c r="F17643" s="546"/>
      <c r="G17643" s="234"/>
      <c r="H17643" s="238"/>
      <c r="I17643" s="237"/>
    </row>
    <row r="17644" spans="1:9" s="232" customFormat="1" ht="17" customHeight="1">
      <c r="A17644" s="234"/>
      <c r="B17644" s="233"/>
      <c r="C17644" s="238"/>
      <c r="E17644" s="545"/>
      <c r="F17644" s="546"/>
      <c r="G17644" s="234"/>
      <c r="H17644" s="238"/>
      <c r="I17644" s="237"/>
    </row>
    <row r="17645" spans="1:9" s="232" customFormat="1" ht="17" customHeight="1">
      <c r="A17645" s="234"/>
      <c r="B17645" s="233"/>
      <c r="C17645" s="238"/>
      <c r="E17645" s="545"/>
      <c r="F17645" s="546"/>
      <c r="G17645" s="234"/>
      <c r="H17645" s="238"/>
      <c r="I17645" s="237"/>
    </row>
    <row r="17646" spans="1:9" s="232" customFormat="1" ht="17" customHeight="1">
      <c r="A17646" s="234"/>
      <c r="B17646" s="233"/>
      <c r="C17646" s="238"/>
      <c r="E17646" s="545"/>
      <c r="F17646" s="546"/>
      <c r="G17646" s="234"/>
      <c r="H17646" s="238"/>
      <c r="I17646" s="237"/>
    </row>
    <row r="17647" spans="1:9" s="232" customFormat="1" ht="17" customHeight="1">
      <c r="A17647" s="234"/>
      <c r="B17647" s="233"/>
      <c r="C17647" s="238"/>
      <c r="E17647" s="545"/>
      <c r="F17647" s="546"/>
      <c r="G17647" s="234"/>
      <c r="H17647" s="238"/>
      <c r="I17647" s="237"/>
    </row>
    <row r="17648" spans="1:9" s="232" customFormat="1" ht="17" customHeight="1">
      <c r="A17648" s="234"/>
      <c r="B17648" s="233"/>
      <c r="C17648" s="238"/>
      <c r="E17648" s="545"/>
      <c r="F17648" s="546"/>
      <c r="G17648" s="234"/>
      <c r="H17648" s="238"/>
      <c r="I17648" s="237"/>
    </row>
    <row r="17649" spans="1:9" s="232" customFormat="1" ht="17" customHeight="1">
      <c r="A17649" s="234"/>
      <c r="B17649" s="233"/>
      <c r="C17649" s="238"/>
      <c r="E17649" s="545"/>
      <c r="F17649" s="546"/>
      <c r="G17649" s="234"/>
      <c r="H17649" s="238"/>
      <c r="I17649" s="237"/>
    </row>
    <row r="17650" spans="1:9" s="232" customFormat="1" ht="17" customHeight="1">
      <c r="A17650" s="234"/>
      <c r="B17650" s="233"/>
      <c r="C17650" s="238"/>
      <c r="E17650" s="545"/>
      <c r="F17650" s="546"/>
      <c r="G17650" s="234"/>
      <c r="H17650" s="238"/>
      <c r="I17650" s="237"/>
    </row>
    <row r="17651" spans="1:9" s="232" customFormat="1" ht="17" customHeight="1">
      <c r="A17651" s="234"/>
      <c r="B17651" s="233"/>
      <c r="C17651" s="238"/>
      <c r="E17651" s="545"/>
      <c r="F17651" s="546"/>
      <c r="G17651" s="234"/>
      <c r="H17651" s="238"/>
      <c r="I17651" s="237"/>
    </row>
    <row r="17652" spans="1:9" s="232" customFormat="1" ht="17" customHeight="1">
      <c r="A17652" s="234"/>
      <c r="B17652" s="233"/>
      <c r="C17652" s="238"/>
      <c r="E17652" s="545"/>
      <c r="F17652" s="546"/>
      <c r="G17652" s="234"/>
      <c r="H17652" s="238"/>
      <c r="I17652" s="237"/>
    </row>
    <row r="17653" spans="1:9" s="232" customFormat="1" ht="17" customHeight="1">
      <c r="A17653" s="234"/>
      <c r="B17653" s="233"/>
      <c r="C17653" s="238"/>
      <c r="E17653" s="545"/>
      <c r="F17653" s="546"/>
      <c r="G17653" s="234"/>
      <c r="H17653" s="238"/>
      <c r="I17653" s="237"/>
    </row>
    <row r="17654" spans="1:9" s="232" customFormat="1" ht="17" customHeight="1">
      <c r="A17654" s="234"/>
      <c r="B17654" s="233"/>
      <c r="C17654" s="238"/>
      <c r="E17654" s="545"/>
      <c r="F17654" s="546"/>
      <c r="G17654" s="234"/>
      <c r="H17654" s="238"/>
      <c r="I17654" s="237"/>
    </row>
    <row r="17655" spans="1:9" s="232" customFormat="1" ht="17" customHeight="1">
      <c r="A17655" s="234"/>
      <c r="B17655" s="233"/>
      <c r="C17655" s="238"/>
      <c r="E17655" s="545"/>
      <c r="F17655" s="546"/>
      <c r="G17655" s="234"/>
      <c r="H17655" s="238"/>
      <c r="I17655" s="237"/>
    </row>
    <row r="17656" spans="1:9" s="232" customFormat="1" ht="17" customHeight="1">
      <c r="A17656" s="234"/>
      <c r="B17656" s="233"/>
      <c r="C17656" s="238"/>
      <c r="E17656" s="545"/>
      <c r="F17656" s="546"/>
      <c r="G17656" s="234"/>
      <c r="H17656" s="238"/>
      <c r="I17656" s="237"/>
    </row>
    <row r="17657" spans="1:9" s="232" customFormat="1" ht="17" customHeight="1">
      <c r="A17657" s="234"/>
      <c r="B17657" s="233"/>
      <c r="C17657" s="238"/>
      <c r="E17657" s="545"/>
      <c r="F17657" s="546"/>
      <c r="G17657" s="234"/>
      <c r="H17657" s="238"/>
      <c r="I17657" s="237"/>
    </row>
    <row r="17658" spans="1:9" s="232" customFormat="1" ht="17" customHeight="1">
      <c r="A17658" s="234"/>
      <c r="B17658" s="233"/>
      <c r="C17658" s="238"/>
      <c r="E17658" s="545"/>
      <c r="F17658" s="546"/>
      <c r="G17658" s="234"/>
      <c r="H17658" s="238"/>
      <c r="I17658" s="237"/>
    </row>
    <row r="17659" spans="1:9" s="232" customFormat="1" ht="17" customHeight="1">
      <c r="A17659" s="234"/>
      <c r="B17659" s="233"/>
      <c r="C17659" s="238"/>
      <c r="E17659" s="545"/>
      <c r="F17659" s="546"/>
      <c r="G17659" s="234"/>
      <c r="H17659" s="238"/>
      <c r="I17659" s="237"/>
    </row>
    <row r="17660" spans="1:9" s="232" customFormat="1" ht="17" customHeight="1">
      <c r="A17660" s="234"/>
      <c r="B17660" s="233"/>
      <c r="C17660" s="238"/>
      <c r="E17660" s="545"/>
      <c r="F17660" s="546"/>
      <c r="G17660" s="234"/>
      <c r="H17660" s="238"/>
      <c r="I17660" s="237"/>
    </row>
    <row r="17661" spans="1:9" s="232" customFormat="1" ht="17" customHeight="1">
      <c r="A17661" s="234"/>
      <c r="B17661" s="233"/>
      <c r="C17661" s="238"/>
      <c r="E17661" s="545"/>
      <c r="F17661" s="546"/>
      <c r="G17661" s="234"/>
      <c r="H17661" s="238"/>
      <c r="I17661" s="237"/>
    </row>
    <row r="17662" spans="1:9" s="232" customFormat="1" ht="17" customHeight="1">
      <c r="A17662" s="234"/>
      <c r="B17662" s="233"/>
      <c r="C17662" s="238"/>
      <c r="E17662" s="545"/>
      <c r="F17662" s="546"/>
      <c r="G17662" s="234"/>
      <c r="H17662" s="238"/>
      <c r="I17662" s="237"/>
    </row>
    <row r="17663" spans="1:9" s="232" customFormat="1" ht="17" customHeight="1">
      <c r="A17663" s="234"/>
      <c r="B17663" s="233"/>
      <c r="C17663" s="238"/>
      <c r="E17663" s="545"/>
      <c r="F17663" s="546"/>
      <c r="G17663" s="234"/>
      <c r="H17663" s="238"/>
      <c r="I17663" s="237"/>
    </row>
    <row r="17664" spans="1:9" s="232" customFormat="1" ht="17" customHeight="1">
      <c r="A17664" s="234"/>
      <c r="B17664" s="233"/>
      <c r="C17664" s="238"/>
      <c r="E17664" s="545"/>
      <c r="F17664" s="546"/>
      <c r="G17664" s="234"/>
      <c r="H17664" s="238"/>
      <c r="I17664" s="237"/>
    </row>
    <row r="17665" spans="1:9" s="232" customFormat="1" ht="17" customHeight="1">
      <c r="A17665" s="234"/>
      <c r="B17665" s="233"/>
      <c r="C17665" s="238"/>
      <c r="E17665" s="545"/>
      <c r="F17665" s="546"/>
      <c r="G17665" s="234"/>
      <c r="H17665" s="238"/>
      <c r="I17665" s="237"/>
    </row>
    <row r="17666" spans="1:9" s="232" customFormat="1" ht="17" customHeight="1">
      <c r="A17666" s="234"/>
      <c r="B17666" s="233"/>
      <c r="C17666" s="238"/>
      <c r="E17666" s="545"/>
      <c r="F17666" s="546"/>
      <c r="G17666" s="234"/>
      <c r="H17666" s="238"/>
      <c r="I17666" s="237"/>
    </row>
    <row r="17667" spans="1:9" s="232" customFormat="1" ht="17" customHeight="1">
      <c r="A17667" s="234"/>
      <c r="B17667" s="233"/>
      <c r="C17667" s="238"/>
      <c r="E17667" s="545"/>
      <c r="F17667" s="546"/>
      <c r="G17667" s="234"/>
      <c r="H17667" s="238"/>
      <c r="I17667" s="237"/>
    </row>
    <row r="17668" spans="1:9" s="232" customFormat="1" ht="17" customHeight="1">
      <c r="A17668" s="234"/>
      <c r="B17668" s="233"/>
      <c r="C17668" s="238"/>
      <c r="E17668" s="545"/>
      <c r="F17668" s="546"/>
      <c r="G17668" s="234"/>
      <c r="H17668" s="238"/>
      <c r="I17668" s="237"/>
    </row>
    <row r="17669" spans="1:9" s="232" customFormat="1" ht="17" customHeight="1">
      <c r="A17669" s="234"/>
      <c r="B17669" s="233"/>
      <c r="C17669" s="238"/>
      <c r="E17669" s="545"/>
      <c r="F17669" s="546"/>
      <c r="G17669" s="234"/>
      <c r="H17669" s="238"/>
      <c r="I17669" s="237"/>
    </row>
    <row r="17670" spans="1:9" s="232" customFormat="1" ht="17" customHeight="1">
      <c r="A17670" s="234"/>
      <c r="B17670" s="233"/>
      <c r="C17670" s="238"/>
      <c r="E17670" s="545"/>
      <c r="F17670" s="546"/>
      <c r="G17670" s="234"/>
      <c r="H17670" s="238"/>
      <c r="I17670" s="237"/>
    </row>
    <row r="17671" spans="1:9" s="232" customFormat="1" ht="17" customHeight="1">
      <c r="A17671" s="234"/>
      <c r="B17671" s="233"/>
      <c r="C17671" s="238"/>
      <c r="E17671" s="545"/>
      <c r="F17671" s="546"/>
      <c r="G17671" s="234"/>
      <c r="H17671" s="238"/>
      <c r="I17671" s="237"/>
    </row>
    <row r="17672" spans="1:9" s="232" customFormat="1" ht="17" customHeight="1">
      <c r="A17672" s="234"/>
      <c r="B17672" s="233"/>
      <c r="C17672" s="238"/>
      <c r="E17672" s="545"/>
      <c r="F17672" s="546"/>
      <c r="G17672" s="234"/>
      <c r="H17672" s="238"/>
      <c r="I17672" s="237"/>
    </row>
    <row r="17673" spans="1:9" s="232" customFormat="1" ht="17" customHeight="1">
      <c r="A17673" s="234"/>
      <c r="B17673" s="233"/>
      <c r="C17673" s="238"/>
      <c r="E17673" s="545"/>
      <c r="F17673" s="546"/>
      <c r="G17673" s="234"/>
      <c r="H17673" s="238"/>
      <c r="I17673" s="237"/>
    </row>
    <row r="17674" spans="1:9" s="232" customFormat="1" ht="17" customHeight="1">
      <c r="A17674" s="234"/>
      <c r="B17674" s="233"/>
      <c r="C17674" s="238"/>
      <c r="E17674" s="545"/>
      <c r="F17674" s="546"/>
      <c r="G17674" s="234"/>
      <c r="H17674" s="238"/>
      <c r="I17674" s="237"/>
    </row>
    <row r="17675" spans="1:9" s="232" customFormat="1" ht="17" customHeight="1">
      <c r="A17675" s="234"/>
      <c r="B17675" s="233"/>
      <c r="C17675" s="238"/>
      <c r="E17675" s="545"/>
      <c r="F17675" s="546"/>
      <c r="G17675" s="234"/>
      <c r="H17675" s="238"/>
      <c r="I17675" s="237"/>
    </row>
    <row r="17676" spans="1:9" s="232" customFormat="1" ht="17" customHeight="1">
      <c r="A17676" s="234"/>
      <c r="B17676" s="233"/>
      <c r="C17676" s="238"/>
      <c r="E17676" s="545"/>
      <c r="F17676" s="546"/>
      <c r="G17676" s="234"/>
      <c r="H17676" s="238"/>
      <c r="I17676" s="237"/>
    </row>
    <row r="17677" spans="1:9" s="232" customFormat="1" ht="17" customHeight="1">
      <c r="A17677" s="234"/>
      <c r="B17677" s="233"/>
      <c r="C17677" s="238"/>
      <c r="E17677" s="545"/>
      <c r="F17677" s="546"/>
      <c r="G17677" s="234"/>
      <c r="H17677" s="238"/>
      <c r="I17677" s="237"/>
    </row>
    <row r="17678" spans="1:9" s="232" customFormat="1" ht="17" customHeight="1">
      <c r="A17678" s="234"/>
      <c r="B17678" s="233"/>
      <c r="C17678" s="238"/>
      <c r="E17678" s="545"/>
      <c r="F17678" s="546"/>
      <c r="G17678" s="234"/>
      <c r="H17678" s="238"/>
      <c r="I17678" s="237"/>
    </row>
    <row r="17679" spans="1:9" s="232" customFormat="1" ht="17" customHeight="1">
      <c r="A17679" s="234"/>
      <c r="B17679" s="233"/>
      <c r="C17679" s="238"/>
      <c r="E17679" s="545"/>
      <c r="F17679" s="546"/>
      <c r="G17679" s="234"/>
      <c r="H17679" s="238"/>
      <c r="I17679" s="237"/>
    </row>
    <row r="17680" spans="1:9" s="232" customFormat="1" ht="17" customHeight="1">
      <c r="A17680" s="234"/>
      <c r="B17680" s="233"/>
      <c r="C17680" s="238"/>
      <c r="E17680" s="545"/>
      <c r="F17680" s="546"/>
      <c r="G17680" s="234"/>
      <c r="H17680" s="238"/>
      <c r="I17680" s="237"/>
    </row>
    <row r="17681" spans="1:9" s="232" customFormat="1" ht="17" customHeight="1">
      <c r="A17681" s="234"/>
      <c r="B17681" s="233"/>
      <c r="C17681" s="238"/>
      <c r="E17681" s="545"/>
      <c r="F17681" s="546"/>
      <c r="G17681" s="234"/>
      <c r="H17681" s="238"/>
      <c r="I17681" s="237"/>
    </row>
    <row r="17682" spans="1:9" s="232" customFormat="1" ht="17" customHeight="1">
      <c r="A17682" s="234"/>
      <c r="B17682" s="233"/>
      <c r="C17682" s="238"/>
      <c r="E17682" s="545"/>
      <c r="F17682" s="546"/>
      <c r="G17682" s="234"/>
      <c r="H17682" s="238"/>
      <c r="I17682" s="237"/>
    </row>
    <row r="17683" spans="1:9" s="232" customFormat="1" ht="17" customHeight="1">
      <c r="A17683" s="234"/>
      <c r="B17683" s="233"/>
      <c r="C17683" s="238"/>
      <c r="E17683" s="545"/>
      <c r="F17683" s="546"/>
      <c r="G17683" s="234"/>
      <c r="H17683" s="238"/>
      <c r="I17683" s="237"/>
    </row>
    <row r="17684" spans="1:9" s="232" customFormat="1" ht="17" customHeight="1">
      <c r="A17684" s="234"/>
      <c r="B17684" s="233"/>
      <c r="C17684" s="238"/>
      <c r="E17684" s="545"/>
      <c r="F17684" s="546"/>
      <c r="G17684" s="234"/>
      <c r="H17684" s="238"/>
      <c r="I17684" s="237"/>
    </row>
    <row r="17685" spans="1:9" s="232" customFormat="1" ht="17" customHeight="1">
      <c r="A17685" s="234"/>
      <c r="B17685" s="233"/>
      <c r="C17685" s="238"/>
      <c r="E17685" s="545"/>
      <c r="F17685" s="546"/>
      <c r="G17685" s="234"/>
      <c r="H17685" s="238"/>
      <c r="I17685" s="237"/>
    </row>
    <row r="17686" spans="1:9" s="232" customFormat="1" ht="17" customHeight="1">
      <c r="A17686" s="234"/>
      <c r="B17686" s="233"/>
      <c r="C17686" s="238"/>
      <c r="E17686" s="545"/>
      <c r="F17686" s="546"/>
      <c r="G17686" s="234"/>
      <c r="H17686" s="238"/>
      <c r="I17686" s="237"/>
    </row>
    <row r="17687" spans="1:9" s="232" customFormat="1" ht="17" customHeight="1">
      <c r="A17687" s="234"/>
      <c r="B17687" s="233"/>
      <c r="C17687" s="238"/>
      <c r="E17687" s="545"/>
      <c r="F17687" s="546"/>
      <c r="G17687" s="234"/>
      <c r="H17687" s="238"/>
      <c r="I17687" s="237"/>
    </row>
    <row r="17688" spans="1:9" s="232" customFormat="1" ht="17" customHeight="1">
      <c r="A17688" s="234"/>
      <c r="B17688" s="233"/>
      <c r="C17688" s="238"/>
      <c r="E17688" s="545"/>
      <c r="F17688" s="546"/>
      <c r="G17688" s="234"/>
      <c r="H17688" s="238"/>
      <c r="I17688" s="237"/>
    </row>
    <row r="17689" spans="1:9" s="232" customFormat="1" ht="17" customHeight="1">
      <c r="A17689" s="234"/>
      <c r="B17689" s="233"/>
      <c r="C17689" s="238"/>
      <c r="E17689" s="545"/>
      <c r="F17689" s="546"/>
      <c r="G17689" s="234"/>
      <c r="H17689" s="238"/>
      <c r="I17689" s="237"/>
    </row>
    <row r="17690" spans="1:9" s="232" customFormat="1" ht="17" customHeight="1">
      <c r="A17690" s="234"/>
      <c r="B17690" s="233"/>
      <c r="C17690" s="238"/>
      <c r="E17690" s="545"/>
      <c r="F17690" s="546"/>
      <c r="G17690" s="234"/>
      <c r="H17690" s="238"/>
      <c r="I17690" s="237"/>
    </row>
    <row r="17691" spans="1:9" s="232" customFormat="1" ht="17" customHeight="1">
      <c r="A17691" s="234"/>
      <c r="B17691" s="233"/>
      <c r="C17691" s="238"/>
      <c r="E17691" s="545"/>
      <c r="F17691" s="546"/>
      <c r="G17691" s="234"/>
      <c r="H17691" s="238"/>
      <c r="I17691" s="237"/>
    </row>
    <row r="17692" spans="1:9" s="232" customFormat="1" ht="17" customHeight="1">
      <c r="A17692" s="234"/>
      <c r="B17692" s="233"/>
      <c r="C17692" s="238"/>
      <c r="E17692" s="545"/>
      <c r="F17692" s="546"/>
      <c r="G17692" s="234"/>
      <c r="H17692" s="238"/>
      <c r="I17692" s="237"/>
    </row>
    <row r="17693" spans="1:9" s="232" customFormat="1" ht="17" customHeight="1">
      <c r="A17693" s="234"/>
      <c r="B17693" s="233"/>
      <c r="C17693" s="238"/>
      <c r="E17693" s="545"/>
      <c r="F17693" s="546"/>
      <c r="G17693" s="234"/>
      <c r="H17693" s="238"/>
      <c r="I17693" s="237"/>
    </row>
    <row r="17694" spans="1:9" s="232" customFormat="1" ht="17" customHeight="1">
      <c r="A17694" s="234"/>
      <c r="B17694" s="233"/>
      <c r="C17694" s="238"/>
      <c r="E17694" s="545"/>
      <c r="F17694" s="546"/>
      <c r="G17694" s="234"/>
      <c r="H17694" s="238"/>
      <c r="I17694" s="237"/>
    </row>
    <row r="17695" spans="1:9" s="232" customFormat="1" ht="17" customHeight="1">
      <c r="A17695" s="234"/>
      <c r="B17695" s="233"/>
      <c r="C17695" s="238"/>
      <c r="E17695" s="545"/>
      <c r="F17695" s="546"/>
      <c r="G17695" s="234"/>
      <c r="H17695" s="238"/>
      <c r="I17695" s="237"/>
    </row>
    <row r="17696" spans="1:9" s="232" customFormat="1" ht="17" customHeight="1">
      <c r="A17696" s="234"/>
      <c r="B17696" s="233"/>
      <c r="C17696" s="238"/>
      <c r="E17696" s="545"/>
      <c r="F17696" s="546"/>
      <c r="G17696" s="234"/>
      <c r="H17696" s="238"/>
      <c r="I17696" s="237"/>
    </row>
    <row r="17697" spans="1:9" s="232" customFormat="1" ht="17" customHeight="1">
      <c r="A17697" s="234"/>
      <c r="B17697" s="233"/>
      <c r="C17697" s="238"/>
      <c r="E17697" s="545"/>
      <c r="F17697" s="546"/>
      <c r="G17697" s="234"/>
      <c r="H17697" s="238"/>
      <c r="I17697" s="237"/>
    </row>
    <row r="17698" spans="1:9" s="232" customFormat="1" ht="17" customHeight="1">
      <c r="A17698" s="234"/>
      <c r="B17698" s="233"/>
      <c r="C17698" s="238"/>
      <c r="E17698" s="545"/>
      <c r="F17698" s="546"/>
      <c r="G17698" s="234"/>
      <c r="H17698" s="238"/>
      <c r="I17698" s="237"/>
    </row>
    <row r="17699" spans="1:9" s="232" customFormat="1" ht="17" customHeight="1">
      <c r="A17699" s="234"/>
      <c r="B17699" s="233"/>
      <c r="C17699" s="238"/>
      <c r="E17699" s="545"/>
      <c r="F17699" s="546"/>
      <c r="G17699" s="234"/>
      <c r="H17699" s="238"/>
      <c r="I17699" s="237"/>
    </row>
    <row r="17700" spans="1:9" s="232" customFormat="1" ht="17" customHeight="1">
      <c r="A17700" s="234"/>
      <c r="B17700" s="233"/>
      <c r="C17700" s="238"/>
      <c r="E17700" s="545"/>
      <c r="F17700" s="546"/>
      <c r="G17700" s="234"/>
      <c r="H17700" s="238"/>
      <c r="I17700" s="237"/>
    </row>
    <row r="17701" spans="1:9" s="232" customFormat="1" ht="17" customHeight="1">
      <c r="A17701" s="234"/>
      <c r="B17701" s="233"/>
      <c r="C17701" s="238"/>
      <c r="E17701" s="545"/>
      <c r="F17701" s="546"/>
      <c r="G17701" s="234"/>
      <c r="H17701" s="238"/>
      <c r="I17701" s="237"/>
    </row>
    <row r="17702" spans="1:9" s="232" customFormat="1" ht="17" customHeight="1">
      <c r="A17702" s="234"/>
      <c r="B17702" s="233"/>
      <c r="C17702" s="238"/>
      <c r="E17702" s="545"/>
      <c r="F17702" s="546"/>
      <c r="G17702" s="234"/>
      <c r="H17702" s="238"/>
      <c r="I17702" s="237"/>
    </row>
    <row r="17703" spans="1:9" s="232" customFormat="1" ht="17" customHeight="1">
      <c r="A17703" s="234"/>
      <c r="B17703" s="233"/>
      <c r="C17703" s="238"/>
      <c r="E17703" s="545"/>
      <c r="F17703" s="546"/>
      <c r="G17703" s="234"/>
      <c r="H17703" s="238"/>
      <c r="I17703" s="237"/>
    </row>
    <row r="17704" spans="1:9" s="232" customFormat="1" ht="17" customHeight="1">
      <c r="A17704" s="234"/>
      <c r="B17704" s="233"/>
      <c r="C17704" s="238"/>
      <c r="E17704" s="545"/>
      <c r="F17704" s="546"/>
      <c r="G17704" s="234"/>
      <c r="H17704" s="238"/>
      <c r="I17704" s="237"/>
    </row>
    <row r="17705" spans="1:9" s="232" customFormat="1" ht="17" customHeight="1">
      <c r="A17705" s="234"/>
      <c r="B17705" s="233"/>
      <c r="C17705" s="238"/>
      <c r="E17705" s="545"/>
      <c r="F17705" s="546"/>
      <c r="G17705" s="234"/>
      <c r="H17705" s="238"/>
      <c r="I17705" s="237"/>
    </row>
    <row r="17706" spans="1:9" s="232" customFormat="1" ht="17" customHeight="1">
      <c r="A17706" s="234"/>
      <c r="B17706" s="233"/>
      <c r="C17706" s="238"/>
      <c r="E17706" s="545"/>
      <c r="F17706" s="546"/>
      <c r="G17706" s="234"/>
      <c r="H17706" s="238"/>
      <c r="I17706" s="237"/>
    </row>
    <row r="17707" spans="1:9" s="232" customFormat="1" ht="17" customHeight="1">
      <c r="A17707" s="234"/>
      <c r="B17707" s="233"/>
      <c r="C17707" s="238"/>
      <c r="E17707" s="545"/>
      <c r="F17707" s="546"/>
      <c r="G17707" s="234"/>
      <c r="H17707" s="238"/>
      <c r="I17707" s="237"/>
    </row>
    <row r="17708" spans="1:9" s="232" customFormat="1" ht="17" customHeight="1">
      <c r="A17708" s="234"/>
      <c r="B17708" s="233"/>
      <c r="C17708" s="238"/>
      <c r="E17708" s="545"/>
      <c r="F17708" s="546"/>
      <c r="G17708" s="234"/>
      <c r="H17708" s="238"/>
      <c r="I17708" s="237"/>
    </row>
    <row r="17709" spans="1:9" s="232" customFormat="1" ht="17" customHeight="1">
      <c r="A17709" s="234"/>
      <c r="B17709" s="233"/>
      <c r="C17709" s="238"/>
      <c r="E17709" s="545"/>
      <c r="F17709" s="546"/>
      <c r="G17709" s="234"/>
      <c r="H17709" s="238"/>
      <c r="I17709" s="237"/>
    </row>
    <row r="17710" spans="1:9" s="232" customFormat="1" ht="17" customHeight="1">
      <c r="A17710" s="234"/>
      <c r="B17710" s="233"/>
      <c r="C17710" s="238"/>
      <c r="E17710" s="545"/>
      <c r="F17710" s="546"/>
      <c r="G17710" s="234"/>
      <c r="H17710" s="238"/>
      <c r="I17710" s="237"/>
    </row>
    <row r="17711" spans="1:9" s="232" customFormat="1" ht="17" customHeight="1">
      <c r="A17711" s="234"/>
      <c r="B17711" s="233"/>
      <c r="C17711" s="238"/>
      <c r="E17711" s="545"/>
      <c r="F17711" s="546"/>
      <c r="G17711" s="234"/>
      <c r="H17711" s="238"/>
      <c r="I17711" s="237"/>
    </row>
    <row r="17712" spans="1:9" s="232" customFormat="1" ht="17" customHeight="1">
      <c r="A17712" s="234"/>
      <c r="B17712" s="233"/>
      <c r="C17712" s="238"/>
      <c r="E17712" s="545"/>
      <c r="F17712" s="546"/>
      <c r="G17712" s="234"/>
      <c r="H17712" s="238"/>
      <c r="I17712" s="237"/>
    </row>
    <row r="17713" spans="1:9" s="232" customFormat="1" ht="17" customHeight="1">
      <c r="A17713" s="234"/>
      <c r="B17713" s="233"/>
      <c r="C17713" s="238"/>
      <c r="E17713" s="545"/>
      <c r="F17713" s="546"/>
      <c r="G17713" s="234"/>
      <c r="H17713" s="238"/>
      <c r="I17713" s="237"/>
    </row>
    <row r="17714" spans="1:9" s="232" customFormat="1" ht="17" customHeight="1">
      <c r="A17714" s="234"/>
      <c r="B17714" s="233"/>
      <c r="C17714" s="238"/>
      <c r="E17714" s="545"/>
      <c r="F17714" s="546"/>
      <c r="G17714" s="234"/>
      <c r="H17714" s="238"/>
      <c r="I17714" s="237"/>
    </row>
    <row r="17715" spans="1:9" s="232" customFormat="1" ht="17" customHeight="1">
      <c r="A17715" s="234"/>
      <c r="B17715" s="233"/>
      <c r="C17715" s="238"/>
      <c r="E17715" s="545"/>
      <c r="F17715" s="546"/>
      <c r="G17715" s="234"/>
      <c r="H17715" s="238"/>
      <c r="I17715" s="237"/>
    </row>
    <row r="17716" spans="1:9" s="232" customFormat="1" ht="17" customHeight="1">
      <c r="A17716" s="234"/>
      <c r="B17716" s="233"/>
      <c r="C17716" s="238"/>
      <c r="E17716" s="545"/>
      <c r="F17716" s="546"/>
      <c r="G17716" s="234"/>
      <c r="H17716" s="238"/>
      <c r="I17716" s="237"/>
    </row>
    <row r="17717" spans="1:9" s="232" customFormat="1" ht="17" customHeight="1">
      <c r="A17717" s="234"/>
      <c r="B17717" s="233"/>
      <c r="C17717" s="238"/>
      <c r="E17717" s="545"/>
      <c r="F17717" s="546"/>
      <c r="G17717" s="234"/>
      <c r="H17717" s="238"/>
      <c r="I17717" s="237"/>
    </row>
    <row r="17718" spans="1:9" s="232" customFormat="1" ht="17" customHeight="1">
      <c r="A17718" s="234"/>
      <c r="B17718" s="233"/>
      <c r="C17718" s="238"/>
      <c r="E17718" s="545"/>
      <c r="F17718" s="546"/>
      <c r="G17718" s="234"/>
      <c r="H17718" s="238"/>
      <c r="I17718" s="237"/>
    </row>
    <row r="17719" spans="1:9" s="232" customFormat="1" ht="17" customHeight="1">
      <c r="A17719" s="234"/>
      <c r="B17719" s="233"/>
      <c r="C17719" s="238"/>
      <c r="E17719" s="545"/>
      <c r="F17719" s="546"/>
      <c r="G17719" s="234"/>
      <c r="H17719" s="238"/>
      <c r="I17719" s="237"/>
    </row>
    <row r="17720" spans="1:9" s="232" customFormat="1" ht="17" customHeight="1">
      <c r="A17720" s="234"/>
      <c r="B17720" s="233"/>
      <c r="C17720" s="238"/>
      <c r="E17720" s="545"/>
      <c r="F17720" s="546"/>
      <c r="G17720" s="234"/>
      <c r="H17720" s="238"/>
      <c r="I17720" s="237"/>
    </row>
    <row r="17721" spans="1:9" s="232" customFormat="1" ht="17" customHeight="1">
      <c r="A17721" s="234"/>
      <c r="B17721" s="233"/>
      <c r="C17721" s="238"/>
      <c r="E17721" s="545"/>
      <c r="F17721" s="546"/>
      <c r="G17721" s="234"/>
      <c r="H17721" s="238"/>
      <c r="I17721" s="237"/>
    </row>
    <row r="17722" spans="1:9" s="232" customFormat="1" ht="17" customHeight="1">
      <c r="A17722" s="234"/>
      <c r="B17722" s="233"/>
      <c r="C17722" s="238"/>
      <c r="E17722" s="545"/>
      <c r="F17722" s="546"/>
      <c r="G17722" s="234"/>
      <c r="H17722" s="238"/>
      <c r="I17722" s="237"/>
    </row>
    <row r="17723" spans="1:9" s="232" customFormat="1" ht="17" customHeight="1">
      <c r="A17723" s="234"/>
      <c r="B17723" s="233"/>
      <c r="C17723" s="238"/>
      <c r="E17723" s="545"/>
      <c r="F17723" s="546"/>
      <c r="G17723" s="234"/>
      <c r="H17723" s="238"/>
      <c r="I17723" s="237"/>
    </row>
    <row r="17724" spans="1:9" s="232" customFormat="1" ht="17" customHeight="1">
      <c r="A17724" s="234"/>
      <c r="B17724" s="233"/>
      <c r="C17724" s="238"/>
      <c r="E17724" s="545"/>
      <c r="F17724" s="546"/>
      <c r="G17724" s="234"/>
      <c r="H17724" s="238"/>
      <c r="I17724" s="237"/>
    </row>
    <row r="17725" spans="1:9" s="232" customFormat="1" ht="17" customHeight="1">
      <c r="A17725" s="234"/>
      <c r="B17725" s="233"/>
      <c r="C17725" s="238"/>
      <c r="E17725" s="545"/>
      <c r="F17725" s="546"/>
      <c r="G17725" s="234"/>
      <c r="H17725" s="238"/>
      <c r="I17725" s="237"/>
    </row>
    <row r="17726" spans="1:9" s="232" customFormat="1" ht="17" customHeight="1">
      <c r="A17726" s="234"/>
      <c r="B17726" s="233"/>
      <c r="C17726" s="238"/>
      <c r="E17726" s="545"/>
      <c r="F17726" s="546"/>
      <c r="G17726" s="234"/>
      <c r="H17726" s="238"/>
      <c r="I17726" s="237"/>
    </row>
    <row r="17727" spans="1:9" s="232" customFormat="1" ht="17" customHeight="1">
      <c r="A17727" s="234"/>
      <c r="B17727" s="233"/>
      <c r="C17727" s="238"/>
      <c r="E17727" s="545"/>
      <c r="F17727" s="546"/>
      <c r="G17727" s="234"/>
      <c r="H17727" s="238"/>
      <c r="I17727" s="237"/>
    </row>
    <row r="17728" spans="1:9" s="232" customFormat="1" ht="17" customHeight="1">
      <c r="A17728" s="234"/>
      <c r="B17728" s="233"/>
      <c r="C17728" s="238"/>
      <c r="E17728" s="545"/>
      <c r="F17728" s="546"/>
      <c r="G17728" s="234"/>
      <c r="H17728" s="238"/>
      <c r="I17728" s="237"/>
    </row>
    <row r="17729" spans="1:9" s="232" customFormat="1" ht="17" customHeight="1">
      <c r="A17729" s="234"/>
      <c r="B17729" s="233"/>
      <c r="C17729" s="238"/>
      <c r="E17729" s="545"/>
      <c r="F17729" s="546"/>
      <c r="G17729" s="234"/>
      <c r="H17729" s="238"/>
      <c r="I17729" s="237"/>
    </row>
    <row r="17730" spans="1:9" s="232" customFormat="1" ht="17" customHeight="1">
      <c r="A17730" s="234"/>
      <c r="B17730" s="233"/>
      <c r="C17730" s="238"/>
      <c r="E17730" s="545"/>
      <c r="F17730" s="546"/>
      <c r="G17730" s="234"/>
      <c r="H17730" s="238"/>
      <c r="I17730" s="237"/>
    </row>
    <row r="17731" spans="1:9" s="232" customFormat="1" ht="17" customHeight="1">
      <c r="A17731" s="234"/>
      <c r="B17731" s="233"/>
      <c r="C17731" s="238"/>
      <c r="E17731" s="545"/>
      <c r="F17731" s="546"/>
      <c r="G17731" s="234"/>
      <c r="H17731" s="238"/>
      <c r="I17731" s="237"/>
    </row>
    <row r="17732" spans="1:9" s="232" customFormat="1" ht="17" customHeight="1">
      <c r="A17732" s="234"/>
      <c r="B17732" s="233"/>
      <c r="C17732" s="238"/>
      <c r="E17732" s="545"/>
      <c r="F17732" s="546"/>
      <c r="G17732" s="234"/>
      <c r="H17732" s="238"/>
      <c r="I17732" s="237"/>
    </row>
    <row r="17733" spans="1:9" s="232" customFormat="1" ht="17" customHeight="1">
      <c r="A17733" s="234"/>
      <c r="B17733" s="233"/>
      <c r="C17733" s="238"/>
      <c r="E17733" s="545"/>
      <c r="F17733" s="546"/>
      <c r="G17733" s="234"/>
      <c r="H17733" s="238"/>
      <c r="I17733" s="237"/>
    </row>
    <row r="17734" spans="1:9" s="232" customFormat="1" ht="17" customHeight="1">
      <c r="A17734" s="234"/>
      <c r="B17734" s="233"/>
      <c r="C17734" s="238"/>
      <c r="E17734" s="545"/>
      <c r="F17734" s="546"/>
      <c r="G17734" s="234"/>
      <c r="H17734" s="238"/>
      <c r="I17734" s="237"/>
    </row>
    <row r="17735" spans="1:9" s="232" customFormat="1" ht="17" customHeight="1">
      <c r="A17735" s="234"/>
      <c r="B17735" s="233"/>
      <c r="C17735" s="238"/>
      <c r="E17735" s="545"/>
      <c r="F17735" s="546"/>
      <c r="G17735" s="234"/>
      <c r="H17735" s="238"/>
      <c r="I17735" s="237"/>
    </row>
    <row r="17736" spans="1:9" s="232" customFormat="1" ht="17" customHeight="1">
      <c r="A17736" s="234"/>
      <c r="B17736" s="233"/>
      <c r="C17736" s="238"/>
      <c r="E17736" s="545"/>
      <c r="F17736" s="546"/>
      <c r="G17736" s="234"/>
      <c r="H17736" s="238"/>
      <c r="I17736" s="237"/>
    </row>
    <row r="17737" spans="1:9" s="232" customFormat="1" ht="17" customHeight="1">
      <c r="A17737" s="234"/>
      <c r="B17737" s="233"/>
      <c r="C17737" s="238"/>
      <c r="E17737" s="545"/>
      <c r="F17737" s="546"/>
      <c r="G17737" s="234"/>
      <c r="H17737" s="238"/>
      <c r="I17737" s="237"/>
    </row>
    <row r="17738" spans="1:9" s="232" customFormat="1" ht="17" customHeight="1">
      <c r="A17738" s="234"/>
      <c r="B17738" s="233"/>
      <c r="C17738" s="238"/>
      <c r="E17738" s="545"/>
      <c r="F17738" s="546"/>
      <c r="G17738" s="234"/>
      <c r="H17738" s="238"/>
      <c r="I17738" s="237"/>
    </row>
    <row r="17739" spans="1:9" s="232" customFormat="1" ht="17" customHeight="1">
      <c r="A17739" s="234"/>
      <c r="B17739" s="233"/>
      <c r="C17739" s="238"/>
      <c r="E17739" s="545"/>
      <c r="F17739" s="546"/>
      <c r="G17739" s="234"/>
      <c r="H17739" s="238"/>
      <c r="I17739" s="237"/>
    </row>
    <row r="17740" spans="1:9" s="232" customFormat="1" ht="17" customHeight="1">
      <c r="A17740" s="234"/>
      <c r="B17740" s="233"/>
      <c r="C17740" s="238"/>
      <c r="E17740" s="545"/>
      <c r="F17740" s="546"/>
      <c r="G17740" s="234"/>
      <c r="H17740" s="238"/>
      <c r="I17740" s="237"/>
    </row>
    <row r="17741" spans="1:9" s="232" customFormat="1" ht="17" customHeight="1">
      <c r="A17741" s="234"/>
      <c r="B17741" s="233"/>
      <c r="C17741" s="238"/>
      <c r="E17741" s="545"/>
      <c r="F17741" s="546"/>
      <c r="G17741" s="234"/>
      <c r="H17741" s="238"/>
      <c r="I17741" s="237"/>
    </row>
    <row r="17742" spans="1:9" s="232" customFormat="1" ht="17" customHeight="1">
      <c r="A17742" s="234"/>
      <c r="B17742" s="233"/>
      <c r="C17742" s="238"/>
      <c r="E17742" s="545"/>
      <c r="F17742" s="546"/>
      <c r="G17742" s="234"/>
      <c r="H17742" s="238"/>
      <c r="I17742" s="237"/>
    </row>
    <row r="17743" spans="1:9" s="232" customFormat="1" ht="17" customHeight="1">
      <c r="A17743" s="234"/>
      <c r="B17743" s="233"/>
      <c r="C17743" s="238"/>
      <c r="E17743" s="545"/>
      <c r="F17743" s="546"/>
      <c r="G17743" s="234"/>
      <c r="H17743" s="238"/>
      <c r="I17743" s="237"/>
    </row>
    <row r="17744" spans="1:9" s="232" customFormat="1" ht="17" customHeight="1">
      <c r="A17744" s="234"/>
      <c r="B17744" s="233"/>
      <c r="C17744" s="238"/>
      <c r="E17744" s="545"/>
      <c r="F17744" s="546"/>
      <c r="G17744" s="234"/>
      <c r="H17744" s="238"/>
      <c r="I17744" s="237"/>
    </row>
    <row r="17745" spans="1:9" s="232" customFormat="1" ht="17" customHeight="1">
      <c r="A17745" s="234"/>
      <c r="B17745" s="233"/>
      <c r="C17745" s="238"/>
      <c r="E17745" s="545"/>
      <c r="F17745" s="546"/>
      <c r="G17745" s="234"/>
      <c r="H17745" s="238"/>
      <c r="I17745" s="237"/>
    </row>
    <row r="17746" spans="1:9" s="232" customFormat="1" ht="17" customHeight="1">
      <c r="A17746" s="234"/>
      <c r="B17746" s="233"/>
      <c r="C17746" s="238"/>
      <c r="E17746" s="545"/>
      <c r="F17746" s="546"/>
      <c r="G17746" s="234"/>
      <c r="H17746" s="238"/>
      <c r="I17746" s="237"/>
    </row>
    <row r="17747" spans="1:9" s="232" customFormat="1" ht="17" customHeight="1">
      <c r="A17747" s="234"/>
      <c r="B17747" s="233"/>
      <c r="C17747" s="238"/>
      <c r="E17747" s="545"/>
      <c r="F17747" s="546"/>
      <c r="G17747" s="234"/>
      <c r="H17747" s="238"/>
      <c r="I17747" s="237"/>
    </row>
    <row r="17748" spans="1:9" s="232" customFormat="1" ht="17" customHeight="1">
      <c r="A17748" s="234"/>
      <c r="B17748" s="233"/>
      <c r="C17748" s="238"/>
      <c r="E17748" s="545"/>
      <c r="F17748" s="546"/>
      <c r="G17748" s="234"/>
      <c r="H17748" s="238"/>
      <c r="I17748" s="237"/>
    </row>
    <row r="17749" spans="1:9" s="232" customFormat="1" ht="17" customHeight="1">
      <c r="A17749" s="234"/>
      <c r="B17749" s="233"/>
      <c r="C17749" s="238"/>
      <c r="E17749" s="545"/>
      <c r="F17749" s="546"/>
      <c r="G17749" s="234"/>
      <c r="H17749" s="238"/>
      <c r="I17749" s="237"/>
    </row>
    <row r="17750" spans="1:9" s="232" customFormat="1" ht="17" customHeight="1">
      <c r="A17750" s="234"/>
      <c r="B17750" s="233"/>
      <c r="C17750" s="238"/>
      <c r="E17750" s="545"/>
      <c r="F17750" s="546"/>
      <c r="G17750" s="234"/>
      <c r="H17750" s="238"/>
      <c r="I17750" s="237"/>
    </row>
    <row r="17751" spans="1:9" s="232" customFormat="1" ht="17" customHeight="1">
      <c r="A17751" s="234"/>
      <c r="B17751" s="233"/>
      <c r="C17751" s="238"/>
      <c r="E17751" s="545"/>
      <c r="F17751" s="546"/>
      <c r="G17751" s="234"/>
      <c r="H17751" s="238"/>
      <c r="I17751" s="237"/>
    </row>
    <row r="17752" spans="1:9" s="232" customFormat="1" ht="17" customHeight="1">
      <c r="A17752" s="234"/>
      <c r="B17752" s="233"/>
      <c r="C17752" s="238"/>
      <c r="E17752" s="545"/>
      <c r="F17752" s="546"/>
      <c r="G17752" s="234"/>
      <c r="H17752" s="238"/>
      <c r="I17752" s="237"/>
    </row>
    <row r="17753" spans="1:9" s="232" customFormat="1" ht="17" customHeight="1">
      <c r="A17753" s="234"/>
      <c r="B17753" s="233"/>
      <c r="C17753" s="238"/>
      <c r="E17753" s="545"/>
      <c r="F17753" s="546"/>
      <c r="G17753" s="234"/>
      <c r="H17753" s="238"/>
      <c r="I17753" s="237"/>
    </row>
    <row r="17754" spans="1:9" s="232" customFormat="1" ht="17" customHeight="1">
      <c r="A17754" s="234"/>
      <c r="B17754" s="233"/>
      <c r="C17754" s="238"/>
      <c r="E17754" s="545"/>
      <c r="F17754" s="546"/>
      <c r="G17754" s="234"/>
      <c r="H17754" s="238"/>
      <c r="I17754" s="237"/>
    </row>
    <row r="17755" spans="1:9" s="232" customFormat="1" ht="17" customHeight="1">
      <c r="A17755" s="234"/>
      <c r="B17755" s="233"/>
      <c r="C17755" s="238"/>
      <c r="E17755" s="545"/>
      <c r="F17755" s="546"/>
      <c r="G17755" s="234"/>
      <c r="H17755" s="238"/>
      <c r="I17755" s="237"/>
    </row>
    <row r="17756" spans="1:9" s="232" customFormat="1" ht="17" customHeight="1">
      <c r="A17756" s="234"/>
      <c r="B17756" s="233"/>
      <c r="C17756" s="238"/>
      <c r="E17756" s="545"/>
      <c r="F17756" s="546"/>
      <c r="G17756" s="234"/>
      <c r="H17756" s="238"/>
      <c r="I17756" s="237"/>
    </row>
    <row r="17757" spans="1:9" s="232" customFormat="1" ht="17" customHeight="1">
      <c r="A17757" s="234"/>
      <c r="B17757" s="233"/>
      <c r="C17757" s="238"/>
      <c r="E17757" s="545"/>
      <c r="F17757" s="546"/>
      <c r="G17757" s="234"/>
      <c r="H17757" s="238"/>
      <c r="I17757" s="237"/>
    </row>
    <row r="17758" spans="1:9" s="232" customFormat="1" ht="17" customHeight="1">
      <c r="A17758" s="234"/>
      <c r="B17758" s="233"/>
      <c r="C17758" s="238"/>
      <c r="E17758" s="545"/>
      <c r="F17758" s="546"/>
      <c r="G17758" s="234"/>
      <c r="H17758" s="238"/>
      <c r="I17758" s="237"/>
    </row>
    <row r="17759" spans="1:9" s="232" customFormat="1" ht="17" customHeight="1">
      <c r="A17759" s="234"/>
      <c r="B17759" s="233"/>
      <c r="C17759" s="238"/>
      <c r="E17759" s="545"/>
      <c r="F17759" s="546"/>
      <c r="G17759" s="234"/>
      <c r="H17759" s="238"/>
      <c r="I17759" s="237"/>
    </row>
    <row r="17760" spans="1:9" s="232" customFormat="1" ht="17" customHeight="1">
      <c r="A17760" s="234"/>
      <c r="B17760" s="233"/>
      <c r="C17760" s="238"/>
      <c r="E17760" s="545"/>
      <c r="F17760" s="546"/>
      <c r="G17760" s="234"/>
      <c r="H17760" s="238"/>
      <c r="I17760" s="237"/>
    </row>
    <row r="17761" spans="1:9" s="232" customFormat="1" ht="17" customHeight="1">
      <c r="A17761" s="234"/>
      <c r="B17761" s="233"/>
      <c r="C17761" s="238"/>
      <c r="E17761" s="545"/>
      <c r="F17761" s="546"/>
      <c r="G17761" s="234"/>
      <c r="H17761" s="238"/>
      <c r="I17761" s="237"/>
    </row>
    <row r="17762" spans="1:9" s="232" customFormat="1" ht="17" customHeight="1">
      <c r="A17762" s="234"/>
      <c r="B17762" s="233"/>
      <c r="C17762" s="238"/>
      <c r="E17762" s="545"/>
      <c r="F17762" s="546"/>
      <c r="G17762" s="234"/>
      <c r="H17762" s="238"/>
      <c r="I17762" s="237"/>
    </row>
    <row r="17763" spans="1:9" s="232" customFormat="1" ht="17" customHeight="1">
      <c r="A17763" s="234"/>
      <c r="B17763" s="233"/>
      <c r="C17763" s="238"/>
      <c r="E17763" s="545"/>
      <c r="F17763" s="546"/>
      <c r="G17763" s="234"/>
      <c r="H17763" s="238"/>
      <c r="I17763" s="237"/>
    </row>
    <row r="17764" spans="1:9" s="232" customFormat="1" ht="17" customHeight="1">
      <c r="A17764" s="234"/>
      <c r="B17764" s="233"/>
      <c r="C17764" s="238"/>
      <c r="E17764" s="545"/>
      <c r="F17764" s="546"/>
      <c r="G17764" s="234"/>
      <c r="H17764" s="238"/>
      <c r="I17764" s="237"/>
    </row>
    <row r="17765" spans="1:9" s="232" customFormat="1" ht="17" customHeight="1">
      <c r="A17765" s="234"/>
      <c r="B17765" s="233"/>
      <c r="C17765" s="238"/>
      <c r="E17765" s="545"/>
      <c r="F17765" s="546"/>
      <c r="G17765" s="234"/>
      <c r="H17765" s="238"/>
      <c r="I17765" s="237"/>
    </row>
    <row r="17766" spans="1:9" s="232" customFormat="1" ht="17" customHeight="1">
      <c r="A17766" s="234"/>
      <c r="B17766" s="233"/>
      <c r="C17766" s="238"/>
      <c r="E17766" s="545"/>
      <c r="F17766" s="546"/>
      <c r="G17766" s="234"/>
      <c r="H17766" s="238"/>
      <c r="I17766" s="237"/>
    </row>
    <row r="17767" spans="1:9" s="232" customFormat="1" ht="17" customHeight="1">
      <c r="A17767" s="234"/>
      <c r="B17767" s="233"/>
      <c r="C17767" s="238"/>
      <c r="E17767" s="545"/>
      <c r="F17767" s="546"/>
      <c r="G17767" s="234"/>
      <c r="H17767" s="238"/>
      <c r="I17767" s="237"/>
    </row>
    <row r="17768" spans="1:9" s="232" customFormat="1" ht="17" customHeight="1">
      <c r="A17768" s="234"/>
      <c r="B17768" s="233"/>
      <c r="C17768" s="238"/>
      <c r="E17768" s="545"/>
      <c r="F17768" s="546"/>
      <c r="G17768" s="234"/>
      <c r="H17768" s="238"/>
      <c r="I17768" s="237"/>
    </row>
    <row r="17769" spans="1:9" s="232" customFormat="1" ht="17" customHeight="1">
      <c r="A17769" s="234"/>
      <c r="B17769" s="233"/>
      <c r="C17769" s="238"/>
      <c r="E17769" s="545"/>
      <c r="F17769" s="546"/>
      <c r="G17769" s="234"/>
      <c r="H17769" s="238"/>
      <c r="I17769" s="237"/>
    </row>
    <row r="17770" spans="1:9" s="232" customFormat="1" ht="17" customHeight="1">
      <c r="A17770" s="234"/>
      <c r="B17770" s="233"/>
      <c r="C17770" s="238"/>
      <c r="E17770" s="545"/>
      <c r="F17770" s="546"/>
      <c r="G17770" s="234"/>
      <c r="H17770" s="238"/>
      <c r="I17770" s="237"/>
    </row>
    <row r="17771" spans="1:9" s="232" customFormat="1" ht="17" customHeight="1">
      <c r="A17771" s="234"/>
      <c r="B17771" s="233"/>
      <c r="C17771" s="238"/>
      <c r="E17771" s="545"/>
      <c r="F17771" s="546"/>
      <c r="G17771" s="234"/>
      <c r="H17771" s="238"/>
      <c r="I17771" s="237"/>
    </row>
    <row r="17772" spans="1:9" s="232" customFormat="1" ht="17" customHeight="1">
      <c r="A17772" s="234"/>
      <c r="B17772" s="233"/>
      <c r="C17772" s="238"/>
      <c r="E17772" s="545"/>
      <c r="F17772" s="546"/>
      <c r="G17772" s="234"/>
      <c r="H17772" s="238"/>
      <c r="I17772" s="237"/>
    </row>
    <row r="17773" spans="1:9" s="232" customFormat="1" ht="17" customHeight="1">
      <c r="A17773" s="234"/>
      <c r="B17773" s="233"/>
      <c r="C17773" s="238"/>
      <c r="E17773" s="545"/>
      <c r="F17773" s="546"/>
      <c r="G17773" s="234"/>
      <c r="H17773" s="238"/>
      <c r="I17773" s="237"/>
    </row>
    <row r="17774" spans="1:9" s="232" customFormat="1" ht="17" customHeight="1">
      <c r="A17774" s="234"/>
      <c r="B17774" s="233"/>
      <c r="C17774" s="238"/>
      <c r="E17774" s="545"/>
      <c r="F17774" s="546"/>
      <c r="G17774" s="234"/>
      <c r="H17774" s="238"/>
      <c r="I17774" s="237"/>
    </row>
    <row r="17775" spans="1:9" s="232" customFormat="1" ht="17" customHeight="1">
      <c r="A17775" s="234"/>
      <c r="B17775" s="233"/>
      <c r="C17775" s="238"/>
      <c r="E17775" s="545"/>
      <c r="F17775" s="546"/>
      <c r="G17775" s="234"/>
      <c r="H17775" s="238"/>
      <c r="I17775" s="237"/>
    </row>
    <row r="17776" spans="1:9" s="232" customFormat="1" ht="17" customHeight="1">
      <c r="A17776" s="234"/>
      <c r="B17776" s="233"/>
      <c r="C17776" s="238"/>
      <c r="E17776" s="545"/>
      <c r="F17776" s="546"/>
      <c r="G17776" s="234"/>
      <c r="H17776" s="238"/>
      <c r="I17776" s="237"/>
    </row>
    <row r="17777" spans="1:9" s="232" customFormat="1" ht="17" customHeight="1">
      <c r="A17777" s="234"/>
      <c r="B17777" s="233"/>
      <c r="C17777" s="238"/>
      <c r="E17777" s="545"/>
      <c r="F17777" s="546"/>
      <c r="G17777" s="234"/>
      <c r="H17777" s="238"/>
      <c r="I17777" s="237"/>
    </row>
    <row r="17778" spans="1:9" s="232" customFormat="1" ht="17" customHeight="1">
      <c r="A17778" s="234"/>
      <c r="B17778" s="233"/>
      <c r="C17778" s="238"/>
      <c r="E17778" s="545"/>
      <c r="F17778" s="546"/>
      <c r="G17778" s="234"/>
      <c r="H17778" s="238"/>
      <c r="I17778" s="237"/>
    </row>
    <row r="17779" spans="1:9" s="232" customFormat="1" ht="17" customHeight="1">
      <c r="A17779" s="234"/>
      <c r="B17779" s="233"/>
      <c r="C17779" s="238"/>
      <c r="E17779" s="545"/>
      <c r="F17779" s="546"/>
      <c r="G17779" s="234"/>
      <c r="H17779" s="238"/>
      <c r="I17779" s="237"/>
    </row>
    <row r="17780" spans="1:9" s="232" customFormat="1" ht="17" customHeight="1">
      <c r="A17780" s="234"/>
      <c r="B17780" s="233"/>
      <c r="C17780" s="238"/>
      <c r="E17780" s="545"/>
      <c r="F17780" s="546"/>
      <c r="G17780" s="234"/>
      <c r="H17780" s="238"/>
      <c r="I17780" s="237"/>
    </row>
    <row r="17781" spans="1:9" s="232" customFormat="1" ht="17" customHeight="1">
      <c r="A17781" s="234"/>
      <c r="B17781" s="233"/>
      <c r="C17781" s="238"/>
      <c r="E17781" s="545"/>
      <c r="F17781" s="546"/>
      <c r="G17781" s="234"/>
      <c r="H17781" s="238"/>
      <c r="I17781" s="237"/>
    </row>
    <row r="17782" spans="1:9" s="232" customFormat="1" ht="17" customHeight="1">
      <c r="A17782" s="234"/>
      <c r="B17782" s="233"/>
      <c r="C17782" s="238"/>
      <c r="E17782" s="545"/>
      <c r="F17782" s="546"/>
      <c r="G17782" s="234"/>
      <c r="H17782" s="238"/>
      <c r="I17782" s="237"/>
    </row>
    <row r="17783" spans="1:9" s="232" customFormat="1" ht="17" customHeight="1">
      <c r="A17783" s="234"/>
      <c r="B17783" s="233"/>
      <c r="C17783" s="238"/>
      <c r="E17783" s="545"/>
      <c r="F17783" s="546"/>
      <c r="G17783" s="234"/>
      <c r="H17783" s="238"/>
      <c r="I17783" s="237"/>
    </row>
    <row r="17784" spans="1:9" s="232" customFormat="1" ht="17" customHeight="1">
      <c r="A17784" s="234"/>
      <c r="B17784" s="233"/>
      <c r="C17784" s="238"/>
      <c r="E17784" s="545"/>
      <c r="F17784" s="546"/>
      <c r="G17784" s="234"/>
      <c r="H17784" s="238"/>
      <c r="I17784" s="237"/>
    </row>
    <row r="17785" spans="1:9" s="232" customFormat="1" ht="17" customHeight="1">
      <c r="A17785" s="234"/>
      <c r="B17785" s="233"/>
      <c r="C17785" s="238"/>
      <c r="E17785" s="545"/>
      <c r="F17785" s="546"/>
      <c r="G17785" s="234"/>
      <c r="H17785" s="238"/>
      <c r="I17785" s="237"/>
    </row>
    <row r="17786" spans="1:9" s="232" customFormat="1" ht="17" customHeight="1">
      <c r="A17786" s="234"/>
      <c r="B17786" s="233"/>
      <c r="C17786" s="238"/>
      <c r="E17786" s="545"/>
      <c r="F17786" s="546"/>
      <c r="G17786" s="234"/>
      <c r="H17786" s="238"/>
      <c r="I17786" s="237"/>
    </row>
    <row r="17787" spans="1:9" s="232" customFormat="1" ht="17" customHeight="1">
      <c r="A17787" s="234"/>
      <c r="B17787" s="233"/>
      <c r="C17787" s="238"/>
      <c r="E17787" s="545"/>
      <c r="F17787" s="546"/>
      <c r="G17787" s="234"/>
      <c r="H17787" s="238"/>
      <c r="I17787" s="237"/>
    </row>
    <row r="17788" spans="1:9" s="232" customFormat="1" ht="17" customHeight="1">
      <c r="A17788" s="234"/>
      <c r="B17788" s="233"/>
      <c r="C17788" s="238"/>
      <c r="E17788" s="545"/>
      <c r="F17788" s="546"/>
      <c r="G17788" s="234"/>
      <c r="H17788" s="238"/>
      <c r="I17788" s="237"/>
    </row>
    <row r="17789" spans="1:9" s="232" customFormat="1" ht="17" customHeight="1">
      <c r="A17789" s="234"/>
      <c r="B17789" s="233"/>
      <c r="C17789" s="238"/>
      <c r="E17789" s="545"/>
      <c r="F17789" s="546"/>
      <c r="G17789" s="234"/>
      <c r="H17789" s="238"/>
      <c r="I17789" s="237"/>
    </row>
    <row r="17790" spans="1:9" s="232" customFormat="1" ht="17" customHeight="1">
      <c r="A17790" s="234"/>
      <c r="B17790" s="233"/>
      <c r="C17790" s="238"/>
      <c r="E17790" s="545"/>
      <c r="F17790" s="546"/>
      <c r="G17790" s="234"/>
      <c r="H17790" s="238"/>
      <c r="I17790" s="237"/>
    </row>
    <row r="17791" spans="1:9" s="232" customFormat="1" ht="17" customHeight="1">
      <c r="A17791" s="234"/>
      <c r="B17791" s="233"/>
      <c r="C17791" s="238"/>
      <c r="E17791" s="545"/>
      <c r="F17791" s="546"/>
      <c r="G17791" s="234"/>
      <c r="H17791" s="238"/>
      <c r="I17791" s="237"/>
    </row>
    <row r="17792" spans="1:9" s="232" customFormat="1" ht="17" customHeight="1">
      <c r="A17792" s="234"/>
      <c r="B17792" s="233"/>
      <c r="C17792" s="238"/>
      <c r="E17792" s="545"/>
      <c r="F17792" s="546"/>
      <c r="G17792" s="234"/>
      <c r="H17792" s="238"/>
      <c r="I17792" s="237"/>
    </row>
    <row r="17793" spans="1:9" s="232" customFormat="1" ht="17" customHeight="1">
      <c r="A17793" s="234"/>
      <c r="B17793" s="233"/>
      <c r="C17793" s="238"/>
      <c r="E17793" s="545"/>
      <c r="F17793" s="546"/>
      <c r="G17793" s="234"/>
      <c r="H17793" s="238"/>
      <c r="I17793" s="237"/>
    </row>
    <row r="17794" spans="1:9" s="232" customFormat="1" ht="17" customHeight="1">
      <c r="A17794" s="234"/>
      <c r="B17794" s="233"/>
      <c r="C17794" s="238"/>
      <c r="E17794" s="545"/>
      <c r="F17794" s="546"/>
      <c r="G17794" s="234"/>
      <c r="H17794" s="238"/>
      <c r="I17794" s="237"/>
    </row>
    <row r="17795" spans="1:9" s="232" customFormat="1" ht="17" customHeight="1">
      <c r="A17795" s="234"/>
      <c r="B17795" s="233"/>
      <c r="C17795" s="238"/>
      <c r="E17795" s="545"/>
      <c r="F17795" s="546"/>
      <c r="G17795" s="234"/>
      <c r="H17795" s="238"/>
      <c r="I17795" s="237"/>
    </row>
    <row r="17796" spans="1:9" s="232" customFormat="1" ht="17" customHeight="1">
      <c r="A17796" s="234"/>
      <c r="B17796" s="233"/>
      <c r="C17796" s="238"/>
      <c r="E17796" s="545"/>
      <c r="F17796" s="546"/>
      <c r="G17796" s="234"/>
      <c r="H17796" s="238"/>
      <c r="I17796" s="237"/>
    </row>
    <row r="17797" spans="1:9" s="232" customFormat="1" ht="17" customHeight="1">
      <c r="A17797" s="234"/>
      <c r="B17797" s="233"/>
      <c r="C17797" s="238"/>
      <c r="E17797" s="545"/>
      <c r="F17797" s="546"/>
      <c r="G17797" s="234"/>
      <c r="H17797" s="238"/>
      <c r="I17797" s="237"/>
    </row>
    <row r="17798" spans="1:9" s="232" customFormat="1" ht="17" customHeight="1">
      <c r="A17798" s="234"/>
      <c r="B17798" s="233"/>
      <c r="C17798" s="238"/>
      <c r="E17798" s="545"/>
      <c r="F17798" s="546"/>
      <c r="G17798" s="234"/>
      <c r="H17798" s="238"/>
      <c r="I17798" s="237"/>
    </row>
    <row r="17799" spans="1:9" s="232" customFormat="1" ht="17" customHeight="1">
      <c r="A17799" s="234"/>
      <c r="B17799" s="233"/>
      <c r="C17799" s="238"/>
      <c r="E17799" s="545"/>
      <c r="F17799" s="546"/>
      <c r="G17799" s="234"/>
      <c r="H17799" s="238"/>
      <c r="I17799" s="237"/>
    </row>
    <row r="17800" spans="1:9" s="232" customFormat="1" ht="17" customHeight="1">
      <c r="A17800" s="234"/>
      <c r="B17800" s="233"/>
      <c r="C17800" s="238"/>
      <c r="E17800" s="545"/>
      <c r="F17800" s="546"/>
      <c r="G17800" s="234"/>
      <c r="H17800" s="238"/>
      <c r="I17800" s="237"/>
    </row>
    <row r="17801" spans="1:9" s="232" customFormat="1" ht="17" customHeight="1">
      <c r="A17801" s="234"/>
      <c r="B17801" s="233"/>
      <c r="C17801" s="238"/>
      <c r="E17801" s="545"/>
      <c r="F17801" s="546"/>
      <c r="G17801" s="234"/>
      <c r="H17801" s="238"/>
      <c r="I17801" s="237"/>
    </row>
    <row r="17802" spans="1:9" s="232" customFormat="1" ht="17" customHeight="1">
      <c r="A17802" s="234"/>
      <c r="B17802" s="233"/>
      <c r="C17802" s="238"/>
      <c r="E17802" s="545"/>
      <c r="F17802" s="546"/>
      <c r="G17802" s="234"/>
      <c r="H17802" s="238"/>
      <c r="I17802" s="237"/>
    </row>
    <row r="17803" spans="1:9" s="232" customFormat="1" ht="17" customHeight="1">
      <c r="A17803" s="234"/>
      <c r="B17803" s="233"/>
      <c r="C17803" s="238"/>
      <c r="E17803" s="545"/>
      <c r="F17803" s="546"/>
      <c r="G17803" s="234"/>
      <c r="H17803" s="238"/>
      <c r="I17803" s="237"/>
    </row>
    <row r="17804" spans="1:9" s="232" customFormat="1" ht="17" customHeight="1">
      <c r="A17804" s="234"/>
      <c r="B17804" s="233"/>
      <c r="C17804" s="238"/>
      <c r="E17804" s="545"/>
      <c r="F17804" s="546"/>
      <c r="G17804" s="234"/>
      <c r="H17804" s="238"/>
      <c r="I17804" s="237"/>
    </row>
    <row r="17805" spans="1:9" s="232" customFormat="1" ht="17" customHeight="1">
      <c r="A17805" s="234"/>
      <c r="B17805" s="233"/>
      <c r="C17805" s="238"/>
      <c r="E17805" s="545"/>
      <c r="F17805" s="546"/>
      <c r="G17805" s="234"/>
      <c r="H17805" s="238"/>
      <c r="I17805" s="237"/>
    </row>
    <row r="17806" spans="1:9" s="232" customFormat="1" ht="17" customHeight="1">
      <c r="A17806" s="234"/>
      <c r="B17806" s="233"/>
      <c r="C17806" s="238"/>
      <c r="E17806" s="545"/>
      <c r="F17806" s="546"/>
      <c r="G17806" s="234"/>
      <c r="H17806" s="238"/>
      <c r="I17806" s="237"/>
    </row>
    <row r="17807" spans="1:9" s="232" customFormat="1" ht="17" customHeight="1">
      <c r="A17807" s="234"/>
      <c r="B17807" s="233"/>
      <c r="C17807" s="238"/>
      <c r="E17807" s="545"/>
      <c r="F17807" s="546"/>
      <c r="G17807" s="234"/>
      <c r="H17807" s="238"/>
      <c r="I17807" s="237"/>
    </row>
    <row r="17808" spans="1:9" s="232" customFormat="1" ht="17" customHeight="1">
      <c r="A17808" s="234"/>
      <c r="B17808" s="233"/>
      <c r="C17808" s="238"/>
      <c r="E17808" s="545"/>
      <c r="F17808" s="546"/>
      <c r="G17808" s="234"/>
      <c r="H17808" s="238"/>
      <c r="I17808" s="237"/>
    </row>
    <row r="17809" spans="1:9" s="232" customFormat="1" ht="17" customHeight="1">
      <c r="A17809" s="234"/>
      <c r="B17809" s="233"/>
      <c r="C17809" s="238"/>
      <c r="E17809" s="545"/>
      <c r="F17809" s="546"/>
      <c r="G17809" s="234"/>
      <c r="H17809" s="238"/>
      <c r="I17809" s="237"/>
    </row>
    <row r="17810" spans="1:9" s="232" customFormat="1" ht="17" customHeight="1">
      <c r="A17810" s="234"/>
      <c r="B17810" s="233"/>
      <c r="C17810" s="238"/>
      <c r="E17810" s="545"/>
      <c r="F17810" s="546"/>
      <c r="G17810" s="234"/>
      <c r="H17810" s="238"/>
      <c r="I17810" s="237"/>
    </row>
    <row r="17811" spans="1:9" s="232" customFormat="1" ht="17" customHeight="1">
      <c r="A17811" s="234"/>
      <c r="B17811" s="233"/>
      <c r="C17811" s="238"/>
      <c r="E17811" s="545"/>
      <c r="F17811" s="546"/>
      <c r="G17811" s="234"/>
      <c r="H17811" s="238"/>
      <c r="I17811" s="237"/>
    </row>
    <row r="17812" spans="1:9" s="232" customFormat="1" ht="17" customHeight="1">
      <c r="A17812" s="234"/>
      <c r="B17812" s="233"/>
      <c r="C17812" s="238"/>
      <c r="E17812" s="545"/>
      <c r="F17812" s="546"/>
      <c r="G17812" s="234"/>
      <c r="H17812" s="238"/>
      <c r="I17812" s="237"/>
    </row>
    <row r="17813" spans="1:9" s="232" customFormat="1" ht="17" customHeight="1">
      <c r="A17813" s="234"/>
      <c r="B17813" s="233"/>
      <c r="C17813" s="238"/>
      <c r="E17813" s="545"/>
      <c r="F17813" s="546"/>
      <c r="G17813" s="234"/>
      <c r="H17813" s="238"/>
      <c r="I17813" s="237"/>
    </row>
    <row r="17814" spans="1:9" s="232" customFormat="1" ht="17" customHeight="1">
      <c r="A17814" s="234"/>
      <c r="B17814" s="233"/>
      <c r="C17814" s="238"/>
      <c r="E17814" s="545"/>
      <c r="F17814" s="546"/>
      <c r="G17814" s="234"/>
      <c r="H17814" s="238"/>
      <c r="I17814" s="237"/>
    </row>
    <row r="17815" spans="1:9" s="232" customFormat="1" ht="17" customHeight="1">
      <c r="A17815" s="234"/>
      <c r="B17815" s="233"/>
      <c r="C17815" s="238"/>
      <c r="E17815" s="545"/>
      <c r="F17815" s="546"/>
      <c r="G17815" s="234"/>
      <c r="H17815" s="238"/>
      <c r="I17815" s="237"/>
    </row>
    <row r="17816" spans="1:9" s="232" customFormat="1" ht="17" customHeight="1">
      <c r="A17816" s="234"/>
      <c r="B17816" s="233"/>
      <c r="C17816" s="238"/>
      <c r="E17816" s="545"/>
      <c r="F17816" s="546"/>
      <c r="G17816" s="234"/>
      <c r="H17816" s="238"/>
      <c r="I17816" s="237"/>
    </row>
    <row r="17817" spans="1:9" s="232" customFormat="1" ht="17" customHeight="1">
      <c r="A17817" s="234"/>
      <c r="B17817" s="233"/>
      <c r="C17817" s="238"/>
      <c r="E17817" s="545"/>
      <c r="F17817" s="546"/>
      <c r="G17817" s="234"/>
      <c r="H17817" s="238"/>
      <c r="I17817" s="237"/>
    </row>
    <row r="17818" spans="1:9" s="232" customFormat="1" ht="17" customHeight="1">
      <c r="A17818" s="234"/>
      <c r="B17818" s="233"/>
      <c r="C17818" s="238"/>
      <c r="E17818" s="545"/>
      <c r="F17818" s="546"/>
      <c r="G17818" s="234"/>
      <c r="H17818" s="238"/>
      <c r="I17818" s="237"/>
    </row>
    <row r="17819" spans="1:9" s="232" customFormat="1" ht="17" customHeight="1">
      <c r="A17819" s="234"/>
      <c r="B17819" s="233"/>
      <c r="C17819" s="238"/>
      <c r="E17819" s="545"/>
      <c r="F17819" s="546"/>
      <c r="G17819" s="234"/>
      <c r="H17819" s="238"/>
      <c r="I17819" s="237"/>
    </row>
    <row r="17820" spans="1:9" s="232" customFormat="1" ht="17" customHeight="1">
      <c r="A17820" s="234"/>
      <c r="B17820" s="233"/>
      <c r="C17820" s="238"/>
      <c r="E17820" s="545"/>
      <c r="F17820" s="546"/>
      <c r="G17820" s="234"/>
      <c r="H17820" s="238"/>
      <c r="I17820" s="237"/>
    </row>
    <row r="17821" spans="1:9" s="232" customFormat="1" ht="17" customHeight="1">
      <c r="A17821" s="234"/>
      <c r="B17821" s="233"/>
      <c r="C17821" s="238"/>
      <c r="E17821" s="545"/>
      <c r="F17821" s="546"/>
      <c r="G17821" s="234"/>
      <c r="H17821" s="238"/>
      <c r="I17821" s="237"/>
    </row>
    <row r="17822" spans="1:9" s="232" customFormat="1" ht="17" customHeight="1">
      <c r="A17822" s="234"/>
      <c r="B17822" s="233"/>
      <c r="C17822" s="238"/>
      <c r="E17822" s="545"/>
      <c r="F17822" s="546"/>
      <c r="G17822" s="234"/>
      <c r="H17822" s="238"/>
      <c r="I17822" s="237"/>
    </row>
    <row r="17823" spans="1:9" s="232" customFormat="1" ht="17" customHeight="1">
      <c r="A17823" s="234"/>
      <c r="B17823" s="233"/>
      <c r="C17823" s="238"/>
      <c r="E17823" s="545"/>
      <c r="F17823" s="546"/>
      <c r="G17823" s="234"/>
      <c r="H17823" s="238"/>
      <c r="I17823" s="237"/>
    </row>
    <row r="17824" spans="1:9" s="232" customFormat="1" ht="17" customHeight="1">
      <c r="A17824" s="234"/>
      <c r="B17824" s="233"/>
      <c r="C17824" s="238"/>
      <c r="E17824" s="545"/>
      <c r="F17824" s="546"/>
      <c r="G17824" s="234"/>
      <c r="H17824" s="238"/>
      <c r="I17824" s="237"/>
    </row>
    <row r="17825" spans="1:9" s="232" customFormat="1" ht="17" customHeight="1">
      <c r="A17825" s="234"/>
      <c r="B17825" s="233"/>
      <c r="C17825" s="238"/>
      <c r="E17825" s="545"/>
      <c r="F17825" s="546"/>
      <c r="G17825" s="234"/>
      <c r="H17825" s="238"/>
      <c r="I17825" s="237"/>
    </row>
    <row r="17826" spans="1:9" s="232" customFormat="1" ht="17" customHeight="1">
      <c r="A17826" s="234"/>
      <c r="B17826" s="233"/>
      <c r="C17826" s="238"/>
      <c r="E17826" s="545"/>
      <c r="F17826" s="546"/>
      <c r="G17826" s="234"/>
      <c r="H17826" s="238"/>
      <c r="I17826" s="237"/>
    </row>
    <row r="17827" spans="1:9" s="232" customFormat="1" ht="17" customHeight="1">
      <c r="A17827" s="234"/>
      <c r="B17827" s="233"/>
      <c r="C17827" s="238"/>
      <c r="E17827" s="545"/>
      <c r="F17827" s="546"/>
      <c r="G17827" s="234"/>
      <c r="H17827" s="238"/>
      <c r="I17827" s="237"/>
    </row>
    <row r="17828" spans="1:9" s="232" customFormat="1" ht="17" customHeight="1">
      <c r="A17828" s="234"/>
      <c r="B17828" s="233"/>
      <c r="C17828" s="238"/>
      <c r="E17828" s="545"/>
      <c r="F17828" s="546"/>
      <c r="G17828" s="234"/>
      <c r="H17828" s="238"/>
      <c r="I17828" s="237"/>
    </row>
    <row r="17829" spans="1:9" s="232" customFormat="1" ht="17" customHeight="1">
      <c r="A17829" s="234"/>
      <c r="B17829" s="233"/>
      <c r="C17829" s="238"/>
      <c r="E17829" s="545"/>
      <c r="F17829" s="546"/>
      <c r="G17829" s="234"/>
      <c r="H17829" s="238"/>
      <c r="I17829" s="237"/>
    </row>
    <row r="17830" spans="1:9" s="232" customFormat="1" ht="17" customHeight="1">
      <c r="A17830" s="234"/>
      <c r="B17830" s="233"/>
      <c r="C17830" s="238"/>
      <c r="E17830" s="545"/>
      <c r="F17830" s="546"/>
      <c r="G17830" s="234"/>
      <c r="H17830" s="238"/>
      <c r="I17830" s="237"/>
    </row>
    <row r="17831" spans="1:9" s="232" customFormat="1" ht="17" customHeight="1">
      <c r="A17831" s="234"/>
      <c r="B17831" s="233"/>
      <c r="C17831" s="238"/>
      <c r="E17831" s="545"/>
      <c r="F17831" s="546"/>
      <c r="G17831" s="234"/>
      <c r="H17831" s="238"/>
      <c r="I17831" s="237"/>
    </row>
    <row r="17832" spans="1:9" s="232" customFormat="1" ht="17" customHeight="1">
      <c r="A17832" s="234"/>
      <c r="B17832" s="233"/>
      <c r="C17832" s="238"/>
      <c r="E17832" s="545"/>
      <c r="F17832" s="546"/>
      <c r="G17832" s="234"/>
      <c r="H17832" s="238"/>
      <c r="I17832" s="237"/>
    </row>
    <row r="17833" spans="1:9" s="232" customFormat="1" ht="17" customHeight="1">
      <c r="A17833" s="234"/>
      <c r="B17833" s="233"/>
      <c r="C17833" s="238"/>
      <c r="E17833" s="545"/>
      <c r="F17833" s="546"/>
      <c r="G17833" s="234"/>
      <c r="H17833" s="238"/>
      <c r="I17833" s="237"/>
    </row>
    <row r="17834" spans="1:9" s="232" customFormat="1" ht="17" customHeight="1">
      <c r="A17834" s="234"/>
      <c r="B17834" s="233"/>
      <c r="C17834" s="238"/>
      <c r="E17834" s="545"/>
      <c r="F17834" s="546"/>
      <c r="G17834" s="234"/>
      <c r="H17834" s="238"/>
      <c r="I17834" s="237"/>
    </row>
    <row r="17835" spans="1:9" s="232" customFormat="1" ht="17" customHeight="1">
      <c r="A17835" s="234"/>
      <c r="B17835" s="233"/>
      <c r="C17835" s="238"/>
      <c r="E17835" s="545"/>
      <c r="F17835" s="546"/>
      <c r="G17835" s="234"/>
      <c r="H17835" s="238"/>
      <c r="I17835" s="237"/>
    </row>
    <row r="17836" spans="1:9" s="232" customFormat="1" ht="17" customHeight="1">
      <c r="A17836" s="234"/>
      <c r="B17836" s="233"/>
      <c r="C17836" s="238"/>
      <c r="E17836" s="545"/>
      <c r="F17836" s="546"/>
      <c r="G17836" s="234"/>
      <c r="H17836" s="238"/>
      <c r="I17836" s="237"/>
    </row>
    <row r="17837" spans="1:9" s="232" customFormat="1" ht="17" customHeight="1">
      <c r="A17837" s="234"/>
      <c r="B17837" s="233"/>
      <c r="C17837" s="238"/>
      <c r="E17837" s="545"/>
      <c r="F17837" s="546"/>
      <c r="G17837" s="234"/>
      <c r="H17837" s="238"/>
      <c r="I17837" s="237"/>
    </row>
    <row r="17838" spans="1:9" s="232" customFormat="1" ht="17" customHeight="1">
      <c r="A17838" s="234"/>
      <c r="B17838" s="233"/>
      <c r="C17838" s="238"/>
      <c r="E17838" s="545"/>
      <c r="F17838" s="546"/>
      <c r="G17838" s="234"/>
      <c r="H17838" s="238"/>
      <c r="I17838" s="237"/>
    </row>
    <row r="17839" spans="1:9" s="232" customFormat="1" ht="17" customHeight="1">
      <c r="A17839" s="234"/>
      <c r="B17839" s="233"/>
      <c r="C17839" s="238"/>
      <c r="E17839" s="545"/>
      <c r="F17839" s="546"/>
      <c r="G17839" s="234"/>
      <c r="H17839" s="238"/>
      <c r="I17839" s="237"/>
    </row>
    <row r="17840" spans="1:9" s="232" customFormat="1" ht="17" customHeight="1">
      <c r="A17840" s="234"/>
      <c r="B17840" s="233"/>
      <c r="C17840" s="238"/>
      <c r="E17840" s="545"/>
      <c r="F17840" s="546"/>
      <c r="G17840" s="234"/>
      <c r="H17840" s="238"/>
      <c r="I17840" s="237"/>
    </row>
    <row r="17841" spans="1:9" s="232" customFormat="1" ht="17" customHeight="1">
      <c r="A17841" s="234"/>
      <c r="B17841" s="233"/>
      <c r="C17841" s="238"/>
      <c r="E17841" s="545"/>
      <c r="F17841" s="546"/>
      <c r="G17841" s="234"/>
      <c r="H17841" s="238"/>
      <c r="I17841" s="237"/>
    </row>
    <row r="17842" spans="1:9" s="232" customFormat="1" ht="17" customHeight="1">
      <c r="A17842" s="234"/>
      <c r="B17842" s="233"/>
      <c r="C17842" s="238"/>
      <c r="E17842" s="545"/>
      <c r="F17842" s="546"/>
      <c r="G17842" s="234"/>
      <c r="H17842" s="238"/>
      <c r="I17842" s="237"/>
    </row>
    <row r="17843" spans="1:9" s="232" customFormat="1" ht="17" customHeight="1">
      <c r="A17843" s="234"/>
      <c r="B17843" s="233"/>
      <c r="C17843" s="238"/>
      <c r="E17843" s="545"/>
      <c r="F17843" s="546"/>
      <c r="G17843" s="234"/>
      <c r="H17843" s="238"/>
      <c r="I17843" s="237"/>
    </row>
    <row r="17844" spans="1:9" s="232" customFormat="1" ht="17" customHeight="1">
      <c r="A17844" s="234"/>
      <c r="B17844" s="233"/>
      <c r="C17844" s="238"/>
      <c r="E17844" s="545"/>
      <c r="F17844" s="546"/>
      <c r="G17844" s="234"/>
      <c r="H17844" s="238"/>
      <c r="I17844" s="237"/>
    </row>
    <row r="17845" spans="1:9" s="232" customFormat="1" ht="17" customHeight="1">
      <c r="A17845" s="234"/>
      <c r="B17845" s="233"/>
      <c r="C17845" s="238"/>
      <c r="E17845" s="545"/>
      <c r="F17845" s="546"/>
      <c r="G17845" s="234"/>
      <c r="H17845" s="238"/>
      <c r="I17845" s="237"/>
    </row>
    <row r="17846" spans="1:9" s="232" customFormat="1" ht="17" customHeight="1">
      <c r="A17846" s="234"/>
      <c r="B17846" s="233"/>
      <c r="C17846" s="238"/>
      <c r="E17846" s="545"/>
      <c r="F17846" s="546"/>
      <c r="G17846" s="234"/>
      <c r="H17846" s="238"/>
      <c r="I17846" s="237"/>
    </row>
    <row r="17847" spans="1:9" s="232" customFormat="1" ht="17" customHeight="1">
      <c r="A17847" s="234"/>
      <c r="B17847" s="233"/>
      <c r="C17847" s="238"/>
      <c r="E17847" s="545"/>
      <c r="F17847" s="546"/>
      <c r="G17847" s="234"/>
      <c r="H17847" s="238"/>
      <c r="I17847" s="237"/>
    </row>
    <row r="17848" spans="1:9" s="232" customFormat="1" ht="17" customHeight="1">
      <c r="A17848" s="234"/>
      <c r="B17848" s="233"/>
      <c r="C17848" s="238"/>
      <c r="E17848" s="545"/>
      <c r="F17848" s="546"/>
      <c r="G17848" s="234"/>
      <c r="H17848" s="238"/>
      <c r="I17848" s="237"/>
    </row>
    <row r="17849" spans="1:9" s="232" customFormat="1" ht="17" customHeight="1">
      <c r="A17849" s="234"/>
      <c r="B17849" s="233"/>
      <c r="C17849" s="238"/>
      <c r="E17849" s="545"/>
      <c r="F17849" s="546"/>
      <c r="G17849" s="234"/>
      <c r="H17849" s="238"/>
      <c r="I17849" s="237"/>
    </row>
    <row r="17850" spans="1:9" s="232" customFormat="1" ht="17" customHeight="1">
      <c r="A17850" s="234"/>
      <c r="B17850" s="233"/>
      <c r="C17850" s="238"/>
      <c r="E17850" s="545"/>
      <c r="F17850" s="546"/>
      <c r="G17850" s="234"/>
      <c r="H17850" s="238"/>
      <c r="I17850" s="237"/>
    </row>
    <row r="17851" spans="1:9" s="232" customFormat="1" ht="17" customHeight="1">
      <c r="A17851" s="234"/>
      <c r="B17851" s="233"/>
      <c r="C17851" s="238"/>
      <c r="E17851" s="545"/>
      <c r="F17851" s="546"/>
      <c r="G17851" s="234"/>
      <c r="H17851" s="238"/>
      <c r="I17851" s="237"/>
    </row>
    <row r="17852" spans="1:9" s="232" customFormat="1" ht="17" customHeight="1">
      <c r="A17852" s="234"/>
      <c r="B17852" s="233"/>
      <c r="C17852" s="238"/>
      <c r="E17852" s="545"/>
      <c r="F17852" s="546"/>
      <c r="G17852" s="234"/>
      <c r="H17852" s="238"/>
      <c r="I17852" s="237"/>
    </row>
    <row r="17853" spans="1:9" s="232" customFormat="1" ht="17" customHeight="1">
      <c r="A17853" s="234"/>
      <c r="B17853" s="233"/>
      <c r="C17853" s="238"/>
      <c r="E17853" s="545"/>
      <c r="F17853" s="546"/>
      <c r="G17853" s="234"/>
      <c r="H17853" s="238"/>
      <c r="I17853" s="237"/>
    </row>
    <row r="17854" spans="1:9" s="232" customFormat="1" ht="17" customHeight="1">
      <c r="A17854" s="234"/>
      <c r="B17854" s="233"/>
      <c r="C17854" s="238"/>
      <c r="E17854" s="545"/>
      <c r="F17854" s="546"/>
      <c r="G17854" s="234"/>
      <c r="H17854" s="238"/>
      <c r="I17854" s="237"/>
    </row>
    <row r="17855" spans="1:9" s="232" customFormat="1" ht="17" customHeight="1">
      <c r="A17855" s="234"/>
      <c r="B17855" s="233"/>
      <c r="C17855" s="238"/>
      <c r="E17855" s="545"/>
      <c r="F17855" s="546"/>
      <c r="G17855" s="234"/>
      <c r="H17855" s="238"/>
      <c r="I17855" s="237"/>
    </row>
    <row r="17856" spans="1:9" s="232" customFormat="1" ht="17" customHeight="1">
      <c r="A17856" s="234"/>
      <c r="B17856" s="233"/>
      <c r="C17856" s="238"/>
      <c r="E17856" s="545"/>
      <c r="F17856" s="546"/>
      <c r="G17856" s="234"/>
      <c r="H17856" s="238"/>
      <c r="I17856" s="237"/>
    </row>
    <row r="17857" spans="1:9" s="232" customFormat="1" ht="17" customHeight="1">
      <c r="A17857" s="234"/>
      <c r="B17857" s="233"/>
      <c r="C17857" s="238"/>
      <c r="E17857" s="545"/>
      <c r="F17857" s="546"/>
      <c r="G17857" s="234"/>
      <c r="H17857" s="238"/>
      <c r="I17857" s="237"/>
    </row>
    <row r="17858" spans="1:9" s="232" customFormat="1" ht="17" customHeight="1">
      <c r="A17858" s="234"/>
      <c r="B17858" s="233"/>
      <c r="C17858" s="238"/>
      <c r="E17858" s="545"/>
      <c r="F17858" s="546"/>
      <c r="G17858" s="234"/>
      <c r="H17858" s="238"/>
      <c r="I17858" s="237"/>
    </row>
    <row r="17859" spans="1:9" s="232" customFormat="1" ht="17" customHeight="1">
      <c r="A17859" s="234"/>
      <c r="B17859" s="233"/>
      <c r="C17859" s="238"/>
      <c r="E17859" s="545"/>
      <c r="F17859" s="546"/>
      <c r="G17859" s="234"/>
      <c r="H17859" s="238"/>
      <c r="I17859" s="237"/>
    </row>
    <row r="17860" spans="1:9" s="232" customFormat="1" ht="17" customHeight="1">
      <c r="A17860" s="234"/>
      <c r="B17860" s="233"/>
      <c r="C17860" s="238"/>
      <c r="E17860" s="545"/>
      <c r="F17860" s="546"/>
      <c r="G17860" s="234"/>
      <c r="H17860" s="238"/>
      <c r="I17860" s="237"/>
    </row>
    <row r="17861" spans="1:9" s="232" customFormat="1" ht="17" customHeight="1">
      <c r="A17861" s="234"/>
      <c r="B17861" s="233"/>
      <c r="C17861" s="238"/>
      <c r="E17861" s="545"/>
      <c r="F17861" s="546"/>
      <c r="G17861" s="234"/>
      <c r="H17861" s="238"/>
      <c r="I17861" s="237"/>
    </row>
    <row r="17862" spans="1:9" s="232" customFormat="1" ht="17" customHeight="1">
      <c r="A17862" s="234"/>
      <c r="B17862" s="233"/>
      <c r="C17862" s="238"/>
      <c r="E17862" s="545"/>
      <c r="F17862" s="546"/>
      <c r="G17862" s="234"/>
      <c r="H17862" s="238"/>
      <c r="I17862" s="237"/>
    </row>
    <row r="17863" spans="1:9" s="232" customFormat="1" ht="17" customHeight="1">
      <c r="A17863" s="234"/>
      <c r="B17863" s="233"/>
      <c r="C17863" s="238"/>
      <c r="E17863" s="545"/>
      <c r="F17863" s="546"/>
      <c r="G17863" s="234"/>
      <c r="H17863" s="238"/>
      <c r="I17863" s="237"/>
    </row>
    <row r="17864" spans="1:9" s="232" customFormat="1" ht="17" customHeight="1">
      <c r="A17864" s="234"/>
      <c r="B17864" s="233"/>
      <c r="C17864" s="238"/>
      <c r="E17864" s="545"/>
      <c r="F17864" s="546"/>
      <c r="G17864" s="234"/>
      <c r="H17864" s="238"/>
      <c r="I17864" s="237"/>
    </row>
    <row r="17865" spans="1:9" s="232" customFormat="1" ht="17" customHeight="1">
      <c r="A17865" s="234"/>
      <c r="B17865" s="233"/>
      <c r="C17865" s="238"/>
      <c r="E17865" s="545"/>
      <c r="F17865" s="546"/>
      <c r="G17865" s="234"/>
      <c r="H17865" s="238"/>
      <c r="I17865" s="237"/>
    </row>
    <row r="17866" spans="1:9" s="232" customFormat="1" ht="17" customHeight="1">
      <c r="A17866" s="234"/>
      <c r="B17866" s="233"/>
      <c r="C17866" s="238"/>
      <c r="E17866" s="545"/>
      <c r="F17866" s="546"/>
      <c r="G17866" s="234"/>
      <c r="H17866" s="238"/>
      <c r="I17866" s="237"/>
    </row>
    <row r="17867" spans="1:9" s="232" customFormat="1" ht="17" customHeight="1">
      <c r="A17867" s="234"/>
      <c r="B17867" s="233"/>
      <c r="C17867" s="238"/>
      <c r="E17867" s="545"/>
      <c r="F17867" s="546"/>
      <c r="G17867" s="234"/>
      <c r="H17867" s="238"/>
      <c r="I17867" s="237"/>
    </row>
    <row r="17868" spans="1:9" s="232" customFormat="1" ht="17" customHeight="1">
      <c r="A17868" s="234"/>
      <c r="B17868" s="233"/>
      <c r="C17868" s="238"/>
      <c r="E17868" s="545"/>
      <c r="F17868" s="546"/>
      <c r="G17868" s="234"/>
      <c r="H17868" s="238"/>
      <c r="I17868" s="237"/>
    </row>
    <row r="17869" spans="1:9" s="232" customFormat="1" ht="17" customHeight="1">
      <c r="A17869" s="234"/>
      <c r="B17869" s="233"/>
      <c r="C17869" s="238"/>
      <c r="E17869" s="545"/>
      <c r="F17869" s="546"/>
      <c r="G17869" s="234"/>
      <c r="H17869" s="238"/>
      <c r="I17869" s="237"/>
    </row>
    <row r="17870" spans="1:9" s="232" customFormat="1" ht="17" customHeight="1">
      <c r="A17870" s="234"/>
      <c r="B17870" s="233"/>
      <c r="C17870" s="238"/>
      <c r="E17870" s="545"/>
      <c r="F17870" s="546"/>
      <c r="G17870" s="234"/>
      <c r="H17870" s="238"/>
      <c r="I17870" s="237"/>
    </row>
    <row r="17871" spans="1:9" s="232" customFormat="1" ht="17" customHeight="1">
      <c r="A17871" s="234"/>
      <c r="B17871" s="233"/>
      <c r="C17871" s="238"/>
      <c r="E17871" s="545"/>
      <c r="F17871" s="546"/>
      <c r="G17871" s="234"/>
      <c r="H17871" s="238"/>
      <c r="I17871" s="237"/>
    </row>
    <row r="17872" spans="1:9" s="232" customFormat="1" ht="17" customHeight="1">
      <c r="A17872" s="234"/>
      <c r="B17872" s="233"/>
      <c r="C17872" s="238"/>
      <c r="E17872" s="545"/>
      <c r="F17872" s="546"/>
      <c r="G17872" s="234"/>
      <c r="H17872" s="238"/>
      <c r="I17872" s="237"/>
    </row>
    <row r="17873" spans="1:9" s="232" customFormat="1" ht="17" customHeight="1">
      <c r="A17873" s="234"/>
      <c r="B17873" s="233"/>
      <c r="C17873" s="238"/>
      <c r="E17873" s="545"/>
      <c r="F17873" s="546"/>
      <c r="G17873" s="234"/>
      <c r="H17873" s="238"/>
      <c r="I17873" s="237"/>
    </row>
    <row r="17874" spans="1:9" s="232" customFormat="1" ht="17" customHeight="1">
      <c r="A17874" s="234"/>
      <c r="B17874" s="233"/>
      <c r="C17874" s="238"/>
      <c r="E17874" s="545"/>
      <c r="F17874" s="546"/>
      <c r="G17874" s="234"/>
      <c r="H17874" s="238"/>
      <c r="I17874" s="237"/>
    </row>
    <row r="17875" spans="1:9" s="232" customFormat="1" ht="17" customHeight="1">
      <c r="A17875" s="234"/>
      <c r="B17875" s="233"/>
      <c r="C17875" s="238"/>
      <c r="E17875" s="545"/>
      <c r="F17875" s="546"/>
      <c r="G17875" s="234"/>
      <c r="H17875" s="238"/>
      <c r="I17875" s="237"/>
    </row>
    <row r="17876" spans="1:9" s="232" customFormat="1" ht="17" customHeight="1">
      <c r="A17876" s="234"/>
      <c r="B17876" s="233"/>
      <c r="C17876" s="238"/>
      <c r="E17876" s="545"/>
      <c r="F17876" s="546"/>
      <c r="G17876" s="234"/>
      <c r="H17876" s="238"/>
      <c r="I17876" s="237"/>
    </row>
    <row r="17877" spans="1:9" s="232" customFormat="1" ht="17" customHeight="1">
      <c r="A17877" s="234"/>
      <c r="B17877" s="233"/>
      <c r="C17877" s="238"/>
      <c r="E17877" s="545"/>
      <c r="F17877" s="546"/>
      <c r="G17877" s="234"/>
      <c r="H17877" s="238"/>
      <c r="I17877" s="237"/>
    </row>
    <row r="17878" spans="1:9" s="232" customFormat="1" ht="17" customHeight="1">
      <c r="A17878" s="234"/>
      <c r="B17878" s="233"/>
      <c r="C17878" s="238"/>
      <c r="E17878" s="545"/>
      <c r="F17878" s="546"/>
      <c r="G17878" s="234"/>
      <c r="H17878" s="238"/>
      <c r="I17878" s="237"/>
    </row>
    <row r="17879" spans="1:9" s="232" customFormat="1" ht="17" customHeight="1">
      <c r="A17879" s="234"/>
      <c r="B17879" s="233"/>
      <c r="C17879" s="238"/>
      <c r="E17879" s="545"/>
      <c r="F17879" s="546"/>
      <c r="G17879" s="234"/>
      <c r="H17879" s="238"/>
      <c r="I17879" s="237"/>
    </row>
    <row r="17880" spans="1:9" s="232" customFormat="1" ht="17" customHeight="1">
      <c r="A17880" s="234"/>
      <c r="B17880" s="233"/>
      <c r="C17880" s="238"/>
      <c r="E17880" s="545"/>
      <c r="F17880" s="546"/>
      <c r="G17880" s="234"/>
      <c r="H17880" s="238"/>
      <c r="I17880" s="237"/>
    </row>
    <row r="17881" spans="1:9" s="232" customFormat="1" ht="17" customHeight="1">
      <c r="A17881" s="234"/>
      <c r="B17881" s="233"/>
      <c r="C17881" s="238"/>
      <c r="E17881" s="545"/>
      <c r="F17881" s="546"/>
      <c r="G17881" s="234"/>
      <c r="H17881" s="238"/>
      <c r="I17881" s="237"/>
    </row>
    <row r="17882" spans="1:9" s="232" customFormat="1" ht="17" customHeight="1">
      <c r="A17882" s="234"/>
      <c r="B17882" s="233"/>
      <c r="C17882" s="238"/>
      <c r="E17882" s="545"/>
      <c r="F17882" s="546"/>
      <c r="G17882" s="234"/>
      <c r="H17882" s="238"/>
      <c r="I17882" s="237"/>
    </row>
    <row r="17883" spans="1:9" s="232" customFormat="1" ht="17" customHeight="1">
      <c r="A17883" s="234"/>
      <c r="B17883" s="233"/>
      <c r="C17883" s="238"/>
      <c r="E17883" s="545"/>
      <c r="F17883" s="546"/>
      <c r="G17883" s="234"/>
      <c r="H17883" s="238"/>
      <c r="I17883" s="237"/>
    </row>
    <row r="17884" spans="1:9" s="232" customFormat="1" ht="17" customHeight="1">
      <c r="A17884" s="234"/>
      <c r="B17884" s="233"/>
      <c r="C17884" s="238"/>
      <c r="E17884" s="545"/>
      <c r="F17884" s="546"/>
      <c r="G17884" s="234"/>
      <c r="H17884" s="238"/>
      <c r="I17884" s="237"/>
    </row>
    <row r="17885" spans="1:9" s="232" customFormat="1" ht="17" customHeight="1">
      <c r="A17885" s="234"/>
      <c r="B17885" s="233"/>
      <c r="C17885" s="238"/>
      <c r="E17885" s="545"/>
      <c r="F17885" s="546"/>
      <c r="G17885" s="234"/>
      <c r="H17885" s="238"/>
      <c r="I17885" s="237"/>
    </row>
    <row r="17886" spans="1:9" s="232" customFormat="1" ht="17" customHeight="1">
      <c r="A17886" s="234"/>
      <c r="B17886" s="233"/>
      <c r="C17886" s="238"/>
      <c r="E17886" s="545"/>
      <c r="F17886" s="546"/>
      <c r="G17886" s="234"/>
      <c r="H17886" s="238"/>
      <c r="I17886" s="237"/>
    </row>
    <row r="17887" spans="1:9" s="232" customFormat="1" ht="17" customHeight="1">
      <c r="A17887" s="234"/>
      <c r="B17887" s="233"/>
      <c r="C17887" s="238"/>
      <c r="E17887" s="545"/>
      <c r="F17887" s="546"/>
      <c r="G17887" s="234"/>
      <c r="H17887" s="238"/>
      <c r="I17887" s="237"/>
    </row>
    <row r="17888" spans="1:9" s="232" customFormat="1" ht="17" customHeight="1">
      <c r="A17888" s="234"/>
      <c r="B17888" s="233"/>
      <c r="C17888" s="238"/>
      <c r="E17888" s="545"/>
      <c r="F17888" s="546"/>
      <c r="G17888" s="234"/>
      <c r="H17888" s="238"/>
      <c r="I17888" s="237"/>
    </row>
    <row r="17889" spans="1:9" s="232" customFormat="1" ht="17" customHeight="1">
      <c r="A17889" s="234"/>
      <c r="B17889" s="233"/>
      <c r="C17889" s="238"/>
      <c r="E17889" s="545"/>
      <c r="F17889" s="546"/>
      <c r="G17889" s="234"/>
      <c r="H17889" s="238"/>
      <c r="I17889" s="237"/>
    </row>
    <row r="17890" spans="1:9" s="232" customFormat="1" ht="17" customHeight="1">
      <c r="A17890" s="234"/>
      <c r="B17890" s="233"/>
      <c r="C17890" s="238"/>
      <c r="E17890" s="545"/>
      <c r="F17890" s="546"/>
      <c r="G17890" s="234"/>
      <c r="H17890" s="238"/>
      <c r="I17890" s="237"/>
    </row>
    <row r="17891" spans="1:9" s="232" customFormat="1" ht="17" customHeight="1">
      <c r="A17891" s="234"/>
      <c r="B17891" s="233"/>
      <c r="C17891" s="238"/>
      <c r="E17891" s="545"/>
      <c r="F17891" s="546"/>
      <c r="G17891" s="234"/>
      <c r="H17891" s="238"/>
      <c r="I17891" s="237"/>
    </row>
    <row r="17892" spans="1:9" s="232" customFormat="1" ht="17" customHeight="1">
      <c r="A17892" s="234"/>
      <c r="B17892" s="233"/>
      <c r="C17892" s="238"/>
      <c r="E17892" s="545"/>
      <c r="F17892" s="546"/>
      <c r="G17892" s="234"/>
      <c r="H17892" s="238"/>
      <c r="I17892" s="237"/>
    </row>
    <row r="17893" spans="1:9" s="232" customFormat="1" ht="17" customHeight="1">
      <c r="A17893" s="234"/>
      <c r="B17893" s="233"/>
      <c r="C17893" s="238"/>
      <c r="E17893" s="545"/>
      <c r="F17893" s="546"/>
      <c r="G17893" s="234"/>
      <c r="H17893" s="238"/>
      <c r="I17893" s="237"/>
    </row>
    <row r="17894" spans="1:9" s="232" customFormat="1" ht="17" customHeight="1">
      <c r="A17894" s="234"/>
      <c r="B17894" s="233"/>
      <c r="C17894" s="238"/>
      <c r="E17894" s="545"/>
      <c r="F17894" s="546"/>
      <c r="G17894" s="234"/>
      <c r="H17894" s="238"/>
      <c r="I17894" s="237"/>
    </row>
    <row r="17895" spans="1:9" s="232" customFormat="1" ht="17" customHeight="1">
      <c r="A17895" s="234"/>
      <c r="B17895" s="233"/>
      <c r="C17895" s="238"/>
      <c r="E17895" s="545"/>
      <c r="F17895" s="546"/>
      <c r="G17895" s="234"/>
      <c r="H17895" s="238"/>
      <c r="I17895" s="237"/>
    </row>
    <row r="17896" spans="1:9" s="232" customFormat="1" ht="17" customHeight="1">
      <c r="A17896" s="234"/>
      <c r="B17896" s="233"/>
      <c r="C17896" s="238"/>
      <c r="E17896" s="545"/>
      <c r="F17896" s="546"/>
      <c r="G17896" s="234"/>
      <c r="H17896" s="238"/>
      <c r="I17896" s="237"/>
    </row>
    <row r="17897" spans="1:9" s="232" customFormat="1" ht="17" customHeight="1">
      <c r="A17897" s="234"/>
      <c r="B17897" s="233"/>
      <c r="C17897" s="238"/>
      <c r="E17897" s="545"/>
      <c r="F17897" s="546"/>
      <c r="G17897" s="234"/>
      <c r="H17897" s="238"/>
      <c r="I17897" s="237"/>
    </row>
    <row r="17898" spans="1:9" s="232" customFormat="1" ht="17" customHeight="1">
      <c r="A17898" s="234"/>
      <c r="B17898" s="233"/>
      <c r="C17898" s="238"/>
      <c r="E17898" s="545"/>
      <c r="F17898" s="546"/>
      <c r="G17898" s="234"/>
      <c r="H17898" s="238"/>
      <c r="I17898" s="237"/>
    </row>
    <row r="17899" spans="1:9" s="232" customFormat="1" ht="17" customHeight="1">
      <c r="A17899" s="234"/>
      <c r="B17899" s="233"/>
      <c r="C17899" s="238"/>
      <c r="E17899" s="545"/>
      <c r="F17899" s="546"/>
      <c r="G17899" s="234"/>
      <c r="H17899" s="238"/>
      <c r="I17899" s="237"/>
    </row>
    <row r="17900" spans="1:9" s="232" customFormat="1" ht="17" customHeight="1">
      <c r="A17900" s="234"/>
      <c r="B17900" s="233"/>
      <c r="C17900" s="238"/>
      <c r="E17900" s="545"/>
      <c r="F17900" s="546"/>
      <c r="G17900" s="234"/>
      <c r="H17900" s="238"/>
      <c r="I17900" s="237"/>
    </row>
    <row r="17901" spans="1:9" s="232" customFormat="1" ht="17" customHeight="1">
      <c r="A17901" s="234"/>
      <c r="B17901" s="233"/>
      <c r="C17901" s="238"/>
      <c r="E17901" s="545"/>
      <c r="F17901" s="546"/>
      <c r="G17901" s="234"/>
      <c r="H17901" s="238"/>
      <c r="I17901" s="237"/>
    </row>
    <row r="17902" spans="1:9" s="232" customFormat="1" ht="17" customHeight="1">
      <c r="A17902" s="234"/>
      <c r="B17902" s="233"/>
      <c r="C17902" s="238"/>
      <c r="E17902" s="545"/>
      <c r="F17902" s="546"/>
      <c r="G17902" s="234"/>
      <c r="H17902" s="238"/>
      <c r="I17902" s="237"/>
    </row>
    <row r="17903" spans="1:9" s="232" customFormat="1" ht="17" customHeight="1">
      <c r="A17903" s="234"/>
      <c r="B17903" s="233"/>
      <c r="C17903" s="238"/>
      <c r="E17903" s="545"/>
      <c r="F17903" s="546"/>
      <c r="G17903" s="234"/>
      <c r="H17903" s="238"/>
      <c r="I17903" s="237"/>
    </row>
    <row r="17904" spans="1:9" s="232" customFormat="1" ht="17" customHeight="1">
      <c r="A17904" s="234"/>
      <c r="B17904" s="233"/>
      <c r="C17904" s="238"/>
      <c r="E17904" s="545"/>
      <c r="F17904" s="546"/>
      <c r="G17904" s="234"/>
      <c r="H17904" s="238"/>
      <c r="I17904" s="237"/>
    </row>
    <row r="17905" spans="1:9" s="232" customFormat="1" ht="17" customHeight="1">
      <c r="A17905" s="234"/>
      <c r="B17905" s="233"/>
      <c r="C17905" s="238"/>
      <c r="E17905" s="545"/>
      <c r="F17905" s="546"/>
      <c r="G17905" s="234"/>
      <c r="H17905" s="238"/>
      <c r="I17905" s="237"/>
    </row>
    <row r="17906" spans="1:9" s="232" customFormat="1" ht="17" customHeight="1">
      <c r="A17906" s="234"/>
      <c r="B17906" s="233"/>
      <c r="C17906" s="238"/>
      <c r="E17906" s="545"/>
      <c r="F17906" s="546"/>
      <c r="G17906" s="234"/>
      <c r="H17906" s="238"/>
      <c r="I17906" s="237"/>
    </row>
    <row r="17907" spans="1:9" s="232" customFormat="1" ht="17" customHeight="1">
      <c r="A17907" s="234"/>
      <c r="B17907" s="233"/>
      <c r="C17907" s="238"/>
      <c r="E17907" s="545"/>
      <c r="F17907" s="546"/>
      <c r="G17907" s="234"/>
      <c r="H17907" s="238"/>
      <c r="I17907" s="237"/>
    </row>
    <row r="17908" spans="1:9" s="232" customFormat="1" ht="17" customHeight="1">
      <c r="A17908" s="234"/>
      <c r="B17908" s="233"/>
      <c r="C17908" s="238"/>
      <c r="E17908" s="545"/>
      <c r="F17908" s="546"/>
      <c r="G17908" s="234"/>
      <c r="H17908" s="238"/>
      <c r="I17908" s="237"/>
    </row>
    <row r="17909" spans="1:9" s="232" customFormat="1" ht="17" customHeight="1">
      <c r="A17909" s="234"/>
      <c r="B17909" s="233"/>
      <c r="C17909" s="238"/>
      <c r="E17909" s="545"/>
      <c r="F17909" s="546"/>
      <c r="G17909" s="234"/>
      <c r="H17909" s="238"/>
      <c r="I17909" s="237"/>
    </row>
    <row r="17910" spans="1:9" s="232" customFormat="1" ht="17" customHeight="1">
      <c r="A17910" s="234"/>
      <c r="B17910" s="233"/>
      <c r="C17910" s="238"/>
      <c r="E17910" s="545"/>
      <c r="F17910" s="546"/>
      <c r="G17910" s="234"/>
      <c r="H17910" s="238"/>
      <c r="I17910" s="237"/>
    </row>
    <row r="17911" spans="1:9" s="232" customFormat="1" ht="17" customHeight="1">
      <c r="A17911" s="234"/>
      <c r="B17911" s="233"/>
      <c r="C17911" s="238"/>
      <c r="E17911" s="545"/>
      <c r="F17911" s="546"/>
      <c r="G17911" s="234"/>
      <c r="H17911" s="238"/>
      <c r="I17911" s="237"/>
    </row>
    <row r="17912" spans="1:9" s="232" customFormat="1" ht="17" customHeight="1">
      <c r="A17912" s="234"/>
      <c r="B17912" s="233"/>
      <c r="C17912" s="238"/>
      <c r="E17912" s="545"/>
      <c r="F17912" s="546"/>
      <c r="G17912" s="234"/>
      <c r="H17912" s="238"/>
      <c r="I17912" s="237"/>
    </row>
    <row r="17913" spans="1:9" s="232" customFormat="1" ht="17" customHeight="1">
      <c r="A17913" s="234"/>
      <c r="B17913" s="233"/>
      <c r="C17913" s="238"/>
      <c r="E17913" s="545"/>
      <c r="F17913" s="546"/>
      <c r="G17913" s="234"/>
      <c r="H17913" s="238"/>
      <c r="I17913" s="237"/>
    </row>
    <row r="17914" spans="1:9" s="232" customFormat="1" ht="17" customHeight="1">
      <c r="A17914" s="234"/>
      <c r="B17914" s="233"/>
      <c r="C17914" s="238"/>
      <c r="E17914" s="545"/>
      <c r="F17914" s="546"/>
      <c r="G17914" s="234"/>
      <c r="H17914" s="238"/>
      <c r="I17914" s="237"/>
    </row>
    <row r="17915" spans="1:9" s="232" customFormat="1" ht="17" customHeight="1">
      <c r="A17915" s="234"/>
      <c r="B17915" s="233"/>
      <c r="C17915" s="238"/>
      <c r="E17915" s="545"/>
      <c r="F17915" s="546"/>
      <c r="G17915" s="234"/>
      <c r="H17915" s="238"/>
      <c r="I17915" s="237"/>
    </row>
    <row r="17916" spans="1:9" s="232" customFormat="1" ht="17" customHeight="1">
      <c r="A17916" s="234"/>
      <c r="B17916" s="233"/>
      <c r="C17916" s="238"/>
      <c r="E17916" s="545"/>
      <c r="F17916" s="546"/>
      <c r="G17916" s="234"/>
      <c r="H17916" s="238"/>
      <c r="I17916" s="237"/>
    </row>
    <row r="17917" spans="1:9" s="232" customFormat="1" ht="17" customHeight="1">
      <c r="A17917" s="234"/>
      <c r="B17917" s="233"/>
      <c r="C17917" s="238"/>
      <c r="E17917" s="545"/>
      <c r="F17917" s="546"/>
      <c r="G17917" s="234"/>
      <c r="H17917" s="238"/>
      <c r="I17917" s="237"/>
    </row>
    <row r="17918" spans="1:9" s="232" customFormat="1" ht="17" customHeight="1">
      <c r="A17918" s="234"/>
      <c r="B17918" s="233"/>
      <c r="C17918" s="238"/>
      <c r="E17918" s="545"/>
      <c r="F17918" s="546"/>
      <c r="G17918" s="234"/>
      <c r="H17918" s="238"/>
      <c r="I17918" s="237"/>
    </row>
    <row r="17919" spans="1:9" s="232" customFormat="1" ht="17" customHeight="1">
      <c r="A17919" s="234"/>
      <c r="B17919" s="233"/>
      <c r="C17919" s="238"/>
      <c r="E17919" s="545"/>
      <c r="F17919" s="546"/>
      <c r="G17919" s="234"/>
      <c r="H17919" s="238"/>
      <c r="I17919" s="237"/>
    </row>
    <row r="17920" spans="1:9" s="232" customFormat="1" ht="17" customHeight="1">
      <c r="A17920" s="234"/>
      <c r="B17920" s="233"/>
      <c r="C17920" s="238"/>
      <c r="E17920" s="545"/>
      <c r="F17920" s="546"/>
      <c r="G17920" s="234"/>
      <c r="H17920" s="238"/>
      <c r="I17920" s="237"/>
    </row>
    <row r="17921" spans="1:9" s="232" customFormat="1" ht="17" customHeight="1">
      <c r="A17921" s="234"/>
      <c r="B17921" s="233"/>
      <c r="C17921" s="238"/>
      <c r="E17921" s="545"/>
      <c r="F17921" s="546"/>
      <c r="G17921" s="234"/>
      <c r="H17921" s="238"/>
      <c r="I17921" s="237"/>
    </row>
    <row r="17922" spans="1:9" s="232" customFormat="1" ht="17" customHeight="1">
      <c r="A17922" s="234"/>
      <c r="B17922" s="233"/>
      <c r="C17922" s="238"/>
      <c r="E17922" s="545"/>
      <c r="F17922" s="546"/>
      <c r="G17922" s="234"/>
      <c r="H17922" s="238"/>
      <c r="I17922" s="237"/>
    </row>
    <row r="17923" spans="1:9" s="232" customFormat="1" ht="17" customHeight="1">
      <c r="A17923" s="234"/>
      <c r="B17923" s="233"/>
      <c r="C17923" s="238"/>
      <c r="E17923" s="545"/>
      <c r="F17923" s="546"/>
      <c r="G17923" s="234"/>
      <c r="H17923" s="238"/>
      <c r="I17923" s="237"/>
    </row>
    <row r="17924" spans="1:9" s="232" customFormat="1" ht="17" customHeight="1">
      <c r="A17924" s="234"/>
      <c r="B17924" s="233"/>
      <c r="C17924" s="238"/>
      <c r="E17924" s="545"/>
      <c r="F17924" s="546"/>
      <c r="G17924" s="234"/>
      <c r="H17924" s="238"/>
      <c r="I17924" s="237"/>
    </row>
    <row r="17925" spans="1:9" s="232" customFormat="1" ht="17" customHeight="1">
      <c r="A17925" s="234"/>
      <c r="B17925" s="233"/>
      <c r="C17925" s="238"/>
      <c r="E17925" s="545"/>
      <c r="F17925" s="546"/>
      <c r="G17925" s="234"/>
      <c r="H17925" s="238"/>
      <c r="I17925" s="237"/>
    </row>
    <row r="17926" spans="1:9" s="232" customFormat="1" ht="17" customHeight="1">
      <c r="A17926" s="234"/>
      <c r="B17926" s="233"/>
      <c r="C17926" s="238"/>
      <c r="E17926" s="545"/>
      <c r="F17926" s="546"/>
      <c r="G17926" s="234"/>
      <c r="H17926" s="238"/>
      <c r="I17926" s="237"/>
    </row>
    <row r="17927" spans="1:9" s="232" customFormat="1" ht="17" customHeight="1">
      <c r="A17927" s="234"/>
      <c r="B17927" s="233"/>
      <c r="C17927" s="238"/>
      <c r="E17927" s="545"/>
      <c r="F17927" s="546"/>
      <c r="G17927" s="234"/>
      <c r="H17927" s="238"/>
      <c r="I17927" s="237"/>
    </row>
    <row r="17928" spans="1:9" s="232" customFormat="1" ht="17" customHeight="1">
      <c r="A17928" s="234"/>
      <c r="B17928" s="233"/>
      <c r="C17928" s="238"/>
      <c r="E17928" s="545"/>
      <c r="F17928" s="546"/>
      <c r="G17928" s="234"/>
      <c r="H17928" s="238"/>
      <c r="I17928" s="237"/>
    </row>
    <row r="17929" spans="1:9" s="232" customFormat="1" ht="17" customHeight="1">
      <c r="A17929" s="234"/>
      <c r="B17929" s="233"/>
      <c r="C17929" s="238"/>
      <c r="E17929" s="545"/>
      <c r="F17929" s="546"/>
      <c r="G17929" s="234"/>
      <c r="H17929" s="238"/>
      <c r="I17929" s="237"/>
    </row>
    <row r="17930" spans="1:9" s="232" customFormat="1" ht="17" customHeight="1">
      <c r="A17930" s="234"/>
      <c r="B17930" s="233"/>
      <c r="C17930" s="238"/>
      <c r="E17930" s="545"/>
      <c r="F17930" s="546"/>
      <c r="G17930" s="234"/>
      <c r="H17930" s="238"/>
      <c r="I17930" s="237"/>
    </row>
    <row r="17931" spans="1:9" s="232" customFormat="1" ht="17" customHeight="1">
      <c r="A17931" s="234"/>
      <c r="B17931" s="233"/>
      <c r="C17931" s="238"/>
      <c r="E17931" s="545"/>
      <c r="F17931" s="546"/>
      <c r="G17931" s="234"/>
      <c r="H17931" s="238"/>
      <c r="I17931" s="237"/>
    </row>
    <row r="17932" spans="1:9" s="232" customFormat="1" ht="17" customHeight="1">
      <c r="A17932" s="234"/>
      <c r="B17932" s="233"/>
      <c r="C17932" s="238"/>
      <c r="E17932" s="545"/>
      <c r="F17932" s="546"/>
      <c r="G17932" s="234"/>
      <c r="H17932" s="238"/>
      <c r="I17932" s="237"/>
    </row>
    <row r="17933" spans="1:9" s="232" customFormat="1" ht="17" customHeight="1">
      <c r="A17933" s="234"/>
      <c r="B17933" s="233"/>
      <c r="C17933" s="238"/>
      <c r="E17933" s="545"/>
      <c r="F17933" s="546"/>
      <c r="G17933" s="234"/>
      <c r="H17933" s="238"/>
      <c r="I17933" s="237"/>
    </row>
    <row r="17934" spans="1:9" s="232" customFormat="1" ht="17" customHeight="1">
      <c r="A17934" s="234"/>
      <c r="B17934" s="233"/>
      <c r="C17934" s="238"/>
      <c r="E17934" s="545"/>
      <c r="F17934" s="546"/>
      <c r="G17934" s="234"/>
      <c r="H17934" s="238"/>
      <c r="I17934" s="237"/>
    </row>
    <row r="17935" spans="1:9" s="232" customFormat="1" ht="17" customHeight="1">
      <c r="A17935" s="234"/>
      <c r="B17935" s="233"/>
      <c r="C17935" s="238"/>
      <c r="E17935" s="545"/>
      <c r="F17935" s="546"/>
      <c r="G17935" s="234"/>
      <c r="H17935" s="238"/>
      <c r="I17935" s="237"/>
    </row>
    <row r="17936" spans="1:9" s="232" customFormat="1" ht="17" customHeight="1">
      <c r="A17936" s="234"/>
      <c r="B17936" s="233"/>
      <c r="C17936" s="238"/>
      <c r="E17936" s="545"/>
      <c r="F17936" s="546"/>
      <c r="G17936" s="234"/>
      <c r="H17936" s="238"/>
      <c r="I17936" s="237"/>
    </row>
    <row r="17937" spans="1:9" s="232" customFormat="1" ht="17" customHeight="1">
      <c r="A17937" s="234"/>
      <c r="B17937" s="233"/>
      <c r="C17937" s="238"/>
      <c r="E17937" s="545"/>
      <c r="F17937" s="546"/>
      <c r="G17937" s="234"/>
      <c r="H17937" s="238"/>
      <c r="I17937" s="237"/>
    </row>
    <row r="17938" spans="1:9" s="232" customFormat="1" ht="17" customHeight="1">
      <c r="A17938" s="234"/>
      <c r="B17938" s="233"/>
      <c r="C17938" s="238"/>
      <c r="E17938" s="545"/>
      <c r="F17938" s="546"/>
      <c r="G17938" s="234"/>
      <c r="H17938" s="238"/>
      <c r="I17938" s="237"/>
    </row>
    <row r="17939" spans="1:9" s="232" customFormat="1" ht="17" customHeight="1">
      <c r="A17939" s="234"/>
      <c r="B17939" s="233"/>
      <c r="C17939" s="238"/>
      <c r="E17939" s="545"/>
      <c r="F17939" s="546"/>
      <c r="G17939" s="234"/>
      <c r="H17939" s="238"/>
      <c r="I17939" s="237"/>
    </row>
    <row r="17940" spans="1:9" s="232" customFormat="1" ht="17" customHeight="1">
      <c r="A17940" s="234"/>
      <c r="B17940" s="233"/>
      <c r="C17940" s="238"/>
      <c r="E17940" s="545"/>
      <c r="F17940" s="546"/>
      <c r="G17940" s="234"/>
      <c r="H17940" s="238"/>
      <c r="I17940" s="237"/>
    </row>
    <row r="17941" spans="1:9" s="232" customFormat="1" ht="17" customHeight="1">
      <c r="A17941" s="234"/>
      <c r="B17941" s="233"/>
      <c r="C17941" s="238"/>
      <c r="E17941" s="545"/>
      <c r="F17941" s="546"/>
      <c r="G17941" s="234"/>
      <c r="H17941" s="238"/>
      <c r="I17941" s="237"/>
    </row>
    <row r="17942" spans="1:9" s="232" customFormat="1" ht="17" customHeight="1">
      <c r="A17942" s="234"/>
      <c r="B17942" s="233"/>
      <c r="C17942" s="238"/>
      <c r="E17942" s="545"/>
      <c r="F17942" s="546"/>
      <c r="G17942" s="234"/>
      <c r="H17942" s="238"/>
      <c r="I17942" s="237"/>
    </row>
    <row r="17943" spans="1:9" s="232" customFormat="1" ht="17" customHeight="1">
      <c r="A17943" s="234"/>
      <c r="B17943" s="233"/>
      <c r="C17943" s="238"/>
      <c r="E17943" s="545"/>
      <c r="F17943" s="546"/>
      <c r="G17943" s="234"/>
      <c r="H17943" s="238"/>
      <c r="I17943" s="237"/>
    </row>
    <row r="17944" spans="1:9" s="232" customFormat="1" ht="17" customHeight="1">
      <c r="A17944" s="234"/>
      <c r="B17944" s="233"/>
      <c r="C17944" s="238"/>
      <c r="E17944" s="545"/>
      <c r="F17944" s="546"/>
      <c r="G17944" s="234"/>
      <c r="H17944" s="238"/>
      <c r="I17944" s="237"/>
    </row>
    <row r="17945" spans="1:9" s="232" customFormat="1" ht="17" customHeight="1">
      <c r="A17945" s="234"/>
      <c r="B17945" s="233"/>
      <c r="C17945" s="238"/>
      <c r="E17945" s="545"/>
      <c r="F17945" s="546"/>
      <c r="G17945" s="234"/>
      <c r="H17945" s="238"/>
      <c r="I17945" s="237"/>
    </row>
    <row r="17946" spans="1:9" s="232" customFormat="1" ht="17" customHeight="1">
      <c r="A17946" s="234"/>
      <c r="B17946" s="233"/>
      <c r="C17946" s="238"/>
      <c r="E17946" s="545"/>
      <c r="F17946" s="546"/>
      <c r="G17946" s="234"/>
      <c r="H17946" s="238"/>
      <c r="I17946" s="237"/>
    </row>
    <row r="17947" spans="1:9" s="232" customFormat="1" ht="17" customHeight="1">
      <c r="A17947" s="234"/>
      <c r="B17947" s="233"/>
      <c r="C17947" s="238"/>
      <c r="E17947" s="545"/>
      <c r="F17947" s="546"/>
      <c r="G17947" s="234"/>
      <c r="H17947" s="238"/>
      <c r="I17947" s="237"/>
    </row>
    <row r="17948" spans="1:9" s="232" customFormat="1" ht="17" customHeight="1">
      <c r="A17948" s="234"/>
      <c r="B17948" s="233"/>
      <c r="C17948" s="238"/>
      <c r="E17948" s="545"/>
      <c r="F17948" s="546"/>
      <c r="G17948" s="234"/>
      <c r="H17948" s="238"/>
      <c r="I17948" s="237"/>
    </row>
    <row r="17949" spans="1:9" s="232" customFormat="1" ht="17" customHeight="1">
      <c r="A17949" s="234"/>
      <c r="B17949" s="233"/>
      <c r="C17949" s="238"/>
      <c r="E17949" s="545"/>
      <c r="F17949" s="546"/>
      <c r="G17949" s="234"/>
      <c r="H17949" s="238"/>
      <c r="I17949" s="237"/>
    </row>
    <row r="17950" spans="1:9" s="232" customFormat="1" ht="17" customHeight="1">
      <c r="A17950" s="234"/>
      <c r="B17950" s="233"/>
      <c r="C17950" s="238"/>
      <c r="E17950" s="545"/>
      <c r="F17950" s="546"/>
      <c r="G17950" s="234"/>
      <c r="H17950" s="238"/>
      <c r="I17950" s="237"/>
    </row>
    <row r="17951" spans="1:9" s="232" customFormat="1" ht="17" customHeight="1">
      <c r="A17951" s="234"/>
      <c r="B17951" s="233"/>
      <c r="C17951" s="238"/>
      <c r="E17951" s="545"/>
      <c r="F17951" s="546"/>
      <c r="G17951" s="234"/>
      <c r="H17951" s="238"/>
      <c r="I17951" s="237"/>
    </row>
    <row r="17952" spans="1:9" s="232" customFormat="1" ht="17" customHeight="1">
      <c r="A17952" s="234"/>
      <c r="B17952" s="233"/>
      <c r="C17952" s="238"/>
      <c r="E17952" s="545"/>
      <c r="F17952" s="546"/>
      <c r="G17952" s="234"/>
      <c r="H17952" s="238"/>
      <c r="I17952" s="237"/>
    </row>
    <row r="17953" spans="1:9" s="232" customFormat="1" ht="17" customHeight="1">
      <c r="A17953" s="234"/>
      <c r="B17953" s="233"/>
      <c r="C17953" s="238"/>
      <c r="E17953" s="545"/>
      <c r="F17953" s="546"/>
      <c r="G17953" s="234"/>
      <c r="H17953" s="238"/>
      <c r="I17953" s="237"/>
    </row>
    <row r="17954" spans="1:9" s="232" customFormat="1" ht="17" customHeight="1">
      <c r="A17954" s="234"/>
      <c r="B17954" s="233"/>
      <c r="C17954" s="238"/>
      <c r="E17954" s="545"/>
      <c r="F17954" s="546"/>
      <c r="G17954" s="234"/>
      <c r="H17954" s="238"/>
      <c r="I17954" s="237"/>
    </row>
    <row r="17955" spans="1:9" s="232" customFormat="1" ht="17" customHeight="1">
      <c r="A17955" s="234"/>
      <c r="B17955" s="233"/>
      <c r="C17955" s="238"/>
      <c r="E17955" s="545"/>
      <c r="F17955" s="546"/>
      <c r="G17955" s="234"/>
      <c r="H17955" s="238"/>
      <c r="I17955" s="237"/>
    </row>
    <row r="17956" spans="1:9" s="232" customFormat="1" ht="17" customHeight="1">
      <c r="A17956" s="234"/>
      <c r="B17956" s="233"/>
      <c r="C17956" s="238"/>
      <c r="E17956" s="545"/>
      <c r="F17956" s="546"/>
      <c r="G17956" s="234"/>
      <c r="H17956" s="238"/>
      <c r="I17956" s="237"/>
    </row>
    <row r="17957" spans="1:9" s="232" customFormat="1" ht="17" customHeight="1">
      <c r="A17957" s="234"/>
      <c r="B17957" s="233"/>
      <c r="C17957" s="238"/>
      <c r="E17957" s="545"/>
      <c r="F17957" s="546"/>
      <c r="G17957" s="234"/>
      <c r="H17957" s="238"/>
      <c r="I17957" s="237"/>
    </row>
    <row r="17958" spans="1:9" s="232" customFormat="1" ht="17" customHeight="1">
      <c r="A17958" s="234"/>
      <c r="B17958" s="233"/>
      <c r="C17958" s="238"/>
      <c r="E17958" s="545"/>
      <c r="F17958" s="546"/>
      <c r="G17958" s="234"/>
      <c r="H17958" s="238"/>
      <c r="I17958" s="237"/>
    </row>
    <row r="17959" spans="1:9" s="232" customFormat="1" ht="17" customHeight="1">
      <c r="A17959" s="234"/>
      <c r="B17959" s="233"/>
      <c r="C17959" s="238"/>
      <c r="E17959" s="545"/>
      <c r="F17959" s="546"/>
      <c r="G17959" s="234"/>
      <c r="H17959" s="238"/>
      <c r="I17959" s="237"/>
    </row>
    <row r="17960" spans="1:9" s="232" customFormat="1" ht="17" customHeight="1">
      <c r="A17960" s="234"/>
      <c r="B17960" s="233"/>
      <c r="C17960" s="238"/>
      <c r="E17960" s="545"/>
      <c r="F17960" s="546"/>
      <c r="G17960" s="234"/>
      <c r="H17960" s="238"/>
      <c r="I17960" s="237"/>
    </row>
    <row r="17961" spans="1:9" s="232" customFormat="1" ht="17" customHeight="1">
      <c r="A17961" s="234"/>
      <c r="B17961" s="233"/>
      <c r="C17961" s="238"/>
      <c r="E17961" s="545"/>
      <c r="F17961" s="546"/>
      <c r="G17961" s="234"/>
      <c r="H17961" s="238"/>
      <c r="I17961" s="237"/>
    </row>
    <row r="17962" spans="1:9" s="232" customFormat="1" ht="17" customHeight="1">
      <c r="A17962" s="234"/>
      <c r="B17962" s="233"/>
      <c r="C17962" s="238"/>
      <c r="E17962" s="545"/>
      <c r="F17962" s="546"/>
      <c r="G17962" s="234"/>
      <c r="H17962" s="238"/>
      <c r="I17962" s="237"/>
    </row>
    <row r="17963" spans="1:9" s="232" customFormat="1" ht="17" customHeight="1">
      <c r="A17963" s="234"/>
      <c r="B17963" s="233"/>
      <c r="C17963" s="238"/>
      <c r="E17963" s="545"/>
      <c r="F17963" s="546"/>
      <c r="G17963" s="234"/>
      <c r="H17963" s="238"/>
      <c r="I17963" s="237"/>
    </row>
    <row r="17964" spans="1:9" s="232" customFormat="1" ht="17" customHeight="1">
      <c r="A17964" s="234"/>
      <c r="B17964" s="233"/>
      <c r="C17964" s="238"/>
      <c r="E17964" s="545"/>
      <c r="F17964" s="546"/>
      <c r="G17964" s="234"/>
      <c r="H17964" s="238"/>
      <c r="I17964" s="237"/>
    </row>
    <row r="17965" spans="1:9" s="232" customFormat="1" ht="17" customHeight="1">
      <c r="A17965" s="234"/>
      <c r="B17965" s="233"/>
      <c r="C17965" s="238"/>
      <c r="E17965" s="545"/>
      <c r="F17965" s="546"/>
      <c r="G17965" s="234"/>
      <c r="H17965" s="238"/>
      <c r="I17965" s="237"/>
    </row>
    <row r="17966" spans="1:9" s="232" customFormat="1" ht="17" customHeight="1">
      <c r="A17966" s="234"/>
      <c r="B17966" s="233"/>
      <c r="C17966" s="238"/>
      <c r="E17966" s="545"/>
      <c r="F17966" s="546"/>
      <c r="G17966" s="234"/>
      <c r="H17966" s="238"/>
      <c r="I17966" s="237"/>
    </row>
    <row r="17967" spans="1:9" s="232" customFormat="1" ht="17" customHeight="1">
      <c r="A17967" s="234"/>
      <c r="B17967" s="233"/>
      <c r="C17967" s="238"/>
      <c r="E17967" s="545"/>
      <c r="F17967" s="546"/>
      <c r="G17967" s="234"/>
      <c r="H17967" s="238"/>
      <c r="I17967" s="237"/>
    </row>
    <row r="17968" spans="1:9" s="232" customFormat="1" ht="17" customHeight="1">
      <c r="A17968" s="234"/>
      <c r="B17968" s="233"/>
      <c r="C17968" s="238"/>
      <c r="E17968" s="545"/>
      <c r="F17968" s="546"/>
      <c r="G17968" s="234"/>
      <c r="H17968" s="238"/>
      <c r="I17968" s="237"/>
    </row>
    <row r="17969" spans="1:9" s="232" customFormat="1" ht="17" customHeight="1">
      <c r="A17969" s="234"/>
      <c r="B17969" s="233"/>
      <c r="C17969" s="238"/>
      <c r="E17969" s="545"/>
      <c r="F17969" s="546"/>
      <c r="G17969" s="234"/>
      <c r="H17969" s="238"/>
      <c r="I17969" s="237"/>
    </row>
    <row r="17970" spans="1:9" s="232" customFormat="1" ht="17" customHeight="1">
      <c r="A17970" s="234"/>
      <c r="B17970" s="233"/>
      <c r="C17970" s="238"/>
      <c r="E17970" s="545"/>
      <c r="F17970" s="546"/>
      <c r="G17970" s="234"/>
      <c r="H17970" s="238"/>
      <c r="I17970" s="237"/>
    </row>
    <row r="17971" spans="1:9" s="232" customFormat="1" ht="17" customHeight="1">
      <c r="A17971" s="234"/>
      <c r="B17971" s="233"/>
      <c r="C17971" s="238"/>
      <c r="E17971" s="545"/>
      <c r="F17971" s="546"/>
      <c r="G17971" s="234"/>
      <c r="H17971" s="238"/>
      <c r="I17971" s="237"/>
    </row>
    <row r="17972" spans="1:9" s="232" customFormat="1" ht="17" customHeight="1">
      <c r="A17972" s="234"/>
      <c r="B17972" s="233"/>
      <c r="C17972" s="238"/>
      <c r="E17972" s="545"/>
      <c r="F17972" s="546"/>
      <c r="G17972" s="234"/>
      <c r="H17972" s="238"/>
      <c r="I17972" s="237"/>
    </row>
    <row r="17973" spans="1:9" s="232" customFormat="1" ht="17" customHeight="1">
      <c r="A17973" s="234"/>
      <c r="B17973" s="233"/>
      <c r="C17973" s="238"/>
      <c r="E17973" s="545"/>
      <c r="F17973" s="546"/>
      <c r="G17973" s="234"/>
      <c r="H17973" s="238"/>
      <c r="I17973" s="237"/>
    </row>
    <row r="17974" spans="1:9" s="232" customFormat="1" ht="17" customHeight="1">
      <c r="A17974" s="234"/>
      <c r="B17974" s="233"/>
      <c r="C17974" s="238"/>
      <c r="E17974" s="545"/>
      <c r="F17974" s="546"/>
      <c r="G17974" s="234"/>
      <c r="H17974" s="238"/>
      <c r="I17974" s="237"/>
    </row>
    <row r="17975" spans="1:9" s="232" customFormat="1" ht="17" customHeight="1">
      <c r="A17975" s="234"/>
      <c r="B17975" s="233"/>
      <c r="C17975" s="238"/>
      <c r="E17975" s="545"/>
      <c r="F17975" s="546"/>
      <c r="G17975" s="234"/>
      <c r="H17975" s="238"/>
      <c r="I17975" s="237"/>
    </row>
    <row r="17976" spans="1:9" s="232" customFormat="1" ht="17" customHeight="1">
      <c r="A17976" s="234"/>
      <c r="B17976" s="233"/>
      <c r="C17976" s="238"/>
      <c r="E17976" s="545"/>
      <c r="F17976" s="546"/>
      <c r="G17976" s="234"/>
      <c r="H17976" s="238"/>
      <c r="I17976" s="237"/>
    </row>
    <row r="17977" spans="1:9" s="232" customFormat="1" ht="17" customHeight="1">
      <c r="A17977" s="234"/>
      <c r="B17977" s="233"/>
      <c r="C17977" s="238"/>
      <c r="E17977" s="545"/>
      <c r="F17977" s="546"/>
      <c r="G17977" s="234"/>
      <c r="H17977" s="238"/>
      <c r="I17977" s="237"/>
    </row>
    <row r="17978" spans="1:9" s="232" customFormat="1" ht="17" customHeight="1">
      <c r="A17978" s="234"/>
      <c r="B17978" s="233"/>
      <c r="C17978" s="238"/>
      <c r="E17978" s="545"/>
      <c r="F17978" s="546"/>
      <c r="G17978" s="234"/>
      <c r="H17978" s="238"/>
      <c r="I17978" s="237"/>
    </row>
    <row r="17979" spans="1:9" s="232" customFormat="1" ht="17" customHeight="1">
      <c r="A17979" s="234"/>
      <c r="B17979" s="233"/>
      <c r="C17979" s="238"/>
      <c r="E17979" s="545"/>
      <c r="F17979" s="546"/>
      <c r="G17979" s="234"/>
      <c r="H17979" s="238"/>
      <c r="I17979" s="237"/>
    </row>
    <row r="17980" spans="1:9" s="232" customFormat="1" ht="17" customHeight="1">
      <c r="A17980" s="234"/>
      <c r="B17980" s="233"/>
      <c r="C17980" s="238"/>
      <c r="E17980" s="545"/>
      <c r="F17980" s="546"/>
      <c r="G17980" s="234"/>
      <c r="H17980" s="238"/>
      <c r="I17980" s="237"/>
    </row>
    <row r="17981" spans="1:9" s="232" customFormat="1" ht="17" customHeight="1">
      <c r="A17981" s="234"/>
      <c r="B17981" s="233"/>
      <c r="C17981" s="238"/>
      <c r="E17981" s="545"/>
      <c r="F17981" s="546"/>
      <c r="G17981" s="234"/>
      <c r="H17981" s="238"/>
      <c r="I17981" s="237"/>
    </row>
    <row r="17982" spans="1:9" s="232" customFormat="1" ht="17" customHeight="1">
      <c r="A17982" s="234"/>
      <c r="B17982" s="233"/>
      <c r="C17982" s="238"/>
      <c r="E17982" s="545"/>
      <c r="F17982" s="546"/>
      <c r="G17982" s="234"/>
      <c r="H17982" s="238"/>
      <c r="I17982" s="237"/>
    </row>
    <row r="17983" spans="1:9" s="232" customFormat="1" ht="17" customHeight="1">
      <c r="A17983" s="234"/>
      <c r="B17983" s="233"/>
      <c r="C17983" s="238"/>
      <c r="E17983" s="545"/>
      <c r="F17983" s="546"/>
      <c r="G17983" s="234"/>
      <c r="H17983" s="238"/>
      <c r="I17983" s="237"/>
    </row>
    <row r="17984" spans="1:9" s="232" customFormat="1" ht="17" customHeight="1">
      <c r="A17984" s="234"/>
      <c r="B17984" s="233"/>
      <c r="C17984" s="238"/>
      <c r="E17984" s="545"/>
      <c r="F17984" s="546"/>
      <c r="G17984" s="234"/>
      <c r="H17984" s="238"/>
      <c r="I17984" s="237"/>
    </row>
    <row r="17985" spans="1:9" s="232" customFormat="1" ht="17" customHeight="1">
      <c r="A17985" s="234"/>
      <c r="B17985" s="233"/>
      <c r="C17985" s="238"/>
      <c r="E17985" s="545"/>
      <c r="F17985" s="546"/>
      <c r="G17985" s="234"/>
      <c r="H17985" s="238"/>
      <c r="I17985" s="237"/>
    </row>
    <row r="17986" spans="1:9" s="232" customFormat="1" ht="17" customHeight="1">
      <c r="A17986" s="234"/>
      <c r="B17986" s="233"/>
      <c r="C17986" s="238"/>
      <c r="E17986" s="545"/>
      <c r="F17986" s="546"/>
      <c r="G17986" s="234"/>
      <c r="H17986" s="238"/>
      <c r="I17986" s="237"/>
    </row>
    <row r="17987" spans="1:9" s="232" customFormat="1" ht="17" customHeight="1">
      <c r="A17987" s="234"/>
      <c r="B17987" s="233"/>
      <c r="C17987" s="238"/>
      <c r="E17987" s="545"/>
      <c r="F17987" s="546"/>
      <c r="G17987" s="234"/>
      <c r="H17987" s="238"/>
      <c r="I17987" s="237"/>
    </row>
    <row r="17988" spans="1:9" s="232" customFormat="1" ht="17" customHeight="1">
      <c r="A17988" s="234"/>
      <c r="B17988" s="233"/>
      <c r="C17988" s="238"/>
      <c r="E17988" s="545"/>
      <c r="F17988" s="546"/>
      <c r="G17988" s="234"/>
      <c r="H17988" s="238"/>
      <c r="I17988" s="237"/>
    </row>
    <row r="17989" spans="1:9" s="232" customFormat="1" ht="17" customHeight="1">
      <c r="A17989" s="234"/>
      <c r="B17989" s="233"/>
      <c r="C17989" s="238"/>
      <c r="E17989" s="545"/>
      <c r="F17989" s="546"/>
      <c r="G17989" s="234"/>
      <c r="H17989" s="238"/>
      <c r="I17989" s="237"/>
    </row>
    <row r="17990" spans="1:9" s="232" customFormat="1" ht="17" customHeight="1">
      <c r="A17990" s="234"/>
      <c r="B17990" s="233"/>
      <c r="C17990" s="238"/>
      <c r="E17990" s="545"/>
      <c r="F17990" s="546"/>
      <c r="G17990" s="234"/>
      <c r="H17990" s="238"/>
      <c r="I17990" s="237"/>
    </row>
    <row r="17991" spans="1:9" s="232" customFormat="1" ht="17" customHeight="1">
      <c r="A17991" s="234"/>
      <c r="B17991" s="233"/>
      <c r="C17991" s="238"/>
      <c r="E17991" s="545"/>
      <c r="F17991" s="546"/>
      <c r="G17991" s="234"/>
      <c r="H17991" s="238"/>
      <c r="I17991" s="237"/>
    </row>
    <row r="17992" spans="1:9" s="232" customFormat="1" ht="17" customHeight="1">
      <c r="A17992" s="234"/>
      <c r="B17992" s="233"/>
      <c r="C17992" s="238"/>
      <c r="E17992" s="545"/>
      <c r="F17992" s="546"/>
      <c r="G17992" s="234"/>
      <c r="H17992" s="238"/>
      <c r="I17992" s="237"/>
    </row>
    <row r="17993" spans="1:9" s="232" customFormat="1" ht="17" customHeight="1">
      <c r="A17993" s="234"/>
      <c r="B17993" s="233"/>
      <c r="C17993" s="238"/>
      <c r="E17993" s="545"/>
      <c r="F17993" s="546"/>
      <c r="G17993" s="234"/>
      <c r="H17993" s="238"/>
      <c r="I17993" s="237"/>
    </row>
    <row r="17994" spans="1:9" s="232" customFormat="1" ht="17" customHeight="1">
      <c r="A17994" s="234"/>
      <c r="B17994" s="233"/>
      <c r="C17994" s="238"/>
      <c r="E17994" s="545"/>
      <c r="F17994" s="546"/>
      <c r="G17994" s="234"/>
      <c r="H17994" s="238"/>
      <c r="I17994" s="237"/>
    </row>
    <row r="17995" spans="1:9" s="232" customFormat="1" ht="17" customHeight="1">
      <c r="A17995" s="234"/>
      <c r="B17995" s="233"/>
      <c r="C17995" s="238"/>
      <c r="E17995" s="545"/>
      <c r="F17995" s="546"/>
      <c r="G17995" s="234"/>
      <c r="H17995" s="238"/>
      <c r="I17995" s="237"/>
    </row>
    <row r="17996" spans="1:9" s="232" customFormat="1" ht="17" customHeight="1">
      <c r="A17996" s="234"/>
      <c r="B17996" s="233"/>
      <c r="C17996" s="238"/>
      <c r="E17996" s="545"/>
      <c r="F17996" s="546"/>
      <c r="G17996" s="234"/>
      <c r="H17996" s="238"/>
      <c r="I17996" s="237"/>
    </row>
    <row r="17997" spans="1:9" s="232" customFormat="1" ht="17" customHeight="1">
      <c r="A17997" s="234"/>
      <c r="B17997" s="233"/>
      <c r="C17997" s="238"/>
      <c r="E17997" s="545"/>
      <c r="F17997" s="546"/>
      <c r="G17997" s="234"/>
      <c r="H17997" s="238"/>
      <c r="I17997" s="237"/>
    </row>
    <row r="17998" spans="1:9" s="232" customFormat="1" ht="17" customHeight="1">
      <c r="A17998" s="234"/>
      <c r="B17998" s="233"/>
      <c r="C17998" s="238"/>
      <c r="E17998" s="545"/>
      <c r="F17998" s="546"/>
      <c r="G17998" s="234"/>
      <c r="H17998" s="238"/>
      <c r="I17998" s="237"/>
    </row>
    <row r="17999" spans="1:9" s="232" customFormat="1" ht="17" customHeight="1">
      <c r="A17999" s="234"/>
      <c r="B17999" s="233"/>
      <c r="C17999" s="238"/>
      <c r="E17999" s="545"/>
      <c r="F17999" s="546"/>
      <c r="G17999" s="234"/>
      <c r="H17999" s="238"/>
      <c r="I17999" s="237"/>
    </row>
    <row r="18000" spans="1:9" s="232" customFormat="1" ht="17" customHeight="1">
      <c r="A18000" s="234"/>
      <c r="B18000" s="233"/>
      <c r="C18000" s="238"/>
      <c r="E18000" s="545"/>
      <c r="F18000" s="546"/>
      <c r="G18000" s="234"/>
      <c r="H18000" s="238"/>
      <c r="I18000" s="237"/>
    </row>
    <row r="18001" spans="1:9" s="232" customFormat="1" ht="17" customHeight="1">
      <c r="A18001" s="234"/>
      <c r="B18001" s="233"/>
      <c r="C18001" s="238"/>
      <c r="E18001" s="545"/>
      <c r="F18001" s="546"/>
      <c r="G18001" s="234"/>
      <c r="H18001" s="238"/>
      <c r="I18001" s="237"/>
    </row>
    <row r="18002" spans="1:9" s="232" customFormat="1" ht="17" customHeight="1">
      <c r="A18002" s="234"/>
      <c r="B18002" s="233"/>
      <c r="C18002" s="238"/>
      <c r="E18002" s="545"/>
      <c r="F18002" s="546"/>
      <c r="G18002" s="234"/>
      <c r="H18002" s="238"/>
      <c r="I18002" s="237"/>
    </row>
    <row r="18003" spans="1:9" s="232" customFormat="1" ht="17" customHeight="1">
      <c r="A18003" s="234"/>
      <c r="B18003" s="233"/>
      <c r="C18003" s="238"/>
      <c r="E18003" s="545"/>
      <c r="F18003" s="546"/>
      <c r="G18003" s="234"/>
      <c r="H18003" s="238"/>
      <c r="I18003" s="237"/>
    </row>
    <row r="18004" spans="1:9" s="232" customFormat="1" ht="17" customHeight="1">
      <c r="A18004" s="234"/>
      <c r="B18004" s="233"/>
      <c r="C18004" s="238"/>
      <c r="E18004" s="545"/>
      <c r="F18004" s="546"/>
      <c r="G18004" s="234"/>
      <c r="H18004" s="238"/>
      <c r="I18004" s="237"/>
    </row>
    <row r="18005" spans="1:9" s="232" customFormat="1" ht="17" customHeight="1">
      <c r="A18005" s="234"/>
      <c r="B18005" s="233"/>
      <c r="C18005" s="238"/>
      <c r="E18005" s="545"/>
      <c r="F18005" s="546"/>
      <c r="G18005" s="234"/>
      <c r="H18005" s="238"/>
      <c r="I18005" s="237"/>
    </row>
    <row r="18006" spans="1:9" s="232" customFormat="1" ht="17" customHeight="1">
      <c r="A18006" s="234"/>
      <c r="B18006" s="233"/>
      <c r="C18006" s="238"/>
      <c r="E18006" s="545"/>
      <c r="F18006" s="546"/>
      <c r="G18006" s="234"/>
      <c r="H18006" s="238"/>
      <c r="I18006" s="237"/>
    </row>
    <row r="18007" spans="1:9" s="232" customFormat="1" ht="17" customHeight="1">
      <c r="A18007" s="234"/>
      <c r="B18007" s="233"/>
      <c r="C18007" s="238"/>
      <c r="E18007" s="545"/>
      <c r="F18007" s="546"/>
      <c r="G18007" s="234"/>
      <c r="H18007" s="238"/>
      <c r="I18007" s="237"/>
    </row>
    <row r="18008" spans="1:9" s="232" customFormat="1" ht="17" customHeight="1">
      <c r="A18008" s="234"/>
      <c r="B18008" s="233"/>
      <c r="C18008" s="238"/>
      <c r="E18008" s="545"/>
      <c r="F18008" s="546"/>
      <c r="G18008" s="234"/>
      <c r="H18008" s="238"/>
      <c r="I18008" s="237"/>
    </row>
    <row r="18009" spans="1:9" s="232" customFormat="1" ht="17" customHeight="1">
      <c r="A18009" s="234"/>
      <c r="B18009" s="233"/>
      <c r="C18009" s="238"/>
      <c r="E18009" s="545"/>
      <c r="F18009" s="546"/>
      <c r="G18009" s="234"/>
      <c r="H18009" s="238"/>
      <c r="I18009" s="237"/>
    </row>
    <row r="18010" spans="1:9" s="232" customFormat="1" ht="17" customHeight="1">
      <c r="A18010" s="234"/>
      <c r="B18010" s="233"/>
      <c r="C18010" s="238"/>
      <c r="E18010" s="545"/>
      <c r="F18010" s="546"/>
      <c r="G18010" s="234"/>
      <c r="H18010" s="238"/>
      <c r="I18010" s="237"/>
    </row>
    <row r="18011" spans="1:9" s="232" customFormat="1" ht="17" customHeight="1">
      <c r="A18011" s="234"/>
      <c r="B18011" s="233"/>
      <c r="C18011" s="238"/>
      <c r="E18011" s="545"/>
      <c r="F18011" s="546"/>
      <c r="G18011" s="234"/>
      <c r="H18011" s="238"/>
      <c r="I18011" s="237"/>
    </row>
    <row r="18012" spans="1:9" s="232" customFormat="1" ht="17" customHeight="1">
      <c r="A18012" s="234"/>
      <c r="B18012" s="233"/>
      <c r="C18012" s="238"/>
      <c r="E18012" s="545"/>
      <c r="F18012" s="546"/>
      <c r="G18012" s="234"/>
      <c r="H18012" s="238"/>
      <c r="I18012" s="237"/>
    </row>
    <row r="18013" spans="1:9" s="232" customFormat="1" ht="17" customHeight="1">
      <c r="A18013" s="234"/>
      <c r="B18013" s="233"/>
      <c r="C18013" s="238"/>
      <c r="E18013" s="545"/>
      <c r="F18013" s="546"/>
      <c r="G18013" s="234"/>
      <c r="H18013" s="238"/>
      <c r="I18013" s="237"/>
    </row>
    <row r="18014" spans="1:9" s="232" customFormat="1" ht="17" customHeight="1">
      <c r="A18014" s="234"/>
      <c r="B18014" s="233"/>
      <c r="C18014" s="238"/>
      <c r="E18014" s="545"/>
      <c r="F18014" s="546"/>
      <c r="G18014" s="234"/>
      <c r="H18014" s="238"/>
      <c r="I18014" s="237"/>
    </row>
    <row r="18015" spans="1:9" s="232" customFormat="1" ht="17" customHeight="1">
      <c r="A18015" s="234"/>
      <c r="B18015" s="233"/>
      <c r="C18015" s="238"/>
      <c r="E18015" s="545"/>
      <c r="F18015" s="546"/>
      <c r="G18015" s="234"/>
      <c r="H18015" s="238"/>
      <c r="I18015" s="237"/>
    </row>
    <row r="18016" spans="1:9" s="232" customFormat="1" ht="17" customHeight="1">
      <c r="A18016" s="234"/>
      <c r="B18016" s="233"/>
      <c r="C18016" s="238"/>
      <c r="E18016" s="545"/>
      <c r="F18016" s="546"/>
      <c r="G18016" s="234"/>
      <c r="H18016" s="238"/>
      <c r="I18016" s="237"/>
    </row>
    <row r="18017" spans="1:9" s="232" customFormat="1" ht="17" customHeight="1">
      <c r="A18017" s="234"/>
      <c r="B18017" s="233"/>
      <c r="C18017" s="238"/>
      <c r="E18017" s="545"/>
      <c r="F18017" s="546"/>
      <c r="G18017" s="234"/>
      <c r="H18017" s="238"/>
      <c r="I18017" s="237"/>
    </row>
    <row r="18018" spans="1:9" s="232" customFormat="1" ht="17" customHeight="1">
      <c r="A18018" s="234"/>
      <c r="B18018" s="233"/>
      <c r="C18018" s="238"/>
      <c r="E18018" s="545"/>
      <c r="F18018" s="546"/>
      <c r="G18018" s="234"/>
      <c r="H18018" s="238"/>
      <c r="I18018" s="237"/>
    </row>
    <row r="18019" spans="1:9" s="232" customFormat="1" ht="17" customHeight="1">
      <c r="A18019" s="234"/>
      <c r="B18019" s="233"/>
      <c r="C18019" s="238"/>
      <c r="E18019" s="545"/>
      <c r="F18019" s="546"/>
      <c r="G18019" s="234"/>
      <c r="H18019" s="238"/>
      <c r="I18019" s="237"/>
    </row>
    <row r="18020" spans="1:9" s="232" customFormat="1" ht="17" customHeight="1">
      <c r="A18020" s="234"/>
      <c r="B18020" s="233"/>
      <c r="C18020" s="238"/>
      <c r="E18020" s="545"/>
      <c r="F18020" s="546"/>
      <c r="G18020" s="234"/>
      <c r="H18020" s="238"/>
      <c r="I18020" s="237"/>
    </row>
    <row r="18021" spans="1:9" s="232" customFormat="1" ht="17" customHeight="1">
      <c r="A18021" s="234"/>
      <c r="B18021" s="233"/>
      <c r="C18021" s="238"/>
      <c r="E18021" s="545"/>
      <c r="F18021" s="546"/>
      <c r="G18021" s="234"/>
      <c r="H18021" s="238"/>
      <c r="I18021" s="237"/>
    </row>
    <row r="18022" spans="1:9" s="232" customFormat="1" ht="17" customHeight="1">
      <c r="A18022" s="234"/>
      <c r="B18022" s="233"/>
      <c r="C18022" s="238"/>
      <c r="E18022" s="545"/>
      <c r="F18022" s="546"/>
      <c r="G18022" s="234"/>
      <c r="H18022" s="238"/>
      <c r="I18022" s="237"/>
    </row>
    <row r="18023" spans="1:9" s="232" customFormat="1" ht="17" customHeight="1">
      <c r="A18023" s="234"/>
      <c r="B18023" s="233"/>
      <c r="C18023" s="238"/>
      <c r="E18023" s="545"/>
      <c r="F18023" s="546"/>
      <c r="G18023" s="234"/>
      <c r="H18023" s="238"/>
      <c r="I18023" s="237"/>
    </row>
    <row r="18024" spans="1:9" s="232" customFormat="1" ht="17" customHeight="1">
      <c r="A18024" s="234"/>
      <c r="B18024" s="233"/>
      <c r="C18024" s="238"/>
      <c r="E18024" s="545"/>
      <c r="F18024" s="546"/>
      <c r="G18024" s="234"/>
      <c r="H18024" s="238"/>
      <c r="I18024" s="237"/>
    </row>
    <row r="18025" spans="1:9" s="232" customFormat="1" ht="17" customHeight="1">
      <c r="A18025" s="234"/>
      <c r="B18025" s="233"/>
      <c r="C18025" s="238"/>
      <c r="E18025" s="545"/>
      <c r="F18025" s="546"/>
      <c r="G18025" s="234"/>
      <c r="H18025" s="238"/>
      <c r="I18025" s="237"/>
    </row>
    <row r="18026" spans="1:9" s="232" customFormat="1" ht="17" customHeight="1">
      <c r="A18026" s="234"/>
      <c r="B18026" s="233"/>
      <c r="C18026" s="238"/>
      <c r="E18026" s="545"/>
      <c r="F18026" s="546"/>
      <c r="G18026" s="234"/>
      <c r="H18026" s="238"/>
      <c r="I18026" s="237"/>
    </row>
    <row r="18027" spans="1:9" s="232" customFormat="1" ht="17" customHeight="1">
      <c r="A18027" s="234"/>
      <c r="B18027" s="233"/>
      <c r="C18027" s="238"/>
      <c r="E18027" s="545"/>
      <c r="F18027" s="546"/>
      <c r="G18027" s="234"/>
      <c r="H18027" s="238"/>
      <c r="I18027" s="237"/>
    </row>
    <row r="18028" spans="1:9" s="232" customFormat="1" ht="17" customHeight="1">
      <c r="A18028" s="234"/>
      <c r="B18028" s="233"/>
      <c r="C18028" s="238"/>
      <c r="E18028" s="545"/>
      <c r="F18028" s="546"/>
      <c r="G18028" s="234"/>
      <c r="H18028" s="238"/>
      <c r="I18028" s="237"/>
    </row>
    <row r="18029" spans="1:9" s="232" customFormat="1" ht="17" customHeight="1">
      <c r="A18029" s="234"/>
      <c r="B18029" s="233"/>
      <c r="C18029" s="238"/>
      <c r="E18029" s="545"/>
      <c r="F18029" s="546"/>
      <c r="G18029" s="234"/>
      <c r="H18029" s="238"/>
      <c r="I18029" s="237"/>
    </row>
    <row r="18030" spans="1:9" s="232" customFormat="1" ht="17" customHeight="1">
      <c r="A18030" s="234"/>
      <c r="B18030" s="233"/>
      <c r="C18030" s="238"/>
      <c r="E18030" s="545"/>
      <c r="F18030" s="546"/>
      <c r="G18030" s="234"/>
      <c r="H18030" s="238"/>
      <c r="I18030" s="237"/>
    </row>
    <row r="18031" spans="1:9" s="232" customFormat="1" ht="17" customHeight="1">
      <c r="A18031" s="234"/>
      <c r="B18031" s="233"/>
      <c r="C18031" s="238"/>
      <c r="E18031" s="545"/>
      <c r="F18031" s="546"/>
      <c r="G18031" s="234"/>
      <c r="H18031" s="238"/>
      <c r="I18031" s="237"/>
    </row>
    <row r="18032" spans="1:9" s="232" customFormat="1" ht="17" customHeight="1">
      <c r="A18032" s="234"/>
      <c r="B18032" s="233"/>
      <c r="C18032" s="238"/>
      <c r="E18032" s="545"/>
      <c r="F18032" s="546"/>
      <c r="G18032" s="234"/>
      <c r="H18032" s="238"/>
      <c r="I18032" s="237"/>
    </row>
    <row r="18033" spans="1:9" s="232" customFormat="1" ht="17" customHeight="1">
      <c r="A18033" s="234"/>
      <c r="B18033" s="233"/>
      <c r="C18033" s="238"/>
      <c r="E18033" s="545"/>
      <c r="F18033" s="546"/>
      <c r="G18033" s="234"/>
      <c r="H18033" s="238"/>
      <c r="I18033" s="237"/>
    </row>
    <row r="18034" spans="1:9" s="232" customFormat="1" ht="17" customHeight="1">
      <c r="A18034" s="234"/>
      <c r="B18034" s="233"/>
      <c r="C18034" s="238"/>
      <c r="E18034" s="545"/>
      <c r="F18034" s="546"/>
      <c r="G18034" s="234"/>
      <c r="H18034" s="238"/>
      <c r="I18034" s="237"/>
    </row>
    <row r="18035" spans="1:9" s="232" customFormat="1" ht="17" customHeight="1">
      <c r="A18035" s="234"/>
      <c r="B18035" s="233"/>
      <c r="C18035" s="238"/>
      <c r="E18035" s="545"/>
      <c r="F18035" s="546"/>
      <c r="G18035" s="234"/>
      <c r="H18035" s="238"/>
      <c r="I18035" s="237"/>
    </row>
    <row r="18036" spans="1:9" s="232" customFormat="1" ht="17" customHeight="1">
      <c r="A18036" s="234"/>
      <c r="B18036" s="233"/>
      <c r="C18036" s="238"/>
      <c r="E18036" s="545"/>
      <c r="F18036" s="546"/>
      <c r="G18036" s="234"/>
      <c r="H18036" s="238"/>
      <c r="I18036" s="237"/>
    </row>
    <row r="18037" spans="1:9" s="232" customFormat="1" ht="17" customHeight="1">
      <c r="A18037" s="234"/>
      <c r="B18037" s="233"/>
      <c r="C18037" s="238"/>
      <c r="E18037" s="545"/>
      <c r="F18037" s="546"/>
      <c r="G18037" s="234"/>
      <c r="H18037" s="238"/>
      <c r="I18037" s="237"/>
    </row>
    <row r="18038" spans="1:9" s="232" customFormat="1" ht="17" customHeight="1">
      <c r="A18038" s="234"/>
      <c r="B18038" s="233"/>
      <c r="C18038" s="238"/>
      <c r="E18038" s="545"/>
      <c r="F18038" s="546"/>
      <c r="G18038" s="234"/>
      <c r="H18038" s="238"/>
      <c r="I18038" s="237"/>
    </row>
    <row r="18039" spans="1:9" s="232" customFormat="1" ht="17" customHeight="1">
      <c r="A18039" s="234"/>
      <c r="B18039" s="233"/>
      <c r="C18039" s="238"/>
      <c r="E18039" s="545"/>
      <c r="F18039" s="546"/>
      <c r="G18039" s="234"/>
      <c r="H18039" s="238"/>
      <c r="I18039" s="237"/>
    </row>
    <row r="18040" spans="1:9" s="232" customFormat="1" ht="17" customHeight="1">
      <c r="A18040" s="234"/>
      <c r="B18040" s="233"/>
      <c r="C18040" s="238"/>
      <c r="E18040" s="545"/>
      <c r="F18040" s="546"/>
      <c r="G18040" s="234"/>
      <c r="H18040" s="238"/>
      <c r="I18040" s="237"/>
    </row>
    <row r="18041" spans="1:9" s="232" customFormat="1" ht="17" customHeight="1">
      <c r="A18041" s="234"/>
      <c r="B18041" s="233"/>
      <c r="C18041" s="238"/>
      <c r="E18041" s="545"/>
      <c r="F18041" s="546"/>
      <c r="G18041" s="234"/>
      <c r="H18041" s="238"/>
      <c r="I18041" s="237"/>
    </row>
    <row r="18042" spans="1:9" s="232" customFormat="1" ht="17" customHeight="1">
      <c r="A18042" s="234"/>
      <c r="B18042" s="233"/>
      <c r="C18042" s="238"/>
      <c r="E18042" s="545"/>
      <c r="F18042" s="546"/>
      <c r="G18042" s="234"/>
      <c r="H18042" s="238"/>
      <c r="I18042" s="237"/>
    </row>
    <row r="18043" spans="1:9" s="232" customFormat="1" ht="17" customHeight="1">
      <c r="A18043" s="234"/>
      <c r="B18043" s="233"/>
      <c r="C18043" s="238"/>
      <c r="E18043" s="545"/>
      <c r="F18043" s="546"/>
      <c r="G18043" s="234"/>
      <c r="H18043" s="238"/>
      <c r="I18043" s="237"/>
    </row>
    <row r="18044" spans="1:9" s="232" customFormat="1" ht="17" customHeight="1">
      <c r="A18044" s="234"/>
      <c r="B18044" s="233"/>
      <c r="C18044" s="238"/>
      <c r="E18044" s="545"/>
      <c r="F18044" s="546"/>
      <c r="G18044" s="234"/>
      <c r="H18044" s="238"/>
      <c r="I18044" s="237"/>
    </row>
    <row r="18045" spans="1:9" s="232" customFormat="1" ht="17" customHeight="1">
      <c r="A18045" s="234"/>
      <c r="B18045" s="233"/>
      <c r="C18045" s="238"/>
      <c r="E18045" s="545"/>
      <c r="F18045" s="546"/>
      <c r="G18045" s="234"/>
      <c r="H18045" s="238"/>
      <c r="I18045" s="237"/>
    </row>
    <row r="18046" spans="1:9" s="232" customFormat="1" ht="17" customHeight="1">
      <c r="A18046" s="234"/>
      <c r="B18046" s="233"/>
      <c r="C18046" s="238"/>
      <c r="E18046" s="545"/>
      <c r="F18046" s="546"/>
      <c r="G18046" s="234"/>
      <c r="H18046" s="238"/>
      <c r="I18046" s="237"/>
    </row>
    <row r="18047" spans="1:9" s="232" customFormat="1" ht="17" customHeight="1">
      <c r="A18047" s="234"/>
      <c r="B18047" s="233"/>
      <c r="C18047" s="238"/>
      <c r="E18047" s="545"/>
      <c r="F18047" s="546"/>
      <c r="G18047" s="234"/>
      <c r="H18047" s="238"/>
      <c r="I18047" s="237"/>
    </row>
    <row r="18048" spans="1:9" s="232" customFormat="1" ht="17" customHeight="1">
      <c r="A18048" s="234"/>
      <c r="B18048" s="233"/>
      <c r="C18048" s="238"/>
      <c r="E18048" s="545"/>
      <c r="F18048" s="546"/>
      <c r="G18048" s="234"/>
      <c r="H18048" s="238"/>
      <c r="I18048" s="237"/>
    </row>
    <row r="18049" spans="1:9" s="232" customFormat="1" ht="17" customHeight="1">
      <c r="A18049" s="234"/>
      <c r="B18049" s="233"/>
      <c r="C18049" s="238"/>
      <c r="E18049" s="545"/>
      <c r="F18049" s="546"/>
      <c r="G18049" s="234"/>
      <c r="H18049" s="238"/>
      <c r="I18049" s="237"/>
    </row>
    <row r="18050" spans="1:9" s="232" customFormat="1" ht="17" customHeight="1">
      <c r="A18050" s="234"/>
      <c r="B18050" s="233"/>
      <c r="C18050" s="238"/>
      <c r="E18050" s="545"/>
      <c r="F18050" s="546"/>
      <c r="G18050" s="234"/>
      <c r="H18050" s="238"/>
      <c r="I18050" s="237"/>
    </row>
    <row r="18051" spans="1:9" s="232" customFormat="1" ht="17" customHeight="1">
      <c r="A18051" s="234"/>
      <c r="B18051" s="233"/>
      <c r="C18051" s="238"/>
      <c r="E18051" s="545"/>
      <c r="F18051" s="546"/>
      <c r="G18051" s="234"/>
      <c r="H18051" s="238"/>
      <c r="I18051" s="237"/>
    </row>
    <row r="18052" spans="1:9" s="232" customFormat="1" ht="17" customHeight="1">
      <c r="A18052" s="234"/>
      <c r="B18052" s="233"/>
      <c r="C18052" s="238"/>
      <c r="E18052" s="545"/>
      <c r="F18052" s="546"/>
      <c r="G18052" s="234"/>
      <c r="H18052" s="238"/>
      <c r="I18052" s="237"/>
    </row>
    <row r="18053" spans="1:9" s="232" customFormat="1" ht="17" customHeight="1">
      <c r="A18053" s="234"/>
      <c r="B18053" s="233"/>
      <c r="C18053" s="238"/>
      <c r="E18053" s="545"/>
      <c r="F18053" s="546"/>
      <c r="G18053" s="234"/>
      <c r="H18053" s="238"/>
      <c r="I18053" s="237"/>
    </row>
    <row r="18054" spans="1:9" s="232" customFormat="1" ht="17" customHeight="1">
      <c r="A18054" s="234"/>
      <c r="B18054" s="233"/>
      <c r="C18054" s="238"/>
      <c r="E18054" s="545"/>
      <c r="F18054" s="546"/>
      <c r="G18054" s="234"/>
      <c r="H18054" s="238"/>
      <c r="I18054" s="237"/>
    </row>
    <row r="18055" spans="1:9" s="232" customFormat="1" ht="17" customHeight="1">
      <c r="A18055" s="234"/>
      <c r="B18055" s="233"/>
      <c r="C18055" s="238"/>
      <c r="E18055" s="545"/>
      <c r="F18055" s="546"/>
      <c r="G18055" s="234"/>
      <c r="H18055" s="238"/>
      <c r="I18055" s="237"/>
    </row>
    <row r="18056" spans="1:9" s="232" customFormat="1" ht="17" customHeight="1">
      <c r="A18056" s="234"/>
      <c r="B18056" s="233"/>
      <c r="C18056" s="238"/>
      <c r="E18056" s="545"/>
      <c r="F18056" s="546"/>
      <c r="G18056" s="234"/>
      <c r="H18056" s="238"/>
      <c r="I18056" s="237"/>
    </row>
    <row r="18057" spans="1:9" s="232" customFormat="1" ht="17" customHeight="1">
      <c r="A18057" s="234"/>
      <c r="B18057" s="233"/>
      <c r="C18057" s="238"/>
      <c r="E18057" s="545"/>
      <c r="F18057" s="546"/>
      <c r="G18057" s="234"/>
      <c r="H18057" s="238"/>
      <c r="I18057" s="237"/>
    </row>
    <row r="18058" spans="1:9" s="232" customFormat="1" ht="17" customHeight="1">
      <c r="A18058" s="234"/>
      <c r="B18058" s="233"/>
      <c r="C18058" s="238"/>
      <c r="E18058" s="545"/>
      <c r="F18058" s="546"/>
      <c r="G18058" s="234"/>
      <c r="H18058" s="238"/>
      <c r="I18058" s="237"/>
    </row>
    <row r="18059" spans="1:9" s="232" customFormat="1" ht="17" customHeight="1">
      <c r="A18059" s="234"/>
      <c r="B18059" s="233"/>
      <c r="C18059" s="238"/>
      <c r="E18059" s="545"/>
      <c r="F18059" s="546"/>
      <c r="G18059" s="234"/>
      <c r="H18059" s="238"/>
      <c r="I18059" s="237"/>
    </row>
    <row r="18060" spans="1:9" s="232" customFormat="1" ht="17" customHeight="1">
      <c r="A18060" s="234"/>
      <c r="B18060" s="233"/>
      <c r="C18060" s="238"/>
      <c r="E18060" s="545"/>
      <c r="F18060" s="546"/>
      <c r="G18060" s="234"/>
      <c r="H18060" s="238"/>
      <c r="I18060" s="237"/>
    </row>
    <row r="18061" spans="1:9" s="232" customFormat="1" ht="17" customHeight="1">
      <c r="A18061" s="234"/>
      <c r="B18061" s="233"/>
      <c r="C18061" s="238"/>
      <c r="E18061" s="545"/>
      <c r="F18061" s="546"/>
      <c r="G18061" s="234"/>
      <c r="H18061" s="238"/>
      <c r="I18061" s="237"/>
    </row>
    <row r="18062" spans="1:9" s="232" customFormat="1" ht="17" customHeight="1">
      <c r="A18062" s="234"/>
      <c r="B18062" s="233"/>
      <c r="C18062" s="238"/>
      <c r="E18062" s="545"/>
      <c r="F18062" s="546"/>
      <c r="G18062" s="234"/>
      <c r="H18062" s="238"/>
      <c r="I18062" s="237"/>
    </row>
    <row r="18063" spans="1:9" s="232" customFormat="1" ht="17" customHeight="1">
      <c r="A18063" s="234"/>
      <c r="B18063" s="233"/>
      <c r="C18063" s="238"/>
      <c r="E18063" s="545"/>
      <c r="F18063" s="546"/>
      <c r="G18063" s="234"/>
      <c r="H18063" s="238"/>
      <c r="I18063" s="237"/>
    </row>
    <row r="18064" spans="1:9" s="232" customFormat="1" ht="17" customHeight="1">
      <c r="A18064" s="234"/>
      <c r="B18064" s="233"/>
      <c r="C18064" s="238"/>
      <c r="E18064" s="545"/>
      <c r="F18064" s="546"/>
      <c r="G18064" s="234"/>
      <c r="H18064" s="238"/>
      <c r="I18064" s="237"/>
    </row>
    <row r="18065" spans="1:9" s="232" customFormat="1" ht="17" customHeight="1">
      <c r="A18065" s="234"/>
      <c r="B18065" s="233"/>
      <c r="C18065" s="238"/>
      <c r="E18065" s="545"/>
      <c r="F18065" s="546"/>
      <c r="G18065" s="234"/>
      <c r="H18065" s="238"/>
      <c r="I18065" s="237"/>
    </row>
    <row r="18066" spans="1:9" s="232" customFormat="1" ht="17" customHeight="1">
      <c r="A18066" s="234"/>
      <c r="B18066" s="233"/>
      <c r="C18066" s="238"/>
      <c r="E18066" s="545"/>
      <c r="F18066" s="546"/>
      <c r="G18066" s="234"/>
      <c r="H18066" s="238"/>
      <c r="I18066" s="237"/>
    </row>
    <row r="18067" spans="1:9" s="232" customFormat="1" ht="17" customHeight="1">
      <c r="A18067" s="234"/>
      <c r="B18067" s="233"/>
      <c r="C18067" s="238"/>
      <c r="E18067" s="545"/>
      <c r="F18067" s="546"/>
      <c r="G18067" s="234"/>
      <c r="H18067" s="238"/>
      <c r="I18067" s="237"/>
    </row>
    <row r="18068" spans="1:9" s="232" customFormat="1" ht="17" customHeight="1">
      <c r="A18068" s="234"/>
      <c r="B18068" s="233"/>
      <c r="C18068" s="238"/>
      <c r="E18068" s="545"/>
      <c r="F18068" s="546"/>
      <c r="G18068" s="234"/>
      <c r="H18068" s="238"/>
      <c r="I18068" s="237"/>
    </row>
    <row r="18069" spans="1:9" s="232" customFormat="1" ht="17" customHeight="1">
      <c r="A18069" s="234"/>
      <c r="B18069" s="233"/>
      <c r="C18069" s="238"/>
      <c r="E18069" s="545"/>
      <c r="F18069" s="546"/>
      <c r="G18069" s="234"/>
      <c r="H18069" s="238"/>
      <c r="I18069" s="237"/>
    </row>
    <row r="18070" spans="1:9" s="232" customFormat="1" ht="17" customHeight="1">
      <c r="A18070" s="234"/>
      <c r="B18070" s="233"/>
      <c r="C18070" s="238"/>
      <c r="E18070" s="545"/>
      <c r="F18070" s="546"/>
      <c r="G18070" s="234"/>
      <c r="H18070" s="238"/>
      <c r="I18070" s="237"/>
    </row>
    <row r="18071" spans="1:9" s="232" customFormat="1" ht="17" customHeight="1">
      <c r="A18071" s="234"/>
      <c r="B18071" s="233"/>
      <c r="C18071" s="238"/>
      <c r="E18071" s="545"/>
      <c r="F18071" s="546"/>
      <c r="G18071" s="234"/>
      <c r="H18071" s="238"/>
      <c r="I18071" s="237"/>
    </row>
    <row r="18072" spans="1:9" s="232" customFormat="1" ht="17" customHeight="1">
      <c r="A18072" s="234"/>
      <c r="B18072" s="233"/>
      <c r="C18072" s="238"/>
      <c r="E18072" s="545"/>
      <c r="F18072" s="546"/>
      <c r="G18072" s="234"/>
      <c r="H18072" s="238"/>
      <c r="I18072" s="237"/>
    </row>
    <row r="18073" spans="1:9" s="232" customFormat="1" ht="17" customHeight="1">
      <c r="A18073" s="234"/>
      <c r="B18073" s="233"/>
      <c r="C18073" s="238"/>
      <c r="E18073" s="545"/>
      <c r="F18073" s="546"/>
      <c r="G18073" s="234"/>
      <c r="H18073" s="238"/>
      <c r="I18073" s="237"/>
    </row>
    <row r="18074" spans="1:9" s="232" customFormat="1" ht="17" customHeight="1">
      <c r="A18074" s="234"/>
      <c r="B18074" s="233"/>
      <c r="C18074" s="238"/>
      <c r="E18074" s="545"/>
      <c r="F18074" s="546"/>
      <c r="G18074" s="234"/>
      <c r="H18074" s="238"/>
      <c r="I18074" s="237"/>
    </row>
    <row r="18075" spans="1:9" s="232" customFormat="1" ht="17" customHeight="1">
      <c r="A18075" s="234"/>
      <c r="B18075" s="233"/>
      <c r="C18075" s="238"/>
      <c r="E18075" s="545"/>
      <c r="F18075" s="546"/>
      <c r="G18075" s="234"/>
      <c r="H18075" s="238"/>
      <c r="I18075" s="237"/>
    </row>
    <row r="18076" spans="1:9" s="232" customFormat="1" ht="17" customHeight="1">
      <c r="A18076" s="234"/>
      <c r="B18076" s="233"/>
      <c r="C18076" s="238"/>
      <c r="E18076" s="545"/>
      <c r="F18076" s="546"/>
      <c r="G18076" s="234"/>
      <c r="H18076" s="238"/>
      <c r="I18076" s="237"/>
    </row>
    <row r="18077" spans="1:9" s="232" customFormat="1" ht="17" customHeight="1">
      <c r="A18077" s="234"/>
      <c r="B18077" s="233"/>
      <c r="C18077" s="238"/>
      <c r="E18077" s="545"/>
      <c r="F18077" s="546"/>
      <c r="G18077" s="234"/>
      <c r="H18077" s="238"/>
      <c r="I18077" s="237"/>
    </row>
    <row r="18078" spans="1:9" s="232" customFormat="1" ht="17" customHeight="1">
      <c r="A18078" s="234"/>
      <c r="B18078" s="233"/>
      <c r="C18078" s="238"/>
      <c r="E18078" s="545"/>
      <c r="F18078" s="546"/>
      <c r="G18078" s="234"/>
      <c r="H18078" s="238"/>
      <c r="I18078" s="237"/>
    </row>
    <row r="18079" spans="1:9" s="232" customFormat="1" ht="17" customHeight="1">
      <c r="A18079" s="234"/>
      <c r="B18079" s="233"/>
      <c r="C18079" s="238"/>
      <c r="E18079" s="545"/>
      <c r="F18079" s="546"/>
      <c r="G18079" s="234"/>
      <c r="H18079" s="238"/>
      <c r="I18079" s="237"/>
    </row>
    <row r="18080" spans="1:9" s="232" customFormat="1" ht="17" customHeight="1">
      <c r="A18080" s="234"/>
      <c r="B18080" s="233"/>
      <c r="C18080" s="238"/>
      <c r="E18080" s="545"/>
      <c r="F18080" s="546"/>
      <c r="G18080" s="234"/>
      <c r="H18080" s="238"/>
      <c r="I18080" s="237"/>
    </row>
    <row r="18081" spans="1:9" s="232" customFormat="1" ht="17" customHeight="1">
      <c r="A18081" s="234"/>
      <c r="B18081" s="233"/>
      <c r="C18081" s="238"/>
      <c r="E18081" s="545"/>
      <c r="F18081" s="546"/>
      <c r="G18081" s="234"/>
      <c r="H18081" s="238"/>
      <c r="I18081" s="237"/>
    </row>
    <row r="18082" spans="1:9" s="232" customFormat="1" ht="17" customHeight="1">
      <c r="A18082" s="234"/>
      <c r="B18082" s="233"/>
      <c r="C18082" s="238"/>
      <c r="E18082" s="545"/>
      <c r="F18082" s="546"/>
      <c r="G18082" s="234"/>
      <c r="H18082" s="238"/>
      <c r="I18082" s="237"/>
    </row>
    <row r="18083" spans="1:9" s="232" customFormat="1" ht="17" customHeight="1">
      <c r="A18083" s="234"/>
      <c r="B18083" s="233"/>
      <c r="C18083" s="238"/>
      <c r="E18083" s="545"/>
      <c r="F18083" s="546"/>
      <c r="G18083" s="234"/>
      <c r="H18083" s="238"/>
      <c r="I18083" s="237"/>
    </row>
    <row r="18084" spans="1:9" s="232" customFormat="1" ht="17" customHeight="1">
      <c r="A18084" s="234"/>
      <c r="B18084" s="233"/>
      <c r="C18084" s="238"/>
      <c r="E18084" s="545"/>
      <c r="F18084" s="546"/>
      <c r="G18084" s="234"/>
      <c r="H18084" s="238"/>
      <c r="I18084" s="237"/>
    </row>
    <row r="18085" spans="1:9" s="232" customFormat="1" ht="17" customHeight="1">
      <c r="A18085" s="234"/>
      <c r="B18085" s="233"/>
      <c r="C18085" s="238"/>
      <c r="E18085" s="545"/>
      <c r="F18085" s="546"/>
      <c r="G18085" s="234"/>
      <c r="H18085" s="238"/>
      <c r="I18085" s="237"/>
    </row>
    <row r="18086" spans="1:9" s="232" customFormat="1" ht="17" customHeight="1">
      <c r="A18086" s="234"/>
      <c r="B18086" s="233"/>
      <c r="C18086" s="238"/>
      <c r="E18086" s="545"/>
      <c r="F18086" s="546"/>
      <c r="G18086" s="234"/>
      <c r="H18086" s="238"/>
      <c r="I18086" s="237"/>
    </row>
    <row r="18087" spans="1:9" s="232" customFormat="1" ht="17" customHeight="1">
      <c r="A18087" s="234"/>
      <c r="B18087" s="233"/>
      <c r="C18087" s="238"/>
      <c r="E18087" s="545"/>
      <c r="F18087" s="546"/>
      <c r="G18087" s="234"/>
      <c r="H18087" s="238"/>
      <c r="I18087" s="237"/>
    </row>
    <row r="18088" spans="1:9" s="232" customFormat="1" ht="17" customHeight="1">
      <c r="A18088" s="234"/>
      <c r="B18088" s="233"/>
      <c r="C18088" s="238"/>
      <c r="E18088" s="545"/>
      <c r="F18088" s="546"/>
      <c r="G18088" s="234"/>
      <c r="H18088" s="238"/>
      <c r="I18088" s="237"/>
    </row>
    <row r="18089" spans="1:9" s="232" customFormat="1" ht="17" customHeight="1">
      <c r="A18089" s="234"/>
      <c r="B18089" s="233"/>
      <c r="C18089" s="238"/>
      <c r="E18089" s="545"/>
      <c r="F18089" s="546"/>
      <c r="G18089" s="234"/>
      <c r="H18089" s="238"/>
      <c r="I18089" s="237"/>
    </row>
    <row r="18090" spans="1:9" s="232" customFormat="1" ht="17" customHeight="1">
      <c r="A18090" s="234"/>
      <c r="B18090" s="233"/>
      <c r="C18090" s="238"/>
      <c r="E18090" s="545"/>
      <c r="F18090" s="546"/>
      <c r="G18090" s="234"/>
      <c r="H18090" s="238"/>
      <c r="I18090" s="237"/>
    </row>
    <row r="18091" spans="1:9" s="232" customFormat="1" ht="17" customHeight="1">
      <c r="A18091" s="234"/>
      <c r="B18091" s="233"/>
      <c r="C18091" s="238"/>
      <c r="E18091" s="545"/>
      <c r="F18091" s="546"/>
      <c r="G18091" s="234"/>
      <c r="H18091" s="238"/>
      <c r="I18091" s="237"/>
    </row>
    <row r="18092" spans="1:9" s="232" customFormat="1" ht="17" customHeight="1">
      <c r="A18092" s="234"/>
      <c r="B18092" s="233"/>
      <c r="C18092" s="238"/>
      <c r="E18092" s="545"/>
      <c r="F18092" s="546"/>
      <c r="G18092" s="234"/>
      <c r="H18092" s="238"/>
      <c r="I18092" s="237"/>
    </row>
    <row r="18093" spans="1:9" s="232" customFormat="1" ht="17" customHeight="1">
      <c r="A18093" s="234"/>
      <c r="B18093" s="233"/>
      <c r="C18093" s="238"/>
      <c r="E18093" s="545"/>
      <c r="F18093" s="546"/>
      <c r="G18093" s="234"/>
      <c r="H18093" s="238"/>
      <c r="I18093" s="237"/>
    </row>
    <row r="18094" spans="1:9" s="232" customFormat="1" ht="17" customHeight="1">
      <c r="A18094" s="234"/>
      <c r="B18094" s="233"/>
      <c r="C18094" s="238"/>
      <c r="E18094" s="545"/>
      <c r="F18094" s="546"/>
      <c r="G18094" s="234"/>
      <c r="H18094" s="238"/>
      <c r="I18094" s="237"/>
    </row>
    <row r="18095" spans="1:9" s="232" customFormat="1" ht="17" customHeight="1">
      <c r="A18095" s="234"/>
      <c r="B18095" s="233"/>
      <c r="C18095" s="238"/>
      <c r="E18095" s="545"/>
      <c r="F18095" s="546"/>
      <c r="G18095" s="234"/>
      <c r="H18095" s="238"/>
      <c r="I18095" s="237"/>
    </row>
    <row r="18096" spans="1:9" s="232" customFormat="1" ht="17" customHeight="1">
      <c r="A18096" s="234"/>
      <c r="B18096" s="233"/>
      <c r="C18096" s="238"/>
      <c r="E18096" s="545"/>
      <c r="F18096" s="546"/>
      <c r="G18096" s="234"/>
      <c r="H18096" s="238"/>
      <c r="I18096" s="237"/>
    </row>
    <row r="18097" spans="1:9" s="232" customFormat="1" ht="17" customHeight="1">
      <c r="A18097" s="234"/>
      <c r="B18097" s="233"/>
      <c r="C18097" s="238"/>
      <c r="E18097" s="545"/>
      <c r="F18097" s="546"/>
      <c r="G18097" s="234"/>
      <c r="H18097" s="238"/>
      <c r="I18097" s="237"/>
    </row>
    <row r="18098" spans="1:9" s="232" customFormat="1" ht="17" customHeight="1">
      <c r="A18098" s="234"/>
      <c r="B18098" s="233"/>
      <c r="C18098" s="238"/>
      <c r="E18098" s="545"/>
      <c r="F18098" s="546"/>
      <c r="G18098" s="234"/>
      <c r="H18098" s="238"/>
      <c r="I18098" s="237"/>
    </row>
    <row r="18099" spans="1:9" s="232" customFormat="1" ht="17" customHeight="1">
      <c r="A18099" s="234"/>
      <c r="B18099" s="233"/>
      <c r="C18099" s="238"/>
      <c r="E18099" s="545"/>
      <c r="F18099" s="546"/>
      <c r="G18099" s="234"/>
      <c r="H18099" s="238"/>
      <c r="I18099" s="237"/>
    </row>
    <row r="18100" spans="1:9" s="232" customFormat="1" ht="17" customHeight="1">
      <c r="A18100" s="234"/>
      <c r="B18100" s="233"/>
      <c r="C18100" s="238"/>
      <c r="E18100" s="545"/>
      <c r="F18100" s="546"/>
      <c r="G18100" s="234"/>
      <c r="H18100" s="238"/>
      <c r="I18100" s="237"/>
    </row>
    <row r="18101" spans="1:9" s="232" customFormat="1" ht="17" customHeight="1">
      <c r="A18101" s="234"/>
      <c r="B18101" s="233"/>
      <c r="C18101" s="238"/>
      <c r="E18101" s="545"/>
      <c r="F18101" s="546"/>
      <c r="G18101" s="234"/>
      <c r="H18101" s="238"/>
      <c r="I18101" s="237"/>
    </row>
    <row r="18102" spans="1:9" s="232" customFormat="1" ht="17" customHeight="1">
      <c r="A18102" s="234"/>
      <c r="B18102" s="233"/>
      <c r="C18102" s="238"/>
      <c r="E18102" s="545"/>
      <c r="F18102" s="546"/>
      <c r="G18102" s="234"/>
      <c r="H18102" s="238"/>
      <c r="I18102" s="237"/>
    </row>
    <row r="18103" spans="1:9" s="232" customFormat="1" ht="17" customHeight="1">
      <c r="A18103" s="234"/>
      <c r="B18103" s="233"/>
      <c r="C18103" s="238"/>
      <c r="E18103" s="545"/>
      <c r="F18103" s="546"/>
      <c r="G18103" s="234"/>
      <c r="H18103" s="238"/>
      <c r="I18103" s="237"/>
    </row>
    <row r="18104" spans="1:9" s="232" customFormat="1" ht="17" customHeight="1">
      <c r="A18104" s="234"/>
      <c r="B18104" s="233"/>
      <c r="C18104" s="238"/>
      <c r="E18104" s="545"/>
      <c r="F18104" s="546"/>
      <c r="G18104" s="234"/>
      <c r="H18104" s="238"/>
      <c r="I18104" s="237"/>
    </row>
    <row r="18105" spans="1:9" s="232" customFormat="1" ht="17" customHeight="1">
      <c r="A18105" s="234"/>
      <c r="B18105" s="233"/>
      <c r="C18105" s="238"/>
      <c r="E18105" s="545"/>
      <c r="F18105" s="546"/>
      <c r="G18105" s="234"/>
      <c r="H18105" s="238"/>
      <c r="I18105" s="237"/>
    </row>
    <row r="18106" spans="1:9" s="232" customFormat="1" ht="17" customHeight="1">
      <c r="A18106" s="234"/>
      <c r="B18106" s="233"/>
      <c r="C18106" s="238"/>
      <c r="E18106" s="545"/>
      <c r="F18106" s="546"/>
      <c r="G18106" s="234"/>
      <c r="H18106" s="238"/>
      <c r="I18106" s="237"/>
    </row>
    <row r="18107" spans="1:9" s="232" customFormat="1" ht="17" customHeight="1">
      <c r="A18107" s="234"/>
      <c r="B18107" s="233"/>
      <c r="C18107" s="238"/>
      <c r="E18107" s="545"/>
      <c r="F18107" s="546"/>
      <c r="G18107" s="234"/>
      <c r="H18107" s="238"/>
      <c r="I18107" s="237"/>
    </row>
    <row r="18108" spans="1:9" s="232" customFormat="1" ht="17" customHeight="1">
      <c r="A18108" s="234"/>
      <c r="B18108" s="233"/>
      <c r="C18108" s="238"/>
      <c r="E18108" s="545"/>
      <c r="F18108" s="546"/>
      <c r="G18108" s="234"/>
      <c r="H18108" s="238"/>
      <c r="I18108" s="237"/>
    </row>
    <row r="18109" spans="1:9" s="232" customFormat="1" ht="17" customHeight="1">
      <c r="A18109" s="234"/>
      <c r="B18109" s="233"/>
      <c r="C18109" s="238"/>
      <c r="E18109" s="545"/>
      <c r="F18109" s="546"/>
      <c r="G18109" s="234"/>
      <c r="H18109" s="238"/>
      <c r="I18109" s="237"/>
    </row>
    <row r="18110" spans="1:9" s="232" customFormat="1" ht="17" customHeight="1">
      <c r="A18110" s="234"/>
      <c r="B18110" s="233"/>
      <c r="C18110" s="238"/>
      <c r="E18110" s="545"/>
      <c r="F18110" s="546"/>
      <c r="G18110" s="234"/>
      <c r="H18110" s="238"/>
      <c r="I18110" s="237"/>
    </row>
    <row r="18111" spans="1:9" s="232" customFormat="1" ht="17" customHeight="1">
      <c r="A18111" s="234"/>
      <c r="B18111" s="233"/>
      <c r="C18111" s="238"/>
      <c r="E18111" s="545"/>
      <c r="F18111" s="546"/>
      <c r="G18111" s="234"/>
      <c r="H18111" s="238"/>
      <c r="I18111" s="237"/>
    </row>
    <row r="18112" spans="1:9" s="232" customFormat="1" ht="17" customHeight="1">
      <c r="A18112" s="234"/>
      <c r="B18112" s="233"/>
      <c r="C18112" s="238"/>
      <c r="E18112" s="545"/>
      <c r="F18112" s="546"/>
      <c r="G18112" s="234"/>
      <c r="H18112" s="238"/>
      <c r="I18112" s="237"/>
    </row>
    <row r="18113" spans="1:9" s="232" customFormat="1" ht="17" customHeight="1">
      <c r="A18113" s="234"/>
      <c r="B18113" s="233"/>
      <c r="C18113" s="238"/>
      <c r="E18113" s="545"/>
      <c r="F18113" s="546"/>
      <c r="G18113" s="234"/>
      <c r="H18113" s="238"/>
      <c r="I18113" s="237"/>
    </row>
    <row r="18114" spans="1:9" s="232" customFormat="1" ht="17" customHeight="1">
      <c r="A18114" s="234"/>
      <c r="B18114" s="233"/>
      <c r="C18114" s="238"/>
      <c r="E18114" s="545"/>
      <c r="F18114" s="546"/>
      <c r="G18114" s="234"/>
      <c r="H18114" s="238"/>
      <c r="I18114" s="237"/>
    </row>
    <row r="18115" spans="1:9" s="232" customFormat="1" ht="17" customHeight="1">
      <c r="A18115" s="234"/>
      <c r="B18115" s="233"/>
      <c r="C18115" s="238"/>
      <c r="E18115" s="545"/>
      <c r="F18115" s="546"/>
      <c r="G18115" s="234"/>
      <c r="H18115" s="238"/>
      <c r="I18115" s="237"/>
    </row>
    <row r="18116" spans="1:9" s="232" customFormat="1" ht="17" customHeight="1">
      <c r="A18116" s="234"/>
      <c r="B18116" s="233"/>
      <c r="C18116" s="238"/>
      <c r="E18116" s="545"/>
      <c r="F18116" s="546"/>
      <c r="G18116" s="234"/>
      <c r="H18116" s="238"/>
      <c r="I18116" s="237"/>
    </row>
    <row r="18117" spans="1:9" s="232" customFormat="1" ht="17" customHeight="1">
      <c r="A18117" s="234"/>
      <c r="B18117" s="233"/>
      <c r="C18117" s="238"/>
      <c r="E18117" s="545"/>
      <c r="F18117" s="546"/>
      <c r="G18117" s="234"/>
      <c r="H18117" s="238"/>
      <c r="I18117" s="237"/>
    </row>
    <row r="18118" spans="1:9" s="232" customFormat="1" ht="17" customHeight="1">
      <c r="A18118" s="234"/>
      <c r="B18118" s="233"/>
      <c r="C18118" s="238"/>
      <c r="E18118" s="545"/>
      <c r="F18118" s="546"/>
      <c r="G18118" s="234"/>
      <c r="H18118" s="238"/>
      <c r="I18118" s="237"/>
    </row>
    <row r="18119" spans="1:9" s="232" customFormat="1" ht="17" customHeight="1">
      <c r="A18119" s="234"/>
      <c r="B18119" s="233"/>
      <c r="C18119" s="238"/>
      <c r="E18119" s="545"/>
      <c r="F18119" s="546"/>
      <c r="G18119" s="234"/>
      <c r="H18119" s="238"/>
      <c r="I18119" s="237"/>
    </row>
    <row r="18120" spans="1:9" s="232" customFormat="1" ht="17" customHeight="1">
      <c r="A18120" s="234"/>
      <c r="B18120" s="233"/>
      <c r="C18120" s="238"/>
      <c r="E18120" s="545"/>
      <c r="F18120" s="546"/>
      <c r="G18120" s="234"/>
      <c r="H18120" s="238"/>
      <c r="I18120" s="237"/>
    </row>
    <row r="18121" spans="1:9" s="232" customFormat="1" ht="17" customHeight="1">
      <c r="A18121" s="234"/>
      <c r="B18121" s="233"/>
      <c r="C18121" s="238"/>
      <c r="E18121" s="545"/>
      <c r="F18121" s="546"/>
      <c r="G18121" s="234"/>
      <c r="H18121" s="238"/>
      <c r="I18121" s="237"/>
    </row>
    <row r="18122" spans="1:9" s="232" customFormat="1" ht="17" customHeight="1">
      <c r="A18122" s="234"/>
      <c r="B18122" s="233"/>
      <c r="C18122" s="238"/>
      <c r="E18122" s="545"/>
      <c r="F18122" s="546"/>
      <c r="G18122" s="234"/>
      <c r="H18122" s="238"/>
      <c r="I18122" s="237"/>
    </row>
    <row r="18123" spans="1:9" s="232" customFormat="1" ht="17" customHeight="1">
      <c r="A18123" s="234"/>
      <c r="B18123" s="233"/>
      <c r="C18123" s="238"/>
      <c r="E18123" s="545"/>
      <c r="F18123" s="546"/>
      <c r="G18123" s="234"/>
      <c r="H18123" s="238"/>
      <c r="I18123" s="237"/>
    </row>
    <row r="18124" spans="1:9" s="232" customFormat="1" ht="17" customHeight="1">
      <c r="A18124" s="234"/>
      <c r="B18124" s="233"/>
      <c r="C18124" s="238"/>
      <c r="E18124" s="545"/>
      <c r="F18124" s="546"/>
      <c r="G18124" s="234"/>
      <c r="H18124" s="238"/>
      <c r="I18124" s="237"/>
    </row>
    <row r="18125" spans="1:9" s="232" customFormat="1" ht="17" customHeight="1">
      <c r="A18125" s="234"/>
      <c r="B18125" s="233"/>
      <c r="C18125" s="238"/>
      <c r="E18125" s="545"/>
      <c r="F18125" s="546"/>
      <c r="G18125" s="234"/>
      <c r="H18125" s="238"/>
      <c r="I18125" s="237"/>
    </row>
    <row r="18126" spans="1:9" s="232" customFormat="1" ht="17" customHeight="1">
      <c r="A18126" s="234"/>
      <c r="B18126" s="233"/>
      <c r="C18126" s="238"/>
      <c r="E18126" s="545"/>
      <c r="F18126" s="546"/>
      <c r="G18126" s="234"/>
      <c r="H18126" s="238"/>
      <c r="I18126" s="237"/>
    </row>
    <row r="18127" spans="1:9" s="232" customFormat="1" ht="17" customHeight="1">
      <c r="A18127" s="234"/>
      <c r="B18127" s="233"/>
      <c r="C18127" s="238"/>
      <c r="E18127" s="545"/>
      <c r="F18127" s="546"/>
      <c r="G18127" s="234"/>
      <c r="H18127" s="238"/>
      <c r="I18127" s="237"/>
    </row>
    <row r="18128" spans="1:9" s="232" customFormat="1" ht="17" customHeight="1">
      <c r="A18128" s="234"/>
      <c r="B18128" s="233"/>
      <c r="C18128" s="238"/>
      <c r="E18128" s="545"/>
      <c r="F18128" s="546"/>
      <c r="G18128" s="234"/>
      <c r="H18128" s="238"/>
      <c r="I18128" s="237"/>
    </row>
    <row r="18129" spans="1:9" s="232" customFormat="1" ht="17" customHeight="1">
      <c r="A18129" s="234"/>
      <c r="B18129" s="233"/>
      <c r="C18129" s="238"/>
      <c r="E18129" s="545"/>
      <c r="F18129" s="546"/>
      <c r="G18129" s="234"/>
      <c r="H18129" s="238"/>
      <c r="I18129" s="237"/>
    </row>
    <row r="18130" spans="1:9" s="232" customFormat="1" ht="17" customHeight="1">
      <c r="A18130" s="234"/>
      <c r="B18130" s="233"/>
      <c r="C18130" s="238"/>
      <c r="E18130" s="545"/>
      <c r="F18130" s="546"/>
      <c r="G18130" s="234"/>
      <c r="H18130" s="238"/>
      <c r="I18130" s="237"/>
    </row>
    <row r="18131" spans="1:9" s="232" customFormat="1" ht="17" customHeight="1">
      <c r="A18131" s="234"/>
      <c r="B18131" s="233"/>
      <c r="C18131" s="238"/>
      <c r="E18131" s="545"/>
      <c r="F18131" s="546"/>
      <c r="G18131" s="234"/>
      <c r="H18131" s="238"/>
      <c r="I18131" s="237"/>
    </row>
    <row r="18132" spans="1:9" s="232" customFormat="1" ht="17" customHeight="1">
      <c r="A18132" s="234"/>
      <c r="B18132" s="233"/>
      <c r="C18132" s="238"/>
      <c r="E18132" s="545"/>
      <c r="F18132" s="546"/>
      <c r="G18132" s="234"/>
      <c r="H18132" s="238"/>
      <c r="I18132" s="237"/>
    </row>
    <row r="18133" spans="1:9" s="232" customFormat="1" ht="17" customHeight="1">
      <c r="A18133" s="234"/>
      <c r="B18133" s="233"/>
      <c r="C18133" s="238"/>
      <c r="E18133" s="545"/>
      <c r="F18133" s="546"/>
      <c r="G18133" s="234"/>
      <c r="H18133" s="238"/>
      <c r="I18133" s="237"/>
    </row>
    <row r="18134" spans="1:9" s="232" customFormat="1" ht="17" customHeight="1">
      <c r="A18134" s="234"/>
      <c r="B18134" s="233"/>
      <c r="C18134" s="238"/>
      <c r="E18134" s="545"/>
      <c r="F18134" s="546"/>
      <c r="G18134" s="234"/>
      <c r="H18134" s="238"/>
      <c r="I18134" s="237"/>
    </row>
    <row r="18135" spans="1:9" s="232" customFormat="1" ht="17" customHeight="1">
      <c r="A18135" s="234"/>
      <c r="B18135" s="233"/>
      <c r="C18135" s="238"/>
      <c r="E18135" s="545"/>
      <c r="F18135" s="546"/>
      <c r="G18135" s="234"/>
      <c r="H18135" s="238"/>
      <c r="I18135" s="237"/>
    </row>
    <row r="18136" spans="1:9" s="232" customFormat="1" ht="17" customHeight="1">
      <c r="A18136" s="234"/>
      <c r="B18136" s="233"/>
      <c r="C18136" s="238"/>
      <c r="E18136" s="545"/>
      <c r="F18136" s="546"/>
      <c r="G18136" s="234"/>
      <c r="H18136" s="238"/>
      <c r="I18136" s="237"/>
    </row>
    <row r="18137" spans="1:9" s="232" customFormat="1" ht="17" customHeight="1">
      <c r="A18137" s="234"/>
      <c r="B18137" s="233"/>
      <c r="C18137" s="238"/>
      <c r="E18137" s="545"/>
      <c r="F18137" s="546"/>
      <c r="G18137" s="234"/>
      <c r="H18137" s="238"/>
      <c r="I18137" s="237"/>
    </row>
    <row r="18138" spans="1:9" s="232" customFormat="1" ht="17" customHeight="1">
      <c r="A18138" s="234"/>
      <c r="B18138" s="233"/>
      <c r="C18138" s="238"/>
      <c r="E18138" s="545"/>
      <c r="F18138" s="546"/>
      <c r="G18138" s="234"/>
      <c r="H18138" s="238"/>
      <c r="I18138" s="237"/>
    </row>
    <row r="18139" spans="1:9" s="232" customFormat="1" ht="17" customHeight="1">
      <c r="A18139" s="234"/>
      <c r="B18139" s="233"/>
      <c r="C18139" s="238"/>
      <c r="E18139" s="545"/>
      <c r="F18139" s="546"/>
      <c r="G18139" s="234"/>
      <c r="H18139" s="238"/>
      <c r="I18139" s="237"/>
    </row>
    <row r="18140" spans="1:9" s="232" customFormat="1" ht="17" customHeight="1">
      <c r="A18140" s="234"/>
      <c r="B18140" s="233"/>
      <c r="C18140" s="238"/>
      <c r="E18140" s="545"/>
      <c r="F18140" s="546"/>
      <c r="G18140" s="234"/>
      <c r="H18140" s="238"/>
      <c r="I18140" s="237"/>
    </row>
    <row r="18141" spans="1:9" s="232" customFormat="1" ht="17" customHeight="1">
      <c r="A18141" s="234"/>
      <c r="B18141" s="233"/>
      <c r="C18141" s="238"/>
      <c r="E18141" s="545"/>
      <c r="F18141" s="546"/>
      <c r="G18141" s="234"/>
      <c r="H18141" s="238"/>
      <c r="I18141" s="237"/>
    </row>
    <row r="18142" spans="1:9" s="232" customFormat="1" ht="17" customHeight="1">
      <c r="A18142" s="234"/>
      <c r="B18142" s="233"/>
      <c r="C18142" s="238"/>
      <c r="E18142" s="545"/>
      <c r="F18142" s="546"/>
      <c r="G18142" s="234"/>
      <c r="H18142" s="238"/>
      <c r="I18142" s="237"/>
    </row>
    <row r="18143" spans="1:9" s="232" customFormat="1" ht="17" customHeight="1">
      <c r="A18143" s="234"/>
      <c r="B18143" s="233"/>
      <c r="C18143" s="238"/>
      <c r="E18143" s="545"/>
      <c r="F18143" s="546"/>
      <c r="G18143" s="234"/>
      <c r="H18143" s="238"/>
      <c r="I18143" s="237"/>
    </row>
    <row r="18144" spans="1:9" s="232" customFormat="1" ht="17" customHeight="1">
      <c r="A18144" s="234"/>
      <c r="B18144" s="233"/>
      <c r="C18144" s="238"/>
      <c r="E18144" s="545"/>
      <c r="F18144" s="546"/>
      <c r="G18144" s="234"/>
      <c r="H18144" s="238"/>
      <c r="I18144" s="237"/>
    </row>
    <row r="18145" spans="1:9" s="232" customFormat="1" ht="17" customHeight="1">
      <c r="A18145" s="234"/>
      <c r="B18145" s="233"/>
      <c r="C18145" s="238"/>
      <c r="E18145" s="545"/>
      <c r="F18145" s="546"/>
      <c r="G18145" s="234"/>
      <c r="H18145" s="238"/>
      <c r="I18145" s="237"/>
    </row>
    <row r="18146" spans="1:9" s="232" customFormat="1" ht="17" customHeight="1">
      <c r="A18146" s="234"/>
      <c r="B18146" s="233"/>
      <c r="C18146" s="238"/>
      <c r="E18146" s="545"/>
      <c r="F18146" s="546"/>
      <c r="G18146" s="234"/>
      <c r="H18146" s="238"/>
      <c r="I18146" s="237"/>
    </row>
    <row r="18147" spans="1:9" s="232" customFormat="1" ht="17" customHeight="1">
      <c r="A18147" s="234"/>
      <c r="B18147" s="233"/>
      <c r="C18147" s="238"/>
      <c r="E18147" s="545"/>
      <c r="F18147" s="546"/>
      <c r="G18147" s="234"/>
      <c r="H18147" s="238"/>
      <c r="I18147" s="237"/>
    </row>
    <row r="18148" spans="1:9" s="232" customFormat="1" ht="17" customHeight="1">
      <c r="A18148" s="234"/>
      <c r="B18148" s="233"/>
      <c r="C18148" s="238"/>
      <c r="E18148" s="545"/>
      <c r="F18148" s="546"/>
      <c r="G18148" s="234"/>
      <c r="H18148" s="238"/>
      <c r="I18148" s="237"/>
    </row>
    <row r="18149" spans="1:9" s="232" customFormat="1" ht="17" customHeight="1">
      <c r="A18149" s="234"/>
      <c r="B18149" s="233"/>
      <c r="C18149" s="238"/>
      <c r="E18149" s="545"/>
      <c r="F18149" s="546"/>
      <c r="G18149" s="234"/>
      <c r="H18149" s="238"/>
      <c r="I18149" s="237"/>
    </row>
    <row r="18150" spans="1:9" s="232" customFormat="1" ht="17" customHeight="1">
      <c r="A18150" s="234"/>
      <c r="B18150" s="233"/>
      <c r="C18150" s="238"/>
      <c r="E18150" s="545"/>
      <c r="F18150" s="546"/>
      <c r="G18150" s="234"/>
      <c r="H18150" s="238"/>
      <c r="I18150" s="237"/>
    </row>
    <row r="18151" spans="1:9" s="232" customFormat="1" ht="17" customHeight="1">
      <c r="A18151" s="234"/>
      <c r="B18151" s="233"/>
      <c r="C18151" s="238"/>
      <c r="E18151" s="545"/>
      <c r="F18151" s="546"/>
      <c r="G18151" s="234"/>
      <c r="H18151" s="238"/>
      <c r="I18151" s="237"/>
    </row>
    <row r="18152" spans="1:9" s="232" customFormat="1" ht="17" customHeight="1">
      <c r="A18152" s="234"/>
      <c r="B18152" s="233"/>
      <c r="C18152" s="238"/>
      <c r="E18152" s="545"/>
      <c r="F18152" s="546"/>
      <c r="G18152" s="234"/>
      <c r="H18152" s="238"/>
      <c r="I18152" s="237"/>
    </row>
    <row r="18153" spans="1:9" s="232" customFormat="1" ht="17" customHeight="1">
      <c r="A18153" s="234"/>
      <c r="B18153" s="233"/>
      <c r="C18153" s="238"/>
      <c r="E18153" s="545"/>
      <c r="F18153" s="546"/>
      <c r="G18153" s="234"/>
      <c r="H18153" s="238"/>
      <c r="I18153" s="237"/>
    </row>
    <row r="18154" spans="1:9" s="232" customFormat="1" ht="17" customHeight="1">
      <c r="A18154" s="234"/>
      <c r="B18154" s="233"/>
      <c r="C18154" s="238"/>
      <c r="E18154" s="545"/>
      <c r="F18154" s="546"/>
      <c r="G18154" s="234"/>
      <c r="H18154" s="238"/>
      <c r="I18154" s="237"/>
    </row>
    <row r="18155" spans="1:9" s="232" customFormat="1" ht="17" customHeight="1">
      <c r="A18155" s="234"/>
      <c r="B18155" s="233"/>
      <c r="C18155" s="238"/>
      <c r="E18155" s="545"/>
      <c r="F18155" s="546"/>
      <c r="G18155" s="234"/>
      <c r="H18155" s="238"/>
      <c r="I18155" s="237"/>
    </row>
    <row r="18156" spans="1:9" s="232" customFormat="1" ht="17" customHeight="1">
      <c r="A18156" s="234"/>
      <c r="B18156" s="233"/>
      <c r="C18156" s="238"/>
      <c r="E18156" s="545"/>
      <c r="F18156" s="546"/>
      <c r="G18156" s="234"/>
      <c r="H18156" s="238"/>
      <c r="I18156" s="237"/>
    </row>
    <row r="18157" spans="1:9" s="232" customFormat="1" ht="17" customHeight="1">
      <c r="A18157" s="234"/>
      <c r="B18157" s="233"/>
      <c r="C18157" s="238"/>
      <c r="E18157" s="545"/>
      <c r="F18157" s="546"/>
      <c r="G18157" s="234"/>
      <c r="H18157" s="238"/>
      <c r="I18157" s="237"/>
    </row>
    <row r="18158" spans="1:9" s="232" customFormat="1" ht="17" customHeight="1">
      <c r="A18158" s="234"/>
      <c r="B18158" s="233"/>
      <c r="C18158" s="238"/>
      <c r="E18158" s="545"/>
      <c r="F18158" s="546"/>
      <c r="G18158" s="234"/>
      <c r="H18158" s="238"/>
      <c r="I18158" s="237"/>
    </row>
    <row r="18159" spans="1:9" s="232" customFormat="1" ht="17" customHeight="1">
      <c r="A18159" s="234"/>
      <c r="B18159" s="233"/>
      <c r="C18159" s="238"/>
      <c r="E18159" s="545"/>
      <c r="F18159" s="546"/>
      <c r="G18159" s="234"/>
      <c r="H18159" s="238"/>
      <c r="I18159" s="237"/>
    </row>
    <row r="18160" spans="1:9" s="232" customFormat="1" ht="17" customHeight="1">
      <c r="A18160" s="234"/>
      <c r="B18160" s="233"/>
      <c r="C18160" s="238"/>
      <c r="E18160" s="545"/>
      <c r="F18160" s="546"/>
      <c r="G18160" s="234"/>
      <c r="H18160" s="238"/>
      <c r="I18160" s="237"/>
    </row>
    <row r="18161" spans="1:9" s="232" customFormat="1" ht="17" customHeight="1">
      <c r="A18161" s="234"/>
      <c r="B18161" s="233"/>
      <c r="C18161" s="238"/>
      <c r="E18161" s="545"/>
      <c r="F18161" s="546"/>
      <c r="G18161" s="234"/>
      <c r="H18161" s="238"/>
      <c r="I18161" s="237"/>
    </row>
    <row r="18162" spans="1:9" s="232" customFormat="1" ht="17" customHeight="1">
      <c r="A18162" s="234"/>
      <c r="B18162" s="233"/>
      <c r="C18162" s="238"/>
      <c r="E18162" s="545"/>
      <c r="F18162" s="546"/>
      <c r="G18162" s="234"/>
      <c r="H18162" s="238"/>
      <c r="I18162" s="237"/>
    </row>
    <row r="18163" spans="1:9" s="232" customFormat="1" ht="17" customHeight="1">
      <c r="A18163" s="234"/>
      <c r="B18163" s="233"/>
      <c r="C18163" s="238"/>
      <c r="E18163" s="545"/>
      <c r="F18163" s="546"/>
      <c r="G18163" s="234"/>
      <c r="H18163" s="238"/>
      <c r="I18163" s="237"/>
    </row>
    <row r="18164" spans="1:9" s="232" customFormat="1" ht="17" customHeight="1">
      <c r="A18164" s="234"/>
      <c r="B18164" s="233"/>
      <c r="C18164" s="238"/>
      <c r="E18164" s="545"/>
      <c r="F18164" s="546"/>
      <c r="G18164" s="234"/>
      <c r="H18164" s="238"/>
      <c r="I18164" s="237"/>
    </row>
    <row r="18165" spans="1:9" s="232" customFormat="1" ht="17" customHeight="1">
      <c r="A18165" s="234"/>
      <c r="B18165" s="233"/>
      <c r="C18165" s="238"/>
      <c r="E18165" s="545"/>
      <c r="F18165" s="546"/>
      <c r="G18165" s="234"/>
      <c r="H18165" s="238"/>
      <c r="I18165" s="237"/>
    </row>
    <row r="18166" spans="1:9" s="232" customFormat="1" ht="17" customHeight="1">
      <c r="A18166" s="234"/>
      <c r="B18166" s="233"/>
      <c r="C18166" s="238"/>
      <c r="E18166" s="545"/>
      <c r="F18166" s="546"/>
      <c r="G18166" s="234"/>
      <c r="H18166" s="238"/>
      <c r="I18166" s="237"/>
    </row>
    <row r="18167" spans="1:9" s="232" customFormat="1" ht="17" customHeight="1">
      <c r="A18167" s="234"/>
      <c r="B18167" s="233"/>
      <c r="C18167" s="238"/>
      <c r="E18167" s="545"/>
      <c r="F18167" s="546"/>
      <c r="G18167" s="234"/>
      <c r="H18167" s="238"/>
      <c r="I18167" s="237"/>
    </row>
    <row r="18168" spans="1:9" s="232" customFormat="1" ht="17" customHeight="1">
      <c r="A18168" s="234"/>
      <c r="B18168" s="233"/>
      <c r="C18168" s="238"/>
      <c r="E18168" s="545"/>
      <c r="F18168" s="546"/>
      <c r="G18168" s="234"/>
      <c r="H18168" s="238"/>
      <c r="I18168" s="237"/>
    </row>
    <row r="18169" spans="1:9" s="232" customFormat="1" ht="17" customHeight="1">
      <c r="A18169" s="234"/>
      <c r="B18169" s="233"/>
      <c r="C18169" s="238"/>
      <c r="E18169" s="545"/>
      <c r="F18169" s="546"/>
      <c r="G18169" s="234"/>
      <c r="H18169" s="238"/>
      <c r="I18169" s="237"/>
    </row>
    <row r="18170" spans="1:9" s="232" customFormat="1" ht="17" customHeight="1">
      <c r="A18170" s="234"/>
      <c r="B18170" s="233"/>
      <c r="C18170" s="238"/>
      <c r="E18170" s="545"/>
      <c r="F18170" s="546"/>
      <c r="G18170" s="234"/>
      <c r="H18170" s="238"/>
      <c r="I18170" s="237"/>
    </row>
    <row r="18171" spans="1:9" s="232" customFormat="1" ht="17" customHeight="1">
      <c r="A18171" s="234"/>
      <c r="B18171" s="233"/>
      <c r="C18171" s="238"/>
      <c r="E18171" s="545"/>
      <c r="F18171" s="546"/>
      <c r="G18171" s="234"/>
      <c r="H18171" s="238"/>
      <c r="I18171" s="237"/>
    </row>
    <row r="18172" spans="1:9" s="232" customFormat="1" ht="17" customHeight="1">
      <c r="A18172" s="234"/>
      <c r="B18172" s="233"/>
      <c r="C18172" s="238"/>
      <c r="E18172" s="545"/>
      <c r="F18172" s="546"/>
      <c r="G18172" s="234"/>
      <c r="H18172" s="238"/>
      <c r="I18172" s="237"/>
    </row>
    <row r="18173" spans="1:9" s="232" customFormat="1" ht="17" customHeight="1">
      <c r="A18173" s="234"/>
      <c r="B18173" s="233"/>
      <c r="C18173" s="238"/>
      <c r="E18173" s="545"/>
      <c r="F18173" s="546"/>
      <c r="G18173" s="234"/>
      <c r="H18173" s="238"/>
      <c r="I18173" s="237"/>
    </row>
    <row r="18174" spans="1:9" s="232" customFormat="1" ht="17" customHeight="1">
      <c r="A18174" s="234"/>
      <c r="B18174" s="233"/>
      <c r="C18174" s="238"/>
      <c r="E18174" s="545"/>
      <c r="F18174" s="546"/>
      <c r="G18174" s="234"/>
      <c r="H18174" s="238"/>
      <c r="I18174" s="237"/>
    </row>
    <row r="18175" spans="1:9" s="232" customFormat="1" ht="17" customHeight="1">
      <c r="A18175" s="234"/>
      <c r="B18175" s="233"/>
      <c r="C18175" s="238"/>
      <c r="E18175" s="545"/>
      <c r="F18175" s="546"/>
      <c r="G18175" s="234"/>
      <c r="H18175" s="238"/>
      <c r="I18175" s="237"/>
    </row>
    <row r="18176" spans="1:9" s="232" customFormat="1" ht="17" customHeight="1">
      <c r="A18176" s="234"/>
      <c r="B18176" s="233"/>
      <c r="C18176" s="238"/>
      <c r="E18176" s="545"/>
      <c r="F18176" s="546"/>
      <c r="G18176" s="234"/>
      <c r="H18176" s="238"/>
      <c r="I18176" s="237"/>
    </row>
    <row r="18177" spans="1:9" s="232" customFormat="1" ht="17" customHeight="1">
      <c r="A18177" s="234"/>
      <c r="B18177" s="233"/>
      <c r="C18177" s="238"/>
      <c r="E18177" s="545"/>
      <c r="F18177" s="546"/>
      <c r="G18177" s="234"/>
      <c r="H18177" s="238"/>
      <c r="I18177" s="237"/>
    </row>
    <row r="18178" spans="1:9" s="232" customFormat="1" ht="17" customHeight="1">
      <c r="A18178" s="234"/>
      <c r="B18178" s="233"/>
      <c r="C18178" s="238"/>
      <c r="E18178" s="545"/>
      <c r="F18178" s="546"/>
      <c r="G18178" s="234"/>
      <c r="H18178" s="238"/>
      <c r="I18178" s="237"/>
    </row>
    <row r="18179" spans="1:9" s="232" customFormat="1" ht="17" customHeight="1">
      <c r="A18179" s="234"/>
      <c r="B18179" s="233"/>
      <c r="C18179" s="238"/>
      <c r="E18179" s="545"/>
      <c r="F18179" s="546"/>
      <c r="G18179" s="234"/>
      <c r="H18179" s="238"/>
      <c r="I18179" s="237"/>
    </row>
    <row r="18180" spans="1:9" s="232" customFormat="1" ht="17" customHeight="1">
      <c r="A18180" s="234"/>
      <c r="B18180" s="233"/>
      <c r="C18180" s="238"/>
      <c r="E18180" s="545"/>
      <c r="F18180" s="546"/>
      <c r="G18180" s="234"/>
      <c r="H18180" s="238"/>
      <c r="I18180" s="237"/>
    </row>
    <row r="18181" spans="1:9" s="232" customFormat="1" ht="17" customHeight="1">
      <c r="A18181" s="234"/>
      <c r="B18181" s="233"/>
      <c r="C18181" s="238"/>
      <c r="E18181" s="545"/>
      <c r="F18181" s="546"/>
      <c r="G18181" s="234"/>
      <c r="H18181" s="238"/>
      <c r="I18181" s="237"/>
    </row>
    <row r="18182" spans="1:9" s="232" customFormat="1" ht="17" customHeight="1">
      <c r="A18182" s="234"/>
      <c r="B18182" s="233"/>
      <c r="C18182" s="238"/>
      <c r="E18182" s="545"/>
      <c r="F18182" s="546"/>
      <c r="G18182" s="234"/>
      <c r="H18182" s="238"/>
      <c r="I18182" s="237"/>
    </row>
    <row r="18183" spans="1:9" s="232" customFormat="1" ht="17" customHeight="1">
      <c r="A18183" s="234"/>
      <c r="B18183" s="233"/>
      <c r="C18183" s="238"/>
      <c r="E18183" s="545"/>
      <c r="F18183" s="546"/>
      <c r="G18183" s="234"/>
      <c r="H18183" s="238"/>
      <c r="I18183" s="237"/>
    </row>
    <row r="18184" spans="1:9" s="232" customFormat="1" ht="17" customHeight="1">
      <c r="A18184" s="234"/>
      <c r="B18184" s="233"/>
      <c r="C18184" s="238"/>
      <c r="E18184" s="545"/>
      <c r="F18184" s="546"/>
      <c r="G18184" s="234"/>
      <c r="H18184" s="238"/>
      <c r="I18184" s="237"/>
    </row>
    <row r="18185" spans="1:9" s="232" customFormat="1" ht="17" customHeight="1">
      <c r="A18185" s="234"/>
      <c r="B18185" s="233"/>
      <c r="C18185" s="238"/>
      <c r="E18185" s="545"/>
      <c r="F18185" s="546"/>
      <c r="G18185" s="234"/>
      <c r="H18185" s="238"/>
      <c r="I18185" s="237"/>
    </row>
    <row r="18186" spans="1:9" s="232" customFormat="1" ht="17" customHeight="1">
      <c r="A18186" s="234"/>
      <c r="B18186" s="233"/>
      <c r="C18186" s="238"/>
      <c r="E18186" s="545"/>
      <c r="F18186" s="546"/>
      <c r="G18186" s="234"/>
      <c r="H18186" s="238"/>
      <c r="I18186" s="237"/>
    </row>
    <row r="18187" spans="1:9" s="232" customFormat="1" ht="17" customHeight="1">
      <c r="A18187" s="234"/>
      <c r="B18187" s="233"/>
      <c r="C18187" s="238"/>
      <c r="E18187" s="545"/>
      <c r="F18187" s="546"/>
      <c r="G18187" s="234"/>
      <c r="H18187" s="238"/>
      <c r="I18187" s="237"/>
    </row>
    <row r="18188" spans="1:9" s="232" customFormat="1" ht="17" customHeight="1">
      <c r="A18188" s="234"/>
      <c r="B18188" s="233"/>
      <c r="C18188" s="238"/>
      <c r="E18188" s="545"/>
      <c r="F18188" s="546"/>
      <c r="G18188" s="234"/>
      <c r="H18188" s="238"/>
      <c r="I18188" s="237"/>
    </row>
    <row r="18189" spans="1:9" s="232" customFormat="1" ht="17" customHeight="1">
      <c r="A18189" s="234"/>
      <c r="B18189" s="233"/>
      <c r="C18189" s="238"/>
      <c r="E18189" s="545"/>
      <c r="F18189" s="546"/>
      <c r="G18189" s="234"/>
      <c r="H18189" s="238"/>
      <c r="I18189" s="237"/>
    </row>
    <row r="18190" spans="1:9" s="232" customFormat="1" ht="17" customHeight="1">
      <c r="A18190" s="234"/>
      <c r="B18190" s="233"/>
      <c r="C18190" s="238"/>
      <c r="E18190" s="545"/>
      <c r="F18190" s="546"/>
      <c r="G18190" s="234"/>
      <c r="H18190" s="238"/>
      <c r="I18190" s="237"/>
    </row>
    <row r="18191" spans="1:9" s="232" customFormat="1" ht="17" customHeight="1">
      <c r="A18191" s="234"/>
      <c r="B18191" s="233"/>
      <c r="C18191" s="238"/>
      <c r="E18191" s="545"/>
      <c r="F18191" s="546"/>
      <c r="G18191" s="234"/>
      <c r="H18191" s="238"/>
      <c r="I18191" s="237"/>
    </row>
    <row r="18192" spans="1:9" s="232" customFormat="1" ht="17" customHeight="1">
      <c r="A18192" s="234"/>
      <c r="B18192" s="233"/>
      <c r="C18192" s="238"/>
      <c r="E18192" s="545"/>
      <c r="F18192" s="546"/>
      <c r="G18192" s="234"/>
      <c r="H18192" s="238"/>
      <c r="I18192" s="237"/>
    </row>
    <row r="18193" spans="1:9" s="232" customFormat="1" ht="17" customHeight="1">
      <c r="A18193" s="234"/>
      <c r="B18193" s="233"/>
      <c r="C18193" s="238"/>
      <c r="E18193" s="545"/>
      <c r="F18193" s="546"/>
      <c r="G18193" s="234"/>
      <c r="H18193" s="238"/>
      <c r="I18193" s="237"/>
    </row>
    <row r="18194" spans="1:9" s="232" customFormat="1" ht="17" customHeight="1">
      <c r="A18194" s="234"/>
      <c r="B18194" s="233"/>
      <c r="C18194" s="238"/>
      <c r="E18194" s="545"/>
      <c r="F18194" s="546"/>
      <c r="G18194" s="234"/>
      <c r="H18194" s="238"/>
      <c r="I18194" s="237"/>
    </row>
    <row r="18195" spans="1:9" s="232" customFormat="1" ht="17" customHeight="1">
      <c r="A18195" s="234"/>
      <c r="B18195" s="233"/>
      <c r="C18195" s="238"/>
      <c r="E18195" s="545"/>
      <c r="F18195" s="546"/>
      <c r="G18195" s="234"/>
      <c r="H18195" s="238"/>
      <c r="I18195" s="237"/>
    </row>
    <row r="18196" spans="1:9" s="232" customFormat="1" ht="17" customHeight="1">
      <c r="A18196" s="234"/>
      <c r="B18196" s="233"/>
      <c r="C18196" s="238"/>
      <c r="E18196" s="545"/>
      <c r="F18196" s="546"/>
      <c r="G18196" s="234"/>
      <c r="H18196" s="238"/>
      <c r="I18196" s="237"/>
    </row>
    <row r="18197" spans="1:9" s="232" customFormat="1" ht="17" customHeight="1">
      <c r="A18197" s="234"/>
      <c r="B18197" s="233"/>
      <c r="C18197" s="238"/>
      <c r="E18197" s="545"/>
      <c r="F18197" s="546"/>
      <c r="G18197" s="234"/>
      <c r="H18197" s="238"/>
      <c r="I18197" s="237"/>
    </row>
    <row r="18198" spans="1:9" s="232" customFormat="1" ht="17" customHeight="1">
      <c r="A18198" s="234"/>
      <c r="B18198" s="233"/>
      <c r="C18198" s="238"/>
      <c r="E18198" s="545"/>
      <c r="F18198" s="546"/>
      <c r="G18198" s="234"/>
      <c r="H18198" s="238"/>
      <c r="I18198" s="237"/>
    </row>
    <row r="18199" spans="1:9" s="232" customFormat="1" ht="17" customHeight="1">
      <c r="A18199" s="234"/>
      <c r="B18199" s="233"/>
      <c r="C18199" s="238"/>
      <c r="E18199" s="545"/>
      <c r="F18199" s="546"/>
      <c r="G18199" s="234"/>
      <c r="H18199" s="238"/>
      <c r="I18199" s="237"/>
    </row>
    <row r="18200" spans="1:9" s="232" customFormat="1" ht="17" customHeight="1">
      <c r="A18200" s="234"/>
      <c r="B18200" s="233"/>
      <c r="C18200" s="238"/>
      <c r="E18200" s="545"/>
      <c r="F18200" s="546"/>
      <c r="G18200" s="234"/>
      <c r="H18200" s="238"/>
      <c r="I18200" s="237"/>
    </row>
    <row r="18201" spans="1:9" s="232" customFormat="1" ht="17" customHeight="1">
      <c r="A18201" s="234"/>
      <c r="B18201" s="233"/>
      <c r="C18201" s="238"/>
      <c r="E18201" s="545"/>
      <c r="F18201" s="546"/>
      <c r="G18201" s="234"/>
      <c r="H18201" s="238"/>
      <c r="I18201" s="237"/>
    </row>
    <row r="18202" spans="1:9" s="232" customFormat="1" ht="17" customHeight="1">
      <c r="A18202" s="234"/>
      <c r="B18202" s="233"/>
      <c r="C18202" s="238"/>
      <c r="E18202" s="545"/>
      <c r="F18202" s="546"/>
      <c r="G18202" s="234"/>
      <c r="H18202" s="238"/>
      <c r="I18202" s="237"/>
    </row>
    <row r="18203" spans="1:9" s="232" customFormat="1" ht="17" customHeight="1">
      <c r="A18203" s="234"/>
      <c r="B18203" s="233"/>
      <c r="C18203" s="238"/>
      <c r="E18203" s="545"/>
      <c r="F18203" s="546"/>
      <c r="G18203" s="234"/>
      <c r="H18203" s="238"/>
      <c r="I18203" s="237"/>
    </row>
    <row r="18204" spans="1:9" s="232" customFormat="1" ht="17" customHeight="1">
      <c r="A18204" s="234"/>
      <c r="B18204" s="233"/>
      <c r="C18204" s="238"/>
      <c r="E18204" s="545"/>
      <c r="F18204" s="546"/>
      <c r="G18204" s="234"/>
      <c r="H18204" s="238"/>
      <c r="I18204" s="237"/>
    </row>
    <row r="18205" spans="1:9" s="232" customFormat="1" ht="17" customHeight="1">
      <c r="A18205" s="234"/>
      <c r="B18205" s="233"/>
      <c r="C18205" s="238"/>
      <c r="E18205" s="545"/>
      <c r="F18205" s="546"/>
      <c r="G18205" s="234"/>
      <c r="H18205" s="238"/>
      <c r="I18205" s="237"/>
    </row>
    <row r="18206" spans="1:9" s="232" customFormat="1" ht="17" customHeight="1">
      <c r="A18206" s="234"/>
      <c r="B18206" s="233"/>
      <c r="C18206" s="238"/>
      <c r="E18206" s="545"/>
      <c r="F18206" s="546"/>
      <c r="G18206" s="234"/>
      <c r="H18206" s="238"/>
      <c r="I18206" s="237"/>
    </row>
    <row r="18207" spans="1:9" s="232" customFormat="1" ht="17" customHeight="1">
      <c r="A18207" s="234"/>
      <c r="B18207" s="233"/>
      <c r="C18207" s="238"/>
      <c r="E18207" s="545"/>
      <c r="F18207" s="546"/>
      <c r="G18207" s="234"/>
      <c r="H18207" s="238"/>
      <c r="I18207" s="237"/>
    </row>
    <row r="18208" spans="1:9" s="232" customFormat="1" ht="17" customHeight="1">
      <c r="A18208" s="234"/>
      <c r="B18208" s="233"/>
      <c r="C18208" s="238"/>
      <c r="E18208" s="545"/>
      <c r="F18208" s="546"/>
      <c r="G18208" s="234"/>
      <c r="H18208" s="238"/>
      <c r="I18208" s="237"/>
    </row>
    <row r="18209" spans="1:9" s="232" customFormat="1" ht="17" customHeight="1">
      <c r="A18209" s="234"/>
      <c r="B18209" s="233"/>
      <c r="C18209" s="238"/>
      <c r="E18209" s="545"/>
      <c r="F18209" s="546"/>
      <c r="G18209" s="234"/>
      <c r="H18209" s="238"/>
      <c r="I18209" s="237"/>
    </row>
    <row r="18210" spans="1:9" s="232" customFormat="1" ht="17" customHeight="1">
      <c r="A18210" s="234"/>
      <c r="B18210" s="233"/>
      <c r="C18210" s="238"/>
      <c r="E18210" s="545"/>
      <c r="F18210" s="546"/>
      <c r="G18210" s="234"/>
      <c r="H18210" s="238"/>
      <c r="I18210" s="237"/>
    </row>
    <row r="18211" spans="1:9" s="232" customFormat="1" ht="17" customHeight="1">
      <c r="A18211" s="234"/>
      <c r="B18211" s="233"/>
      <c r="C18211" s="238"/>
      <c r="E18211" s="545"/>
      <c r="F18211" s="546"/>
      <c r="G18211" s="234"/>
      <c r="H18211" s="238"/>
      <c r="I18211" s="237"/>
    </row>
    <row r="18212" spans="1:9" s="232" customFormat="1" ht="17" customHeight="1">
      <c r="A18212" s="234"/>
      <c r="B18212" s="233"/>
      <c r="C18212" s="238"/>
      <c r="E18212" s="545"/>
      <c r="F18212" s="546"/>
      <c r="G18212" s="234"/>
      <c r="H18212" s="238"/>
      <c r="I18212" s="237"/>
    </row>
    <row r="18213" spans="1:9" s="232" customFormat="1" ht="17" customHeight="1">
      <c r="A18213" s="234"/>
      <c r="B18213" s="233"/>
      <c r="C18213" s="238"/>
      <c r="E18213" s="545"/>
      <c r="F18213" s="546"/>
      <c r="G18213" s="234"/>
      <c r="H18213" s="238"/>
      <c r="I18213" s="237"/>
    </row>
    <row r="18214" spans="1:9" s="232" customFormat="1" ht="17" customHeight="1">
      <c r="A18214" s="234"/>
      <c r="B18214" s="233"/>
      <c r="C18214" s="238"/>
      <c r="E18214" s="545"/>
      <c r="F18214" s="546"/>
      <c r="G18214" s="234"/>
      <c r="H18214" s="238"/>
      <c r="I18214" s="237"/>
    </row>
    <row r="18215" spans="1:9" s="232" customFormat="1" ht="17" customHeight="1">
      <c r="A18215" s="234"/>
      <c r="B18215" s="233"/>
      <c r="C18215" s="238"/>
      <c r="E18215" s="545"/>
      <c r="F18215" s="546"/>
      <c r="G18215" s="234"/>
      <c r="H18215" s="238"/>
      <c r="I18215" s="237"/>
    </row>
    <row r="18216" spans="1:9" s="232" customFormat="1" ht="17" customHeight="1">
      <c r="A18216" s="234"/>
      <c r="B18216" s="233"/>
      <c r="C18216" s="238"/>
      <c r="E18216" s="545"/>
      <c r="F18216" s="546"/>
      <c r="G18216" s="234"/>
      <c r="H18216" s="238"/>
      <c r="I18216" s="237"/>
    </row>
    <row r="18217" spans="1:9" s="232" customFormat="1" ht="17" customHeight="1">
      <c r="A18217" s="234"/>
      <c r="B18217" s="233"/>
      <c r="C18217" s="238"/>
      <c r="E18217" s="545"/>
      <c r="F18217" s="546"/>
      <c r="G18217" s="234"/>
      <c r="H18217" s="238"/>
      <c r="I18217" s="237"/>
    </row>
    <row r="18218" spans="1:9" s="232" customFormat="1" ht="17" customHeight="1">
      <c r="A18218" s="234"/>
      <c r="B18218" s="233"/>
      <c r="C18218" s="238"/>
      <c r="E18218" s="545"/>
      <c r="F18218" s="546"/>
      <c r="G18218" s="234"/>
      <c r="H18218" s="238"/>
      <c r="I18218" s="237"/>
    </row>
    <row r="18219" spans="1:9" s="232" customFormat="1" ht="17" customHeight="1">
      <c r="A18219" s="234"/>
      <c r="B18219" s="233"/>
      <c r="C18219" s="238"/>
      <c r="E18219" s="545"/>
      <c r="F18219" s="546"/>
      <c r="G18219" s="234"/>
      <c r="H18219" s="238"/>
      <c r="I18219" s="237"/>
    </row>
    <row r="18220" spans="1:9" s="232" customFormat="1" ht="17" customHeight="1">
      <c r="A18220" s="234"/>
      <c r="B18220" s="233"/>
      <c r="C18220" s="238"/>
      <c r="E18220" s="545"/>
      <c r="F18220" s="546"/>
      <c r="G18220" s="234"/>
      <c r="H18220" s="238"/>
      <c r="I18220" s="237"/>
    </row>
    <row r="18221" spans="1:9" s="232" customFormat="1" ht="17" customHeight="1">
      <c r="A18221" s="234"/>
      <c r="B18221" s="233"/>
      <c r="C18221" s="238"/>
      <c r="E18221" s="545"/>
      <c r="F18221" s="546"/>
      <c r="G18221" s="234"/>
      <c r="H18221" s="238"/>
      <c r="I18221" s="237"/>
    </row>
    <row r="18222" spans="1:9" s="232" customFormat="1" ht="17" customHeight="1">
      <c r="A18222" s="234"/>
      <c r="B18222" s="233"/>
      <c r="C18222" s="238"/>
      <c r="E18222" s="545"/>
      <c r="F18222" s="546"/>
      <c r="G18222" s="234"/>
      <c r="H18222" s="238"/>
      <c r="I18222" s="237"/>
    </row>
    <row r="18223" spans="1:9" s="232" customFormat="1" ht="17" customHeight="1">
      <c r="A18223" s="234"/>
      <c r="B18223" s="233"/>
      <c r="C18223" s="238"/>
      <c r="E18223" s="545"/>
      <c r="F18223" s="546"/>
      <c r="G18223" s="234"/>
      <c r="H18223" s="238"/>
      <c r="I18223" s="237"/>
    </row>
    <row r="18224" spans="1:9" s="232" customFormat="1" ht="17" customHeight="1">
      <c r="A18224" s="234"/>
      <c r="B18224" s="233"/>
      <c r="C18224" s="238"/>
      <c r="E18224" s="545"/>
      <c r="F18224" s="546"/>
      <c r="G18224" s="234"/>
      <c r="H18224" s="238"/>
      <c r="I18224" s="237"/>
    </row>
    <row r="18225" spans="1:9" s="232" customFormat="1" ht="17" customHeight="1">
      <c r="A18225" s="234"/>
      <c r="B18225" s="233"/>
      <c r="C18225" s="238"/>
      <c r="E18225" s="545"/>
      <c r="F18225" s="546"/>
      <c r="G18225" s="234"/>
      <c r="H18225" s="238"/>
      <c r="I18225" s="237"/>
    </row>
    <row r="18226" spans="1:9" s="232" customFormat="1" ht="17" customHeight="1">
      <c r="A18226" s="234"/>
      <c r="B18226" s="233"/>
      <c r="C18226" s="238"/>
      <c r="E18226" s="545"/>
      <c r="F18226" s="546"/>
      <c r="G18226" s="234"/>
      <c r="H18226" s="238"/>
      <c r="I18226" s="237"/>
    </row>
    <row r="18227" spans="1:9" s="232" customFormat="1" ht="17" customHeight="1">
      <c r="A18227" s="234"/>
      <c r="B18227" s="233"/>
      <c r="C18227" s="238"/>
      <c r="E18227" s="545"/>
      <c r="F18227" s="546"/>
      <c r="G18227" s="234"/>
      <c r="H18227" s="238"/>
      <c r="I18227" s="237"/>
    </row>
    <row r="18228" spans="1:9" s="232" customFormat="1" ht="17" customHeight="1">
      <c r="A18228" s="234"/>
      <c r="B18228" s="233"/>
      <c r="C18228" s="238"/>
      <c r="E18228" s="545"/>
      <c r="F18228" s="546"/>
      <c r="G18228" s="234"/>
      <c r="H18228" s="238"/>
      <c r="I18228" s="237"/>
    </row>
    <row r="18229" spans="1:9" s="232" customFormat="1" ht="17" customHeight="1">
      <c r="A18229" s="234"/>
      <c r="B18229" s="233"/>
      <c r="C18229" s="238"/>
      <c r="E18229" s="545"/>
      <c r="F18229" s="546"/>
      <c r="G18229" s="234"/>
      <c r="H18229" s="238"/>
      <c r="I18229" s="237"/>
    </row>
    <row r="18230" spans="1:9" s="232" customFormat="1" ht="17" customHeight="1">
      <c r="A18230" s="234"/>
      <c r="B18230" s="233"/>
      <c r="C18230" s="238"/>
      <c r="E18230" s="545"/>
      <c r="F18230" s="546"/>
      <c r="G18230" s="234"/>
      <c r="H18230" s="238"/>
      <c r="I18230" s="237"/>
    </row>
    <row r="18231" spans="1:9" s="232" customFormat="1" ht="17" customHeight="1">
      <c r="A18231" s="234"/>
      <c r="B18231" s="233"/>
      <c r="C18231" s="238"/>
      <c r="E18231" s="545"/>
      <c r="F18231" s="546"/>
      <c r="G18231" s="234"/>
      <c r="H18231" s="238"/>
      <c r="I18231" s="237"/>
    </row>
    <row r="18232" spans="1:9" s="232" customFormat="1" ht="17" customHeight="1">
      <c r="A18232" s="234"/>
      <c r="B18232" s="233"/>
      <c r="C18232" s="238"/>
      <c r="E18232" s="545"/>
      <c r="F18232" s="546"/>
      <c r="G18232" s="234"/>
      <c r="H18232" s="238"/>
      <c r="I18232" s="237"/>
    </row>
    <row r="18233" spans="1:9" s="232" customFormat="1" ht="17" customHeight="1">
      <c r="A18233" s="234"/>
      <c r="B18233" s="233"/>
      <c r="C18233" s="238"/>
      <c r="E18233" s="545"/>
      <c r="F18233" s="546"/>
      <c r="G18233" s="234"/>
      <c r="H18233" s="238"/>
      <c r="I18233" s="237"/>
    </row>
    <row r="18234" spans="1:9" s="232" customFormat="1" ht="17" customHeight="1">
      <c r="A18234" s="234"/>
      <c r="B18234" s="233"/>
      <c r="C18234" s="238"/>
      <c r="E18234" s="545"/>
      <c r="F18234" s="546"/>
      <c r="G18234" s="234"/>
      <c r="H18234" s="238"/>
      <c r="I18234" s="237"/>
    </row>
    <row r="18235" spans="1:9" s="232" customFormat="1" ht="17" customHeight="1">
      <c r="A18235" s="234"/>
      <c r="B18235" s="233"/>
      <c r="C18235" s="238"/>
      <c r="E18235" s="545"/>
      <c r="F18235" s="546"/>
      <c r="G18235" s="234"/>
      <c r="H18235" s="238"/>
      <c r="I18235" s="237"/>
    </row>
    <row r="18236" spans="1:9" s="232" customFormat="1" ht="17" customHeight="1">
      <c r="A18236" s="234"/>
      <c r="B18236" s="233"/>
      <c r="C18236" s="238"/>
      <c r="E18236" s="545"/>
      <c r="F18236" s="546"/>
      <c r="G18236" s="234"/>
      <c r="H18236" s="238"/>
      <c r="I18236" s="237"/>
    </row>
    <row r="18237" spans="1:9" s="232" customFormat="1" ht="17" customHeight="1">
      <c r="A18237" s="234"/>
      <c r="B18237" s="233"/>
      <c r="C18237" s="238"/>
      <c r="E18237" s="545"/>
      <c r="F18237" s="546"/>
      <c r="G18237" s="234"/>
      <c r="H18237" s="238"/>
      <c r="I18237" s="237"/>
    </row>
    <row r="18238" spans="1:9" s="232" customFormat="1" ht="17" customHeight="1">
      <c r="A18238" s="234"/>
      <c r="B18238" s="233"/>
      <c r="C18238" s="238"/>
      <c r="E18238" s="545"/>
      <c r="F18238" s="546"/>
      <c r="G18238" s="234"/>
      <c r="H18238" s="238"/>
      <c r="I18238" s="237"/>
    </row>
    <row r="18239" spans="1:9" s="232" customFormat="1" ht="17" customHeight="1">
      <c r="A18239" s="234"/>
      <c r="B18239" s="233"/>
      <c r="C18239" s="238"/>
      <c r="E18239" s="545"/>
      <c r="F18239" s="546"/>
      <c r="G18239" s="234"/>
      <c r="H18239" s="238"/>
      <c r="I18239" s="237"/>
    </row>
    <row r="18240" spans="1:9" s="232" customFormat="1" ht="17" customHeight="1">
      <c r="A18240" s="234"/>
      <c r="B18240" s="233"/>
      <c r="C18240" s="238"/>
      <c r="E18240" s="545"/>
      <c r="F18240" s="546"/>
      <c r="G18240" s="234"/>
      <c r="H18240" s="238"/>
      <c r="I18240" s="237"/>
    </row>
    <row r="18241" spans="1:9" s="232" customFormat="1" ht="17" customHeight="1">
      <c r="A18241" s="234"/>
      <c r="B18241" s="233"/>
      <c r="C18241" s="238"/>
      <c r="E18241" s="545"/>
      <c r="F18241" s="546"/>
      <c r="G18241" s="234"/>
      <c r="H18241" s="238"/>
      <c r="I18241" s="237"/>
    </row>
    <row r="18242" spans="1:9" s="232" customFormat="1" ht="17" customHeight="1">
      <c r="A18242" s="234"/>
      <c r="B18242" s="233"/>
      <c r="C18242" s="238"/>
      <c r="E18242" s="545"/>
      <c r="F18242" s="546"/>
      <c r="G18242" s="234"/>
      <c r="H18242" s="238"/>
      <c r="I18242" s="237"/>
    </row>
    <row r="18243" spans="1:9" s="232" customFormat="1" ht="17" customHeight="1">
      <c r="A18243" s="234"/>
      <c r="B18243" s="233"/>
      <c r="C18243" s="238"/>
      <c r="E18243" s="545"/>
      <c r="F18243" s="546"/>
      <c r="G18243" s="234"/>
      <c r="H18243" s="238"/>
      <c r="I18243" s="237"/>
    </row>
    <row r="18244" spans="1:9" s="232" customFormat="1" ht="17" customHeight="1">
      <c r="A18244" s="234"/>
      <c r="B18244" s="233"/>
      <c r="C18244" s="238"/>
      <c r="E18244" s="545"/>
      <c r="F18244" s="546"/>
      <c r="G18244" s="234"/>
      <c r="H18244" s="238"/>
      <c r="I18244" s="237"/>
    </row>
    <row r="18245" spans="1:9" s="232" customFormat="1" ht="17" customHeight="1">
      <c r="A18245" s="234"/>
      <c r="B18245" s="233"/>
      <c r="C18245" s="238"/>
      <c r="E18245" s="545"/>
      <c r="F18245" s="546"/>
      <c r="G18245" s="234"/>
      <c r="H18245" s="238"/>
      <c r="I18245" s="237"/>
    </row>
    <row r="18246" spans="1:9" s="232" customFormat="1" ht="17" customHeight="1">
      <c r="A18246" s="234"/>
      <c r="B18246" s="233"/>
      <c r="C18246" s="238"/>
      <c r="E18246" s="545"/>
      <c r="F18246" s="546"/>
      <c r="G18246" s="234"/>
      <c r="H18246" s="238"/>
      <c r="I18246" s="237"/>
    </row>
    <row r="18247" spans="1:9" s="232" customFormat="1" ht="17" customHeight="1">
      <c r="A18247" s="234"/>
      <c r="B18247" s="233"/>
      <c r="C18247" s="238"/>
      <c r="E18247" s="545"/>
      <c r="F18247" s="546"/>
      <c r="G18247" s="234"/>
      <c r="H18247" s="238"/>
      <c r="I18247" s="237"/>
    </row>
    <row r="18248" spans="1:9" s="232" customFormat="1" ht="17" customHeight="1">
      <c r="A18248" s="234"/>
      <c r="B18248" s="233"/>
      <c r="C18248" s="238"/>
      <c r="E18248" s="545"/>
      <c r="F18248" s="546"/>
      <c r="G18248" s="234"/>
      <c r="H18248" s="238"/>
      <c r="I18248" s="237"/>
    </row>
    <row r="18249" spans="1:9" s="232" customFormat="1" ht="17" customHeight="1">
      <c r="A18249" s="234"/>
      <c r="B18249" s="233"/>
      <c r="C18249" s="238"/>
      <c r="E18249" s="545"/>
      <c r="F18249" s="546"/>
      <c r="G18249" s="234"/>
      <c r="H18249" s="238"/>
      <c r="I18249" s="237"/>
    </row>
    <row r="18250" spans="1:9" s="232" customFormat="1" ht="17" customHeight="1">
      <c r="A18250" s="234"/>
      <c r="B18250" s="233"/>
      <c r="C18250" s="238"/>
      <c r="E18250" s="545"/>
      <c r="F18250" s="546"/>
      <c r="G18250" s="234"/>
      <c r="H18250" s="238"/>
      <c r="I18250" s="237"/>
    </row>
    <row r="18251" spans="1:9" s="232" customFormat="1" ht="17" customHeight="1">
      <c r="A18251" s="234"/>
      <c r="B18251" s="233"/>
      <c r="C18251" s="238"/>
      <c r="E18251" s="545"/>
      <c r="F18251" s="546"/>
      <c r="G18251" s="234"/>
      <c r="H18251" s="238"/>
      <c r="I18251" s="237"/>
    </row>
    <row r="18252" spans="1:9" s="232" customFormat="1" ht="17" customHeight="1">
      <c r="A18252" s="234"/>
      <c r="B18252" s="233"/>
      <c r="C18252" s="238"/>
      <c r="E18252" s="545"/>
      <c r="F18252" s="546"/>
      <c r="G18252" s="234"/>
      <c r="H18252" s="238"/>
      <c r="I18252" s="237"/>
    </row>
    <row r="18253" spans="1:9" s="232" customFormat="1" ht="17" customHeight="1">
      <c r="A18253" s="234"/>
      <c r="B18253" s="233"/>
      <c r="C18253" s="238"/>
      <c r="E18253" s="545"/>
      <c r="F18253" s="546"/>
      <c r="G18253" s="234"/>
      <c r="H18253" s="238"/>
      <c r="I18253" s="237"/>
    </row>
    <row r="18254" spans="1:9" s="232" customFormat="1" ht="17" customHeight="1">
      <c r="A18254" s="234"/>
      <c r="B18254" s="233"/>
      <c r="C18254" s="238"/>
      <c r="E18254" s="545"/>
      <c r="F18254" s="546"/>
      <c r="G18254" s="234"/>
      <c r="H18254" s="238"/>
      <c r="I18254" s="237"/>
    </row>
    <row r="18255" spans="1:9" s="232" customFormat="1" ht="17" customHeight="1">
      <c r="A18255" s="234"/>
      <c r="B18255" s="233"/>
      <c r="C18255" s="238"/>
      <c r="E18255" s="545"/>
      <c r="F18255" s="546"/>
      <c r="G18255" s="234"/>
      <c r="H18255" s="238"/>
      <c r="I18255" s="237"/>
    </row>
    <row r="18256" spans="1:9" s="232" customFormat="1" ht="17" customHeight="1">
      <c r="A18256" s="234"/>
      <c r="B18256" s="233"/>
      <c r="C18256" s="238"/>
      <c r="E18256" s="545"/>
      <c r="F18256" s="546"/>
      <c r="G18256" s="234"/>
      <c r="H18256" s="238"/>
      <c r="I18256" s="237"/>
    </row>
    <row r="18257" spans="1:9" s="232" customFormat="1" ht="17" customHeight="1">
      <c r="A18257" s="234"/>
      <c r="B18257" s="233"/>
      <c r="C18257" s="238"/>
      <c r="E18257" s="545"/>
      <c r="F18257" s="546"/>
      <c r="G18257" s="234"/>
      <c r="H18257" s="238"/>
      <c r="I18257" s="237"/>
    </row>
    <row r="18258" spans="1:9" s="232" customFormat="1" ht="17" customHeight="1">
      <c r="A18258" s="234"/>
      <c r="B18258" s="233"/>
      <c r="C18258" s="238"/>
      <c r="E18258" s="545"/>
      <c r="F18258" s="546"/>
      <c r="G18258" s="234"/>
      <c r="H18258" s="238"/>
      <c r="I18258" s="237"/>
    </row>
    <row r="18259" spans="1:9" s="232" customFormat="1" ht="17" customHeight="1">
      <c r="A18259" s="234"/>
      <c r="B18259" s="233"/>
      <c r="C18259" s="238"/>
      <c r="E18259" s="545"/>
      <c r="F18259" s="546"/>
      <c r="G18259" s="234"/>
      <c r="H18259" s="238"/>
      <c r="I18259" s="237"/>
    </row>
    <row r="18260" spans="1:9" s="232" customFormat="1" ht="17" customHeight="1">
      <c r="A18260" s="234"/>
      <c r="B18260" s="233"/>
      <c r="C18260" s="238"/>
      <c r="E18260" s="545"/>
      <c r="F18260" s="546"/>
      <c r="G18260" s="234"/>
      <c r="H18260" s="238"/>
      <c r="I18260" s="237"/>
    </row>
    <row r="18261" spans="1:9" s="232" customFormat="1" ht="17" customHeight="1">
      <c r="A18261" s="234"/>
      <c r="B18261" s="233"/>
      <c r="C18261" s="238"/>
      <c r="E18261" s="545"/>
      <c r="F18261" s="546"/>
      <c r="G18261" s="234"/>
      <c r="H18261" s="238"/>
      <c r="I18261" s="237"/>
    </row>
    <row r="18262" spans="1:9" s="232" customFormat="1" ht="17" customHeight="1">
      <c r="A18262" s="234"/>
      <c r="B18262" s="233"/>
      <c r="C18262" s="238"/>
      <c r="E18262" s="545"/>
      <c r="F18262" s="546"/>
      <c r="G18262" s="234"/>
      <c r="H18262" s="238"/>
      <c r="I18262" s="237"/>
    </row>
    <row r="18263" spans="1:9" s="232" customFormat="1" ht="17" customHeight="1">
      <c r="A18263" s="234"/>
      <c r="B18263" s="233"/>
      <c r="C18263" s="238"/>
      <c r="E18263" s="545"/>
      <c r="F18263" s="546"/>
      <c r="G18263" s="234"/>
      <c r="H18263" s="238"/>
      <c r="I18263" s="237"/>
    </row>
    <row r="18264" spans="1:9" s="232" customFormat="1" ht="17" customHeight="1">
      <c r="A18264" s="234"/>
      <c r="B18264" s="233"/>
      <c r="C18264" s="238"/>
      <c r="E18264" s="545"/>
      <c r="F18264" s="546"/>
      <c r="G18264" s="234"/>
      <c r="H18264" s="238"/>
      <c r="I18264" s="237"/>
    </row>
    <row r="18265" spans="1:9" s="232" customFormat="1" ht="17" customHeight="1">
      <c r="A18265" s="234"/>
      <c r="B18265" s="233"/>
      <c r="C18265" s="238"/>
      <c r="E18265" s="545"/>
      <c r="F18265" s="546"/>
      <c r="G18265" s="234"/>
      <c r="H18265" s="238"/>
      <c r="I18265" s="237"/>
    </row>
    <row r="18266" spans="1:9" s="232" customFormat="1" ht="17" customHeight="1">
      <c r="A18266" s="234"/>
      <c r="B18266" s="233"/>
      <c r="C18266" s="238"/>
      <c r="E18266" s="545"/>
      <c r="F18266" s="546"/>
      <c r="G18266" s="234"/>
      <c r="H18266" s="238"/>
      <c r="I18266" s="237"/>
    </row>
    <row r="18267" spans="1:9" s="232" customFormat="1" ht="17" customHeight="1">
      <c r="A18267" s="234"/>
      <c r="B18267" s="233"/>
      <c r="C18267" s="238"/>
      <c r="E18267" s="545"/>
      <c r="F18267" s="546"/>
      <c r="G18267" s="234"/>
      <c r="H18267" s="238"/>
      <c r="I18267" s="237"/>
    </row>
    <row r="18268" spans="1:9" s="232" customFormat="1" ht="17" customHeight="1">
      <c r="A18268" s="234"/>
      <c r="B18268" s="233"/>
      <c r="C18268" s="238"/>
      <c r="E18268" s="545"/>
      <c r="F18268" s="546"/>
      <c r="G18268" s="234"/>
      <c r="H18268" s="238"/>
      <c r="I18268" s="237"/>
    </row>
    <row r="18269" spans="1:9" s="232" customFormat="1" ht="17" customHeight="1">
      <c r="A18269" s="234"/>
      <c r="B18269" s="233"/>
      <c r="C18269" s="238"/>
      <c r="E18269" s="545"/>
      <c r="F18269" s="546"/>
      <c r="G18269" s="234"/>
      <c r="H18269" s="238"/>
      <c r="I18269" s="237"/>
    </row>
    <row r="18270" spans="1:9" s="232" customFormat="1" ht="17" customHeight="1">
      <c r="A18270" s="234"/>
      <c r="B18270" s="233"/>
      <c r="C18270" s="238"/>
      <c r="E18270" s="545"/>
      <c r="F18270" s="546"/>
      <c r="G18270" s="234"/>
      <c r="H18270" s="238"/>
      <c r="I18270" s="237"/>
    </row>
    <row r="18271" spans="1:9" s="232" customFormat="1" ht="17" customHeight="1">
      <c r="A18271" s="234"/>
      <c r="B18271" s="233"/>
      <c r="C18271" s="238"/>
      <c r="E18271" s="545"/>
      <c r="F18271" s="546"/>
      <c r="G18271" s="234"/>
      <c r="H18271" s="238"/>
      <c r="I18271" s="237"/>
    </row>
    <row r="18272" spans="1:9" s="232" customFormat="1" ht="17" customHeight="1">
      <c r="A18272" s="234"/>
      <c r="B18272" s="233"/>
      <c r="C18272" s="238"/>
      <c r="E18272" s="545"/>
      <c r="F18272" s="546"/>
      <c r="G18272" s="234"/>
      <c r="H18272" s="238"/>
      <c r="I18272" s="237"/>
    </row>
    <row r="18273" spans="1:9" s="232" customFormat="1" ht="17" customHeight="1">
      <c r="A18273" s="234"/>
      <c r="B18273" s="233"/>
      <c r="C18273" s="238"/>
      <c r="E18273" s="545"/>
      <c r="F18273" s="546"/>
      <c r="G18273" s="234"/>
      <c r="H18273" s="238"/>
      <c r="I18273" s="237"/>
    </row>
    <row r="18274" spans="1:9" s="232" customFormat="1" ht="17" customHeight="1">
      <c r="A18274" s="234"/>
      <c r="B18274" s="233"/>
      <c r="C18274" s="238"/>
      <c r="E18274" s="545"/>
      <c r="F18274" s="546"/>
      <c r="G18274" s="234"/>
      <c r="H18274" s="238"/>
      <c r="I18274" s="237"/>
    </row>
    <row r="18275" spans="1:9" s="232" customFormat="1" ht="17" customHeight="1">
      <c r="A18275" s="234"/>
      <c r="B18275" s="233"/>
      <c r="C18275" s="238"/>
      <c r="E18275" s="545"/>
      <c r="F18275" s="546"/>
      <c r="G18275" s="234"/>
      <c r="H18275" s="238"/>
      <c r="I18275" s="237"/>
    </row>
    <row r="18276" spans="1:9" s="232" customFormat="1" ht="17" customHeight="1">
      <c r="A18276" s="234"/>
      <c r="B18276" s="233"/>
      <c r="C18276" s="238"/>
      <c r="E18276" s="545"/>
      <c r="F18276" s="546"/>
      <c r="G18276" s="234"/>
      <c r="H18276" s="238"/>
      <c r="I18276" s="237"/>
    </row>
    <row r="18277" spans="1:9" s="232" customFormat="1" ht="17" customHeight="1">
      <c r="A18277" s="234"/>
      <c r="B18277" s="233"/>
      <c r="C18277" s="238"/>
      <c r="E18277" s="545"/>
      <c r="F18277" s="546"/>
      <c r="G18277" s="234"/>
      <c r="H18277" s="238"/>
      <c r="I18277" s="237"/>
    </row>
    <row r="18278" spans="1:9" s="232" customFormat="1" ht="17" customHeight="1">
      <c r="A18278" s="234"/>
      <c r="B18278" s="233"/>
      <c r="C18278" s="238"/>
      <c r="E18278" s="545"/>
      <c r="F18278" s="546"/>
      <c r="G18278" s="234"/>
      <c r="H18278" s="238"/>
      <c r="I18278" s="237"/>
    </row>
    <row r="18279" spans="1:9" s="232" customFormat="1" ht="17" customHeight="1">
      <c r="A18279" s="234"/>
      <c r="B18279" s="233"/>
      <c r="C18279" s="238"/>
      <c r="E18279" s="545"/>
      <c r="F18279" s="546"/>
      <c r="G18279" s="234"/>
      <c r="H18279" s="238"/>
      <c r="I18279" s="237"/>
    </row>
    <row r="18280" spans="1:9" s="232" customFormat="1" ht="17" customHeight="1">
      <c r="A18280" s="234"/>
      <c r="B18280" s="233"/>
      <c r="C18280" s="238"/>
      <c r="E18280" s="545"/>
      <c r="F18280" s="546"/>
      <c r="G18280" s="234"/>
      <c r="H18280" s="238"/>
      <c r="I18280" s="237"/>
    </row>
    <row r="18281" spans="1:9" s="232" customFormat="1" ht="17" customHeight="1">
      <c r="A18281" s="234"/>
      <c r="B18281" s="233"/>
      <c r="C18281" s="238"/>
      <c r="E18281" s="545"/>
      <c r="F18281" s="546"/>
      <c r="G18281" s="234"/>
      <c r="H18281" s="238"/>
      <c r="I18281" s="237"/>
    </row>
    <row r="18282" spans="1:9" s="232" customFormat="1" ht="17" customHeight="1">
      <c r="A18282" s="234"/>
      <c r="B18282" s="233"/>
      <c r="C18282" s="238"/>
      <c r="E18282" s="545"/>
      <c r="F18282" s="546"/>
      <c r="G18282" s="234"/>
      <c r="H18282" s="238"/>
      <c r="I18282" s="237"/>
    </row>
    <row r="18283" spans="1:9" s="232" customFormat="1" ht="17" customHeight="1">
      <c r="A18283" s="234"/>
      <c r="B18283" s="233"/>
      <c r="C18283" s="238"/>
      <c r="E18283" s="545"/>
      <c r="F18283" s="546"/>
      <c r="G18283" s="234"/>
      <c r="H18283" s="238"/>
      <c r="I18283" s="237"/>
    </row>
    <row r="18284" spans="1:9" s="232" customFormat="1" ht="17" customHeight="1">
      <c r="A18284" s="234"/>
      <c r="B18284" s="233"/>
      <c r="C18284" s="238"/>
      <c r="E18284" s="545"/>
      <c r="F18284" s="546"/>
      <c r="G18284" s="234"/>
      <c r="H18284" s="238"/>
      <c r="I18284" s="237"/>
    </row>
    <row r="18285" spans="1:9" s="232" customFormat="1" ht="17" customHeight="1">
      <c r="A18285" s="234"/>
      <c r="B18285" s="233"/>
      <c r="C18285" s="238"/>
      <c r="E18285" s="545"/>
      <c r="F18285" s="546"/>
      <c r="G18285" s="234"/>
      <c r="H18285" s="238"/>
      <c r="I18285" s="237"/>
    </row>
    <row r="18286" spans="1:9" s="232" customFormat="1" ht="17" customHeight="1">
      <c r="A18286" s="234"/>
      <c r="B18286" s="233"/>
      <c r="C18286" s="238"/>
      <c r="E18286" s="545"/>
      <c r="F18286" s="546"/>
      <c r="G18286" s="234"/>
      <c r="H18286" s="238"/>
      <c r="I18286" s="237"/>
    </row>
    <row r="18287" spans="1:9" s="232" customFormat="1" ht="17" customHeight="1">
      <c r="A18287" s="234"/>
      <c r="B18287" s="233"/>
      <c r="C18287" s="238"/>
      <c r="E18287" s="545"/>
      <c r="F18287" s="546"/>
      <c r="G18287" s="234"/>
      <c r="H18287" s="238"/>
      <c r="I18287" s="237"/>
    </row>
    <row r="18288" spans="1:9" s="232" customFormat="1" ht="17" customHeight="1">
      <c r="A18288" s="234"/>
      <c r="B18288" s="233"/>
      <c r="C18288" s="238"/>
      <c r="E18288" s="545"/>
      <c r="F18288" s="546"/>
      <c r="G18288" s="234"/>
      <c r="H18288" s="238"/>
      <c r="I18288" s="237"/>
    </row>
    <row r="18289" spans="1:9" s="232" customFormat="1" ht="17" customHeight="1">
      <c r="A18289" s="234"/>
      <c r="B18289" s="233"/>
      <c r="C18289" s="238"/>
      <c r="E18289" s="545"/>
      <c r="F18289" s="546"/>
      <c r="G18289" s="234"/>
      <c r="H18289" s="238"/>
      <c r="I18289" s="237"/>
    </row>
    <row r="18290" spans="1:9" s="232" customFormat="1" ht="17" customHeight="1">
      <c r="A18290" s="234"/>
      <c r="B18290" s="233"/>
      <c r="C18290" s="238"/>
      <c r="E18290" s="545"/>
      <c r="F18290" s="546"/>
      <c r="G18290" s="234"/>
      <c r="H18290" s="238"/>
      <c r="I18290" s="237"/>
    </row>
    <row r="18291" spans="1:9" s="232" customFormat="1" ht="17" customHeight="1">
      <c r="A18291" s="234"/>
      <c r="B18291" s="233"/>
      <c r="C18291" s="238"/>
      <c r="E18291" s="545"/>
      <c r="F18291" s="546"/>
      <c r="G18291" s="234"/>
      <c r="H18291" s="238"/>
      <c r="I18291" s="237"/>
    </row>
    <row r="18292" spans="1:9" s="232" customFormat="1" ht="17" customHeight="1">
      <c r="A18292" s="234"/>
      <c r="B18292" s="233"/>
      <c r="C18292" s="238"/>
      <c r="E18292" s="545"/>
      <c r="F18292" s="546"/>
      <c r="G18292" s="234"/>
      <c r="H18292" s="238"/>
      <c r="I18292" s="237"/>
    </row>
    <row r="18293" spans="1:9" s="232" customFormat="1" ht="17" customHeight="1">
      <c r="A18293" s="234"/>
      <c r="B18293" s="233"/>
      <c r="C18293" s="238"/>
      <c r="E18293" s="545"/>
      <c r="F18293" s="546"/>
      <c r="G18293" s="234"/>
      <c r="H18293" s="238"/>
      <c r="I18293" s="237"/>
    </row>
    <row r="18294" spans="1:9" s="232" customFormat="1" ht="17" customHeight="1">
      <c r="A18294" s="234"/>
      <c r="B18294" s="233"/>
      <c r="C18294" s="238"/>
      <c r="E18294" s="545"/>
      <c r="F18294" s="546"/>
      <c r="G18294" s="234"/>
      <c r="H18294" s="238"/>
      <c r="I18294" s="237"/>
    </row>
    <row r="18295" spans="1:9" s="232" customFormat="1" ht="17" customHeight="1">
      <c r="A18295" s="234"/>
      <c r="B18295" s="233"/>
      <c r="C18295" s="238"/>
      <c r="E18295" s="545"/>
      <c r="F18295" s="546"/>
      <c r="G18295" s="234"/>
      <c r="H18295" s="238"/>
      <c r="I18295" s="237"/>
    </row>
    <row r="18296" spans="1:9" s="232" customFormat="1" ht="17" customHeight="1">
      <c r="A18296" s="234"/>
      <c r="B18296" s="233"/>
      <c r="C18296" s="238"/>
      <c r="E18296" s="545"/>
      <c r="F18296" s="546"/>
      <c r="G18296" s="234"/>
      <c r="H18296" s="238"/>
      <c r="I18296" s="237"/>
    </row>
    <row r="18297" spans="1:9" s="232" customFormat="1" ht="17" customHeight="1">
      <c r="A18297" s="234"/>
      <c r="B18297" s="233"/>
      <c r="C18297" s="238"/>
      <c r="E18297" s="545"/>
      <c r="F18297" s="546"/>
      <c r="G18297" s="234"/>
      <c r="H18297" s="238"/>
      <c r="I18297" s="237"/>
    </row>
    <row r="18298" spans="1:9" s="232" customFormat="1" ht="17" customHeight="1">
      <c r="A18298" s="234"/>
      <c r="B18298" s="233"/>
      <c r="C18298" s="238"/>
      <c r="E18298" s="545"/>
      <c r="F18298" s="546"/>
      <c r="G18298" s="234"/>
      <c r="H18298" s="238"/>
      <c r="I18298" s="237"/>
    </row>
    <row r="18299" spans="1:9" s="232" customFormat="1" ht="17" customHeight="1">
      <c r="A18299" s="234"/>
      <c r="B18299" s="233"/>
      <c r="C18299" s="238"/>
      <c r="E18299" s="545"/>
      <c r="F18299" s="546"/>
      <c r="G18299" s="234"/>
      <c r="H18299" s="238"/>
      <c r="I18299" s="237"/>
    </row>
    <row r="18300" spans="1:9" s="232" customFormat="1" ht="17" customHeight="1">
      <c r="A18300" s="234"/>
      <c r="B18300" s="233"/>
      <c r="C18300" s="238"/>
      <c r="E18300" s="545"/>
      <c r="F18300" s="546"/>
      <c r="G18300" s="234"/>
      <c r="H18300" s="238"/>
      <c r="I18300" s="237"/>
    </row>
    <row r="18301" spans="1:9" s="232" customFormat="1" ht="17" customHeight="1">
      <c r="A18301" s="234"/>
      <c r="B18301" s="233"/>
      <c r="C18301" s="238"/>
      <c r="E18301" s="545"/>
      <c r="F18301" s="546"/>
      <c r="G18301" s="234"/>
      <c r="H18301" s="238"/>
      <c r="I18301" s="237"/>
    </row>
    <row r="18302" spans="1:9" s="232" customFormat="1" ht="17" customHeight="1">
      <c r="A18302" s="234"/>
      <c r="B18302" s="233"/>
      <c r="C18302" s="238"/>
      <c r="E18302" s="545"/>
      <c r="F18302" s="546"/>
      <c r="G18302" s="234"/>
      <c r="H18302" s="238"/>
      <c r="I18302" s="237"/>
    </row>
    <row r="18303" spans="1:9" s="232" customFormat="1" ht="17" customHeight="1">
      <c r="A18303" s="234"/>
      <c r="B18303" s="233"/>
      <c r="C18303" s="238"/>
      <c r="E18303" s="545"/>
      <c r="F18303" s="546"/>
      <c r="G18303" s="234"/>
      <c r="H18303" s="238"/>
      <c r="I18303" s="237"/>
    </row>
    <row r="18304" spans="1:9" s="232" customFormat="1" ht="17" customHeight="1">
      <c r="A18304" s="234"/>
      <c r="B18304" s="233"/>
      <c r="C18304" s="238"/>
      <c r="E18304" s="545"/>
      <c r="F18304" s="546"/>
      <c r="G18304" s="234"/>
      <c r="H18304" s="238"/>
      <c r="I18304" s="237"/>
    </row>
    <row r="18305" spans="1:9" s="232" customFormat="1" ht="17" customHeight="1">
      <c r="A18305" s="234"/>
      <c r="B18305" s="233"/>
      <c r="C18305" s="238"/>
      <c r="E18305" s="545"/>
      <c r="F18305" s="546"/>
      <c r="G18305" s="234"/>
      <c r="H18305" s="238"/>
      <c r="I18305" s="237"/>
    </row>
    <row r="18306" spans="1:9" s="232" customFormat="1" ht="17" customHeight="1">
      <c r="A18306" s="234"/>
      <c r="B18306" s="233"/>
      <c r="C18306" s="238"/>
      <c r="E18306" s="545"/>
      <c r="F18306" s="546"/>
      <c r="G18306" s="234"/>
      <c r="H18306" s="238"/>
      <c r="I18306" s="237"/>
    </row>
    <row r="18307" spans="1:9" s="232" customFormat="1" ht="17" customHeight="1">
      <c r="A18307" s="234"/>
      <c r="B18307" s="233"/>
      <c r="C18307" s="238"/>
      <c r="E18307" s="545"/>
      <c r="F18307" s="546"/>
      <c r="G18307" s="234"/>
      <c r="H18307" s="238"/>
      <c r="I18307" s="237"/>
    </row>
    <row r="18308" spans="1:9" s="232" customFormat="1" ht="17" customHeight="1">
      <c r="A18308" s="234"/>
      <c r="B18308" s="233"/>
      <c r="C18308" s="238"/>
      <c r="E18308" s="545"/>
      <c r="F18308" s="546"/>
      <c r="G18308" s="234"/>
      <c r="H18308" s="238"/>
      <c r="I18308" s="237"/>
    </row>
    <row r="18309" spans="1:9" s="232" customFormat="1" ht="17" customHeight="1">
      <c r="A18309" s="234"/>
      <c r="B18309" s="233"/>
      <c r="C18309" s="238"/>
      <c r="E18309" s="545"/>
      <c r="F18309" s="546"/>
      <c r="G18309" s="234"/>
      <c r="H18309" s="238"/>
      <c r="I18309" s="237"/>
    </row>
    <row r="18310" spans="1:9" s="232" customFormat="1" ht="17" customHeight="1">
      <c r="A18310" s="234"/>
      <c r="B18310" s="233"/>
      <c r="C18310" s="238"/>
      <c r="E18310" s="545"/>
      <c r="F18310" s="546"/>
      <c r="G18310" s="234"/>
      <c r="H18310" s="238"/>
      <c r="I18310" s="237"/>
    </row>
    <row r="18311" spans="1:9" s="232" customFormat="1" ht="17" customHeight="1">
      <c r="A18311" s="234"/>
      <c r="B18311" s="233"/>
      <c r="C18311" s="238"/>
      <c r="E18311" s="545"/>
      <c r="F18311" s="546"/>
      <c r="G18311" s="234"/>
      <c r="H18311" s="238"/>
      <c r="I18311" s="237"/>
    </row>
    <row r="18312" spans="1:9" s="232" customFormat="1" ht="17" customHeight="1">
      <c r="A18312" s="234"/>
      <c r="B18312" s="233"/>
      <c r="C18312" s="238"/>
      <c r="E18312" s="545"/>
      <c r="F18312" s="546"/>
      <c r="G18312" s="234"/>
      <c r="H18312" s="238"/>
      <c r="I18312" s="237"/>
    </row>
    <row r="18313" spans="1:9" s="232" customFormat="1" ht="17" customHeight="1">
      <c r="A18313" s="234"/>
      <c r="B18313" s="233"/>
      <c r="C18313" s="238"/>
      <c r="E18313" s="545"/>
      <c r="F18313" s="546"/>
      <c r="G18313" s="234"/>
      <c r="H18313" s="238"/>
      <c r="I18313" s="237"/>
    </row>
    <row r="18314" spans="1:9" s="232" customFormat="1" ht="17" customHeight="1">
      <c r="A18314" s="234"/>
      <c r="B18314" s="233"/>
      <c r="C18314" s="238"/>
      <c r="E18314" s="545"/>
      <c r="F18314" s="546"/>
      <c r="G18314" s="234"/>
      <c r="H18314" s="238"/>
      <c r="I18314" s="237"/>
    </row>
    <row r="18315" spans="1:9" s="232" customFormat="1" ht="17" customHeight="1">
      <c r="A18315" s="234"/>
      <c r="B18315" s="233"/>
      <c r="C18315" s="238"/>
      <c r="E18315" s="545"/>
      <c r="F18315" s="546"/>
      <c r="G18315" s="234"/>
      <c r="H18315" s="238"/>
      <c r="I18315" s="237"/>
    </row>
    <row r="18316" spans="1:9" s="232" customFormat="1" ht="17" customHeight="1">
      <c r="A18316" s="234"/>
      <c r="B18316" s="233"/>
      <c r="C18316" s="238"/>
      <c r="E18316" s="545"/>
      <c r="F18316" s="546"/>
      <c r="G18316" s="234"/>
      <c r="H18316" s="238"/>
      <c r="I18316" s="237"/>
    </row>
    <row r="18317" spans="1:9" s="232" customFormat="1" ht="17" customHeight="1">
      <c r="A18317" s="234"/>
      <c r="B18317" s="233"/>
      <c r="C18317" s="238"/>
      <c r="E18317" s="545"/>
      <c r="F18317" s="546"/>
      <c r="G18317" s="234"/>
      <c r="H18317" s="238"/>
      <c r="I18317" s="237"/>
    </row>
    <row r="18318" spans="1:9" s="232" customFormat="1" ht="17" customHeight="1">
      <c r="A18318" s="234"/>
      <c r="B18318" s="233"/>
      <c r="C18318" s="238"/>
      <c r="E18318" s="545"/>
      <c r="F18318" s="546"/>
      <c r="G18318" s="234"/>
      <c r="H18318" s="238"/>
      <c r="I18318" s="237"/>
    </row>
    <row r="18319" spans="1:9" s="232" customFormat="1" ht="17" customHeight="1">
      <c r="A18319" s="234"/>
      <c r="B18319" s="233"/>
      <c r="C18319" s="238"/>
      <c r="E18319" s="545"/>
      <c r="F18319" s="546"/>
      <c r="G18319" s="234"/>
      <c r="H18319" s="238"/>
      <c r="I18319" s="237"/>
    </row>
    <row r="18320" spans="1:9" s="232" customFormat="1" ht="17" customHeight="1">
      <c r="A18320" s="234"/>
      <c r="B18320" s="233"/>
      <c r="C18320" s="238"/>
      <c r="E18320" s="545"/>
      <c r="F18320" s="546"/>
      <c r="G18320" s="234"/>
      <c r="H18320" s="238"/>
      <c r="I18320" s="237"/>
    </row>
    <row r="18321" spans="1:9" s="232" customFormat="1" ht="17" customHeight="1">
      <c r="A18321" s="234"/>
      <c r="B18321" s="233"/>
      <c r="C18321" s="238"/>
      <c r="E18321" s="545"/>
      <c r="F18321" s="546"/>
      <c r="G18321" s="234"/>
      <c r="H18321" s="238"/>
      <c r="I18321" s="237"/>
    </row>
    <row r="18322" spans="1:9" s="232" customFormat="1" ht="17" customHeight="1">
      <c r="A18322" s="234"/>
      <c r="B18322" s="233"/>
      <c r="C18322" s="238"/>
      <c r="E18322" s="545"/>
      <c r="F18322" s="546"/>
      <c r="G18322" s="234"/>
      <c r="H18322" s="238"/>
      <c r="I18322" s="237"/>
    </row>
    <row r="18323" spans="1:9" s="232" customFormat="1" ht="17" customHeight="1">
      <c r="A18323" s="234"/>
      <c r="B18323" s="233"/>
      <c r="C18323" s="238"/>
      <c r="E18323" s="545"/>
      <c r="F18323" s="546"/>
      <c r="G18323" s="234"/>
      <c r="H18323" s="238"/>
      <c r="I18323" s="237"/>
    </row>
    <row r="18324" spans="1:9" s="232" customFormat="1" ht="17" customHeight="1">
      <c r="A18324" s="234"/>
      <c r="B18324" s="233"/>
      <c r="C18324" s="238"/>
      <c r="E18324" s="545"/>
      <c r="F18324" s="546"/>
      <c r="G18324" s="234"/>
      <c r="H18324" s="238"/>
      <c r="I18324" s="237"/>
    </row>
    <row r="18325" spans="1:9" s="232" customFormat="1" ht="17" customHeight="1">
      <c r="A18325" s="234"/>
      <c r="B18325" s="233"/>
      <c r="C18325" s="238"/>
      <c r="E18325" s="545"/>
      <c r="F18325" s="546"/>
      <c r="G18325" s="234"/>
      <c r="H18325" s="238"/>
      <c r="I18325" s="237"/>
    </row>
    <row r="18326" spans="1:9" s="232" customFormat="1" ht="17" customHeight="1">
      <c r="A18326" s="234"/>
      <c r="B18326" s="233"/>
      <c r="C18326" s="238"/>
      <c r="E18326" s="545"/>
      <c r="F18326" s="546"/>
      <c r="G18326" s="234"/>
      <c r="H18326" s="238"/>
      <c r="I18326" s="237"/>
    </row>
    <row r="18327" spans="1:9" s="232" customFormat="1" ht="17" customHeight="1">
      <c r="A18327" s="234"/>
      <c r="B18327" s="233"/>
      <c r="C18327" s="238"/>
      <c r="E18327" s="545"/>
      <c r="F18327" s="546"/>
      <c r="G18327" s="234"/>
      <c r="H18327" s="238"/>
      <c r="I18327" s="237"/>
    </row>
    <row r="18328" spans="1:9" s="232" customFormat="1" ht="17" customHeight="1">
      <c r="A18328" s="234"/>
      <c r="B18328" s="233"/>
      <c r="C18328" s="238"/>
      <c r="E18328" s="545"/>
      <c r="F18328" s="546"/>
      <c r="G18328" s="234"/>
      <c r="H18328" s="238"/>
      <c r="I18328" s="237"/>
    </row>
    <row r="18329" spans="1:9" s="232" customFormat="1" ht="17" customHeight="1">
      <c r="A18329" s="234"/>
      <c r="B18329" s="233"/>
      <c r="C18329" s="238"/>
      <c r="E18329" s="545"/>
      <c r="F18329" s="546"/>
      <c r="G18329" s="234"/>
      <c r="H18329" s="238"/>
      <c r="I18329" s="237"/>
    </row>
    <row r="18330" spans="1:9" s="232" customFormat="1" ht="17" customHeight="1">
      <c r="A18330" s="234"/>
      <c r="B18330" s="233"/>
      <c r="C18330" s="238"/>
      <c r="E18330" s="545"/>
      <c r="F18330" s="546"/>
      <c r="G18330" s="234"/>
      <c r="H18330" s="238"/>
      <c r="I18330" s="237"/>
    </row>
    <row r="18331" spans="1:9" s="232" customFormat="1" ht="17" customHeight="1">
      <c r="A18331" s="234"/>
      <c r="B18331" s="233"/>
      <c r="C18331" s="238"/>
      <c r="E18331" s="545"/>
      <c r="F18331" s="546"/>
      <c r="G18331" s="234"/>
      <c r="H18331" s="238"/>
      <c r="I18331" s="237"/>
    </row>
    <row r="18332" spans="1:9" s="232" customFormat="1" ht="17" customHeight="1">
      <c r="A18332" s="234"/>
      <c r="B18332" s="233"/>
      <c r="C18332" s="238"/>
      <c r="E18332" s="545"/>
      <c r="F18332" s="546"/>
      <c r="G18332" s="234"/>
      <c r="H18332" s="238"/>
      <c r="I18332" s="237"/>
    </row>
    <row r="18333" spans="1:9" s="232" customFormat="1" ht="17" customHeight="1">
      <c r="A18333" s="234"/>
      <c r="B18333" s="233"/>
      <c r="C18333" s="238"/>
      <c r="E18333" s="545"/>
      <c r="F18333" s="546"/>
      <c r="G18333" s="234"/>
      <c r="H18333" s="238"/>
      <c r="I18333" s="237"/>
    </row>
    <row r="18334" spans="1:9" s="232" customFormat="1" ht="17" customHeight="1">
      <c r="A18334" s="234"/>
      <c r="B18334" s="233"/>
      <c r="C18334" s="238"/>
      <c r="E18334" s="545"/>
      <c r="F18334" s="546"/>
      <c r="G18334" s="234"/>
      <c r="H18334" s="238"/>
      <c r="I18334" s="237"/>
    </row>
    <row r="18335" spans="1:9" s="232" customFormat="1" ht="17" customHeight="1">
      <c r="A18335" s="234"/>
      <c r="B18335" s="233"/>
      <c r="C18335" s="238"/>
      <c r="E18335" s="545"/>
      <c r="F18335" s="546"/>
      <c r="G18335" s="234"/>
      <c r="H18335" s="238"/>
      <c r="I18335" s="237"/>
    </row>
    <row r="18336" spans="1:9" s="232" customFormat="1" ht="17" customHeight="1">
      <c r="A18336" s="234"/>
      <c r="B18336" s="233"/>
      <c r="C18336" s="238"/>
      <c r="E18336" s="545"/>
      <c r="F18336" s="546"/>
      <c r="G18336" s="234"/>
      <c r="H18336" s="238"/>
      <c r="I18336" s="237"/>
    </row>
    <row r="18337" spans="1:9" s="232" customFormat="1" ht="17" customHeight="1">
      <c r="A18337" s="234"/>
      <c r="B18337" s="233"/>
      <c r="C18337" s="238"/>
      <c r="E18337" s="545"/>
      <c r="F18337" s="546"/>
      <c r="G18337" s="234"/>
      <c r="H18337" s="238"/>
      <c r="I18337" s="237"/>
    </row>
    <row r="18338" spans="1:9" s="232" customFormat="1" ht="17" customHeight="1">
      <c r="A18338" s="234"/>
      <c r="B18338" s="233"/>
      <c r="C18338" s="238"/>
      <c r="E18338" s="545"/>
      <c r="F18338" s="546"/>
      <c r="G18338" s="234"/>
      <c r="H18338" s="238"/>
      <c r="I18338" s="237"/>
    </row>
    <row r="18339" spans="1:9" s="232" customFormat="1" ht="17" customHeight="1">
      <c r="A18339" s="234"/>
      <c r="B18339" s="233"/>
      <c r="C18339" s="238"/>
      <c r="E18339" s="545"/>
      <c r="F18339" s="546"/>
      <c r="G18339" s="234"/>
      <c r="H18339" s="238"/>
      <c r="I18339" s="237"/>
    </row>
    <row r="18340" spans="1:9" s="232" customFormat="1" ht="17" customHeight="1">
      <c r="A18340" s="234"/>
      <c r="B18340" s="233"/>
      <c r="C18340" s="238"/>
      <c r="E18340" s="545"/>
      <c r="F18340" s="546"/>
      <c r="G18340" s="234"/>
      <c r="H18340" s="238"/>
      <c r="I18340" s="237"/>
    </row>
    <row r="18341" spans="1:9" s="232" customFormat="1" ht="17" customHeight="1">
      <c r="A18341" s="234"/>
      <c r="B18341" s="233"/>
      <c r="C18341" s="238"/>
      <c r="E18341" s="545"/>
      <c r="F18341" s="546"/>
      <c r="G18341" s="234"/>
      <c r="H18341" s="238"/>
      <c r="I18341" s="237"/>
    </row>
    <row r="18342" spans="1:9" s="232" customFormat="1" ht="17" customHeight="1">
      <c r="A18342" s="234"/>
      <c r="B18342" s="233"/>
      <c r="C18342" s="238"/>
      <c r="E18342" s="545"/>
      <c r="F18342" s="546"/>
      <c r="G18342" s="234"/>
      <c r="H18342" s="238"/>
      <c r="I18342" s="237"/>
    </row>
    <row r="18343" spans="1:9" s="232" customFormat="1" ht="17" customHeight="1">
      <c r="A18343" s="234"/>
      <c r="B18343" s="233"/>
      <c r="C18343" s="238"/>
      <c r="E18343" s="545"/>
      <c r="F18343" s="546"/>
      <c r="G18343" s="234"/>
      <c r="H18343" s="238"/>
      <c r="I18343" s="237"/>
    </row>
    <row r="18344" spans="1:9" s="232" customFormat="1" ht="17" customHeight="1">
      <c r="A18344" s="234"/>
      <c r="B18344" s="233"/>
      <c r="C18344" s="238"/>
      <c r="E18344" s="545"/>
      <c r="F18344" s="546"/>
      <c r="G18344" s="234"/>
      <c r="H18344" s="238"/>
      <c r="I18344" s="237"/>
    </row>
    <row r="18345" spans="1:9" s="232" customFormat="1" ht="17" customHeight="1">
      <c r="A18345" s="234"/>
      <c r="B18345" s="233"/>
      <c r="C18345" s="238"/>
      <c r="E18345" s="545"/>
      <c r="F18345" s="546"/>
      <c r="G18345" s="234"/>
      <c r="H18345" s="238"/>
      <c r="I18345" s="237"/>
    </row>
    <row r="18346" spans="1:9" s="232" customFormat="1" ht="17" customHeight="1">
      <c r="A18346" s="234"/>
      <c r="B18346" s="233"/>
      <c r="C18346" s="238"/>
      <c r="E18346" s="545"/>
      <c r="F18346" s="546"/>
      <c r="G18346" s="234"/>
      <c r="H18346" s="238"/>
      <c r="I18346" s="237"/>
    </row>
    <row r="18347" spans="1:9" s="232" customFormat="1" ht="17" customHeight="1">
      <c r="A18347" s="234"/>
      <c r="B18347" s="233"/>
      <c r="C18347" s="238"/>
      <c r="E18347" s="545"/>
      <c r="F18347" s="546"/>
      <c r="G18347" s="234"/>
      <c r="H18347" s="238"/>
      <c r="I18347" s="237"/>
    </row>
    <row r="18348" spans="1:9" s="232" customFormat="1" ht="17" customHeight="1">
      <c r="A18348" s="234"/>
      <c r="B18348" s="233"/>
      <c r="C18348" s="238"/>
      <c r="E18348" s="545"/>
      <c r="F18348" s="546"/>
      <c r="G18348" s="234"/>
      <c r="H18348" s="238"/>
      <c r="I18348" s="237"/>
    </row>
    <row r="18349" spans="1:9" s="232" customFormat="1" ht="17" customHeight="1">
      <c r="A18349" s="234"/>
      <c r="B18349" s="233"/>
      <c r="C18349" s="238"/>
      <c r="E18349" s="545"/>
      <c r="F18349" s="546"/>
      <c r="G18349" s="234"/>
      <c r="H18349" s="238"/>
      <c r="I18349" s="237"/>
    </row>
    <row r="18350" spans="1:9" s="232" customFormat="1" ht="17" customHeight="1">
      <c r="A18350" s="234"/>
      <c r="B18350" s="233"/>
      <c r="C18350" s="238"/>
      <c r="E18350" s="545"/>
      <c r="F18350" s="546"/>
      <c r="G18350" s="234"/>
      <c r="H18350" s="238"/>
      <c r="I18350" s="237"/>
    </row>
    <row r="18351" spans="1:9" s="232" customFormat="1" ht="17" customHeight="1">
      <c r="A18351" s="234"/>
      <c r="B18351" s="233"/>
      <c r="C18351" s="238"/>
      <c r="E18351" s="545"/>
      <c r="F18351" s="546"/>
      <c r="G18351" s="234"/>
      <c r="H18351" s="238"/>
      <c r="I18351" s="237"/>
    </row>
    <row r="18352" spans="1:9" s="232" customFormat="1" ht="17" customHeight="1">
      <c r="A18352" s="234"/>
      <c r="B18352" s="233"/>
      <c r="C18352" s="238"/>
      <c r="E18352" s="545"/>
      <c r="F18352" s="546"/>
      <c r="G18352" s="234"/>
      <c r="H18352" s="238"/>
      <c r="I18352" s="237"/>
    </row>
    <row r="18353" spans="1:9" s="232" customFormat="1" ht="17" customHeight="1">
      <c r="A18353" s="234"/>
      <c r="B18353" s="233"/>
      <c r="C18353" s="238"/>
      <c r="E18353" s="545"/>
      <c r="F18353" s="546"/>
      <c r="G18353" s="234"/>
      <c r="H18353" s="238"/>
      <c r="I18353" s="237"/>
    </row>
    <row r="18354" spans="1:9" s="232" customFormat="1" ht="17" customHeight="1">
      <c r="A18354" s="234"/>
      <c r="B18354" s="233"/>
      <c r="C18354" s="238"/>
      <c r="E18354" s="545"/>
      <c r="F18354" s="546"/>
      <c r="G18354" s="234"/>
      <c r="H18354" s="238"/>
      <c r="I18354" s="237"/>
    </row>
    <row r="18355" spans="1:9" s="232" customFormat="1" ht="17" customHeight="1">
      <c r="A18355" s="234"/>
      <c r="B18355" s="233"/>
      <c r="C18355" s="238"/>
      <c r="E18355" s="545"/>
      <c r="F18355" s="546"/>
      <c r="G18355" s="234"/>
      <c r="H18355" s="238"/>
      <c r="I18355" s="237"/>
    </row>
    <row r="18356" spans="1:9" s="232" customFormat="1" ht="17" customHeight="1">
      <c r="A18356" s="234"/>
      <c r="B18356" s="233"/>
      <c r="C18356" s="238"/>
      <c r="E18356" s="545"/>
      <c r="F18356" s="546"/>
      <c r="G18356" s="234"/>
      <c r="H18356" s="238"/>
      <c r="I18356" s="237"/>
    </row>
    <row r="18357" spans="1:9" s="232" customFormat="1" ht="17" customHeight="1">
      <c r="A18357" s="234"/>
      <c r="B18357" s="233"/>
      <c r="C18357" s="238"/>
      <c r="E18357" s="545"/>
      <c r="F18357" s="546"/>
      <c r="G18357" s="234"/>
      <c r="H18357" s="238"/>
      <c r="I18357" s="237"/>
    </row>
    <row r="18358" spans="1:9" s="232" customFormat="1" ht="17" customHeight="1">
      <c r="A18358" s="234"/>
      <c r="B18358" s="233"/>
      <c r="C18358" s="238"/>
      <c r="E18358" s="545"/>
      <c r="F18358" s="546"/>
      <c r="G18358" s="234"/>
      <c r="H18358" s="238"/>
      <c r="I18358" s="237"/>
    </row>
    <row r="18359" spans="1:9" s="232" customFormat="1" ht="17" customHeight="1">
      <c r="A18359" s="234"/>
      <c r="B18359" s="233"/>
      <c r="C18359" s="238"/>
      <c r="E18359" s="545"/>
      <c r="F18359" s="546"/>
      <c r="G18359" s="234"/>
      <c r="H18359" s="238"/>
      <c r="I18359" s="237"/>
    </row>
    <row r="18360" spans="1:9" s="232" customFormat="1" ht="17" customHeight="1">
      <c r="A18360" s="234"/>
      <c r="B18360" s="233"/>
      <c r="C18360" s="238"/>
      <c r="E18360" s="545"/>
      <c r="F18360" s="546"/>
      <c r="G18360" s="234"/>
      <c r="H18360" s="238"/>
      <c r="I18360" s="237"/>
    </row>
    <row r="18361" spans="1:9" s="232" customFormat="1" ht="17" customHeight="1">
      <c r="A18361" s="234"/>
      <c r="B18361" s="233"/>
      <c r="C18361" s="238"/>
      <c r="E18361" s="545"/>
      <c r="F18361" s="546"/>
      <c r="G18361" s="234"/>
      <c r="H18361" s="238"/>
      <c r="I18361" s="237"/>
    </row>
    <row r="18362" spans="1:9" s="232" customFormat="1" ht="17" customHeight="1">
      <c r="A18362" s="234"/>
      <c r="B18362" s="233"/>
      <c r="C18362" s="238"/>
      <c r="E18362" s="545"/>
      <c r="F18362" s="546"/>
      <c r="G18362" s="234"/>
      <c r="H18362" s="238"/>
      <c r="I18362" s="237"/>
    </row>
    <row r="18363" spans="1:9" s="232" customFormat="1" ht="17" customHeight="1">
      <c r="A18363" s="234"/>
      <c r="B18363" s="233"/>
      <c r="C18363" s="238"/>
      <c r="E18363" s="545"/>
      <c r="F18363" s="546"/>
      <c r="G18363" s="234"/>
      <c r="H18363" s="238"/>
      <c r="I18363" s="237"/>
    </row>
    <row r="18364" spans="1:9" s="232" customFormat="1" ht="17" customHeight="1">
      <c r="A18364" s="234"/>
      <c r="B18364" s="233"/>
      <c r="C18364" s="238"/>
      <c r="E18364" s="545"/>
      <c r="F18364" s="546"/>
      <c r="G18364" s="234"/>
      <c r="H18364" s="238"/>
      <c r="I18364" s="237"/>
    </row>
    <row r="18365" spans="1:9" s="232" customFormat="1" ht="17" customHeight="1">
      <c r="A18365" s="234"/>
      <c r="B18365" s="233"/>
      <c r="C18365" s="238"/>
      <c r="E18365" s="545"/>
      <c r="F18365" s="546"/>
      <c r="G18365" s="234"/>
      <c r="H18365" s="238"/>
      <c r="I18365" s="237"/>
    </row>
    <row r="18366" spans="1:9" s="232" customFormat="1" ht="17" customHeight="1">
      <c r="A18366" s="234"/>
      <c r="B18366" s="233"/>
      <c r="C18366" s="238"/>
      <c r="E18366" s="545"/>
      <c r="F18366" s="546"/>
      <c r="G18366" s="234"/>
      <c r="H18366" s="238"/>
      <c r="I18366" s="237"/>
    </row>
    <row r="18367" spans="1:9" s="232" customFormat="1" ht="17" customHeight="1">
      <c r="A18367" s="234"/>
      <c r="B18367" s="233"/>
      <c r="C18367" s="238"/>
      <c r="E18367" s="545"/>
      <c r="F18367" s="546"/>
      <c r="G18367" s="234"/>
      <c r="H18367" s="238"/>
      <c r="I18367" s="237"/>
    </row>
    <row r="18368" spans="1:9" s="232" customFormat="1" ht="17" customHeight="1">
      <c r="A18368" s="234"/>
      <c r="B18368" s="233"/>
      <c r="C18368" s="238"/>
      <c r="E18368" s="545"/>
      <c r="F18368" s="546"/>
      <c r="G18368" s="234"/>
      <c r="H18368" s="238"/>
      <c r="I18368" s="237"/>
    </row>
    <row r="18369" spans="1:9" s="232" customFormat="1" ht="17" customHeight="1">
      <c r="A18369" s="234"/>
      <c r="B18369" s="233"/>
      <c r="C18369" s="238"/>
      <c r="E18369" s="545"/>
      <c r="F18369" s="546"/>
      <c r="G18369" s="234"/>
      <c r="H18369" s="238"/>
      <c r="I18369" s="237"/>
    </row>
    <row r="18370" spans="1:9" s="232" customFormat="1" ht="17" customHeight="1">
      <c r="A18370" s="234"/>
      <c r="B18370" s="233"/>
      <c r="C18370" s="238"/>
      <c r="E18370" s="545"/>
      <c r="F18370" s="546"/>
      <c r="G18370" s="234"/>
      <c r="H18370" s="238"/>
      <c r="I18370" s="237"/>
    </row>
    <row r="18371" spans="1:9" s="232" customFormat="1" ht="17" customHeight="1">
      <c r="A18371" s="234"/>
      <c r="B18371" s="233"/>
      <c r="C18371" s="238"/>
      <c r="E18371" s="545"/>
      <c r="F18371" s="546"/>
      <c r="G18371" s="234"/>
      <c r="H18371" s="238"/>
      <c r="I18371" s="237"/>
    </row>
    <row r="18372" spans="1:9" s="232" customFormat="1" ht="17" customHeight="1">
      <c r="A18372" s="234"/>
      <c r="B18372" s="233"/>
      <c r="C18372" s="238"/>
      <c r="E18372" s="545"/>
      <c r="F18372" s="546"/>
      <c r="G18372" s="234"/>
      <c r="H18372" s="238"/>
      <c r="I18372" s="237"/>
    </row>
    <row r="18373" spans="1:9" s="232" customFormat="1" ht="17" customHeight="1">
      <c r="A18373" s="234"/>
      <c r="B18373" s="233"/>
      <c r="C18373" s="238"/>
      <c r="E18373" s="545"/>
      <c r="F18373" s="546"/>
      <c r="G18373" s="234"/>
      <c r="H18373" s="238"/>
      <c r="I18373" s="237"/>
    </row>
    <row r="18374" spans="1:9" s="232" customFormat="1" ht="17" customHeight="1">
      <c r="A18374" s="234"/>
      <c r="B18374" s="233"/>
      <c r="C18374" s="238"/>
      <c r="E18374" s="545"/>
      <c r="F18374" s="546"/>
      <c r="G18374" s="234"/>
      <c r="H18374" s="238"/>
      <c r="I18374" s="237"/>
    </row>
    <row r="18375" spans="1:9" s="232" customFormat="1" ht="17" customHeight="1">
      <c r="A18375" s="234"/>
      <c r="B18375" s="233"/>
      <c r="C18375" s="238"/>
      <c r="E18375" s="545"/>
      <c r="F18375" s="546"/>
      <c r="G18375" s="234"/>
      <c r="H18375" s="238"/>
      <c r="I18375" s="237"/>
    </row>
    <row r="18376" spans="1:9" s="232" customFormat="1" ht="17" customHeight="1">
      <c r="A18376" s="234"/>
      <c r="B18376" s="233"/>
      <c r="C18376" s="238"/>
      <c r="E18376" s="545"/>
      <c r="F18376" s="546"/>
      <c r="G18376" s="234"/>
      <c r="H18376" s="238"/>
      <c r="I18376" s="237"/>
    </row>
    <row r="18377" spans="1:9" s="232" customFormat="1" ht="17" customHeight="1">
      <c r="A18377" s="234"/>
      <c r="B18377" s="233"/>
      <c r="C18377" s="238"/>
      <c r="E18377" s="545"/>
      <c r="F18377" s="546"/>
      <c r="G18377" s="234"/>
      <c r="H18377" s="238"/>
      <c r="I18377" s="237"/>
    </row>
    <row r="18378" spans="1:9" s="232" customFormat="1" ht="17" customHeight="1">
      <c r="A18378" s="234"/>
      <c r="B18378" s="233"/>
      <c r="C18378" s="238"/>
      <c r="E18378" s="545"/>
      <c r="F18378" s="546"/>
      <c r="G18378" s="234"/>
      <c r="H18378" s="238"/>
      <c r="I18378" s="237"/>
    </row>
    <row r="18379" spans="1:9" s="232" customFormat="1" ht="17" customHeight="1">
      <c r="A18379" s="234"/>
      <c r="B18379" s="233"/>
      <c r="C18379" s="238"/>
      <c r="E18379" s="545"/>
      <c r="F18379" s="546"/>
      <c r="G18379" s="234"/>
      <c r="H18379" s="238"/>
      <c r="I18379" s="237"/>
    </row>
    <row r="18380" spans="1:9" s="232" customFormat="1" ht="17" customHeight="1">
      <c r="A18380" s="234"/>
      <c r="B18380" s="233"/>
      <c r="C18380" s="238"/>
      <c r="E18380" s="545"/>
      <c r="F18380" s="546"/>
      <c r="G18380" s="234"/>
      <c r="H18380" s="238"/>
      <c r="I18380" s="237"/>
    </row>
    <row r="18381" spans="1:9" s="232" customFormat="1" ht="17" customHeight="1">
      <c r="A18381" s="234"/>
      <c r="B18381" s="233"/>
      <c r="C18381" s="238"/>
      <c r="E18381" s="545"/>
      <c r="F18381" s="546"/>
      <c r="G18381" s="234"/>
      <c r="H18381" s="238"/>
      <c r="I18381" s="237"/>
    </row>
    <row r="18382" spans="1:9" s="232" customFormat="1" ht="17" customHeight="1">
      <c r="A18382" s="234"/>
      <c r="B18382" s="233"/>
      <c r="C18382" s="238"/>
      <c r="E18382" s="545"/>
      <c r="F18382" s="546"/>
      <c r="G18382" s="234"/>
      <c r="H18382" s="238"/>
      <c r="I18382" s="237"/>
    </row>
    <row r="18383" spans="1:9" s="232" customFormat="1" ht="17" customHeight="1">
      <c r="A18383" s="234"/>
      <c r="B18383" s="233"/>
      <c r="C18383" s="238"/>
      <c r="E18383" s="545"/>
      <c r="F18383" s="546"/>
      <c r="G18383" s="234"/>
      <c r="H18383" s="238"/>
      <c r="I18383" s="237"/>
    </row>
    <row r="18384" spans="1:9" s="232" customFormat="1" ht="17" customHeight="1">
      <c r="A18384" s="234"/>
      <c r="B18384" s="233"/>
      <c r="C18384" s="238"/>
      <c r="E18384" s="545"/>
      <c r="F18384" s="546"/>
      <c r="G18384" s="234"/>
      <c r="H18384" s="238"/>
      <c r="I18384" s="237"/>
    </row>
    <row r="18385" spans="1:9" s="232" customFormat="1" ht="17" customHeight="1">
      <c r="A18385" s="234"/>
      <c r="B18385" s="233"/>
      <c r="C18385" s="238"/>
      <c r="E18385" s="545"/>
      <c r="F18385" s="546"/>
      <c r="G18385" s="234"/>
      <c r="H18385" s="238"/>
      <c r="I18385" s="237"/>
    </row>
    <row r="18386" spans="1:9" s="232" customFormat="1" ht="17" customHeight="1">
      <c r="A18386" s="234"/>
      <c r="B18386" s="233"/>
      <c r="C18386" s="238"/>
      <c r="E18386" s="545"/>
      <c r="F18386" s="546"/>
      <c r="G18386" s="234"/>
      <c r="H18386" s="238"/>
      <c r="I18386" s="237"/>
    </row>
    <row r="18387" spans="1:9" s="232" customFormat="1" ht="17" customHeight="1">
      <c r="A18387" s="234"/>
      <c r="B18387" s="233"/>
      <c r="C18387" s="238"/>
      <c r="E18387" s="545"/>
      <c r="F18387" s="546"/>
      <c r="G18387" s="234"/>
      <c r="H18387" s="238"/>
      <c r="I18387" s="237"/>
    </row>
    <row r="18388" spans="1:9" s="232" customFormat="1" ht="17" customHeight="1">
      <c r="A18388" s="234"/>
      <c r="B18388" s="233"/>
      <c r="C18388" s="238"/>
      <c r="E18388" s="545"/>
      <c r="F18388" s="546"/>
      <c r="G18388" s="234"/>
      <c r="H18388" s="238"/>
      <c r="I18388" s="237"/>
    </row>
    <row r="18389" spans="1:9" s="232" customFormat="1" ht="17" customHeight="1">
      <c r="A18389" s="234"/>
      <c r="B18389" s="233"/>
      <c r="C18389" s="238"/>
      <c r="E18389" s="545"/>
      <c r="F18389" s="546"/>
      <c r="G18389" s="234"/>
      <c r="H18389" s="238"/>
      <c r="I18389" s="237"/>
    </row>
    <row r="18390" spans="1:9" s="232" customFormat="1" ht="17" customHeight="1">
      <c r="A18390" s="234"/>
      <c r="B18390" s="233"/>
      <c r="C18390" s="238"/>
      <c r="E18390" s="545"/>
      <c r="F18390" s="546"/>
      <c r="G18390" s="234"/>
      <c r="H18390" s="238"/>
      <c r="I18390" s="237"/>
    </row>
    <row r="18391" spans="1:9" s="232" customFormat="1" ht="17" customHeight="1">
      <c r="A18391" s="234"/>
      <c r="B18391" s="233"/>
      <c r="C18391" s="238"/>
      <c r="E18391" s="545"/>
      <c r="F18391" s="546"/>
      <c r="G18391" s="234"/>
      <c r="H18391" s="238"/>
      <c r="I18391" s="237"/>
    </row>
    <row r="18392" spans="1:9" s="232" customFormat="1" ht="17" customHeight="1">
      <c r="A18392" s="234"/>
      <c r="B18392" s="233"/>
      <c r="C18392" s="238"/>
      <c r="E18392" s="545"/>
      <c r="F18392" s="546"/>
      <c r="G18392" s="234"/>
      <c r="H18392" s="238"/>
      <c r="I18392" s="237"/>
    </row>
    <row r="18393" spans="1:9" s="232" customFormat="1" ht="17" customHeight="1">
      <c r="A18393" s="234"/>
      <c r="B18393" s="233"/>
      <c r="C18393" s="238"/>
      <c r="E18393" s="545"/>
      <c r="F18393" s="546"/>
      <c r="G18393" s="234"/>
      <c r="H18393" s="238"/>
      <c r="I18393" s="237"/>
    </row>
    <row r="18394" spans="1:9" s="232" customFormat="1" ht="17" customHeight="1">
      <c r="A18394" s="234"/>
      <c r="B18394" s="233"/>
      <c r="C18394" s="238"/>
      <c r="E18394" s="545"/>
      <c r="F18394" s="546"/>
      <c r="G18394" s="234"/>
      <c r="H18394" s="238"/>
      <c r="I18394" s="237"/>
    </row>
    <row r="18395" spans="1:9" s="232" customFormat="1" ht="17" customHeight="1">
      <c r="A18395" s="234"/>
      <c r="B18395" s="233"/>
      <c r="C18395" s="238"/>
      <c r="E18395" s="545"/>
      <c r="F18395" s="546"/>
      <c r="G18395" s="234"/>
      <c r="H18395" s="238"/>
      <c r="I18395" s="237"/>
    </row>
    <row r="18396" spans="1:9" s="232" customFormat="1" ht="17" customHeight="1">
      <c r="A18396" s="234"/>
      <c r="B18396" s="233"/>
      <c r="C18396" s="238"/>
      <c r="E18396" s="545"/>
      <c r="F18396" s="546"/>
      <c r="G18396" s="234"/>
      <c r="H18396" s="238"/>
      <c r="I18396" s="237"/>
    </row>
    <row r="18397" spans="1:9" s="232" customFormat="1" ht="17" customHeight="1">
      <c r="A18397" s="234"/>
      <c r="B18397" s="233"/>
      <c r="C18397" s="238"/>
      <c r="E18397" s="545"/>
      <c r="F18397" s="546"/>
      <c r="G18397" s="234"/>
      <c r="H18397" s="238"/>
      <c r="I18397" s="237"/>
    </row>
    <row r="18398" spans="1:9" s="232" customFormat="1" ht="17" customHeight="1">
      <c r="A18398" s="234"/>
      <c r="B18398" s="233"/>
      <c r="C18398" s="238"/>
      <c r="E18398" s="545"/>
      <c r="F18398" s="546"/>
      <c r="G18398" s="234"/>
      <c r="H18398" s="238"/>
      <c r="I18398" s="237"/>
    </row>
    <row r="18399" spans="1:9" s="232" customFormat="1" ht="17" customHeight="1">
      <c r="A18399" s="234"/>
      <c r="B18399" s="233"/>
      <c r="C18399" s="238"/>
      <c r="E18399" s="545"/>
      <c r="F18399" s="546"/>
      <c r="G18399" s="234"/>
      <c r="H18399" s="238"/>
      <c r="I18399" s="237"/>
    </row>
    <row r="18400" spans="1:9" s="232" customFormat="1" ht="17" customHeight="1">
      <c r="A18400" s="234"/>
      <c r="B18400" s="233"/>
      <c r="C18400" s="238"/>
      <c r="E18400" s="545"/>
      <c r="F18400" s="546"/>
      <c r="G18400" s="234"/>
      <c r="H18400" s="238"/>
      <c r="I18400" s="237"/>
    </row>
    <row r="18401" spans="1:9" s="232" customFormat="1" ht="17" customHeight="1">
      <c r="A18401" s="234"/>
      <c r="B18401" s="233"/>
      <c r="C18401" s="238"/>
      <c r="E18401" s="545"/>
      <c r="F18401" s="546"/>
      <c r="G18401" s="234"/>
      <c r="H18401" s="238"/>
      <c r="I18401" s="237"/>
    </row>
    <row r="18402" spans="1:9" s="232" customFormat="1" ht="17" customHeight="1">
      <c r="A18402" s="234"/>
      <c r="B18402" s="233"/>
      <c r="C18402" s="238"/>
      <c r="E18402" s="545"/>
      <c r="F18402" s="546"/>
      <c r="G18402" s="234"/>
      <c r="H18402" s="238"/>
      <c r="I18402" s="237"/>
    </row>
    <row r="18403" spans="1:9" s="232" customFormat="1" ht="17" customHeight="1">
      <c r="A18403" s="234"/>
      <c r="B18403" s="233"/>
      <c r="C18403" s="238"/>
      <c r="E18403" s="545"/>
      <c r="F18403" s="546"/>
      <c r="G18403" s="234"/>
      <c r="H18403" s="238"/>
      <c r="I18403" s="237"/>
    </row>
    <row r="18404" spans="1:9" s="232" customFormat="1" ht="17" customHeight="1">
      <c r="A18404" s="234"/>
      <c r="B18404" s="233"/>
      <c r="C18404" s="238"/>
      <c r="E18404" s="545"/>
      <c r="F18404" s="546"/>
      <c r="G18404" s="234"/>
      <c r="H18404" s="238"/>
      <c r="I18404" s="237"/>
    </row>
    <row r="18405" spans="1:9" s="232" customFormat="1" ht="17" customHeight="1">
      <c r="A18405" s="234"/>
      <c r="B18405" s="233"/>
      <c r="C18405" s="238"/>
      <c r="E18405" s="545"/>
      <c r="F18405" s="546"/>
      <c r="G18405" s="234"/>
      <c r="H18405" s="238"/>
      <c r="I18405" s="237"/>
    </row>
    <row r="18406" spans="1:9" s="232" customFormat="1" ht="17" customHeight="1">
      <c r="A18406" s="234"/>
      <c r="B18406" s="233"/>
      <c r="C18406" s="238"/>
      <c r="E18406" s="545"/>
      <c r="F18406" s="546"/>
      <c r="G18406" s="234"/>
      <c r="H18406" s="238"/>
      <c r="I18406" s="237"/>
    </row>
    <row r="18407" spans="1:9" s="232" customFormat="1" ht="17" customHeight="1">
      <c r="A18407" s="234"/>
      <c r="B18407" s="233"/>
      <c r="C18407" s="238"/>
      <c r="E18407" s="545"/>
      <c r="F18407" s="546"/>
      <c r="G18407" s="234"/>
      <c r="H18407" s="238"/>
      <c r="I18407" s="237"/>
    </row>
    <row r="18408" spans="1:9" s="232" customFormat="1" ht="17" customHeight="1">
      <c r="A18408" s="234"/>
      <c r="B18408" s="233"/>
      <c r="C18408" s="238"/>
      <c r="E18408" s="545"/>
      <c r="F18408" s="546"/>
      <c r="G18408" s="234"/>
      <c r="H18408" s="238"/>
      <c r="I18408" s="237"/>
    </row>
    <row r="18409" spans="1:9" s="232" customFormat="1" ht="17" customHeight="1">
      <c r="A18409" s="234"/>
      <c r="B18409" s="233"/>
      <c r="C18409" s="238"/>
      <c r="E18409" s="545"/>
      <c r="F18409" s="546"/>
      <c r="G18409" s="234"/>
      <c r="H18409" s="238"/>
      <c r="I18409" s="237"/>
    </row>
    <row r="18410" spans="1:9" s="232" customFormat="1" ht="17" customHeight="1">
      <c r="A18410" s="234"/>
      <c r="B18410" s="233"/>
      <c r="C18410" s="238"/>
      <c r="E18410" s="545"/>
      <c r="F18410" s="546"/>
      <c r="G18410" s="234"/>
      <c r="H18410" s="238"/>
      <c r="I18410" s="237"/>
    </row>
    <row r="18411" spans="1:9" s="232" customFormat="1" ht="17" customHeight="1">
      <c r="A18411" s="234"/>
      <c r="B18411" s="233"/>
      <c r="C18411" s="238"/>
      <c r="E18411" s="545"/>
      <c r="F18411" s="546"/>
      <c r="G18411" s="234"/>
      <c r="H18411" s="238"/>
      <c r="I18411" s="237"/>
    </row>
    <row r="18412" spans="1:9" s="232" customFormat="1" ht="17" customHeight="1">
      <c r="A18412" s="234"/>
      <c r="B18412" s="233"/>
      <c r="C18412" s="238"/>
      <c r="E18412" s="545"/>
      <c r="F18412" s="546"/>
      <c r="G18412" s="234"/>
      <c r="H18412" s="238"/>
      <c r="I18412" s="237"/>
    </row>
    <row r="18413" spans="1:9" s="232" customFormat="1" ht="17" customHeight="1">
      <c r="A18413" s="234"/>
      <c r="B18413" s="233"/>
      <c r="C18413" s="238"/>
      <c r="E18413" s="545"/>
      <c r="F18413" s="546"/>
      <c r="G18413" s="234"/>
      <c r="H18413" s="238"/>
      <c r="I18413" s="237"/>
    </row>
    <row r="18414" spans="1:9" s="232" customFormat="1" ht="17" customHeight="1">
      <c r="A18414" s="234"/>
      <c r="B18414" s="233"/>
      <c r="C18414" s="238"/>
      <c r="E18414" s="545"/>
      <c r="F18414" s="546"/>
      <c r="G18414" s="234"/>
      <c r="H18414" s="238"/>
      <c r="I18414" s="237"/>
    </row>
    <row r="18415" spans="1:9" s="232" customFormat="1" ht="17" customHeight="1">
      <c r="A18415" s="234"/>
      <c r="B18415" s="233"/>
      <c r="C18415" s="238"/>
      <c r="E18415" s="545"/>
      <c r="F18415" s="546"/>
      <c r="G18415" s="234"/>
      <c r="H18415" s="238"/>
      <c r="I18415" s="237"/>
    </row>
    <row r="18416" spans="1:9" s="232" customFormat="1" ht="17" customHeight="1">
      <c r="A18416" s="234"/>
      <c r="B18416" s="233"/>
      <c r="C18416" s="238"/>
      <c r="E18416" s="545"/>
      <c r="F18416" s="546"/>
      <c r="G18416" s="234"/>
      <c r="H18416" s="238"/>
      <c r="I18416" s="237"/>
    </row>
    <row r="18417" spans="1:9" s="232" customFormat="1" ht="17" customHeight="1">
      <c r="A18417" s="234"/>
      <c r="B18417" s="233"/>
      <c r="C18417" s="238"/>
      <c r="E18417" s="545"/>
      <c r="F18417" s="546"/>
      <c r="G18417" s="234"/>
      <c r="H18417" s="238"/>
      <c r="I18417" s="237"/>
    </row>
    <row r="18418" spans="1:9" s="232" customFormat="1" ht="17" customHeight="1">
      <c r="A18418" s="234"/>
      <c r="B18418" s="233"/>
      <c r="C18418" s="238"/>
      <c r="E18418" s="545"/>
      <c r="F18418" s="546"/>
      <c r="G18418" s="234"/>
      <c r="H18418" s="238"/>
      <c r="I18418" s="237"/>
    </row>
    <row r="18419" spans="1:9" s="232" customFormat="1" ht="17" customHeight="1">
      <c r="A18419" s="234"/>
      <c r="B18419" s="233"/>
      <c r="C18419" s="238"/>
      <c r="E18419" s="545"/>
      <c r="F18419" s="546"/>
      <c r="G18419" s="234"/>
      <c r="H18419" s="238"/>
      <c r="I18419" s="237"/>
    </row>
    <row r="18420" spans="1:9" s="232" customFormat="1" ht="17" customHeight="1">
      <c r="A18420" s="234"/>
      <c r="B18420" s="233"/>
      <c r="C18420" s="238"/>
      <c r="E18420" s="545"/>
      <c r="F18420" s="546"/>
      <c r="G18420" s="234"/>
      <c r="H18420" s="238"/>
      <c r="I18420" s="237"/>
    </row>
    <row r="18421" spans="1:9" s="232" customFormat="1" ht="17" customHeight="1">
      <c r="A18421" s="234"/>
      <c r="B18421" s="233"/>
      <c r="C18421" s="238"/>
      <c r="E18421" s="545"/>
      <c r="F18421" s="546"/>
      <c r="G18421" s="234"/>
      <c r="H18421" s="238"/>
      <c r="I18421" s="237"/>
    </row>
    <row r="18422" spans="1:9" s="232" customFormat="1" ht="17" customHeight="1">
      <c r="A18422" s="234"/>
      <c r="B18422" s="233"/>
      <c r="C18422" s="238"/>
      <c r="E18422" s="545"/>
      <c r="F18422" s="546"/>
      <c r="G18422" s="234"/>
      <c r="H18422" s="238"/>
      <c r="I18422" s="237"/>
    </row>
    <row r="18423" spans="1:9" s="232" customFormat="1" ht="17" customHeight="1">
      <c r="A18423" s="234"/>
      <c r="B18423" s="233"/>
      <c r="C18423" s="238"/>
      <c r="E18423" s="545"/>
      <c r="F18423" s="546"/>
      <c r="G18423" s="234"/>
      <c r="H18423" s="238"/>
      <c r="I18423" s="237"/>
    </row>
    <row r="18424" spans="1:9" s="232" customFormat="1" ht="17" customHeight="1">
      <c r="A18424" s="234"/>
      <c r="B18424" s="233"/>
      <c r="C18424" s="238"/>
      <c r="E18424" s="545"/>
      <c r="F18424" s="546"/>
      <c r="G18424" s="234"/>
      <c r="H18424" s="238"/>
      <c r="I18424" s="237"/>
    </row>
    <row r="18425" spans="1:9" s="232" customFormat="1" ht="17" customHeight="1">
      <c r="A18425" s="234"/>
      <c r="B18425" s="233"/>
      <c r="C18425" s="238"/>
      <c r="E18425" s="545"/>
      <c r="F18425" s="546"/>
      <c r="G18425" s="234"/>
      <c r="H18425" s="238"/>
      <c r="I18425" s="237"/>
    </row>
    <row r="18426" spans="1:9" s="232" customFormat="1" ht="17" customHeight="1">
      <c r="A18426" s="234"/>
      <c r="B18426" s="233"/>
      <c r="C18426" s="238"/>
      <c r="E18426" s="545"/>
      <c r="F18426" s="546"/>
      <c r="G18426" s="234"/>
      <c r="H18426" s="238"/>
      <c r="I18426" s="237"/>
    </row>
    <row r="18427" spans="1:9" s="232" customFormat="1" ht="17" customHeight="1">
      <c r="A18427" s="234"/>
      <c r="B18427" s="233"/>
      <c r="C18427" s="238"/>
      <c r="E18427" s="545"/>
      <c r="F18427" s="546"/>
      <c r="G18427" s="234"/>
      <c r="H18427" s="238"/>
      <c r="I18427" s="237"/>
    </row>
    <row r="18428" spans="1:9" s="232" customFormat="1" ht="17" customHeight="1">
      <c r="A18428" s="234"/>
      <c r="B18428" s="233"/>
      <c r="C18428" s="238"/>
      <c r="E18428" s="545"/>
      <c r="F18428" s="546"/>
      <c r="G18428" s="234"/>
      <c r="H18428" s="238"/>
      <c r="I18428" s="237"/>
    </row>
    <row r="18429" spans="1:9" s="232" customFormat="1" ht="17" customHeight="1">
      <c r="A18429" s="234"/>
      <c r="B18429" s="233"/>
      <c r="C18429" s="238"/>
      <c r="E18429" s="545"/>
      <c r="F18429" s="546"/>
      <c r="G18429" s="234"/>
      <c r="H18429" s="238"/>
      <c r="I18429" s="237"/>
    </row>
    <row r="18430" spans="1:9" s="232" customFormat="1" ht="17" customHeight="1">
      <c r="A18430" s="234"/>
      <c r="B18430" s="233"/>
      <c r="C18430" s="238"/>
      <c r="E18430" s="545"/>
      <c r="F18430" s="546"/>
      <c r="G18430" s="234"/>
      <c r="H18430" s="238"/>
      <c r="I18430" s="237"/>
    </row>
    <row r="18431" spans="1:9" s="232" customFormat="1" ht="17" customHeight="1">
      <c r="A18431" s="234"/>
      <c r="B18431" s="233"/>
      <c r="C18431" s="238"/>
      <c r="E18431" s="545"/>
      <c r="F18431" s="546"/>
      <c r="G18431" s="234"/>
      <c r="H18431" s="238"/>
      <c r="I18431" s="237"/>
    </row>
    <row r="18432" spans="1:9" s="232" customFormat="1" ht="17" customHeight="1">
      <c r="A18432" s="234"/>
      <c r="B18432" s="233"/>
      <c r="C18432" s="238"/>
      <c r="E18432" s="545"/>
      <c r="F18432" s="546"/>
      <c r="G18432" s="234"/>
      <c r="H18432" s="238"/>
      <c r="I18432" s="237"/>
    </row>
    <row r="18433" spans="1:9" s="232" customFormat="1" ht="17" customHeight="1">
      <c r="A18433" s="234"/>
      <c r="B18433" s="233"/>
      <c r="C18433" s="238"/>
      <c r="E18433" s="545"/>
      <c r="F18433" s="546"/>
      <c r="G18433" s="234"/>
      <c r="H18433" s="238"/>
      <c r="I18433" s="237"/>
    </row>
    <row r="18434" spans="1:9" s="232" customFormat="1" ht="17" customHeight="1">
      <c r="A18434" s="234"/>
      <c r="B18434" s="233"/>
      <c r="C18434" s="238"/>
      <c r="E18434" s="545"/>
      <c r="F18434" s="546"/>
      <c r="G18434" s="234"/>
      <c r="H18434" s="238"/>
      <c r="I18434" s="237"/>
    </row>
    <row r="18435" spans="1:9" s="232" customFormat="1" ht="17" customHeight="1">
      <c r="A18435" s="234"/>
      <c r="B18435" s="233"/>
      <c r="C18435" s="238"/>
      <c r="E18435" s="545"/>
      <c r="F18435" s="546"/>
      <c r="G18435" s="234"/>
      <c r="H18435" s="238"/>
      <c r="I18435" s="237"/>
    </row>
    <row r="18436" spans="1:9" s="232" customFormat="1" ht="17" customHeight="1">
      <c r="A18436" s="234"/>
      <c r="B18436" s="233"/>
      <c r="C18436" s="238"/>
      <c r="E18436" s="545"/>
      <c r="F18436" s="546"/>
      <c r="G18436" s="234"/>
      <c r="H18436" s="238"/>
      <c r="I18436" s="237"/>
    </row>
    <row r="18437" spans="1:9" s="232" customFormat="1" ht="17" customHeight="1">
      <c r="A18437" s="234"/>
      <c r="B18437" s="233"/>
      <c r="C18437" s="238"/>
      <c r="E18437" s="545"/>
      <c r="F18437" s="546"/>
      <c r="G18437" s="234"/>
      <c r="H18437" s="238"/>
      <c r="I18437" s="237"/>
    </row>
    <row r="18438" spans="1:9" s="232" customFormat="1" ht="17" customHeight="1">
      <c r="A18438" s="234"/>
      <c r="B18438" s="233"/>
      <c r="C18438" s="238"/>
      <c r="E18438" s="545"/>
      <c r="F18438" s="546"/>
      <c r="G18438" s="234"/>
      <c r="H18438" s="238"/>
      <c r="I18438" s="237"/>
    </row>
    <row r="18439" spans="1:9" s="232" customFormat="1" ht="17" customHeight="1">
      <c r="A18439" s="234"/>
      <c r="B18439" s="233"/>
      <c r="C18439" s="238"/>
      <c r="E18439" s="545"/>
      <c r="F18439" s="546"/>
      <c r="G18439" s="234"/>
      <c r="H18439" s="238"/>
      <c r="I18439" s="237"/>
    </row>
    <row r="18440" spans="1:9" s="232" customFormat="1" ht="17" customHeight="1">
      <c r="A18440" s="234"/>
      <c r="B18440" s="233"/>
      <c r="C18440" s="238"/>
      <c r="E18440" s="545"/>
      <c r="F18440" s="546"/>
      <c r="G18440" s="234"/>
      <c r="H18440" s="238"/>
      <c r="I18440" s="237"/>
    </row>
    <row r="18441" spans="1:9" s="232" customFormat="1" ht="17" customHeight="1">
      <c r="A18441" s="234"/>
      <c r="B18441" s="233"/>
      <c r="C18441" s="238"/>
      <c r="E18441" s="545"/>
      <c r="F18441" s="546"/>
      <c r="G18441" s="234"/>
      <c r="H18441" s="238"/>
      <c r="I18441" s="237"/>
    </row>
    <row r="18442" spans="1:9" s="232" customFormat="1" ht="17" customHeight="1">
      <c r="A18442" s="234"/>
      <c r="B18442" s="233"/>
      <c r="C18442" s="238"/>
      <c r="E18442" s="545"/>
      <c r="F18442" s="546"/>
      <c r="G18442" s="234"/>
      <c r="H18442" s="238"/>
      <c r="I18442" s="237"/>
    </row>
    <row r="18443" spans="1:9" s="232" customFormat="1" ht="17" customHeight="1">
      <c r="A18443" s="234"/>
      <c r="B18443" s="233"/>
      <c r="C18443" s="238"/>
      <c r="E18443" s="545"/>
      <c r="F18443" s="546"/>
      <c r="G18443" s="234"/>
      <c r="H18443" s="238"/>
      <c r="I18443" s="237"/>
    </row>
    <row r="18444" spans="1:9" s="232" customFormat="1" ht="17" customHeight="1">
      <c r="A18444" s="234"/>
      <c r="B18444" s="233"/>
      <c r="C18444" s="238"/>
      <c r="E18444" s="545"/>
      <c r="F18444" s="546"/>
      <c r="G18444" s="234"/>
      <c r="H18444" s="238"/>
      <c r="I18444" s="237"/>
    </row>
    <row r="18445" spans="1:9" s="232" customFormat="1" ht="17" customHeight="1">
      <c r="A18445" s="234"/>
      <c r="B18445" s="233"/>
      <c r="C18445" s="238"/>
      <c r="E18445" s="545"/>
      <c r="F18445" s="546"/>
      <c r="G18445" s="234"/>
      <c r="H18445" s="238"/>
      <c r="I18445" s="237"/>
    </row>
    <row r="18446" spans="1:9" s="232" customFormat="1" ht="17" customHeight="1">
      <c r="A18446" s="234"/>
      <c r="B18446" s="233"/>
      <c r="C18446" s="238"/>
      <c r="E18446" s="545"/>
      <c r="F18446" s="546"/>
      <c r="G18446" s="234"/>
      <c r="H18446" s="238"/>
      <c r="I18446" s="237"/>
    </row>
    <row r="18447" spans="1:9" s="232" customFormat="1" ht="17" customHeight="1">
      <c r="A18447" s="234"/>
      <c r="B18447" s="233"/>
      <c r="C18447" s="238"/>
      <c r="E18447" s="545"/>
      <c r="F18447" s="546"/>
      <c r="G18447" s="234"/>
      <c r="H18447" s="238"/>
      <c r="I18447" s="237"/>
    </row>
    <row r="18448" spans="1:9" s="232" customFormat="1" ht="17" customHeight="1">
      <c r="A18448" s="234"/>
      <c r="B18448" s="233"/>
      <c r="C18448" s="238"/>
      <c r="E18448" s="545"/>
      <c r="F18448" s="546"/>
      <c r="G18448" s="234"/>
      <c r="H18448" s="238"/>
      <c r="I18448" s="237"/>
    </row>
    <row r="18449" spans="1:9" s="232" customFormat="1" ht="17" customHeight="1">
      <c r="A18449" s="234"/>
      <c r="B18449" s="233"/>
      <c r="C18449" s="238"/>
      <c r="E18449" s="545"/>
      <c r="F18449" s="546"/>
      <c r="G18449" s="234"/>
      <c r="H18449" s="238"/>
      <c r="I18449" s="237"/>
    </row>
    <row r="18450" spans="1:9" s="232" customFormat="1" ht="17" customHeight="1">
      <c r="A18450" s="234"/>
      <c r="B18450" s="233"/>
      <c r="C18450" s="238"/>
      <c r="E18450" s="545"/>
      <c r="F18450" s="546"/>
      <c r="G18450" s="234"/>
      <c r="H18450" s="238"/>
      <c r="I18450" s="237"/>
    </row>
    <row r="18451" spans="1:9" s="232" customFormat="1" ht="17" customHeight="1">
      <c r="A18451" s="234"/>
      <c r="B18451" s="233"/>
      <c r="C18451" s="238"/>
      <c r="E18451" s="545"/>
      <c r="F18451" s="546"/>
      <c r="G18451" s="234"/>
      <c r="H18451" s="238"/>
      <c r="I18451" s="237"/>
    </row>
    <row r="18452" spans="1:9" s="232" customFormat="1" ht="17" customHeight="1">
      <c r="A18452" s="234"/>
      <c r="B18452" s="233"/>
      <c r="C18452" s="238"/>
      <c r="E18452" s="545"/>
      <c r="F18452" s="546"/>
      <c r="G18452" s="234"/>
      <c r="H18452" s="238"/>
      <c r="I18452" s="237"/>
    </row>
    <row r="18453" spans="1:9" s="232" customFormat="1" ht="17" customHeight="1">
      <c r="A18453" s="234"/>
      <c r="B18453" s="233"/>
      <c r="C18453" s="238"/>
      <c r="E18453" s="545"/>
      <c r="F18453" s="546"/>
      <c r="G18453" s="234"/>
      <c r="H18453" s="238"/>
      <c r="I18453" s="237"/>
    </row>
    <row r="18454" spans="1:9" s="232" customFormat="1" ht="17" customHeight="1">
      <c r="A18454" s="234"/>
      <c r="B18454" s="233"/>
      <c r="C18454" s="238"/>
      <c r="E18454" s="545"/>
      <c r="F18454" s="546"/>
      <c r="G18454" s="234"/>
      <c r="H18454" s="238"/>
      <c r="I18454" s="237"/>
    </row>
    <row r="18455" spans="1:9" s="232" customFormat="1" ht="17" customHeight="1">
      <c r="A18455" s="234"/>
      <c r="B18455" s="233"/>
      <c r="C18455" s="238"/>
      <c r="E18455" s="545"/>
      <c r="F18455" s="546"/>
      <c r="G18455" s="234"/>
      <c r="H18455" s="238"/>
      <c r="I18455" s="237"/>
    </row>
    <row r="18456" spans="1:9" s="232" customFormat="1" ht="17" customHeight="1">
      <c r="A18456" s="234"/>
      <c r="B18456" s="233"/>
      <c r="C18456" s="238"/>
      <c r="E18456" s="545"/>
      <c r="F18456" s="546"/>
      <c r="G18456" s="234"/>
      <c r="H18456" s="238"/>
      <c r="I18456" s="237"/>
    </row>
    <row r="18457" spans="1:9" s="232" customFormat="1" ht="17" customHeight="1">
      <c r="A18457" s="234"/>
      <c r="B18457" s="233"/>
      <c r="C18457" s="238"/>
      <c r="E18457" s="545"/>
      <c r="F18457" s="546"/>
      <c r="G18457" s="234"/>
      <c r="H18457" s="238"/>
      <c r="I18457" s="237"/>
    </row>
    <row r="18458" spans="1:9" s="232" customFormat="1" ht="17" customHeight="1">
      <c r="A18458" s="234"/>
      <c r="B18458" s="233"/>
      <c r="C18458" s="238"/>
      <c r="E18458" s="545"/>
      <c r="F18458" s="546"/>
      <c r="G18458" s="234"/>
      <c r="H18458" s="238"/>
      <c r="I18458" s="237"/>
    </row>
    <row r="18459" spans="1:9" s="232" customFormat="1" ht="17" customHeight="1">
      <c r="A18459" s="234"/>
      <c r="B18459" s="233"/>
      <c r="C18459" s="238"/>
      <c r="E18459" s="545"/>
      <c r="F18459" s="546"/>
      <c r="G18459" s="234"/>
      <c r="H18459" s="238"/>
      <c r="I18459" s="237"/>
    </row>
    <row r="18460" spans="1:9" s="232" customFormat="1" ht="17" customHeight="1">
      <c r="A18460" s="234"/>
      <c r="B18460" s="233"/>
      <c r="C18460" s="238"/>
      <c r="E18460" s="545"/>
      <c r="F18460" s="546"/>
      <c r="G18460" s="234"/>
      <c r="H18460" s="238"/>
      <c r="I18460" s="237"/>
    </row>
    <row r="18461" spans="1:9" s="232" customFormat="1" ht="17" customHeight="1">
      <c r="A18461" s="234"/>
      <c r="B18461" s="233"/>
      <c r="C18461" s="238"/>
      <c r="E18461" s="545"/>
      <c r="F18461" s="546"/>
      <c r="G18461" s="234"/>
      <c r="H18461" s="238"/>
      <c r="I18461" s="237"/>
    </row>
    <row r="18462" spans="1:9" s="232" customFormat="1" ht="17" customHeight="1">
      <c r="A18462" s="234"/>
      <c r="B18462" s="233"/>
      <c r="C18462" s="238"/>
      <c r="E18462" s="545"/>
      <c r="F18462" s="546"/>
      <c r="G18462" s="234"/>
      <c r="H18462" s="238"/>
      <c r="I18462" s="237"/>
    </row>
    <row r="18463" spans="1:9" s="232" customFormat="1" ht="17" customHeight="1">
      <c r="A18463" s="234"/>
      <c r="B18463" s="233"/>
      <c r="C18463" s="238"/>
      <c r="E18463" s="545"/>
      <c r="F18463" s="546"/>
      <c r="G18463" s="234"/>
      <c r="H18463" s="238"/>
      <c r="I18463" s="237"/>
    </row>
    <row r="18464" spans="1:9" s="232" customFormat="1" ht="17" customHeight="1">
      <c r="A18464" s="234"/>
      <c r="B18464" s="233"/>
      <c r="C18464" s="238"/>
      <c r="E18464" s="545"/>
      <c r="F18464" s="546"/>
      <c r="G18464" s="234"/>
      <c r="H18464" s="238"/>
      <c r="I18464" s="237"/>
    </row>
    <row r="18465" spans="1:9" s="232" customFormat="1" ht="17" customHeight="1">
      <c r="A18465" s="234"/>
      <c r="B18465" s="233"/>
      <c r="C18465" s="238"/>
      <c r="E18465" s="545"/>
      <c r="F18465" s="546"/>
      <c r="G18465" s="234"/>
      <c r="H18465" s="238"/>
      <c r="I18465" s="237"/>
    </row>
    <row r="18466" spans="1:9" s="232" customFormat="1" ht="17" customHeight="1">
      <c r="A18466" s="234"/>
      <c r="B18466" s="233"/>
      <c r="C18466" s="238"/>
      <c r="E18466" s="545"/>
      <c r="F18466" s="546"/>
      <c r="G18466" s="234"/>
      <c r="H18466" s="238"/>
      <c r="I18466" s="237"/>
    </row>
    <row r="18467" spans="1:9" s="232" customFormat="1" ht="17" customHeight="1">
      <c r="A18467" s="234"/>
      <c r="B18467" s="233"/>
      <c r="C18467" s="238"/>
      <c r="E18467" s="545"/>
      <c r="F18467" s="546"/>
      <c r="G18467" s="234"/>
      <c r="H18467" s="238"/>
      <c r="I18467" s="237"/>
    </row>
    <row r="18468" spans="1:9" s="232" customFormat="1" ht="17" customHeight="1">
      <c r="A18468" s="234"/>
      <c r="B18468" s="233"/>
      <c r="C18468" s="238"/>
      <c r="E18468" s="545"/>
      <c r="F18468" s="546"/>
      <c r="G18468" s="234"/>
      <c r="H18468" s="238"/>
      <c r="I18468" s="237"/>
    </row>
    <row r="18469" spans="1:9" s="232" customFormat="1" ht="17" customHeight="1">
      <c r="A18469" s="234"/>
      <c r="B18469" s="233"/>
      <c r="C18469" s="238"/>
      <c r="E18469" s="545"/>
      <c r="F18469" s="546"/>
      <c r="G18469" s="234"/>
      <c r="H18469" s="238"/>
      <c r="I18469" s="237"/>
    </row>
    <row r="18470" spans="1:9" s="232" customFormat="1" ht="17" customHeight="1">
      <c r="A18470" s="234"/>
      <c r="B18470" s="233"/>
      <c r="C18470" s="238"/>
      <c r="E18470" s="545"/>
      <c r="F18470" s="546"/>
      <c r="G18470" s="234"/>
      <c r="H18470" s="238"/>
      <c r="I18470" s="237"/>
    </row>
    <row r="18471" spans="1:9" s="232" customFormat="1" ht="17" customHeight="1">
      <c r="A18471" s="234"/>
      <c r="B18471" s="233"/>
      <c r="C18471" s="238"/>
      <c r="E18471" s="545"/>
      <c r="F18471" s="546"/>
      <c r="G18471" s="234"/>
      <c r="H18471" s="238"/>
      <c r="I18471" s="237"/>
    </row>
    <row r="18472" spans="1:9" s="232" customFormat="1" ht="17" customHeight="1">
      <c r="A18472" s="234"/>
      <c r="B18472" s="233"/>
      <c r="C18472" s="238"/>
      <c r="E18472" s="545"/>
      <c r="F18472" s="546"/>
      <c r="G18472" s="234"/>
      <c r="H18472" s="238"/>
      <c r="I18472" s="237"/>
    </row>
    <row r="18473" spans="1:9" s="232" customFormat="1" ht="17" customHeight="1">
      <c r="A18473" s="234"/>
      <c r="B18473" s="233"/>
      <c r="C18473" s="238"/>
      <c r="E18473" s="545"/>
      <c r="F18473" s="546"/>
      <c r="G18473" s="234"/>
      <c r="H18473" s="238"/>
      <c r="I18473" s="237"/>
    </row>
    <row r="18474" spans="1:9" s="232" customFormat="1" ht="17" customHeight="1">
      <c r="A18474" s="234"/>
      <c r="B18474" s="233"/>
      <c r="C18474" s="238"/>
      <c r="E18474" s="545"/>
      <c r="F18474" s="546"/>
      <c r="G18474" s="234"/>
      <c r="H18474" s="238"/>
      <c r="I18474" s="237"/>
    </row>
    <row r="18475" spans="1:9" s="232" customFormat="1" ht="17" customHeight="1">
      <c r="A18475" s="234"/>
      <c r="B18475" s="233"/>
      <c r="C18475" s="238"/>
      <c r="E18475" s="545"/>
      <c r="F18475" s="546"/>
      <c r="G18475" s="234"/>
      <c r="H18475" s="238"/>
      <c r="I18475" s="237"/>
    </row>
    <row r="18476" spans="1:9" s="232" customFormat="1" ht="17" customHeight="1">
      <c r="A18476" s="234"/>
      <c r="B18476" s="233"/>
      <c r="C18476" s="238"/>
      <c r="E18476" s="545"/>
      <c r="F18476" s="546"/>
      <c r="G18476" s="234"/>
      <c r="H18476" s="238"/>
      <c r="I18476" s="237"/>
    </row>
    <row r="18477" spans="1:9" s="232" customFormat="1" ht="17" customHeight="1">
      <c r="A18477" s="234"/>
      <c r="B18477" s="233"/>
      <c r="C18477" s="238"/>
      <c r="E18477" s="545"/>
      <c r="F18477" s="546"/>
      <c r="G18477" s="234"/>
      <c r="H18477" s="238"/>
      <c r="I18477" s="237"/>
    </row>
    <row r="18478" spans="1:9" s="232" customFormat="1" ht="17" customHeight="1">
      <c r="A18478" s="234"/>
      <c r="B18478" s="233"/>
      <c r="C18478" s="238"/>
      <c r="E18478" s="545"/>
      <c r="F18478" s="546"/>
      <c r="G18478" s="234"/>
      <c r="H18478" s="238"/>
      <c r="I18478" s="237"/>
    </row>
    <row r="18479" spans="1:9" s="232" customFormat="1" ht="17" customHeight="1">
      <c r="A18479" s="234"/>
      <c r="B18479" s="233"/>
      <c r="C18479" s="238"/>
      <c r="E18479" s="545"/>
      <c r="F18479" s="546"/>
      <c r="G18479" s="234"/>
      <c r="H18479" s="238"/>
      <c r="I18479" s="237"/>
    </row>
    <row r="18480" spans="1:9" s="232" customFormat="1" ht="17" customHeight="1">
      <c r="A18480" s="234"/>
      <c r="B18480" s="233"/>
      <c r="C18480" s="238"/>
      <c r="E18480" s="545"/>
      <c r="F18480" s="546"/>
      <c r="G18480" s="234"/>
      <c r="H18480" s="238"/>
      <c r="I18480" s="237"/>
    </row>
    <row r="18481" spans="1:9" s="232" customFormat="1" ht="17" customHeight="1">
      <c r="A18481" s="234"/>
      <c r="B18481" s="233"/>
      <c r="C18481" s="238"/>
      <c r="E18481" s="545"/>
      <c r="F18481" s="546"/>
      <c r="G18481" s="234"/>
      <c r="H18481" s="238"/>
      <c r="I18481" s="237"/>
    </row>
    <row r="18482" spans="1:9" s="232" customFormat="1" ht="17" customHeight="1">
      <c r="A18482" s="234"/>
      <c r="B18482" s="233"/>
      <c r="C18482" s="238"/>
      <c r="E18482" s="545"/>
      <c r="F18482" s="546"/>
      <c r="G18482" s="234"/>
      <c r="H18482" s="238"/>
      <c r="I18482" s="237"/>
    </row>
    <row r="18483" spans="1:9" s="232" customFormat="1" ht="17" customHeight="1">
      <c r="A18483" s="234"/>
      <c r="B18483" s="233"/>
      <c r="C18483" s="238"/>
      <c r="E18483" s="545"/>
      <c r="F18483" s="546"/>
      <c r="G18483" s="234"/>
      <c r="H18483" s="238"/>
      <c r="I18483" s="237"/>
    </row>
    <row r="18484" spans="1:9" s="232" customFormat="1" ht="17" customHeight="1">
      <c r="A18484" s="234"/>
      <c r="B18484" s="233"/>
      <c r="C18484" s="238"/>
      <c r="E18484" s="545"/>
      <c r="F18484" s="546"/>
      <c r="G18484" s="234"/>
      <c r="H18484" s="238"/>
      <c r="I18484" s="237"/>
    </row>
    <row r="18485" spans="1:9" s="232" customFormat="1" ht="17" customHeight="1">
      <c r="A18485" s="234"/>
      <c r="B18485" s="233"/>
      <c r="C18485" s="238"/>
      <c r="E18485" s="545"/>
      <c r="F18485" s="546"/>
      <c r="G18485" s="234"/>
      <c r="H18485" s="238"/>
      <c r="I18485" s="237"/>
    </row>
    <row r="18486" spans="1:9" s="232" customFormat="1" ht="17" customHeight="1">
      <c r="A18486" s="234"/>
      <c r="B18486" s="233"/>
      <c r="C18486" s="238"/>
      <c r="E18486" s="545"/>
      <c r="F18486" s="546"/>
      <c r="G18486" s="234"/>
      <c r="H18486" s="238"/>
      <c r="I18486" s="237"/>
    </row>
    <row r="18487" spans="1:9" s="232" customFormat="1" ht="17" customHeight="1">
      <c r="A18487" s="234"/>
      <c r="B18487" s="233"/>
      <c r="C18487" s="238"/>
      <c r="E18487" s="545"/>
      <c r="F18487" s="546"/>
      <c r="G18487" s="234"/>
      <c r="H18487" s="238"/>
      <c r="I18487" s="237"/>
    </row>
    <row r="18488" spans="1:9" s="232" customFormat="1" ht="17" customHeight="1">
      <c r="A18488" s="234"/>
      <c r="B18488" s="233"/>
      <c r="C18488" s="238"/>
      <c r="E18488" s="545"/>
      <c r="F18488" s="546"/>
      <c r="G18488" s="234"/>
      <c r="H18488" s="238"/>
      <c r="I18488" s="237"/>
    </row>
    <row r="18489" spans="1:9" s="232" customFormat="1" ht="17" customHeight="1">
      <c r="A18489" s="234"/>
      <c r="B18489" s="233"/>
      <c r="C18489" s="238"/>
      <c r="E18489" s="545"/>
      <c r="F18489" s="546"/>
      <c r="G18489" s="234"/>
      <c r="H18489" s="238"/>
      <c r="I18489" s="237"/>
    </row>
    <row r="18490" spans="1:9" s="232" customFormat="1" ht="17" customHeight="1">
      <c r="A18490" s="234"/>
      <c r="B18490" s="233"/>
      <c r="C18490" s="238"/>
      <c r="E18490" s="545"/>
      <c r="F18490" s="546"/>
      <c r="G18490" s="234"/>
      <c r="H18490" s="238"/>
      <c r="I18490" s="237"/>
    </row>
    <row r="18491" spans="1:9" s="232" customFormat="1" ht="17" customHeight="1">
      <c r="A18491" s="234"/>
      <c r="B18491" s="233"/>
      <c r="C18491" s="238"/>
      <c r="E18491" s="545"/>
      <c r="F18491" s="546"/>
      <c r="G18491" s="234"/>
      <c r="H18491" s="238"/>
      <c r="I18491" s="237"/>
    </row>
    <row r="18492" spans="1:9" s="232" customFormat="1" ht="17" customHeight="1">
      <c r="A18492" s="234"/>
      <c r="B18492" s="233"/>
      <c r="C18492" s="238"/>
      <c r="E18492" s="545"/>
      <c r="F18492" s="546"/>
      <c r="G18492" s="234"/>
      <c r="H18492" s="238"/>
      <c r="I18492" s="237"/>
    </row>
    <row r="18493" spans="1:9" s="232" customFormat="1" ht="17" customHeight="1">
      <c r="A18493" s="234"/>
      <c r="B18493" s="233"/>
      <c r="C18493" s="238"/>
      <c r="E18493" s="545"/>
      <c r="F18493" s="546"/>
      <c r="G18493" s="234"/>
      <c r="H18493" s="238"/>
      <c r="I18493" s="237"/>
    </row>
    <row r="18494" spans="1:9" s="232" customFormat="1" ht="17" customHeight="1">
      <c r="A18494" s="234"/>
      <c r="B18494" s="233"/>
      <c r="C18494" s="238"/>
      <c r="E18494" s="545"/>
      <c r="F18494" s="546"/>
      <c r="G18494" s="234"/>
      <c r="H18494" s="238"/>
      <c r="I18494" s="237"/>
    </row>
    <row r="18495" spans="1:9" s="232" customFormat="1" ht="17" customHeight="1">
      <c r="A18495" s="234"/>
      <c r="B18495" s="233"/>
      <c r="C18495" s="238"/>
      <c r="E18495" s="545"/>
      <c r="F18495" s="546"/>
      <c r="G18495" s="234"/>
      <c r="H18495" s="238"/>
      <c r="I18495" s="237"/>
    </row>
    <row r="18496" spans="1:9" s="232" customFormat="1" ht="17" customHeight="1">
      <c r="A18496" s="234"/>
      <c r="B18496" s="233"/>
      <c r="C18496" s="238"/>
      <c r="E18496" s="545"/>
      <c r="F18496" s="546"/>
      <c r="G18496" s="234"/>
      <c r="H18496" s="238"/>
      <c r="I18496" s="237"/>
    </row>
    <row r="18497" spans="1:9" s="232" customFormat="1" ht="17" customHeight="1">
      <c r="A18497" s="234"/>
      <c r="B18497" s="233"/>
      <c r="C18497" s="238"/>
      <c r="E18497" s="545"/>
      <c r="F18497" s="546"/>
      <c r="G18497" s="234"/>
      <c r="H18497" s="238"/>
      <c r="I18497" s="237"/>
    </row>
    <row r="18498" spans="1:9" s="232" customFormat="1" ht="17" customHeight="1">
      <c r="A18498" s="234"/>
      <c r="B18498" s="233"/>
      <c r="C18498" s="238"/>
      <c r="E18498" s="545"/>
      <c r="F18498" s="546"/>
      <c r="G18498" s="234"/>
      <c r="H18498" s="238"/>
      <c r="I18498" s="237"/>
    </row>
    <row r="18499" spans="1:9" s="232" customFormat="1" ht="17" customHeight="1">
      <c r="A18499" s="234"/>
      <c r="B18499" s="233"/>
      <c r="C18499" s="238"/>
      <c r="E18499" s="545"/>
      <c r="F18499" s="546"/>
      <c r="G18499" s="234"/>
      <c r="H18499" s="238"/>
      <c r="I18499" s="237"/>
    </row>
    <row r="18500" spans="1:9" s="232" customFormat="1" ht="17" customHeight="1">
      <c r="A18500" s="234"/>
      <c r="B18500" s="233"/>
      <c r="C18500" s="238"/>
      <c r="E18500" s="545"/>
      <c r="F18500" s="546"/>
      <c r="G18500" s="234"/>
      <c r="H18500" s="238"/>
      <c r="I18500" s="237"/>
    </row>
    <row r="18501" spans="1:9" s="232" customFormat="1" ht="17" customHeight="1">
      <c r="A18501" s="234"/>
      <c r="B18501" s="233"/>
      <c r="C18501" s="238"/>
      <c r="E18501" s="545"/>
      <c r="F18501" s="546"/>
      <c r="G18501" s="234"/>
      <c r="H18501" s="238"/>
      <c r="I18501" s="237"/>
    </row>
    <row r="18502" spans="1:9" s="232" customFormat="1" ht="17" customHeight="1">
      <c r="A18502" s="234"/>
      <c r="B18502" s="233"/>
      <c r="C18502" s="238"/>
      <c r="E18502" s="545"/>
      <c r="F18502" s="546"/>
      <c r="G18502" s="234"/>
      <c r="H18502" s="238"/>
      <c r="I18502" s="237"/>
    </row>
    <row r="18503" spans="1:9" s="232" customFormat="1" ht="17" customHeight="1">
      <c r="A18503" s="234"/>
      <c r="B18503" s="233"/>
      <c r="C18503" s="238"/>
      <c r="E18503" s="545"/>
      <c r="F18503" s="546"/>
      <c r="G18503" s="234"/>
      <c r="H18503" s="238"/>
      <c r="I18503" s="237"/>
    </row>
    <row r="18504" spans="1:9" s="232" customFormat="1" ht="17" customHeight="1">
      <c r="A18504" s="234"/>
      <c r="B18504" s="233"/>
      <c r="C18504" s="238"/>
      <c r="E18504" s="545"/>
      <c r="F18504" s="546"/>
      <c r="G18504" s="234"/>
      <c r="H18504" s="238"/>
      <c r="I18504" s="237"/>
    </row>
    <row r="18505" spans="1:9" s="232" customFormat="1" ht="17" customHeight="1">
      <c r="A18505" s="234"/>
      <c r="B18505" s="233"/>
      <c r="C18505" s="238"/>
      <c r="E18505" s="545"/>
      <c r="F18505" s="546"/>
      <c r="G18505" s="234"/>
      <c r="H18505" s="238"/>
      <c r="I18505" s="237"/>
    </row>
    <row r="18506" spans="1:9" s="232" customFormat="1" ht="17" customHeight="1">
      <c r="A18506" s="234"/>
      <c r="B18506" s="233"/>
      <c r="C18506" s="238"/>
      <c r="E18506" s="545"/>
      <c r="F18506" s="546"/>
      <c r="G18506" s="234"/>
      <c r="H18506" s="238"/>
      <c r="I18506" s="237"/>
    </row>
    <row r="18507" spans="1:9" s="232" customFormat="1" ht="17" customHeight="1">
      <c r="A18507" s="234"/>
      <c r="B18507" s="233"/>
      <c r="C18507" s="238"/>
      <c r="E18507" s="545"/>
      <c r="F18507" s="546"/>
      <c r="G18507" s="234"/>
      <c r="H18507" s="238"/>
      <c r="I18507" s="237"/>
    </row>
    <row r="18508" spans="1:9" s="232" customFormat="1" ht="17" customHeight="1">
      <c r="A18508" s="234"/>
      <c r="B18508" s="233"/>
      <c r="C18508" s="238"/>
      <c r="E18508" s="545"/>
      <c r="F18508" s="546"/>
      <c r="G18508" s="234"/>
      <c r="H18508" s="238"/>
      <c r="I18508" s="237"/>
    </row>
    <row r="18509" spans="1:9" s="232" customFormat="1" ht="17" customHeight="1">
      <c r="A18509" s="234"/>
      <c r="B18509" s="233"/>
      <c r="C18509" s="238"/>
      <c r="E18509" s="545"/>
      <c r="F18509" s="546"/>
      <c r="G18509" s="234"/>
      <c r="H18509" s="238"/>
      <c r="I18509" s="237"/>
    </row>
    <row r="18510" spans="1:9" s="232" customFormat="1" ht="17" customHeight="1">
      <c r="A18510" s="234"/>
      <c r="B18510" s="233"/>
      <c r="C18510" s="238"/>
      <c r="E18510" s="545"/>
      <c r="F18510" s="546"/>
      <c r="G18510" s="234"/>
      <c r="H18510" s="238"/>
      <c r="I18510" s="237"/>
    </row>
    <row r="18511" spans="1:9" s="232" customFormat="1" ht="17" customHeight="1">
      <c r="A18511" s="234"/>
      <c r="B18511" s="233"/>
      <c r="C18511" s="238"/>
      <c r="E18511" s="545"/>
      <c r="F18511" s="546"/>
      <c r="G18511" s="234"/>
      <c r="H18511" s="238"/>
      <c r="I18511" s="237"/>
    </row>
    <row r="18512" spans="1:9" s="232" customFormat="1" ht="17" customHeight="1">
      <c r="A18512" s="234"/>
      <c r="B18512" s="233"/>
      <c r="C18512" s="238"/>
      <c r="E18512" s="545"/>
      <c r="F18512" s="546"/>
      <c r="G18512" s="234"/>
      <c r="H18512" s="238"/>
      <c r="I18512" s="237"/>
    </row>
    <row r="18513" spans="1:9" s="232" customFormat="1" ht="17" customHeight="1">
      <c r="A18513" s="234"/>
      <c r="B18513" s="233"/>
      <c r="C18513" s="238"/>
      <c r="E18513" s="545"/>
      <c r="F18513" s="546"/>
      <c r="G18513" s="234"/>
      <c r="H18513" s="238"/>
      <c r="I18513" s="237"/>
    </row>
    <row r="18514" spans="1:9" s="232" customFormat="1" ht="17" customHeight="1">
      <c r="A18514" s="234"/>
      <c r="B18514" s="233"/>
      <c r="C18514" s="238"/>
      <c r="E18514" s="545"/>
      <c r="F18514" s="546"/>
      <c r="G18514" s="234"/>
      <c r="H18514" s="238"/>
      <c r="I18514" s="237"/>
    </row>
    <row r="18515" spans="1:9" s="232" customFormat="1" ht="17" customHeight="1">
      <c r="A18515" s="234"/>
      <c r="B18515" s="233"/>
      <c r="C18515" s="238"/>
      <c r="E18515" s="545"/>
      <c r="F18515" s="546"/>
      <c r="G18515" s="234"/>
      <c r="H18515" s="238"/>
      <c r="I18515" s="237"/>
    </row>
    <row r="18516" spans="1:9" s="232" customFormat="1" ht="17" customHeight="1">
      <c r="A18516" s="234"/>
      <c r="B18516" s="233"/>
      <c r="C18516" s="238"/>
      <c r="E18516" s="545"/>
      <c r="F18516" s="546"/>
      <c r="G18516" s="234"/>
      <c r="H18516" s="238"/>
      <c r="I18516" s="237"/>
    </row>
    <row r="18517" spans="1:9" s="232" customFormat="1" ht="17" customHeight="1">
      <c r="A18517" s="234"/>
      <c r="B18517" s="233"/>
      <c r="C18517" s="238"/>
      <c r="E18517" s="545"/>
      <c r="F18517" s="546"/>
      <c r="G18517" s="234"/>
      <c r="H18517" s="238"/>
      <c r="I18517" s="237"/>
    </row>
    <row r="18518" spans="1:9" s="232" customFormat="1" ht="17" customHeight="1">
      <c r="A18518" s="234"/>
      <c r="B18518" s="233"/>
      <c r="C18518" s="238"/>
      <c r="E18518" s="545"/>
      <c r="F18518" s="546"/>
      <c r="G18518" s="234"/>
      <c r="H18518" s="238"/>
      <c r="I18518" s="237"/>
    </row>
    <row r="18519" spans="1:9" s="232" customFormat="1" ht="17" customHeight="1">
      <c r="A18519" s="234"/>
      <c r="B18519" s="233"/>
      <c r="C18519" s="238"/>
      <c r="E18519" s="545"/>
      <c r="F18519" s="546"/>
      <c r="G18519" s="234"/>
      <c r="H18519" s="238"/>
      <c r="I18519" s="237"/>
    </row>
    <row r="18520" spans="1:9" s="232" customFormat="1" ht="17" customHeight="1">
      <c r="A18520" s="234"/>
      <c r="B18520" s="233"/>
      <c r="C18520" s="238"/>
      <c r="E18520" s="545"/>
      <c r="F18520" s="546"/>
      <c r="G18520" s="234"/>
      <c r="H18520" s="238"/>
      <c r="I18520" s="237"/>
    </row>
    <row r="18521" spans="1:9" s="232" customFormat="1" ht="17" customHeight="1">
      <c r="A18521" s="234"/>
      <c r="B18521" s="233"/>
      <c r="C18521" s="238"/>
      <c r="E18521" s="545"/>
      <c r="F18521" s="546"/>
      <c r="G18521" s="234"/>
      <c r="H18521" s="238"/>
      <c r="I18521" s="237"/>
    </row>
    <row r="18522" spans="1:9" s="232" customFormat="1" ht="17" customHeight="1">
      <c r="A18522" s="234"/>
      <c r="B18522" s="233"/>
      <c r="C18522" s="238"/>
      <c r="E18522" s="545"/>
      <c r="F18522" s="546"/>
      <c r="G18522" s="234"/>
      <c r="H18522" s="238"/>
      <c r="I18522" s="237"/>
    </row>
    <row r="18523" spans="1:9" s="232" customFormat="1" ht="17" customHeight="1">
      <c r="A18523" s="234"/>
      <c r="B18523" s="233"/>
      <c r="C18523" s="238"/>
      <c r="E18523" s="545"/>
      <c r="F18523" s="546"/>
      <c r="G18523" s="234"/>
      <c r="H18523" s="238"/>
      <c r="I18523" s="237"/>
    </row>
    <row r="18524" spans="1:9" s="232" customFormat="1" ht="17" customHeight="1">
      <c r="A18524" s="234"/>
      <c r="B18524" s="233"/>
      <c r="C18524" s="238"/>
      <c r="E18524" s="545"/>
      <c r="F18524" s="546"/>
      <c r="G18524" s="234"/>
      <c r="H18524" s="238"/>
      <c r="I18524" s="237"/>
    </row>
    <row r="18525" spans="1:9" s="232" customFormat="1" ht="17" customHeight="1">
      <c r="A18525" s="234"/>
      <c r="B18525" s="233"/>
      <c r="C18525" s="238"/>
      <c r="E18525" s="545"/>
      <c r="F18525" s="546"/>
      <c r="G18525" s="234"/>
      <c r="H18525" s="238"/>
      <c r="I18525" s="237"/>
    </row>
    <row r="18526" spans="1:9" s="232" customFormat="1" ht="17" customHeight="1">
      <c r="A18526" s="234"/>
      <c r="B18526" s="233"/>
      <c r="C18526" s="238"/>
      <c r="E18526" s="545"/>
      <c r="F18526" s="546"/>
      <c r="G18526" s="234"/>
      <c r="H18526" s="238"/>
      <c r="I18526" s="237"/>
    </row>
    <row r="18527" spans="1:9" s="232" customFormat="1" ht="17" customHeight="1">
      <c r="A18527" s="234"/>
      <c r="B18527" s="233"/>
      <c r="C18527" s="238"/>
      <c r="E18527" s="545"/>
      <c r="F18527" s="546"/>
      <c r="G18527" s="234"/>
      <c r="H18527" s="238"/>
      <c r="I18527" s="237"/>
    </row>
    <row r="18528" spans="1:9" s="232" customFormat="1" ht="17" customHeight="1">
      <c r="A18528" s="234"/>
      <c r="B18528" s="233"/>
      <c r="C18528" s="238"/>
      <c r="E18528" s="545"/>
      <c r="F18528" s="546"/>
      <c r="G18528" s="234"/>
      <c r="H18528" s="238"/>
      <c r="I18528" s="237"/>
    </row>
    <row r="18529" spans="1:9" s="232" customFormat="1" ht="17" customHeight="1">
      <c r="A18529" s="234"/>
      <c r="B18529" s="233"/>
      <c r="C18529" s="238"/>
      <c r="E18529" s="545"/>
      <c r="F18529" s="546"/>
      <c r="G18529" s="234"/>
      <c r="H18529" s="238"/>
      <c r="I18529" s="237"/>
    </row>
    <row r="18530" spans="1:9" s="232" customFormat="1" ht="17" customHeight="1">
      <c r="A18530" s="234"/>
      <c r="B18530" s="233"/>
      <c r="C18530" s="238"/>
      <c r="E18530" s="545"/>
      <c r="F18530" s="546"/>
      <c r="G18530" s="234"/>
      <c r="H18530" s="238"/>
      <c r="I18530" s="237"/>
    </row>
    <row r="18531" spans="1:9" s="232" customFormat="1" ht="17" customHeight="1">
      <c r="A18531" s="234"/>
      <c r="B18531" s="233"/>
      <c r="C18531" s="238"/>
      <c r="E18531" s="545"/>
      <c r="F18531" s="546"/>
      <c r="G18531" s="234"/>
      <c r="H18531" s="238"/>
      <c r="I18531" s="237"/>
    </row>
    <row r="18532" spans="1:9" s="232" customFormat="1" ht="17" customHeight="1">
      <c r="A18532" s="234"/>
      <c r="B18532" s="233"/>
      <c r="C18532" s="238"/>
      <c r="E18532" s="545"/>
      <c r="F18532" s="546"/>
      <c r="G18532" s="234"/>
      <c r="H18532" s="238"/>
      <c r="I18532" s="237"/>
    </row>
    <row r="18533" spans="1:9" s="232" customFormat="1" ht="17" customHeight="1">
      <c r="A18533" s="234"/>
      <c r="B18533" s="233"/>
      <c r="C18533" s="238"/>
      <c r="E18533" s="545"/>
      <c r="F18533" s="546"/>
      <c r="G18533" s="234"/>
      <c r="H18533" s="238"/>
      <c r="I18533" s="237"/>
    </row>
    <row r="18534" spans="1:9" s="232" customFormat="1" ht="17" customHeight="1">
      <c r="A18534" s="234"/>
      <c r="B18534" s="233"/>
      <c r="C18534" s="238"/>
      <c r="E18534" s="545"/>
      <c r="F18534" s="546"/>
      <c r="G18534" s="234"/>
      <c r="H18534" s="238"/>
      <c r="I18534" s="237"/>
    </row>
    <row r="18535" spans="1:9" s="232" customFormat="1" ht="17" customHeight="1">
      <c r="A18535" s="234"/>
      <c r="B18535" s="233"/>
      <c r="C18535" s="238"/>
      <c r="E18535" s="545"/>
      <c r="F18535" s="546"/>
      <c r="G18535" s="234"/>
      <c r="H18535" s="238"/>
      <c r="I18535" s="237"/>
    </row>
    <row r="18536" spans="1:9" s="232" customFormat="1" ht="17" customHeight="1">
      <c r="A18536" s="234"/>
      <c r="B18536" s="233"/>
      <c r="C18536" s="238"/>
      <c r="E18536" s="545"/>
      <c r="F18536" s="546"/>
      <c r="G18536" s="234"/>
      <c r="H18536" s="238"/>
      <c r="I18536" s="237"/>
    </row>
    <row r="18537" spans="1:9" s="232" customFormat="1" ht="17" customHeight="1">
      <c r="A18537" s="234"/>
      <c r="B18537" s="233"/>
      <c r="C18537" s="238"/>
      <c r="E18537" s="545"/>
      <c r="F18537" s="546"/>
      <c r="G18537" s="234"/>
      <c r="H18537" s="238"/>
      <c r="I18537" s="237"/>
    </row>
    <row r="18538" spans="1:9" s="232" customFormat="1" ht="17" customHeight="1">
      <c r="A18538" s="234"/>
      <c r="B18538" s="233"/>
      <c r="C18538" s="238"/>
      <c r="E18538" s="545"/>
      <c r="F18538" s="546"/>
      <c r="G18538" s="234"/>
      <c r="H18538" s="238"/>
      <c r="I18538" s="237"/>
    </row>
    <row r="18539" spans="1:9" s="232" customFormat="1" ht="17" customHeight="1">
      <c r="A18539" s="234"/>
      <c r="B18539" s="233"/>
      <c r="C18539" s="238"/>
      <c r="E18539" s="545"/>
      <c r="F18539" s="546"/>
      <c r="G18539" s="234"/>
      <c r="H18539" s="238"/>
      <c r="I18539" s="237"/>
    </row>
    <row r="18540" spans="1:9" s="232" customFormat="1" ht="17" customHeight="1">
      <c r="A18540" s="234"/>
      <c r="B18540" s="233"/>
      <c r="C18540" s="238"/>
      <c r="E18540" s="545"/>
      <c r="F18540" s="546"/>
      <c r="G18540" s="234"/>
      <c r="H18540" s="238"/>
      <c r="I18540" s="237"/>
    </row>
    <row r="18541" spans="1:9" s="232" customFormat="1" ht="17" customHeight="1">
      <c r="A18541" s="234"/>
      <c r="B18541" s="233"/>
      <c r="C18541" s="238"/>
      <c r="E18541" s="545"/>
      <c r="F18541" s="546"/>
      <c r="G18541" s="234"/>
      <c r="H18541" s="238"/>
      <c r="I18541" s="237"/>
    </row>
    <row r="18542" spans="1:9" s="232" customFormat="1" ht="17" customHeight="1">
      <c r="A18542" s="234"/>
      <c r="B18542" s="233"/>
      <c r="C18542" s="238"/>
      <c r="E18542" s="545"/>
      <c r="F18542" s="546"/>
      <c r="G18542" s="234"/>
      <c r="H18542" s="238"/>
      <c r="I18542" s="237"/>
    </row>
    <row r="18543" spans="1:9" s="232" customFormat="1" ht="17" customHeight="1">
      <c r="A18543" s="234"/>
      <c r="B18543" s="233"/>
      <c r="C18543" s="238"/>
      <c r="E18543" s="545"/>
      <c r="F18543" s="546"/>
      <c r="G18543" s="234"/>
      <c r="H18543" s="238"/>
      <c r="I18543" s="237"/>
    </row>
    <row r="18544" spans="1:9" s="232" customFormat="1" ht="17" customHeight="1">
      <c r="A18544" s="234"/>
      <c r="B18544" s="233"/>
      <c r="C18544" s="238"/>
      <c r="E18544" s="545"/>
      <c r="F18544" s="546"/>
      <c r="G18544" s="234"/>
      <c r="H18544" s="238"/>
      <c r="I18544" s="237"/>
    </row>
    <row r="18545" spans="1:9" s="232" customFormat="1" ht="17" customHeight="1">
      <c r="A18545" s="234"/>
      <c r="B18545" s="233"/>
      <c r="C18545" s="238"/>
      <c r="E18545" s="545"/>
      <c r="F18545" s="546"/>
      <c r="G18545" s="234"/>
      <c r="H18545" s="238"/>
      <c r="I18545" s="237"/>
    </row>
    <row r="18546" spans="1:9" s="232" customFormat="1" ht="17" customHeight="1">
      <c r="A18546" s="234"/>
      <c r="B18546" s="233"/>
      <c r="C18546" s="238"/>
      <c r="E18546" s="545"/>
      <c r="F18546" s="546"/>
      <c r="G18546" s="234"/>
      <c r="H18546" s="238"/>
      <c r="I18546" s="237"/>
    </row>
    <row r="18547" spans="1:9" s="232" customFormat="1" ht="17" customHeight="1">
      <c r="A18547" s="234"/>
      <c r="B18547" s="233"/>
      <c r="C18547" s="238"/>
      <c r="E18547" s="545"/>
      <c r="F18547" s="546"/>
      <c r="G18547" s="234"/>
      <c r="H18547" s="238"/>
      <c r="I18547" s="237"/>
    </row>
    <row r="18548" spans="1:9" s="232" customFormat="1" ht="17" customHeight="1">
      <c r="A18548" s="234"/>
      <c r="B18548" s="233"/>
      <c r="C18548" s="238"/>
      <c r="E18548" s="545"/>
      <c r="F18548" s="546"/>
      <c r="G18548" s="234"/>
      <c r="H18548" s="238"/>
      <c r="I18548" s="237"/>
    </row>
    <row r="18549" spans="1:9" s="232" customFormat="1" ht="17" customHeight="1">
      <c r="A18549" s="234"/>
      <c r="B18549" s="233"/>
      <c r="C18549" s="238"/>
      <c r="E18549" s="545"/>
      <c r="F18549" s="546"/>
      <c r="G18549" s="234"/>
      <c r="H18549" s="238"/>
      <c r="I18549" s="237"/>
    </row>
    <row r="18550" spans="1:9" s="232" customFormat="1" ht="17" customHeight="1">
      <c r="A18550" s="234"/>
      <c r="B18550" s="233"/>
      <c r="C18550" s="238"/>
      <c r="E18550" s="545"/>
      <c r="F18550" s="546"/>
      <c r="G18550" s="234"/>
      <c r="H18550" s="238"/>
      <c r="I18550" s="237"/>
    </row>
    <row r="18551" spans="1:9" s="232" customFormat="1" ht="17" customHeight="1">
      <c r="A18551" s="234"/>
      <c r="B18551" s="233"/>
      <c r="C18551" s="238"/>
      <c r="E18551" s="545"/>
      <c r="F18551" s="546"/>
      <c r="G18551" s="234"/>
      <c r="H18551" s="238"/>
      <c r="I18551" s="237"/>
    </row>
    <row r="18552" spans="1:9" s="232" customFormat="1" ht="17" customHeight="1">
      <c r="A18552" s="234"/>
      <c r="B18552" s="233"/>
      <c r="C18552" s="238"/>
      <c r="E18552" s="545"/>
      <c r="F18552" s="546"/>
      <c r="G18552" s="234"/>
      <c r="H18552" s="238"/>
      <c r="I18552" s="237"/>
    </row>
    <row r="18553" spans="1:9" s="232" customFormat="1" ht="17" customHeight="1">
      <c r="A18553" s="234"/>
      <c r="B18553" s="233"/>
      <c r="C18553" s="238"/>
      <c r="E18553" s="545"/>
      <c r="F18553" s="546"/>
      <c r="G18553" s="234"/>
      <c r="H18553" s="238"/>
      <c r="I18553" s="237"/>
    </row>
    <row r="18554" spans="1:9" s="232" customFormat="1" ht="17" customHeight="1">
      <c r="A18554" s="234"/>
      <c r="B18554" s="233"/>
      <c r="C18554" s="238"/>
      <c r="E18554" s="545"/>
      <c r="F18554" s="546"/>
      <c r="G18554" s="234"/>
      <c r="H18554" s="238"/>
      <c r="I18554" s="237"/>
    </row>
    <row r="18555" spans="1:9" s="232" customFormat="1" ht="17" customHeight="1">
      <c r="A18555" s="234"/>
      <c r="B18555" s="233"/>
      <c r="C18555" s="238"/>
      <c r="E18555" s="545"/>
      <c r="F18555" s="546"/>
      <c r="G18555" s="234"/>
      <c r="H18555" s="238"/>
      <c r="I18555" s="237"/>
    </row>
    <row r="18556" spans="1:9" s="232" customFormat="1" ht="17" customHeight="1">
      <c r="A18556" s="234"/>
      <c r="B18556" s="233"/>
      <c r="C18556" s="238"/>
      <c r="E18556" s="545"/>
      <c r="F18556" s="546"/>
      <c r="G18556" s="234"/>
      <c r="H18556" s="238"/>
      <c r="I18556" s="237"/>
    </row>
    <row r="18557" spans="1:9" s="232" customFormat="1" ht="17" customHeight="1">
      <c r="A18557" s="234"/>
      <c r="B18557" s="233"/>
      <c r="C18557" s="238"/>
      <c r="E18557" s="545"/>
      <c r="F18557" s="546"/>
      <c r="G18557" s="234"/>
      <c r="H18557" s="238"/>
      <c r="I18557" s="237"/>
    </row>
    <row r="18558" spans="1:9" s="232" customFormat="1" ht="17" customHeight="1">
      <c r="A18558" s="234"/>
      <c r="B18558" s="233"/>
      <c r="C18558" s="238"/>
      <c r="E18558" s="545"/>
      <c r="F18558" s="546"/>
      <c r="G18558" s="234"/>
      <c r="H18558" s="238"/>
      <c r="I18558" s="237"/>
    </row>
    <row r="18559" spans="1:9" s="232" customFormat="1" ht="17" customHeight="1">
      <c r="A18559" s="234"/>
      <c r="B18559" s="233"/>
      <c r="C18559" s="238"/>
      <c r="E18559" s="545"/>
      <c r="F18559" s="546"/>
      <c r="G18559" s="234"/>
      <c r="H18559" s="238"/>
      <c r="I18559" s="237"/>
    </row>
    <row r="18560" spans="1:9" s="232" customFormat="1" ht="17" customHeight="1">
      <c r="A18560" s="234"/>
      <c r="B18560" s="233"/>
      <c r="C18560" s="238"/>
      <c r="E18560" s="545"/>
      <c r="F18560" s="546"/>
      <c r="G18560" s="234"/>
      <c r="H18560" s="238"/>
      <c r="I18560" s="237"/>
    </row>
    <row r="18561" spans="1:9" s="232" customFormat="1" ht="17" customHeight="1">
      <c r="A18561" s="234"/>
      <c r="B18561" s="233"/>
      <c r="C18561" s="238"/>
      <c r="E18561" s="545"/>
      <c r="F18561" s="546"/>
      <c r="G18561" s="234"/>
      <c r="H18561" s="238"/>
      <c r="I18561" s="237"/>
    </row>
    <row r="18562" spans="1:9" s="232" customFormat="1" ht="17" customHeight="1">
      <c r="A18562" s="234"/>
      <c r="B18562" s="233"/>
      <c r="C18562" s="238"/>
      <c r="E18562" s="545"/>
      <c r="F18562" s="546"/>
      <c r="G18562" s="234"/>
      <c r="H18562" s="238"/>
      <c r="I18562" s="237"/>
    </row>
    <row r="18563" spans="1:9" s="232" customFormat="1" ht="17" customHeight="1">
      <c r="A18563" s="234"/>
      <c r="B18563" s="233"/>
      <c r="C18563" s="238"/>
      <c r="E18563" s="545"/>
      <c r="F18563" s="546"/>
      <c r="G18563" s="234"/>
      <c r="H18563" s="238"/>
      <c r="I18563" s="237"/>
    </row>
    <row r="18564" spans="1:9" s="232" customFormat="1" ht="17" customHeight="1">
      <c r="A18564" s="234"/>
      <c r="B18564" s="233"/>
      <c r="C18564" s="238"/>
      <c r="E18564" s="545"/>
      <c r="F18564" s="546"/>
      <c r="G18564" s="234"/>
      <c r="H18564" s="238"/>
      <c r="I18564" s="237"/>
    </row>
    <row r="18565" spans="1:9" s="232" customFormat="1" ht="17" customHeight="1">
      <c r="A18565" s="234"/>
      <c r="B18565" s="233"/>
      <c r="C18565" s="238"/>
      <c r="E18565" s="545"/>
      <c r="F18565" s="546"/>
      <c r="G18565" s="234"/>
      <c r="H18565" s="238"/>
      <c r="I18565" s="237"/>
    </row>
    <row r="18566" spans="1:9" s="232" customFormat="1" ht="17" customHeight="1">
      <c r="A18566" s="234"/>
      <c r="B18566" s="233"/>
      <c r="C18566" s="238"/>
      <c r="E18566" s="545"/>
      <c r="F18566" s="546"/>
      <c r="G18566" s="234"/>
      <c r="H18566" s="238"/>
      <c r="I18566" s="237"/>
    </row>
    <row r="18567" spans="1:9" s="232" customFormat="1" ht="17" customHeight="1">
      <c r="A18567" s="234"/>
      <c r="B18567" s="233"/>
      <c r="C18567" s="238"/>
      <c r="E18567" s="545"/>
      <c r="F18567" s="546"/>
      <c r="G18567" s="234"/>
      <c r="H18567" s="238"/>
      <c r="I18567" s="237"/>
    </row>
    <row r="18568" spans="1:9" s="232" customFormat="1" ht="17" customHeight="1">
      <c r="A18568" s="234"/>
      <c r="B18568" s="233"/>
      <c r="C18568" s="238"/>
      <c r="E18568" s="545"/>
      <c r="F18568" s="546"/>
      <c r="G18568" s="234"/>
      <c r="H18568" s="238"/>
      <c r="I18568" s="237"/>
    </row>
    <row r="18569" spans="1:9" s="232" customFormat="1" ht="17" customHeight="1">
      <c r="A18569" s="234"/>
      <c r="B18569" s="233"/>
      <c r="C18569" s="238"/>
      <c r="E18569" s="545"/>
      <c r="F18569" s="546"/>
      <c r="G18569" s="234"/>
      <c r="H18569" s="238"/>
      <c r="I18569" s="237"/>
    </row>
    <row r="18570" spans="1:9" s="232" customFormat="1" ht="17" customHeight="1">
      <c r="A18570" s="234"/>
      <c r="B18570" s="233"/>
      <c r="C18570" s="238"/>
      <c r="E18570" s="545"/>
      <c r="F18570" s="546"/>
      <c r="G18570" s="234"/>
      <c r="H18570" s="238"/>
      <c r="I18570" s="237"/>
    </row>
    <row r="18571" spans="1:9" s="232" customFormat="1" ht="17" customHeight="1">
      <c r="A18571" s="234"/>
      <c r="B18571" s="233"/>
      <c r="C18571" s="238"/>
      <c r="E18571" s="545"/>
      <c r="F18571" s="546"/>
      <c r="G18571" s="234"/>
      <c r="H18571" s="238"/>
      <c r="I18571" s="237"/>
    </row>
    <row r="18572" spans="1:9" s="232" customFormat="1" ht="17" customHeight="1">
      <c r="A18572" s="234"/>
      <c r="B18572" s="233"/>
      <c r="C18572" s="238"/>
      <c r="E18572" s="545"/>
      <c r="F18572" s="546"/>
      <c r="G18572" s="234"/>
      <c r="H18572" s="238"/>
      <c r="I18572" s="237"/>
    </row>
    <row r="18573" spans="1:9" s="232" customFormat="1" ht="17" customHeight="1">
      <c r="A18573" s="234"/>
      <c r="B18573" s="233"/>
      <c r="C18573" s="238"/>
      <c r="E18573" s="545"/>
      <c r="F18573" s="546"/>
      <c r="G18573" s="234"/>
      <c r="H18573" s="238"/>
      <c r="I18573" s="237"/>
    </row>
    <row r="18574" spans="1:9" s="232" customFormat="1" ht="17" customHeight="1">
      <c r="A18574" s="234"/>
      <c r="B18574" s="233"/>
      <c r="C18574" s="238"/>
      <c r="E18574" s="545"/>
      <c r="F18574" s="546"/>
      <c r="G18574" s="234"/>
      <c r="H18574" s="238"/>
      <c r="I18574" s="237"/>
    </row>
    <row r="18575" spans="1:9" s="232" customFormat="1" ht="17" customHeight="1">
      <c r="A18575" s="234"/>
      <c r="B18575" s="233"/>
      <c r="C18575" s="238"/>
      <c r="E18575" s="545"/>
      <c r="F18575" s="546"/>
      <c r="G18575" s="234"/>
      <c r="H18575" s="238"/>
      <c r="I18575" s="237"/>
    </row>
    <row r="18576" spans="1:9" s="232" customFormat="1" ht="17" customHeight="1">
      <c r="A18576" s="234"/>
      <c r="B18576" s="233"/>
      <c r="C18576" s="238"/>
      <c r="E18576" s="545"/>
      <c r="F18576" s="546"/>
      <c r="G18576" s="234"/>
      <c r="H18576" s="238"/>
      <c r="I18576" s="237"/>
    </row>
    <row r="18577" spans="1:9" s="232" customFormat="1" ht="17" customHeight="1">
      <c r="A18577" s="234"/>
      <c r="B18577" s="233"/>
      <c r="C18577" s="238"/>
      <c r="E18577" s="545"/>
      <c r="F18577" s="546"/>
      <c r="G18577" s="234"/>
      <c r="H18577" s="238"/>
      <c r="I18577" s="237"/>
    </row>
    <row r="18578" spans="1:9" s="232" customFormat="1" ht="17" customHeight="1">
      <c r="A18578" s="234"/>
      <c r="B18578" s="233"/>
      <c r="C18578" s="238"/>
      <c r="E18578" s="545"/>
      <c r="F18578" s="546"/>
      <c r="G18578" s="234"/>
      <c r="H18578" s="238"/>
      <c r="I18578" s="237"/>
    </row>
    <row r="18579" spans="1:9" s="232" customFormat="1" ht="17" customHeight="1">
      <c r="A18579" s="234"/>
      <c r="B18579" s="233"/>
      <c r="C18579" s="238"/>
      <c r="E18579" s="545"/>
      <c r="F18579" s="546"/>
      <c r="G18579" s="234"/>
      <c r="H18579" s="238"/>
      <c r="I18579" s="237"/>
    </row>
    <row r="18580" spans="1:9" s="232" customFormat="1" ht="17" customHeight="1">
      <c r="A18580" s="234"/>
      <c r="B18580" s="233"/>
      <c r="C18580" s="238"/>
      <c r="E18580" s="545"/>
      <c r="F18580" s="546"/>
      <c r="G18580" s="234"/>
      <c r="H18580" s="238"/>
      <c r="I18580" s="237"/>
    </row>
    <row r="18581" spans="1:9" s="232" customFormat="1" ht="17" customHeight="1">
      <c r="A18581" s="234"/>
      <c r="B18581" s="233"/>
      <c r="C18581" s="238"/>
      <c r="E18581" s="545"/>
      <c r="F18581" s="546"/>
      <c r="G18581" s="234"/>
      <c r="H18581" s="238"/>
      <c r="I18581" s="237"/>
    </row>
    <row r="18582" spans="1:9" s="232" customFormat="1" ht="17" customHeight="1">
      <c r="A18582" s="234"/>
      <c r="B18582" s="233"/>
      <c r="C18582" s="238"/>
      <c r="E18582" s="545"/>
      <c r="F18582" s="546"/>
      <c r="G18582" s="234"/>
      <c r="H18582" s="238"/>
      <c r="I18582" s="237"/>
    </row>
    <row r="18583" spans="1:9" s="232" customFormat="1" ht="17" customHeight="1">
      <c r="A18583" s="234"/>
      <c r="B18583" s="233"/>
      <c r="C18583" s="238"/>
      <c r="E18583" s="545"/>
      <c r="F18583" s="546"/>
      <c r="G18583" s="234"/>
      <c r="H18583" s="238"/>
      <c r="I18583" s="237"/>
    </row>
    <row r="18584" spans="1:9" s="232" customFormat="1" ht="17" customHeight="1">
      <c r="A18584" s="234"/>
      <c r="B18584" s="233"/>
      <c r="C18584" s="238"/>
      <c r="E18584" s="545"/>
      <c r="F18584" s="546"/>
      <c r="G18584" s="234"/>
      <c r="H18584" s="238"/>
      <c r="I18584" s="237"/>
    </row>
    <row r="18585" spans="1:9" s="232" customFormat="1" ht="17" customHeight="1">
      <c r="A18585" s="234"/>
      <c r="B18585" s="233"/>
      <c r="C18585" s="238"/>
      <c r="E18585" s="545"/>
      <c r="F18585" s="546"/>
      <c r="G18585" s="234"/>
      <c r="H18585" s="238"/>
      <c r="I18585" s="237"/>
    </row>
    <row r="18586" spans="1:9" s="232" customFormat="1" ht="17" customHeight="1">
      <c r="A18586" s="234"/>
      <c r="B18586" s="233"/>
      <c r="C18586" s="238"/>
      <c r="E18586" s="545"/>
      <c r="F18586" s="546"/>
      <c r="G18586" s="234"/>
      <c r="H18586" s="238"/>
      <c r="I18586" s="237"/>
    </row>
    <row r="18587" spans="1:9" s="232" customFormat="1" ht="17" customHeight="1">
      <c r="A18587" s="234"/>
      <c r="B18587" s="233"/>
      <c r="C18587" s="238"/>
      <c r="E18587" s="545"/>
      <c r="F18587" s="546"/>
      <c r="G18587" s="234"/>
      <c r="H18587" s="238"/>
      <c r="I18587" s="237"/>
    </row>
    <row r="18588" spans="1:9" s="232" customFormat="1" ht="17" customHeight="1">
      <c r="A18588" s="234"/>
      <c r="B18588" s="233"/>
      <c r="C18588" s="238"/>
      <c r="E18588" s="545"/>
      <c r="F18588" s="546"/>
      <c r="G18588" s="234"/>
      <c r="H18588" s="238"/>
      <c r="I18588" s="237"/>
    </row>
    <row r="18589" spans="1:9" s="232" customFormat="1" ht="17" customHeight="1">
      <c r="A18589" s="234"/>
      <c r="B18589" s="233"/>
      <c r="C18589" s="238"/>
      <c r="E18589" s="545"/>
      <c r="F18589" s="546"/>
      <c r="G18589" s="234"/>
      <c r="H18589" s="238"/>
      <c r="I18589" s="237"/>
    </row>
    <row r="18590" spans="1:9" s="232" customFormat="1" ht="17" customHeight="1">
      <c r="A18590" s="234"/>
      <c r="B18590" s="233"/>
      <c r="C18590" s="238"/>
      <c r="E18590" s="545"/>
      <c r="F18590" s="546"/>
      <c r="G18590" s="234"/>
      <c r="H18590" s="238"/>
      <c r="I18590" s="237"/>
    </row>
    <row r="18591" spans="1:9" s="232" customFormat="1" ht="17" customHeight="1">
      <c r="A18591" s="234"/>
      <c r="B18591" s="233"/>
      <c r="C18591" s="238"/>
      <c r="E18591" s="545"/>
      <c r="F18591" s="546"/>
      <c r="G18591" s="234"/>
      <c r="H18591" s="238"/>
      <c r="I18591" s="237"/>
    </row>
    <row r="18592" spans="1:9" s="232" customFormat="1" ht="17" customHeight="1">
      <c r="A18592" s="234"/>
      <c r="B18592" s="233"/>
      <c r="C18592" s="238"/>
      <c r="E18592" s="545"/>
      <c r="F18592" s="546"/>
      <c r="G18592" s="234"/>
      <c r="H18592" s="238"/>
      <c r="I18592" s="237"/>
    </row>
    <row r="18593" spans="1:9" s="232" customFormat="1" ht="17" customHeight="1">
      <c r="A18593" s="234"/>
      <c r="B18593" s="233"/>
      <c r="C18593" s="238"/>
      <c r="E18593" s="545"/>
      <c r="F18593" s="546"/>
      <c r="G18593" s="234"/>
      <c r="H18593" s="238"/>
      <c r="I18593" s="237"/>
    </row>
    <row r="18594" spans="1:9" s="232" customFormat="1" ht="17" customHeight="1">
      <c r="A18594" s="234"/>
      <c r="B18594" s="233"/>
      <c r="C18594" s="238"/>
      <c r="E18594" s="545"/>
      <c r="F18594" s="546"/>
      <c r="G18594" s="234"/>
      <c r="H18594" s="238"/>
      <c r="I18594" s="237"/>
    </row>
    <row r="18595" spans="1:9" s="232" customFormat="1" ht="17" customHeight="1">
      <c r="A18595" s="234"/>
      <c r="B18595" s="233"/>
      <c r="C18595" s="238"/>
      <c r="E18595" s="545"/>
      <c r="F18595" s="546"/>
      <c r="G18595" s="234"/>
      <c r="H18595" s="238"/>
      <c r="I18595" s="237"/>
    </row>
    <row r="18596" spans="1:9" s="232" customFormat="1" ht="17" customHeight="1">
      <c r="A18596" s="234"/>
      <c r="B18596" s="233"/>
      <c r="C18596" s="238"/>
      <c r="E18596" s="545"/>
      <c r="F18596" s="546"/>
      <c r="G18596" s="234"/>
      <c r="H18596" s="238"/>
      <c r="I18596" s="237"/>
    </row>
    <row r="18597" spans="1:9" s="232" customFormat="1" ht="17" customHeight="1">
      <c r="A18597" s="234"/>
      <c r="B18597" s="233"/>
      <c r="C18597" s="238"/>
      <c r="E18597" s="545"/>
      <c r="F18597" s="546"/>
      <c r="G18597" s="234"/>
      <c r="H18597" s="238"/>
      <c r="I18597" s="237"/>
    </row>
    <row r="18598" spans="1:9" s="232" customFormat="1" ht="17" customHeight="1">
      <c r="A18598" s="234"/>
      <c r="B18598" s="233"/>
      <c r="C18598" s="238"/>
      <c r="E18598" s="545"/>
      <c r="F18598" s="546"/>
      <c r="G18598" s="234"/>
      <c r="H18598" s="238"/>
      <c r="I18598" s="237"/>
    </row>
    <row r="18599" spans="1:9" s="232" customFormat="1" ht="17" customHeight="1">
      <c r="A18599" s="234"/>
      <c r="B18599" s="233"/>
      <c r="C18599" s="238"/>
      <c r="E18599" s="545"/>
      <c r="F18599" s="546"/>
      <c r="G18599" s="234"/>
      <c r="H18599" s="238"/>
      <c r="I18599" s="237"/>
    </row>
    <row r="18600" spans="1:9" s="232" customFormat="1" ht="17" customHeight="1">
      <c r="A18600" s="234"/>
      <c r="B18600" s="233"/>
      <c r="C18600" s="238"/>
      <c r="E18600" s="545"/>
      <c r="F18600" s="546"/>
      <c r="G18600" s="234"/>
      <c r="H18600" s="238"/>
      <c r="I18600" s="237"/>
    </row>
    <row r="18601" spans="1:9" s="232" customFormat="1" ht="17" customHeight="1">
      <c r="A18601" s="234"/>
      <c r="B18601" s="233"/>
      <c r="C18601" s="238"/>
      <c r="E18601" s="545"/>
      <c r="F18601" s="546"/>
      <c r="G18601" s="234"/>
      <c r="H18601" s="238"/>
      <c r="I18601" s="237"/>
    </row>
    <row r="18602" spans="1:9" s="232" customFormat="1" ht="17" customHeight="1">
      <c r="A18602" s="234"/>
      <c r="B18602" s="233"/>
      <c r="C18602" s="238"/>
      <c r="E18602" s="545"/>
      <c r="F18602" s="546"/>
      <c r="G18602" s="234"/>
      <c r="H18602" s="238"/>
      <c r="I18602" s="237"/>
    </row>
    <row r="18603" spans="1:9" s="232" customFormat="1" ht="17" customHeight="1">
      <c r="A18603" s="234"/>
      <c r="B18603" s="233"/>
      <c r="C18603" s="238"/>
      <c r="E18603" s="545"/>
      <c r="F18603" s="546"/>
      <c r="G18603" s="234"/>
      <c r="H18603" s="238"/>
      <c r="I18603" s="237"/>
    </row>
    <row r="18604" spans="1:9" s="232" customFormat="1" ht="17" customHeight="1">
      <c r="A18604" s="234"/>
      <c r="B18604" s="233"/>
      <c r="C18604" s="238"/>
      <c r="E18604" s="545"/>
      <c r="F18604" s="546"/>
      <c r="G18604" s="234"/>
      <c r="H18604" s="238"/>
      <c r="I18604" s="237"/>
    </row>
    <row r="18605" spans="1:9" s="232" customFormat="1" ht="17" customHeight="1">
      <c r="A18605" s="234"/>
      <c r="B18605" s="233"/>
      <c r="C18605" s="238"/>
      <c r="E18605" s="545"/>
      <c r="F18605" s="546"/>
      <c r="G18605" s="234"/>
      <c r="H18605" s="238"/>
      <c r="I18605" s="237"/>
    </row>
    <row r="18606" spans="1:9" s="232" customFormat="1" ht="17" customHeight="1">
      <c r="A18606" s="234"/>
      <c r="B18606" s="233"/>
      <c r="C18606" s="238"/>
      <c r="E18606" s="545"/>
      <c r="F18606" s="546"/>
      <c r="G18606" s="234"/>
      <c r="H18606" s="238"/>
      <c r="I18606" s="237"/>
    </row>
    <row r="18607" spans="1:9" s="232" customFormat="1" ht="17" customHeight="1">
      <c r="A18607" s="234"/>
      <c r="B18607" s="233"/>
      <c r="C18607" s="238"/>
      <c r="E18607" s="545"/>
      <c r="F18607" s="546"/>
      <c r="G18607" s="234"/>
      <c r="H18607" s="238"/>
      <c r="I18607" s="237"/>
    </row>
    <row r="18608" spans="1:9" s="232" customFormat="1" ht="17" customHeight="1">
      <c r="A18608" s="234"/>
      <c r="B18608" s="233"/>
      <c r="C18608" s="238"/>
      <c r="E18608" s="545"/>
      <c r="F18608" s="546"/>
      <c r="G18608" s="234"/>
      <c r="H18608" s="238"/>
      <c r="I18608" s="237"/>
    </row>
    <row r="18609" spans="1:9" s="232" customFormat="1" ht="17" customHeight="1">
      <c r="A18609" s="234"/>
      <c r="B18609" s="233"/>
      <c r="C18609" s="238"/>
      <c r="E18609" s="545"/>
      <c r="F18609" s="546"/>
      <c r="G18609" s="234"/>
      <c r="H18609" s="238"/>
      <c r="I18609" s="237"/>
    </row>
    <row r="18610" spans="1:9" s="232" customFormat="1" ht="17" customHeight="1">
      <c r="A18610" s="234"/>
      <c r="B18610" s="233"/>
      <c r="C18610" s="238"/>
      <c r="E18610" s="545"/>
      <c r="F18610" s="546"/>
      <c r="G18610" s="234"/>
      <c r="H18610" s="238"/>
      <c r="I18610" s="237"/>
    </row>
    <row r="18611" spans="1:9" s="232" customFormat="1" ht="17" customHeight="1">
      <c r="A18611" s="234"/>
      <c r="B18611" s="233"/>
      <c r="C18611" s="238"/>
      <c r="E18611" s="545"/>
      <c r="F18611" s="546"/>
      <c r="G18611" s="234"/>
      <c r="H18611" s="238"/>
      <c r="I18611" s="237"/>
    </row>
    <row r="18612" spans="1:9" s="232" customFormat="1" ht="17" customHeight="1">
      <c r="A18612" s="234"/>
      <c r="B18612" s="233"/>
      <c r="C18612" s="238"/>
      <c r="E18612" s="545"/>
      <c r="F18612" s="546"/>
      <c r="G18612" s="234"/>
      <c r="H18612" s="238"/>
      <c r="I18612" s="237"/>
    </row>
    <row r="18613" spans="1:9" s="232" customFormat="1" ht="17" customHeight="1">
      <c r="A18613" s="234"/>
      <c r="B18613" s="233"/>
      <c r="C18613" s="238"/>
      <c r="E18613" s="545"/>
      <c r="F18613" s="546"/>
      <c r="G18613" s="234"/>
      <c r="H18613" s="238"/>
      <c r="I18613" s="237"/>
    </row>
    <row r="18614" spans="1:9" s="232" customFormat="1" ht="17" customHeight="1">
      <c r="A18614" s="234"/>
      <c r="B18614" s="233"/>
      <c r="C18614" s="238"/>
      <c r="E18614" s="545"/>
      <c r="F18614" s="546"/>
      <c r="G18614" s="234"/>
      <c r="H18614" s="238"/>
      <c r="I18614" s="237"/>
    </row>
    <row r="18615" spans="1:9" s="232" customFormat="1" ht="17" customHeight="1">
      <c r="A18615" s="234"/>
      <c r="B18615" s="233"/>
      <c r="C18615" s="238"/>
      <c r="E18615" s="545"/>
      <c r="F18615" s="546"/>
      <c r="G18615" s="234"/>
      <c r="H18615" s="238"/>
      <c r="I18615" s="237"/>
    </row>
    <row r="18616" spans="1:9" s="232" customFormat="1" ht="17" customHeight="1">
      <c r="A18616" s="234"/>
      <c r="B18616" s="233"/>
      <c r="C18616" s="238"/>
      <c r="E18616" s="545"/>
      <c r="F18616" s="546"/>
      <c r="G18616" s="234"/>
      <c r="H18616" s="238"/>
      <c r="I18616" s="237"/>
    </row>
    <row r="18617" spans="1:9" s="232" customFormat="1" ht="17" customHeight="1">
      <c r="A18617" s="234"/>
      <c r="B18617" s="233"/>
      <c r="C18617" s="238"/>
      <c r="E18617" s="545"/>
      <c r="F18617" s="546"/>
      <c r="G18617" s="234"/>
      <c r="H18617" s="238"/>
      <c r="I18617" s="237"/>
    </row>
    <row r="18618" spans="1:9" s="232" customFormat="1" ht="17" customHeight="1">
      <c r="A18618" s="234"/>
      <c r="B18618" s="233"/>
      <c r="C18618" s="238"/>
      <c r="E18618" s="545"/>
      <c r="F18618" s="546"/>
      <c r="G18618" s="234"/>
      <c r="H18618" s="238"/>
      <c r="I18618" s="237"/>
    </row>
    <row r="18619" spans="1:9" s="232" customFormat="1" ht="17" customHeight="1">
      <c r="A18619" s="234"/>
      <c r="B18619" s="233"/>
      <c r="C18619" s="238"/>
      <c r="E18619" s="545"/>
      <c r="F18619" s="546"/>
      <c r="G18619" s="234"/>
      <c r="H18619" s="238"/>
      <c r="I18619" s="237"/>
    </row>
    <row r="18620" spans="1:9" s="232" customFormat="1" ht="17" customHeight="1">
      <c r="A18620" s="234"/>
      <c r="B18620" s="233"/>
      <c r="C18620" s="238"/>
      <c r="E18620" s="545"/>
      <c r="F18620" s="546"/>
      <c r="G18620" s="234"/>
      <c r="H18620" s="238"/>
      <c r="I18620" s="237"/>
    </row>
    <row r="18621" spans="1:9" s="232" customFormat="1" ht="17" customHeight="1">
      <c r="A18621" s="234"/>
      <c r="B18621" s="233"/>
      <c r="C18621" s="238"/>
      <c r="E18621" s="545"/>
      <c r="F18621" s="546"/>
      <c r="G18621" s="234"/>
      <c r="H18621" s="238"/>
      <c r="I18621" s="237"/>
    </row>
    <row r="18622" spans="1:9" s="232" customFormat="1" ht="17" customHeight="1">
      <c r="A18622" s="234"/>
      <c r="B18622" s="233"/>
      <c r="C18622" s="238"/>
      <c r="E18622" s="545"/>
      <c r="F18622" s="546"/>
      <c r="G18622" s="234"/>
      <c r="H18622" s="238"/>
      <c r="I18622" s="237"/>
    </row>
    <row r="18623" spans="1:9" s="232" customFormat="1" ht="17" customHeight="1">
      <c r="A18623" s="234"/>
      <c r="B18623" s="233"/>
      <c r="C18623" s="238"/>
      <c r="E18623" s="545"/>
      <c r="F18623" s="546"/>
      <c r="G18623" s="234"/>
      <c r="H18623" s="238"/>
      <c r="I18623" s="237"/>
    </row>
    <row r="18624" spans="1:9" s="232" customFormat="1" ht="17" customHeight="1">
      <c r="A18624" s="234"/>
      <c r="B18624" s="233"/>
      <c r="C18624" s="238"/>
      <c r="E18624" s="545"/>
      <c r="F18624" s="546"/>
      <c r="G18624" s="234"/>
      <c r="H18624" s="238"/>
      <c r="I18624" s="237"/>
    </row>
    <row r="18625" spans="1:9" s="232" customFormat="1" ht="17" customHeight="1">
      <c r="A18625" s="234"/>
      <c r="B18625" s="233"/>
      <c r="C18625" s="238"/>
      <c r="E18625" s="545"/>
      <c r="F18625" s="546"/>
      <c r="G18625" s="234"/>
      <c r="H18625" s="238"/>
      <c r="I18625" s="237"/>
    </row>
    <row r="18626" spans="1:9" s="232" customFormat="1" ht="17" customHeight="1">
      <c r="A18626" s="234"/>
      <c r="B18626" s="233"/>
      <c r="C18626" s="238"/>
      <c r="E18626" s="545"/>
      <c r="F18626" s="546"/>
      <c r="G18626" s="234"/>
      <c r="H18626" s="238"/>
      <c r="I18626" s="237"/>
    </row>
    <row r="18627" spans="1:9" s="232" customFormat="1" ht="17" customHeight="1">
      <c r="A18627" s="234"/>
      <c r="B18627" s="233"/>
      <c r="C18627" s="238"/>
      <c r="E18627" s="545"/>
      <c r="F18627" s="546"/>
      <c r="G18627" s="234"/>
      <c r="H18627" s="238"/>
      <c r="I18627" s="237"/>
    </row>
    <row r="18628" spans="1:9" s="232" customFormat="1" ht="17" customHeight="1">
      <c r="A18628" s="234"/>
      <c r="B18628" s="233"/>
      <c r="C18628" s="238"/>
      <c r="E18628" s="545"/>
      <c r="F18628" s="546"/>
      <c r="G18628" s="234"/>
      <c r="H18628" s="238"/>
      <c r="I18628" s="237"/>
    </row>
    <row r="18629" spans="1:9" s="232" customFormat="1" ht="17" customHeight="1">
      <c r="A18629" s="234"/>
      <c r="B18629" s="233"/>
      <c r="C18629" s="238"/>
      <c r="E18629" s="545"/>
      <c r="F18629" s="546"/>
      <c r="G18629" s="234"/>
      <c r="H18629" s="238"/>
      <c r="I18629" s="237"/>
    </row>
    <row r="18630" spans="1:9" s="232" customFormat="1" ht="17" customHeight="1">
      <c r="A18630" s="234"/>
      <c r="B18630" s="233"/>
      <c r="C18630" s="238"/>
      <c r="E18630" s="545"/>
      <c r="F18630" s="546"/>
      <c r="G18630" s="234"/>
      <c r="H18630" s="238"/>
      <c r="I18630" s="237"/>
    </row>
    <row r="18631" spans="1:9" s="232" customFormat="1" ht="17" customHeight="1">
      <c r="A18631" s="234"/>
      <c r="B18631" s="233"/>
      <c r="C18631" s="238"/>
      <c r="E18631" s="545"/>
      <c r="F18631" s="546"/>
      <c r="G18631" s="234"/>
      <c r="H18631" s="238"/>
      <c r="I18631" s="237"/>
    </row>
    <row r="18632" spans="1:9" s="232" customFormat="1" ht="17" customHeight="1">
      <c r="A18632" s="234"/>
      <c r="B18632" s="233"/>
      <c r="C18632" s="238"/>
      <c r="E18632" s="545"/>
      <c r="F18632" s="546"/>
      <c r="G18632" s="234"/>
      <c r="H18632" s="238"/>
      <c r="I18632" s="237"/>
    </row>
    <row r="18633" spans="1:9" s="232" customFormat="1" ht="17" customHeight="1">
      <c r="A18633" s="234"/>
      <c r="B18633" s="233"/>
      <c r="C18633" s="238"/>
      <c r="E18633" s="545"/>
      <c r="F18633" s="546"/>
      <c r="G18633" s="234"/>
      <c r="H18633" s="238"/>
      <c r="I18633" s="237"/>
    </row>
    <row r="18634" spans="1:9" s="232" customFormat="1" ht="17" customHeight="1">
      <c r="A18634" s="234"/>
      <c r="B18634" s="233"/>
      <c r="C18634" s="238"/>
      <c r="E18634" s="545"/>
      <c r="F18634" s="546"/>
      <c r="G18634" s="234"/>
      <c r="H18634" s="238"/>
      <c r="I18634" s="237"/>
    </row>
    <row r="18635" spans="1:9" s="232" customFormat="1" ht="17" customHeight="1">
      <c r="A18635" s="234"/>
      <c r="B18635" s="233"/>
      <c r="C18635" s="238"/>
      <c r="E18635" s="545"/>
      <c r="F18635" s="546"/>
      <c r="G18635" s="234"/>
      <c r="H18635" s="238"/>
      <c r="I18635" s="237"/>
    </row>
    <row r="18636" spans="1:9" s="232" customFormat="1" ht="17" customHeight="1">
      <c r="A18636" s="234"/>
      <c r="B18636" s="233"/>
      <c r="C18636" s="238"/>
      <c r="E18636" s="545"/>
      <c r="F18636" s="546"/>
      <c r="G18636" s="234"/>
      <c r="H18636" s="238"/>
      <c r="I18636" s="237"/>
    </row>
    <row r="18637" spans="1:9" s="232" customFormat="1" ht="17" customHeight="1">
      <c r="A18637" s="234"/>
      <c r="B18637" s="233"/>
      <c r="C18637" s="238"/>
      <c r="E18637" s="545"/>
      <c r="F18637" s="546"/>
      <c r="G18637" s="234"/>
      <c r="H18637" s="238"/>
      <c r="I18637" s="237"/>
    </row>
    <row r="18638" spans="1:9" s="232" customFormat="1" ht="17" customHeight="1">
      <c r="A18638" s="234"/>
      <c r="B18638" s="233"/>
      <c r="C18638" s="238"/>
      <c r="E18638" s="545"/>
      <c r="F18638" s="546"/>
      <c r="G18638" s="234"/>
      <c r="H18638" s="238"/>
      <c r="I18638" s="237"/>
    </row>
    <row r="18639" spans="1:9" s="232" customFormat="1" ht="17" customHeight="1">
      <c r="A18639" s="234"/>
      <c r="B18639" s="233"/>
      <c r="C18639" s="238"/>
      <c r="E18639" s="545"/>
      <c r="F18639" s="546"/>
      <c r="G18639" s="234"/>
      <c r="H18639" s="238"/>
      <c r="I18639" s="237"/>
    </row>
    <row r="18640" spans="1:9" s="232" customFormat="1" ht="17" customHeight="1">
      <c r="A18640" s="234"/>
      <c r="B18640" s="233"/>
      <c r="C18640" s="238"/>
      <c r="E18640" s="545"/>
      <c r="F18640" s="546"/>
      <c r="G18640" s="234"/>
      <c r="H18640" s="238"/>
      <c r="I18640" s="237"/>
    </row>
    <row r="18641" spans="1:9" s="232" customFormat="1" ht="17" customHeight="1">
      <c r="A18641" s="234"/>
      <c r="B18641" s="233"/>
      <c r="C18641" s="238"/>
      <c r="E18641" s="545"/>
      <c r="F18641" s="546"/>
      <c r="G18641" s="234"/>
      <c r="H18641" s="238"/>
      <c r="I18641" s="237"/>
    </row>
    <row r="18642" spans="1:9" s="232" customFormat="1" ht="17" customHeight="1">
      <c r="A18642" s="234"/>
      <c r="B18642" s="233"/>
      <c r="C18642" s="238"/>
      <c r="E18642" s="545"/>
      <c r="F18642" s="546"/>
      <c r="G18642" s="234"/>
      <c r="H18642" s="238"/>
      <c r="I18642" s="237"/>
    </row>
    <row r="18643" spans="1:9" s="232" customFormat="1" ht="17" customHeight="1">
      <c r="A18643" s="234"/>
      <c r="B18643" s="233"/>
      <c r="C18643" s="238"/>
      <c r="E18643" s="545"/>
      <c r="F18643" s="546"/>
      <c r="G18643" s="234"/>
      <c r="H18643" s="238"/>
      <c r="I18643" s="237"/>
    </row>
    <row r="18644" spans="1:9" s="232" customFormat="1" ht="17" customHeight="1">
      <c r="A18644" s="234"/>
      <c r="B18644" s="233"/>
      <c r="C18644" s="238"/>
      <c r="E18644" s="545"/>
      <c r="F18644" s="546"/>
      <c r="G18644" s="234"/>
      <c r="H18644" s="238"/>
      <c r="I18644" s="237"/>
    </row>
    <row r="18645" spans="1:9" s="232" customFormat="1" ht="17" customHeight="1">
      <c r="A18645" s="234"/>
      <c r="B18645" s="233"/>
      <c r="C18645" s="238"/>
      <c r="E18645" s="545"/>
      <c r="F18645" s="546"/>
      <c r="G18645" s="234"/>
      <c r="H18645" s="238"/>
      <c r="I18645" s="237"/>
    </row>
    <row r="18646" spans="1:9" s="232" customFormat="1" ht="17" customHeight="1">
      <c r="A18646" s="234"/>
      <c r="B18646" s="233"/>
      <c r="C18646" s="238"/>
      <c r="E18646" s="545"/>
      <c r="F18646" s="546"/>
      <c r="G18646" s="234"/>
      <c r="H18646" s="238"/>
      <c r="I18646" s="237"/>
    </row>
    <row r="18647" spans="1:9" s="232" customFormat="1" ht="17" customHeight="1">
      <c r="A18647" s="234"/>
      <c r="B18647" s="233"/>
      <c r="C18647" s="238"/>
      <c r="E18647" s="545"/>
      <c r="F18647" s="546"/>
      <c r="G18647" s="234"/>
      <c r="H18647" s="238"/>
      <c r="I18647" s="237"/>
    </row>
    <row r="18648" spans="1:9" s="232" customFormat="1" ht="17" customHeight="1">
      <c r="A18648" s="234"/>
      <c r="B18648" s="233"/>
      <c r="C18648" s="238"/>
      <c r="E18648" s="545"/>
      <c r="F18648" s="546"/>
      <c r="G18648" s="234"/>
      <c r="H18648" s="238"/>
      <c r="I18648" s="237"/>
    </row>
    <row r="18649" spans="1:9" s="232" customFormat="1" ht="17" customHeight="1">
      <c r="A18649" s="234"/>
      <c r="B18649" s="233"/>
      <c r="C18649" s="238"/>
      <c r="E18649" s="545"/>
      <c r="F18649" s="546"/>
      <c r="G18649" s="234"/>
      <c r="H18649" s="238"/>
      <c r="I18649" s="237"/>
    </row>
    <row r="18650" spans="1:9" s="232" customFormat="1" ht="17" customHeight="1">
      <c r="A18650" s="234"/>
      <c r="B18650" s="233"/>
      <c r="C18650" s="238"/>
      <c r="E18650" s="545"/>
      <c r="F18650" s="546"/>
      <c r="G18650" s="234"/>
      <c r="H18650" s="238"/>
      <c r="I18650" s="237"/>
    </row>
    <row r="18651" spans="1:9" s="232" customFormat="1" ht="17" customHeight="1">
      <c r="A18651" s="234"/>
      <c r="B18651" s="233"/>
      <c r="C18651" s="238"/>
      <c r="E18651" s="545"/>
      <c r="F18651" s="546"/>
      <c r="G18651" s="234"/>
      <c r="H18651" s="238"/>
      <c r="I18651" s="237"/>
    </row>
    <row r="18652" spans="1:9" s="232" customFormat="1" ht="17" customHeight="1">
      <c r="A18652" s="234"/>
      <c r="B18652" s="233"/>
      <c r="C18652" s="238"/>
      <c r="E18652" s="545"/>
      <c r="F18652" s="546"/>
      <c r="G18652" s="234"/>
      <c r="H18652" s="238"/>
      <c r="I18652" s="237"/>
    </row>
    <row r="18653" spans="1:9" s="232" customFormat="1" ht="17" customHeight="1">
      <c r="A18653" s="234"/>
      <c r="B18653" s="233"/>
      <c r="C18653" s="238"/>
      <c r="E18653" s="545"/>
      <c r="F18653" s="546"/>
      <c r="G18653" s="234"/>
      <c r="H18653" s="238"/>
      <c r="I18653" s="237"/>
    </row>
    <row r="18654" spans="1:9" s="232" customFormat="1" ht="17" customHeight="1">
      <c r="A18654" s="234"/>
      <c r="B18654" s="233"/>
      <c r="C18654" s="238"/>
      <c r="E18654" s="545"/>
      <c r="F18654" s="546"/>
      <c r="G18654" s="234"/>
      <c r="H18654" s="238"/>
      <c r="I18654" s="237"/>
    </row>
    <row r="18655" spans="1:9" s="232" customFormat="1" ht="17" customHeight="1">
      <c r="A18655" s="234"/>
      <c r="B18655" s="233"/>
      <c r="C18655" s="238"/>
      <c r="E18655" s="545"/>
      <c r="F18655" s="546"/>
      <c r="G18655" s="234"/>
      <c r="H18655" s="238"/>
      <c r="I18655" s="237"/>
    </row>
    <row r="18656" spans="1:9" s="232" customFormat="1" ht="17" customHeight="1">
      <c r="A18656" s="234"/>
      <c r="B18656" s="233"/>
      <c r="C18656" s="238"/>
      <c r="E18656" s="545"/>
      <c r="F18656" s="546"/>
      <c r="G18656" s="234"/>
      <c r="H18656" s="238"/>
      <c r="I18656" s="237"/>
    </row>
    <row r="18657" spans="1:9" s="232" customFormat="1" ht="17" customHeight="1">
      <c r="A18657" s="234"/>
      <c r="B18657" s="233"/>
      <c r="C18657" s="238"/>
      <c r="E18657" s="545"/>
      <c r="F18657" s="546"/>
      <c r="G18657" s="234"/>
      <c r="H18657" s="238"/>
      <c r="I18657" s="237"/>
    </row>
    <row r="18658" spans="1:9" s="232" customFormat="1" ht="17" customHeight="1">
      <c r="A18658" s="234"/>
      <c r="B18658" s="233"/>
      <c r="C18658" s="238"/>
      <c r="E18658" s="545"/>
      <c r="F18658" s="546"/>
      <c r="G18658" s="234"/>
      <c r="H18658" s="238"/>
      <c r="I18658" s="237"/>
    </row>
    <row r="18659" spans="1:9" s="232" customFormat="1" ht="17" customHeight="1">
      <c r="A18659" s="234"/>
      <c r="B18659" s="233"/>
      <c r="C18659" s="238"/>
      <c r="E18659" s="545"/>
      <c r="F18659" s="546"/>
      <c r="G18659" s="234"/>
      <c r="H18659" s="238"/>
      <c r="I18659" s="237"/>
    </row>
    <row r="18660" spans="1:9" s="232" customFormat="1" ht="17" customHeight="1">
      <c r="A18660" s="234"/>
      <c r="B18660" s="233"/>
      <c r="C18660" s="238"/>
      <c r="E18660" s="545"/>
      <c r="F18660" s="546"/>
      <c r="G18660" s="234"/>
      <c r="H18660" s="238"/>
      <c r="I18660" s="237"/>
    </row>
    <row r="18661" spans="1:9" s="232" customFormat="1" ht="17" customHeight="1">
      <c r="A18661" s="234"/>
      <c r="B18661" s="233"/>
      <c r="C18661" s="238"/>
      <c r="E18661" s="545"/>
      <c r="F18661" s="546"/>
      <c r="G18661" s="234"/>
      <c r="H18661" s="238"/>
      <c r="I18661" s="237"/>
    </row>
    <row r="18662" spans="1:9" s="232" customFormat="1" ht="17" customHeight="1">
      <c r="A18662" s="234"/>
      <c r="B18662" s="233"/>
      <c r="C18662" s="238"/>
      <c r="E18662" s="545"/>
      <c r="F18662" s="546"/>
      <c r="G18662" s="234"/>
      <c r="H18662" s="238"/>
      <c r="I18662" s="237"/>
    </row>
    <row r="18663" spans="1:9" s="232" customFormat="1" ht="17" customHeight="1">
      <c r="A18663" s="234"/>
      <c r="B18663" s="233"/>
      <c r="C18663" s="238"/>
      <c r="E18663" s="545"/>
      <c r="F18663" s="546"/>
      <c r="G18663" s="234"/>
      <c r="H18663" s="238"/>
      <c r="I18663" s="237"/>
    </row>
    <row r="18664" spans="1:9" s="232" customFormat="1" ht="17" customHeight="1">
      <c r="A18664" s="234"/>
      <c r="B18664" s="233"/>
      <c r="C18664" s="238"/>
      <c r="E18664" s="545"/>
      <c r="F18664" s="546"/>
      <c r="G18664" s="234"/>
      <c r="H18664" s="238"/>
      <c r="I18664" s="237"/>
    </row>
    <row r="18665" spans="1:9" s="232" customFormat="1" ht="17" customHeight="1">
      <c r="A18665" s="234"/>
      <c r="B18665" s="233"/>
      <c r="C18665" s="238"/>
      <c r="E18665" s="545"/>
      <c r="F18665" s="546"/>
      <c r="G18665" s="234"/>
      <c r="H18665" s="238"/>
      <c r="I18665" s="237"/>
    </row>
    <row r="18666" spans="1:9" s="232" customFormat="1" ht="17" customHeight="1">
      <c r="A18666" s="234"/>
      <c r="B18666" s="233"/>
      <c r="C18666" s="238"/>
      <c r="E18666" s="545"/>
      <c r="F18666" s="546"/>
      <c r="G18666" s="234"/>
      <c r="H18666" s="238"/>
      <c r="I18666" s="237"/>
    </row>
    <row r="18667" spans="1:9" s="232" customFormat="1" ht="17" customHeight="1">
      <c r="A18667" s="234"/>
      <c r="B18667" s="233"/>
      <c r="C18667" s="238"/>
      <c r="E18667" s="545"/>
      <c r="F18667" s="546"/>
      <c r="G18667" s="234"/>
      <c r="H18667" s="238"/>
      <c r="I18667" s="237"/>
    </row>
    <row r="18668" spans="1:9" s="232" customFormat="1" ht="17" customHeight="1">
      <c r="A18668" s="234"/>
      <c r="B18668" s="233"/>
      <c r="C18668" s="238"/>
      <c r="E18668" s="545"/>
      <c r="F18668" s="546"/>
      <c r="G18668" s="234"/>
      <c r="H18668" s="238"/>
      <c r="I18668" s="237"/>
    </row>
    <row r="18669" spans="1:9" s="232" customFormat="1" ht="17" customHeight="1">
      <c r="A18669" s="234"/>
      <c r="B18669" s="233"/>
      <c r="C18669" s="238"/>
      <c r="E18669" s="545"/>
      <c r="F18669" s="546"/>
      <c r="G18669" s="234"/>
      <c r="H18669" s="238"/>
      <c r="I18669" s="237"/>
    </row>
    <row r="18670" spans="1:9" s="232" customFormat="1" ht="17" customHeight="1">
      <c r="A18670" s="234"/>
      <c r="B18670" s="233"/>
      <c r="C18670" s="238"/>
      <c r="E18670" s="545"/>
      <c r="F18670" s="546"/>
      <c r="G18670" s="234"/>
      <c r="H18670" s="238"/>
      <c r="I18670" s="237"/>
    </row>
    <row r="18671" spans="1:9" s="232" customFormat="1" ht="17" customHeight="1">
      <c r="A18671" s="234"/>
      <c r="B18671" s="233"/>
      <c r="C18671" s="238"/>
      <c r="E18671" s="545"/>
      <c r="F18671" s="546"/>
      <c r="G18671" s="234"/>
      <c r="H18671" s="238"/>
      <c r="I18671" s="237"/>
    </row>
    <row r="18672" spans="1:9" s="232" customFormat="1" ht="17" customHeight="1">
      <c r="A18672" s="234"/>
      <c r="B18672" s="233"/>
      <c r="C18672" s="238"/>
      <c r="E18672" s="545"/>
      <c r="F18672" s="546"/>
      <c r="G18672" s="234"/>
      <c r="H18672" s="238"/>
      <c r="I18672" s="237"/>
    </row>
    <row r="18673" spans="1:9" s="232" customFormat="1" ht="17" customHeight="1">
      <c r="A18673" s="234"/>
      <c r="B18673" s="233"/>
      <c r="C18673" s="238"/>
      <c r="E18673" s="545"/>
      <c r="F18673" s="546"/>
      <c r="G18673" s="234"/>
      <c r="H18673" s="238"/>
      <c r="I18673" s="237"/>
    </row>
    <row r="18674" spans="1:9" s="232" customFormat="1" ht="17" customHeight="1">
      <c r="A18674" s="234"/>
      <c r="B18674" s="233"/>
      <c r="C18674" s="238"/>
      <c r="E18674" s="545"/>
      <c r="F18674" s="546"/>
      <c r="G18674" s="234"/>
      <c r="H18674" s="238"/>
      <c r="I18674" s="237"/>
    </row>
    <row r="18675" spans="1:9" s="232" customFormat="1" ht="17" customHeight="1">
      <c r="A18675" s="234"/>
      <c r="B18675" s="233"/>
      <c r="C18675" s="238"/>
      <c r="E18675" s="545"/>
      <c r="F18675" s="546"/>
      <c r="G18675" s="234"/>
      <c r="H18675" s="238"/>
      <c r="I18675" s="237"/>
    </row>
    <row r="18676" spans="1:9" s="232" customFormat="1" ht="17" customHeight="1">
      <c r="A18676" s="234"/>
      <c r="B18676" s="233"/>
      <c r="C18676" s="238"/>
      <c r="E18676" s="545"/>
      <c r="F18676" s="546"/>
      <c r="G18676" s="234"/>
      <c r="H18676" s="238"/>
      <c r="I18676" s="237"/>
    </row>
    <row r="18677" spans="1:9" s="232" customFormat="1" ht="17" customHeight="1">
      <c r="A18677" s="234"/>
      <c r="B18677" s="233"/>
      <c r="C18677" s="238"/>
      <c r="E18677" s="545"/>
      <c r="F18677" s="546"/>
      <c r="G18677" s="234"/>
      <c r="H18677" s="238"/>
      <c r="I18677" s="237"/>
    </row>
    <row r="18678" spans="1:9" s="232" customFormat="1" ht="17" customHeight="1">
      <c r="A18678" s="234"/>
      <c r="B18678" s="233"/>
      <c r="C18678" s="238"/>
      <c r="E18678" s="545"/>
      <c r="F18678" s="546"/>
      <c r="G18678" s="234"/>
      <c r="H18678" s="238"/>
      <c r="I18678" s="237"/>
    </row>
    <row r="18679" spans="1:9" s="232" customFormat="1" ht="17" customHeight="1">
      <c r="A18679" s="234"/>
      <c r="B18679" s="233"/>
      <c r="C18679" s="238"/>
      <c r="E18679" s="545"/>
      <c r="F18679" s="546"/>
      <c r="G18679" s="234"/>
      <c r="H18679" s="238"/>
      <c r="I18679" s="237"/>
    </row>
    <row r="18680" spans="1:9" s="232" customFormat="1" ht="17" customHeight="1">
      <c r="A18680" s="234"/>
      <c r="B18680" s="233"/>
      <c r="C18680" s="238"/>
      <c r="E18680" s="545"/>
      <c r="F18680" s="546"/>
      <c r="G18680" s="234"/>
      <c r="H18680" s="238"/>
      <c r="I18680" s="237"/>
    </row>
    <row r="18681" spans="1:9" s="232" customFormat="1" ht="17" customHeight="1">
      <c r="A18681" s="234"/>
      <c r="B18681" s="233"/>
      <c r="C18681" s="238"/>
      <c r="E18681" s="545"/>
      <c r="F18681" s="546"/>
      <c r="G18681" s="234"/>
      <c r="H18681" s="238"/>
      <c r="I18681" s="237"/>
    </row>
    <row r="18682" spans="1:9" s="232" customFormat="1" ht="17" customHeight="1">
      <c r="A18682" s="234"/>
      <c r="B18682" s="233"/>
      <c r="C18682" s="238"/>
      <c r="E18682" s="545"/>
      <c r="F18682" s="546"/>
      <c r="G18682" s="234"/>
      <c r="H18682" s="238"/>
      <c r="I18682" s="237"/>
    </row>
    <row r="18683" spans="1:9" s="232" customFormat="1" ht="17" customHeight="1">
      <c r="A18683" s="234"/>
      <c r="B18683" s="233"/>
      <c r="C18683" s="238"/>
      <c r="E18683" s="545"/>
      <c r="F18683" s="546"/>
      <c r="G18683" s="234"/>
      <c r="H18683" s="238"/>
      <c r="I18683" s="237"/>
    </row>
    <row r="18684" spans="1:9" s="232" customFormat="1" ht="17" customHeight="1">
      <c r="A18684" s="234"/>
      <c r="B18684" s="233"/>
      <c r="C18684" s="238"/>
      <c r="E18684" s="545"/>
      <c r="F18684" s="546"/>
      <c r="G18684" s="234"/>
      <c r="H18684" s="238"/>
      <c r="I18684" s="237"/>
    </row>
    <row r="18685" spans="1:9" s="232" customFormat="1" ht="17" customHeight="1">
      <c r="A18685" s="234"/>
      <c r="B18685" s="233"/>
      <c r="C18685" s="238"/>
      <c r="E18685" s="545"/>
      <c r="F18685" s="546"/>
      <c r="G18685" s="234"/>
      <c r="H18685" s="238"/>
      <c r="I18685" s="237"/>
    </row>
    <row r="18686" spans="1:9" s="232" customFormat="1" ht="17" customHeight="1">
      <c r="A18686" s="234"/>
      <c r="B18686" s="233"/>
      <c r="C18686" s="238"/>
      <c r="E18686" s="545"/>
      <c r="F18686" s="546"/>
      <c r="G18686" s="234"/>
      <c r="H18686" s="238"/>
      <c r="I18686" s="237"/>
    </row>
    <row r="18687" spans="1:9" s="232" customFormat="1" ht="17" customHeight="1">
      <c r="A18687" s="234"/>
      <c r="B18687" s="233"/>
      <c r="C18687" s="238"/>
      <c r="E18687" s="545"/>
      <c r="F18687" s="546"/>
      <c r="G18687" s="234"/>
      <c r="H18687" s="238"/>
      <c r="I18687" s="237"/>
    </row>
    <row r="18688" spans="1:9" s="232" customFormat="1" ht="17" customHeight="1">
      <c r="A18688" s="234"/>
      <c r="B18688" s="233"/>
      <c r="C18688" s="238"/>
      <c r="E18688" s="545"/>
      <c r="F18688" s="546"/>
      <c r="G18688" s="234"/>
      <c r="H18688" s="238"/>
      <c r="I18688" s="237"/>
    </row>
    <row r="18689" spans="1:9" s="232" customFormat="1" ht="17" customHeight="1">
      <c r="A18689" s="234"/>
      <c r="B18689" s="233"/>
      <c r="C18689" s="238"/>
      <c r="E18689" s="545"/>
      <c r="F18689" s="546"/>
      <c r="G18689" s="234"/>
      <c r="H18689" s="238"/>
      <c r="I18689" s="237"/>
    </row>
    <row r="18690" spans="1:9" s="232" customFormat="1" ht="17" customHeight="1">
      <c r="A18690" s="234"/>
      <c r="B18690" s="233"/>
      <c r="C18690" s="238"/>
      <c r="E18690" s="545"/>
      <c r="F18690" s="546"/>
      <c r="G18690" s="234"/>
      <c r="H18690" s="238"/>
      <c r="I18690" s="237"/>
    </row>
    <row r="18691" spans="1:9" s="232" customFormat="1" ht="17" customHeight="1">
      <c r="A18691" s="234"/>
      <c r="B18691" s="233"/>
      <c r="C18691" s="238"/>
      <c r="E18691" s="545"/>
      <c r="F18691" s="546"/>
      <c r="G18691" s="234"/>
      <c r="H18691" s="238"/>
      <c r="I18691" s="237"/>
    </row>
    <row r="18692" spans="1:9" s="232" customFormat="1" ht="17" customHeight="1">
      <c r="A18692" s="234"/>
      <c r="B18692" s="233"/>
      <c r="C18692" s="238"/>
      <c r="E18692" s="545"/>
      <c r="F18692" s="546"/>
      <c r="G18692" s="234"/>
      <c r="H18692" s="238"/>
      <c r="I18692" s="237"/>
    </row>
    <row r="18693" spans="1:9" s="232" customFormat="1" ht="17" customHeight="1">
      <c r="A18693" s="234"/>
      <c r="B18693" s="233"/>
      <c r="C18693" s="238"/>
      <c r="E18693" s="545"/>
      <c r="F18693" s="546"/>
      <c r="G18693" s="234"/>
      <c r="H18693" s="238"/>
      <c r="I18693" s="237"/>
    </row>
    <row r="18694" spans="1:9" s="232" customFormat="1" ht="17" customHeight="1">
      <c r="A18694" s="234"/>
      <c r="B18694" s="233"/>
      <c r="C18694" s="238"/>
      <c r="E18694" s="545"/>
      <c r="F18694" s="546"/>
      <c r="G18694" s="234"/>
      <c r="H18694" s="238"/>
      <c r="I18694" s="237"/>
    </row>
    <row r="18695" spans="1:9" s="232" customFormat="1" ht="17" customHeight="1">
      <c r="A18695" s="234"/>
      <c r="B18695" s="233"/>
      <c r="C18695" s="238"/>
      <c r="E18695" s="545"/>
      <c r="F18695" s="546"/>
      <c r="G18695" s="234"/>
      <c r="H18695" s="238"/>
      <c r="I18695" s="237"/>
    </row>
    <row r="18696" spans="1:9" s="232" customFormat="1" ht="17" customHeight="1">
      <c r="A18696" s="234"/>
      <c r="B18696" s="233"/>
      <c r="C18696" s="238"/>
      <c r="E18696" s="545"/>
      <c r="F18696" s="546"/>
      <c r="G18696" s="234"/>
      <c r="H18696" s="238"/>
      <c r="I18696" s="237"/>
    </row>
    <row r="18697" spans="1:9" s="232" customFormat="1" ht="17" customHeight="1">
      <c r="A18697" s="234"/>
      <c r="B18697" s="233"/>
      <c r="C18697" s="238"/>
      <c r="E18697" s="545"/>
      <c r="F18697" s="546"/>
      <c r="G18697" s="234"/>
      <c r="H18697" s="238"/>
      <c r="I18697" s="237"/>
    </row>
    <row r="18698" spans="1:9" s="232" customFormat="1" ht="17" customHeight="1">
      <c r="A18698" s="234"/>
      <c r="B18698" s="233"/>
      <c r="C18698" s="238"/>
      <c r="E18698" s="545"/>
      <c r="F18698" s="546"/>
      <c r="G18698" s="234"/>
      <c r="H18698" s="238"/>
      <c r="I18698" s="237"/>
    </row>
    <row r="18699" spans="1:9" s="232" customFormat="1" ht="17" customHeight="1">
      <c r="A18699" s="234"/>
      <c r="B18699" s="233"/>
      <c r="C18699" s="238"/>
      <c r="E18699" s="545"/>
      <c r="F18699" s="546"/>
      <c r="G18699" s="234"/>
      <c r="H18699" s="238"/>
      <c r="I18699" s="237"/>
    </row>
    <row r="18700" spans="1:9" s="232" customFormat="1" ht="17" customHeight="1">
      <c r="A18700" s="234"/>
      <c r="B18700" s="233"/>
      <c r="C18700" s="238"/>
      <c r="E18700" s="545"/>
      <c r="F18700" s="546"/>
      <c r="G18700" s="234"/>
      <c r="H18700" s="238"/>
      <c r="I18700" s="237"/>
    </row>
    <row r="18701" spans="1:9" s="232" customFormat="1" ht="17" customHeight="1">
      <c r="A18701" s="234"/>
      <c r="B18701" s="233"/>
      <c r="C18701" s="238"/>
      <c r="E18701" s="545"/>
      <c r="F18701" s="546"/>
      <c r="G18701" s="234"/>
      <c r="H18701" s="238"/>
      <c r="I18701" s="237"/>
    </row>
    <row r="18702" spans="1:9" s="232" customFormat="1" ht="17" customHeight="1">
      <c r="A18702" s="234"/>
      <c r="B18702" s="233"/>
      <c r="C18702" s="238"/>
      <c r="E18702" s="545"/>
      <c r="F18702" s="546"/>
      <c r="G18702" s="234"/>
      <c r="H18702" s="238"/>
      <c r="I18702" s="237"/>
    </row>
    <row r="18703" spans="1:9" s="232" customFormat="1" ht="17" customHeight="1">
      <c r="A18703" s="234"/>
      <c r="B18703" s="233"/>
      <c r="C18703" s="238"/>
      <c r="E18703" s="545"/>
      <c r="F18703" s="546"/>
      <c r="G18703" s="234"/>
      <c r="H18703" s="238"/>
      <c r="I18703" s="237"/>
    </row>
    <row r="18704" spans="1:9" s="232" customFormat="1" ht="17" customHeight="1">
      <c r="A18704" s="234"/>
      <c r="B18704" s="233"/>
      <c r="C18704" s="238"/>
      <c r="E18704" s="545"/>
      <c r="F18704" s="546"/>
      <c r="G18704" s="234"/>
      <c r="H18704" s="238"/>
      <c r="I18704" s="237"/>
    </row>
    <row r="18705" spans="1:9" s="232" customFormat="1" ht="17" customHeight="1">
      <c r="A18705" s="234"/>
      <c r="B18705" s="233"/>
      <c r="C18705" s="238"/>
      <c r="E18705" s="545"/>
      <c r="F18705" s="546"/>
      <c r="G18705" s="234"/>
      <c r="H18705" s="238"/>
      <c r="I18705" s="237"/>
    </row>
    <row r="18706" spans="1:9" s="232" customFormat="1" ht="17" customHeight="1">
      <c r="A18706" s="234"/>
      <c r="B18706" s="233"/>
      <c r="C18706" s="238"/>
      <c r="E18706" s="545"/>
      <c r="F18706" s="546"/>
      <c r="G18706" s="234"/>
      <c r="H18706" s="238"/>
      <c r="I18706" s="237"/>
    </row>
    <row r="18707" spans="1:9" s="232" customFormat="1" ht="17" customHeight="1">
      <c r="A18707" s="234"/>
      <c r="B18707" s="233"/>
      <c r="C18707" s="238"/>
      <c r="E18707" s="545"/>
      <c r="F18707" s="546"/>
      <c r="G18707" s="234"/>
      <c r="H18707" s="238"/>
      <c r="I18707" s="237"/>
    </row>
    <row r="18708" spans="1:9" s="232" customFormat="1" ht="17" customHeight="1">
      <c r="A18708" s="234"/>
      <c r="B18708" s="233"/>
      <c r="C18708" s="238"/>
      <c r="E18708" s="545"/>
      <c r="F18708" s="546"/>
      <c r="G18708" s="234"/>
      <c r="H18708" s="238"/>
      <c r="I18708" s="237"/>
    </row>
    <row r="18709" spans="1:9" s="232" customFormat="1" ht="17" customHeight="1">
      <c r="A18709" s="234"/>
      <c r="B18709" s="233"/>
      <c r="C18709" s="238"/>
      <c r="E18709" s="545"/>
      <c r="F18709" s="546"/>
      <c r="G18709" s="234"/>
      <c r="H18709" s="238"/>
      <c r="I18709" s="237"/>
    </row>
    <row r="18710" spans="1:9" s="232" customFormat="1" ht="17" customHeight="1">
      <c r="A18710" s="234"/>
      <c r="B18710" s="233"/>
      <c r="C18710" s="238"/>
      <c r="E18710" s="545"/>
      <c r="F18710" s="546"/>
      <c r="G18710" s="234"/>
      <c r="H18710" s="238"/>
      <c r="I18710" s="237"/>
    </row>
    <row r="18711" spans="1:9" s="232" customFormat="1" ht="17" customHeight="1">
      <c r="A18711" s="234"/>
      <c r="B18711" s="233"/>
      <c r="C18711" s="238"/>
      <c r="E18711" s="545"/>
      <c r="F18711" s="546"/>
      <c r="G18711" s="234"/>
      <c r="H18711" s="238"/>
      <c r="I18711" s="237"/>
    </row>
    <row r="18712" spans="1:9" s="232" customFormat="1" ht="17" customHeight="1">
      <c r="A18712" s="234"/>
      <c r="B18712" s="233"/>
      <c r="C18712" s="238"/>
      <c r="E18712" s="545"/>
      <c r="F18712" s="546"/>
      <c r="G18712" s="234"/>
      <c r="H18712" s="238"/>
      <c r="I18712" s="237"/>
    </row>
    <row r="18713" spans="1:9" s="232" customFormat="1" ht="17" customHeight="1">
      <c r="A18713" s="234"/>
      <c r="B18713" s="233"/>
      <c r="C18713" s="238"/>
      <c r="E18713" s="545"/>
      <c r="F18713" s="546"/>
      <c r="G18713" s="234"/>
      <c r="H18713" s="238"/>
      <c r="I18713" s="237"/>
    </row>
    <row r="18714" spans="1:9" s="232" customFormat="1" ht="17" customHeight="1">
      <c r="A18714" s="234"/>
      <c r="B18714" s="233"/>
      <c r="C18714" s="238"/>
      <c r="E18714" s="545"/>
      <c r="F18714" s="546"/>
      <c r="G18714" s="234"/>
      <c r="H18714" s="238"/>
      <c r="I18714" s="237"/>
    </row>
    <row r="18715" spans="1:9" s="232" customFormat="1" ht="17" customHeight="1">
      <c r="A18715" s="234"/>
      <c r="B18715" s="233"/>
      <c r="C18715" s="238"/>
      <c r="E18715" s="545"/>
      <c r="F18715" s="546"/>
      <c r="G18715" s="234"/>
      <c r="H18715" s="238"/>
      <c r="I18715" s="237"/>
    </row>
    <row r="18716" spans="1:9" s="232" customFormat="1" ht="17" customHeight="1">
      <c r="A18716" s="234"/>
      <c r="B18716" s="233"/>
      <c r="C18716" s="238"/>
      <c r="E18716" s="545"/>
      <c r="F18716" s="546"/>
      <c r="G18716" s="234"/>
      <c r="H18716" s="238"/>
      <c r="I18716" s="237"/>
    </row>
    <row r="18717" spans="1:9" s="232" customFormat="1" ht="17" customHeight="1">
      <c r="A18717" s="234"/>
      <c r="B18717" s="233"/>
      <c r="C18717" s="238"/>
      <c r="E18717" s="545"/>
      <c r="F18717" s="546"/>
      <c r="G18717" s="234"/>
      <c r="H18717" s="238"/>
      <c r="I18717" s="237"/>
    </row>
    <row r="18718" spans="1:9" s="232" customFormat="1" ht="17" customHeight="1">
      <c r="A18718" s="234"/>
      <c r="B18718" s="233"/>
      <c r="C18718" s="238"/>
      <c r="E18718" s="545"/>
      <c r="F18718" s="546"/>
      <c r="G18718" s="234"/>
      <c r="H18718" s="238"/>
      <c r="I18718" s="237"/>
    </row>
    <row r="18719" spans="1:9" s="232" customFormat="1" ht="17" customHeight="1">
      <c r="A18719" s="234"/>
      <c r="B18719" s="233"/>
      <c r="C18719" s="238"/>
      <c r="E18719" s="545"/>
      <c r="F18719" s="546"/>
      <c r="G18719" s="234"/>
      <c r="H18719" s="238"/>
      <c r="I18719" s="237"/>
    </row>
    <row r="18720" spans="1:9" s="232" customFormat="1" ht="17" customHeight="1">
      <c r="A18720" s="234"/>
      <c r="B18720" s="233"/>
      <c r="C18720" s="238"/>
      <c r="E18720" s="545"/>
      <c r="F18720" s="546"/>
      <c r="G18720" s="234"/>
      <c r="H18720" s="238"/>
      <c r="I18720" s="237"/>
    </row>
    <row r="18721" spans="1:9" s="232" customFormat="1" ht="17" customHeight="1">
      <c r="A18721" s="234"/>
      <c r="B18721" s="233"/>
      <c r="C18721" s="238"/>
      <c r="E18721" s="545"/>
      <c r="F18721" s="546"/>
      <c r="G18721" s="234"/>
      <c r="H18721" s="238"/>
      <c r="I18721" s="237"/>
    </row>
    <row r="18722" spans="1:9" s="232" customFormat="1" ht="17" customHeight="1">
      <c r="A18722" s="234"/>
      <c r="B18722" s="233"/>
      <c r="C18722" s="238"/>
      <c r="E18722" s="545"/>
      <c r="F18722" s="546"/>
      <c r="G18722" s="234"/>
      <c r="H18722" s="238"/>
      <c r="I18722" s="237"/>
    </row>
    <row r="18723" spans="1:9" s="232" customFormat="1" ht="17" customHeight="1">
      <c r="A18723" s="234"/>
      <c r="B18723" s="233"/>
      <c r="C18723" s="238"/>
      <c r="E18723" s="545"/>
      <c r="F18723" s="546"/>
      <c r="G18723" s="234"/>
      <c r="H18723" s="238"/>
      <c r="I18723" s="237"/>
    </row>
    <row r="18724" spans="1:9" s="232" customFormat="1" ht="17" customHeight="1">
      <c r="A18724" s="234"/>
      <c r="B18724" s="233"/>
      <c r="C18724" s="238"/>
      <c r="E18724" s="545"/>
      <c r="F18724" s="546"/>
      <c r="G18724" s="234"/>
      <c r="H18724" s="238"/>
      <c r="I18724" s="237"/>
    </row>
    <row r="18725" spans="1:9" s="232" customFormat="1" ht="17" customHeight="1">
      <c r="A18725" s="234"/>
      <c r="B18725" s="233"/>
      <c r="C18725" s="238"/>
      <c r="E18725" s="545"/>
      <c r="F18725" s="546"/>
      <c r="G18725" s="234"/>
      <c r="H18725" s="238"/>
      <c r="I18725" s="237"/>
    </row>
    <row r="18726" spans="1:9" s="232" customFormat="1" ht="17" customHeight="1">
      <c r="A18726" s="234"/>
      <c r="B18726" s="233"/>
      <c r="C18726" s="238"/>
      <c r="E18726" s="545"/>
      <c r="F18726" s="546"/>
      <c r="G18726" s="234"/>
      <c r="H18726" s="238"/>
      <c r="I18726" s="237"/>
    </row>
    <row r="18727" spans="1:9" s="232" customFormat="1" ht="17" customHeight="1">
      <c r="A18727" s="234"/>
      <c r="B18727" s="233"/>
      <c r="C18727" s="238"/>
      <c r="E18727" s="545"/>
      <c r="F18727" s="546"/>
      <c r="G18727" s="234"/>
      <c r="H18727" s="238"/>
      <c r="I18727" s="237"/>
    </row>
    <row r="18728" spans="1:9" s="232" customFormat="1" ht="17" customHeight="1">
      <c r="A18728" s="234"/>
      <c r="B18728" s="233"/>
      <c r="C18728" s="238"/>
      <c r="E18728" s="545"/>
      <c r="F18728" s="546"/>
      <c r="G18728" s="234"/>
      <c r="H18728" s="238"/>
      <c r="I18728" s="237"/>
    </row>
    <row r="18729" spans="1:9" s="232" customFormat="1" ht="17" customHeight="1">
      <c r="A18729" s="234"/>
      <c r="B18729" s="233"/>
      <c r="C18729" s="238"/>
      <c r="E18729" s="545"/>
      <c r="F18729" s="546"/>
      <c r="G18729" s="234"/>
      <c r="H18729" s="238"/>
      <c r="I18729" s="237"/>
    </row>
    <row r="18730" spans="1:9" s="232" customFormat="1" ht="17" customHeight="1">
      <c r="A18730" s="234"/>
      <c r="B18730" s="233"/>
      <c r="C18730" s="238"/>
      <c r="E18730" s="545"/>
      <c r="F18730" s="546"/>
      <c r="G18730" s="234"/>
      <c r="H18730" s="238"/>
      <c r="I18730" s="237"/>
    </row>
    <row r="18731" spans="1:9" s="232" customFormat="1" ht="17" customHeight="1">
      <c r="A18731" s="234"/>
      <c r="B18731" s="233"/>
      <c r="C18731" s="238"/>
      <c r="E18731" s="545"/>
      <c r="F18731" s="546"/>
      <c r="G18731" s="234"/>
      <c r="H18731" s="238"/>
      <c r="I18731" s="237"/>
    </row>
    <row r="18732" spans="1:9" s="232" customFormat="1" ht="17" customHeight="1">
      <c r="A18732" s="234"/>
      <c r="B18732" s="233"/>
      <c r="C18732" s="238"/>
      <c r="E18732" s="545"/>
      <c r="F18732" s="546"/>
      <c r="G18732" s="234"/>
      <c r="H18732" s="238"/>
      <c r="I18732" s="237"/>
    </row>
    <row r="18733" spans="1:9" s="232" customFormat="1" ht="17" customHeight="1">
      <c r="A18733" s="234"/>
      <c r="B18733" s="233"/>
      <c r="C18733" s="238"/>
      <c r="E18733" s="545"/>
      <c r="F18733" s="546"/>
      <c r="G18733" s="234"/>
      <c r="H18733" s="238"/>
      <c r="I18733" s="237"/>
    </row>
    <row r="18734" spans="1:9" s="232" customFormat="1" ht="17" customHeight="1">
      <c r="A18734" s="234"/>
      <c r="B18734" s="233"/>
      <c r="C18734" s="238"/>
      <c r="E18734" s="545"/>
      <c r="F18734" s="546"/>
      <c r="G18734" s="234"/>
      <c r="H18734" s="238"/>
      <c r="I18734" s="237"/>
    </row>
    <row r="18735" spans="1:9" s="232" customFormat="1" ht="17" customHeight="1">
      <c r="A18735" s="234"/>
      <c r="B18735" s="233"/>
      <c r="C18735" s="238"/>
      <c r="E18735" s="545"/>
      <c r="F18735" s="546"/>
      <c r="G18735" s="234"/>
      <c r="H18735" s="238"/>
      <c r="I18735" s="237"/>
    </row>
    <row r="18736" spans="1:9" s="232" customFormat="1" ht="17" customHeight="1">
      <c r="A18736" s="234"/>
      <c r="B18736" s="233"/>
      <c r="C18736" s="238"/>
      <c r="E18736" s="545"/>
      <c r="F18736" s="546"/>
      <c r="G18736" s="234"/>
      <c r="H18736" s="238"/>
      <c r="I18736" s="237"/>
    </row>
    <row r="18737" spans="1:9" s="232" customFormat="1" ht="17" customHeight="1">
      <c r="A18737" s="234"/>
      <c r="B18737" s="233"/>
      <c r="C18737" s="238"/>
      <c r="E18737" s="545"/>
      <c r="F18737" s="546"/>
      <c r="G18737" s="234"/>
      <c r="H18737" s="238"/>
      <c r="I18737" s="237"/>
    </row>
    <row r="18738" spans="1:9" s="232" customFormat="1" ht="17" customHeight="1">
      <c r="A18738" s="234"/>
      <c r="B18738" s="233"/>
      <c r="C18738" s="238"/>
      <c r="E18738" s="545"/>
      <c r="F18738" s="546"/>
      <c r="G18738" s="234"/>
      <c r="H18738" s="238"/>
      <c r="I18738" s="237"/>
    </row>
    <row r="18739" spans="1:9" s="232" customFormat="1" ht="17" customHeight="1">
      <c r="A18739" s="234"/>
      <c r="B18739" s="233"/>
      <c r="C18739" s="238"/>
      <c r="E18739" s="545"/>
      <c r="F18739" s="546"/>
      <c r="G18739" s="234"/>
      <c r="H18739" s="238"/>
      <c r="I18739" s="237"/>
    </row>
    <row r="18740" spans="1:9" s="232" customFormat="1" ht="17" customHeight="1">
      <c r="A18740" s="234"/>
      <c r="B18740" s="233"/>
      <c r="C18740" s="238"/>
      <c r="E18740" s="545"/>
      <c r="F18740" s="546"/>
      <c r="G18740" s="234"/>
      <c r="H18740" s="238"/>
      <c r="I18740" s="237"/>
    </row>
    <row r="18741" spans="1:9" s="232" customFormat="1" ht="17" customHeight="1">
      <c r="A18741" s="234"/>
      <c r="B18741" s="233"/>
      <c r="C18741" s="238"/>
      <c r="E18741" s="545"/>
      <c r="F18741" s="546"/>
      <c r="G18741" s="234"/>
      <c r="H18741" s="238"/>
      <c r="I18741" s="237"/>
    </row>
    <row r="18742" spans="1:9" s="232" customFormat="1" ht="17" customHeight="1">
      <c r="A18742" s="234"/>
      <c r="B18742" s="233"/>
      <c r="C18742" s="238"/>
      <c r="E18742" s="545"/>
      <c r="F18742" s="546"/>
      <c r="G18742" s="234"/>
      <c r="H18742" s="238"/>
      <c r="I18742" s="237"/>
    </row>
    <row r="18743" spans="1:9" s="232" customFormat="1" ht="17" customHeight="1">
      <c r="A18743" s="234"/>
      <c r="B18743" s="233"/>
      <c r="C18743" s="238"/>
      <c r="E18743" s="545"/>
      <c r="F18743" s="546"/>
      <c r="G18743" s="234"/>
      <c r="H18743" s="238"/>
      <c r="I18743" s="237"/>
    </row>
    <row r="18744" spans="1:9" s="232" customFormat="1" ht="17" customHeight="1">
      <c r="A18744" s="234"/>
      <c r="B18744" s="233"/>
      <c r="C18744" s="238"/>
      <c r="E18744" s="545"/>
      <c r="F18744" s="546"/>
      <c r="G18744" s="234"/>
      <c r="H18744" s="238"/>
      <c r="I18744" s="237"/>
    </row>
    <row r="18745" spans="1:9" s="232" customFormat="1" ht="17" customHeight="1">
      <c r="A18745" s="234"/>
      <c r="B18745" s="233"/>
      <c r="C18745" s="238"/>
      <c r="E18745" s="545"/>
      <c r="F18745" s="546"/>
      <c r="G18745" s="234"/>
      <c r="H18745" s="238"/>
      <c r="I18745" s="237"/>
    </row>
    <row r="18746" spans="1:9" s="232" customFormat="1" ht="17" customHeight="1">
      <c r="A18746" s="234"/>
      <c r="B18746" s="233"/>
      <c r="C18746" s="238"/>
      <c r="E18746" s="545"/>
      <c r="F18746" s="546"/>
      <c r="G18746" s="234"/>
      <c r="H18746" s="238"/>
      <c r="I18746" s="237"/>
    </row>
    <row r="18747" spans="1:9" s="232" customFormat="1" ht="17" customHeight="1">
      <c r="A18747" s="234"/>
      <c r="B18747" s="233"/>
      <c r="C18747" s="238"/>
      <c r="E18747" s="545"/>
      <c r="F18747" s="546"/>
      <c r="G18747" s="234"/>
      <c r="H18747" s="238"/>
      <c r="I18747" s="237"/>
    </row>
    <row r="18748" spans="1:9" s="232" customFormat="1" ht="17" customHeight="1">
      <c r="A18748" s="234"/>
      <c r="B18748" s="233"/>
      <c r="C18748" s="238"/>
      <c r="E18748" s="545"/>
      <c r="F18748" s="546"/>
      <c r="G18748" s="234"/>
      <c r="H18748" s="238"/>
      <c r="I18748" s="237"/>
    </row>
    <row r="18749" spans="1:9" s="232" customFormat="1" ht="17" customHeight="1">
      <c r="A18749" s="234"/>
      <c r="B18749" s="233"/>
      <c r="C18749" s="238"/>
      <c r="E18749" s="545"/>
      <c r="F18749" s="546"/>
      <c r="G18749" s="234"/>
      <c r="H18749" s="238"/>
      <c r="I18749" s="237"/>
    </row>
    <row r="18750" spans="1:9" s="232" customFormat="1" ht="17" customHeight="1">
      <c r="A18750" s="234"/>
      <c r="B18750" s="233"/>
      <c r="C18750" s="238"/>
      <c r="E18750" s="545"/>
      <c r="F18750" s="546"/>
      <c r="G18750" s="234"/>
      <c r="H18750" s="238"/>
      <c r="I18750" s="237"/>
    </row>
    <row r="18751" spans="1:9" s="232" customFormat="1" ht="17" customHeight="1">
      <c r="A18751" s="234"/>
      <c r="B18751" s="233"/>
      <c r="C18751" s="238"/>
      <c r="E18751" s="545"/>
      <c r="F18751" s="546"/>
      <c r="G18751" s="234"/>
      <c r="H18751" s="238"/>
      <c r="I18751" s="237"/>
    </row>
    <row r="18752" spans="1:9" s="232" customFormat="1" ht="17" customHeight="1">
      <c r="A18752" s="234"/>
      <c r="B18752" s="233"/>
      <c r="C18752" s="238"/>
      <c r="E18752" s="545"/>
      <c r="F18752" s="546"/>
      <c r="G18752" s="234"/>
      <c r="H18752" s="238"/>
      <c r="I18752" s="237"/>
    </row>
    <row r="18753" spans="1:9" s="232" customFormat="1" ht="17" customHeight="1">
      <c r="A18753" s="234"/>
      <c r="B18753" s="233"/>
      <c r="C18753" s="238"/>
      <c r="E18753" s="545"/>
      <c r="F18753" s="546"/>
      <c r="G18753" s="234"/>
      <c r="H18753" s="238"/>
      <c r="I18753" s="237"/>
    </row>
    <row r="18754" spans="1:9" s="232" customFormat="1" ht="17" customHeight="1">
      <c r="A18754" s="234"/>
      <c r="B18754" s="233"/>
      <c r="C18754" s="238"/>
      <c r="E18754" s="545"/>
      <c r="F18754" s="546"/>
      <c r="G18754" s="234"/>
      <c r="H18754" s="238"/>
      <c r="I18754" s="237"/>
    </row>
    <row r="18755" spans="1:9" s="232" customFormat="1" ht="17" customHeight="1">
      <c r="A18755" s="234"/>
      <c r="B18755" s="233"/>
      <c r="C18755" s="238"/>
      <c r="E18755" s="545"/>
      <c r="F18755" s="546"/>
      <c r="G18755" s="234"/>
      <c r="H18755" s="238"/>
      <c r="I18755" s="237"/>
    </row>
    <row r="18756" spans="1:9" s="232" customFormat="1" ht="17" customHeight="1">
      <c r="A18756" s="234"/>
      <c r="B18756" s="233"/>
      <c r="C18756" s="238"/>
      <c r="E18756" s="545"/>
      <c r="F18756" s="546"/>
      <c r="G18756" s="234"/>
      <c r="H18756" s="238"/>
      <c r="I18756" s="237"/>
    </row>
    <row r="18757" spans="1:9" s="232" customFormat="1" ht="17" customHeight="1">
      <c r="A18757" s="234"/>
      <c r="B18757" s="233"/>
      <c r="C18757" s="238"/>
      <c r="E18757" s="545"/>
      <c r="F18757" s="546"/>
      <c r="G18757" s="234"/>
      <c r="H18757" s="238"/>
      <c r="I18757" s="237"/>
    </row>
    <row r="18758" spans="1:9" s="232" customFormat="1" ht="17" customHeight="1">
      <c r="A18758" s="234"/>
      <c r="B18758" s="233"/>
      <c r="C18758" s="238"/>
      <c r="E18758" s="545"/>
      <c r="F18758" s="546"/>
      <c r="G18758" s="234"/>
      <c r="H18758" s="238"/>
      <c r="I18758" s="237"/>
    </row>
    <row r="18759" spans="1:9" s="232" customFormat="1" ht="17" customHeight="1">
      <c r="A18759" s="234"/>
      <c r="B18759" s="233"/>
      <c r="C18759" s="238"/>
      <c r="E18759" s="545"/>
      <c r="F18759" s="546"/>
      <c r="G18759" s="234"/>
      <c r="H18759" s="238"/>
      <c r="I18759" s="237"/>
    </row>
    <row r="18760" spans="1:9" s="232" customFormat="1" ht="17" customHeight="1">
      <c r="A18760" s="234"/>
      <c r="B18760" s="233"/>
      <c r="C18760" s="238"/>
      <c r="E18760" s="545"/>
      <c r="F18760" s="546"/>
      <c r="G18760" s="234"/>
      <c r="H18760" s="238"/>
      <c r="I18760" s="237"/>
    </row>
    <row r="18761" spans="1:9" s="232" customFormat="1" ht="17" customHeight="1">
      <c r="A18761" s="234"/>
      <c r="B18761" s="233"/>
      <c r="C18761" s="238"/>
      <c r="E18761" s="545"/>
      <c r="F18761" s="546"/>
      <c r="G18761" s="234"/>
      <c r="H18761" s="238"/>
      <c r="I18761" s="237"/>
    </row>
    <row r="18762" spans="1:9" s="232" customFormat="1" ht="17" customHeight="1">
      <c r="A18762" s="234"/>
      <c r="B18762" s="233"/>
      <c r="C18762" s="238"/>
      <c r="E18762" s="545"/>
      <c r="F18762" s="546"/>
      <c r="G18762" s="234"/>
      <c r="H18762" s="238"/>
      <c r="I18762" s="237"/>
    </row>
    <row r="18763" spans="1:9" s="232" customFormat="1" ht="17" customHeight="1">
      <c r="A18763" s="234"/>
      <c r="B18763" s="233"/>
      <c r="C18763" s="238"/>
      <c r="E18763" s="545"/>
      <c r="F18763" s="546"/>
      <c r="G18763" s="234"/>
      <c r="H18763" s="238"/>
      <c r="I18763" s="237"/>
    </row>
    <row r="18764" spans="1:9" s="232" customFormat="1" ht="17" customHeight="1">
      <c r="A18764" s="234"/>
      <c r="B18764" s="233"/>
      <c r="C18764" s="238"/>
      <c r="E18764" s="545"/>
      <c r="F18764" s="546"/>
      <c r="G18764" s="234"/>
      <c r="H18764" s="238"/>
      <c r="I18764" s="237"/>
    </row>
    <row r="18765" spans="1:9" s="232" customFormat="1" ht="17" customHeight="1">
      <c r="A18765" s="234"/>
      <c r="B18765" s="233"/>
      <c r="C18765" s="238"/>
      <c r="E18765" s="545"/>
      <c r="F18765" s="546"/>
      <c r="G18765" s="234"/>
      <c r="H18765" s="238"/>
      <c r="I18765" s="237"/>
    </row>
    <row r="18766" spans="1:9" s="232" customFormat="1" ht="17" customHeight="1">
      <c r="A18766" s="234"/>
      <c r="B18766" s="233"/>
      <c r="C18766" s="238"/>
      <c r="E18766" s="545"/>
      <c r="F18766" s="546"/>
      <c r="G18766" s="234"/>
      <c r="H18766" s="238"/>
      <c r="I18766" s="237"/>
    </row>
    <row r="18767" spans="1:9" s="232" customFormat="1" ht="17" customHeight="1">
      <c r="A18767" s="234"/>
      <c r="B18767" s="233"/>
      <c r="C18767" s="238"/>
      <c r="E18767" s="545"/>
      <c r="F18767" s="546"/>
      <c r="G18767" s="234"/>
      <c r="H18767" s="238"/>
      <c r="I18767" s="237"/>
    </row>
    <row r="18768" spans="1:9" s="232" customFormat="1" ht="17" customHeight="1">
      <c r="A18768" s="234"/>
      <c r="B18768" s="233"/>
      <c r="C18768" s="238"/>
      <c r="E18768" s="545"/>
      <c r="F18768" s="546"/>
      <c r="G18768" s="234"/>
      <c r="H18768" s="238"/>
      <c r="I18768" s="237"/>
    </row>
    <row r="18769" spans="1:9" s="232" customFormat="1" ht="17" customHeight="1">
      <c r="A18769" s="234"/>
      <c r="B18769" s="233"/>
      <c r="C18769" s="238"/>
      <c r="E18769" s="545"/>
      <c r="F18769" s="546"/>
      <c r="G18769" s="234"/>
      <c r="H18769" s="238"/>
      <c r="I18769" s="237"/>
    </row>
    <row r="18770" spans="1:9" s="232" customFormat="1" ht="17" customHeight="1">
      <c r="A18770" s="234"/>
      <c r="B18770" s="233"/>
      <c r="C18770" s="238"/>
      <c r="E18770" s="545"/>
      <c r="F18770" s="546"/>
      <c r="G18770" s="234"/>
      <c r="H18770" s="238"/>
      <c r="I18770" s="237"/>
    </row>
    <row r="18771" spans="1:9" s="232" customFormat="1" ht="17" customHeight="1">
      <c r="A18771" s="234"/>
      <c r="B18771" s="233"/>
      <c r="C18771" s="238"/>
      <c r="E18771" s="545"/>
      <c r="F18771" s="546"/>
      <c r="G18771" s="234"/>
      <c r="H18771" s="238"/>
      <c r="I18771" s="237"/>
    </row>
    <row r="18772" spans="1:9" s="232" customFormat="1" ht="17" customHeight="1">
      <c r="A18772" s="234"/>
      <c r="B18772" s="233"/>
      <c r="C18772" s="238"/>
      <c r="E18772" s="545"/>
      <c r="F18772" s="546"/>
      <c r="G18772" s="234"/>
      <c r="H18772" s="238"/>
      <c r="I18772" s="237"/>
    </row>
    <row r="18773" spans="1:9" s="232" customFormat="1" ht="17" customHeight="1">
      <c r="A18773" s="234"/>
      <c r="B18773" s="233"/>
      <c r="C18773" s="238"/>
      <c r="E18773" s="545"/>
      <c r="F18773" s="546"/>
      <c r="G18773" s="234"/>
      <c r="H18773" s="238"/>
      <c r="I18773" s="237"/>
    </row>
    <row r="18774" spans="1:9" s="232" customFormat="1" ht="17" customHeight="1">
      <c r="A18774" s="234"/>
      <c r="B18774" s="233"/>
      <c r="C18774" s="238"/>
      <c r="E18774" s="545"/>
      <c r="F18774" s="546"/>
      <c r="G18774" s="234"/>
      <c r="H18774" s="238"/>
      <c r="I18774" s="237"/>
    </row>
    <row r="18775" spans="1:9" s="232" customFormat="1" ht="17" customHeight="1">
      <c r="A18775" s="234"/>
      <c r="B18775" s="233"/>
      <c r="C18775" s="238"/>
      <c r="E18775" s="545"/>
      <c r="F18775" s="546"/>
      <c r="G18775" s="234"/>
      <c r="H18775" s="238"/>
      <c r="I18775" s="237"/>
    </row>
    <row r="18776" spans="1:9" s="232" customFormat="1" ht="17" customHeight="1">
      <c r="A18776" s="234"/>
      <c r="B18776" s="233"/>
      <c r="C18776" s="238"/>
      <c r="E18776" s="545"/>
      <c r="F18776" s="546"/>
      <c r="G18776" s="234"/>
      <c r="H18776" s="238"/>
      <c r="I18776" s="237"/>
    </row>
    <row r="18777" spans="1:9" s="232" customFormat="1" ht="17" customHeight="1">
      <c r="A18777" s="234"/>
      <c r="B18777" s="233"/>
      <c r="C18777" s="238"/>
      <c r="E18777" s="545"/>
      <c r="F18777" s="546"/>
      <c r="G18777" s="234"/>
      <c r="H18777" s="238"/>
      <c r="I18777" s="237"/>
    </row>
    <row r="18778" spans="1:9" s="232" customFormat="1" ht="17" customHeight="1">
      <c r="A18778" s="234"/>
      <c r="B18778" s="233"/>
      <c r="C18778" s="238"/>
      <c r="E18778" s="545"/>
      <c r="F18778" s="546"/>
      <c r="G18778" s="234"/>
      <c r="H18778" s="238"/>
      <c r="I18778" s="237"/>
    </row>
    <row r="18779" spans="1:9" s="232" customFormat="1" ht="17" customHeight="1">
      <c r="A18779" s="234"/>
      <c r="B18779" s="233"/>
      <c r="C18779" s="238"/>
      <c r="E18779" s="545"/>
      <c r="F18779" s="546"/>
      <c r="G18779" s="234"/>
      <c r="H18779" s="238"/>
      <c r="I18779" s="237"/>
    </row>
    <row r="18780" spans="1:9" s="232" customFormat="1" ht="17" customHeight="1">
      <c r="A18780" s="234"/>
      <c r="B18780" s="233"/>
      <c r="C18780" s="238"/>
      <c r="E18780" s="545"/>
      <c r="F18780" s="546"/>
      <c r="G18780" s="234"/>
      <c r="H18780" s="238"/>
      <c r="I18780" s="237"/>
    </row>
    <row r="18781" spans="1:9" s="232" customFormat="1" ht="17" customHeight="1">
      <c r="A18781" s="234"/>
      <c r="B18781" s="233"/>
      <c r="C18781" s="238"/>
      <c r="E18781" s="545"/>
      <c r="F18781" s="546"/>
      <c r="G18781" s="234"/>
      <c r="H18781" s="238"/>
      <c r="I18781" s="237"/>
    </row>
    <row r="18782" spans="1:9" s="232" customFormat="1" ht="17" customHeight="1">
      <c r="A18782" s="234"/>
      <c r="B18782" s="233"/>
      <c r="C18782" s="238"/>
      <c r="E18782" s="545"/>
      <c r="F18782" s="546"/>
      <c r="G18782" s="234"/>
      <c r="H18782" s="238"/>
      <c r="I18782" s="237"/>
    </row>
    <row r="18783" spans="1:9" s="232" customFormat="1" ht="17" customHeight="1">
      <c r="A18783" s="234"/>
      <c r="B18783" s="233"/>
      <c r="C18783" s="238"/>
      <c r="E18783" s="545"/>
      <c r="F18783" s="546"/>
      <c r="G18783" s="234"/>
      <c r="H18783" s="238"/>
      <c r="I18783" s="237"/>
    </row>
    <row r="18784" spans="1:9" s="232" customFormat="1" ht="17" customHeight="1">
      <c r="A18784" s="234"/>
      <c r="B18784" s="233"/>
      <c r="C18784" s="238"/>
      <c r="E18784" s="545"/>
      <c r="F18784" s="546"/>
      <c r="G18784" s="234"/>
      <c r="H18784" s="238"/>
      <c r="I18784" s="237"/>
    </row>
    <row r="18785" spans="1:9" s="232" customFormat="1" ht="17" customHeight="1">
      <c r="A18785" s="234"/>
      <c r="B18785" s="233"/>
      <c r="C18785" s="238"/>
      <c r="E18785" s="545"/>
      <c r="F18785" s="546"/>
      <c r="G18785" s="234"/>
      <c r="H18785" s="238"/>
      <c r="I18785" s="237"/>
    </row>
    <row r="18786" spans="1:9" s="232" customFormat="1" ht="17" customHeight="1">
      <c r="A18786" s="234"/>
      <c r="B18786" s="233"/>
      <c r="C18786" s="238"/>
      <c r="E18786" s="545"/>
      <c r="F18786" s="546"/>
      <c r="G18786" s="234"/>
      <c r="H18786" s="238"/>
      <c r="I18786" s="237"/>
    </row>
    <row r="18787" spans="1:9" s="232" customFormat="1" ht="17" customHeight="1">
      <c r="A18787" s="234"/>
      <c r="B18787" s="233"/>
      <c r="C18787" s="238"/>
      <c r="E18787" s="545"/>
      <c r="F18787" s="546"/>
      <c r="G18787" s="234"/>
      <c r="H18787" s="238"/>
      <c r="I18787" s="237"/>
    </row>
    <row r="18788" spans="1:9" s="232" customFormat="1" ht="17" customHeight="1">
      <c r="A18788" s="234"/>
      <c r="B18788" s="233"/>
      <c r="C18788" s="238"/>
      <c r="E18788" s="545"/>
      <c r="F18788" s="546"/>
      <c r="G18788" s="234"/>
      <c r="H18788" s="238"/>
      <c r="I18788" s="237"/>
    </row>
    <row r="18789" spans="1:9" s="232" customFormat="1" ht="17" customHeight="1">
      <c r="A18789" s="234"/>
      <c r="B18789" s="233"/>
      <c r="C18789" s="238"/>
      <c r="E18789" s="545"/>
      <c r="F18789" s="546"/>
      <c r="G18789" s="234"/>
      <c r="H18789" s="238"/>
      <c r="I18789" s="237"/>
    </row>
    <row r="18790" spans="1:9" s="232" customFormat="1" ht="17" customHeight="1">
      <c r="A18790" s="234"/>
      <c r="B18790" s="233"/>
      <c r="C18790" s="238"/>
      <c r="E18790" s="545"/>
      <c r="F18790" s="546"/>
      <c r="G18790" s="234"/>
      <c r="H18790" s="238"/>
      <c r="I18790" s="237"/>
    </row>
    <row r="18791" spans="1:9" s="232" customFormat="1" ht="17" customHeight="1">
      <c r="A18791" s="234"/>
      <c r="B18791" s="233"/>
      <c r="C18791" s="238"/>
      <c r="E18791" s="545"/>
      <c r="F18791" s="546"/>
      <c r="G18791" s="234"/>
      <c r="H18791" s="238"/>
      <c r="I18791" s="237"/>
    </row>
    <row r="18792" spans="1:9" s="232" customFormat="1" ht="17" customHeight="1">
      <c r="A18792" s="234"/>
      <c r="B18792" s="233"/>
      <c r="C18792" s="238"/>
      <c r="E18792" s="545"/>
      <c r="F18792" s="546"/>
      <c r="G18792" s="234"/>
      <c r="H18792" s="238"/>
      <c r="I18792" s="237"/>
    </row>
    <row r="18793" spans="1:9" s="232" customFormat="1" ht="17" customHeight="1">
      <c r="A18793" s="234"/>
      <c r="B18793" s="233"/>
      <c r="C18793" s="238"/>
      <c r="E18793" s="545"/>
      <c r="F18793" s="546"/>
      <c r="G18793" s="234"/>
      <c r="H18793" s="238"/>
      <c r="I18793" s="237"/>
    </row>
    <row r="18794" spans="1:9" s="232" customFormat="1" ht="17" customHeight="1">
      <c r="A18794" s="234"/>
      <c r="B18794" s="233"/>
      <c r="C18794" s="238"/>
      <c r="E18794" s="545"/>
      <c r="F18794" s="546"/>
      <c r="G18794" s="234"/>
      <c r="H18794" s="238"/>
      <c r="I18794" s="237"/>
    </row>
    <row r="18795" spans="1:9" s="232" customFormat="1" ht="17" customHeight="1">
      <c r="A18795" s="234"/>
      <c r="B18795" s="233"/>
      <c r="C18795" s="238"/>
      <c r="E18795" s="545"/>
      <c r="F18795" s="546"/>
      <c r="G18795" s="234"/>
      <c r="H18795" s="238"/>
      <c r="I18795" s="237"/>
    </row>
    <row r="18796" spans="1:9" s="232" customFormat="1" ht="17" customHeight="1">
      <c r="A18796" s="234"/>
      <c r="B18796" s="233"/>
      <c r="C18796" s="238"/>
      <c r="E18796" s="545"/>
      <c r="F18796" s="546"/>
      <c r="G18796" s="234"/>
      <c r="H18796" s="238"/>
      <c r="I18796" s="237"/>
    </row>
    <row r="18797" spans="1:9" s="232" customFormat="1" ht="17" customHeight="1">
      <c r="A18797" s="234"/>
      <c r="B18797" s="233"/>
      <c r="C18797" s="238"/>
      <c r="E18797" s="545"/>
      <c r="F18797" s="546"/>
      <c r="G18797" s="234"/>
      <c r="H18797" s="238"/>
      <c r="I18797" s="237"/>
    </row>
    <row r="18798" spans="1:9" s="232" customFormat="1" ht="17" customHeight="1">
      <c r="A18798" s="234"/>
      <c r="B18798" s="233"/>
      <c r="C18798" s="238"/>
      <c r="E18798" s="545"/>
      <c r="F18798" s="546"/>
      <c r="G18798" s="234"/>
      <c r="H18798" s="238"/>
      <c r="I18798" s="237"/>
    </row>
    <row r="18799" spans="1:9" s="232" customFormat="1" ht="17" customHeight="1">
      <c r="A18799" s="234"/>
      <c r="B18799" s="233"/>
      <c r="C18799" s="238"/>
      <c r="E18799" s="545"/>
      <c r="F18799" s="546"/>
      <c r="G18799" s="234"/>
      <c r="H18799" s="238"/>
      <c r="I18799" s="237"/>
    </row>
    <row r="18800" spans="1:9" s="232" customFormat="1" ht="17" customHeight="1">
      <c r="A18800" s="234"/>
      <c r="B18800" s="233"/>
      <c r="C18800" s="238"/>
      <c r="E18800" s="545"/>
      <c r="F18800" s="546"/>
      <c r="G18800" s="234"/>
      <c r="H18800" s="238"/>
      <c r="I18800" s="237"/>
    </row>
    <row r="18801" spans="1:9" s="232" customFormat="1" ht="17" customHeight="1">
      <c r="A18801" s="234"/>
      <c r="B18801" s="233"/>
      <c r="C18801" s="238"/>
      <c r="E18801" s="545"/>
      <c r="F18801" s="546"/>
      <c r="G18801" s="234"/>
      <c r="H18801" s="238"/>
      <c r="I18801" s="237"/>
    </row>
    <row r="18802" spans="1:9" s="232" customFormat="1" ht="17" customHeight="1">
      <c r="A18802" s="234"/>
      <c r="B18802" s="233"/>
      <c r="C18802" s="238"/>
      <c r="E18802" s="545"/>
      <c r="F18802" s="546"/>
      <c r="G18802" s="234"/>
      <c r="H18802" s="238"/>
      <c r="I18802" s="237"/>
    </row>
    <row r="18803" spans="1:9" s="232" customFormat="1" ht="17" customHeight="1">
      <c r="A18803" s="234"/>
      <c r="B18803" s="233"/>
      <c r="C18803" s="238"/>
      <c r="E18803" s="545"/>
      <c r="F18803" s="546"/>
      <c r="G18803" s="234"/>
      <c r="H18803" s="238"/>
      <c r="I18803" s="237"/>
    </row>
    <row r="18804" spans="1:9" s="232" customFormat="1" ht="17" customHeight="1">
      <c r="A18804" s="234"/>
      <c r="B18804" s="233"/>
      <c r="C18804" s="238"/>
      <c r="E18804" s="545"/>
      <c r="F18804" s="546"/>
      <c r="G18804" s="234"/>
      <c r="H18804" s="238"/>
      <c r="I18804" s="237"/>
    </row>
    <row r="18805" spans="1:9" s="232" customFormat="1" ht="17" customHeight="1">
      <c r="A18805" s="234"/>
      <c r="B18805" s="233"/>
      <c r="C18805" s="238"/>
      <c r="E18805" s="545"/>
      <c r="F18805" s="546"/>
      <c r="G18805" s="234"/>
      <c r="H18805" s="238"/>
      <c r="I18805" s="237"/>
    </row>
    <row r="18806" spans="1:9" s="232" customFormat="1" ht="17" customHeight="1">
      <c r="A18806" s="234"/>
      <c r="B18806" s="233"/>
      <c r="C18806" s="238"/>
      <c r="E18806" s="545"/>
      <c r="F18806" s="546"/>
      <c r="G18806" s="234"/>
      <c r="H18806" s="238"/>
      <c r="I18806" s="237"/>
    </row>
    <row r="18807" spans="1:9" s="232" customFormat="1" ht="17" customHeight="1">
      <c r="A18807" s="234"/>
      <c r="B18807" s="233"/>
      <c r="C18807" s="238"/>
      <c r="E18807" s="545"/>
      <c r="F18807" s="546"/>
      <c r="G18807" s="234"/>
      <c r="H18807" s="238"/>
      <c r="I18807" s="237"/>
    </row>
    <row r="18808" spans="1:9" s="232" customFormat="1" ht="17" customHeight="1">
      <c r="A18808" s="234"/>
      <c r="B18808" s="233"/>
      <c r="C18808" s="238"/>
      <c r="E18808" s="545"/>
      <c r="F18808" s="546"/>
      <c r="G18808" s="234"/>
      <c r="H18808" s="238"/>
      <c r="I18808" s="237"/>
    </row>
    <row r="18809" spans="1:9" s="232" customFormat="1" ht="17" customHeight="1">
      <c r="A18809" s="234"/>
      <c r="B18809" s="233"/>
      <c r="C18809" s="238"/>
      <c r="E18809" s="545"/>
      <c r="F18809" s="546"/>
      <c r="G18809" s="234"/>
      <c r="H18809" s="238"/>
      <c r="I18809" s="237"/>
    </row>
    <row r="18810" spans="1:9" s="232" customFormat="1" ht="17" customHeight="1">
      <c r="A18810" s="234"/>
      <c r="B18810" s="233"/>
      <c r="C18810" s="238"/>
      <c r="E18810" s="545"/>
      <c r="F18810" s="546"/>
      <c r="G18810" s="234"/>
      <c r="H18810" s="238"/>
      <c r="I18810" s="237"/>
    </row>
    <row r="18811" spans="1:9" s="232" customFormat="1" ht="17" customHeight="1">
      <c r="A18811" s="234"/>
      <c r="B18811" s="233"/>
      <c r="C18811" s="238"/>
      <c r="E18811" s="545"/>
      <c r="F18811" s="546"/>
      <c r="G18811" s="234"/>
      <c r="H18811" s="238"/>
      <c r="I18811" s="237"/>
    </row>
    <row r="18812" spans="1:9" s="232" customFormat="1" ht="17" customHeight="1">
      <c r="A18812" s="234"/>
      <c r="B18812" s="233"/>
      <c r="C18812" s="238"/>
      <c r="E18812" s="545"/>
      <c r="F18812" s="546"/>
      <c r="G18812" s="234"/>
      <c r="H18812" s="238"/>
      <c r="I18812" s="237"/>
    </row>
    <row r="18813" spans="1:9" s="232" customFormat="1" ht="17" customHeight="1">
      <c r="A18813" s="234"/>
      <c r="B18813" s="233"/>
      <c r="C18813" s="238"/>
      <c r="E18813" s="545"/>
      <c r="F18813" s="546"/>
      <c r="G18813" s="234"/>
      <c r="H18813" s="238"/>
      <c r="I18813" s="237"/>
    </row>
    <row r="18814" spans="1:9" s="232" customFormat="1" ht="17" customHeight="1">
      <c r="A18814" s="234"/>
      <c r="B18814" s="233"/>
      <c r="C18814" s="238"/>
      <c r="E18814" s="545"/>
      <c r="F18814" s="546"/>
      <c r="G18814" s="234"/>
      <c r="H18814" s="238"/>
      <c r="I18814" s="237"/>
    </row>
    <row r="18815" spans="1:9" s="232" customFormat="1" ht="17" customHeight="1">
      <c r="A18815" s="234"/>
      <c r="B18815" s="233"/>
      <c r="C18815" s="238"/>
      <c r="E18815" s="545"/>
      <c r="F18815" s="546"/>
      <c r="G18815" s="234"/>
      <c r="H18815" s="238"/>
      <c r="I18815" s="237"/>
    </row>
    <row r="18816" spans="1:9" s="232" customFormat="1" ht="17" customHeight="1">
      <c r="A18816" s="234"/>
      <c r="B18816" s="233"/>
      <c r="C18816" s="238"/>
      <c r="E18816" s="545"/>
      <c r="F18816" s="546"/>
      <c r="G18816" s="234"/>
      <c r="H18816" s="238"/>
      <c r="I18816" s="237"/>
    </row>
    <row r="18817" spans="1:9" s="232" customFormat="1" ht="17" customHeight="1">
      <c r="A18817" s="234"/>
      <c r="B18817" s="233"/>
      <c r="C18817" s="238"/>
      <c r="E18817" s="545"/>
      <c r="F18817" s="546"/>
      <c r="G18817" s="234"/>
      <c r="H18817" s="238"/>
      <c r="I18817" s="237"/>
    </row>
    <row r="18818" spans="1:9" s="232" customFormat="1" ht="17" customHeight="1">
      <c r="A18818" s="234"/>
      <c r="B18818" s="233"/>
      <c r="C18818" s="238"/>
      <c r="E18818" s="545"/>
      <c r="F18818" s="546"/>
      <c r="G18818" s="234"/>
      <c r="H18818" s="238"/>
      <c r="I18818" s="237"/>
    </row>
    <row r="18819" spans="1:9" s="232" customFormat="1" ht="17" customHeight="1">
      <c r="A18819" s="234"/>
      <c r="B18819" s="233"/>
      <c r="C18819" s="238"/>
      <c r="E18819" s="545"/>
      <c r="F18819" s="546"/>
      <c r="G18819" s="234"/>
      <c r="H18819" s="238"/>
      <c r="I18819" s="237"/>
    </row>
    <row r="18820" spans="1:9" s="232" customFormat="1" ht="17" customHeight="1">
      <c r="A18820" s="234"/>
      <c r="B18820" s="233"/>
      <c r="C18820" s="238"/>
      <c r="E18820" s="545"/>
      <c r="F18820" s="546"/>
      <c r="G18820" s="234"/>
      <c r="H18820" s="238"/>
      <c r="I18820" s="237"/>
    </row>
    <row r="18821" spans="1:9" s="232" customFormat="1" ht="17" customHeight="1">
      <c r="A18821" s="234"/>
      <c r="B18821" s="233"/>
      <c r="C18821" s="238"/>
      <c r="E18821" s="545"/>
      <c r="F18821" s="546"/>
      <c r="G18821" s="234"/>
      <c r="H18821" s="238"/>
      <c r="I18821" s="237"/>
    </row>
    <row r="18822" spans="1:9" s="232" customFormat="1" ht="17" customHeight="1">
      <c r="A18822" s="234"/>
      <c r="B18822" s="233"/>
      <c r="C18822" s="238"/>
      <c r="E18822" s="545"/>
      <c r="F18822" s="546"/>
      <c r="G18822" s="234"/>
      <c r="H18822" s="238"/>
      <c r="I18822" s="237"/>
    </row>
    <row r="18823" spans="1:9" s="232" customFormat="1" ht="17" customHeight="1">
      <c r="A18823" s="234"/>
      <c r="B18823" s="233"/>
      <c r="C18823" s="238"/>
      <c r="E18823" s="545"/>
      <c r="F18823" s="546"/>
      <c r="G18823" s="234"/>
      <c r="H18823" s="238"/>
      <c r="I18823" s="237"/>
    </row>
    <row r="18824" spans="1:9" s="232" customFormat="1" ht="17" customHeight="1">
      <c r="A18824" s="234"/>
      <c r="B18824" s="233"/>
      <c r="C18824" s="238"/>
      <c r="E18824" s="545"/>
      <c r="F18824" s="546"/>
      <c r="G18824" s="234"/>
      <c r="H18824" s="238"/>
      <c r="I18824" s="237"/>
    </row>
    <row r="18825" spans="1:9" s="232" customFormat="1" ht="17" customHeight="1">
      <c r="A18825" s="234"/>
      <c r="B18825" s="233"/>
      <c r="C18825" s="238"/>
      <c r="E18825" s="545"/>
      <c r="F18825" s="546"/>
      <c r="G18825" s="234"/>
      <c r="H18825" s="238"/>
      <c r="I18825" s="237"/>
    </row>
    <row r="18826" spans="1:9" s="232" customFormat="1" ht="17" customHeight="1">
      <c r="A18826" s="234"/>
      <c r="B18826" s="233"/>
      <c r="C18826" s="238"/>
      <c r="E18826" s="545"/>
      <c r="F18826" s="546"/>
      <c r="G18826" s="234"/>
      <c r="H18826" s="238"/>
      <c r="I18826" s="237"/>
    </row>
    <row r="18827" spans="1:9" s="232" customFormat="1" ht="17" customHeight="1">
      <c r="A18827" s="234"/>
      <c r="B18827" s="233"/>
      <c r="C18827" s="238"/>
      <c r="E18827" s="545"/>
      <c r="F18827" s="546"/>
      <c r="G18827" s="234"/>
      <c r="H18827" s="238"/>
      <c r="I18827" s="237"/>
    </row>
    <row r="18828" spans="1:9" s="232" customFormat="1" ht="17" customHeight="1">
      <c r="A18828" s="234"/>
      <c r="B18828" s="233"/>
      <c r="C18828" s="238"/>
      <c r="E18828" s="545"/>
      <c r="F18828" s="546"/>
      <c r="G18828" s="234"/>
      <c r="H18828" s="238"/>
      <c r="I18828" s="237"/>
    </row>
    <row r="18829" spans="1:9" s="232" customFormat="1" ht="17" customHeight="1">
      <c r="A18829" s="234"/>
      <c r="B18829" s="233"/>
      <c r="C18829" s="238"/>
      <c r="E18829" s="545"/>
      <c r="F18829" s="546"/>
      <c r="G18829" s="234"/>
      <c r="H18829" s="238"/>
      <c r="I18829" s="237"/>
    </row>
    <row r="18830" spans="1:9" s="232" customFormat="1" ht="17" customHeight="1">
      <c r="A18830" s="234"/>
      <c r="B18830" s="233"/>
      <c r="C18830" s="238"/>
      <c r="E18830" s="545"/>
      <c r="F18830" s="546"/>
      <c r="G18830" s="234"/>
      <c r="H18830" s="238"/>
      <c r="I18830" s="237"/>
    </row>
    <row r="18831" spans="1:9" s="232" customFormat="1" ht="17" customHeight="1">
      <c r="A18831" s="234"/>
      <c r="B18831" s="233"/>
      <c r="C18831" s="238"/>
      <c r="E18831" s="545"/>
      <c r="F18831" s="546"/>
      <c r="G18831" s="234"/>
      <c r="H18831" s="238"/>
      <c r="I18831" s="237"/>
    </row>
    <row r="18832" spans="1:9" s="232" customFormat="1" ht="17" customHeight="1">
      <c r="A18832" s="234"/>
      <c r="B18832" s="233"/>
      <c r="C18832" s="238"/>
      <c r="E18832" s="545"/>
      <c r="F18832" s="546"/>
      <c r="G18832" s="234"/>
      <c r="H18832" s="238"/>
      <c r="I18832" s="237"/>
    </row>
    <row r="18833" spans="1:9" s="232" customFormat="1" ht="17" customHeight="1">
      <c r="A18833" s="234"/>
      <c r="B18833" s="233"/>
      <c r="C18833" s="238"/>
      <c r="E18833" s="545"/>
      <c r="F18833" s="546"/>
      <c r="G18833" s="234"/>
      <c r="H18833" s="238"/>
      <c r="I18833" s="237"/>
    </row>
    <row r="18834" spans="1:9" s="232" customFormat="1" ht="17" customHeight="1">
      <c r="A18834" s="234"/>
      <c r="B18834" s="233"/>
      <c r="C18834" s="238"/>
      <c r="E18834" s="545"/>
      <c r="F18834" s="546"/>
      <c r="G18834" s="234"/>
      <c r="H18834" s="238"/>
      <c r="I18834" s="237"/>
    </row>
    <row r="18835" spans="1:9" s="232" customFormat="1" ht="17" customHeight="1">
      <c r="A18835" s="234"/>
      <c r="B18835" s="233"/>
      <c r="C18835" s="238"/>
      <c r="E18835" s="545"/>
      <c r="F18835" s="546"/>
      <c r="G18835" s="234"/>
      <c r="H18835" s="238"/>
      <c r="I18835" s="237"/>
    </row>
    <row r="18836" spans="1:9" s="232" customFormat="1" ht="17" customHeight="1">
      <c r="A18836" s="234"/>
      <c r="B18836" s="233"/>
      <c r="C18836" s="238"/>
      <c r="E18836" s="545"/>
      <c r="F18836" s="546"/>
      <c r="G18836" s="234"/>
      <c r="H18836" s="238"/>
      <c r="I18836" s="237"/>
    </row>
    <row r="18837" spans="1:9" s="232" customFormat="1" ht="17" customHeight="1">
      <c r="A18837" s="234"/>
      <c r="B18837" s="233"/>
      <c r="C18837" s="238"/>
      <c r="E18837" s="545"/>
      <c r="F18837" s="546"/>
      <c r="G18837" s="234"/>
      <c r="H18837" s="238"/>
      <c r="I18837" s="237"/>
    </row>
    <row r="18838" spans="1:9" s="232" customFormat="1" ht="17" customHeight="1">
      <c r="A18838" s="234"/>
      <c r="B18838" s="233"/>
      <c r="C18838" s="238"/>
      <c r="E18838" s="545"/>
      <c r="F18838" s="546"/>
      <c r="G18838" s="234"/>
      <c r="H18838" s="238"/>
      <c r="I18838" s="237"/>
    </row>
    <row r="18839" spans="1:9" s="232" customFormat="1" ht="17" customHeight="1">
      <c r="A18839" s="234"/>
      <c r="B18839" s="233"/>
      <c r="C18839" s="238"/>
      <c r="E18839" s="545"/>
      <c r="F18839" s="546"/>
      <c r="G18839" s="234"/>
      <c r="H18839" s="238"/>
      <c r="I18839" s="237"/>
    </row>
    <row r="18840" spans="1:9" s="232" customFormat="1" ht="17" customHeight="1">
      <c r="A18840" s="234"/>
      <c r="B18840" s="233"/>
      <c r="C18840" s="238"/>
      <c r="E18840" s="545"/>
      <c r="F18840" s="546"/>
      <c r="G18840" s="234"/>
      <c r="H18840" s="238"/>
      <c r="I18840" s="237"/>
    </row>
    <row r="18841" spans="1:9" s="232" customFormat="1" ht="17" customHeight="1">
      <c r="A18841" s="234"/>
      <c r="B18841" s="233"/>
      <c r="C18841" s="238"/>
      <c r="E18841" s="545"/>
      <c r="F18841" s="546"/>
      <c r="G18841" s="234"/>
      <c r="H18841" s="238"/>
      <c r="I18841" s="237"/>
    </row>
    <row r="18842" spans="1:9" s="232" customFormat="1" ht="17" customHeight="1">
      <c r="A18842" s="234"/>
      <c r="B18842" s="233"/>
      <c r="C18842" s="238"/>
      <c r="E18842" s="545"/>
      <c r="F18842" s="546"/>
      <c r="G18842" s="234"/>
      <c r="H18842" s="238"/>
      <c r="I18842" s="237"/>
    </row>
    <row r="18843" spans="1:9" s="232" customFormat="1" ht="17" customHeight="1">
      <c r="A18843" s="234"/>
      <c r="B18843" s="233"/>
      <c r="C18843" s="238"/>
      <c r="E18843" s="545"/>
      <c r="F18843" s="546"/>
      <c r="G18843" s="234"/>
      <c r="H18843" s="238"/>
      <c r="I18843" s="237"/>
    </row>
    <row r="18844" spans="1:9" s="232" customFormat="1" ht="17" customHeight="1">
      <c r="A18844" s="234"/>
      <c r="B18844" s="233"/>
      <c r="C18844" s="238"/>
      <c r="E18844" s="545"/>
      <c r="F18844" s="546"/>
      <c r="G18844" s="234"/>
      <c r="H18844" s="238"/>
      <c r="I18844" s="237"/>
    </row>
    <row r="18845" spans="1:9" s="232" customFormat="1" ht="17" customHeight="1">
      <c r="A18845" s="234"/>
      <c r="B18845" s="233"/>
      <c r="C18845" s="238"/>
      <c r="E18845" s="545"/>
      <c r="F18845" s="546"/>
      <c r="G18845" s="234"/>
      <c r="H18845" s="238"/>
      <c r="I18845" s="237"/>
    </row>
    <row r="18846" spans="1:9" s="232" customFormat="1" ht="17" customHeight="1">
      <c r="A18846" s="234"/>
      <c r="B18846" s="233"/>
      <c r="C18846" s="238"/>
      <c r="E18846" s="545"/>
      <c r="F18846" s="546"/>
      <c r="G18846" s="234"/>
      <c r="H18846" s="238"/>
      <c r="I18846" s="237"/>
    </row>
    <row r="18847" spans="1:9" s="232" customFormat="1" ht="17" customHeight="1">
      <c r="A18847" s="234"/>
      <c r="B18847" s="233"/>
      <c r="C18847" s="238"/>
      <c r="E18847" s="545"/>
      <c r="F18847" s="546"/>
      <c r="G18847" s="234"/>
      <c r="H18847" s="238"/>
      <c r="I18847" s="237"/>
    </row>
    <row r="18848" spans="1:9" s="232" customFormat="1" ht="17" customHeight="1">
      <c r="A18848" s="234"/>
      <c r="B18848" s="233"/>
      <c r="C18848" s="238"/>
      <c r="E18848" s="545"/>
      <c r="F18848" s="546"/>
      <c r="G18848" s="234"/>
      <c r="H18848" s="238"/>
      <c r="I18848" s="237"/>
    </row>
    <row r="18849" spans="1:9" s="232" customFormat="1" ht="17" customHeight="1">
      <c r="A18849" s="234"/>
      <c r="B18849" s="233"/>
      <c r="C18849" s="238"/>
      <c r="E18849" s="545"/>
      <c r="F18849" s="546"/>
      <c r="G18849" s="234"/>
      <c r="H18849" s="238"/>
      <c r="I18849" s="237"/>
    </row>
    <row r="18850" spans="1:9" s="232" customFormat="1" ht="17" customHeight="1">
      <c r="A18850" s="234"/>
      <c r="B18850" s="233"/>
      <c r="C18850" s="238"/>
      <c r="E18850" s="545"/>
      <c r="F18850" s="546"/>
      <c r="G18850" s="234"/>
      <c r="H18850" s="238"/>
      <c r="I18850" s="237"/>
    </row>
    <row r="18851" spans="1:9" s="232" customFormat="1" ht="17" customHeight="1">
      <c r="A18851" s="234"/>
      <c r="B18851" s="233"/>
      <c r="C18851" s="238"/>
      <c r="E18851" s="545"/>
      <c r="F18851" s="546"/>
      <c r="G18851" s="234"/>
      <c r="H18851" s="238"/>
      <c r="I18851" s="237"/>
    </row>
    <row r="18852" spans="1:9" s="232" customFormat="1" ht="17" customHeight="1">
      <c r="A18852" s="234"/>
      <c r="B18852" s="233"/>
      <c r="C18852" s="238"/>
      <c r="E18852" s="545"/>
      <c r="F18852" s="546"/>
      <c r="G18852" s="234"/>
      <c r="H18852" s="238"/>
      <c r="I18852" s="237"/>
    </row>
    <row r="18853" spans="1:9" s="232" customFormat="1" ht="17" customHeight="1">
      <c r="A18853" s="234"/>
      <c r="B18853" s="233"/>
      <c r="C18853" s="238"/>
      <c r="E18853" s="545"/>
      <c r="F18853" s="546"/>
      <c r="G18853" s="234"/>
      <c r="H18853" s="238"/>
      <c r="I18853" s="237"/>
    </row>
    <row r="18854" spans="1:9" s="232" customFormat="1" ht="17" customHeight="1">
      <c r="A18854" s="234"/>
      <c r="B18854" s="233"/>
      <c r="C18854" s="238"/>
      <c r="E18854" s="545"/>
      <c r="F18854" s="546"/>
      <c r="G18854" s="234"/>
      <c r="H18854" s="238"/>
      <c r="I18854" s="237"/>
    </row>
    <row r="18855" spans="1:9" s="232" customFormat="1" ht="17" customHeight="1">
      <c r="A18855" s="234"/>
      <c r="B18855" s="233"/>
      <c r="C18855" s="238"/>
      <c r="E18855" s="545"/>
      <c r="F18855" s="546"/>
      <c r="G18855" s="234"/>
      <c r="H18855" s="238"/>
      <c r="I18855" s="237"/>
    </row>
    <row r="18856" spans="1:9" s="232" customFormat="1" ht="17" customHeight="1">
      <c r="A18856" s="234"/>
      <c r="B18856" s="233"/>
      <c r="C18856" s="238"/>
      <c r="E18856" s="545"/>
      <c r="F18856" s="546"/>
      <c r="G18856" s="234"/>
      <c r="H18856" s="238"/>
      <c r="I18856" s="237"/>
    </row>
    <row r="18857" spans="1:9" s="232" customFormat="1" ht="17" customHeight="1">
      <c r="A18857" s="234"/>
      <c r="B18857" s="233"/>
      <c r="C18857" s="238"/>
      <c r="E18857" s="545"/>
      <c r="F18857" s="546"/>
      <c r="G18857" s="234"/>
      <c r="H18857" s="238"/>
      <c r="I18857" s="237"/>
    </row>
    <row r="18858" spans="1:9" s="232" customFormat="1" ht="17" customHeight="1">
      <c r="A18858" s="234"/>
      <c r="B18858" s="233"/>
      <c r="C18858" s="238"/>
      <c r="E18858" s="545"/>
      <c r="F18858" s="546"/>
      <c r="G18858" s="234"/>
      <c r="H18858" s="238"/>
      <c r="I18858" s="237"/>
    </row>
    <row r="18859" spans="1:9" s="232" customFormat="1" ht="17" customHeight="1">
      <c r="A18859" s="234"/>
      <c r="B18859" s="233"/>
      <c r="C18859" s="238"/>
      <c r="E18859" s="545"/>
      <c r="F18859" s="546"/>
      <c r="G18859" s="234"/>
      <c r="H18859" s="238"/>
      <c r="I18859" s="237"/>
    </row>
    <row r="18860" spans="1:9" s="232" customFormat="1" ht="17" customHeight="1">
      <c r="A18860" s="234"/>
      <c r="B18860" s="233"/>
      <c r="C18860" s="238"/>
      <c r="E18860" s="545"/>
      <c r="F18860" s="546"/>
      <c r="G18860" s="234"/>
      <c r="H18860" s="238"/>
      <c r="I18860" s="237"/>
    </row>
    <row r="18861" spans="1:9" s="232" customFormat="1" ht="17" customHeight="1">
      <c r="A18861" s="234"/>
      <c r="B18861" s="233"/>
      <c r="C18861" s="238"/>
      <c r="E18861" s="545"/>
      <c r="F18861" s="546"/>
      <c r="G18861" s="234"/>
      <c r="H18861" s="238"/>
      <c r="I18861" s="237"/>
    </row>
    <row r="18862" spans="1:9" s="232" customFormat="1" ht="17" customHeight="1">
      <c r="A18862" s="234"/>
      <c r="B18862" s="233"/>
      <c r="C18862" s="238"/>
      <c r="E18862" s="545"/>
      <c r="F18862" s="546"/>
      <c r="G18862" s="234"/>
      <c r="H18862" s="238"/>
      <c r="I18862" s="237"/>
    </row>
    <row r="18863" spans="1:9" s="232" customFormat="1" ht="17" customHeight="1">
      <c r="A18863" s="234"/>
      <c r="B18863" s="233"/>
      <c r="C18863" s="238"/>
      <c r="E18863" s="545"/>
      <c r="F18863" s="546"/>
      <c r="G18863" s="234"/>
      <c r="H18863" s="238"/>
      <c r="I18863" s="237"/>
    </row>
    <row r="18864" spans="1:9" s="232" customFormat="1" ht="17" customHeight="1">
      <c r="A18864" s="234"/>
      <c r="B18864" s="233"/>
      <c r="C18864" s="238"/>
      <c r="E18864" s="545"/>
      <c r="F18864" s="546"/>
      <c r="G18864" s="234"/>
      <c r="H18864" s="238"/>
      <c r="I18864" s="237"/>
    </row>
    <row r="18865" spans="1:9" s="232" customFormat="1" ht="17" customHeight="1">
      <c r="A18865" s="234"/>
      <c r="B18865" s="233"/>
      <c r="C18865" s="238"/>
      <c r="E18865" s="545"/>
      <c r="F18865" s="546"/>
      <c r="G18865" s="234"/>
      <c r="H18865" s="238"/>
      <c r="I18865" s="237"/>
    </row>
    <row r="18866" spans="1:9" s="232" customFormat="1" ht="17" customHeight="1">
      <c r="A18866" s="234"/>
      <c r="B18866" s="233"/>
      <c r="C18866" s="238"/>
      <c r="E18866" s="545"/>
      <c r="F18866" s="546"/>
      <c r="G18866" s="234"/>
      <c r="H18866" s="238"/>
      <c r="I18866" s="237"/>
    </row>
    <row r="18867" spans="1:9" s="232" customFormat="1" ht="17" customHeight="1">
      <c r="A18867" s="234"/>
      <c r="B18867" s="233"/>
      <c r="C18867" s="238"/>
      <c r="E18867" s="545"/>
      <c r="F18867" s="546"/>
      <c r="G18867" s="234"/>
      <c r="H18867" s="238"/>
      <c r="I18867" s="237"/>
    </row>
    <row r="18868" spans="1:9" s="232" customFormat="1" ht="17" customHeight="1">
      <c r="A18868" s="234"/>
      <c r="B18868" s="233"/>
      <c r="C18868" s="238"/>
      <c r="E18868" s="545"/>
      <c r="F18868" s="546"/>
      <c r="G18868" s="234"/>
      <c r="H18868" s="238"/>
      <c r="I18868" s="237"/>
    </row>
    <row r="18869" spans="1:9" s="232" customFormat="1" ht="17" customHeight="1">
      <c r="A18869" s="234"/>
      <c r="B18869" s="233"/>
      <c r="C18869" s="238"/>
      <c r="E18869" s="545"/>
      <c r="F18869" s="546"/>
      <c r="G18869" s="234"/>
      <c r="H18869" s="238"/>
      <c r="I18869" s="237"/>
    </row>
    <row r="18870" spans="1:9" s="232" customFormat="1" ht="17" customHeight="1">
      <c r="A18870" s="234"/>
      <c r="B18870" s="233"/>
      <c r="C18870" s="238"/>
      <c r="E18870" s="545"/>
      <c r="F18870" s="546"/>
      <c r="G18870" s="234"/>
      <c r="H18870" s="238"/>
      <c r="I18870" s="237"/>
    </row>
    <row r="18871" spans="1:9" s="232" customFormat="1" ht="17" customHeight="1">
      <c r="A18871" s="234"/>
      <c r="B18871" s="233"/>
      <c r="C18871" s="238"/>
      <c r="E18871" s="545"/>
      <c r="F18871" s="546"/>
      <c r="G18871" s="234"/>
      <c r="H18871" s="238"/>
      <c r="I18871" s="237"/>
    </row>
    <row r="18872" spans="1:9" s="232" customFormat="1" ht="17" customHeight="1">
      <c r="A18872" s="234"/>
      <c r="B18872" s="233"/>
      <c r="C18872" s="238"/>
      <c r="E18872" s="545"/>
      <c r="F18872" s="546"/>
      <c r="G18872" s="234"/>
      <c r="H18872" s="238"/>
      <c r="I18872" s="237"/>
    </row>
    <row r="18873" spans="1:9" s="232" customFormat="1" ht="17" customHeight="1">
      <c r="A18873" s="234"/>
      <c r="B18873" s="233"/>
      <c r="C18873" s="238"/>
      <c r="E18873" s="545"/>
      <c r="F18873" s="546"/>
      <c r="G18873" s="234"/>
      <c r="H18873" s="238"/>
      <c r="I18873" s="237"/>
    </row>
    <row r="18874" spans="1:9" s="232" customFormat="1" ht="17" customHeight="1">
      <c r="A18874" s="234"/>
      <c r="B18874" s="233"/>
      <c r="C18874" s="238"/>
      <c r="E18874" s="545"/>
      <c r="F18874" s="546"/>
      <c r="G18874" s="234"/>
      <c r="H18874" s="238"/>
      <c r="I18874" s="237"/>
    </row>
    <row r="18875" spans="1:9" s="232" customFormat="1" ht="17" customHeight="1">
      <c r="A18875" s="234"/>
      <c r="B18875" s="233"/>
      <c r="C18875" s="238"/>
      <c r="E18875" s="545"/>
      <c r="F18875" s="546"/>
      <c r="G18875" s="234"/>
      <c r="H18875" s="238"/>
      <c r="I18875" s="237"/>
    </row>
    <row r="18876" spans="1:9" s="232" customFormat="1" ht="17" customHeight="1">
      <c r="A18876" s="234"/>
      <c r="B18876" s="233"/>
      <c r="C18876" s="238"/>
      <c r="E18876" s="545"/>
      <c r="F18876" s="546"/>
      <c r="G18876" s="234"/>
      <c r="H18876" s="238"/>
      <c r="I18876" s="237"/>
    </row>
    <row r="18877" spans="1:9" s="232" customFormat="1" ht="17" customHeight="1">
      <c r="A18877" s="234"/>
      <c r="B18877" s="233"/>
      <c r="C18877" s="238"/>
      <c r="E18877" s="545"/>
      <c r="F18877" s="546"/>
      <c r="G18877" s="234"/>
      <c r="H18877" s="238"/>
      <c r="I18877" s="237"/>
    </row>
    <row r="18878" spans="1:9" s="232" customFormat="1" ht="17" customHeight="1">
      <c r="A18878" s="234"/>
      <c r="B18878" s="233"/>
      <c r="C18878" s="238"/>
      <c r="E18878" s="545"/>
      <c r="F18878" s="546"/>
      <c r="G18878" s="234"/>
      <c r="H18878" s="238"/>
      <c r="I18878" s="237"/>
    </row>
    <row r="18879" spans="1:9" s="232" customFormat="1" ht="17" customHeight="1">
      <c r="A18879" s="234"/>
      <c r="B18879" s="233"/>
      <c r="C18879" s="238"/>
      <c r="E18879" s="545"/>
      <c r="F18879" s="546"/>
      <c r="G18879" s="234"/>
      <c r="H18879" s="238"/>
      <c r="I18879" s="237"/>
    </row>
    <row r="18880" spans="1:9" s="232" customFormat="1" ht="17" customHeight="1">
      <c r="A18880" s="234"/>
      <c r="B18880" s="233"/>
      <c r="C18880" s="238"/>
      <c r="E18880" s="545"/>
      <c r="F18880" s="546"/>
      <c r="G18880" s="234"/>
      <c r="H18880" s="238"/>
      <c r="I18880" s="237"/>
    </row>
    <row r="18881" spans="1:9" s="232" customFormat="1" ht="17" customHeight="1">
      <c r="A18881" s="234"/>
      <c r="B18881" s="233"/>
      <c r="C18881" s="238"/>
      <c r="E18881" s="545"/>
      <c r="F18881" s="546"/>
      <c r="G18881" s="234"/>
      <c r="H18881" s="238"/>
      <c r="I18881" s="237"/>
    </row>
    <row r="18882" spans="1:9" s="232" customFormat="1" ht="17" customHeight="1">
      <c r="A18882" s="234"/>
      <c r="B18882" s="233"/>
      <c r="C18882" s="238"/>
      <c r="E18882" s="545"/>
      <c r="F18882" s="546"/>
      <c r="G18882" s="234"/>
      <c r="H18882" s="238"/>
      <c r="I18882" s="237"/>
    </row>
    <row r="18883" spans="1:9" s="232" customFormat="1" ht="17" customHeight="1">
      <c r="A18883" s="234"/>
      <c r="B18883" s="233"/>
      <c r="C18883" s="238"/>
      <c r="E18883" s="545"/>
      <c r="F18883" s="546"/>
      <c r="G18883" s="234"/>
      <c r="H18883" s="238"/>
      <c r="I18883" s="237"/>
    </row>
    <row r="18884" spans="1:9" s="232" customFormat="1" ht="17" customHeight="1">
      <c r="A18884" s="234"/>
      <c r="B18884" s="233"/>
      <c r="C18884" s="238"/>
      <c r="E18884" s="545"/>
      <c r="F18884" s="546"/>
      <c r="G18884" s="234"/>
      <c r="H18884" s="238"/>
      <c r="I18884" s="237"/>
    </row>
    <row r="18885" spans="1:9" s="232" customFormat="1" ht="17" customHeight="1">
      <c r="A18885" s="234"/>
      <c r="B18885" s="233"/>
      <c r="C18885" s="238"/>
      <c r="E18885" s="545"/>
      <c r="F18885" s="546"/>
      <c r="G18885" s="234"/>
      <c r="H18885" s="238"/>
      <c r="I18885" s="237"/>
    </row>
    <row r="18886" spans="1:9" s="232" customFormat="1" ht="17" customHeight="1">
      <c r="A18886" s="234"/>
      <c r="B18886" s="233"/>
      <c r="C18886" s="238"/>
      <c r="E18886" s="545"/>
      <c r="F18886" s="546"/>
      <c r="G18886" s="234"/>
      <c r="H18886" s="238"/>
      <c r="I18886" s="237"/>
    </row>
    <row r="18887" spans="1:9" s="232" customFormat="1" ht="17" customHeight="1">
      <c r="A18887" s="234"/>
      <c r="B18887" s="233"/>
      <c r="C18887" s="238"/>
      <c r="E18887" s="545"/>
      <c r="F18887" s="546"/>
      <c r="G18887" s="234"/>
      <c r="H18887" s="238"/>
      <c r="I18887" s="237"/>
    </row>
    <row r="18888" spans="1:9" s="232" customFormat="1" ht="17" customHeight="1">
      <c r="A18888" s="234"/>
      <c r="B18888" s="233"/>
      <c r="C18888" s="238"/>
      <c r="E18888" s="545"/>
      <c r="F18888" s="546"/>
      <c r="G18888" s="234"/>
      <c r="H18888" s="238"/>
      <c r="I18888" s="237"/>
    </row>
    <row r="18889" spans="1:9" s="232" customFormat="1" ht="17" customHeight="1">
      <c r="A18889" s="234"/>
      <c r="B18889" s="233"/>
      <c r="C18889" s="238"/>
      <c r="E18889" s="545"/>
      <c r="F18889" s="546"/>
      <c r="G18889" s="234"/>
      <c r="H18889" s="238"/>
      <c r="I18889" s="237"/>
    </row>
    <row r="18890" spans="1:9" s="232" customFormat="1" ht="17" customHeight="1">
      <c r="A18890" s="234"/>
      <c r="B18890" s="233"/>
      <c r="C18890" s="238"/>
      <c r="E18890" s="545"/>
      <c r="F18890" s="546"/>
      <c r="G18890" s="234"/>
      <c r="H18890" s="238"/>
      <c r="I18890" s="237"/>
    </row>
    <row r="18891" spans="1:9" s="232" customFormat="1" ht="17" customHeight="1">
      <c r="A18891" s="234"/>
      <c r="B18891" s="233"/>
      <c r="C18891" s="238"/>
      <c r="E18891" s="545"/>
      <c r="F18891" s="546"/>
      <c r="G18891" s="234"/>
      <c r="H18891" s="238"/>
      <c r="I18891" s="237"/>
    </row>
    <row r="18892" spans="1:9" s="232" customFormat="1" ht="17" customHeight="1">
      <c r="A18892" s="234"/>
      <c r="B18892" s="233"/>
      <c r="C18892" s="238"/>
      <c r="E18892" s="545"/>
      <c r="F18892" s="546"/>
      <c r="G18892" s="234"/>
      <c r="H18892" s="238"/>
      <c r="I18892" s="237"/>
    </row>
    <row r="18893" spans="1:9" s="232" customFormat="1" ht="17" customHeight="1">
      <c r="A18893" s="234"/>
      <c r="B18893" s="233"/>
      <c r="C18893" s="238"/>
      <c r="E18893" s="545"/>
      <c r="F18893" s="546"/>
      <c r="G18893" s="234"/>
      <c r="H18893" s="238"/>
      <c r="I18893" s="237"/>
    </row>
    <row r="18894" spans="1:9" s="232" customFormat="1" ht="17" customHeight="1">
      <c r="A18894" s="234"/>
      <c r="B18894" s="233"/>
      <c r="C18894" s="238"/>
      <c r="E18894" s="545"/>
      <c r="F18894" s="546"/>
      <c r="G18894" s="234"/>
      <c r="H18894" s="238"/>
      <c r="I18894" s="237"/>
    </row>
    <row r="18895" spans="1:9" s="232" customFormat="1" ht="17" customHeight="1">
      <c r="A18895" s="234"/>
      <c r="B18895" s="233"/>
      <c r="C18895" s="238"/>
      <c r="E18895" s="545"/>
      <c r="F18895" s="546"/>
      <c r="G18895" s="234"/>
      <c r="H18895" s="238"/>
      <c r="I18895" s="237"/>
    </row>
    <row r="18896" spans="1:9" s="232" customFormat="1" ht="17" customHeight="1">
      <c r="A18896" s="234"/>
      <c r="B18896" s="233"/>
      <c r="C18896" s="238"/>
      <c r="E18896" s="545"/>
      <c r="F18896" s="546"/>
      <c r="G18896" s="234"/>
      <c r="H18896" s="238"/>
      <c r="I18896" s="237"/>
    </row>
    <row r="18897" spans="1:9" s="232" customFormat="1" ht="17" customHeight="1">
      <c r="A18897" s="234"/>
      <c r="B18897" s="233"/>
      <c r="C18897" s="238"/>
      <c r="E18897" s="545"/>
      <c r="F18897" s="546"/>
      <c r="G18897" s="234"/>
      <c r="H18897" s="238"/>
      <c r="I18897" s="237"/>
    </row>
    <row r="18898" spans="1:9" s="232" customFormat="1" ht="17" customHeight="1">
      <c r="A18898" s="234"/>
      <c r="B18898" s="233"/>
      <c r="C18898" s="238"/>
      <c r="E18898" s="545"/>
      <c r="F18898" s="546"/>
      <c r="G18898" s="234"/>
      <c r="H18898" s="238"/>
      <c r="I18898" s="237"/>
    </row>
    <row r="18899" spans="1:9" s="232" customFormat="1" ht="17" customHeight="1">
      <c r="A18899" s="234"/>
      <c r="B18899" s="233"/>
      <c r="C18899" s="238"/>
      <c r="E18899" s="545"/>
      <c r="F18899" s="546"/>
      <c r="G18899" s="234"/>
      <c r="H18899" s="238"/>
      <c r="I18899" s="237"/>
    </row>
    <row r="18900" spans="1:9" s="232" customFormat="1" ht="17" customHeight="1">
      <c r="A18900" s="234"/>
      <c r="B18900" s="233"/>
      <c r="C18900" s="238"/>
      <c r="E18900" s="545"/>
      <c r="F18900" s="546"/>
      <c r="G18900" s="234"/>
      <c r="H18900" s="238"/>
      <c r="I18900" s="237"/>
    </row>
    <row r="18901" spans="1:9" s="232" customFormat="1" ht="17" customHeight="1">
      <c r="A18901" s="234"/>
      <c r="B18901" s="233"/>
      <c r="C18901" s="238"/>
      <c r="E18901" s="545"/>
      <c r="F18901" s="546"/>
      <c r="G18901" s="234"/>
      <c r="H18901" s="238"/>
      <c r="I18901" s="237"/>
    </row>
    <row r="18902" spans="1:9" s="232" customFormat="1" ht="17" customHeight="1">
      <c r="A18902" s="234"/>
      <c r="B18902" s="233"/>
      <c r="C18902" s="238"/>
      <c r="E18902" s="545"/>
      <c r="F18902" s="546"/>
      <c r="G18902" s="234"/>
      <c r="H18902" s="238"/>
      <c r="I18902" s="237"/>
    </row>
    <row r="18903" spans="1:9" s="232" customFormat="1" ht="17" customHeight="1">
      <c r="A18903" s="234"/>
      <c r="B18903" s="233"/>
      <c r="C18903" s="238"/>
      <c r="E18903" s="545"/>
      <c r="F18903" s="546"/>
      <c r="G18903" s="234"/>
      <c r="H18903" s="238"/>
      <c r="I18903" s="237"/>
    </row>
    <row r="18904" spans="1:9" s="232" customFormat="1" ht="17" customHeight="1">
      <c r="A18904" s="234"/>
      <c r="B18904" s="233"/>
      <c r="C18904" s="238"/>
      <c r="E18904" s="545"/>
      <c r="F18904" s="546"/>
      <c r="G18904" s="234"/>
      <c r="H18904" s="238"/>
      <c r="I18904" s="237"/>
    </row>
    <row r="18905" spans="1:9" s="232" customFormat="1" ht="17" customHeight="1">
      <c r="A18905" s="234"/>
      <c r="B18905" s="233"/>
      <c r="C18905" s="238"/>
      <c r="E18905" s="545"/>
      <c r="F18905" s="546"/>
      <c r="G18905" s="234"/>
      <c r="H18905" s="238"/>
      <c r="I18905" s="237"/>
    </row>
    <row r="18906" spans="1:9" s="232" customFormat="1" ht="17" customHeight="1">
      <c r="A18906" s="234"/>
      <c r="B18906" s="233"/>
      <c r="C18906" s="238"/>
      <c r="E18906" s="545"/>
      <c r="F18906" s="546"/>
      <c r="G18906" s="234"/>
      <c r="H18906" s="238"/>
      <c r="I18906" s="237"/>
    </row>
    <row r="18907" spans="1:9" s="232" customFormat="1" ht="17" customHeight="1">
      <c r="A18907" s="234"/>
      <c r="B18907" s="233"/>
      <c r="C18907" s="238"/>
      <c r="E18907" s="545"/>
      <c r="F18907" s="546"/>
      <c r="G18907" s="234"/>
      <c r="H18907" s="238"/>
      <c r="I18907" s="237"/>
    </row>
    <row r="18908" spans="1:9" s="232" customFormat="1" ht="17" customHeight="1">
      <c r="A18908" s="234"/>
      <c r="B18908" s="233"/>
      <c r="C18908" s="238"/>
      <c r="E18908" s="545"/>
      <c r="F18908" s="546"/>
      <c r="G18908" s="234"/>
      <c r="H18908" s="238"/>
      <c r="I18908" s="237"/>
    </row>
    <row r="18909" spans="1:9" s="232" customFormat="1" ht="17" customHeight="1">
      <c r="A18909" s="234"/>
      <c r="B18909" s="233"/>
      <c r="C18909" s="238"/>
      <c r="E18909" s="545"/>
      <c r="F18909" s="546"/>
      <c r="G18909" s="234"/>
      <c r="H18909" s="238"/>
      <c r="I18909" s="237"/>
    </row>
    <row r="18910" spans="1:9" s="232" customFormat="1" ht="17" customHeight="1">
      <c r="A18910" s="234"/>
      <c r="B18910" s="233"/>
      <c r="C18910" s="238"/>
      <c r="E18910" s="545"/>
      <c r="F18910" s="546"/>
      <c r="G18910" s="234"/>
      <c r="H18910" s="238"/>
      <c r="I18910" s="237"/>
    </row>
    <row r="18911" spans="1:9" s="232" customFormat="1" ht="17" customHeight="1">
      <c r="A18911" s="234"/>
      <c r="B18911" s="233"/>
      <c r="C18911" s="238"/>
      <c r="E18911" s="545"/>
      <c r="F18911" s="546"/>
      <c r="G18911" s="234"/>
      <c r="H18911" s="238"/>
      <c r="I18911" s="237"/>
    </row>
    <row r="18912" spans="1:9" s="232" customFormat="1" ht="17" customHeight="1">
      <c r="A18912" s="234"/>
      <c r="B18912" s="233"/>
      <c r="C18912" s="238"/>
      <c r="E18912" s="545"/>
      <c r="F18912" s="546"/>
      <c r="G18912" s="234"/>
      <c r="H18912" s="238"/>
      <c r="I18912" s="237"/>
    </row>
    <row r="18913" spans="1:9" s="232" customFormat="1" ht="17" customHeight="1">
      <c r="A18913" s="234"/>
      <c r="B18913" s="233"/>
      <c r="C18913" s="238"/>
      <c r="E18913" s="545"/>
      <c r="F18913" s="546"/>
      <c r="G18913" s="234"/>
      <c r="H18913" s="238"/>
      <c r="I18913" s="237"/>
    </row>
    <row r="18914" spans="1:9" s="232" customFormat="1" ht="17" customHeight="1">
      <c r="A18914" s="234"/>
      <c r="B18914" s="233"/>
      <c r="C18914" s="238"/>
      <c r="E18914" s="545"/>
      <c r="F18914" s="546"/>
      <c r="G18914" s="234"/>
      <c r="H18914" s="238"/>
      <c r="I18914" s="237"/>
    </row>
    <row r="18915" spans="1:9" s="232" customFormat="1" ht="17" customHeight="1">
      <c r="A18915" s="234"/>
      <c r="B18915" s="233"/>
      <c r="C18915" s="238"/>
      <c r="E18915" s="545"/>
      <c r="F18915" s="546"/>
      <c r="G18915" s="234"/>
      <c r="H18915" s="238"/>
      <c r="I18915" s="237"/>
    </row>
    <row r="18916" spans="1:9" s="232" customFormat="1" ht="17" customHeight="1">
      <c r="A18916" s="234"/>
      <c r="B18916" s="233"/>
      <c r="C18916" s="238"/>
      <c r="E18916" s="545"/>
      <c r="F18916" s="546"/>
      <c r="G18916" s="234"/>
      <c r="H18916" s="238"/>
      <c r="I18916" s="237"/>
    </row>
    <row r="18917" spans="1:9" s="232" customFormat="1" ht="17" customHeight="1">
      <c r="A18917" s="234"/>
      <c r="B18917" s="233"/>
      <c r="C18917" s="238"/>
      <c r="E18917" s="545"/>
      <c r="F18917" s="546"/>
      <c r="G18917" s="234"/>
      <c r="H18917" s="238"/>
      <c r="I18917" s="237"/>
    </row>
    <row r="18918" spans="1:9" s="232" customFormat="1" ht="17" customHeight="1">
      <c r="A18918" s="234"/>
      <c r="B18918" s="233"/>
      <c r="C18918" s="238"/>
      <c r="E18918" s="545"/>
      <c r="F18918" s="546"/>
      <c r="G18918" s="234"/>
      <c r="H18918" s="238"/>
      <c r="I18918" s="237"/>
    </row>
    <row r="18919" spans="1:9" s="232" customFormat="1" ht="17" customHeight="1">
      <c r="A18919" s="234"/>
      <c r="B18919" s="233"/>
      <c r="C18919" s="238"/>
      <c r="E18919" s="545"/>
      <c r="F18919" s="546"/>
      <c r="G18919" s="234"/>
      <c r="H18919" s="238"/>
      <c r="I18919" s="237"/>
    </row>
    <row r="18920" spans="1:9" s="232" customFormat="1" ht="17" customHeight="1">
      <c r="A18920" s="234"/>
      <c r="B18920" s="233"/>
      <c r="C18920" s="238"/>
      <c r="E18920" s="545"/>
      <c r="F18920" s="546"/>
      <c r="G18920" s="234"/>
      <c r="H18920" s="238"/>
      <c r="I18920" s="237"/>
    </row>
    <row r="18921" spans="1:9" s="232" customFormat="1" ht="17" customHeight="1">
      <c r="A18921" s="234"/>
      <c r="B18921" s="233"/>
      <c r="C18921" s="238"/>
      <c r="E18921" s="545"/>
      <c r="F18921" s="546"/>
      <c r="G18921" s="234"/>
      <c r="H18921" s="238"/>
      <c r="I18921" s="237"/>
    </row>
    <row r="18922" spans="1:9" s="232" customFormat="1" ht="17" customHeight="1">
      <c r="A18922" s="234"/>
      <c r="B18922" s="233"/>
      <c r="C18922" s="238"/>
      <c r="E18922" s="545"/>
      <c r="F18922" s="546"/>
      <c r="G18922" s="234"/>
      <c r="H18922" s="238"/>
      <c r="I18922" s="237"/>
    </row>
    <row r="18923" spans="1:9" s="232" customFormat="1" ht="17" customHeight="1">
      <c r="A18923" s="234"/>
      <c r="B18923" s="233"/>
      <c r="C18923" s="238"/>
      <c r="E18923" s="545"/>
      <c r="F18923" s="546"/>
      <c r="G18923" s="234"/>
      <c r="H18923" s="238"/>
      <c r="I18923" s="237"/>
    </row>
    <row r="18924" spans="1:9" s="232" customFormat="1" ht="17" customHeight="1">
      <c r="A18924" s="234"/>
      <c r="B18924" s="233"/>
      <c r="C18924" s="238"/>
      <c r="E18924" s="545"/>
      <c r="F18924" s="546"/>
      <c r="G18924" s="234"/>
      <c r="H18924" s="238"/>
      <c r="I18924" s="237"/>
    </row>
    <row r="18925" spans="1:9" s="232" customFormat="1" ht="17" customHeight="1">
      <c r="A18925" s="234"/>
      <c r="B18925" s="233"/>
      <c r="C18925" s="238"/>
      <c r="E18925" s="545"/>
      <c r="F18925" s="546"/>
      <c r="G18925" s="234"/>
      <c r="H18925" s="238"/>
      <c r="I18925" s="237"/>
    </row>
    <row r="18926" spans="1:9" s="232" customFormat="1" ht="17" customHeight="1">
      <c r="A18926" s="234"/>
      <c r="B18926" s="233"/>
      <c r="C18926" s="238"/>
      <c r="E18926" s="545"/>
      <c r="F18926" s="546"/>
      <c r="G18926" s="234"/>
      <c r="H18926" s="238"/>
      <c r="I18926" s="237"/>
    </row>
    <row r="18927" spans="1:9" s="232" customFormat="1" ht="17" customHeight="1">
      <c r="A18927" s="234"/>
      <c r="B18927" s="233"/>
      <c r="C18927" s="238"/>
      <c r="E18927" s="545"/>
      <c r="F18927" s="546"/>
      <c r="G18927" s="234"/>
      <c r="H18927" s="238"/>
      <c r="I18927" s="237"/>
    </row>
    <row r="18928" spans="1:9" s="232" customFormat="1" ht="17" customHeight="1">
      <c r="A18928" s="234"/>
      <c r="B18928" s="233"/>
      <c r="C18928" s="238"/>
      <c r="E18928" s="545"/>
      <c r="F18928" s="546"/>
      <c r="G18928" s="234"/>
      <c r="H18928" s="238"/>
      <c r="I18928" s="237"/>
    </row>
    <row r="18929" spans="1:9" s="232" customFormat="1" ht="17" customHeight="1">
      <c r="A18929" s="234"/>
      <c r="B18929" s="233"/>
      <c r="C18929" s="238"/>
      <c r="E18929" s="545"/>
      <c r="F18929" s="546"/>
      <c r="G18929" s="234"/>
      <c r="H18929" s="238"/>
      <c r="I18929" s="237"/>
    </row>
    <row r="18930" spans="1:9" s="232" customFormat="1" ht="17" customHeight="1">
      <c r="A18930" s="234"/>
      <c r="B18930" s="233"/>
      <c r="C18930" s="238"/>
      <c r="E18930" s="545"/>
      <c r="F18930" s="546"/>
      <c r="G18930" s="234"/>
      <c r="H18930" s="238"/>
      <c r="I18930" s="237"/>
    </row>
    <row r="18931" spans="1:9" s="232" customFormat="1" ht="17" customHeight="1">
      <c r="A18931" s="234"/>
      <c r="B18931" s="233"/>
      <c r="C18931" s="238"/>
      <c r="E18931" s="545"/>
      <c r="F18931" s="546"/>
      <c r="G18931" s="234"/>
      <c r="H18931" s="238"/>
      <c r="I18931" s="237"/>
    </row>
    <row r="18932" spans="1:9" s="232" customFormat="1" ht="17" customHeight="1">
      <c r="A18932" s="234"/>
      <c r="B18932" s="233"/>
      <c r="C18932" s="238"/>
      <c r="E18932" s="545"/>
      <c r="F18932" s="546"/>
      <c r="G18932" s="234"/>
      <c r="H18932" s="238"/>
      <c r="I18932" s="237"/>
    </row>
    <row r="18933" spans="1:9" s="232" customFormat="1" ht="17" customHeight="1">
      <c r="A18933" s="234"/>
      <c r="B18933" s="233"/>
      <c r="C18933" s="238"/>
      <c r="E18933" s="545"/>
      <c r="F18933" s="546"/>
      <c r="G18933" s="234"/>
      <c r="H18933" s="238"/>
      <c r="I18933" s="237"/>
    </row>
    <row r="18934" spans="1:9" s="232" customFormat="1" ht="17" customHeight="1">
      <c r="A18934" s="234"/>
      <c r="B18934" s="233"/>
      <c r="C18934" s="238"/>
      <c r="E18934" s="545"/>
      <c r="F18934" s="546"/>
      <c r="G18934" s="234"/>
      <c r="H18934" s="238"/>
      <c r="I18934" s="237"/>
    </row>
    <row r="18935" spans="1:9" s="232" customFormat="1" ht="17" customHeight="1">
      <c r="A18935" s="234"/>
      <c r="B18935" s="233"/>
      <c r="C18935" s="238"/>
      <c r="E18935" s="545"/>
      <c r="F18935" s="546"/>
      <c r="G18935" s="234"/>
      <c r="H18935" s="238"/>
      <c r="I18935" s="237"/>
    </row>
    <row r="18936" spans="1:9" s="232" customFormat="1" ht="17" customHeight="1">
      <c r="A18936" s="234"/>
      <c r="B18936" s="233"/>
      <c r="C18936" s="238"/>
      <c r="E18936" s="545"/>
      <c r="F18936" s="546"/>
      <c r="G18936" s="234"/>
      <c r="H18936" s="238"/>
      <c r="I18936" s="237"/>
    </row>
    <row r="18937" spans="1:9" s="232" customFormat="1" ht="17" customHeight="1">
      <c r="A18937" s="234"/>
      <c r="B18937" s="233"/>
      <c r="C18937" s="238"/>
      <c r="E18937" s="545"/>
      <c r="F18937" s="546"/>
      <c r="G18937" s="234"/>
      <c r="H18937" s="238"/>
      <c r="I18937" s="237"/>
    </row>
    <row r="18938" spans="1:9" s="232" customFormat="1" ht="17" customHeight="1">
      <c r="A18938" s="234"/>
      <c r="B18938" s="233"/>
      <c r="C18938" s="238"/>
      <c r="E18938" s="545"/>
      <c r="F18938" s="546"/>
      <c r="G18938" s="234"/>
      <c r="H18938" s="238"/>
      <c r="I18938" s="237"/>
    </row>
    <row r="18939" spans="1:9" s="232" customFormat="1" ht="17" customHeight="1">
      <c r="A18939" s="234"/>
      <c r="B18939" s="233"/>
      <c r="C18939" s="238"/>
      <c r="E18939" s="545"/>
      <c r="F18939" s="546"/>
      <c r="G18939" s="234"/>
      <c r="H18939" s="238"/>
      <c r="I18939" s="237"/>
    </row>
    <row r="18940" spans="1:9" s="232" customFormat="1" ht="17" customHeight="1">
      <c r="A18940" s="234"/>
      <c r="B18940" s="233"/>
      <c r="C18940" s="238"/>
      <c r="E18940" s="545"/>
      <c r="F18940" s="546"/>
      <c r="G18940" s="234"/>
      <c r="H18940" s="238"/>
      <c r="I18940" s="237"/>
    </row>
    <row r="18941" spans="1:9" s="232" customFormat="1" ht="17" customHeight="1">
      <c r="A18941" s="234"/>
      <c r="B18941" s="233"/>
      <c r="C18941" s="238"/>
      <c r="E18941" s="545"/>
      <c r="F18941" s="546"/>
      <c r="G18941" s="234"/>
      <c r="H18941" s="238"/>
      <c r="I18941" s="237"/>
    </row>
    <row r="18942" spans="1:9" s="232" customFormat="1" ht="17" customHeight="1">
      <c r="A18942" s="234"/>
      <c r="B18942" s="233"/>
      <c r="C18942" s="238"/>
      <c r="E18942" s="545"/>
      <c r="F18942" s="546"/>
      <c r="G18942" s="234"/>
      <c r="H18942" s="238"/>
      <c r="I18942" s="237"/>
    </row>
    <row r="18943" spans="1:9" s="232" customFormat="1" ht="17" customHeight="1">
      <c r="A18943" s="234"/>
      <c r="B18943" s="233"/>
      <c r="C18943" s="238"/>
      <c r="E18943" s="545"/>
      <c r="F18943" s="546"/>
      <c r="G18943" s="234"/>
      <c r="H18943" s="238"/>
      <c r="I18943" s="237"/>
    </row>
    <row r="18944" spans="1:9" s="232" customFormat="1" ht="17" customHeight="1">
      <c r="A18944" s="234"/>
      <c r="B18944" s="233"/>
      <c r="C18944" s="238"/>
      <c r="E18944" s="545"/>
      <c r="F18944" s="546"/>
      <c r="G18944" s="234"/>
      <c r="H18944" s="238"/>
      <c r="I18944" s="237"/>
    </row>
    <row r="18945" spans="1:9" s="232" customFormat="1" ht="17" customHeight="1">
      <c r="A18945" s="234"/>
      <c r="B18945" s="233"/>
      <c r="C18945" s="238"/>
      <c r="E18945" s="545"/>
      <c r="F18945" s="546"/>
      <c r="G18945" s="234"/>
      <c r="H18945" s="238"/>
      <c r="I18945" s="237"/>
    </row>
    <row r="18946" spans="1:9" s="232" customFormat="1" ht="17" customHeight="1">
      <c r="A18946" s="234"/>
      <c r="B18946" s="233"/>
      <c r="C18946" s="238"/>
      <c r="E18946" s="545"/>
      <c r="F18946" s="546"/>
      <c r="G18946" s="234"/>
      <c r="H18946" s="238"/>
      <c r="I18946" s="237"/>
    </row>
    <row r="18947" spans="1:9" s="232" customFormat="1" ht="17" customHeight="1">
      <c r="A18947" s="234"/>
      <c r="B18947" s="233"/>
      <c r="C18947" s="238"/>
      <c r="E18947" s="545"/>
      <c r="F18947" s="546"/>
      <c r="G18947" s="234"/>
      <c r="H18947" s="238"/>
      <c r="I18947" s="237"/>
    </row>
    <row r="18948" spans="1:9" s="232" customFormat="1" ht="17" customHeight="1">
      <c r="A18948" s="234"/>
      <c r="B18948" s="233"/>
      <c r="C18948" s="238"/>
      <c r="E18948" s="545"/>
      <c r="F18948" s="546"/>
      <c r="G18948" s="234"/>
      <c r="H18948" s="238"/>
      <c r="I18948" s="237"/>
    </row>
    <row r="18949" spans="1:9" s="232" customFormat="1" ht="17" customHeight="1">
      <c r="A18949" s="234"/>
      <c r="B18949" s="233"/>
      <c r="C18949" s="238"/>
      <c r="E18949" s="545"/>
      <c r="F18949" s="546"/>
      <c r="G18949" s="234"/>
      <c r="H18949" s="238"/>
      <c r="I18949" s="237"/>
    </row>
    <row r="18950" spans="1:9" s="232" customFormat="1" ht="17" customHeight="1">
      <c r="A18950" s="234"/>
      <c r="B18950" s="233"/>
      <c r="C18950" s="238"/>
      <c r="E18950" s="545"/>
      <c r="F18950" s="546"/>
      <c r="G18950" s="234"/>
      <c r="H18950" s="238"/>
      <c r="I18950" s="237"/>
    </row>
    <row r="18951" spans="1:9" s="232" customFormat="1" ht="17" customHeight="1">
      <c r="A18951" s="234"/>
      <c r="B18951" s="233"/>
      <c r="C18951" s="238"/>
      <c r="E18951" s="545"/>
      <c r="F18951" s="546"/>
      <c r="G18951" s="234"/>
      <c r="H18951" s="238"/>
      <c r="I18951" s="237"/>
    </row>
    <row r="18952" spans="1:9" s="232" customFormat="1" ht="17" customHeight="1">
      <c r="A18952" s="234"/>
      <c r="B18952" s="233"/>
      <c r="C18952" s="238"/>
      <c r="E18952" s="545"/>
      <c r="F18952" s="546"/>
      <c r="G18952" s="234"/>
      <c r="H18952" s="238"/>
      <c r="I18952" s="237"/>
    </row>
    <row r="18953" spans="1:9" s="232" customFormat="1" ht="17" customHeight="1">
      <c r="A18953" s="234"/>
      <c r="B18953" s="233"/>
      <c r="C18953" s="238"/>
      <c r="E18953" s="545"/>
      <c r="F18953" s="546"/>
      <c r="G18953" s="234"/>
      <c r="H18953" s="238"/>
      <c r="I18953" s="237"/>
    </row>
    <row r="18954" spans="1:9" s="232" customFormat="1" ht="17" customHeight="1">
      <c r="A18954" s="234"/>
      <c r="B18954" s="233"/>
      <c r="C18954" s="238"/>
      <c r="E18954" s="545"/>
      <c r="F18954" s="546"/>
      <c r="G18954" s="234"/>
      <c r="H18954" s="238"/>
      <c r="I18954" s="237"/>
    </row>
    <row r="18955" spans="1:9" s="232" customFormat="1" ht="17" customHeight="1">
      <c r="A18955" s="234"/>
      <c r="B18955" s="233"/>
      <c r="C18955" s="238"/>
      <c r="E18955" s="545"/>
      <c r="F18955" s="546"/>
      <c r="G18955" s="234"/>
      <c r="H18955" s="238"/>
      <c r="I18955" s="237"/>
    </row>
    <row r="18956" spans="1:9" s="232" customFormat="1" ht="17" customHeight="1">
      <c r="A18956" s="234"/>
      <c r="B18956" s="233"/>
      <c r="C18956" s="238"/>
      <c r="E18956" s="545"/>
      <c r="F18956" s="546"/>
      <c r="G18956" s="234"/>
      <c r="H18956" s="238"/>
      <c r="I18956" s="237"/>
    </row>
    <row r="18957" spans="1:9" s="232" customFormat="1" ht="17" customHeight="1">
      <c r="A18957" s="234"/>
      <c r="B18957" s="233"/>
      <c r="C18957" s="238"/>
      <c r="E18957" s="545"/>
      <c r="F18957" s="546"/>
      <c r="G18957" s="234"/>
      <c r="H18957" s="238"/>
      <c r="I18957" s="237"/>
    </row>
    <row r="18958" spans="1:9" s="232" customFormat="1" ht="17" customHeight="1">
      <c r="A18958" s="234"/>
      <c r="B18958" s="233"/>
      <c r="C18958" s="238"/>
      <c r="E18958" s="545"/>
      <c r="F18958" s="546"/>
      <c r="G18958" s="234"/>
      <c r="H18958" s="238"/>
      <c r="I18958" s="237"/>
    </row>
    <row r="18959" spans="1:9" s="232" customFormat="1" ht="17" customHeight="1">
      <c r="A18959" s="234"/>
      <c r="B18959" s="233"/>
      <c r="C18959" s="238"/>
      <c r="E18959" s="545"/>
      <c r="F18959" s="546"/>
      <c r="G18959" s="234"/>
      <c r="H18959" s="238"/>
      <c r="I18959" s="237"/>
    </row>
    <row r="18960" spans="1:9" s="232" customFormat="1" ht="17" customHeight="1">
      <c r="A18960" s="234"/>
      <c r="B18960" s="233"/>
      <c r="C18960" s="238"/>
      <c r="E18960" s="545"/>
      <c r="F18960" s="546"/>
      <c r="G18960" s="234"/>
      <c r="H18960" s="238"/>
      <c r="I18960" s="237"/>
    </row>
    <row r="18961" spans="1:9" s="232" customFormat="1" ht="17" customHeight="1">
      <c r="A18961" s="234"/>
      <c r="B18961" s="233"/>
      <c r="C18961" s="238"/>
      <c r="E18961" s="545"/>
      <c r="F18961" s="546"/>
      <c r="G18961" s="234"/>
      <c r="H18961" s="238"/>
      <c r="I18961" s="237"/>
    </row>
    <row r="18962" spans="1:9" s="232" customFormat="1" ht="17" customHeight="1">
      <c r="A18962" s="234"/>
      <c r="B18962" s="233"/>
      <c r="C18962" s="238"/>
      <c r="E18962" s="545"/>
      <c r="F18962" s="546"/>
      <c r="G18962" s="234"/>
      <c r="H18962" s="238"/>
      <c r="I18962" s="237"/>
    </row>
    <row r="18963" spans="1:9" s="232" customFormat="1" ht="17" customHeight="1">
      <c r="A18963" s="234"/>
      <c r="B18963" s="233"/>
      <c r="C18963" s="238"/>
      <c r="E18963" s="545"/>
      <c r="F18963" s="546"/>
      <c r="G18963" s="234"/>
      <c r="H18963" s="238"/>
      <c r="I18963" s="237"/>
    </row>
    <row r="18964" spans="1:9" s="232" customFormat="1" ht="17" customHeight="1">
      <c r="A18964" s="234"/>
      <c r="B18964" s="233"/>
      <c r="C18964" s="238"/>
      <c r="E18964" s="545"/>
      <c r="F18964" s="546"/>
      <c r="G18964" s="234"/>
      <c r="H18964" s="238"/>
      <c r="I18964" s="237"/>
    </row>
    <row r="18965" spans="1:9" s="232" customFormat="1" ht="17" customHeight="1">
      <c r="A18965" s="234"/>
      <c r="B18965" s="233"/>
      <c r="C18965" s="238"/>
      <c r="E18965" s="545"/>
      <c r="F18965" s="546"/>
      <c r="G18965" s="234"/>
      <c r="H18965" s="238"/>
      <c r="I18965" s="237"/>
    </row>
    <row r="18966" spans="1:9" s="232" customFormat="1" ht="17" customHeight="1">
      <c r="A18966" s="234"/>
      <c r="B18966" s="233"/>
      <c r="C18966" s="238"/>
      <c r="E18966" s="545"/>
      <c r="F18966" s="546"/>
      <c r="G18966" s="234"/>
      <c r="H18966" s="238"/>
      <c r="I18966" s="237"/>
    </row>
    <row r="18967" spans="1:9" s="232" customFormat="1" ht="17" customHeight="1">
      <c r="A18967" s="234"/>
      <c r="B18967" s="233"/>
      <c r="C18967" s="238"/>
      <c r="E18967" s="545"/>
      <c r="F18967" s="546"/>
      <c r="G18967" s="234"/>
      <c r="H18967" s="238"/>
      <c r="I18967" s="237"/>
    </row>
    <row r="18968" spans="1:9" s="232" customFormat="1" ht="17" customHeight="1">
      <c r="A18968" s="234"/>
      <c r="B18968" s="233"/>
      <c r="C18968" s="238"/>
      <c r="E18968" s="545"/>
      <c r="F18968" s="546"/>
      <c r="G18968" s="234"/>
      <c r="H18968" s="238"/>
      <c r="I18968" s="237"/>
    </row>
    <row r="18969" spans="1:9" s="232" customFormat="1" ht="17" customHeight="1">
      <c r="A18969" s="234"/>
      <c r="B18969" s="233"/>
      <c r="C18969" s="238"/>
      <c r="E18969" s="545"/>
      <c r="F18969" s="546"/>
      <c r="G18969" s="234"/>
      <c r="H18969" s="238"/>
      <c r="I18969" s="237"/>
    </row>
    <row r="18970" spans="1:9" s="232" customFormat="1" ht="17" customHeight="1">
      <c r="A18970" s="234"/>
      <c r="B18970" s="233"/>
      <c r="C18970" s="238"/>
      <c r="E18970" s="545"/>
      <c r="F18970" s="546"/>
      <c r="G18970" s="234"/>
      <c r="H18970" s="238"/>
      <c r="I18970" s="237"/>
    </row>
    <row r="18971" spans="1:9" s="232" customFormat="1" ht="17" customHeight="1">
      <c r="A18971" s="234"/>
      <c r="B18971" s="233"/>
      <c r="C18971" s="238"/>
      <c r="E18971" s="545"/>
      <c r="F18971" s="546"/>
      <c r="G18971" s="234"/>
      <c r="H18971" s="238"/>
      <c r="I18971" s="237"/>
    </row>
    <row r="18972" spans="1:9" s="232" customFormat="1" ht="17" customHeight="1">
      <c r="A18972" s="234"/>
      <c r="B18972" s="233"/>
      <c r="C18972" s="238"/>
      <c r="E18972" s="545"/>
      <c r="F18972" s="546"/>
      <c r="G18972" s="234"/>
      <c r="H18972" s="238"/>
      <c r="I18972" s="237"/>
    </row>
    <row r="18973" spans="1:9" s="232" customFormat="1" ht="17" customHeight="1">
      <c r="A18973" s="234"/>
      <c r="B18973" s="233"/>
      <c r="C18973" s="238"/>
      <c r="E18973" s="545"/>
      <c r="F18973" s="546"/>
      <c r="G18973" s="234"/>
      <c r="H18973" s="238"/>
      <c r="I18973" s="237"/>
    </row>
    <row r="18974" spans="1:9" s="232" customFormat="1" ht="17" customHeight="1">
      <c r="A18974" s="234"/>
      <c r="B18974" s="233"/>
      <c r="C18974" s="238"/>
      <c r="E18974" s="545"/>
      <c r="F18974" s="546"/>
      <c r="G18974" s="234"/>
      <c r="H18974" s="238"/>
      <c r="I18974" s="237"/>
    </row>
    <row r="18975" spans="1:9" s="232" customFormat="1" ht="17" customHeight="1">
      <c r="A18975" s="234"/>
      <c r="B18975" s="233"/>
      <c r="C18975" s="238"/>
      <c r="E18975" s="545"/>
      <c r="F18975" s="546"/>
      <c r="G18975" s="234"/>
      <c r="H18975" s="238"/>
      <c r="I18975" s="237"/>
    </row>
    <row r="18976" spans="1:9" s="232" customFormat="1" ht="17" customHeight="1">
      <c r="A18976" s="234"/>
      <c r="B18976" s="233"/>
      <c r="C18976" s="238"/>
      <c r="E18976" s="545"/>
      <c r="F18976" s="546"/>
      <c r="G18976" s="234"/>
      <c r="H18976" s="238"/>
      <c r="I18976" s="237"/>
    </row>
    <row r="18977" spans="1:9" s="232" customFormat="1" ht="17" customHeight="1">
      <c r="A18977" s="234"/>
      <c r="B18977" s="233"/>
      <c r="C18977" s="238"/>
      <c r="E18977" s="545"/>
      <c r="F18977" s="546"/>
      <c r="G18977" s="234"/>
      <c r="H18977" s="238"/>
      <c r="I18977" s="237"/>
    </row>
    <row r="18978" spans="1:9" s="232" customFormat="1" ht="17" customHeight="1">
      <c r="A18978" s="234"/>
      <c r="B18978" s="233"/>
      <c r="C18978" s="238"/>
      <c r="E18978" s="545"/>
      <c r="F18978" s="546"/>
      <c r="G18978" s="234"/>
      <c r="H18978" s="238"/>
      <c r="I18978" s="237"/>
    </row>
    <row r="18979" spans="1:9" s="232" customFormat="1" ht="17" customHeight="1">
      <c r="A18979" s="234"/>
      <c r="B18979" s="233"/>
      <c r="C18979" s="238"/>
      <c r="E18979" s="545"/>
      <c r="F18979" s="546"/>
      <c r="G18979" s="234"/>
      <c r="H18979" s="238"/>
      <c r="I18979" s="237"/>
    </row>
    <row r="18980" spans="1:9" s="232" customFormat="1" ht="17" customHeight="1">
      <c r="A18980" s="234"/>
      <c r="B18980" s="233"/>
      <c r="C18980" s="238"/>
      <c r="E18980" s="545"/>
      <c r="F18980" s="546"/>
      <c r="G18980" s="234"/>
      <c r="H18980" s="238"/>
      <c r="I18980" s="237"/>
    </row>
    <row r="18981" spans="1:9" s="232" customFormat="1" ht="17" customHeight="1">
      <c r="A18981" s="234"/>
      <c r="B18981" s="233"/>
      <c r="C18981" s="238"/>
      <c r="E18981" s="545"/>
      <c r="F18981" s="546"/>
      <c r="G18981" s="234"/>
      <c r="H18981" s="238"/>
      <c r="I18981" s="237"/>
    </row>
    <row r="18982" spans="1:9" s="232" customFormat="1" ht="17" customHeight="1">
      <c r="A18982" s="234"/>
      <c r="B18982" s="233"/>
      <c r="C18982" s="238"/>
      <c r="E18982" s="545"/>
      <c r="F18982" s="546"/>
      <c r="G18982" s="234"/>
      <c r="H18982" s="238"/>
      <c r="I18982" s="237"/>
    </row>
    <row r="18983" spans="1:9" s="232" customFormat="1" ht="17" customHeight="1">
      <c r="A18983" s="234"/>
      <c r="B18983" s="233"/>
      <c r="C18983" s="238"/>
      <c r="E18983" s="545"/>
      <c r="F18983" s="546"/>
      <c r="G18983" s="234"/>
      <c r="H18983" s="238"/>
      <c r="I18983" s="237"/>
    </row>
    <row r="18984" spans="1:9" s="232" customFormat="1" ht="17" customHeight="1">
      <c r="A18984" s="234"/>
      <c r="B18984" s="233"/>
      <c r="C18984" s="238"/>
      <c r="E18984" s="545"/>
      <c r="F18984" s="546"/>
      <c r="G18984" s="234"/>
      <c r="H18984" s="238"/>
      <c r="I18984" s="237"/>
    </row>
    <row r="18985" spans="1:9" s="232" customFormat="1" ht="17" customHeight="1">
      <c r="A18985" s="234"/>
      <c r="B18985" s="233"/>
      <c r="C18985" s="238"/>
      <c r="E18985" s="545"/>
      <c r="F18985" s="546"/>
      <c r="G18985" s="234"/>
      <c r="H18985" s="238"/>
      <c r="I18985" s="237"/>
    </row>
    <row r="18986" spans="1:9" s="232" customFormat="1" ht="17" customHeight="1">
      <c r="A18986" s="234"/>
      <c r="B18986" s="233"/>
      <c r="C18986" s="238"/>
      <c r="E18986" s="545"/>
      <c r="F18986" s="546"/>
      <c r="G18986" s="234"/>
      <c r="H18986" s="238"/>
      <c r="I18986" s="237"/>
    </row>
    <row r="18987" spans="1:9" s="232" customFormat="1" ht="17" customHeight="1">
      <c r="A18987" s="234"/>
      <c r="B18987" s="233"/>
      <c r="C18987" s="238"/>
      <c r="E18987" s="545"/>
      <c r="F18987" s="546"/>
      <c r="G18987" s="234"/>
      <c r="H18987" s="238"/>
      <c r="I18987" s="237"/>
    </row>
    <row r="18988" spans="1:9" s="232" customFormat="1" ht="17" customHeight="1">
      <c r="A18988" s="234"/>
      <c r="B18988" s="233"/>
      <c r="C18988" s="238"/>
      <c r="E18988" s="545"/>
      <c r="F18988" s="546"/>
      <c r="G18988" s="234"/>
      <c r="H18988" s="238"/>
      <c r="I18988" s="237"/>
    </row>
    <row r="18989" spans="1:9" s="232" customFormat="1" ht="17" customHeight="1">
      <c r="A18989" s="234"/>
      <c r="B18989" s="233"/>
      <c r="C18989" s="238"/>
      <c r="E18989" s="545"/>
      <c r="F18989" s="546"/>
      <c r="G18989" s="234"/>
      <c r="H18989" s="238"/>
      <c r="I18989" s="237"/>
    </row>
    <row r="18990" spans="1:9" s="232" customFormat="1" ht="17" customHeight="1">
      <c r="A18990" s="234"/>
      <c r="B18990" s="233"/>
      <c r="C18990" s="238"/>
      <c r="E18990" s="545"/>
      <c r="F18990" s="546"/>
      <c r="G18990" s="234"/>
      <c r="H18990" s="238"/>
      <c r="I18990" s="237"/>
    </row>
    <row r="18991" spans="1:9" s="232" customFormat="1" ht="17" customHeight="1">
      <c r="A18991" s="234"/>
      <c r="B18991" s="233"/>
      <c r="C18991" s="238"/>
      <c r="E18991" s="545"/>
      <c r="F18991" s="546"/>
      <c r="G18991" s="234"/>
      <c r="H18991" s="238"/>
      <c r="I18991" s="237"/>
    </row>
    <row r="18992" spans="1:9" s="232" customFormat="1" ht="17" customHeight="1">
      <c r="A18992" s="234"/>
      <c r="B18992" s="233"/>
      <c r="C18992" s="238"/>
      <c r="E18992" s="545"/>
      <c r="F18992" s="546"/>
      <c r="G18992" s="234"/>
      <c r="H18992" s="238"/>
      <c r="I18992" s="237"/>
    </row>
    <row r="18993" spans="1:9" s="232" customFormat="1" ht="17" customHeight="1">
      <c r="A18993" s="234"/>
      <c r="B18993" s="233"/>
      <c r="C18993" s="238"/>
      <c r="E18993" s="545"/>
      <c r="F18993" s="546"/>
      <c r="G18993" s="234"/>
      <c r="H18993" s="238"/>
      <c r="I18993" s="237"/>
    </row>
    <row r="18994" spans="1:9" s="232" customFormat="1" ht="17" customHeight="1">
      <c r="A18994" s="234"/>
      <c r="B18994" s="233"/>
      <c r="C18994" s="238"/>
      <c r="E18994" s="545"/>
      <c r="F18994" s="546"/>
      <c r="G18994" s="234"/>
      <c r="H18994" s="238"/>
      <c r="I18994" s="237"/>
    </row>
    <row r="18995" spans="1:9" s="232" customFormat="1" ht="17" customHeight="1">
      <c r="A18995" s="234"/>
      <c r="B18995" s="233"/>
      <c r="C18995" s="238"/>
      <c r="E18995" s="545"/>
      <c r="F18995" s="546"/>
      <c r="G18995" s="234"/>
      <c r="H18995" s="238"/>
      <c r="I18995" s="237"/>
    </row>
    <row r="18996" spans="1:9" s="232" customFormat="1" ht="17" customHeight="1">
      <c r="A18996" s="234"/>
      <c r="B18996" s="233"/>
      <c r="C18996" s="238"/>
      <c r="E18996" s="545"/>
      <c r="F18996" s="546"/>
      <c r="G18996" s="234"/>
      <c r="H18996" s="238"/>
      <c r="I18996" s="237"/>
    </row>
    <row r="18997" spans="1:9" s="232" customFormat="1" ht="17" customHeight="1">
      <c r="A18997" s="234"/>
      <c r="B18997" s="233"/>
      <c r="C18997" s="238"/>
      <c r="E18997" s="545"/>
      <c r="F18997" s="546"/>
      <c r="G18997" s="234"/>
      <c r="H18997" s="238"/>
      <c r="I18997" s="237"/>
    </row>
    <row r="18998" spans="1:9" s="232" customFormat="1" ht="17" customHeight="1">
      <c r="A18998" s="234"/>
      <c r="B18998" s="233"/>
      <c r="C18998" s="238"/>
      <c r="E18998" s="545"/>
      <c r="F18998" s="546"/>
      <c r="G18998" s="234"/>
      <c r="H18998" s="238"/>
      <c r="I18998" s="237"/>
    </row>
    <row r="18999" spans="1:9" s="232" customFormat="1" ht="17" customHeight="1">
      <c r="A18999" s="234"/>
      <c r="B18999" s="233"/>
      <c r="C18999" s="238"/>
      <c r="E18999" s="545"/>
      <c r="F18999" s="546"/>
      <c r="G18999" s="234"/>
      <c r="H18999" s="238"/>
      <c r="I18999" s="237"/>
    </row>
    <row r="19000" spans="1:9" s="232" customFormat="1" ht="17" customHeight="1">
      <c r="A19000" s="234"/>
      <c r="B19000" s="233"/>
      <c r="C19000" s="238"/>
      <c r="E19000" s="545"/>
      <c r="F19000" s="546"/>
      <c r="G19000" s="234"/>
      <c r="H19000" s="238"/>
      <c r="I19000" s="237"/>
    </row>
    <row r="19001" spans="1:9" s="232" customFormat="1" ht="17" customHeight="1">
      <c r="A19001" s="234"/>
      <c r="B19001" s="233"/>
      <c r="C19001" s="238"/>
      <c r="E19001" s="545"/>
      <c r="F19001" s="546"/>
      <c r="G19001" s="234"/>
      <c r="H19001" s="238"/>
      <c r="I19001" s="237"/>
    </row>
    <row r="19002" spans="1:9" s="232" customFormat="1" ht="17" customHeight="1">
      <c r="A19002" s="234"/>
      <c r="B19002" s="233"/>
      <c r="C19002" s="238"/>
      <c r="E19002" s="545"/>
      <c r="F19002" s="546"/>
      <c r="G19002" s="234"/>
      <c r="H19002" s="238"/>
      <c r="I19002" s="237"/>
    </row>
    <row r="19003" spans="1:9" s="232" customFormat="1" ht="17" customHeight="1">
      <c r="A19003" s="234"/>
      <c r="B19003" s="233"/>
      <c r="C19003" s="238"/>
      <c r="E19003" s="545"/>
      <c r="F19003" s="546"/>
      <c r="G19003" s="234"/>
      <c r="H19003" s="238"/>
      <c r="I19003" s="237"/>
    </row>
    <row r="19004" spans="1:9" s="232" customFormat="1" ht="17" customHeight="1">
      <c r="A19004" s="234"/>
      <c r="B19004" s="233"/>
      <c r="C19004" s="238"/>
      <c r="E19004" s="545"/>
      <c r="F19004" s="546"/>
      <c r="G19004" s="234"/>
      <c r="H19004" s="238"/>
      <c r="I19004" s="237"/>
    </row>
    <row r="19005" spans="1:9" s="232" customFormat="1" ht="17" customHeight="1">
      <c r="A19005" s="234"/>
      <c r="B19005" s="233"/>
      <c r="C19005" s="238"/>
      <c r="E19005" s="545"/>
      <c r="F19005" s="546"/>
      <c r="G19005" s="234"/>
      <c r="H19005" s="238"/>
      <c r="I19005" s="237"/>
    </row>
    <row r="19006" spans="1:9" s="232" customFormat="1" ht="17" customHeight="1">
      <c r="A19006" s="234"/>
      <c r="B19006" s="233"/>
      <c r="C19006" s="238"/>
      <c r="E19006" s="545"/>
      <c r="F19006" s="546"/>
      <c r="G19006" s="234"/>
      <c r="H19006" s="238"/>
      <c r="I19006" s="237"/>
    </row>
    <row r="19007" spans="1:9" s="232" customFormat="1" ht="17" customHeight="1">
      <c r="A19007" s="234"/>
      <c r="B19007" s="233"/>
      <c r="C19007" s="238"/>
      <c r="E19007" s="545"/>
      <c r="F19007" s="546"/>
      <c r="G19007" s="234"/>
      <c r="H19007" s="238"/>
      <c r="I19007" s="237"/>
    </row>
    <row r="19008" spans="1:9" s="232" customFormat="1" ht="17" customHeight="1">
      <c r="A19008" s="234"/>
      <c r="B19008" s="233"/>
      <c r="C19008" s="238"/>
      <c r="E19008" s="545"/>
      <c r="F19008" s="546"/>
      <c r="G19008" s="234"/>
      <c r="H19008" s="238"/>
      <c r="I19008" s="237"/>
    </row>
    <row r="19009" spans="1:9" s="232" customFormat="1" ht="17" customHeight="1">
      <c r="A19009" s="234"/>
      <c r="B19009" s="233"/>
      <c r="C19009" s="238"/>
      <c r="E19009" s="545"/>
      <c r="F19009" s="546"/>
      <c r="G19009" s="234"/>
      <c r="H19009" s="238"/>
      <c r="I19009" s="237"/>
    </row>
    <row r="19010" spans="1:9" s="232" customFormat="1" ht="17" customHeight="1">
      <c r="A19010" s="234"/>
      <c r="B19010" s="233"/>
      <c r="C19010" s="238"/>
      <c r="E19010" s="545"/>
      <c r="F19010" s="546"/>
      <c r="G19010" s="234"/>
      <c r="H19010" s="238"/>
      <c r="I19010" s="237"/>
    </row>
    <row r="19011" spans="1:9" s="232" customFormat="1" ht="17" customHeight="1">
      <c r="A19011" s="234"/>
      <c r="B19011" s="233"/>
      <c r="C19011" s="238"/>
      <c r="E19011" s="545"/>
      <c r="F19011" s="546"/>
      <c r="G19011" s="234"/>
      <c r="H19011" s="238"/>
      <c r="I19011" s="237"/>
    </row>
    <row r="19012" spans="1:9" s="232" customFormat="1" ht="17" customHeight="1">
      <c r="A19012" s="234"/>
      <c r="B19012" s="233"/>
      <c r="C19012" s="238"/>
      <c r="E19012" s="545"/>
      <c r="F19012" s="546"/>
      <c r="G19012" s="234"/>
      <c r="H19012" s="238"/>
      <c r="I19012" s="237"/>
    </row>
    <row r="19013" spans="1:9" s="232" customFormat="1" ht="17" customHeight="1">
      <c r="A19013" s="234"/>
      <c r="B19013" s="233"/>
      <c r="C19013" s="238"/>
      <c r="E19013" s="545"/>
      <c r="F19013" s="546"/>
      <c r="G19013" s="234"/>
      <c r="H19013" s="238"/>
      <c r="I19013" s="237"/>
    </row>
    <row r="19014" spans="1:9" s="232" customFormat="1" ht="17" customHeight="1">
      <c r="A19014" s="234"/>
      <c r="B19014" s="233"/>
      <c r="C19014" s="238"/>
      <c r="E19014" s="545"/>
      <c r="F19014" s="546"/>
      <c r="G19014" s="234"/>
      <c r="H19014" s="238"/>
      <c r="I19014" s="237"/>
    </row>
    <row r="19015" spans="1:9" s="232" customFormat="1" ht="17" customHeight="1">
      <c r="A19015" s="234"/>
      <c r="B19015" s="233"/>
      <c r="C19015" s="238"/>
      <c r="E19015" s="545"/>
      <c r="F19015" s="546"/>
      <c r="G19015" s="234"/>
      <c r="H19015" s="238"/>
      <c r="I19015" s="237"/>
    </row>
    <row r="19016" spans="1:9" s="232" customFormat="1" ht="17" customHeight="1">
      <c r="A19016" s="234"/>
      <c r="B19016" s="233"/>
      <c r="C19016" s="238"/>
      <c r="E19016" s="545"/>
      <c r="F19016" s="546"/>
      <c r="G19016" s="234"/>
      <c r="H19016" s="238"/>
      <c r="I19016" s="237"/>
    </row>
    <row r="19017" spans="1:9" s="232" customFormat="1" ht="17" customHeight="1">
      <c r="A19017" s="234"/>
      <c r="B19017" s="233"/>
      <c r="C19017" s="238"/>
      <c r="E19017" s="545"/>
      <c r="F19017" s="546"/>
      <c r="G19017" s="234"/>
      <c r="H19017" s="238"/>
      <c r="I19017" s="237"/>
    </row>
    <row r="19018" spans="1:9" s="232" customFormat="1" ht="17" customHeight="1">
      <c r="A19018" s="234"/>
      <c r="B19018" s="233"/>
      <c r="C19018" s="238"/>
      <c r="E19018" s="545"/>
      <c r="F19018" s="546"/>
      <c r="G19018" s="234"/>
      <c r="H19018" s="238"/>
      <c r="I19018" s="237"/>
    </row>
    <row r="19019" spans="1:9" s="232" customFormat="1" ht="17" customHeight="1">
      <c r="A19019" s="234"/>
      <c r="B19019" s="233"/>
      <c r="C19019" s="238"/>
      <c r="E19019" s="545"/>
      <c r="F19019" s="546"/>
      <c r="G19019" s="234"/>
      <c r="H19019" s="238"/>
      <c r="I19019" s="237"/>
    </row>
    <row r="19020" spans="1:9" s="232" customFormat="1" ht="17" customHeight="1">
      <c r="A19020" s="234"/>
      <c r="B19020" s="233"/>
      <c r="C19020" s="238"/>
      <c r="E19020" s="545"/>
      <c r="F19020" s="546"/>
      <c r="G19020" s="234"/>
      <c r="H19020" s="238"/>
      <c r="I19020" s="237"/>
    </row>
    <row r="19021" spans="1:9" s="232" customFormat="1" ht="17" customHeight="1">
      <c r="A19021" s="234"/>
      <c r="B19021" s="233"/>
      <c r="C19021" s="238"/>
      <c r="E19021" s="545"/>
      <c r="F19021" s="546"/>
      <c r="G19021" s="234"/>
      <c r="H19021" s="238"/>
      <c r="I19021" s="237"/>
    </row>
    <row r="19022" spans="1:9" s="232" customFormat="1" ht="17" customHeight="1">
      <c r="A19022" s="234"/>
      <c r="B19022" s="233"/>
      <c r="C19022" s="238"/>
      <c r="E19022" s="545"/>
      <c r="F19022" s="546"/>
      <c r="G19022" s="234"/>
      <c r="H19022" s="238"/>
      <c r="I19022" s="237"/>
    </row>
    <row r="19023" spans="1:9" s="232" customFormat="1" ht="17" customHeight="1">
      <c r="A19023" s="234"/>
      <c r="B19023" s="233"/>
      <c r="C19023" s="238"/>
      <c r="E19023" s="545"/>
      <c r="F19023" s="546"/>
      <c r="G19023" s="234"/>
      <c r="H19023" s="238"/>
      <c r="I19023" s="237"/>
    </row>
    <row r="19024" spans="1:9" s="232" customFormat="1" ht="17" customHeight="1">
      <c r="A19024" s="234"/>
      <c r="B19024" s="233"/>
      <c r="C19024" s="238"/>
      <c r="E19024" s="545"/>
      <c r="F19024" s="546"/>
      <c r="G19024" s="234"/>
      <c r="H19024" s="238"/>
      <c r="I19024" s="237"/>
    </row>
    <row r="19025" spans="1:9" s="232" customFormat="1" ht="17" customHeight="1">
      <c r="A19025" s="234"/>
      <c r="B19025" s="233"/>
      <c r="C19025" s="238"/>
      <c r="E19025" s="545"/>
      <c r="F19025" s="546"/>
      <c r="G19025" s="234"/>
      <c r="H19025" s="238"/>
      <c r="I19025" s="237"/>
    </row>
    <row r="19026" spans="1:9" s="232" customFormat="1" ht="17" customHeight="1">
      <c r="A19026" s="234"/>
      <c r="B19026" s="233"/>
      <c r="C19026" s="238"/>
      <c r="E19026" s="545"/>
      <c r="F19026" s="546"/>
      <c r="G19026" s="234"/>
      <c r="H19026" s="238"/>
      <c r="I19026" s="237"/>
    </row>
    <row r="19027" spans="1:9" s="232" customFormat="1" ht="17" customHeight="1">
      <c r="A19027" s="234"/>
      <c r="B19027" s="233"/>
      <c r="C19027" s="238"/>
      <c r="E19027" s="545"/>
      <c r="F19027" s="546"/>
      <c r="G19027" s="234"/>
      <c r="H19027" s="238"/>
      <c r="I19027" s="237"/>
    </row>
    <row r="19028" spans="1:9" s="232" customFormat="1" ht="17" customHeight="1">
      <c r="A19028" s="234"/>
      <c r="B19028" s="233"/>
      <c r="C19028" s="238"/>
      <c r="E19028" s="545"/>
      <c r="F19028" s="546"/>
      <c r="G19028" s="234"/>
      <c r="H19028" s="238"/>
      <c r="I19028" s="237"/>
    </row>
    <row r="19029" spans="1:9" s="232" customFormat="1" ht="17" customHeight="1">
      <c r="A19029" s="234"/>
      <c r="B19029" s="233"/>
      <c r="C19029" s="238"/>
      <c r="E19029" s="545"/>
      <c r="F19029" s="546"/>
      <c r="G19029" s="234"/>
      <c r="H19029" s="238"/>
      <c r="I19029" s="237"/>
    </row>
    <row r="19030" spans="1:9" s="232" customFormat="1" ht="17" customHeight="1">
      <c r="A19030" s="234"/>
      <c r="B19030" s="233"/>
      <c r="C19030" s="238"/>
      <c r="E19030" s="545"/>
      <c r="F19030" s="546"/>
      <c r="G19030" s="234"/>
      <c r="H19030" s="238"/>
      <c r="I19030" s="237"/>
    </row>
    <row r="19031" spans="1:9" s="232" customFormat="1" ht="17" customHeight="1">
      <c r="A19031" s="234"/>
      <c r="B19031" s="233"/>
      <c r="C19031" s="238"/>
      <c r="E19031" s="545"/>
      <c r="F19031" s="546"/>
      <c r="G19031" s="234"/>
      <c r="H19031" s="238"/>
      <c r="I19031" s="237"/>
    </row>
    <row r="19032" spans="1:9" s="232" customFormat="1" ht="17" customHeight="1">
      <c r="A19032" s="234"/>
      <c r="B19032" s="233"/>
      <c r="C19032" s="238"/>
      <c r="E19032" s="545"/>
      <c r="F19032" s="546"/>
      <c r="G19032" s="234"/>
      <c r="H19032" s="238"/>
      <c r="I19032" s="237"/>
    </row>
    <row r="19033" spans="1:9" s="232" customFormat="1" ht="17" customHeight="1">
      <c r="A19033" s="234"/>
      <c r="B19033" s="233"/>
      <c r="C19033" s="238"/>
      <c r="E19033" s="545"/>
      <c r="F19033" s="546"/>
      <c r="G19033" s="234"/>
      <c r="H19033" s="238"/>
      <c r="I19033" s="237"/>
    </row>
    <row r="19034" spans="1:9" s="232" customFormat="1" ht="17" customHeight="1">
      <c r="A19034" s="234"/>
      <c r="B19034" s="233"/>
      <c r="C19034" s="238"/>
      <c r="E19034" s="545"/>
      <c r="F19034" s="546"/>
      <c r="G19034" s="234"/>
      <c r="H19034" s="238"/>
      <c r="I19034" s="237"/>
    </row>
    <row r="19035" spans="1:9" s="232" customFormat="1" ht="17" customHeight="1">
      <c r="A19035" s="234"/>
      <c r="B19035" s="233"/>
      <c r="C19035" s="238"/>
      <c r="E19035" s="545"/>
      <c r="F19035" s="546"/>
      <c r="G19035" s="234"/>
      <c r="H19035" s="238"/>
      <c r="I19035" s="237"/>
    </row>
    <row r="19036" spans="1:9" s="232" customFormat="1" ht="17" customHeight="1">
      <c r="A19036" s="234"/>
      <c r="B19036" s="233"/>
      <c r="C19036" s="238"/>
      <c r="E19036" s="545"/>
      <c r="F19036" s="546"/>
      <c r="G19036" s="234"/>
      <c r="H19036" s="238"/>
      <c r="I19036" s="237"/>
    </row>
    <row r="19037" spans="1:9" s="232" customFormat="1" ht="17" customHeight="1">
      <c r="A19037" s="234"/>
      <c r="B19037" s="233"/>
      <c r="C19037" s="238"/>
      <c r="E19037" s="545"/>
      <c r="F19037" s="546"/>
      <c r="G19037" s="234"/>
      <c r="H19037" s="238"/>
      <c r="I19037" s="237"/>
    </row>
    <row r="19038" spans="1:9" s="232" customFormat="1" ht="17" customHeight="1">
      <c r="A19038" s="234"/>
      <c r="B19038" s="233"/>
      <c r="C19038" s="238"/>
      <c r="E19038" s="545"/>
      <c r="F19038" s="546"/>
      <c r="G19038" s="234"/>
      <c r="H19038" s="238"/>
      <c r="I19038" s="237"/>
    </row>
    <row r="19039" spans="1:9" s="232" customFormat="1" ht="17" customHeight="1">
      <c r="A19039" s="234"/>
      <c r="B19039" s="233"/>
      <c r="C19039" s="238"/>
      <c r="E19039" s="545"/>
      <c r="F19039" s="546"/>
      <c r="G19039" s="234"/>
      <c r="H19039" s="238"/>
      <c r="I19039" s="237"/>
    </row>
    <row r="19040" spans="1:9" s="232" customFormat="1" ht="17" customHeight="1">
      <c r="A19040" s="234"/>
      <c r="B19040" s="233"/>
      <c r="C19040" s="238"/>
      <c r="E19040" s="545"/>
      <c r="F19040" s="546"/>
      <c r="G19040" s="234"/>
      <c r="H19040" s="238"/>
      <c r="I19040" s="237"/>
    </row>
    <row r="19041" spans="1:9" s="232" customFormat="1" ht="17" customHeight="1">
      <c r="A19041" s="234"/>
      <c r="B19041" s="233"/>
      <c r="C19041" s="238"/>
      <c r="E19041" s="545"/>
      <c r="F19041" s="546"/>
      <c r="G19041" s="234"/>
      <c r="H19041" s="238"/>
      <c r="I19041" s="237"/>
    </row>
    <row r="19042" spans="1:9" s="232" customFormat="1" ht="17" customHeight="1">
      <c r="A19042" s="234"/>
      <c r="B19042" s="233"/>
      <c r="C19042" s="238"/>
      <c r="E19042" s="545"/>
      <c r="F19042" s="546"/>
      <c r="G19042" s="234"/>
      <c r="H19042" s="238"/>
      <c r="I19042" s="237"/>
    </row>
    <row r="19043" spans="1:9" s="232" customFormat="1" ht="17" customHeight="1">
      <c r="A19043" s="234"/>
      <c r="B19043" s="233"/>
      <c r="C19043" s="238"/>
      <c r="E19043" s="545"/>
      <c r="F19043" s="546"/>
      <c r="G19043" s="234"/>
      <c r="H19043" s="238"/>
      <c r="I19043" s="237"/>
    </row>
    <row r="19044" spans="1:9" s="232" customFormat="1" ht="17" customHeight="1">
      <c r="A19044" s="234"/>
      <c r="B19044" s="233"/>
      <c r="C19044" s="238"/>
      <c r="E19044" s="545"/>
      <c r="F19044" s="546"/>
      <c r="G19044" s="234"/>
      <c r="H19044" s="238"/>
      <c r="I19044" s="237"/>
    </row>
    <row r="19045" spans="1:9" s="232" customFormat="1" ht="17" customHeight="1">
      <c r="A19045" s="234"/>
      <c r="B19045" s="233"/>
      <c r="C19045" s="238"/>
      <c r="E19045" s="545"/>
      <c r="F19045" s="546"/>
      <c r="G19045" s="234"/>
      <c r="H19045" s="238"/>
      <c r="I19045" s="237"/>
    </row>
    <row r="19046" spans="1:9" s="232" customFormat="1" ht="17" customHeight="1">
      <c r="A19046" s="234"/>
      <c r="B19046" s="233"/>
      <c r="C19046" s="238"/>
      <c r="E19046" s="545"/>
      <c r="F19046" s="546"/>
      <c r="G19046" s="234"/>
      <c r="H19046" s="238"/>
      <c r="I19046" s="237"/>
    </row>
    <row r="19047" spans="1:9" s="232" customFormat="1" ht="17" customHeight="1">
      <c r="A19047" s="234"/>
      <c r="B19047" s="233"/>
      <c r="C19047" s="238"/>
      <c r="E19047" s="545"/>
      <c r="F19047" s="546"/>
      <c r="G19047" s="234"/>
      <c r="H19047" s="238"/>
      <c r="I19047" s="237"/>
    </row>
    <row r="19048" spans="1:9" s="232" customFormat="1" ht="17" customHeight="1">
      <c r="A19048" s="234"/>
      <c r="B19048" s="233"/>
      <c r="C19048" s="238"/>
      <c r="E19048" s="545"/>
      <c r="F19048" s="546"/>
      <c r="G19048" s="234"/>
      <c r="H19048" s="238"/>
      <c r="I19048" s="237"/>
    </row>
    <row r="19049" spans="1:9" s="232" customFormat="1" ht="17" customHeight="1">
      <c r="A19049" s="234"/>
      <c r="B19049" s="233"/>
      <c r="C19049" s="238"/>
      <c r="E19049" s="545"/>
      <c r="F19049" s="546"/>
      <c r="G19049" s="234"/>
      <c r="H19049" s="238"/>
      <c r="I19049" s="237"/>
    </row>
    <row r="19050" spans="1:9" s="232" customFormat="1" ht="17" customHeight="1">
      <c r="A19050" s="234"/>
      <c r="B19050" s="233"/>
      <c r="C19050" s="238"/>
      <c r="E19050" s="545"/>
      <c r="F19050" s="546"/>
      <c r="G19050" s="234"/>
      <c r="H19050" s="238"/>
      <c r="I19050" s="237"/>
    </row>
    <row r="19051" spans="1:9" s="232" customFormat="1" ht="17" customHeight="1">
      <c r="A19051" s="234"/>
      <c r="B19051" s="233"/>
      <c r="C19051" s="238"/>
      <c r="E19051" s="545"/>
      <c r="F19051" s="546"/>
      <c r="G19051" s="234"/>
      <c r="H19051" s="238"/>
      <c r="I19051" s="237"/>
    </row>
    <row r="19052" spans="1:9" s="232" customFormat="1" ht="17" customHeight="1">
      <c r="A19052" s="234"/>
      <c r="B19052" s="233"/>
      <c r="C19052" s="238"/>
      <c r="E19052" s="545"/>
      <c r="F19052" s="546"/>
      <c r="G19052" s="234"/>
      <c r="H19052" s="238"/>
      <c r="I19052" s="237"/>
    </row>
    <row r="19053" spans="1:9" s="232" customFormat="1" ht="17" customHeight="1">
      <c r="A19053" s="234"/>
      <c r="B19053" s="233"/>
      <c r="C19053" s="238"/>
      <c r="E19053" s="545"/>
      <c r="F19053" s="546"/>
      <c r="G19053" s="234"/>
      <c r="H19053" s="238"/>
      <c r="I19053" s="237"/>
    </row>
    <row r="19054" spans="1:9" s="232" customFormat="1" ht="17" customHeight="1">
      <c r="A19054" s="234"/>
      <c r="B19054" s="233"/>
      <c r="C19054" s="238"/>
      <c r="E19054" s="545"/>
      <c r="F19054" s="546"/>
      <c r="G19054" s="234"/>
      <c r="H19054" s="238"/>
      <c r="I19054" s="237"/>
    </row>
    <row r="19055" spans="1:9" s="232" customFormat="1" ht="17" customHeight="1">
      <c r="A19055" s="234"/>
      <c r="B19055" s="233"/>
      <c r="C19055" s="238"/>
      <c r="E19055" s="545"/>
      <c r="F19055" s="546"/>
      <c r="G19055" s="234"/>
      <c r="H19055" s="238"/>
      <c r="I19055" s="237"/>
    </row>
    <row r="19056" spans="1:9" s="232" customFormat="1" ht="17" customHeight="1">
      <c r="A19056" s="234"/>
      <c r="B19056" s="233"/>
      <c r="C19056" s="238"/>
      <c r="E19056" s="545"/>
      <c r="F19056" s="546"/>
      <c r="G19056" s="234"/>
      <c r="H19056" s="238"/>
      <c r="I19056" s="237"/>
    </row>
    <row r="19057" spans="1:9" s="232" customFormat="1" ht="17" customHeight="1">
      <c r="A19057" s="234"/>
      <c r="B19057" s="233"/>
      <c r="C19057" s="238"/>
      <c r="E19057" s="545"/>
      <c r="F19057" s="546"/>
      <c r="G19057" s="234"/>
      <c r="H19057" s="238"/>
      <c r="I19057" s="237"/>
    </row>
    <row r="19058" spans="1:9" s="232" customFormat="1" ht="17" customHeight="1">
      <c r="A19058" s="234"/>
      <c r="B19058" s="233"/>
      <c r="C19058" s="238"/>
      <c r="E19058" s="545"/>
      <c r="F19058" s="546"/>
      <c r="G19058" s="234"/>
      <c r="H19058" s="238"/>
      <c r="I19058" s="237"/>
    </row>
    <row r="19059" spans="1:9" s="232" customFormat="1" ht="17" customHeight="1">
      <c r="A19059" s="234"/>
      <c r="B19059" s="233"/>
      <c r="C19059" s="238"/>
      <c r="E19059" s="545"/>
      <c r="F19059" s="546"/>
      <c r="G19059" s="234"/>
      <c r="H19059" s="238"/>
      <c r="I19059" s="237"/>
    </row>
    <row r="19060" spans="1:9" s="232" customFormat="1" ht="17" customHeight="1">
      <c r="A19060" s="234"/>
      <c r="B19060" s="233"/>
      <c r="C19060" s="238"/>
      <c r="E19060" s="545"/>
      <c r="F19060" s="546"/>
      <c r="G19060" s="234"/>
      <c r="H19060" s="238"/>
      <c r="I19060" s="237"/>
    </row>
    <row r="19061" spans="1:9" s="232" customFormat="1" ht="17" customHeight="1">
      <c r="A19061" s="234"/>
      <c r="B19061" s="233"/>
      <c r="C19061" s="238"/>
      <c r="E19061" s="545"/>
      <c r="F19061" s="546"/>
      <c r="G19061" s="234"/>
      <c r="H19061" s="238"/>
      <c r="I19061" s="237"/>
    </row>
    <row r="19062" spans="1:9" s="232" customFormat="1" ht="17" customHeight="1">
      <c r="A19062" s="234"/>
      <c r="B19062" s="233"/>
      <c r="C19062" s="238"/>
      <c r="E19062" s="545"/>
      <c r="F19062" s="546"/>
      <c r="G19062" s="234"/>
      <c r="H19062" s="238"/>
      <c r="I19062" s="237"/>
    </row>
    <row r="19063" spans="1:9" s="232" customFormat="1" ht="17" customHeight="1">
      <c r="A19063" s="234"/>
      <c r="B19063" s="233"/>
      <c r="C19063" s="238"/>
      <c r="E19063" s="545"/>
      <c r="F19063" s="546"/>
      <c r="G19063" s="234"/>
      <c r="H19063" s="238"/>
      <c r="I19063" s="237"/>
    </row>
    <row r="19064" spans="1:9" s="232" customFormat="1" ht="17" customHeight="1">
      <c r="A19064" s="234"/>
      <c r="B19064" s="233"/>
      <c r="C19064" s="238"/>
      <c r="E19064" s="545"/>
      <c r="F19064" s="546"/>
      <c r="G19064" s="234"/>
      <c r="H19064" s="238"/>
      <c r="I19064" s="237"/>
    </row>
    <row r="19065" spans="1:9" s="232" customFormat="1" ht="17" customHeight="1">
      <c r="A19065" s="234"/>
      <c r="B19065" s="233"/>
      <c r="C19065" s="238"/>
      <c r="E19065" s="545"/>
      <c r="F19065" s="546"/>
      <c r="G19065" s="234"/>
      <c r="H19065" s="238"/>
      <c r="I19065" s="237"/>
    </row>
    <row r="19066" spans="1:9" s="232" customFormat="1" ht="17" customHeight="1">
      <c r="A19066" s="234"/>
      <c r="B19066" s="233"/>
      <c r="C19066" s="238"/>
      <c r="E19066" s="545"/>
      <c r="F19066" s="546"/>
      <c r="G19066" s="234"/>
      <c r="H19066" s="238"/>
      <c r="I19066" s="237"/>
    </row>
    <row r="19067" spans="1:9" s="232" customFormat="1" ht="17" customHeight="1">
      <c r="A19067" s="234"/>
      <c r="B19067" s="233"/>
      <c r="C19067" s="238"/>
      <c r="E19067" s="545"/>
      <c r="F19067" s="546"/>
      <c r="G19067" s="234"/>
      <c r="H19067" s="238"/>
      <c r="I19067" s="237"/>
    </row>
    <row r="19068" spans="1:9" s="232" customFormat="1" ht="17" customHeight="1">
      <c r="A19068" s="234"/>
      <c r="B19068" s="233"/>
      <c r="C19068" s="238"/>
      <c r="E19068" s="545"/>
      <c r="F19068" s="546"/>
      <c r="G19068" s="234"/>
      <c r="H19068" s="238"/>
      <c r="I19068" s="237"/>
    </row>
    <row r="19069" spans="1:9" s="232" customFormat="1" ht="17" customHeight="1">
      <c r="A19069" s="234"/>
      <c r="B19069" s="233"/>
      <c r="C19069" s="238"/>
      <c r="E19069" s="545"/>
      <c r="F19069" s="546"/>
      <c r="G19069" s="234"/>
      <c r="H19069" s="238"/>
      <c r="I19069" s="237"/>
    </row>
    <row r="19070" spans="1:9" s="232" customFormat="1" ht="17" customHeight="1">
      <c r="A19070" s="234"/>
      <c r="B19070" s="233"/>
      <c r="C19070" s="238"/>
      <c r="E19070" s="545"/>
      <c r="F19070" s="546"/>
      <c r="G19070" s="234"/>
      <c r="H19070" s="238"/>
      <c r="I19070" s="237"/>
    </row>
    <row r="19071" spans="1:9" s="232" customFormat="1" ht="17" customHeight="1">
      <c r="A19071" s="234"/>
      <c r="B19071" s="233"/>
      <c r="C19071" s="238"/>
      <c r="E19071" s="545"/>
      <c r="F19071" s="546"/>
      <c r="G19071" s="234"/>
      <c r="H19071" s="238"/>
      <c r="I19071" s="237"/>
    </row>
    <row r="19072" spans="1:9" s="232" customFormat="1" ht="17" customHeight="1">
      <c r="A19072" s="234"/>
      <c r="B19072" s="233"/>
      <c r="C19072" s="238"/>
      <c r="E19072" s="545"/>
      <c r="F19072" s="546"/>
      <c r="G19072" s="234"/>
      <c r="H19072" s="238"/>
      <c r="I19072" s="237"/>
    </row>
    <row r="19073" spans="1:9" s="232" customFormat="1" ht="17" customHeight="1">
      <c r="A19073" s="234"/>
      <c r="B19073" s="233"/>
      <c r="C19073" s="238"/>
      <c r="E19073" s="545"/>
      <c r="F19073" s="546"/>
      <c r="G19073" s="234"/>
      <c r="H19073" s="238"/>
      <c r="I19073" s="237"/>
    </row>
    <row r="19074" spans="1:9" s="232" customFormat="1" ht="17" customHeight="1">
      <c r="A19074" s="234"/>
      <c r="B19074" s="233"/>
      <c r="C19074" s="238"/>
      <c r="E19074" s="545"/>
      <c r="F19074" s="546"/>
      <c r="G19074" s="234"/>
      <c r="H19074" s="238"/>
      <c r="I19074" s="237"/>
    </row>
    <row r="19075" spans="1:9" s="232" customFormat="1" ht="17" customHeight="1">
      <c r="A19075" s="234"/>
      <c r="B19075" s="233"/>
      <c r="C19075" s="238"/>
      <c r="E19075" s="545"/>
      <c r="F19075" s="546"/>
      <c r="G19075" s="234"/>
      <c r="H19075" s="238"/>
      <c r="I19075" s="237"/>
    </row>
    <row r="19076" spans="1:9" s="232" customFormat="1" ht="17" customHeight="1">
      <c r="A19076" s="234"/>
      <c r="B19076" s="233"/>
      <c r="C19076" s="238"/>
      <c r="E19076" s="545"/>
      <c r="F19076" s="546"/>
      <c r="G19076" s="234"/>
      <c r="H19076" s="238"/>
      <c r="I19076" s="237"/>
    </row>
    <row r="19077" spans="1:9" s="232" customFormat="1" ht="17" customHeight="1">
      <c r="A19077" s="234"/>
      <c r="B19077" s="233"/>
      <c r="C19077" s="238"/>
      <c r="E19077" s="545"/>
      <c r="F19077" s="546"/>
      <c r="G19077" s="234"/>
      <c r="H19077" s="238"/>
      <c r="I19077" s="237"/>
    </row>
    <row r="19078" spans="1:9" s="232" customFormat="1" ht="17" customHeight="1">
      <c r="A19078" s="234"/>
      <c r="B19078" s="233"/>
      <c r="C19078" s="238"/>
      <c r="E19078" s="545"/>
      <c r="F19078" s="546"/>
      <c r="G19078" s="234"/>
      <c r="H19078" s="238"/>
      <c r="I19078" s="237"/>
    </row>
    <row r="19079" spans="1:9" s="232" customFormat="1" ht="17" customHeight="1">
      <c r="A19079" s="234"/>
      <c r="B19079" s="233"/>
      <c r="C19079" s="238"/>
      <c r="E19079" s="545"/>
      <c r="F19079" s="546"/>
      <c r="G19079" s="234"/>
      <c r="H19079" s="238"/>
      <c r="I19079" s="237"/>
    </row>
    <row r="19080" spans="1:9" s="232" customFormat="1" ht="17" customHeight="1">
      <c r="A19080" s="234"/>
      <c r="B19080" s="233"/>
      <c r="C19080" s="238"/>
      <c r="E19080" s="545"/>
      <c r="F19080" s="546"/>
      <c r="G19080" s="234"/>
      <c r="H19080" s="238"/>
      <c r="I19080" s="237"/>
    </row>
    <row r="19081" spans="1:9" s="232" customFormat="1" ht="17" customHeight="1">
      <c r="A19081" s="234"/>
      <c r="B19081" s="233"/>
      <c r="C19081" s="238"/>
      <c r="E19081" s="545"/>
      <c r="F19081" s="546"/>
      <c r="G19081" s="234"/>
      <c r="H19081" s="238"/>
      <c r="I19081" s="237"/>
    </row>
    <row r="19082" spans="1:9" s="232" customFormat="1" ht="17" customHeight="1">
      <c r="A19082" s="234"/>
      <c r="B19082" s="233"/>
      <c r="C19082" s="238"/>
      <c r="E19082" s="545"/>
      <c r="F19082" s="546"/>
      <c r="G19082" s="234"/>
      <c r="H19082" s="238"/>
      <c r="I19082" s="237"/>
    </row>
    <row r="19083" spans="1:9" s="232" customFormat="1" ht="17" customHeight="1">
      <c r="A19083" s="234"/>
      <c r="B19083" s="233"/>
      <c r="C19083" s="238"/>
      <c r="E19083" s="545"/>
      <c r="F19083" s="546"/>
      <c r="G19083" s="234"/>
      <c r="H19083" s="238"/>
      <c r="I19083" s="237"/>
    </row>
    <row r="19084" spans="1:9" s="232" customFormat="1" ht="17" customHeight="1">
      <c r="A19084" s="234"/>
      <c r="B19084" s="233"/>
      <c r="C19084" s="238"/>
      <c r="E19084" s="545"/>
      <c r="F19084" s="546"/>
      <c r="G19084" s="234"/>
      <c r="H19084" s="238"/>
      <c r="I19084" s="237"/>
    </row>
    <row r="19085" spans="1:9" s="232" customFormat="1" ht="17" customHeight="1">
      <c r="A19085" s="234"/>
      <c r="B19085" s="233"/>
      <c r="C19085" s="238"/>
      <c r="E19085" s="545"/>
      <c r="F19085" s="546"/>
      <c r="G19085" s="234"/>
      <c r="H19085" s="238"/>
      <c r="I19085" s="237"/>
    </row>
    <row r="19086" spans="1:9" s="232" customFormat="1" ht="17" customHeight="1">
      <c r="A19086" s="234"/>
      <c r="B19086" s="233"/>
      <c r="C19086" s="238"/>
      <c r="E19086" s="545"/>
      <c r="F19086" s="546"/>
      <c r="G19086" s="234"/>
      <c r="H19086" s="238"/>
      <c r="I19086" s="237"/>
    </row>
    <row r="19087" spans="1:9" s="232" customFormat="1" ht="17" customHeight="1">
      <c r="A19087" s="234"/>
      <c r="B19087" s="233"/>
      <c r="C19087" s="238"/>
      <c r="E19087" s="545"/>
      <c r="F19087" s="546"/>
      <c r="G19087" s="234"/>
      <c r="H19087" s="238"/>
      <c r="I19087" s="237"/>
    </row>
    <row r="19088" spans="1:9" s="232" customFormat="1" ht="17" customHeight="1">
      <c r="A19088" s="234"/>
      <c r="B19088" s="233"/>
      <c r="C19088" s="238"/>
      <c r="E19088" s="545"/>
      <c r="F19088" s="546"/>
      <c r="G19088" s="234"/>
      <c r="H19088" s="238"/>
      <c r="I19088" s="237"/>
    </row>
    <row r="19089" spans="1:9" s="232" customFormat="1" ht="17" customHeight="1">
      <c r="A19089" s="234"/>
      <c r="B19089" s="233"/>
      <c r="C19089" s="238"/>
      <c r="E19089" s="545"/>
      <c r="F19089" s="546"/>
      <c r="G19089" s="234"/>
      <c r="H19089" s="238"/>
      <c r="I19089" s="237"/>
    </row>
    <row r="19090" spans="1:9" s="232" customFormat="1" ht="17" customHeight="1">
      <c r="A19090" s="234"/>
      <c r="B19090" s="233"/>
      <c r="C19090" s="238"/>
      <c r="E19090" s="545"/>
      <c r="F19090" s="546"/>
      <c r="G19090" s="234"/>
      <c r="H19090" s="238"/>
      <c r="I19090" s="237"/>
    </row>
    <row r="19091" spans="1:9" s="232" customFormat="1" ht="17" customHeight="1">
      <c r="A19091" s="234"/>
      <c r="B19091" s="233"/>
      <c r="C19091" s="238"/>
      <c r="E19091" s="545"/>
      <c r="F19091" s="546"/>
      <c r="G19091" s="234"/>
      <c r="H19091" s="238"/>
      <c r="I19091" s="237"/>
    </row>
    <row r="19092" spans="1:9" s="232" customFormat="1" ht="17" customHeight="1">
      <c r="A19092" s="234"/>
      <c r="B19092" s="233"/>
      <c r="C19092" s="238"/>
      <c r="E19092" s="545"/>
      <c r="F19092" s="546"/>
      <c r="G19092" s="234"/>
      <c r="H19092" s="238"/>
      <c r="I19092" s="237"/>
    </row>
    <row r="19093" spans="1:9" s="232" customFormat="1" ht="17" customHeight="1">
      <c r="A19093" s="234"/>
      <c r="B19093" s="233"/>
      <c r="C19093" s="238"/>
      <c r="E19093" s="545"/>
      <c r="F19093" s="546"/>
      <c r="G19093" s="234"/>
      <c r="H19093" s="238"/>
      <c r="I19093" s="237"/>
    </row>
    <row r="19094" spans="1:9" s="232" customFormat="1" ht="17" customHeight="1">
      <c r="A19094" s="234"/>
      <c r="B19094" s="233"/>
      <c r="C19094" s="238"/>
      <c r="E19094" s="545"/>
      <c r="F19094" s="546"/>
      <c r="G19094" s="234"/>
      <c r="H19094" s="238"/>
      <c r="I19094" s="237"/>
    </row>
    <row r="19095" spans="1:9" s="232" customFormat="1" ht="17" customHeight="1">
      <c r="A19095" s="234"/>
      <c r="B19095" s="233"/>
      <c r="C19095" s="238"/>
      <c r="E19095" s="545"/>
      <c r="F19095" s="546"/>
      <c r="G19095" s="234"/>
      <c r="H19095" s="238"/>
      <c r="I19095" s="237"/>
    </row>
    <row r="19096" spans="1:9" s="232" customFormat="1" ht="17" customHeight="1">
      <c r="A19096" s="234"/>
      <c r="B19096" s="233"/>
      <c r="C19096" s="238"/>
      <c r="E19096" s="545"/>
      <c r="F19096" s="546"/>
      <c r="G19096" s="234"/>
      <c r="H19096" s="238"/>
      <c r="I19096" s="237"/>
    </row>
    <row r="19097" spans="1:9" s="232" customFormat="1" ht="17" customHeight="1">
      <c r="A19097" s="234"/>
      <c r="B19097" s="233"/>
      <c r="C19097" s="238"/>
      <c r="E19097" s="545"/>
      <c r="F19097" s="546"/>
      <c r="G19097" s="234"/>
      <c r="H19097" s="238"/>
      <c r="I19097" s="237"/>
    </row>
    <row r="19098" spans="1:9" s="232" customFormat="1" ht="17" customHeight="1">
      <c r="A19098" s="234"/>
      <c r="B19098" s="233"/>
      <c r="C19098" s="238"/>
      <c r="E19098" s="545"/>
      <c r="F19098" s="546"/>
      <c r="G19098" s="234"/>
      <c r="H19098" s="238"/>
      <c r="I19098" s="237"/>
    </row>
    <row r="19099" spans="1:9" s="232" customFormat="1" ht="17" customHeight="1">
      <c r="A19099" s="234"/>
      <c r="B19099" s="233"/>
      <c r="C19099" s="238"/>
      <c r="E19099" s="545"/>
      <c r="F19099" s="546"/>
      <c r="G19099" s="234"/>
      <c r="H19099" s="238"/>
      <c r="I19099" s="237"/>
    </row>
    <row r="19100" spans="1:9" s="232" customFormat="1" ht="17" customHeight="1">
      <c r="A19100" s="234"/>
      <c r="B19100" s="233"/>
      <c r="C19100" s="238"/>
      <c r="E19100" s="545"/>
      <c r="F19100" s="546"/>
      <c r="G19100" s="234"/>
      <c r="H19100" s="238"/>
      <c r="I19100" s="237"/>
    </row>
    <row r="19101" spans="1:9" s="232" customFormat="1" ht="17" customHeight="1">
      <c r="A19101" s="234"/>
      <c r="B19101" s="233"/>
      <c r="C19101" s="238"/>
      <c r="E19101" s="545"/>
      <c r="F19101" s="546"/>
      <c r="G19101" s="234"/>
      <c r="H19101" s="238"/>
      <c r="I19101" s="237"/>
    </row>
    <row r="19102" spans="1:9" s="232" customFormat="1" ht="17" customHeight="1">
      <c r="A19102" s="234"/>
      <c r="B19102" s="233"/>
      <c r="C19102" s="238"/>
      <c r="E19102" s="545"/>
      <c r="F19102" s="546"/>
      <c r="G19102" s="234"/>
      <c r="H19102" s="238"/>
      <c r="I19102" s="237"/>
    </row>
    <row r="19103" spans="1:9" s="232" customFormat="1" ht="17" customHeight="1">
      <c r="A19103" s="234"/>
      <c r="B19103" s="233"/>
      <c r="C19103" s="238"/>
      <c r="E19103" s="545"/>
      <c r="F19103" s="546"/>
      <c r="G19103" s="234"/>
      <c r="H19103" s="238"/>
      <c r="I19103" s="237"/>
    </row>
    <row r="19104" spans="1:9" s="232" customFormat="1" ht="17" customHeight="1">
      <c r="A19104" s="234"/>
      <c r="B19104" s="233"/>
      <c r="C19104" s="238"/>
      <c r="E19104" s="545"/>
      <c r="F19104" s="546"/>
      <c r="G19104" s="234"/>
      <c r="H19104" s="238"/>
      <c r="I19104" s="237"/>
    </row>
    <row r="19105" spans="1:9" s="232" customFormat="1" ht="17" customHeight="1">
      <c r="A19105" s="234"/>
      <c r="B19105" s="233"/>
      <c r="C19105" s="238"/>
      <c r="E19105" s="545"/>
      <c r="F19105" s="546"/>
      <c r="G19105" s="234"/>
      <c r="H19105" s="238"/>
      <c r="I19105" s="237"/>
    </row>
    <row r="19106" spans="1:9" s="232" customFormat="1" ht="17" customHeight="1">
      <c r="A19106" s="234"/>
      <c r="B19106" s="233"/>
      <c r="C19106" s="238"/>
      <c r="E19106" s="545"/>
      <c r="F19106" s="546"/>
      <c r="G19106" s="234"/>
      <c r="H19106" s="238"/>
      <c r="I19106" s="237"/>
    </row>
    <row r="19107" spans="1:9" s="232" customFormat="1" ht="17" customHeight="1">
      <c r="A19107" s="234"/>
      <c r="B19107" s="233"/>
      <c r="C19107" s="238"/>
      <c r="E19107" s="545"/>
      <c r="F19107" s="546"/>
      <c r="G19107" s="234"/>
      <c r="H19107" s="238"/>
      <c r="I19107" s="237"/>
    </row>
    <row r="19108" spans="1:9" s="232" customFormat="1" ht="17" customHeight="1">
      <c r="A19108" s="234"/>
      <c r="B19108" s="233"/>
      <c r="C19108" s="238"/>
      <c r="E19108" s="545"/>
      <c r="F19108" s="546"/>
      <c r="G19108" s="234"/>
      <c r="H19108" s="238"/>
      <c r="I19108" s="237"/>
    </row>
    <row r="19109" spans="1:9" s="232" customFormat="1" ht="17" customHeight="1">
      <c r="A19109" s="234"/>
      <c r="B19109" s="233"/>
      <c r="C19109" s="238"/>
      <c r="E19109" s="545"/>
      <c r="F19109" s="546"/>
      <c r="G19109" s="234"/>
      <c r="H19109" s="238"/>
      <c r="I19109" s="237"/>
    </row>
    <row r="19110" spans="1:9" s="232" customFormat="1" ht="17" customHeight="1">
      <c r="A19110" s="234"/>
      <c r="B19110" s="233"/>
      <c r="C19110" s="238"/>
      <c r="E19110" s="545"/>
      <c r="F19110" s="546"/>
      <c r="G19110" s="234"/>
      <c r="H19110" s="238"/>
      <c r="I19110" s="237"/>
    </row>
    <row r="19111" spans="1:9" s="232" customFormat="1" ht="17" customHeight="1">
      <c r="A19111" s="234"/>
      <c r="B19111" s="233"/>
      <c r="C19111" s="238"/>
      <c r="E19111" s="545"/>
      <c r="F19111" s="546"/>
      <c r="G19111" s="234"/>
      <c r="H19111" s="238"/>
      <c r="I19111" s="237"/>
    </row>
    <row r="19112" spans="1:9" s="232" customFormat="1" ht="17" customHeight="1">
      <c r="A19112" s="234"/>
      <c r="B19112" s="233"/>
      <c r="C19112" s="238"/>
      <c r="E19112" s="545"/>
      <c r="F19112" s="546"/>
      <c r="G19112" s="234"/>
      <c r="H19112" s="238"/>
      <c r="I19112" s="237"/>
    </row>
    <row r="19113" spans="1:9" s="232" customFormat="1" ht="17" customHeight="1">
      <c r="A19113" s="234"/>
      <c r="B19113" s="233"/>
      <c r="C19113" s="238"/>
      <c r="E19113" s="545"/>
      <c r="F19113" s="546"/>
      <c r="G19113" s="234"/>
      <c r="H19113" s="238"/>
      <c r="I19113" s="237"/>
    </row>
    <row r="19114" spans="1:9" s="232" customFormat="1" ht="17" customHeight="1">
      <c r="A19114" s="234"/>
      <c r="B19114" s="233"/>
      <c r="C19114" s="238"/>
      <c r="E19114" s="545"/>
      <c r="F19114" s="546"/>
      <c r="G19114" s="234"/>
      <c r="H19114" s="238"/>
      <c r="I19114" s="237"/>
    </row>
    <row r="19115" spans="1:9" s="232" customFormat="1" ht="17" customHeight="1">
      <c r="A19115" s="234"/>
      <c r="B19115" s="233"/>
      <c r="C19115" s="238"/>
      <c r="E19115" s="545"/>
      <c r="F19115" s="546"/>
      <c r="G19115" s="234"/>
      <c r="H19115" s="238"/>
      <c r="I19115" s="237"/>
    </row>
    <row r="19116" spans="1:9" s="232" customFormat="1" ht="17" customHeight="1">
      <c r="A19116" s="234"/>
      <c r="B19116" s="233"/>
      <c r="C19116" s="238"/>
      <c r="E19116" s="545"/>
      <c r="F19116" s="546"/>
      <c r="G19116" s="234"/>
      <c r="H19116" s="238"/>
      <c r="I19116" s="237"/>
    </row>
    <row r="19117" spans="1:9" s="232" customFormat="1" ht="17" customHeight="1">
      <c r="A19117" s="234"/>
      <c r="B19117" s="233"/>
      <c r="C19117" s="238"/>
      <c r="E19117" s="545"/>
      <c r="F19117" s="546"/>
      <c r="G19117" s="234"/>
      <c r="H19117" s="238"/>
      <c r="I19117" s="237"/>
    </row>
    <row r="19118" spans="1:9" s="232" customFormat="1" ht="17" customHeight="1">
      <c r="A19118" s="234"/>
      <c r="B19118" s="233"/>
      <c r="C19118" s="238"/>
      <c r="E19118" s="545"/>
      <c r="F19118" s="546"/>
      <c r="G19118" s="234"/>
      <c r="H19118" s="238"/>
      <c r="I19118" s="237"/>
    </row>
    <row r="19119" spans="1:9" s="232" customFormat="1" ht="17" customHeight="1">
      <c r="A19119" s="234"/>
      <c r="B19119" s="233"/>
      <c r="C19119" s="238"/>
      <c r="E19119" s="545"/>
      <c r="F19119" s="546"/>
      <c r="G19119" s="234"/>
      <c r="H19119" s="238"/>
      <c r="I19119" s="237"/>
    </row>
    <row r="19120" spans="1:9" s="232" customFormat="1" ht="17" customHeight="1">
      <c r="A19120" s="234"/>
      <c r="B19120" s="233"/>
      <c r="C19120" s="238"/>
      <c r="E19120" s="545"/>
      <c r="F19120" s="546"/>
      <c r="G19120" s="234"/>
      <c r="H19120" s="238"/>
      <c r="I19120" s="237"/>
    </row>
    <row r="19121" spans="1:9" s="232" customFormat="1" ht="17" customHeight="1">
      <c r="A19121" s="234"/>
      <c r="B19121" s="233"/>
      <c r="C19121" s="238"/>
      <c r="E19121" s="545"/>
      <c r="F19121" s="546"/>
      <c r="G19121" s="234"/>
      <c r="H19121" s="238"/>
      <c r="I19121" s="237"/>
    </row>
    <row r="19122" spans="1:9" s="232" customFormat="1" ht="17" customHeight="1">
      <c r="A19122" s="234"/>
      <c r="B19122" s="233"/>
      <c r="C19122" s="238"/>
      <c r="E19122" s="545"/>
      <c r="F19122" s="546"/>
      <c r="G19122" s="234"/>
      <c r="H19122" s="238"/>
      <c r="I19122" s="237"/>
    </row>
    <row r="19123" spans="1:9" s="232" customFormat="1" ht="17" customHeight="1">
      <c r="A19123" s="234"/>
      <c r="B19123" s="233"/>
      <c r="C19123" s="238"/>
      <c r="E19123" s="545"/>
      <c r="F19123" s="546"/>
      <c r="G19123" s="234"/>
      <c r="H19123" s="238"/>
      <c r="I19123" s="237"/>
    </row>
    <row r="19124" spans="1:9" s="232" customFormat="1" ht="17" customHeight="1">
      <c r="A19124" s="234"/>
      <c r="B19124" s="233"/>
      <c r="C19124" s="238"/>
      <c r="E19124" s="545"/>
      <c r="F19124" s="546"/>
      <c r="G19124" s="234"/>
      <c r="H19124" s="238"/>
      <c r="I19124" s="237"/>
    </row>
    <row r="19125" spans="1:9" s="232" customFormat="1" ht="17" customHeight="1">
      <c r="A19125" s="234"/>
      <c r="B19125" s="233"/>
      <c r="C19125" s="238"/>
      <c r="E19125" s="545"/>
      <c r="F19125" s="546"/>
      <c r="G19125" s="234"/>
      <c r="H19125" s="238"/>
      <c r="I19125" s="237"/>
    </row>
    <row r="19126" spans="1:9" s="232" customFormat="1" ht="17" customHeight="1">
      <c r="A19126" s="234"/>
      <c r="B19126" s="233"/>
      <c r="C19126" s="238"/>
      <c r="E19126" s="545"/>
      <c r="F19126" s="546"/>
      <c r="G19126" s="234"/>
      <c r="H19126" s="238"/>
      <c r="I19126" s="237"/>
    </row>
    <row r="19127" spans="1:9" s="232" customFormat="1" ht="17" customHeight="1">
      <c r="A19127" s="234"/>
      <c r="B19127" s="233"/>
      <c r="C19127" s="238"/>
      <c r="E19127" s="545"/>
      <c r="F19127" s="546"/>
      <c r="G19127" s="234"/>
      <c r="H19127" s="238"/>
      <c r="I19127" s="237"/>
    </row>
    <row r="19128" spans="1:9" s="232" customFormat="1" ht="17" customHeight="1">
      <c r="A19128" s="234"/>
      <c r="B19128" s="233"/>
      <c r="C19128" s="238"/>
      <c r="E19128" s="545"/>
      <c r="F19128" s="546"/>
      <c r="G19128" s="234"/>
      <c r="H19128" s="238"/>
      <c r="I19128" s="237"/>
    </row>
    <row r="19129" spans="1:9" s="232" customFormat="1" ht="17" customHeight="1">
      <c r="A19129" s="234"/>
      <c r="B19129" s="233"/>
      <c r="C19129" s="238"/>
      <c r="E19129" s="545"/>
      <c r="F19129" s="546"/>
      <c r="G19129" s="234"/>
      <c r="H19129" s="238"/>
      <c r="I19129" s="237"/>
    </row>
    <row r="19130" spans="1:9" s="232" customFormat="1" ht="17" customHeight="1">
      <c r="A19130" s="234"/>
      <c r="B19130" s="233"/>
      <c r="C19130" s="238"/>
      <c r="E19130" s="545"/>
      <c r="F19130" s="546"/>
      <c r="G19130" s="234"/>
      <c r="H19130" s="238"/>
      <c r="I19130" s="237"/>
    </row>
    <row r="19131" spans="1:9" s="232" customFormat="1" ht="17" customHeight="1">
      <c r="A19131" s="234"/>
      <c r="B19131" s="233"/>
      <c r="C19131" s="238"/>
      <c r="E19131" s="545"/>
      <c r="F19131" s="546"/>
      <c r="G19131" s="234"/>
      <c r="H19131" s="238"/>
      <c r="I19131" s="237"/>
    </row>
    <row r="19132" spans="1:9" s="232" customFormat="1" ht="17" customHeight="1">
      <c r="A19132" s="234"/>
      <c r="B19132" s="233"/>
      <c r="C19132" s="238"/>
      <c r="E19132" s="545"/>
      <c r="F19132" s="546"/>
      <c r="G19132" s="234"/>
      <c r="H19132" s="238"/>
      <c r="I19132" s="237"/>
    </row>
    <row r="19133" spans="1:9" s="232" customFormat="1" ht="17" customHeight="1">
      <c r="A19133" s="234"/>
      <c r="B19133" s="233"/>
      <c r="C19133" s="238"/>
      <c r="E19133" s="545"/>
      <c r="F19133" s="546"/>
      <c r="G19133" s="234"/>
      <c r="H19133" s="238"/>
      <c r="I19133" s="237"/>
    </row>
    <row r="19134" spans="1:9" s="232" customFormat="1" ht="17" customHeight="1">
      <c r="A19134" s="234"/>
      <c r="B19134" s="233"/>
      <c r="C19134" s="238"/>
      <c r="E19134" s="545"/>
      <c r="F19134" s="546"/>
      <c r="G19134" s="234"/>
      <c r="H19134" s="238"/>
      <c r="I19134" s="237"/>
    </row>
    <row r="19135" spans="1:9" s="232" customFormat="1" ht="17" customHeight="1">
      <c r="A19135" s="234"/>
      <c r="B19135" s="233"/>
      <c r="C19135" s="238"/>
      <c r="E19135" s="545"/>
      <c r="F19135" s="546"/>
      <c r="G19135" s="234"/>
      <c r="H19135" s="238"/>
      <c r="I19135" s="237"/>
    </row>
    <row r="19136" spans="1:9" s="232" customFormat="1" ht="17" customHeight="1">
      <c r="A19136" s="234"/>
      <c r="B19136" s="233"/>
      <c r="C19136" s="238"/>
      <c r="E19136" s="545"/>
      <c r="F19136" s="546"/>
      <c r="G19136" s="234"/>
      <c r="H19136" s="238"/>
      <c r="I19136" s="237"/>
    </row>
    <row r="19137" spans="1:9" s="232" customFormat="1" ht="17" customHeight="1">
      <c r="A19137" s="234"/>
      <c r="B19137" s="233"/>
      <c r="C19137" s="238"/>
      <c r="E19137" s="545"/>
      <c r="F19137" s="546"/>
      <c r="G19137" s="234"/>
      <c r="H19137" s="238"/>
      <c r="I19137" s="237"/>
    </row>
    <row r="19138" spans="1:9" s="232" customFormat="1" ht="17" customHeight="1">
      <c r="A19138" s="234"/>
      <c r="B19138" s="233"/>
      <c r="C19138" s="238"/>
      <c r="E19138" s="545"/>
      <c r="F19138" s="546"/>
      <c r="G19138" s="234"/>
      <c r="H19138" s="238"/>
      <c r="I19138" s="237"/>
    </row>
    <row r="19139" spans="1:9" s="232" customFormat="1" ht="17" customHeight="1">
      <c r="A19139" s="234"/>
      <c r="B19139" s="233"/>
      <c r="C19139" s="238"/>
      <c r="E19139" s="545"/>
      <c r="F19139" s="546"/>
      <c r="G19139" s="234"/>
      <c r="H19139" s="238"/>
      <c r="I19139" s="237"/>
    </row>
    <row r="19140" spans="1:9" s="232" customFormat="1" ht="17" customHeight="1">
      <c r="A19140" s="234"/>
      <c r="B19140" s="233"/>
      <c r="C19140" s="238"/>
      <c r="E19140" s="545"/>
      <c r="F19140" s="546"/>
      <c r="G19140" s="234"/>
      <c r="H19140" s="238"/>
      <c r="I19140" s="237"/>
    </row>
    <row r="19141" spans="1:9" s="232" customFormat="1" ht="17" customHeight="1">
      <c r="A19141" s="234"/>
      <c r="B19141" s="233"/>
      <c r="C19141" s="238"/>
      <c r="E19141" s="545"/>
      <c r="F19141" s="546"/>
      <c r="G19141" s="234"/>
      <c r="H19141" s="238"/>
      <c r="I19141" s="237"/>
    </row>
    <row r="19142" spans="1:9" s="232" customFormat="1" ht="17" customHeight="1">
      <c r="A19142" s="234"/>
      <c r="B19142" s="233"/>
      <c r="C19142" s="238"/>
      <c r="E19142" s="545"/>
      <c r="F19142" s="546"/>
      <c r="G19142" s="234"/>
      <c r="H19142" s="238"/>
      <c r="I19142" s="237"/>
    </row>
    <row r="19143" spans="1:9" s="232" customFormat="1" ht="17" customHeight="1">
      <c r="A19143" s="234"/>
      <c r="B19143" s="233"/>
      <c r="C19143" s="238"/>
      <c r="E19143" s="545"/>
      <c r="F19143" s="546"/>
      <c r="G19143" s="234"/>
      <c r="H19143" s="238"/>
      <c r="I19143" s="237"/>
    </row>
    <row r="19144" spans="1:9" s="232" customFormat="1" ht="17" customHeight="1">
      <c r="A19144" s="234"/>
      <c r="B19144" s="233"/>
      <c r="C19144" s="238"/>
      <c r="E19144" s="545"/>
      <c r="F19144" s="546"/>
      <c r="G19144" s="234"/>
      <c r="H19144" s="238"/>
      <c r="I19144" s="237"/>
    </row>
    <row r="19145" spans="1:9" s="232" customFormat="1" ht="17" customHeight="1">
      <c r="A19145" s="234"/>
      <c r="B19145" s="233"/>
      <c r="C19145" s="238"/>
      <c r="E19145" s="545"/>
      <c r="F19145" s="546"/>
      <c r="G19145" s="234"/>
      <c r="H19145" s="238"/>
      <c r="I19145" s="237"/>
    </row>
    <row r="19146" spans="1:9" s="232" customFormat="1" ht="17" customHeight="1">
      <c r="A19146" s="234"/>
      <c r="B19146" s="233"/>
      <c r="C19146" s="238"/>
      <c r="E19146" s="545"/>
      <c r="F19146" s="546"/>
      <c r="G19146" s="234"/>
      <c r="H19146" s="238"/>
      <c r="I19146" s="237"/>
    </row>
    <row r="19147" spans="1:9" s="232" customFormat="1" ht="17" customHeight="1">
      <c r="A19147" s="234"/>
      <c r="B19147" s="233"/>
      <c r="C19147" s="238"/>
      <c r="E19147" s="545"/>
      <c r="F19147" s="546"/>
      <c r="G19147" s="234"/>
      <c r="H19147" s="238"/>
      <c r="I19147" s="237"/>
    </row>
    <row r="19148" spans="1:9" s="232" customFormat="1" ht="17" customHeight="1">
      <c r="A19148" s="234"/>
      <c r="B19148" s="233"/>
      <c r="C19148" s="238"/>
      <c r="E19148" s="545"/>
      <c r="F19148" s="546"/>
      <c r="G19148" s="234"/>
      <c r="H19148" s="238"/>
      <c r="I19148" s="237"/>
    </row>
    <row r="19149" spans="1:9" s="232" customFormat="1" ht="17" customHeight="1">
      <c r="A19149" s="234"/>
      <c r="B19149" s="233"/>
      <c r="C19149" s="238"/>
      <c r="E19149" s="545"/>
      <c r="F19149" s="546"/>
      <c r="G19149" s="234"/>
      <c r="H19149" s="238"/>
      <c r="I19149" s="237"/>
    </row>
    <row r="19150" spans="1:9" s="232" customFormat="1" ht="17" customHeight="1">
      <c r="A19150" s="234"/>
      <c r="B19150" s="233"/>
      <c r="C19150" s="238"/>
      <c r="E19150" s="545"/>
      <c r="F19150" s="546"/>
      <c r="G19150" s="234"/>
      <c r="H19150" s="238"/>
      <c r="I19150" s="237"/>
    </row>
    <row r="19151" spans="1:9" s="232" customFormat="1" ht="17" customHeight="1">
      <c r="A19151" s="234"/>
      <c r="B19151" s="233"/>
      <c r="C19151" s="238"/>
      <c r="E19151" s="545"/>
      <c r="F19151" s="546"/>
      <c r="G19151" s="234"/>
      <c r="H19151" s="238"/>
      <c r="I19151" s="237"/>
    </row>
    <row r="19152" spans="1:9" s="232" customFormat="1" ht="17" customHeight="1">
      <c r="A19152" s="234"/>
      <c r="B19152" s="233"/>
      <c r="C19152" s="238"/>
      <c r="E19152" s="545"/>
      <c r="F19152" s="546"/>
      <c r="G19152" s="234"/>
      <c r="H19152" s="238"/>
      <c r="I19152" s="237"/>
    </row>
    <row r="19153" spans="1:9" s="232" customFormat="1" ht="17" customHeight="1">
      <c r="A19153" s="234"/>
      <c r="B19153" s="233"/>
      <c r="C19153" s="238"/>
      <c r="E19153" s="545"/>
      <c r="F19153" s="546"/>
      <c r="G19153" s="234"/>
      <c r="H19153" s="238"/>
      <c r="I19153" s="237"/>
    </row>
    <row r="19154" spans="1:9" s="232" customFormat="1" ht="17" customHeight="1">
      <c r="A19154" s="234"/>
      <c r="B19154" s="233"/>
      <c r="C19154" s="238"/>
      <c r="E19154" s="545"/>
      <c r="F19154" s="546"/>
      <c r="G19154" s="234"/>
      <c r="H19154" s="238"/>
      <c r="I19154" s="237"/>
    </row>
    <row r="19155" spans="1:9" s="232" customFormat="1" ht="17" customHeight="1">
      <c r="A19155" s="234"/>
      <c r="B19155" s="233"/>
      <c r="C19155" s="238"/>
      <c r="E19155" s="545"/>
      <c r="F19155" s="546"/>
      <c r="G19155" s="234"/>
      <c r="H19155" s="238"/>
      <c r="I19155" s="237"/>
    </row>
    <row r="19156" spans="1:9" s="232" customFormat="1" ht="17" customHeight="1">
      <c r="A19156" s="234"/>
      <c r="B19156" s="233"/>
      <c r="C19156" s="238"/>
      <c r="E19156" s="545"/>
      <c r="F19156" s="546"/>
      <c r="G19156" s="234"/>
      <c r="H19156" s="238"/>
      <c r="I19156" s="237"/>
    </row>
    <row r="19157" spans="1:9" s="232" customFormat="1" ht="17" customHeight="1">
      <c r="A19157" s="234"/>
      <c r="B19157" s="233"/>
      <c r="C19157" s="238"/>
      <c r="E19157" s="545"/>
      <c r="F19157" s="546"/>
      <c r="G19157" s="234"/>
      <c r="H19157" s="238"/>
      <c r="I19157" s="237"/>
    </row>
    <row r="19158" spans="1:9" s="232" customFormat="1" ht="17" customHeight="1">
      <c r="A19158" s="234"/>
      <c r="B19158" s="233"/>
      <c r="C19158" s="238"/>
      <c r="E19158" s="545"/>
      <c r="F19158" s="546"/>
      <c r="G19158" s="234"/>
      <c r="H19158" s="238"/>
      <c r="I19158" s="237"/>
    </row>
    <row r="19159" spans="1:9" s="232" customFormat="1" ht="17" customHeight="1">
      <c r="A19159" s="234"/>
      <c r="B19159" s="233"/>
      <c r="C19159" s="238"/>
      <c r="E19159" s="545"/>
      <c r="F19159" s="546"/>
      <c r="G19159" s="234"/>
      <c r="H19159" s="238"/>
      <c r="I19159" s="237"/>
    </row>
    <row r="19160" spans="1:9" s="232" customFormat="1" ht="17" customHeight="1">
      <c r="A19160" s="234"/>
      <c r="B19160" s="233"/>
      <c r="C19160" s="238"/>
      <c r="E19160" s="545"/>
      <c r="F19160" s="546"/>
      <c r="G19160" s="234"/>
      <c r="H19160" s="238"/>
      <c r="I19160" s="237"/>
    </row>
    <row r="19161" spans="1:9" s="232" customFormat="1" ht="17" customHeight="1">
      <c r="A19161" s="234"/>
      <c r="B19161" s="233"/>
      <c r="C19161" s="238"/>
      <c r="E19161" s="545"/>
      <c r="F19161" s="546"/>
      <c r="G19161" s="234"/>
      <c r="H19161" s="238"/>
      <c r="I19161" s="237"/>
    </row>
    <row r="19162" spans="1:9" s="232" customFormat="1" ht="17" customHeight="1">
      <c r="A19162" s="234"/>
      <c r="B19162" s="233"/>
      <c r="C19162" s="238"/>
      <c r="E19162" s="545"/>
      <c r="F19162" s="546"/>
      <c r="G19162" s="234"/>
      <c r="H19162" s="238"/>
      <c r="I19162" s="237"/>
    </row>
    <row r="19163" spans="1:9" s="232" customFormat="1" ht="17" customHeight="1">
      <c r="A19163" s="234"/>
      <c r="B19163" s="233"/>
      <c r="C19163" s="238"/>
      <c r="E19163" s="545"/>
      <c r="F19163" s="546"/>
      <c r="G19163" s="234"/>
      <c r="H19163" s="238"/>
      <c r="I19163" s="237"/>
    </row>
    <row r="19164" spans="1:9" s="232" customFormat="1" ht="17" customHeight="1">
      <c r="A19164" s="234"/>
      <c r="B19164" s="233"/>
      <c r="C19164" s="238"/>
      <c r="E19164" s="545"/>
      <c r="F19164" s="546"/>
      <c r="G19164" s="234"/>
      <c r="H19164" s="238"/>
      <c r="I19164" s="237"/>
    </row>
    <row r="19165" spans="1:9" s="232" customFormat="1" ht="17" customHeight="1">
      <c r="A19165" s="234"/>
      <c r="B19165" s="233"/>
      <c r="C19165" s="238"/>
      <c r="E19165" s="545"/>
      <c r="F19165" s="546"/>
      <c r="G19165" s="234"/>
      <c r="H19165" s="238"/>
      <c r="I19165" s="237"/>
    </row>
    <row r="19166" spans="1:9" s="232" customFormat="1" ht="17" customHeight="1">
      <c r="A19166" s="234"/>
      <c r="B19166" s="233"/>
      <c r="C19166" s="238"/>
      <c r="E19166" s="545"/>
      <c r="F19166" s="546"/>
      <c r="G19166" s="234"/>
      <c r="H19166" s="238"/>
      <c r="I19166" s="237"/>
    </row>
    <row r="19167" spans="1:9" s="232" customFormat="1" ht="17" customHeight="1">
      <c r="A19167" s="234"/>
      <c r="B19167" s="233"/>
      <c r="C19167" s="238"/>
      <c r="E19167" s="545"/>
      <c r="F19167" s="546"/>
      <c r="G19167" s="234"/>
      <c r="H19167" s="238"/>
      <c r="I19167" s="237"/>
    </row>
    <row r="19168" spans="1:9" s="232" customFormat="1" ht="17" customHeight="1">
      <c r="A19168" s="234"/>
      <c r="B19168" s="233"/>
      <c r="C19168" s="238"/>
      <c r="E19168" s="545"/>
      <c r="F19168" s="546"/>
      <c r="G19168" s="234"/>
      <c r="H19168" s="238"/>
      <c r="I19168" s="237"/>
    </row>
    <row r="19169" spans="1:9" s="232" customFormat="1" ht="17" customHeight="1">
      <c r="A19169" s="234"/>
      <c r="B19169" s="233"/>
      <c r="C19169" s="238"/>
      <c r="E19169" s="545"/>
      <c r="F19169" s="546"/>
      <c r="G19169" s="234"/>
      <c r="H19169" s="238"/>
      <c r="I19169" s="237"/>
    </row>
    <row r="19170" spans="1:9" s="232" customFormat="1" ht="17" customHeight="1">
      <c r="A19170" s="234"/>
      <c r="B19170" s="233"/>
      <c r="C19170" s="238"/>
      <c r="E19170" s="545"/>
      <c r="F19170" s="546"/>
      <c r="G19170" s="234"/>
      <c r="H19170" s="238"/>
      <c r="I19170" s="237"/>
    </row>
    <row r="19171" spans="1:9" s="232" customFormat="1" ht="17" customHeight="1">
      <c r="A19171" s="234"/>
      <c r="B19171" s="233"/>
      <c r="C19171" s="238"/>
      <c r="E19171" s="545"/>
      <c r="F19171" s="546"/>
      <c r="G19171" s="234"/>
      <c r="H19171" s="238"/>
      <c r="I19171" s="237"/>
    </row>
    <row r="19172" spans="1:9" s="232" customFormat="1" ht="17" customHeight="1">
      <c r="A19172" s="234"/>
      <c r="B19172" s="233"/>
      <c r="C19172" s="238"/>
      <c r="E19172" s="545"/>
      <c r="F19172" s="546"/>
      <c r="G19172" s="234"/>
      <c r="H19172" s="238"/>
      <c r="I19172" s="237"/>
    </row>
    <row r="19173" spans="1:9" s="232" customFormat="1" ht="17" customHeight="1">
      <c r="A19173" s="234"/>
      <c r="B19173" s="233"/>
      <c r="C19173" s="238"/>
      <c r="E19173" s="545"/>
      <c r="F19173" s="546"/>
      <c r="G19173" s="234"/>
      <c r="H19173" s="238"/>
      <c r="I19173" s="237"/>
    </row>
    <row r="19174" spans="1:9" s="232" customFormat="1" ht="17" customHeight="1">
      <c r="A19174" s="234"/>
      <c r="B19174" s="233"/>
      <c r="C19174" s="238"/>
      <c r="E19174" s="545"/>
      <c r="F19174" s="546"/>
      <c r="G19174" s="234"/>
      <c r="H19174" s="238"/>
      <c r="I19174" s="237"/>
    </row>
    <row r="19175" spans="1:9" s="232" customFormat="1" ht="17" customHeight="1">
      <c r="A19175" s="234"/>
      <c r="B19175" s="233"/>
      <c r="C19175" s="238"/>
      <c r="E19175" s="545"/>
      <c r="F19175" s="546"/>
      <c r="G19175" s="234"/>
      <c r="H19175" s="238"/>
      <c r="I19175" s="237"/>
    </row>
    <row r="19176" spans="1:9" s="232" customFormat="1" ht="17" customHeight="1">
      <c r="A19176" s="234"/>
      <c r="B19176" s="233"/>
      <c r="C19176" s="238"/>
      <c r="E19176" s="545"/>
      <c r="F19176" s="546"/>
      <c r="G19176" s="234"/>
      <c r="H19176" s="238"/>
      <c r="I19176" s="237"/>
    </row>
    <row r="19177" spans="1:9" s="232" customFormat="1" ht="17" customHeight="1">
      <c r="A19177" s="234"/>
      <c r="B19177" s="233"/>
      <c r="C19177" s="238"/>
      <c r="E19177" s="545"/>
      <c r="F19177" s="546"/>
      <c r="G19177" s="234"/>
      <c r="H19177" s="238"/>
      <c r="I19177" s="237"/>
    </row>
    <row r="19178" spans="1:9" s="232" customFormat="1" ht="17" customHeight="1">
      <c r="A19178" s="234"/>
      <c r="B19178" s="233"/>
      <c r="C19178" s="238"/>
      <c r="E19178" s="545"/>
      <c r="F19178" s="546"/>
      <c r="G19178" s="234"/>
      <c r="H19178" s="238"/>
      <c r="I19178" s="237"/>
    </row>
    <row r="19179" spans="1:9" s="232" customFormat="1" ht="17" customHeight="1">
      <c r="A19179" s="234"/>
      <c r="B19179" s="233"/>
      <c r="C19179" s="238"/>
      <c r="E19179" s="545"/>
      <c r="F19179" s="546"/>
      <c r="G19179" s="234"/>
      <c r="H19179" s="238"/>
      <c r="I19179" s="237"/>
    </row>
    <row r="19180" spans="1:9" s="232" customFormat="1" ht="17" customHeight="1">
      <c r="A19180" s="234"/>
      <c r="B19180" s="233"/>
      <c r="C19180" s="238"/>
      <c r="E19180" s="545"/>
      <c r="F19180" s="546"/>
      <c r="G19180" s="234"/>
      <c r="H19180" s="238"/>
      <c r="I19180" s="237"/>
    </row>
    <row r="19181" spans="1:9" s="232" customFormat="1" ht="17" customHeight="1">
      <c r="A19181" s="234"/>
      <c r="B19181" s="233"/>
      <c r="C19181" s="238"/>
      <c r="E19181" s="545"/>
      <c r="F19181" s="546"/>
      <c r="G19181" s="234"/>
      <c r="H19181" s="238"/>
      <c r="I19181" s="237"/>
    </row>
    <row r="19182" spans="1:9" s="232" customFormat="1" ht="17" customHeight="1">
      <c r="A19182" s="234"/>
      <c r="B19182" s="233"/>
      <c r="C19182" s="238"/>
      <c r="E19182" s="545"/>
      <c r="F19182" s="546"/>
      <c r="G19182" s="234"/>
      <c r="H19182" s="238"/>
      <c r="I19182" s="237"/>
    </row>
    <row r="19183" spans="1:9" s="232" customFormat="1" ht="17" customHeight="1">
      <c r="A19183" s="234"/>
      <c r="B19183" s="233"/>
      <c r="C19183" s="238"/>
      <c r="E19183" s="545"/>
      <c r="F19183" s="546"/>
      <c r="G19183" s="234"/>
      <c r="H19183" s="238"/>
      <c r="I19183" s="237"/>
    </row>
    <row r="19184" spans="1:9" s="232" customFormat="1" ht="17" customHeight="1">
      <c r="A19184" s="234"/>
      <c r="B19184" s="233"/>
      <c r="C19184" s="238"/>
      <c r="E19184" s="545"/>
      <c r="F19184" s="546"/>
      <c r="G19184" s="234"/>
      <c r="H19184" s="238"/>
      <c r="I19184" s="237"/>
    </row>
    <row r="19185" spans="1:9" s="232" customFormat="1" ht="17" customHeight="1">
      <c r="A19185" s="234"/>
      <c r="B19185" s="233"/>
      <c r="C19185" s="238"/>
      <c r="E19185" s="545"/>
      <c r="F19185" s="546"/>
      <c r="G19185" s="234"/>
      <c r="H19185" s="238"/>
      <c r="I19185" s="237"/>
    </row>
    <row r="19186" spans="1:9" s="232" customFormat="1" ht="17" customHeight="1">
      <c r="A19186" s="234"/>
      <c r="B19186" s="233"/>
      <c r="C19186" s="238"/>
      <c r="E19186" s="545"/>
      <c r="F19186" s="546"/>
      <c r="G19186" s="234"/>
      <c r="H19186" s="238"/>
      <c r="I19186" s="237"/>
    </row>
    <row r="19187" spans="1:9" s="232" customFormat="1" ht="17" customHeight="1">
      <c r="A19187" s="234"/>
      <c r="B19187" s="233"/>
      <c r="C19187" s="238"/>
      <c r="E19187" s="545"/>
      <c r="F19187" s="546"/>
      <c r="G19187" s="234"/>
      <c r="H19187" s="238"/>
      <c r="I19187" s="237"/>
    </row>
    <row r="19188" spans="1:9" s="232" customFormat="1" ht="17" customHeight="1">
      <c r="A19188" s="234"/>
      <c r="B19188" s="233"/>
      <c r="C19188" s="238"/>
      <c r="E19188" s="545"/>
      <c r="F19188" s="546"/>
      <c r="G19188" s="234"/>
      <c r="H19188" s="238"/>
      <c r="I19188" s="237"/>
    </row>
    <row r="19189" spans="1:9" s="232" customFormat="1" ht="17" customHeight="1">
      <c r="A19189" s="234"/>
      <c r="B19189" s="233"/>
      <c r="C19189" s="238"/>
      <c r="E19189" s="545"/>
      <c r="F19189" s="546"/>
      <c r="G19189" s="234"/>
      <c r="H19189" s="238"/>
      <c r="I19189" s="237"/>
    </row>
    <row r="19190" spans="1:9" s="232" customFormat="1" ht="17" customHeight="1">
      <c r="A19190" s="234"/>
      <c r="B19190" s="233"/>
      <c r="C19190" s="238"/>
      <c r="E19190" s="545"/>
      <c r="F19190" s="546"/>
      <c r="G19190" s="234"/>
      <c r="H19190" s="238"/>
      <c r="I19190" s="237"/>
    </row>
    <row r="19191" spans="1:9" s="232" customFormat="1" ht="17" customHeight="1">
      <c r="A19191" s="234"/>
      <c r="B19191" s="233"/>
      <c r="C19191" s="238"/>
      <c r="E19191" s="545"/>
      <c r="F19191" s="546"/>
      <c r="G19191" s="234"/>
      <c r="H19191" s="238"/>
      <c r="I19191" s="237"/>
    </row>
    <row r="19192" spans="1:9" s="232" customFormat="1" ht="17" customHeight="1">
      <c r="A19192" s="234"/>
      <c r="B19192" s="233"/>
      <c r="C19192" s="238"/>
      <c r="E19192" s="545"/>
      <c r="F19192" s="546"/>
      <c r="G19192" s="234"/>
      <c r="H19192" s="238"/>
      <c r="I19192" s="237"/>
    </row>
    <row r="19193" spans="1:9" s="232" customFormat="1" ht="17" customHeight="1">
      <c r="A19193" s="234"/>
      <c r="B19193" s="233"/>
      <c r="C19193" s="238"/>
      <c r="E19193" s="545"/>
      <c r="F19193" s="546"/>
      <c r="G19193" s="234"/>
      <c r="H19193" s="238"/>
      <c r="I19193" s="237"/>
    </row>
    <row r="19194" spans="1:9" s="232" customFormat="1" ht="17" customHeight="1">
      <c r="A19194" s="234"/>
      <c r="B19194" s="233"/>
      <c r="C19194" s="238"/>
      <c r="E19194" s="545"/>
      <c r="F19194" s="546"/>
      <c r="G19194" s="234"/>
      <c r="H19194" s="238"/>
      <c r="I19194" s="237"/>
    </row>
    <row r="19195" spans="1:9" s="232" customFormat="1" ht="17" customHeight="1">
      <c r="A19195" s="234"/>
      <c r="B19195" s="233"/>
      <c r="C19195" s="238"/>
      <c r="E19195" s="545"/>
      <c r="F19195" s="546"/>
      <c r="G19195" s="234"/>
      <c r="H19195" s="238"/>
      <c r="I19195" s="237"/>
    </row>
    <row r="19196" spans="1:9" s="232" customFormat="1" ht="17" customHeight="1">
      <c r="A19196" s="234"/>
      <c r="B19196" s="233"/>
      <c r="C19196" s="238"/>
      <c r="E19196" s="545"/>
      <c r="F19196" s="546"/>
      <c r="G19196" s="234"/>
      <c r="H19196" s="238"/>
      <c r="I19196" s="237"/>
    </row>
    <row r="19197" spans="1:9" s="232" customFormat="1" ht="17" customHeight="1">
      <c r="A19197" s="234"/>
      <c r="B19197" s="233"/>
      <c r="C19197" s="238"/>
      <c r="E19197" s="545"/>
      <c r="F19197" s="546"/>
      <c r="G19197" s="234"/>
      <c r="H19197" s="238"/>
      <c r="I19197" s="237"/>
    </row>
    <row r="19198" spans="1:9" s="232" customFormat="1" ht="17" customHeight="1">
      <c r="A19198" s="234"/>
      <c r="B19198" s="233"/>
      <c r="C19198" s="238"/>
      <c r="E19198" s="545"/>
      <c r="F19198" s="546"/>
      <c r="G19198" s="234"/>
      <c r="H19198" s="238"/>
      <c r="I19198" s="237"/>
    </row>
    <row r="19199" spans="1:9" s="232" customFormat="1" ht="17" customHeight="1">
      <c r="A19199" s="234"/>
      <c r="B19199" s="233"/>
      <c r="C19199" s="238"/>
      <c r="E19199" s="545"/>
      <c r="F19199" s="546"/>
      <c r="G19199" s="234"/>
      <c r="H19199" s="238"/>
      <c r="I19199" s="237"/>
    </row>
    <row r="19200" spans="1:9" s="232" customFormat="1" ht="17" customHeight="1">
      <c r="A19200" s="234"/>
      <c r="B19200" s="233"/>
      <c r="C19200" s="238"/>
      <c r="E19200" s="545"/>
      <c r="F19200" s="546"/>
      <c r="G19200" s="234"/>
      <c r="H19200" s="238"/>
      <c r="I19200" s="237"/>
    </row>
    <row r="19201" spans="1:9" s="232" customFormat="1" ht="17" customHeight="1">
      <c r="A19201" s="234"/>
      <c r="B19201" s="233"/>
      <c r="C19201" s="238"/>
      <c r="E19201" s="545"/>
      <c r="F19201" s="546"/>
      <c r="G19201" s="234"/>
      <c r="H19201" s="238"/>
      <c r="I19201" s="237"/>
    </row>
    <row r="19202" spans="1:9" s="232" customFormat="1" ht="17" customHeight="1">
      <c r="A19202" s="234"/>
      <c r="B19202" s="233"/>
      <c r="C19202" s="238"/>
      <c r="E19202" s="545"/>
      <c r="F19202" s="546"/>
      <c r="G19202" s="234"/>
      <c r="H19202" s="238"/>
      <c r="I19202" s="237"/>
    </row>
    <row r="19203" spans="1:9" s="232" customFormat="1" ht="17" customHeight="1">
      <c r="A19203" s="234"/>
      <c r="B19203" s="233"/>
      <c r="C19203" s="238"/>
      <c r="E19203" s="545"/>
      <c r="F19203" s="546"/>
      <c r="G19203" s="234"/>
      <c r="H19203" s="238"/>
      <c r="I19203" s="237"/>
    </row>
    <row r="19204" spans="1:9" s="232" customFormat="1" ht="17" customHeight="1">
      <c r="A19204" s="234"/>
      <c r="B19204" s="233"/>
      <c r="C19204" s="238"/>
      <c r="E19204" s="545"/>
      <c r="F19204" s="546"/>
      <c r="G19204" s="234"/>
      <c r="H19204" s="238"/>
      <c r="I19204" s="237"/>
    </row>
    <row r="19205" spans="1:9" s="232" customFormat="1" ht="17" customHeight="1">
      <c r="A19205" s="234"/>
      <c r="B19205" s="233"/>
      <c r="C19205" s="238"/>
      <c r="E19205" s="545"/>
      <c r="F19205" s="546"/>
      <c r="G19205" s="234"/>
      <c r="H19205" s="238"/>
      <c r="I19205" s="237"/>
    </row>
    <row r="19206" spans="1:9" s="232" customFormat="1" ht="17" customHeight="1">
      <c r="A19206" s="234"/>
      <c r="B19206" s="233"/>
      <c r="C19206" s="238"/>
      <c r="E19206" s="545"/>
      <c r="F19206" s="546"/>
      <c r="G19206" s="234"/>
      <c r="H19206" s="238"/>
      <c r="I19206" s="237"/>
    </row>
    <row r="19207" spans="1:9" s="232" customFormat="1" ht="17" customHeight="1">
      <c r="A19207" s="234"/>
      <c r="B19207" s="233"/>
      <c r="C19207" s="238"/>
      <c r="E19207" s="545"/>
      <c r="F19207" s="546"/>
      <c r="G19207" s="234"/>
      <c r="H19207" s="238"/>
      <c r="I19207" s="237"/>
    </row>
    <row r="19208" spans="1:9" s="232" customFormat="1" ht="17" customHeight="1">
      <c r="A19208" s="234"/>
      <c r="B19208" s="233"/>
      <c r="C19208" s="238"/>
      <c r="E19208" s="545"/>
      <c r="F19208" s="546"/>
      <c r="G19208" s="234"/>
      <c r="H19208" s="238"/>
      <c r="I19208" s="237"/>
    </row>
    <row r="19209" spans="1:9" s="232" customFormat="1" ht="17" customHeight="1">
      <c r="A19209" s="234"/>
      <c r="B19209" s="233"/>
      <c r="C19209" s="238"/>
      <c r="E19209" s="545"/>
      <c r="F19209" s="546"/>
      <c r="G19209" s="234"/>
      <c r="H19209" s="238"/>
      <c r="I19209" s="237"/>
    </row>
    <row r="19210" spans="1:9" s="232" customFormat="1" ht="17" customHeight="1">
      <c r="A19210" s="234"/>
      <c r="B19210" s="233"/>
      <c r="C19210" s="238"/>
      <c r="E19210" s="545"/>
      <c r="F19210" s="546"/>
      <c r="G19210" s="234"/>
      <c r="H19210" s="238"/>
      <c r="I19210" s="237"/>
    </row>
    <row r="19211" spans="1:9" s="232" customFormat="1" ht="17" customHeight="1">
      <c r="A19211" s="234"/>
      <c r="B19211" s="233"/>
      <c r="C19211" s="238"/>
      <c r="E19211" s="545"/>
      <c r="F19211" s="546"/>
      <c r="G19211" s="234"/>
      <c r="H19211" s="238"/>
      <c r="I19211" s="237"/>
    </row>
    <row r="19212" spans="1:9" s="232" customFormat="1" ht="17" customHeight="1">
      <c r="A19212" s="234"/>
      <c r="B19212" s="233"/>
      <c r="C19212" s="238"/>
      <c r="E19212" s="545"/>
      <c r="F19212" s="546"/>
      <c r="G19212" s="234"/>
      <c r="H19212" s="238"/>
      <c r="I19212" s="237"/>
    </row>
    <row r="19213" spans="1:9" s="232" customFormat="1" ht="17" customHeight="1">
      <c r="A19213" s="234"/>
      <c r="B19213" s="233"/>
      <c r="C19213" s="238"/>
      <c r="E19213" s="545"/>
      <c r="F19213" s="546"/>
      <c r="G19213" s="234"/>
      <c r="H19213" s="238"/>
      <c r="I19213" s="237"/>
    </row>
    <row r="19214" spans="1:9" s="232" customFormat="1" ht="17" customHeight="1">
      <c r="A19214" s="234"/>
      <c r="B19214" s="233"/>
      <c r="C19214" s="238"/>
      <c r="E19214" s="545"/>
      <c r="F19214" s="546"/>
      <c r="G19214" s="234"/>
      <c r="H19214" s="238"/>
      <c r="I19214" s="237"/>
    </row>
    <row r="19215" spans="1:9" s="232" customFormat="1" ht="17" customHeight="1">
      <c r="A19215" s="234"/>
      <c r="B19215" s="233"/>
      <c r="C19215" s="238"/>
      <c r="E19215" s="545"/>
      <c r="F19215" s="546"/>
      <c r="G19215" s="234"/>
      <c r="H19215" s="238"/>
      <c r="I19215" s="237"/>
    </row>
    <row r="19216" spans="1:9" s="232" customFormat="1" ht="17" customHeight="1">
      <c r="A19216" s="234"/>
      <c r="B19216" s="233"/>
      <c r="C19216" s="238"/>
      <c r="E19216" s="545"/>
      <c r="F19216" s="546"/>
      <c r="G19216" s="234"/>
      <c r="H19216" s="238"/>
      <c r="I19216" s="237"/>
    </row>
    <row r="19217" spans="1:9" s="232" customFormat="1" ht="17" customHeight="1">
      <c r="A19217" s="234"/>
      <c r="B19217" s="233"/>
      <c r="C19217" s="238"/>
      <c r="E19217" s="545"/>
      <c r="F19217" s="546"/>
      <c r="G19217" s="234"/>
      <c r="H19217" s="238"/>
      <c r="I19217" s="237"/>
    </row>
    <row r="19218" spans="1:9" s="232" customFormat="1" ht="17" customHeight="1">
      <c r="A19218" s="234"/>
      <c r="B19218" s="233"/>
      <c r="C19218" s="238"/>
      <c r="E19218" s="545"/>
      <c r="F19218" s="546"/>
      <c r="G19218" s="234"/>
      <c r="H19218" s="238"/>
      <c r="I19218" s="237"/>
    </row>
    <row r="19219" spans="1:9" s="232" customFormat="1" ht="17" customHeight="1">
      <c r="A19219" s="234"/>
      <c r="B19219" s="233"/>
      <c r="C19219" s="238"/>
      <c r="E19219" s="545"/>
      <c r="F19219" s="546"/>
      <c r="G19219" s="234"/>
      <c r="H19219" s="238"/>
      <c r="I19219" s="237"/>
    </row>
    <row r="19220" spans="1:9" s="232" customFormat="1" ht="17" customHeight="1">
      <c r="A19220" s="234"/>
      <c r="B19220" s="233"/>
      <c r="C19220" s="238"/>
      <c r="E19220" s="545"/>
      <c r="F19220" s="546"/>
      <c r="G19220" s="234"/>
      <c r="H19220" s="238"/>
      <c r="I19220" s="237"/>
    </row>
    <row r="19221" spans="1:9" s="232" customFormat="1" ht="17" customHeight="1">
      <c r="A19221" s="234"/>
      <c r="B19221" s="233"/>
      <c r="C19221" s="238"/>
      <c r="E19221" s="545"/>
      <c r="F19221" s="546"/>
      <c r="G19221" s="234"/>
      <c r="H19221" s="238"/>
      <c r="I19221" s="237"/>
    </row>
    <row r="19222" spans="1:9" s="232" customFormat="1" ht="17" customHeight="1">
      <c r="A19222" s="234"/>
      <c r="B19222" s="233"/>
      <c r="C19222" s="238"/>
      <c r="E19222" s="545"/>
      <c r="F19222" s="546"/>
      <c r="G19222" s="234"/>
      <c r="H19222" s="238"/>
      <c r="I19222" s="237"/>
    </row>
    <row r="19223" spans="1:9" s="232" customFormat="1" ht="17" customHeight="1">
      <c r="A19223" s="234"/>
      <c r="B19223" s="233"/>
      <c r="C19223" s="238"/>
      <c r="E19223" s="545"/>
      <c r="F19223" s="546"/>
      <c r="G19223" s="234"/>
      <c r="H19223" s="238"/>
      <c r="I19223" s="237"/>
    </row>
    <row r="19224" spans="1:9" s="232" customFormat="1" ht="17" customHeight="1">
      <c r="A19224" s="234"/>
      <c r="B19224" s="233"/>
      <c r="C19224" s="238"/>
      <c r="E19224" s="545"/>
      <c r="F19224" s="546"/>
      <c r="G19224" s="234"/>
      <c r="H19224" s="238"/>
      <c r="I19224" s="237"/>
    </row>
    <row r="19225" spans="1:9" s="232" customFormat="1" ht="17" customHeight="1">
      <c r="A19225" s="234"/>
      <c r="B19225" s="233"/>
      <c r="C19225" s="238"/>
      <c r="E19225" s="545"/>
      <c r="F19225" s="546"/>
      <c r="G19225" s="234"/>
      <c r="H19225" s="238"/>
      <c r="I19225" s="237"/>
    </row>
    <row r="19226" spans="1:9" s="232" customFormat="1" ht="17" customHeight="1">
      <c r="A19226" s="234"/>
      <c r="B19226" s="233"/>
      <c r="C19226" s="238"/>
      <c r="E19226" s="545"/>
      <c r="F19226" s="546"/>
      <c r="G19226" s="234"/>
      <c r="H19226" s="238"/>
      <c r="I19226" s="237"/>
    </row>
    <row r="19227" spans="1:9" s="232" customFormat="1" ht="17" customHeight="1">
      <c r="A19227" s="234"/>
      <c r="B19227" s="233"/>
      <c r="C19227" s="238"/>
      <c r="E19227" s="545"/>
      <c r="F19227" s="546"/>
      <c r="G19227" s="234"/>
      <c r="H19227" s="238"/>
      <c r="I19227" s="237"/>
    </row>
    <row r="19228" spans="1:9" s="232" customFormat="1" ht="17" customHeight="1">
      <c r="A19228" s="234"/>
      <c r="B19228" s="233"/>
      <c r="C19228" s="238"/>
      <c r="E19228" s="545"/>
      <c r="F19228" s="546"/>
      <c r="G19228" s="234"/>
      <c r="H19228" s="238"/>
      <c r="I19228" s="237"/>
    </row>
    <row r="19229" spans="1:9" s="232" customFormat="1" ht="17" customHeight="1">
      <c r="A19229" s="234"/>
      <c r="B19229" s="233"/>
      <c r="C19229" s="238"/>
      <c r="E19229" s="545"/>
      <c r="F19229" s="546"/>
      <c r="G19229" s="234"/>
      <c r="H19229" s="238"/>
      <c r="I19229" s="237"/>
    </row>
    <row r="19230" spans="1:9" s="232" customFormat="1" ht="17" customHeight="1">
      <c r="A19230" s="234"/>
      <c r="B19230" s="233"/>
      <c r="C19230" s="238"/>
      <c r="E19230" s="545"/>
      <c r="F19230" s="546"/>
      <c r="G19230" s="234"/>
      <c r="H19230" s="238"/>
      <c r="I19230" s="237"/>
    </row>
    <row r="19231" spans="1:9" s="232" customFormat="1" ht="17" customHeight="1">
      <c r="A19231" s="234"/>
      <c r="B19231" s="233"/>
      <c r="C19231" s="238"/>
      <c r="E19231" s="545"/>
      <c r="F19231" s="546"/>
      <c r="G19231" s="234"/>
      <c r="H19231" s="238"/>
      <c r="I19231" s="237"/>
    </row>
    <row r="19232" spans="1:9" s="232" customFormat="1" ht="17" customHeight="1">
      <c r="A19232" s="234"/>
      <c r="B19232" s="233"/>
      <c r="C19232" s="238"/>
      <c r="E19232" s="545"/>
      <c r="F19232" s="546"/>
      <c r="G19232" s="234"/>
      <c r="H19232" s="238"/>
      <c r="I19232" s="237"/>
    </row>
    <row r="19233" spans="1:9" s="232" customFormat="1" ht="17" customHeight="1">
      <c r="A19233" s="234"/>
      <c r="B19233" s="233"/>
      <c r="C19233" s="238"/>
      <c r="E19233" s="545"/>
      <c r="F19233" s="546"/>
      <c r="G19233" s="234"/>
      <c r="H19233" s="238"/>
      <c r="I19233" s="237"/>
    </row>
    <row r="19234" spans="1:9" s="232" customFormat="1" ht="17" customHeight="1">
      <c r="A19234" s="234"/>
      <c r="B19234" s="233"/>
      <c r="C19234" s="238"/>
      <c r="E19234" s="545"/>
      <c r="F19234" s="546"/>
      <c r="G19234" s="234"/>
      <c r="H19234" s="238"/>
      <c r="I19234" s="237"/>
    </row>
    <row r="19235" spans="1:9" s="232" customFormat="1" ht="17" customHeight="1">
      <c r="A19235" s="234"/>
      <c r="B19235" s="233"/>
      <c r="C19235" s="238"/>
      <c r="E19235" s="545"/>
      <c r="F19235" s="546"/>
      <c r="G19235" s="234"/>
      <c r="H19235" s="238"/>
      <c r="I19235" s="237"/>
    </row>
    <row r="19236" spans="1:9" s="232" customFormat="1" ht="17" customHeight="1">
      <c r="A19236" s="234"/>
      <c r="B19236" s="233"/>
      <c r="C19236" s="238"/>
      <c r="E19236" s="545"/>
      <c r="F19236" s="546"/>
      <c r="G19236" s="234"/>
      <c r="H19236" s="238"/>
      <c r="I19236" s="237"/>
    </row>
    <row r="19237" spans="1:9" s="232" customFormat="1" ht="17" customHeight="1">
      <c r="A19237" s="234"/>
      <c r="B19237" s="233"/>
      <c r="C19237" s="238"/>
      <c r="E19237" s="545"/>
      <c r="F19237" s="546"/>
      <c r="G19237" s="234"/>
      <c r="H19237" s="238"/>
      <c r="I19237" s="237"/>
    </row>
    <row r="19238" spans="1:9" s="232" customFormat="1" ht="17" customHeight="1">
      <c r="A19238" s="234"/>
      <c r="B19238" s="233"/>
      <c r="C19238" s="238"/>
      <c r="E19238" s="545"/>
      <c r="F19238" s="546"/>
      <c r="G19238" s="234"/>
      <c r="H19238" s="238"/>
      <c r="I19238" s="237"/>
    </row>
    <row r="19239" spans="1:9" s="232" customFormat="1" ht="17" customHeight="1">
      <c r="A19239" s="234"/>
      <c r="B19239" s="233"/>
      <c r="C19239" s="238"/>
      <c r="E19239" s="545"/>
      <c r="F19239" s="546"/>
      <c r="G19239" s="234"/>
      <c r="H19239" s="238"/>
      <c r="I19239" s="237"/>
    </row>
    <row r="19240" spans="1:9" s="232" customFormat="1" ht="17" customHeight="1">
      <c r="A19240" s="234"/>
      <c r="B19240" s="233"/>
      <c r="C19240" s="238"/>
      <c r="E19240" s="545"/>
      <c r="F19240" s="546"/>
      <c r="G19240" s="234"/>
      <c r="H19240" s="238"/>
      <c r="I19240" s="237"/>
    </row>
    <row r="19241" spans="1:9" s="232" customFormat="1" ht="17" customHeight="1">
      <c r="A19241" s="234"/>
      <c r="B19241" s="233"/>
      <c r="C19241" s="238"/>
      <c r="E19241" s="545"/>
      <c r="F19241" s="546"/>
      <c r="G19241" s="234"/>
      <c r="H19241" s="238"/>
      <c r="I19241" s="237"/>
    </row>
    <row r="19242" spans="1:9" s="232" customFormat="1" ht="17" customHeight="1">
      <c r="A19242" s="234"/>
      <c r="B19242" s="233"/>
      <c r="C19242" s="238"/>
      <c r="E19242" s="545"/>
      <c r="F19242" s="546"/>
      <c r="G19242" s="234"/>
      <c r="H19242" s="238"/>
      <c r="I19242" s="237"/>
    </row>
    <row r="19243" spans="1:9" s="232" customFormat="1" ht="17" customHeight="1">
      <c r="A19243" s="234"/>
      <c r="B19243" s="233"/>
      <c r="C19243" s="238"/>
      <c r="E19243" s="545"/>
      <c r="F19243" s="546"/>
      <c r="G19243" s="234"/>
      <c r="H19243" s="238"/>
      <c r="I19243" s="237"/>
    </row>
    <row r="19244" spans="1:9" s="232" customFormat="1" ht="17" customHeight="1">
      <c r="A19244" s="234"/>
      <c r="B19244" s="233"/>
      <c r="C19244" s="238"/>
      <c r="E19244" s="545"/>
      <c r="F19244" s="546"/>
      <c r="G19244" s="234"/>
      <c r="H19244" s="238"/>
      <c r="I19244" s="237"/>
    </row>
    <row r="19245" spans="1:9" s="232" customFormat="1" ht="17" customHeight="1">
      <c r="A19245" s="234"/>
      <c r="B19245" s="233"/>
      <c r="C19245" s="238"/>
      <c r="E19245" s="545"/>
      <c r="F19245" s="546"/>
      <c r="G19245" s="234"/>
      <c r="H19245" s="238"/>
      <c r="I19245" s="237"/>
    </row>
    <row r="19246" spans="1:9" s="232" customFormat="1" ht="17" customHeight="1">
      <c r="A19246" s="234"/>
      <c r="B19246" s="233"/>
      <c r="C19246" s="238"/>
      <c r="E19246" s="545"/>
      <c r="F19246" s="546"/>
      <c r="G19246" s="234"/>
      <c r="H19246" s="238"/>
      <c r="I19246" s="237"/>
    </row>
    <row r="19247" spans="1:9" s="232" customFormat="1" ht="17" customHeight="1">
      <c r="A19247" s="234"/>
      <c r="B19247" s="233"/>
      <c r="C19247" s="238"/>
      <c r="E19247" s="545"/>
      <c r="F19247" s="546"/>
      <c r="G19247" s="234"/>
      <c r="H19247" s="238"/>
      <c r="I19247" s="237"/>
    </row>
    <row r="19248" spans="1:9" s="232" customFormat="1" ht="17" customHeight="1">
      <c r="A19248" s="234"/>
      <c r="B19248" s="233"/>
      <c r="C19248" s="238"/>
      <c r="E19248" s="545"/>
      <c r="F19248" s="546"/>
      <c r="G19248" s="234"/>
      <c r="H19248" s="238"/>
      <c r="I19248" s="237"/>
    </row>
    <row r="19249" spans="1:9" s="232" customFormat="1" ht="17" customHeight="1">
      <c r="A19249" s="234"/>
      <c r="B19249" s="233"/>
      <c r="C19249" s="238"/>
      <c r="E19249" s="545"/>
      <c r="F19249" s="546"/>
      <c r="G19249" s="234"/>
      <c r="H19249" s="238"/>
      <c r="I19249" s="237"/>
    </row>
    <row r="19250" spans="1:9" s="232" customFormat="1" ht="17" customHeight="1">
      <c r="A19250" s="234"/>
      <c r="B19250" s="233"/>
      <c r="C19250" s="238"/>
      <c r="E19250" s="545"/>
      <c r="F19250" s="546"/>
      <c r="G19250" s="234"/>
      <c r="H19250" s="238"/>
      <c r="I19250" s="237"/>
    </row>
    <row r="19251" spans="1:9" s="232" customFormat="1" ht="17" customHeight="1">
      <c r="A19251" s="234"/>
      <c r="B19251" s="233"/>
      <c r="C19251" s="238"/>
      <c r="E19251" s="545"/>
      <c r="F19251" s="546"/>
      <c r="G19251" s="234"/>
      <c r="H19251" s="238"/>
      <c r="I19251" s="237"/>
    </row>
    <row r="19252" spans="1:9" s="232" customFormat="1" ht="17" customHeight="1">
      <c r="A19252" s="234"/>
      <c r="B19252" s="233"/>
      <c r="C19252" s="238"/>
      <c r="E19252" s="545"/>
      <c r="F19252" s="546"/>
      <c r="G19252" s="234"/>
      <c r="H19252" s="238"/>
      <c r="I19252" s="237"/>
    </row>
    <row r="19253" spans="1:9" s="232" customFormat="1" ht="17" customHeight="1">
      <c r="A19253" s="234"/>
      <c r="B19253" s="233"/>
      <c r="C19253" s="238"/>
      <c r="E19253" s="545"/>
      <c r="F19253" s="546"/>
      <c r="G19253" s="234"/>
      <c r="H19253" s="238"/>
      <c r="I19253" s="237"/>
    </row>
    <row r="19254" spans="1:9" s="232" customFormat="1" ht="17" customHeight="1">
      <c r="A19254" s="234"/>
      <c r="B19254" s="233"/>
      <c r="C19254" s="238"/>
      <c r="E19254" s="545"/>
      <c r="F19254" s="546"/>
      <c r="G19254" s="234"/>
      <c r="H19254" s="238"/>
      <c r="I19254" s="237"/>
    </row>
    <row r="19255" spans="1:9" s="232" customFormat="1" ht="17" customHeight="1">
      <c r="A19255" s="234"/>
      <c r="B19255" s="233"/>
      <c r="C19255" s="238"/>
      <c r="E19255" s="545"/>
      <c r="F19255" s="546"/>
      <c r="G19255" s="234"/>
      <c r="H19255" s="238"/>
      <c r="I19255" s="237"/>
    </row>
    <row r="19256" spans="1:9" s="232" customFormat="1" ht="17" customHeight="1">
      <c r="A19256" s="234"/>
      <c r="B19256" s="233"/>
      <c r="C19256" s="238"/>
      <c r="E19256" s="545"/>
      <c r="F19256" s="546"/>
      <c r="G19256" s="234"/>
      <c r="H19256" s="238"/>
      <c r="I19256" s="237"/>
    </row>
    <row r="19257" spans="1:9" s="232" customFormat="1" ht="17" customHeight="1">
      <c r="A19257" s="234"/>
      <c r="B19257" s="233"/>
      <c r="C19257" s="238"/>
      <c r="E19257" s="545"/>
      <c r="F19257" s="546"/>
      <c r="G19257" s="234"/>
      <c r="H19257" s="238"/>
      <c r="I19257" s="237"/>
    </row>
    <row r="19258" spans="1:9" s="232" customFormat="1" ht="17" customHeight="1">
      <c r="A19258" s="234"/>
      <c r="B19258" s="233"/>
      <c r="C19258" s="238"/>
      <c r="E19258" s="545"/>
      <c r="F19258" s="546"/>
      <c r="G19258" s="234"/>
      <c r="H19258" s="238"/>
      <c r="I19258" s="237"/>
    </row>
    <row r="19259" spans="1:9" s="232" customFormat="1" ht="17" customHeight="1">
      <c r="A19259" s="234"/>
      <c r="B19259" s="233"/>
      <c r="C19259" s="238"/>
      <c r="E19259" s="545"/>
      <c r="F19259" s="546"/>
      <c r="G19259" s="234"/>
      <c r="H19259" s="238"/>
      <c r="I19259" s="237"/>
    </row>
    <row r="19260" spans="1:9" s="232" customFormat="1" ht="17" customHeight="1">
      <c r="A19260" s="234"/>
      <c r="B19260" s="233"/>
      <c r="C19260" s="238"/>
      <c r="E19260" s="545"/>
      <c r="F19260" s="546"/>
      <c r="G19260" s="234"/>
      <c r="H19260" s="238"/>
      <c r="I19260" s="237"/>
    </row>
    <row r="19261" spans="1:9" s="232" customFormat="1" ht="17" customHeight="1">
      <c r="A19261" s="234"/>
      <c r="B19261" s="233"/>
      <c r="C19261" s="238"/>
      <c r="E19261" s="545"/>
      <c r="F19261" s="546"/>
      <c r="G19261" s="234"/>
      <c r="H19261" s="238"/>
      <c r="I19261" s="237"/>
    </row>
    <row r="19262" spans="1:9" s="232" customFormat="1" ht="17" customHeight="1">
      <c r="A19262" s="234"/>
      <c r="B19262" s="233"/>
      <c r="C19262" s="238"/>
      <c r="E19262" s="545"/>
      <c r="F19262" s="546"/>
      <c r="G19262" s="234"/>
      <c r="H19262" s="238"/>
      <c r="I19262" s="237"/>
    </row>
    <row r="19263" spans="1:9" s="232" customFormat="1" ht="17" customHeight="1">
      <c r="A19263" s="234"/>
      <c r="B19263" s="233"/>
      <c r="C19263" s="238"/>
      <c r="E19263" s="545"/>
      <c r="F19263" s="546"/>
      <c r="G19263" s="234"/>
      <c r="H19263" s="238"/>
      <c r="I19263" s="237"/>
    </row>
    <row r="19264" spans="1:9" s="232" customFormat="1" ht="17" customHeight="1">
      <c r="A19264" s="234"/>
      <c r="B19264" s="233"/>
      <c r="C19264" s="238"/>
      <c r="E19264" s="545"/>
      <c r="F19264" s="546"/>
      <c r="G19264" s="234"/>
      <c r="H19264" s="238"/>
      <c r="I19264" s="237"/>
    </row>
    <row r="19265" spans="1:9" s="232" customFormat="1" ht="17" customHeight="1">
      <c r="A19265" s="234"/>
      <c r="B19265" s="233"/>
      <c r="C19265" s="238"/>
      <c r="E19265" s="545"/>
      <c r="F19265" s="546"/>
      <c r="G19265" s="234"/>
      <c r="H19265" s="238"/>
      <c r="I19265" s="237"/>
    </row>
    <row r="19266" spans="1:9" s="232" customFormat="1" ht="17" customHeight="1">
      <c r="A19266" s="234"/>
      <c r="B19266" s="233"/>
      <c r="C19266" s="238"/>
      <c r="E19266" s="545"/>
      <c r="F19266" s="546"/>
      <c r="G19266" s="234"/>
      <c r="H19266" s="238"/>
      <c r="I19266" s="237"/>
    </row>
    <row r="19267" spans="1:9" s="232" customFormat="1" ht="17" customHeight="1">
      <c r="A19267" s="234"/>
      <c r="B19267" s="233"/>
      <c r="C19267" s="238"/>
      <c r="E19267" s="545"/>
      <c r="F19267" s="546"/>
      <c r="G19267" s="234"/>
      <c r="H19267" s="238"/>
      <c r="I19267" s="237"/>
    </row>
    <row r="19268" spans="1:9" s="232" customFormat="1" ht="17" customHeight="1">
      <c r="A19268" s="234"/>
      <c r="B19268" s="233"/>
      <c r="C19268" s="238"/>
      <c r="E19268" s="545"/>
      <c r="F19268" s="546"/>
      <c r="G19268" s="234"/>
      <c r="H19268" s="238"/>
      <c r="I19268" s="237"/>
    </row>
    <row r="19269" spans="1:9" s="232" customFormat="1" ht="17" customHeight="1">
      <c r="A19269" s="234"/>
      <c r="B19269" s="233"/>
      <c r="C19269" s="238"/>
      <c r="E19269" s="545"/>
      <c r="F19269" s="546"/>
      <c r="G19269" s="234"/>
      <c r="H19269" s="238"/>
      <c r="I19269" s="237"/>
    </row>
    <row r="19270" spans="1:9" s="232" customFormat="1" ht="17" customHeight="1">
      <c r="A19270" s="234"/>
      <c r="B19270" s="233"/>
      <c r="C19270" s="238"/>
      <c r="E19270" s="545"/>
      <c r="F19270" s="546"/>
      <c r="G19270" s="234"/>
      <c r="H19270" s="238"/>
      <c r="I19270" s="237"/>
    </row>
    <row r="19271" spans="1:9" s="232" customFormat="1" ht="17" customHeight="1">
      <c r="A19271" s="234"/>
      <c r="B19271" s="233"/>
      <c r="C19271" s="238"/>
      <c r="E19271" s="545"/>
      <c r="F19271" s="546"/>
      <c r="G19271" s="234"/>
      <c r="H19271" s="238"/>
      <c r="I19271" s="237"/>
    </row>
    <row r="19272" spans="1:9" s="232" customFormat="1" ht="17" customHeight="1">
      <c r="A19272" s="234"/>
      <c r="B19272" s="233"/>
      <c r="C19272" s="238"/>
      <c r="E19272" s="545"/>
      <c r="F19272" s="546"/>
      <c r="G19272" s="234"/>
      <c r="H19272" s="238"/>
      <c r="I19272" s="237"/>
    </row>
    <row r="19273" spans="1:9" s="232" customFormat="1" ht="17" customHeight="1">
      <c r="A19273" s="234"/>
      <c r="B19273" s="233"/>
      <c r="C19273" s="238"/>
      <c r="E19273" s="545"/>
      <c r="F19273" s="546"/>
      <c r="G19273" s="234"/>
      <c r="H19273" s="238"/>
      <c r="I19273" s="237"/>
    </row>
    <row r="19274" spans="1:9" s="232" customFormat="1" ht="17" customHeight="1">
      <c r="A19274" s="234"/>
      <c r="B19274" s="233"/>
      <c r="C19274" s="238"/>
      <c r="E19274" s="545"/>
      <c r="F19274" s="546"/>
      <c r="G19274" s="234"/>
      <c r="H19274" s="238"/>
      <c r="I19274" s="237"/>
    </row>
    <row r="19275" spans="1:9" s="232" customFormat="1" ht="17" customHeight="1">
      <c r="A19275" s="234"/>
      <c r="B19275" s="233"/>
      <c r="C19275" s="238"/>
      <c r="E19275" s="545"/>
      <c r="F19275" s="546"/>
      <c r="G19275" s="234"/>
      <c r="H19275" s="238"/>
      <c r="I19275" s="237"/>
    </row>
    <row r="19276" spans="1:9" s="232" customFormat="1" ht="17" customHeight="1">
      <c r="A19276" s="234"/>
      <c r="B19276" s="233"/>
      <c r="C19276" s="238"/>
      <c r="E19276" s="545"/>
      <c r="F19276" s="546"/>
      <c r="G19276" s="234"/>
      <c r="H19276" s="238"/>
      <c r="I19276" s="237"/>
    </row>
    <row r="19277" spans="1:9" s="232" customFormat="1" ht="17" customHeight="1">
      <c r="A19277" s="234"/>
      <c r="B19277" s="233"/>
      <c r="C19277" s="238"/>
      <c r="E19277" s="545"/>
      <c r="F19277" s="546"/>
      <c r="G19277" s="234"/>
      <c r="H19277" s="238"/>
      <c r="I19277" s="237"/>
    </row>
    <row r="19278" spans="1:9" s="232" customFormat="1" ht="17" customHeight="1">
      <c r="A19278" s="234"/>
      <c r="B19278" s="233"/>
      <c r="C19278" s="238"/>
      <c r="E19278" s="545"/>
      <c r="F19278" s="546"/>
      <c r="G19278" s="234"/>
      <c r="H19278" s="238"/>
      <c r="I19278" s="237"/>
    </row>
    <row r="19279" spans="1:9" s="232" customFormat="1" ht="17" customHeight="1">
      <c r="A19279" s="234"/>
      <c r="B19279" s="233"/>
      <c r="C19279" s="238"/>
      <c r="E19279" s="545"/>
      <c r="F19279" s="546"/>
      <c r="G19279" s="234"/>
      <c r="H19279" s="238"/>
      <c r="I19279" s="237"/>
    </row>
    <row r="19280" spans="1:9" s="232" customFormat="1" ht="17" customHeight="1">
      <c r="A19280" s="234"/>
      <c r="B19280" s="233"/>
      <c r="C19280" s="238"/>
      <c r="E19280" s="545"/>
      <c r="F19280" s="546"/>
      <c r="G19280" s="234"/>
      <c r="H19280" s="238"/>
      <c r="I19280" s="237"/>
    </row>
    <row r="19281" spans="1:9" s="232" customFormat="1" ht="17" customHeight="1">
      <c r="A19281" s="234"/>
      <c r="B19281" s="233"/>
      <c r="C19281" s="238"/>
      <c r="E19281" s="545"/>
      <c r="F19281" s="546"/>
      <c r="G19281" s="234"/>
      <c r="H19281" s="238"/>
      <c r="I19281" s="237"/>
    </row>
    <row r="19282" spans="1:9" s="232" customFormat="1" ht="17" customHeight="1">
      <c r="A19282" s="234"/>
      <c r="B19282" s="233"/>
      <c r="C19282" s="238"/>
      <c r="E19282" s="545"/>
      <c r="F19282" s="546"/>
      <c r="G19282" s="234"/>
      <c r="H19282" s="238"/>
      <c r="I19282" s="237"/>
    </row>
    <row r="19283" spans="1:9" s="232" customFormat="1" ht="17" customHeight="1">
      <c r="A19283" s="234"/>
      <c r="B19283" s="233"/>
      <c r="C19283" s="238"/>
      <c r="E19283" s="545"/>
      <c r="F19283" s="546"/>
      <c r="G19283" s="234"/>
      <c r="H19283" s="238"/>
      <c r="I19283" s="237"/>
    </row>
    <row r="19284" spans="1:9" s="232" customFormat="1" ht="17" customHeight="1">
      <c r="A19284" s="234"/>
      <c r="B19284" s="233"/>
      <c r="C19284" s="238"/>
      <c r="E19284" s="545"/>
      <c r="F19284" s="546"/>
      <c r="G19284" s="234"/>
      <c r="H19284" s="238"/>
      <c r="I19284" s="237"/>
    </row>
    <row r="19285" spans="1:9" s="232" customFormat="1" ht="17" customHeight="1">
      <c r="A19285" s="234"/>
      <c r="B19285" s="233"/>
      <c r="C19285" s="238"/>
      <c r="E19285" s="545"/>
      <c r="F19285" s="546"/>
      <c r="G19285" s="234"/>
      <c r="H19285" s="238"/>
      <c r="I19285" s="237"/>
    </row>
    <row r="19286" spans="1:9" s="232" customFormat="1" ht="17" customHeight="1">
      <c r="A19286" s="234"/>
      <c r="B19286" s="233"/>
      <c r="C19286" s="238"/>
      <c r="E19286" s="545"/>
      <c r="F19286" s="546"/>
      <c r="G19286" s="234"/>
      <c r="H19286" s="238"/>
      <c r="I19286" s="237"/>
    </row>
    <row r="19287" spans="1:9" s="232" customFormat="1" ht="17" customHeight="1">
      <c r="A19287" s="234"/>
      <c r="B19287" s="233"/>
      <c r="C19287" s="238"/>
      <c r="E19287" s="545"/>
      <c r="F19287" s="546"/>
      <c r="G19287" s="234"/>
      <c r="H19287" s="238"/>
      <c r="I19287" s="237"/>
    </row>
    <row r="19288" spans="1:9" s="232" customFormat="1" ht="17" customHeight="1">
      <c r="A19288" s="234"/>
      <c r="B19288" s="233"/>
      <c r="C19288" s="238"/>
      <c r="E19288" s="545"/>
      <c r="F19288" s="546"/>
      <c r="G19288" s="234"/>
      <c r="H19288" s="238"/>
      <c r="I19288" s="237"/>
    </row>
    <row r="19289" spans="1:9" s="232" customFormat="1" ht="17" customHeight="1">
      <c r="A19289" s="234"/>
      <c r="B19289" s="233"/>
      <c r="C19289" s="238"/>
      <c r="E19289" s="545"/>
      <c r="F19289" s="546"/>
      <c r="G19289" s="234"/>
      <c r="H19289" s="238"/>
      <c r="I19289" s="237"/>
    </row>
    <row r="19290" spans="1:9" s="232" customFormat="1" ht="17" customHeight="1">
      <c r="A19290" s="234"/>
      <c r="B19290" s="233"/>
      <c r="C19290" s="238"/>
      <c r="E19290" s="545"/>
      <c r="F19290" s="546"/>
      <c r="G19290" s="234"/>
      <c r="H19290" s="238"/>
      <c r="I19290" s="237"/>
    </row>
    <row r="19291" spans="1:9" s="232" customFormat="1" ht="17" customHeight="1">
      <c r="A19291" s="234"/>
      <c r="B19291" s="233"/>
      <c r="C19291" s="238"/>
      <c r="E19291" s="545"/>
      <c r="F19291" s="546"/>
      <c r="G19291" s="234"/>
      <c r="H19291" s="238"/>
      <c r="I19291" s="237"/>
    </row>
    <row r="19292" spans="1:9" s="232" customFormat="1" ht="17" customHeight="1">
      <c r="A19292" s="234"/>
      <c r="B19292" s="233"/>
      <c r="C19292" s="238"/>
      <c r="E19292" s="545"/>
      <c r="F19292" s="546"/>
      <c r="G19292" s="234"/>
      <c r="H19292" s="238"/>
      <c r="I19292" s="237"/>
    </row>
    <row r="19293" spans="1:9" s="232" customFormat="1" ht="17" customHeight="1">
      <c r="A19293" s="234"/>
      <c r="B19293" s="233"/>
      <c r="C19293" s="238"/>
      <c r="E19293" s="545"/>
      <c r="F19293" s="546"/>
      <c r="G19293" s="234"/>
      <c r="H19293" s="238"/>
      <c r="I19293" s="237"/>
    </row>
    <row r="19294" spans="1:9" s="232" customFormat="1" ht="17" customHeight="1">
      <c r="A19294" s="234"/>
      <c r="B19294" s="233"/>
      <c r="C19294" s="238"/>
      <c r="E19294" s="545"/>
      <c r="F19294" s="546"/>
      <c r="G19294" s="234"/>
      <c r="H19294" s="238"/>
      <c r="I19294" s="237"/>
    </row>
    <row r="19295" spans="1:9" s="232" customFormat="1" ht="17" customHeight="1">
      <c r="A19295" s="234"/>
      <c r="B19295" s="233"/>
      <c r="C19295" s="238"/>
      <c r="E19295" s="545"/>
      <c r="F19295" s="546"/>
      <c r="G19295" s="234"/>
      <c r="H19295" s="238"/>
      <c r="I19295" s="237"/>
    </row>
    <row r="19296" spans="1:9" s="232" customFormat="1" ht="17" customHeight="1">
      <c r="A19296" s="234"/>
      <c r="B19296" s="233"/>
      <c r="C19296" s="238"/>
      <c r="E19296" s="545"/>
      <c r="F19296" s="546"/>
      <c r="G19296" s="234"/>
      <c r="H19296" s="238"/>
      <c r="I19296" s="237"/>
    </row>
    <row r="19297" spans="1:9" s="232" customFormat="1" ht="17" customHeight="1">
      <c r="A19297" s="234"/>
      <c r="B19297" s="233"/>
      <c r="C19297" s="238"/>
      <c r="E19297" s="545"/>
      <c r="F19297" s="546"/>
      <c r="G19297" s="234"/>
      <c r="H19297" s="238"/>
      <c r="I19297" s="237"/>
    </row>
    <row r="19298" spans="1:9" s="232" customFormat="1" ht="17" customHeight="1">
      <c r="A19298" s="234"/>
      <c r="B19298" s="233"/>
      <c r="C19298" s="238"/>
      <c r="E19298" s="545"/>
      <c r="F19298" s="546"/>
      <c r="G19298" s="234"/>
      <c r="H19298" s="238"/>
      <c r="I19298" s="237"/>
    </row>
    <row r="19299" spans="1:9" s="232" customFormat="1" ht="17" customHeight="1">
      <c r="A19299" s="234"/>
      <c r="B19299" s="233"/>
      <c r="C19299" s="238"/>
      <c r="E19299" s="545"/>
      <c r="F19299" s="546"/>
      <c r="G19299" s="234"/>
      <c r="H19299" s="238"/>
      <c r="I19299" s="237"/>
    </row>
    <row r="19300" spans="1:9" s="232" customFormat="1" ht="17" customHeight="1">
      <c r="A19300" s="234"/>
      <c r="B19300" s="233"/>
      <c r="C19300" s="238"/>
      <c r="E19300" s="545"/>
      <c r="F19300" s="546"/>
      <c r="G19300" s="234"/>
      <c r="H19300" s="238"/>
      <c r="I19300" s="237"/>
    </row>
    <row r="19301" spans="1:9" s="232" customFormat="1" ht="17" customHeight="1">
      <c r="A19301" s="234"/>
      <c r="B19301" s="233"/>
      <c r="C19301" s="238"/>
      <c r="E19301" s="545"/>
      <c r="F19301" s="546"/>
      <c r="G19301" s="234"/>
      <c r="H19301" s="238"/>
      <c r="I19301" s="237"/>
    </row>
    <row r="19302" spans="1:9" s="232" customFormat="1" ht="17" customHeight="1">
      <c r="A19302" s="234"/>
      <c r="B19302" s="233"/>
      <c r="C19302" s="238"/>
      <c r="E19302" s="545"/>
      <c r="F19302" s="546"/>
      <c r="G19302" s="234"/>
      <c r="H19302" s="238"/>
      <c r="I19302" s="237"/>
    </row>
    <row r="19303" spans="1:9" s="232" customFormat="1" ht="17" customHeight="1">
      <c r="A19303" s="234"/>
      <c r="B19303" s="233"/>
      <c r="C19303" s="238"/>
      <c r="E19303" s="545"/>
      <c r="F19303" s="546"/>
      <c r="G19303" s="234"/>
      <c r="H19303" s="238"/>
      <c r="I19303" s="237"/>
    </row>
    <row r="19304" spans="1:9" s="232" customFormat="1" ht="17" customHeight="1">
      <c r="A19304" s="234"/>
      <c r="B19304" s="233"/>
      <c r="C19304" s="238"/>
      <c r="E19304" s="545"/>
      <c r="F19304" s="546"/>
      <c r="G19304" s="234"/>
      <c r="H19304" s="238"/>
      <c r="I19304" s="237"/>
    </row>
    <row r="19305" spans="1:9" s="232" customFormat="1" ht="17" customHeight="1">
      <c r="A19305" s="234"/>
      <c r="B19305" s="233"/>
      <c r="C19305" s="238"/>
      <c r="E19305" s="545"/>
      <c r="F19305" s="546"/>
      <c r="G19305" s="234"/>
      <c r="H19305" s="238"/>
      <c r="I19305" s="237"/>
    </row>
    <row r="19306" spans="1:9" s="232" customFormat="1" ht="17" customHeight="1">
      <c r="A19306" s="234"/>
      <c r="B19306" s="233"/>
      <c r="C19306" s="238"/>
      <c r="E19306" s="545"/>
      <c r="F19306" s="546"/>
      <c r="G19306" s="234"/>
      <c r="H19306" s="238"/>
      <c r="I19306" s="237"/>
    </row>
    <row r="19307" spans="1:9" s="232" customFormat="1" ht="17" customHeight="1">
      <c r="A19307" s="234"/>
      <c r="B19307" s="233"/>
      <c r="C19307" s="238"/>
      <c r="E19307" s="545"/>
      <c r="F19307" s="546"/>
      <c r="G19307" s="234"/>
      <c r="H19307" s="238"/>
      <c r="I19307" s="237"/>
    </row>
    <row r="19308" spans="1:9" s="232" customFormat="1" ht="17" customHeight="1">
      <c r="A19308" s="234"/>
      <c r="B19308" s="233"/>
      <c r="C19308" s="238"/>
      <c r="E19308" s="545"/>
      <c r="F19308" s="546"/>
      <c r="G19308" s="234"/>
      <c r="H19308" s="238"/>
      <c r="I19308" s="237"/>
    </row>
    <row r="19309" spans="1:9" s="232" customFormat="1" ht="17" customHeight="1">
      <c r="A19309" s="234"/>
      <c r="B19309" s="233"/>
      <c r="C19309" s="238"/>
      <c r="E19309" s="545"/>
      <c r="F19309" s="546"/>
      <c r="G19309" s="234"/>
      <c r="H19309" s="238"/>
      <c r="I19309" s="237"/>
    </row>
    <row r="19310" spans="1:9" s="232" customFormat="1" ht="17" customHeight="1">
      <c r="A19310" s="234"/>
      <c r="B19310" s="233"/>
      <c r="C19310" s="238"/>
      <c r="E19310" s="545"/>
      <c r="F19310" s="546"/>
      <c r="G19310" s="234"/>
      <c r="H19310" s="238"/>
      <c r="I19310" s="237"/>
    </row>
    <row r="19311" spans="1:9" s="232" customFormat="1" ht="17" customHeight="1">
      <c r="A19311" s="234"/>
      <c r="B19311" s="233"/>
      <c r="C19311" s="238"/>
      <c r="E19311" s="545"/>
      <c r="F19311" s="546"/>
      <c r="G19311" s="234"/>
      <c r="H19311" s="238"/>
      <c r="I19311" s="237"/>
    </row>
    <row r="19312" spans="1:9" s="232" customFormat="1" ht="17" customHeight="1">
      <c r="A19312" s="234"/>
      <c r="B19312" s="233"/>
      <c r="C19312" s="238"/>
      <c r="E19312" s="545"/>
      <c r="F19312" s="546"/>
      <c r="G19312" s="234"/>
      <c r="H19312" s="238"/>
      <c r="I19312" s="237"/>
    </row>
    <row r="19313" spans="1:9" s="232" customFormat="1" ht="17" customHeight="1">
      <c r="A19313" s="234"/>
      <c r="B19313" s="233"/>
      <c r="C19313" s="238"/>
      <c r="E19313" s="545"/>
      <c r="F19313" s="546"/>
      <c r="G19313" s="234"/>
      <c r="H19313" s="238"/>
      <c r="I19313" s="237"/>
    </row>
    <row r="19314" spans="1:9" s="232" customFormat="1" ht="17" customHeight="1">
      <c r="A19314" s="234"/>
      <c r="B19314" s="233"/>
      <c r="C19314" s="238"/>
      <c r="E19314" s="545"/>
      <c r="F19314" s="546"/>
      <c r="G19314" s="234"/>
      <c r="H19314" s="238"/>
      <c r="I19314" s="237"/>
    </row>
    <row r="19315" spans="1:9" s="232" customFormat="1" ht="17" customHeight="1">
      <c r="A19315" s="234"/>
      <c r="B19315" s="233"/>
      <c r="C19315" s="238"/>
      <c r="E19315" s="545"/>
      <c r="F19315" s="546"/>
      <c r="G19315" s="234"/>
      <c r="H19315" s="238"/>
      <c r="I19315" s="237"/>
    </row>
    <row r="19316" spans="1:9" s="232" customFormat="1" ht="17" customHeight="1">
      <c r="A19316" s="234"/>
      <c r="B19316" s="233"/>
      <c r="C19316" s="238"/>
      <c r="E19316" s="545"/>
      <c r="F19316" s="546"/>
      <c r="G19316" s="234"/>
      <c r="H19316" s="238"/>
      <c r="I19316" s="237"/>
    </row>
    <row r="19317" spans="1:9" s="232" customFormat="1" ht="17" customHeight="1">
      <c r="A19317" s="234"/>
      <c r="B19317" s="233"/>
      <c r="C19317" s="238"/>
      <c r="E19317" s="545"/>
      <c r="F19317" s="546"/>
      <c r="G19317" s="234"/>
      <c r="H19317" s="238"/>
      <c r="I19317" s="237"/>
    </row>
    <row r="19318" spans="1:9" s="232" customFormat="1" ht="17" customHeight="1">
      <c r="A19318" s="234"/>
      <c r="B19318" s="233"/>
      <c r="C19318" s="238"/>
      <c r="E19318" s="545"/>
      <c r="F19318" s="546"/>
      <c r="G19318" s="234"/>
      <c r="H19318" s="238"/>
      <c r="I19318" s="237"/>
    </row>
    <row r="19319" spans="1:9" s="232" customFormat="1" ht="17" customHeight="1">
      <c r="A19319" s="234"/>
      <c r="B19319" s="233"/>
      <c r="C19319" s="238"/>
      <c r="E19319" s="545"/>
      <c r="F19319" s="546"/>
      <c r="G19319" s="234"/>
      <c r="H19319" s="238"/>
      <c r="I19319" s="237"/>
    </row>
    <row r="19320" spans="1:9" s="232" customFormat="1" ht="17" customHeight="1">
      <c r="A19320" s="234"/>
      <c r="B19320" s="233"/>
      <c r="C19320" s="238"/>
      <c r="E19320" s="545"/>
      <c r="F19320" s="546"/>
      <c r="G19320" s="234"/>
      <c r="H19320" s="238"/>
      <c r="I19320" s="237"/>
    </row>
    <row r="19321" spans="1:9" s="232" customFormat="1" ht="17" customHeight="1">
      <c r="A19321" s="234"/>
      <c r="B19321" s="233"/>
      <c r="C19321" s="238"/>
      <c r="E19321" s="545"/>
      <c r="F19321" s="546"/>
      <c r="G19321" s="234"/>
      <c r="H19321" s="238"/>
      <c r="I19321" s="237"/>
    </row>
    <row r="19322" spans="1:9" s="232" customFormat="1" ht="17" customHeight="1">
      <c r="A19322" s="234"/>
      <c r="B19322" s="233"/>
      <c r="C19322" s="238"/>
      <c r="E19322" s="545"/>
      <c r="F19322" s="546"/>
      <c r="G19322" s="234"/>
      <c r="H19322" s="238"/>
      <c r="I19322" s="237"/>
    </row>
    <row r="19323" spans="1:9" s="232" customFormat="1" ht="17" customHeight="1">
      <c r="A19323" s="234"/>
      <c r="B19323" s="233"/>
      <c r="C19323" s="238"/>
      <c r="E19323" s="545"/>
      <c r="F19323" s="546"/>
      <c r="G19323" s="234"/>
      <c r="H19323" s="238"/>
      <c r="I19323" s="237"/>
    </row>
    <row r="19324" spans="1:9" s="232" customFormat="1" ht="17" customHeight="1">
      <c r="A19324" s="234"/>
      <c r="B19324" s="233"/>
      <c r="C19324" s="238"/>
      <c r="E19324" s="545"/>
      <c r="F19324" s="546"/>
      <c r="G19324" s="234"/>
      <c r="H19324" s="238"/>
      <c r="I19324" s="237"/>
    </row>
    <row r="19325" spans="1:9" s="232" customFormat="1" ht="17" customHeight="1">
      <c r="A19325" s="234"/>
      <c r="B19325" s="233"/>
      <c r="C19325" s="238"/>
      <c r="E19325" s="545"/>
      <c r="F19325" s="546"/>
      <c r="G19325" s="234"/>
      <c r="H19325" s="238"/>
      <c r="I19325" s="237"/>
    </row>
    <row r="19326" spans="1:9" s="232" customFormat="1" ht="17" customHeight="1">
      <c r="A19326" s="234"/>
      <c r="B19326" s="233"/>
      <c r="C19326" s="238"/>
      <c r="E19326" s="545"/>
      <c r="F19326" s="546"/>
      <c r="G19326" s="234"/>
      <c r="H19326" s="238"/>
      <c r="I19326" s="237"/>
    </row>
    <row r="19327" spans="1:9" s="232" customFormat="1" ht="17" customHeight="1">
      <c r="A19327" s="234"/>
      <c r="B19327" s="233"/>
      <c r="C19327" s="238"/>
      <c r="E19327" s="545"/>
      <c r="F19327" s="546"/>
      <c r="G19327" s="234"/>
      <c r="H19327" s="238"/>
      <c r="I19327" s="237"/>
    </row>
    <row r="19328" spans="1:9" s="232" customFormat="1" ht="17" customHeight="1">
      <c r="A19328" s="234"/>
      <c r="B19328" s="233"/>
      <c r="C19328" s="238"/>
      <c r="E19328" s="545"/>
      <c r="F19328" s="546"/>
      <c r="G19328" s="234"/>
      <c r="H19328" s="238"/>
      <c r="I19328" s="237"/>
    </row>
    <row r="19329" spans="1:9" s="232" customFormat="1" ht="17" customHeight="1">
      <c r="A19329" s="234"/>
      <c r="B19329" s="233"/>
      <c r="C19329" s="238"/>
      <c r="E19329" s="545"/>
      <c r="F19329" s="546"/>
      <c r="G19329" s="234"/>
      <c r="H19329" s="238"/>
      <c r="I19329" s="237"/>
    </row>
    <row r="19330" spans="1:9" s="232" customFormat="1" ht="17" customHeight="1">
      <c r="A19330" s="234"/>
      <c r="B19330" s="233"/>
      <c r="C19330" s="238"/>
      <c r="E19330" s="545"/>
      <c r="F19330" s="546"/>
      <c r="G19330" s="234"/>
      <c r="H19330" s="238"/>
      <c r="I19330" s="237"/>
    </row>
    <row r="19331" spans="1:9" s="232" customFormat="1" ht="17" customHeight="1">
      <c r="A19331" s="234"/>
      <c r="B19331" s="233"/>
      <c r="C19331" s="238"/>
      <c r="E19331" s="545"/>
      <c r="F19331" s="546"/>
      <c r="G19331" s="234"/>
      <c r="H19331" s="238"/>
      <c r="I19331" s="237"/>
    </row>
    <row r="19332" spans="1:9" s="232" customFormat="1" ht="17" customHeight="1">
      <c r="A19332" s="234"/>
      <c r="B19332" s="233"/>
      <c r="C19332" s="238"/>
      <c r="E19332" s="545"/>
      <c r="F19332" s="546"/>
      <c r="G19332" s="234"/>
      <c r="H19332" s="238"/>
      <c r="I19332" s="237"/>
    </row>
    <row r="19333" spans="1:9" s="232" customFormat="1" ht="17" customHeight="1">
      <c r="A19333" s="234"/>
      <c r="B19333" s="233"/>
      <c r="C19333" s="238"/>
      <c r="E19333" s="545"/>
      <c r="F19333" s="546"/>
      <c r="G19333" s="234"/>
      <c r="H19333" s="238"/>
      <c r="I19333" s="237"/>
    </row>
    <row r="19334" spans="1:9" s="232" customFormat="1" ht="17" customHeight="1">
      <c r="A19334" s="234"/>
      <c r="B19334" s="233"/>
      <c r="C19334" s="238"/>
      <c r="E19334" s="545"/>
      <c r="F19334" s="546"/>
      <c r="G19334" s="234"/>
      <c r="H19334" s="238"/>
      <c r="I19334" s="237"/>
    </row>
    <row r="19335" spans="1:9" s="232" customFormat="1" ht="17" customHeight="1">
      <c r="A19335" s="234"/>
      <c r="B19335" s="233"/>
      <c r="C19335" s="238"/>
      <c r="E19335" s="545"/>
      <c r="F19335" s="546"/>
      <c r="G19335" s="234"/>
      <c r="H19335" s="238"/>
      <c r="I19335" s="237"/>
    </row>
    <row r="19336" spans="1:9" s="232" customFormat="1" ht="17" customHeight="1">
      <c r="A19336" s="234"/>
      <c r="B19336" s="233"/>
      <c r="C19336" s="238"/>
      <c r="E19336" s="545"/>
      <c r="F19336" s="546"/>
      <c r="G19336" s="234"/>
      <c r="H19336" s="238"/>
      <c r="I19336" s="237"/>
    </row>
    <row r="19337" spans="1:9" s="232" customFormat="1" ht="17" customHeight="1">
      <c r="A19337" s="234"/>
      <c r="B19337" s="233"/>
      <c r="C19337" s="238"/>
      <c r="E19337" s="545"/>
      <c r="F19337" s="546"/>
      <c r="G19337" s="234"/>
      <c r="H19337" s="238"/>
      <c r="I19337" s="237"/>
    </row>
    <row r="19338" spans="1:9" s="232" customFormat="1" ht="17" customHeight="1">
      <c r="A19338" s="234"/>
      <c r="B19338" s="233"/>
      <c r="C19338" s="238"/>
      <c r="E19338" s="545"/>
      <c r="F19338" s="546"/>
      <c r="G19338" s="234"/>
      <c r="H19338" s="238"/>
      <c r="I19338" s="237"/>
    </row>
    <row r="19339" spans="1:9" s="232" customFormat="1" ht="17" customHeight="1">
      <c r="A19339" s="234"/>
      <c r="B19339" s="233"/>
      <c r="C19339" s="238"/>
      <c r="E19339" s="545"/>
      <c r="F19339" s="546"/>
      <c r="G19339" s="234"/>
      <c r="H19339" s="238"/>
      <c r="I19339" s="237"/>
    </row>
    <row r="19340" spans="1:9" s="232" customFormat="1" ht="17" customHeight="1">
      <c r="A19340" s="234"/>
      <c r="B19340" s="233"/>
      <c r="C19340" s="238"/>
      <c r="E19340" s="545"/>
      <c r="F19340" s="546"/>
      <c r="G19340" s="234"/>
      <c r="H19340" s="238"/>
      <c r="I19340" s="237"/>
    </row>
    <row r="19341" spans="1:9" s="232" customFormat="1" ht="17" customHeight="1">
      <c r="A19341" s="234"/>
      <c r="B19341" s="233"/>
      <c r="C19341" s="238"/>
      <c r="E19341" s="545"/>
      <c r="F19341" s="546"/>
      <c r="G19341" s="234"/>
      <c r="H19341" s="238"/>
      <c r="I19341" s="237"/>
    </row>
    <row r="19342" spans="1:9" s="232" customFormat="1" ht="17" customHeight="1">
      <c r="A19342" s="234"/>
      <c r="B19342" s="233"/>
      <c r="C19342" s="238"/>
      <c r="E19342" s="545"/>
      <c r="F19342" s="546"/>
      <c r="G19342" s="234"/>
      <c r="H19342" s="238"/>
      <c r="I19342" s="237"/>
    </row>
    <row r="19343" spans="1:9" s="232" customFormat="1" ht="17" customHeight="1">
      <c r="A19343" s="234"/>
      <c r="B19343" s="233"/>
      <c r="C19343" s="238"/>
      <c r="E19343" s="545"/>
      <c r="F19343" s="546"/>
      <c r="G19343" s="234"/>
      <c r="H19343" s="238"/>
      <c r="I19343" s="237"/>
    </row>
    <row r="19344" spans="1:9" s="232" customFormat="1" ht="17" customHeight="1">
      <c r="A19344" s="234"/>
      <c r="B19344" s="233"/>
      <c r="C19344" s="238"/>
      <c r="E19344" s="545"/>
      <c r="F19344" s="546"/>
      <c r="G19344" s="234"/>
      <c r="H19344" s="238"/>
      <c r="I19344" s="237"/>
    </row>
    <row r="19345" spans="1:9" s="232" customFormat="1" ht="17" customHeight="1">
      <c r="A19345" s="234"/>
      <c r="B19345" s="233"/>
      <c r="C19345" s="238"/>
      <c r="E19345" s="545"/>
      <c r="F19345" s="546"/>
      <c r="G19345" s="234"/>
      <c r="H19345" s="238"/>
      <c r="I19345" s="237"/>
    </row>
    <row r="19346" spans="1:9" s="232" customFormat="1" ht="17" customHeight="1">
      <c r="A19346" s="234"/>
      <c r="B19346" s="233"/>
      <c r="C19346" s="238"/>
      <c r="E19346" s="545"/>
      <c r="F19346" s="546"/>
      <c r="G19346" s="234"/>
      <c r="H19346" s="238"/>
      <c r="I19346" s="237"/>
    </row>
    <row r="19347" spans="1:9" s="232" customFormat="1" ht="17" customHeight="1">
      <c r="A19347" s="234"/>
      <c r="B19347" s="233"/>
      <c r="C19347" s="238"/>
      <c r="E19347" s="545"/>
      <c r="F19347" s="546"/>
      <c r="G19347" s="234"/>
      <c r="H19347" s="238"/>
      <c r="I19347" s="237"/>
    </row>
    <row r="19348" spans="1:9" s="232" customFormat="1" ht="17" customHeight="1">
      <c r="A19348" s="234"/>
      <c r="B19348" s="233"/>
      <c r="C19348" s="238"/>
      <c r="E19348" s="545"/>
      <c r="F19348" s="546"/>
      <c r="G19348" s="234"/>
      <c r="H19348" s="238"/>
      <c r="I19348" s="237"/>
    </row>
    <row r="19349" spans="1:9" s="232" customFormat="1" ht="17" customHeight="1">
      <c r="A19349" s="234"/>
      <c r="B19349" s="233"/>
      <c r="C19349" s="238"/>
      <c r="E19349" s="545"/>
      <c r="F19349" s="546"/>
      <c r="G19349" s="234"/>
      <c r="H19349" s="238"/>
      <c r="I19349" s="237"/>
    </row>
    <row r="19350" spans="1:9" s="232" customFormat="1" ht="17" customHeight="1">
      <c r="A19350" s="234"/>
      <c r="B19350" s="233"/>
      <c r="C19350" s="238"/>
      <c r="E19350" s="545"/>
      <c r="F19350" s="546"/>
      <c r="G19350" s="234"/>
      <c r="H19350" s="238"/>
      <c r="I19350" s="237"/>
    </row>
    <row r="19351" spans="1:9" s="232" customFormat="1" ht="17" customHeight="1">
      <c r="A19351" s="234"/>
      <c r="B19351" s="233"/>
      <c r="C19351" s="238"/>
      <c r="E19351" s="545"/>
      <c r="F19351" s="546"/>
      <c r="G19351" s="234"/>
      <c r="H19351" s="238"/>
      <c r="I19351" s="237"/>
    </row>
    <row r="19352" spans="1:9" s="232" customFormat="1" ht="17" customHeight="1">
      <c r="A19352" s="234"/>
      <c r="B19352" s="233"/>
      <c r="C19352" s="238"/>
      <c r="E19352" s="545"/>
      <c r="F19352" s="546"/>
      <c r="G19352" s="234"/>
      <c r="H19352" s="238"/>
      <c r="I19352" s="237"/>
    </row>
    <row r="19353" spans="1:9" s="232" customFormat="1" ht="17" customHeight="1">
      <c r="A19353" s="234"/>
      <c r="B19353" s="233"/>
      <c r="C19353" s="238"/>
      <c r="E19353" s="545"/>
      <c r="F19353" s="546"/>
      <c r="G19353" s="234"/>
      <c r="H19353" s="238"/>
      <c r="I19353" s="237"/>
    </row>
    <row r="19354" spans="1:9" s="232" customFormat="1" ht="17" customHeight="1">
      <c r="A19354" s="234"/>
      <c r="B19354" s="233"/>
      <c r="C19354" s="238"/>
      <c r="E19354" s="545"/>
      <c r="F19354" s="546"/>
      <c r="G19354" s="234"/>
      <c r="H19354" s="238"/>
      <c r="I19354" s="237"/>
    </row>
    <row r="19355" spans="1:9" s="232" customFormat="1" ht="17" customHeight="1">
      <c r="A19355" s="234"/>
      <c r="B19355" s="233"/>
      <c r="C19355" s="238"/>
      <c r="E19355" s="545"/>
      <c r="F19355" s="546"/>
      <c r="G19355" s="234"/>
      <c r="H19355" s="238"/>
      <c r="I19355" s="237"/>
    </row>
    <row r="19356" spans="1:9" s="232" customFormat="1" ht="17" customHeight="1">
      <c r="A19356" s="234"/>
      <c r="B19356" s="233"/>
      <c r="C19356" s="238"/>
      <c r="E19356" s="545"/>
      <c r="F19356" s="546"/>
      <c r="G19356" s="234"/>
      <c r="H19356" s="238"/>
      <c r="I19356" s="237"/>
    </row>
    <row r="19357" spans="1:9" s="232" customFormat="1" ht="17" customHeight="1">
      <c r="A19357" s="234"/>
      <c r="B19357" s="233"/>
      <c r="C19357" s="238"/>
      <c r="E19357" s="545"/>
      <c r="F19357" s="546"/>
      <c r="G19357" s="234"/>
      <c r="H19357" s="238"/>
      <c r="I19357" s="237"/>
    </row>
    <row r="19358" spans="1:9" s="232" customFormat="1" ht="17" customHeight="1">
      <c r="A19358" s="234"/>
      <c r="B19358" s="233"/>
      <c r="C19358" s="238"/>
      <c r="E19358" s="545"/>
      <c r="F19358" s="546"/>
      <c r="G19358" s="234"/>
      <c r="H19358" s="238"/>
      <c r="I19358" s="237"/>
    </row>
    <row r="19359" spans="1:9" s="232" customFormat="1" ht="17" customHeight="1">
      <c r="A19359" s="234"/>
      <c r="B19359" s="233"/>
      <c r="C19359" s="238"/>
      <c r="E19359" s="545"/>
      <c r="F19359" s="546"/>
      <c r="G19359" s="234"/>
      <c r="H19359" s="238"/>
      <c r="I19359" s="237"/>
    </row>
    <row r="19360" spans="1:9" s="232" customFormat="1" ht="17" customHeight="1">
      <c r="A19360" s="234"/>
      <c r="B19360" s="233"/>
      <c r="C19360" s="238"/>
      <c r="E19360" s="545"/>
      <c r="F19360" s="546"/>
      <c r="G19360" s="234"/>
      <c r="H19360" s="238"/>
      <c r="I19360" s="237"/>
    </row>
    <row r="19361" spans="1:9" s="232" customFormat="1" ht="17" customHeight="1">
      <c r="A19361" s="234"/>
      <c r="B19361" s="233"/>
      <c r="C19361" s="238"/>
      <c r="E19361" s="545"/>
      <c r="F19361" s="546"/>
      <c r="G19361" s="234"/>
      <c r="H19361" s="238"/>
      <c r="I19361" s="237"/>
    </row>
    <row r="19362" spans="1:9" s="232" customFormat="1" ht="17" customHeight="1">
      <c r="A19362" s="234"/>
      <c r="B19362" s="233"/>
      <c r="C19362" s="238"/>
      <c r="E19362" s="545"/>
      <c r="F19362" s="546"/>
      <c r="G19362" s="234"/>
      <c r="H19362" s="238"/>
      <c r="I19362" s="237"/>
    </row>
    <row r="19363" spans="1:9" s="232" customFormat="1" ht="17" customHeight="1">
      <c r="A19363" s="234"/>
      <c r="B19363" s="233"/>
      <c r="C19363" s="238"/>
      <c r="E19363" s="545"/>
      <c r="F19363" s="546"/>
      <c r="G19363" s="234"/>
      <c r="H19363" s="238"/>
      <c r="I19363" s="237"/>
    </row>
    <row r="19364" spans="1:9" s="232" customFormat="1" ht="17" customHeight="1">
      <c r="A19364" s="234"/>
      <c r="B19364" s="233"/>
      <c r="C19364" s="238"/>
      <c r="E19364" s="545"/>
      <c r="F19364" s="546"/>
      <c r="G19364" s="234"/>
      <c r="H19364" s="238"/>
      <c r="I19364" s="237"/>
    </row>
    <row r="19365" spans="1:9" s="232" customFormat="1" ht="17" customHeight="1">
      <c r="A19365" s="234"/>
      <c r="B19365" s="233"/>
      <c r="C19365" s="238"/>
      <c r="E19365" s="545"/>
      <c r="F19365" s="546"/>
      <c r="G19365" s="234"/>
      <c r="H19365" s="238"/>
      <c r="I19365" s="237"/>
    </row>
    <row r="19366" spans="1:9" s="232" customFormat="1" ht="17" customHeight="1">
      <c r="A19366" s="234"/>
      <c r="B19366" s="233"/>
      <c r="C19366" s="238"/>
      <c r="E19366" s="545"/>
      <c r="F19366" s="546"/>
      <c r="G19366" s="234"/>
      <c r="H19366" s="238"/>
      <c r="I19366" s="237"/>
    </row>
    <row r="19367" spans="1:9" s="232" customFormat="1" ht="17" customHeight="1">
      <c r="A19367" s="234"/>
      <c r="B19367" s="233"/>
      <c r="C19367" s="238"/>
      <c r="E19367" s="545"/>
      <c r="F19367" s="546"/>
      <c r="G19367" s="234"/>
      <c r="H19367" s="238"/>
      <c r="I19367" s="237"/>
    </row>
    <row r="19368" spans="1:9" s="232" customFormat="1" ht="17" customHeight="1">
      <c r="A19368" s="234"/>
      <c r="B19368" s="233"/>
      <c r="C19368" s="238"/>
      <c r="E19368" s="545"/>
      <c r="F19368" s="546"/>
      <c r="G19368" s="234"/>
      <c r="H19368" s="238"/>
      <c r="I19368" s="237"/>
    </row>
    <row r="19369" spans="1:9" s="232" customFormat="1" ht="17" customHeight="1">
      <c r="A19369" s="234"/>
      <c r="B19369" s="233"/>
      <c r="C19369" s="238"/>
      <c r="E19369" s="545"/>
      <c r="F19369" s="546"/>
      <c r="G19369" s="234"/>
      <c r="H19369" s="238"/>
      <c r="I19369" s="237"/>
    </row>
    <row r="19370" spans="1:9" s="232" customFormat="1" ht="17" customHeight="1">
      <c r="A19370" s="234"/>
      <c r="B19370" s="233"/>
      <c r="C19370" s="238"/>
      <c r="E19370" s="545"/>
      <c r="F19370" s="546"/>
      <c r="G19370" s="234"/>
      <c r="H19370" s="238"/>
      <c r="I19370" s="237"/>
    </row>
    <row r="19371" spans="1:9" s="232" customFormat="1" ht="17" customHeight="1">
      <c r="A19371" s="234"/>
      <c r="B19371" s="233"/>
      <c r="C19371" s="238"/>
      <c r="E19371" s="545"/>
      <c r="F19371" s="546"/>
      <c r="G19371" s="234"/>
      <c r="H19371" s="238"/>
      <c r="I19371" s="237"/>
    </row>
    <row r="19372" spans="1:9" s="232" customFormat="1" ht="17" customHeight="1">
      <c r="A19372" s="234"/>
      <c r="B19372" s="233"/>
      <c r="C19372" s="238"/>
      <c r="E19372" s="545"/>
      <c r="F19372" s="546"/>
      <c r="G19372" s="234"/>
      <c r="H19372" s="238"/>
      <c r="I19372" s="237"/>
    </row>
    <row r="19373" spans="1:9" s="232" customFormat="1" ht="17" customHeight="1">
      <c r="A19373" s="234"/>
      <c r="B19373" s="233"/>
      <c r="C19373" s="238"/>
      <c r="E19373" s="545"/>
      <c r="F19373" s="546"/>
      <c r="G19373" s="234"/>
      <c r="H19373" s="238"/>
      <c r="I19373" s="237"/>
    </row>
    <row r="19374" spans="1:9" s="232" customFormat="1" ht="17" customHeight="1">
      <c r="A19374" s="234"/>
      <c r="B19374" s="233"/>
      <c r="C19374" s="238"/>
      <c r="E19374" s="545"/>
      <c r="F19374" s="546"/>
      <c r="G19374" s="234"/>
      <c r="H19374" s="238"/>
      <c r="I19374" s="237"/>
    </row>
    <row r="19375" spans="1:9" s="232" customFormat="1" ht="17" customHeight="1">
      <c r="A19375" s="234"/>
      <c r="B19375" s="233"/>
      <c r="C19375" s="238"/>
      <c r="E19375" s="545"/>
      <c r="F19375" s="546"/>
      <c r="G19375" s="234"/>
      <c r="H19375" s="238"/>
      <c r="I19375" s="237"/>
    </row>
    <row r="19376" spans="1:9" s="232" customFormat="1" ht="17" customHeight="1">
      <c r="A19376" s="234"/>
      <c r="B19376" s="233"/>
      <c r="C19376" s="238"/>
      <c r="E19376" s="545"/>
      <c r="F19376" s="546"/>
      <c r="G19376" s="234"/>
      <c r="H19376" s="238"/>
      <c r="I19376" s="237"/>
    </row>
    <row r="19377" spans="1:9" s="232" customFormat="1" ht="17" customHeight="1">
      <c r="A19377" s="234"/>
      <c r="B19377" s="233"/>
      <c r="C19377" s="238"/>
      <c r="E19377" s="545"/>
      <c r="F19377" s="546"/>
      <c r="G19377" s="234"/>
      <c r="H19377" s="238"/>
      <c r="I19377" s="237"/>
    </row>
    <row r="19378" spans="1:9" s="232" customFormat="1" ht="17" customHeight="1">
      <c r="A19378" s="234"/>
      <c r="B19378" s="233"/>
      <c r="C19378" s="238"/>
      <c r="E19378" s="545"/>
      <c r="F19378" s="546"/>
      <c r="G19378" s="234"/>
      <c r="H19378" s="238"/>
      <c r="I19378" s="237"/>
    </row>
    <row r="19379" spans="1:9" s="232" customFormat="1" ht="17" customHeight="1">
      <c r="A19379" s="234"/>
      <c r="B19379" s="233"/>
      <c r="C19379" s="238"/>
      <c r="E19379" s="545"/>
      <c r="F19379" s="546"/>
      <c r="G19379" s="234"/>
      <c r="H19379" s="238"/>
      <c r="I19379" s="237"/>
    </row>
    <row r="19380" spans="1:9" s="232" customFormat="1" ht="17" customHeight="1">
      <c r="A19380" s="234"/>
      <c r="B19380" s="233"/>
      <c r="C19380" s="238"/>
      <c r="E19380" s="545"/>
      <c r="F19380" s="546"/>
      <c r="G19380" s="234"/>
      <c r="H19380" s="238"/>
      <c r="I19380" s="237"/>
    </row>
    <row r="19381" spans="1:9" s="232" customFormat="1" ht="17" customHeight="1">
      <c r="A19381" s="234"/>
      <c r="B19381" s="233"/>
      <c r="C19381" s="238"/>
      <c r="E19381" s="545"/>
      <c r="F19381" s="546"/>
      <c r="G19381" s="234"/>
      <c r="H19381" s="238"/>
      <c r="I19381" s="237"/>
    </row>
    <row r="19382" spans="1:9" s="232" customFormat="1" ht="17" customHeight="1">
      <c r="A19382" s="234"/>
      <c r="B19382" s="233"/>
      <c r="C19382" s="238"/>
      <c r="E19382" s="545"/>
      <c r="F19382" s="546"/>
      <c r="G19382" s="234"/>
      <c r="H19382" s="238"/>
      <c r="I19382" s="237"/>
    </row>
    <row r="19383" spans="1:9" s="232" customFormat="1" ht="17" customHeight="1">
      <c r="A19383" s="234"/>
      <c r="B19383" s="233"/>
      <c r="C19383" s="238"/>
      <c r="E19383" s="545"/>
      <c r="F19383" s="546"/>
      <c r="G19383" s="234"/>
      <c r="H19383" s="238"/>
      <c r="I19383" s="237"/>
    </row>
    <row r="19384" spans="1:9" s="232" customFormat="1" ht="17" customHeight="1">
      <c r="A19384" s="234"/>
      <c r="B19384" s="233"/>
      <c r="C19384" s="238"/>
      <c r="E19384" s="545"/>
      <c r="F19384" s="546"/>
      <c r="G19384" s="234"/>
      <c r="H19384" s="238"/>
      <c r="I19384" s="237"/>
    </row>
    <row r="19385" spans="1:9" s="232" customFormat="1" ht="17" customHeight="1">
      <c r="A19385" s="234"/>
      <c r="B19385" s="233"/>
      <c r="C19385" s="238"/>
      <c r="E19385" s="545"/>
      <c r="F19385" s="546"/>
      <c r="G19385" s="234"/>
      <c r="H19385" s="238"/>
      <c r="I19385" s="237"/>
    </row>
    <row r="19386" spans="1:9" s="232" customFormat="1" ht="17" customHeight="1">
      <c r="A19386" s="234"/>
      <c r="B19386" s="233"/>
      <c r="C19386" s="238"/>
      <c r="E19386" s="545"/>
      <c r="F19386" s="546"/>
      <c r="G19386" s="234"/>
      <c r="H19386" s="238"/>
      <c r="I19386" s="237"/>
    </row>
    <row r="19387" spans="1:9" s="232" customFormat="1" ht="17" customHeight="1">
      <c r="A19387" s="234"/>
      <c r="B19387" s="233"/>
      <c r="C19387" s="238"/>
      <c r="E19387" s="545"/>
      <c r="F19387" s="546"/>
      <c r="G19387" s="234"/>
      <c r="H19387" s="238"/>
      <c r="I19387" s="237"/>
    </row>
    <row r="19388" spans="1:9" s="232" customFormat="1" ht="17" customHeight="1">
      <c r="A19388" s="234"/>
      <c r="B19388" s="233"/>
      <c r="C19388" s="238"/>
      <c r="E19388" s="545"/>
      <c r="F19388" s="546"/>
      <c r="G19388" s="234"/>
      <c r="H19388" s="238"/>
      <c r="I19388" s="237"/>
    </row>
    <row r="19389" spans="1:9" s="232" customFormat="1" ht="17" customHeight="1">
      <c r="A19389" s="234"/>
      <c r="B19389" s="233"/>
      <c r="C19389" s="238"/>
      <c r="E19389" s="545"/>
      <c r="F19389" s="546"/>
      <c r="G19389" s="234"/>
      <c r="H19389" s="238"/>
      <c r="I19389" s="237"/>
    </row>
    <row r="19390" spans="1:9" s="232" customFormat="1" ht="17" customHeight="1">
      <c r="A19390" s="234"/>
      <c r="B19390" s="233"/>
      <c r="C19390" s="238"/>
      <c r="E19390" s="545"/>
      <c r="F19390" s="546"/>
      <c r="G19390" s="234"/>
      <c r="H19390" s="238"/>
      <c r="I19390" s="237"/>
    </row>
    <row r="19391" spans="1:9" s="232" customFormat="1" ht="17" customHeight="1">
      <c r="A19391" s="234"/>
      <c r="B19391" s="233"/>
      <c r="C19391" s="238"/>
      <c r="E19391" s="545"/>
      <c r="F19391" s="546"/>
      <c r="G19391" s="234"/>
      <c r="H19391" s="238"/>
      <c r="I19391" s="237"/>
    </row>
    <row r="19392" spans="1:9" s="232" customFormat="1" ht="17" customHeight="1">
      <c r="A19392" s="234"/>
      <c r="B19392" s="233"/>
      <c r="C19392" s="238"/>
      <c r="E19392" s="545"/>
      <c r="F19392" s="546"/>
      <c r="G19392" s="234"/>
      <c r="H19392" s="238"/>
      <c r="I19392" s="237"/>
    </row>
    <row r="19393" spans="1:9" s="232" customFormat="1" ht="17" customHeight="1">
      <c r="A19393" s="234"/>
      <c r="B19393" s="233"/>
      <c r="C19393" s="238"/>
      <c r="E19393" s="545"/>
      <c r="F19393" s="546"/>
      <c r="G19393" s="234"/>
      <c r="H19393" s="238"/>
      <c r="I19393" s="237"/>
    </row>
    <row r="19394" spans="1:9" s="232" customFormat="1" ht="17" customHeight="1">
      <c r="A19394" s="234"/>
      <c r="B19394" s="233"/>
      <c r="C19394" s="238"/>
      <c r="E19394" s="545"/>
      <c r="F19394" s="546"/>
      <c r="G19394" s="234"/>
      <c r="H19394" s="238"/>
      <c r="I19394" s="237"/>
    </row>
    <row r="19395" spans="1:9" s="232" customFormat="1" ht="17" customHeight="1">
      <c r="A19395" s="234"/>
      <c r="B19395" s="233"/>
      <c r="C19395" s="238"/>
      <c r="E19395" s="545"/>
      <c r="F19395" s="546"/>
      <c r="G19395" s="234"/>
      <c r="H19395" s="238"/>
      <c r="I19395" s="237"/>
    </row>
    <row r="19396" spans="1:9" s="232" customFormat="1" ht="17" customHeight="1">
      <c r="A19396" s="234"/>
      <c r="B19396" s="233"/>
      <c r="C19396" s="238"/>
      <c r="E19396" s="545"/>
      <c r="F19396" s="546"/>
      <c r="G19396" s="234"/>
      <c r="H19396" s="238"/>
      <c r="I19396" s="237"/>
    </row>
    <row r="19397" spans="1:9" s="232" customFormat="1" ht="17" customHeight="1">
      <c r="A19397" s="234"/>
      <c r="B19397" s="233"/>
      <c r="C19397" s="238"/>
      <c r="E19397" s="545"/>
      <c r="F19397" s="546"/>
      <c r="G19397" s="234"/>
      <c r="H19397" s="238"/>
      <c r="I19397" s="237"/>
    </row>
    <row r="19398" spans="1:9" s="232" customFormat="1" ht="17" customHeight="1">
      <c r="A19398" s="234"/>
      <c r="B19398" s="233"/>
      <c r="C19398" s="238"/>
      <c r="E19398" s="545"/>
      <c r="F19398" s="546"/>
      <c r="G19398" s="234"/>
      <c r="H19398" s="238"/>
      <c r="I19398" s="237"/>
    </row>
    <row r="19399" spans="1:9" s="232" customFormat="1" ht="17" customHeight="1">
      <c r="A19399" s="234"/>
      <c r="B19399" s="233"/>
      <c r="C19399" s="238"/>
      <c r="E19399" s="545"/>
      <c r="F19399" s="546"/>
      <c r="G19399" s="234"/>
      <c r="H19399" s="238"/>
      <c r="I19399" s="237"/>
    </row>
    <row r="19400" spans="1:9" s="232" customFormat="1" ht="17" customHeight="1">
      <c r="A19400" s="234"/>
      <c r="B19400" s="233"/>
      <c r="C19400" s="238"/>
      <c r="E19400" s="545"/>
      <c r="F19400" s="546"/>
      <c r="G19400" s="234"/>
      <c r="H19400" s="238"/>
      <c r="I19400" s="237"/>
    </row>
    <row r="19401" spans="1:9" s="232" customFormat="1" ht="17" customHeight="1">
      <c r="A19401" s="234"/>
      <c r="B19401" s="233"/>
      <c r="C19401" s="238"/>
      <c r="E19401" s="545"/>
      <c r="F19401" s="546"/>
      <c r="G19401" s="234"/>
      <c r="H19401" s="238"/>
      <c r="I19401" s="237"/>
    </row>
    <row r="19402" spans="1:9" s="232" customFormat="1" ht="17" customHeight="1">
      <c r="A19402" s="234"/>
      <c r="B19402" s="233"/>
      <c r="C19402" s="238"/>
      <c r="E19402" s="545"/>
      <c r="F19402" s="546"/>
      <c r="G19402" s="234"/>
      <c r="H19402" s="238"/>
      <c r="I19402" s="237"/>
    </row>
    <row r="19403" spans="1:9" s="232" customFormat="1" ht="17" customHeight="1">
      <c r="A19403" s="234"/>
      <c r="B19403" s="233"/>
      <c r="C19403" s="238"/>
      <c r="E19403" s="545"/>
      <c r="F19403" s="546"/>
      <c r="G19403" s="234"/>
      <c r="H19403" s="238"/>
      <c r="I19403" s="237"/>
    </row>
    <row r="19404" spans="1:9" s="232" customFormat="1" ht="17" customHeight="1">
      <c r="A19404" s="234"/>
      <c r="B19404" s="233"/>
      <c r="C19404" s="238"/>
      <c r="E19404" s="545"/>
      <c r="F19404" s="546"/>
      <c r="G19404" s="234"/>
      <c r="H19404" s="238"/>
      <c r="I19404" s="237"/>
    </row>
    <row r="19405" spans="1:9" s="232" customFormat="1" ht="17" customHeight="1">
      <c r="A19405" s="234"/>
      <c r="B19405" s="233"/>
      <c r="C19405" s="238"/>
      <c r="E19405" s="545"/>
      <c r="F19405" s="546"/>
      <c r="G19405" s="234"/>
      <c r="H19405" s="238"/>
      <c r="I19405" s="237"/>
    </row>
    <row r="19406" spans="1:9" s="232" customFormat="1" ht="17" customHeight="1">
      <c r="A19406" s="234"/>
      <c r="B19406" s="233"/>
      <c r="C19406" s="238"/>
      <c r="E19406" s="545"/>
      <c r="F19406" s="546"/>
      <c r="G19406" s="234"/>
      <c r="H19406" s="238"/>
      <c r="I19406" s="237"/>
    </row>
    <row r="19407" spans="1:9" s="232" customFormat="1" ht="17" customHeight="1">
      <c r="A19407" s="234"/>
      <c r="B19407" s="233"/>
      <c r="C19407" s="238"/>
      <c r="E19407" s="545"/>
      <c r="F19407" s="546"/>
      <c r="G19407" s="234"/>
      <c r="H19407" s="238"/>
      <c r="I19407" s="237"/>
    </row>
    <row r="19408" spans="1:9" s="232" customFormat="1" ht="17" customHeight="1">
      <c r="A19408" s="234"/>
      <c r="B19408" s="233"/>
      <c r="C19408" s="238"/>
      <c r="E19408" s="545"/>
      <c r="F19408" s="546"/>
      <c r="G19408" s="234"/>
      <c r="H19408" s="238"/>
      <c r="I19408" s="237"/>
    </row>
    <row r="19409" spans="1:9" s="232" customFormat="1" ht="17" customHeight="1">
      <c r="A19409" s="234"/>
      <c r="B19409" s="233"/>
      <c r="C19409" s="238"/>
      <c r="E19409" s="545"/>
      <c r="F19409" s="546"/>
      <c r="G19409" s="234"/>
      <c r="H19409" s="238"/>
      <c r="I19409" s="237"/>
    </row>
    <row r="19410" spans="1:9" s="232" customFormat="1" ht="17" customHeight="1">
      <c r="A19410" s="234"/>
      <c r="B19410" s="233"/>
      <c r="C19410" s="238"/>
      <c r="E19410" s="545"/>
      <c r="F19410" s="546"/>
      <c r="G19410" s="234"/>
      <c r="H19410" s="238"/>
      <c r="I19410" s="237"/>
    </row>
    <row r="19411" spans="1:9" s="232" customFormat="1" ht="17" customHeight="1">
      <c r="A19411" s="234"/>
      <c r="B19411" s="233"/>
      <c r="C19411" s="238"/>
      <c r="E19411" s="545"/>
      <c r="F19411" s="546"/>
      <c r="G19411" s="234"/>
      <c r="H19411" s="238"/>
      <c r="I19411" s="237"/>
    </row>
    <row r="19412" spans="1:9" s="232" customFormat="1" ht="17" customHeight="1">
      <c r="A19412" s="234"/>
      <c r="B19412" s="233"/>
      <c r="C19412" s="238"/>
      <c r="E19412" s="545"/>
      <c r="F19412" s="546"/>
      <c r="G19412" s="234"/>
      <c r="H19412" s="238"/>
      <c r="I19412" s="237"/>
    </row>
    <row r="19413" spans="1:9" s="232" customFormat="1" ht="17" customHeight="1">
      <c r="A19413" s="234"/>
      <c r="B19413" s="233"/>
      <c r="C19413" s="238"/>
      <c r="E19413" s="545"/>
      <c r="F19413" s="546"/>
      <c r="G19413" s="234"/>
      <c r="H19413" s="238"/>
      <c r="I19413" s="237"/>
    </row>
    <row r="19414" spans="1:9" s="232" customFormat="1" ht="17" customHeight="1">
      <c r="A19414" s="234"/>
      <c r="B19414" s="233"/>
      <c r="C19414" s="238"/>
      <c r="E19414" s="545"/>
      <c r="F19414" s="546"/>
      <c r="G19414" s="234"/>
      <c r="H19414" s="238"/>
      <c r="I19414" s="237"/>
    </row>
    <row r="19415" spans="1:9" s="232" customFormat="1" ht="17" customHeight="1">
      <c r="A19415" s="234"/>
      <c r="B19415" s="233"/>
      <c r="C19415" s="238"/>
      <c r="E19415" s="545"/>
      <c r="F19415" s="546"/>
      <c r="G19415" s="234"/>
      <c r="H19415" s="238"/>
      <c r="I19415" s="237"/>
    </row>
    <row r="19416" spans="1:9" s="232" customFormat="1" ht="17" customHeight="1">
      <c r="A19416" s="234"/>
      <c r="B19416" s="233"/>
      <c r="C19416" s="238"/>
      <c r="E19416" s="545"/>
      <c r="F19416" s="546"/>
      <c r="G19416" s="234"/>
      <c r="H19416" s="238"/>
      <c r="I19416" s="237"/>
    </row>
    <row r="19417" spans="1:9" s="232" customFormat="1" ht="17" customHeight="1">
      <c r="A19417" s="234"/>
      <c r="B19417" s="233"/>
      <c r="C19417" s="238"/>
      <c r="E19417" s="545"/>
      <c r="F19417" s="546"/>
      <c r="G19417" s="234"/>
      <c r="H19417" s="238"/>
      <c r="I19417" s="237"/>
    </row>
    <row r="19418" spans="1:9" s="232" customFormat="1" ht="17" customHeight="1">
      <c r="A19418" s="234"/>
      <c r="B19418" s="233"/>
      <c r="C19418" s="238"/>
      <c r="E19418" s="545"/>
      <c r="F19418" s="546"/>
      <c r="G19418" s="234"/>
      <c r="H19418" s="238"/>
      <c r="I19418" s="237"/>
    </row>
    <row r="19419" spans="1:9" s="232" customFormat="1" ht="17" customHeight="1">
      <c r="A19419" s="234"/>
      <c r="B19419" s="233"/>
      <c r="C19419" s="238"/>
      <c r="E19419" s="545"/>
      <c r="F19419" s="546"/>
      <c r="G19419" s="234"/>
      <c r="H19419" s="238"/>
      <c r="I19419" s="237"/>
    </row>
    <row r="19420" spans="1:9" s="232" customFormat="1" ht="17" customHeight="1">
      <c r="A19420" s="234"/>
      <c r="B19420" s="233"/>
      <c r="C19420" s="238"/>
      <c r="E19420" s="545"/>
      <c r="F19420" s="546"/>
      <c r="G19420" s="234"/>
      <c r="H19420" s="238"/>
      <c r="I19420" s="237"/>
    </row>
    <row r="19421" spans="1:9" s="232" customFormat="1" ht="17" customHeight="1">
      <c r="A19421" s="234"/>
      <c r="B19421" s="233"/>
      <c r="C19421" s="238"/>
      <c r="E19421" s="545"/>
      <c r="F19421" s="546"/>
      <c r="G19421" s="234"/>
      <c r="H19421" s="238"/>
      <c r="I19421" s="237"/>
    </row>
    <row r="19422" spans="1:9" s="232" customFormat="1" ht="17" customHeight="1">
      <c r="A19422" s="234"/>
      <c r="B19422" s="233"/>
      <c r="C19422" s="238"/>
      <c r="E19422" s="545"/>
      <c r="F19422" s="546"/>
      <c r="G19422" s="234"/>
      <c r="H19422" s="238"/>
      <c r="I19422" s="237"/>
    </row>
    <row r="19423" spans="1:9" s="232" customFormat="1" ht="17" customHeight="1">
      <c r="A19423" s="234"/>
      <c r="B19423" s="233"/>
      <c r="C19423" s="238"/>
      <c r="E19423" s="545"/>
      <c r="F19423" s="546"/>
      <c r="G19423" s="234"/>
      <c r="H19423" s="238"/>
      <c r="I19423" s="237"/>
    </row>
    <row r="19424" spans="1:9" s="232" customFormat="1" ht="17" customHeight="1">
      <c r="A19424" s="234"/>
      <c r="B19424" s="233"/>
      <c r="C19424" s="238"/>
      <c r="E19424" s="545"/>
      <c r="F19424" s="546"/>
      <c r="G19424" s="234"/>
      <c r="H19424" s="238"/>
      <c r="I19424" s="237"/>
    </row>
    <row r="19425" spans="1:9" s="232" customFormat="1" ht="17" customHeight="1">
      <c r="A19425" s="234"/>
      <c r="B19425" s="233"/>
      <c r="C19425" s="238"/>
      <c r="E19425" s="545"/>
      <c r="F19425" s="546"/>
      <c r="G19425" s="234"/>
      <c r="H19425" s="238"/>
      <c r="I19425" s="237"/>
    </row>
    <row r="19426" spans="1:9" s="232" customFormat="1" ht="17" customHeight="1">
      <c r="A19426" s="234"/>
      <c r="B19426" s="233"/>
      <c r="C19426" s="238"/>
      <c r="E19426" s="545"/>
      <c r="F19426" s="546"/>
      <c r="G19426" s="234"/>
      <c r="H19426" s="238"/>
      <c r="I19426" s="237"/>
    </row>
    <row r="19427" spans="1:9" s="232" customFormat="1" ht="17" customHeight="1">
      <c r="A19427" s="234"/>
      <c r="B19427" s="233"/>
      <c r="C19427" s="238"/>
      <c r="E19427" s="545"/>
      <c r="F19427" s="546"/>
      <c r="G19427" s="234"/>
      <c r="H19427" s="238"/>
      <c r="I19427" s="237"/>
    </row>
    <row r="19428" spans="1:9" s="232" customFormat="1" ht="17" customHeight="1">
      <c r="A19428" s="234"/>
      <c r="B19428" s="233"/>
      <c r="C19428" s="238"/>
      <c r="E19428" s="545"/>
      <c r="F19428" s="546"/>
      <c r="G19428" s="234"/>
      <c r="H19428" s="238"/>
      <c r="I19428" s="237"/>
    </row>
    <row r="19429" spans="1:9" s="232" customFormat="1" ht="17" customHeight="1">
      <c r="A19429" s="234"/>
      <c r="B19429" s="233"/>
      <c r="C19429" s="238"/>
      <c r="E19429" s="545"/>
      <c r="F19429" s="546"/>
      <c r="G19429" s="234"/>
      <c r="H19429" s="238"/>
      <c r="I19429" s="237"/>
    </row>
    <row r="19430" spans="1:9" s="232" customFormat="1" ht="17" customHeight="1">
      <c r="A19430" s="234"/>
      <c r="B19430" s="233"/>
      <c r="C19430" s="238"/>
      <c r="E19430" s="545"/>
      <c r="F19430" s="546"/>
      <c r="G19430" s="234"/>
      <c r="H19430" s="238"/>
      <c r="I19430" s="237"/>
    </row>
    <row r="19431" spans="1:9" s="232" customFormat="1" ht="17" customHeight="1">
      <c r="A19431" s="234"/>
      <c r="B19431" s="233"/>
      <c r="C19431" s="238"/>
      <c r="E19431" s="545"/>
      <c r="F19431" s="546"/>
      <c r="G19431" s="234"/>
      <c r="H19431" s="238"/>
      <c r="I19431" s="237"/>
    </row>
    <row r="19432" spans="1:9" s="232" customFormat="1" ht="17" customHeight="1">
      <c r="A19432" s="234"/>
      <c r="B19432" s="233"/>
      <c r="C19432" s="238"/>
      <c r="E19432" s="545"/>
      <c r="F19432" s="546"/>
      <c r="G19432" s="234"/>
      <c r="H19432" s="238"/>
      <c r="I19432" s="237"/>
    </row>
    <row r="19433" spans="1:9" s="232" customFormat="1" ht="17" customHeight="1">
      <c r="A19433" s="234"/>
      <c r="B19433" s="233"/>
      <c r="C19433" s="238"/>
      <c r="E19433" s="545"/>
      <c r="F19433" s="546"/>
      <c r="G19433" s="234"/>
      <c r="H19433" s="238"/>
      <c r="I19433" s="237"/>
    </row>
    <row r="19434" spans="1:9" s="232" customFormat="1" ht="17" customHeight="1">
      <c r="A19434" s="234"/>
      <c r="B19434" s="233"/>
      <c r="C19434" s="238"/>
      <c r="E19434" s="545"/>
      <c r="F19434" s="546"/>
      <c r="G19434" s="234"/>
      <c r="H19434" s="238"/>
      <c r="I19434" s="237"/>
    </row>
    <row r="19435" spans="1:9" s="232" customFormat="1" ht="17" customHeight="1">
      <c r="A19435" s="234"/>
      <c r="B19435" s="233"/>
      <c r="C19435" s="238"/>
      <c r="E19435" s="545"/>
      <c r="F19435" s="546"/>
      <c r="G19435" s="234"/>
      <c r="H19435" s="238"/>
      <c r="I19435" s="237"/>
    </row>
    <row r="19436" spans="1:9" s="232" customFormat="1" ht="17" customHeight="1">
      <c r="A19436" s="234"/>
      <c r="B19436" s="233"/>
      <c r="C19436" s="238"/>
      <c r="E19436" s="545"/>
      <c r="F19436" s="546"/>
      <c r="G19436" s="234"/>
      <c r="H19436" s="238"/>
      <c r="I19436" s="237"/>
    </row>
    <row r="19437" spans="1:9" s="232" customFormat="1" ht="17" customHeight="1">
      <c r="A19437" s="234"/>
      <c r="B19437" s="233"/>
      <c r="C19437" s="238"/>
      <c r="E19437" s="545"/>
      <c r="F19437" s="546"/>
      <c r="G19437" s="234"/>
      <c r="H19437" s="238"/>
      <c r="I19437" s="237"/>
    </row>
    <row r="19438" spans="1:9" s="232" customFormat="1" ht="17" customHeight="1">
      <c r="A19438" s="234"/>
      <c r="B19438" s="233"/>
      <c r="C19438" s="238"/>
      <c r="E19438" s="545"/>
      <c r="F19438" s="546"/>
      <c r="G19438" s="234"/>
      <c r="H19438" s="238"/>
      <c r="I19438" s="237"/>
    </row>
    <row r="19439" spans="1:9" s="232" customFormat="1" ht="17" customHeight="1">
      <c r="A19439" s="234"/>
      <c r="B19439" s="233"/>
      <c r="C19439" s="238"/>
      <c r="E19439" s="545"/>
      <c r="F19439" s="546"/>
      <c r="G19439" s="234"/>
      <c r="H19439" s="238"/>
      <c r="I19439" s="237"/>
    </row>
    <row r="19440" spans="1:9" s="232" customFormat="1" ht="17" customHeight="1">
      <c r="A19440" s="234"/>
      <c r="B19440" s="233"/>
      <c r="C19440" s="238"/>
      <c r="E19440" s="545"/>
      <c r="F19440" s="546"/>
      <c r="G19440" s="234"/>
      <c r="H19440" s="238"/>
      <c r="I19440" s="237"/>
    </row>
    <row r="19441" spans="1:9" s="232" customFormat="1" ht="17" customHeight="1">
      <c r="A19441" s="234"/>
      <c r="B19441" s="233"/>
      <c r="C19441" s="238"/>
      <c r="E19441" s="545"/>
      <c r="F19441" s="546"/>
      <c r="G19441" s="234"/>
      <c r="H19441" s="238"/>
      <c r="I19441" s="237"/>
    </row>
    <row r="19442" spans="1:9" s="232" customFormat="1" ht="17" customHeight="1">
      <c r="A19442" s="234"/>
      <c r="B19442" s="233"/>
      <c r="C19442" s="238"/>
      <c r="E19442" s="545"/>
      <c r="F19442" s="546"/>
      <c r="G19442" s="234"/>
      <c r="H19442" s="238"/>
      <c r="I19442" s="237"/>
    </row>
    <row r="19443" spans="1:9" s="232" customFormat="1" ht="17" customHeight="1">
      <c r="A19443" s="234"/>
      <c r="B19443" s="233"/>
      <c r="C19443" s="238"/>
      <c r="E19443" s="545"/>
      <c r="F19443" s="546"/>
      <c r="G19443" s="234"/>
      <c r="H19443" s="238"/>
      <c r="I19443" s="237"/>
    </row>
    <row r="19444" spans="1:9" s="232" customFormat="1" ht="17" customHeight="1">
      <c r="A19444" s="234"/>
      <c r="B19444" s="233"/>
      <c r="C19444" s="238"/>
      <c r="E19444" s="545"/>
      <c r="F19444" s="546"/>
      <c r="G19444" s="234"/>
      <c r="H19444" s="238"/>
      <c r="I19444" s="237"/>
    </row>
    <row r="19445" spans="1:9" s="232" customFormat="1" ht="17" customHeight="1">
      <c r="A19445" s="234"/>
      <c r="B19445" s="233"/>
      <c r="C19445" s="238"/>
      <c r="E19445" s="545"/>
      <c r="F19445" s="546"/>
      <c r="G19445" s="234"/>
      <c r="H19445" s="238"/>
      <c r="I19445" s="237"/>
    </row>
    <row r="19446" spans="1:9" s="232" customFormat="1" ht="17" customHeight="1">
      <c r="A19446" s="234"/>
      <c r="B19446" s="233"/>
      <c r="C19446" s="238"/>
      <c r="E19446" s="545"/>
      <c r="F19446" s="546"/>
      <c r="G19446" s="234"/>
      <c r="H19446" s="238"/>
      <c r="I19446" s="237"/>
    </row>
    <row r="19447" spans="1:9" s="232" customFormat="1" ht="17" customHeight="1">
      <c r="A19447" s="234"/>
      <c r="B19447" s="233"/>
      <c r="C19447" s="238"/>
      <c r="E19447" s="545"/>
      <c r="F19447" s="546"/>
      <c r="G19447" s="234"/>
      <c r="H19447" s="238"/>
      <c r="I19447" s="237"/>
    </row>
    <row r="19448" spans="1:9" s="232" customFormat="1" ht="17" customHeight="1">
      <c r="A19448" s="234"/>
      <c r="B19448" s="233"/>
      <c r="C19448" s="238"/>
      <c r="E19448" s="545"/>
      <c r="F19448" s="546"/>
      <c r="G19448" s="234"/>
      <c r="H19448" s="238"/>
      <c r="I19448" s="237"/>
    </row>
    <row r="19449" spans="1:9" s="232" customFormat="1" ht="17" customHeight="1">
      <c r="A19449" s="234"/>
      <c r="B19449" s="233"/>
      <c r="C19449" s="238"/>
      <c r="E19449" s="545"/>
      <c r="F19449" s="546"/>
      <c r="G19449" s="234"/>
      <c r="H19449" s="238"/>
      <c r="I19449" s="237"/>
    </row>
    <row r="19450" spans="1:9" s="232" customFormat="1" ht="17" customHeight="1">
      <c r="A19450" s="234"/>
      <c r="B19450" s="233"/>
      <c r="C19450" s="238"/>
      <c r="E19450" s="545"/>
      <c r="F19450" s="546"/>
      <c r="G19450" s="234"/>
      <c r="H19450" s="238"/>
      <c r="I19450" s="237"/>
    </row>
    <row r="19451" spans="1:9" s="232" customFormat="1" ht="17" customHeight="1">
      <c r="A19451" s="234"/>
      <c r="B19451" s="233"/>
      <c r="C19451" s="238"/>
      <c r="E19451" s="545"/>
      <c r="F19451" s="546"/>
      <c r="G19451" s="234"/>
      <c r="H19451" s="238"/>
      <c r="I19451" s="237"/>
    </row>
    <row r="19452" spans="1:9" s="232" customFormat="1" ht="17" customHeight="1">
      <c r="A19452" s="234"/>
      <c r="B19452" s="233"/>
      <c r="C19452" s="238"/>
      <c r="E19452" s="545"/>
      <c r="F19452" s="546"/>
      <c r="G19452" s="234"/>
      <c r="H19452" s="238"/>
      <c r="I19452" s="237"/>
    </row>
    <row r="19453" spans="1:9" s="232" customFormat="1" ht="17" customHeight="1">
      <c r="A19453" s="234"/>
      <c r="B19453" s="233"/>
      <c r="C19453" s="238"/>
      <c r="E19453" s="545"/>
      <c r="F19453" s="546"/>
      <c r="G19453" s="234"/>
      <c r="H19453" s="238"/>
      <c r="I19453" s="237"/>
    </row>
    <row r="19454" spans="1:9" s="232" customFormat="1" ht="17" customHeight="1">
      <c r="A19454" s="234"/>
      <c r="B19454" s="233"/>
      <c r="C19454" s="238"/>
      <c r="E19454" s="545"/>
      <c r="F19454" s="546"/>
      <c r="G19454" s="234"/>
      <c r="H19454" s="238"/>
      <c r="I19454" s="237"/>
    </row>
    <row r="19455" spans="1:9" s="232" customFormat="1" ht="17" customHeight="1">
      <c r="A19455" s="234"/>
      <c r="B19455" s="233"/>
      <c r="C19455" s="238"/>
      <c r="E19455" s="545"/>
      <c r="F19455" s="546"/>
      <c r="G19455" s="234"/>
      <c r="H19455" s="238"/>
      <c r="I19455" s="237"/>
    </row>
    <row r="19456" spans="1:9" s="232" customFormat="1" ht="17" customHeight="1">
      <c r="A19456" s="234"/>
      <c r="B19456" s="233"/>
      <c r="C19456" s="238"/>
      <c r="E19456" s="545"/>
      <c r="F19456" s="546"/>
      <c r="G19456" s="234"/>
      <c r="H19456" s="238"/>
      <c r="I19456" s="237"/>
    </row>
    <row r="19457" spans="1:9" s="232" customFormat="1" ht="17" customHeight="1">
      <c r="A19457" s="234"/>
      <c r="B19457" s="233"/>
      <c r="C19457" s="238"/>
      <c r="E19457" s="545"/>
      <c r="F19457" s="546"/>
      <c r="G19457" s="234"/>
      <c r="H19457" s="238"/>
      <c r="I19457" s="237"/>
    </row>
    <row r="19458" spans="1:9" s="232" customFormat="1" ht="17" customHeight="1">
      <c r="A19458" s="234"/>
      <c r="B19458" s="233"/>
      <c r="C19458" s="238"/>
      <c r="E19458" s="545"/>
      <c r="F19458" s="546"/>
      <c r="G19458" s="234"/>
      <c r="H19458" s="238"/>
      <c r="I19458" s="237"/>
    </row>
    <row r="19459" spans="1:9" s="232" customFormat="1" ht="17" customHeight="1">
      <c r="A19459" s="234"/>
      <c r="B19459" s="233"/>
      <c r="C19459" s="238"/>
      <c r="E19459" s="545"/>
      <c r="F19459" s="546"/>
      <c r="G19459" s="234"/>
      <c r="H19459" s="238"/>
      <c r="I19459" s="237"/>
    </row>
    <row r="19460" spans="1:9" s="232" customFormat="1" ht="17" customHeight="1">
      <c r="A19460" s="234"/>
      <c r="B19460" s="233"/>
      <c r="C19460" s="238"/>
      <c r="E19460" s="545"/>
      <c r="F19460" s="546"/>
      <c r="G19460" s="234"/>
      <c r="H19460" s="238"/>
      <c r="I19460" s="237"/>
    </row>
    <row r="19461" spans="1:9" s="232" customFormat="1" ht="17" customHeight="1">
      <c r="A19461" s="234"/>
      <c r="B19461" s="233"/>
      <c r="C19461" s="238"/>
      <c r="E19461" s="545"/>
      <c r="F19461" s="546"/>
      <c r="G19461" s="234"/>
      <c r="H19461" s="238"/>
      <c r="I19461" s="237"/>
    </row>
    <row r="19462" spans="1:9" s="232" customFormat="1" ht="17" customHeight="1">
      <c r="A19462" s="234"/>
      <c r="B19462" s="233"/>
      <c r="C19462" s="238"/>
      <c r="E19462" s="545"/>
      <c r="F19462" s="546"/>
      <c r="G19462" s="234"/>
      <c r="H19462" s="238"/>
      <c r="I19462" s="237"/>
    </row>
    <row r="19463" spans="1:9" s="232" customFormat="1" ht="17" customHeight="1">
      <c r="A19463" s="234"/>
      <c r="B19463" s="233"/>
      <c r="C19463" s="238"/>
      <c r="E19463" s="545"/>
      <c r="F19463" s="546"/>
      <c r="G19463" s="234"/>
      <c r="H19463" s="238"/>
      <c r="I19463" s="237"/>
    </row>
    <row r="19464" spans="1:9" s="232" customFormat="1" ht="17" customHeight="1">
      <c r="A19464" s="234"/>
      <c r="B19464" s="233"/>
      <c r="C19464" s="238"/>
      <c r="E19464" s="545"/>
      <c r="F19464" s="546"/>
      <c r="G19464" s="234"/>
      <c r="H19464" s="238"/>
      <c r="I19464" s="237"/>
    </row>
    <row r="19465" spans="1:9" s="232" customFormat="1" ht="17" customHeight="1">
      <c r="A19465" s="234"/>
      <c r="B19465" s="233"/>
      <c r="C19465" s="238"/>
      <c r="E19465" s="545"/>
      <c r="F19465" s="546"/>
      <c r="G19465" s="234"/>
      <c r="H19465" s="238"/>
      <c r="I19465" s="237"/>
    </row>
    <row r="19466" spans="1:9" s="232" customFormat="1" ht="17" customHeight="1">
      <c r="A19466" s="234"/>
      <c r="B19466" s="233"/>
      <c r="C19466" s="238"/>
      <c r="E19466" s="545"/>
      <c r="F19466" s="546"/>
      <c r="G19466" s="234"/>
      <c r="H19466" s="238"/>
      <c r="I19466" s="237"/>
    </row>
    <row r="19467" spans="1:9" s="232" customFormat="1" ht="17" customHeight="1">
      <c r="A19467" s="234"/>
      <c r="B19467" s="233"/>
      <c r="C19467" s="238"/>
      <c r="E19467" s="545"/>
      <c r="F19467" s="546"/>
      <c r="G19467" s="234"/>
      <c r="H19467" s="238"/>
      <c r="I19467" s="237"/>
    </row>
    <row r="19468" spans="1:9" s="232" customFormat="1" ht="17" customHeight="1">
      <c r="A19468" s="234"/>
      <c r="B19468" s="233"/>
      <c r="C19468" s="238"/>
      <c r="E19468" s="545"/>
      <c r="F19468" s="546"/>
      <c r="G19468" s="234"/>
      <c r="H19468" s="238"/>
      <c r="I19468" s="237"/>
    </row>
    <row r="19469" spans="1:9" s="232" customFormat="1" ht="17" customHeight="1">
      <c r="A19469" s="234"/>
      <c r="B19469" s="233"/>
      <c r="C19469" s="238"/>
      <c r="E19469" s="545"/>
      <c r="F19469" s="546"/>
      <c r="G19469" s="234"/>
      <c r="H19469" s="238"/>
      <c r="I19469" s="237"/>
    </row>
    <row r="19470" spans="1:9" s="232" customFormat="1" ht="17" customHeight="1">
      <c r="A19470" s="234"/>
      <c r="B19470" s="233"/>
      <c r="C19470" s="238"/>
      <c r="E19470" s="545"/>
      <c r="F19470" s="546"/>
      <c r="G19470" s="234"/>
      <c r="H19470" s="238"/>
      <c r="I19470" s="237"/>
    </row>
    <row r="19471" spans="1:9" s="232" customFormat="1" ht="17" customHeight="1">
      <c r="A19471" s="234"/>
      <c r="B19471" s="233"/>
      <c r="C19471" s="238"/>
      <c r="E19471" s="545"/>
      <c r="F19471" s="546"/>
      <c r="G19471" s="234"/>
      <c r="H19471" s="238"/>
      <c r="I19471" s="237"/>
    </row>
    <row r="19472" spans="1:9" s="232" customFormat="1" ht="17" customHeight="1">
      <c r="A19472" s="234"/>
      <c r="B19472" s="233"/>
      <c r="C19472" s="238"/>
      <c r="E19472" s="545"/>
      <c r="F19472" s="546"/>
      <c r="G19472" s="234"/>
      <c r="H19472" s="238"/>
      <c r="I19472" s="237"/>
    </row>
    <row r="19473" spans="1:9" s="232" customFormat="1" ht="17" customHeight="1">
      <c r="A19473" s="234"/>
      <c r="B19473" s="233"/>
      <c r="C19473" s="238"/>
      <c r="E19473" s="545"/>
      <c r="F19473" s="546"/>
      <c r="G19473" s="234"/>
      <c r="H19473" s="238"/>
      <c r="I19473" s="237"/>
    </row>
    <row r="19474" spans="1:9" s="232" customFormat="1" ht="17" customHeight="1">
      <c r="A19474" s="234"/>
      <c r="B19474" s="233"/>
      <c r="C19474" s="238"/>
      <c r="E19474" s="545"/>
      <c r="F19474" s="546"/>
      <c r="G19474" s="234"/>
      <c r="H19474" s="238"/>
      <c r="I19474" s="237"/>
    </row>
    <row r="19475" spans="1:9" s="232" customFormat="1" ht="17" customHeight="1">
      <c r="A19475" s="234"/>
      <c r="B19475" s="233"/>
      <c r="C19475" s="238"/>
      <c r="E19475" s="545"/>
      <c r="F19475" s="546"/>
      <c r="G19475" s="234"/>
      <c r="H19475" s="238"/>
      <c r="I19475" s="237"/>
    </row>
    <row r="19476" spans="1:9" s="232" customFormat="1" ht="17" customHeight="1">
      <c r="A19476" s="234"/>
      <c r="B19476" s="233"/>
      <c r="C19476" s="238"/>
      <c r="E19476" s="545"/>
      <c r="F19476" s="546"/>
      <c r="G19476" s="234"/>
      <c r="H19476" s="238"/>
      <c r="I19476" s="237"/>
    </row>
    <row r="19477" spans="1:9" s="232" customFormat="1" ht="17" customHeight="1">
      <c r="A19477" s="234"/>
      <c r="B19477" s="233"/>
      <c r="C19477" s="238"/>
      <c r="E19477" s="545"/>
      <c r="F19477" s="546"/>
      <c r="G19477" s="234"/>
      <c r="H19477" s="238"/>
      <c r="I19477" s="237"/>
    </row>
    <row r="19478" spans="1:9" s="232" customFormat="1" ht="17" customHeight="1">
      <c r="A19478" s="234"/>
      <c r="B19478" s="233"/>
      <c r="C19478" s="238"/>
      <c r="E19478" s="545"/>
      <c r="F19478" s="546"/>
      <c r="G19478" s="234"/>
      <c r="H19478" s="238"/>
      <c r="I19478" s="237"/>
    </row>
    <row r="19479" spans="1:9" s="232" customFormat="1" ht="17" customHeight="1">
      <c r="A19479" s="234"/>
      <c r="B19479" s="233"/>
      <c r="C19479" s="238"/>
      <c r="E19479" s="545"/>
      <c r="F19479" s="546"/>
      <c r="G19479" s="234"/>
      <c r="H19479" s="238"/>
      <c r="I19479" s="237"/>
    </row>
    <row r="19480" spans="1:9" s="232" customFormat="1" ht="17" customHeight="1">
      <c r="A19480" s="234"/>
      <c r="B19480" s="233"/>
      <c r="C19480" s="238"/>
      <c r="E19480" s="545"/>
      <c r="F19480" s="546"/>
      <c r="G19480" s="234"/>
      <c r="H19480" s="238"/>
      <c r="I19480" s="237"/>
    </row>
    <row r="19481" spans="1:9" s="232" customFormat="1" ht="17" customHeight="1">
      <c r="A19481" s="234"/>
      <c r="B19481" s="233"/>
      <c r="C19481" s="238"/>
      <c r="E19481" s="545"/>
      <c r="F19481" s="546"/>
      <c r="G19481" s="234"/>
      <c r="H19481" s="238"/>
      <c r="I19481" s="237"/>
    </row>
    <row r="19482" spans="1:9" s="232" customFormat="1" ht="17" customHeight="1">
      <c r="A19482" s="234"/>
      <c r="B19482" s="233"/>
      <c r="C19482" s="238"/>
      <c r="E19482" s="545"/>
      <c r="F19482" s="546"/>
      <c r="G19482" s="234"/>
      <c r="H19482" s="238"/>
      <c r="I19482" s="237"/>
    </row>
    <row r="19483" spans="1:9" s="232" customFormat="1" ht="17" customHeight="1">
      <c r="A19483" s="234"/>
      <c r="B19483" s="233"/>
      <c r="C19483" s="238"/>
      <c r="E19483" s="545"/>
      <c r="F19483" s="546"/>
      <c r="G19483" s="234"/>
      <c r="H19483" s="238"/>
      <c r="I19483" s="237"/>
    </row>
    <row r="19484" spans="1:9" s="232" customFormat="1" ht="17" customHeight="1">
      <c r="A19484" s="234"/>
      <c r="B19484" s="233"/>
      <c r="C19484" s="238"/>
      <c r="E19484" s="545"/>
      <c r="F19484" s="546"/>
      <c r="G19484" s="234"/>
      <c r="H19484" s="238"/>
      <c r="I19484" s="237"/>
    </row>
    <row r="19485" spans="1:9" s="232" customFormat="1" ht="17" customHeight="1">
      <c r="A19485" s="234"/>
      <c r="B19485" s="233"/>
      <c r="C19485" s="238"/>
      <c r="E19485" s="545"/>
      <c r="F19485" s="546"/>
      <c r="G19485" s="234"/>
      <c r="H19485" s="238"/>
      <c r="I19485" s="237"/>
    </row>
    <row r="19486" spans="1:9" s="232" customFormat="1" ht="17" customHeight="1">
      <c r="A19486" s="234"/>
      <c r="B19486" s="233"/>
      <c r="C19486" s="238"/>
      <c r="E19486" s="545"/>
      <c r="F19486" s="546"/>
      <c r="G19486" s="234"/>
      <c r="H19486" s="238"/>
      <c r="I19486" s="237"/>
    </row>
    <row r="19487" spans="1:9" s="232" customFormat="1" ht="17" customHeight="1">
      <c r="A19487" s="234"/>
      <c r="B19487" s="233"/>
      <c r="C19487" s="238"/>
      <c r="E19487" s="545"/>
      <c r="F19487" s="546"/>
      <c r="G19487" s="234"/>
      <c r="H19487" s="238"/>
      <c r="I19487" s="237"/>
    </row>
    <row r="19488" spans="1:9" s="232" customFormat="1" ht="17" customHeight="1">
      <c r="A19488" s="234"/>
      <c r="B19488" s="233"/>
      <c r="C19488" s="238"/>
      <c r="E19488" s="545"/>
      <c r="F19488" s="546"/>
      <c r="G19488" s="234"/>
      <c r="H19488" s="238"/>
      <c r="I19488" s="237"/>
    </row>
    <row r="19489" spans="1:9" s="232" customFormat="1" ht="17" customHeight="1">
      <c r="A19489" s="234"/>
      <c r="B19489" s="233"/>
      <c r="C19489" s="238"/>
      <c r="E19489" s="545"/>
      <c r="F19489" s="546"/>
      <c r="G19489" s="234"/>
      <c r="H19489" s="238"/>
      <c r="I19489" s="237"/>
    </row>
    <row r="19490" spans="1:9" s="232" customFormat="1" ht="17" customHeight="1">
      <c r="A19490" s="234"/>
      <c r="B19490" s="233"/>
      <c r="C19490" s="238"/>
      <c r="E19490" s="545"/>
      <c r="F19490" s="546"/>
      <c r="G19490" s="234"/>
      <c r="H19490" s="238"/>
      <c r="I19490" s="237"/>
    </row>
    <row r="19491" spans="1:9" s="232" customFormat="1" ht="17" customHeight="1">
      <c r="A19491" s="234"/>
      <c r="B19491" s="233"/>
      <c r="C19491" s="238"/>
      <c r="E19491" s="545"/>
      <c r="F19491" s="546"/>
      <c r="G19491" s="234"/>
      <c r="H19491" s="238"/>
      <c r="I19491" s="237"/>
    </row>
    <row r="19492" spans="1:9" s="232" customFormat="1" ht="17" customHeight="1">
      <c r="A19492" s="234"/>
      <c r="B19492" s="233"/>
      <c r="C19492" s="238"/>
      <c r="E19492" s="545"/>
      <c r="F19492" s="546"/>
      <c r="G19492" s="234"/>
      <c r="H19492" s="238"/>
      <c r="I19492" s="237"/>
    </row>
    <row r="19493" spans="1:9" s="232" customFormat="1" ht="17" customHeight="1">
      <c r="A19493" s="234"/>
      <c r="B19493" s="233"/>
      <c r="C19493" s="238"/>
      <c r="E19493" s="545"/>
      <c r="F19493" s="546"/>
      <c r="G19493" s="234"/>
      <c r="H19493" s="238"/>
      <c r="I19493" s="237"/>
    </row>
    <row r="19494" spans="1:9" s="232" customFormat="1" ht="17" customHeight="1">
      <c r="A19494" s="234"/>
      <c r="B19494" s="233"/>
      <c r="C19494" s="238"/>
      <c r="E19494" s="545"/>
      <c r="F19494" s="546"/>
      <c r="G19494" s="234"/>
      <c r="H19494" s="238"/>
      <c r="I19494" s="237"/>
    </row>
    <row r="19495" spans="1:9" s="232" customFormat="1" ht="17" customHeight="1">
      <c r="A19495" s="234"/>
      <c r="B19495" s="233"/>
      <c r="C19495" s="238"/>
      <c r="E19495" s="545"/>
      <c r="F19495" s="546"/>
      <c r="G19495" s="234"/>
      <c r="H19495" s="238"/>
      <c r="I19495" s="237"/>
    </row>
    <row r="19496" spans="1:9" s="232" customFormat="1" ht="17" customHeight="1">
      <c r="A19496" s="234"/>
      <c r="B19496" s="233"/>
      <c r="C19496" s="238"/>
      <c r="E19496" s="545"/>
      <c r="F19496" s="546"/>
      <c r="G19496" s="234"/>
      <c r="H19496" s="238"/>
      <c r="I19496" s="237"/>
    </row>
    <row r="19497" spans="1:9" s="232" customFormat="1" ht="17" customHeight="1">
      <c r="A19497" s="234"/>
      <c r="B19497" s="233"/>
      <c r="C19497" s="238"/>
      <c r="E19497" s="545"/>
      <c r="F19497" s="546"/>
      <c r="G19497" s="234"/>
      <c r="H19497" s="238"/>
      <c r="I19497" s="237"/>
    </row>
    <row r="19498" spans="1:9" s="232" customFormat="1" ht="17" customHeight="1">
      <c r="A19498" s="234"/>
      <c r="B19498" s="233"/>
      <c r="C19498" s="238"/>
      <c r="E19498" s="545"/>
      <c r="F19498" s="546"/>
      <c r="G19498" s="234"/>
      <c r="H19498" s="238"/>
      <c r="I19498" s="237"/>
    </row>
    <row r="19499" spans="1:9" s="232" customFormat="1" ht="17" customHeight="1">
      <c r="A19499" s="234"/>
      <c r="B19499" s="233"/>
      <c r="C19499" s="238"/>
      <c r="E19499" s="545"/>
      <c r="F19499" s="546"/>
      <c r="G19499" s="234"/>
      <c r="H19499" s="238"/>
      <c r="I19499" s="237"/>
    </row>
    <row r="19500" spans="1:9" s="232" customFormat="1" ht="17" customHeight="1">
      <c r="A19500" s="234"/>
      <c r="B19500" s="233"/>
      <c r="C19500" s="238"/>
      <c r="E19500" s="545"/>
      <c r="F19500" s="546"/>
      <c r="G19500" s="234"/>
      <c r="H19500" s="238"/>
      <c r="I19500" s="237"/>
    </row>
    <row r="19501" spans="1:9" s="232" customFormat="1" ht="17" customHeight="1">
      <c r="A19501" s="234"/>
      <c r="B19501" s="233"/>
      <c r="C19501" s="238"/>
      <c r="E19501" s="545"/>
      <c r="F19501" s="546"/>
      <c r="G19501" s="234"/>
      <c r="H19501" s="238"/>
      <c r="I19501" s="237"/>
    </row>
    <row r="19502" spans="1:9" s="232" customFormat="1" ht="17" customHeight="1">
      <c r="A19502" s="234"/>
      <c r="B19502" s="233"/>
      <c r="C19502" s="238"/>
      <c r="E19502" s="545"/>
      <c r="F19502" s="546"/>
      <c r="G19502" s="234"/>
      <c r="H19502" s="238"/>
      <c r="I19502" s="237"/>
    </row>
    <row r="19503" spans="1:9" s="232" customFormat="1" ht="17" customHeight="1">
      <c r="A19503" s="234"/>
      <c r="B19503" s="233"/>
      <c r="C19503" s="238"/>
      <c r="E19503" s="545"/>
      <c r="F19503" s="546"/>
      <c r="G19503" s="234"/>
      <c r="H19503" s="238"/>
      <c r="I19503" s="237"/>
    </row>
    <row r="19504" spans="1:9" s="232" customFormat="1" ht="17" customHeight="1">
      <c r="A19504" s="234"/>
      <c r="B19504" s="233"/>
      <c r="C19504" s="238"/>
      <c r="E19504" s="545"/>
      <c r="F19504" s="546"/>
      <c r="G19504" s="234"/>
      <c r="H19504" s="238"/>
      <c r="I19504" s="237"/>
    </row>
    <row r="19505" spans="1:9" s="232" customFormat="1" ht="17" customHeight="1">
      <c r="A19505" s="234"/>
      <c r="B19505" s="233"/>
      <c r="C19505" s="238"/>
      <c r="E19505" s="545"/>
      <c r="F19505" s="546"/>
      <c r="G19505" s="234"/>
      <c r="H19505" s="238"/>
      <c r="I19505" s="237"/>
    </row>
    <row r="19506" spans="1:9" s="232" customFormat="1" ht="17" customHeight="1">
      <c r="A19506" s="234"/>
      <c r="B19506" s="233"/>
      <c r="C19506" s="238"/>
      <c r="E19506" s="545"/>
      <c r="F19506" s="546"/>
      <c r="G19506" s="234"/>
      <c r="H19506" s="238"/>
      <c r="I19506" s="237"/>
    </row>
    <row r="19507" spans="1:9" s="232" customFormat="1" ht="17" customHeight="1">
      <c r="A19507" s="234"/>
      <c r="B19507" s="233"/>
      <c r="C19507" s="238"/>
      <c r="E19507" s="545"/>
      <c r="F19507" s="546"/>
      <c r="G19507" s="234"/>
      <c r="H19507" s="238"/>
      <c r="I19507" s="237"/>
    </row>
    <row r="19508" spans="1:9" s="232" customFormat="1" ht="17" customHeight="1">
      <c r="A19508" s="234"/>
      <c r="B19508" s="233"/>
      <c r="C19508" s="238"/>
      <c r="E19508" s="545"/>
      <c r="F19508" s="546"/>
      <c r="G19508" s="234"/>
      <c r="H19508" s="238"/>
      <c r="I19508" s="237"/>
    </row>
    <row r="19509" spans="1:9" s="232" customFormat="1" ht="17" customHeight="1">
      <c r="A19509" s="234"/>
      <c r="B19509" s="233"/>
      <c r="C19509" s="238"/>
      <c r="E19509" s="545"/>
      <c r="F19509" s="546"/>
      <c r="G19509" s="234"/>
      <c r="H19509" s="238"/>
      <c r="I19509" s="237"/>
    </row>
    <row r="19510" spans="1:9" s="232" customFormat="1" ht="17" customHeight="1">
      <c r="A19510" s="234"/>
      <c r="B19510" s="233"/>
      <c r="C19510" s="238"/>
      <c r="E19510" s="545"/>
      <c r="F19510" s="546"/>
      <c r="G19510" s="234"/>
      <c r="H19510" s="238"/>
      <c r="I19510" s="237"/>
    </row>
    <row r="19511" spans="1:9" s="232" customFormat="1" ht="17" customHeight="1">
      <c r="A19511" s="234"/>
      <c r="B19511" s="233"/>
      <c r="C19511" s="238"/>
      <c r="E19511" s="545"/>
      <c r="F19511" s="546"/>
      <c r="G19511" s="234"/>
      <c r="H19511" s="238"/>
      <c r="I19511" s="237"/>
    </row>
    <row r="19512" spans="1:9" s="232" customFormat="1" ht="17" customHeight="1">
      <c r="A19512" s="234"/>
      <c r="B19512" s="233"/>
      <c r="C19512" s="238"/>
      <c r="E19512" s="545"/>
      <c r="F19512" s="546"/>
      <c r="G19512" s="234"/>
      <c r="H19512" s="238"/>
      <c r="I19512" s="237"/>
    </row>
    <row r="19513" spans="1:9" s="232" customFormat="1" ht="17" customHeight="1">
      <c r="A19513" s="234"/>
      <c r="B19513" s="233"/>
      <c r="C19513" s="238"/>
      <c r="E19513" s="545"/>
      <c r="F19513" s="546"/>
      <c r="G19513" s="234"/>
      <c r="H19513" s="238"/>
      <c r="I19513" s="237"/>
    </row>
    <row r="19514" spans="1:9" s="232" customFormat="1" ht="17" customHeight="1">
      <c r="A19514" s="234"/>
      <c r="B19514" s="233"/>
      <c r="C19514" s="238"/>
      <c r="E19514" s="545"/>
      <c r="F19514" s="546"/>
      <c r="G19514" s="234"/>
      <c r="H19514" s="238"/>
      <c r="I19514" s="237"/>
    </row>
    <row r="19515" spans="1:9" s="232" customFormat="1" ht="17" customHeight="1">
      <c r="A19515" s="234"/>
      <c r="B19515" s="233"/>
      <c r="C19515" s="238"/>
      <c r="E19515" s="545"/>
      <c r="F19515" s="546"/>
      <c r="G19515" s="234"/>
      <c r="H19515" s="238"/>
      <c r="I19515" s="237"/>
    </row>
    <row r="19516" spans="1:9" s="232" customFormat="1" ht="17" customHeight="1">
      <c r="A19516" s="234"/>
      <c r="B19516" s="233"/>
      <c r="C19516" s="238"/>
      <c r="E19516" s="545"/>
      <c r="F19516" s="546"/>
      <c r="G19516" s="234"/>
      <c r="H19516" s="238"/>
      <c r="I19516" s="237"/>
    </row>
    <row r="19517" spans="1:9" s="232" customFormat="1" ht="17" customHeight="1">
      <c r="A19517" s="234"/>
      <c r="B19517" s="233"/>
      <c r="C19517" s="238"/>
      <c r="E19517" s="545"/>
      <c r="F19517" s="546"/>
      <c r="G19517" s="234"/>
      <c r="H19517" s="238"/>
      <c r="I19517" s="237"/>
    </row>
    <row r="19518" spans="1:9" s="232" customFormat="1" ht="17" customHeight="1">
      <c r="A19518" s="234"/>
      <c r="B19518" s="233"/>
      <c r="C19518" s="238"/>
      <c r="E19518" s="545"/>
      <c r="F19518" s="546"/>
      <c r="G19518" s="234"/>
      <c r="H19518" s="238"/>
      <c r="I19518" s="237"/>
    </row>
    <row r="19519" spans="1:9" s="232" customFormat="1" ht="17" customHeight="1">
      <c r="A19519" s="234"/>
      <c r="B19519" s="233"/>
      <c r="C19519" s="238"/>
      <c r="E19519" s="545"/>
      <c r="F19519" s="546"/>
      <c r="G19519" s="234"/>
      <c r="H19519" s="238"/>
      <c r="I19519" s="237"/>
    </row>
    <row r="19520" spans="1:9" s="232" customFormat="1" ht="17" customHeight="1">
      <c r="A19520" s="234"/>
      <c r="B19520" s="233"/>
      <c r="C19520" s="238"/>
      <c r="E19520" s="545"/>
      <c r="F19520" s="546"/>
      <c r="G19520" s="234"/>
      <c r="H19520" s="238"/>
      <c r="I19520" s="237"/>
    </row>
    <row r="19521" spans="1:9" s="232" customFormat="1" ht="17" customHeight="1">
      <c r="A19521" s="234"/>
      <c r="B19521" s="233"/>
      <c r="C19521" s="238"/>
      <c r="E19521" s="545"/>
      <c r="F19521" s="546"/>
      <c r="G19521" s="234"/>
      <c r="H19521" s="238"/>
      <c r="I19521" s="237"/>
    </row>
    <row r="19522" spans="1:9" s="232" customFormat="1" ht="17" customHeight="1">
      <c r="A19522" s="234"/>
      <c r="B19522" s="233"/>
      <c r="C19522" s="238"/>
      <c r="E19522" s="545"/>
      <c r="F19522" s="546"/>
      <c r="G19522" s="234"/>
      <c r="H19522" s="238"/>
      <c r="I19522" s="237"/>
    </row>
    <row r="19523" spans="1:9" s="232" customFormat="1" ht="17" customHeight="1">
      <c r="A19523" s="234"/>
      <c r="B19523" s="233"/>
      <c r="C19523" s="238"/>
      <c r="E19523" s="545"/>
      <c r="F19523" s="546"/>
      <c r="G19523" s="234"/>
      <c r="H19523" s="238"/>
      <c r="I19523" s="237"/>
    </row>
    <row r="19524" spans="1:9" s="232" customFormat="1" ht="17" customHeight="1">
      <c r="A19524" s="234"/>
      <c r="B19524" s="233"/>
      <c r="C19524" s="238"/>
      <c r="E19524" s="545"/>
      <c r="F19524" s="546"/>
      <c r="G19524" s="234"/>
      <c r="H19524" s="238"/>
      <c r="I19524" s="237"/>
    </row>
    <row r="19525" spans="1:9" s="232" customFormat="1" ht="17" customHeight="1">
      <c r="A19525" s="234"/>
      <c r="B19525" s="233"/>
      <c r="C19525" s="238"/>
      <c r="E19525" s="545"/>
      <c r="F19525" s="546"/>
      <c r="G19525" s="234"/>
      <c r="H19525" s="238"/>
      <c r="I19525" s="237"/>
    </row>
    <row r="19526" spans="1:9" s="232" customFormat="1" ht="17" customHeight="1">
      <c r="A19526" s="234"/>
      <c r="B19526" s="233"/>
      <c r="C19526" s="238"/>
      <c r="E19526" s="545"/>
      <c r="F19526" s="546"/>
      <c r="G19526" s="234"/>
      <c r="H19526" s="238"/>
      <c r="I19526" s="237"/>
    </row>
    <row r="19527" spans="1:9" s="232" customFormat="1" ht="17" customHeight="1">
      <c r="A19527" s="234"/>
      <c r="B19527" s="233"/>
      <c r="C19527" s="238"/>
      <c r="E19527" s="545"/>
      <c r="F19527" s="546"/>
      <c r="G19527" s="234"/>
      <c r="H19527" s="238"/>
      <c r="I19527" s="237"/>
    </row>
    <row r="19528" spans="1:9" s="232" customFormat="1" ht="17" customHeight="1">
      <c r="A19528" s="234"/>
      <c r="B19528" s="233"/>
      <c r="C19528" s="238"/>
      <c r="E19528" s="545"/>
      <c r="F19528" s="546"/>
      <c r="G19528" s="234"/>
      <c r="H19528" s="238"/>
      <c r="I19528" s="237"/>
    </row>
    <row r="19529" spans="1:9" s="232" customFormat="1" ht="17" customHeight="1">
      <c r="A19529" s="234"/>
      <c r="B19529" s="233"/>
      <c r="C19529" s="238"/>
      <c r="E19529" s="545"/>
      <c r="F19529" s="546"/>
      <c r="G19529" s="234"/>
      <c r="H19529" s="238"/>
      <c r="I19529" s="237"/>
    </row>
    <row r="19530" spans="1:9" s="232" customFormat="1" ht="17" customHeight="1">
      <c r="A19530" s="234"/>
      <c r="B19530" s="233"/>
      <c r="C19530" s="238"/>
      <c r="E19530" s="545"/>
      <c r="F19530" s="546"/>
      <c r="G19530" s="234"/>
      <c r="H19530" s="238"/>
      <c r="I19530" s="237"/>
    </row>
    <row r="19531" spans="1:9" s="232" customFormat="1" ht="17" customHeight="1">
      <c r="A19531" s="234"/>
      <c r="B19531" s="233"/>
      <c r="C19531" s="238"/>
      <c r="E19531" s="545"/>
      <c r="F19531" s="546"/>
      <c r="G19531" s="234"/>
      <c r="H19531" s="238"/>
      <c r="I19531" s="237"/>
    </row>
    <row r="19532" spans="1:9" s="232" customFormat="1" ht="17" customHeight="1">
      <c r="A19532" s="234"/>
      <c r="B19532" s="233"/>
      <c r="C19532" s="238"/>
      <c r="E19532" s="545"/>
      <c r="F19532" s="546"/>
      <c r="G19532" s="234"/>
      <c r="H19532" s="238"/>
      <c r="I19532" s="237"/>
    </row>
    <row r="19533" spans="1:9" s="232" customFormat="1" ht="17" customHeight="1">
      <c r="A19533" s="234"/>
      <c r="B19533" s="233"/>
      <c r="C19533" s="238"/>
      <c r="E19533" s="545"/>
      <c r="F19533" s="546"/>
      <c r="G19533" s="234"/>
      <c r="H19533" s="238"/>
      <c r="I19533" s="237"/>
    </row>
    <row r="19534" spans="1:9" s="232" customFormat="1" ht="17" customHeight="1">
      <c r="A19534" s="234"/>
      <c r="B19534" s="233"/>
      <c r="C19534" s="238"/>
      <c r="E19534" s="545"/>
      <c r="F19534" s="546"/>
      <c r="G19534" s="234"/>
      <c r="H19534" s="238"/>
      <c r="I19534" s="237"/>
    </row>
    <row r="19535" spans="1:9" s="232" customFormat="1" ht="17" customHeight="1">
      <c r="A19535" s="234"/>
      <c r="B19535" s="233"/>
      <c r="C19535" s="238"/>
      <c r="E19535" s="545"/>
      <c r="F19535" s="546"/>
      <c r="G19535" s="234"/>
      <c r="H19535" s="238"/>
      <c r="I19535" s="237"/>
    </row>
    <row r="19536" spans="1:9" s="232" customFormat="1" ht="17" customHeight="1">
      <c r="A19536" s="234"/>
      <c r="B19536" s="233"/>
      <c r="C19536" s="238"/>
      <c r="E19536" s="545"/>
      <c r="F19536" s="546"/>
      <c r="G19536" s="234"/>
      <c r="H19536" s="238"/>
      <c r="I19536" s="237"/>
    </row>
    <row r="19537" spans="1:9" s="232" customFormat="1" ht="17" customHeight="1">
      <c r="A19537" s="234"/>
      <c r="B19537" s="233"/>
      <c r="C19537" s="238"/>
      <c r="E19537" s="545"/>
      <c r="F19537" s="546"/>
      <c r="G19537" s="234"/>
      <c r="H19537" s="238"/>
      <c r="I19537" s="237"/>
    </row>
    <row r="19538" spans="1:9" s="232" customFormat="1" ht="17" customHeight="1">
      <c r="A19538" s="234"/>
      <c r="B19538" s="233"/>
      <c r="C19538" s="238"/>
      <c r="E19538" s="545"/>
      <c r="F19538" s="546"/>
      <c r="G19538" s="234"/>
      <c r="H19538" s="238"/>
      <c r="I19538" s="237"/>
    </row>
    <row r="19539" spans="1:9" s="232" customFormat="1" ht="17" customHeight="1">
      <c r="A19539" s="234"/>
      <c r="B19539" s="233"/>
      <c r="C19539" s="238"/>
      <c r="E19539" s="545"/>
      <c r="F19539" s="546"/>
      <c r="G19539" s="234"/>
      <c r="H19539" s="238"/>
      <c r="I19539" s="237"/>
    </row>
    <row r="19540" spans="1:9" s="232" customFormat="1" ht="17" customHeight="1">
      <c r="A19540" s="234"/>
      <c r="B19540" s="233"/>
      <c r="C19540" s="238"/>
      <c r="E19540" s="545"/>
      <c r="F19540" s="546"/>
      <c r="G19540" s="234"/>
      <c r="H19540" s="238"/>
      <c r="I19540" s="237"/>
    </row>
    <row r="19541" spans="1:9" s="232" customFormat="1" ht="17" customHeight="1">
      <c r="A19541" s="234"/>
      <c r="B19541" s="233"/>
      <c r="C19541" s="238"/>
      <c r="E19541" s="545"/>
      <c r="F19541" s="546"/>
      <c r="G19541" s="234"/>
      <c r="H19541" s="238"/>
      <c r="I19541" s="237"/>
    </row>
    <row r="19542" spans="1:9" s="232" customFormat="1" ht="17" customHeight="1">
      <c r="A19542" s="234"/>
      <c r="B19542" s="233"/>
      <c r="C19542" s="238"/>
      <c r="E19542" s="545"/>
      <c r="F19542" s="546"/>
      <c r="G19542" s="234"/>
      <c r="H19542" s="238"/>
      <c r="I19542" s="237"/>
    </row>
    <row r="19543" spans="1:9" s="232" customFormat="1" ht="17" customHeight="1">
      <c r="A19543" s="234"/>
      <c r="B19543" s="233"/>
      <c r="C19543" s="238"/>
      <c r="E19543" s="545"/>
      <c r="F19543" s="546"/>
      <c r="G19543" s="234"/>
      <c r="H19543" s="238"/>
      <c r="I19543" s="237"/>
    </row>
    <row r="19544" spans="1:9" s="232" customFormat="1" ht="17" customHeight="1">
      <c r="A19544" s="234"/>
      <c r="B19544" s="233"/>
      <c r="C19544" s="238"/>
      <c r="E19544" s="545"/>
      <c r="F19544" s="546"/>
      <c r="G19544" s="234"/>
      <c r="H19544" s="238"/>
      <c r="I19544" s="237"/>
    </row>
    <row r="19545" spans="1:9" s="232" customFormat="1" ht="17" customHeight="1">
      <c r="A19545" s="234"/>
      <c r="B19545" s="233"/>
      <c r="C19545" s="238"/>
      <c r="E19545" s="545"/>
      <c r="F19545" s="546"/>
      <c r="G19545" s="234"/>
      <c r="H19545" s="238"/>
      <c r="I19545" s="237"/>
    </row>
    <row r="19546" spans="1:9" s="232" customFormat="1" ht="17" customHeight="1">
      <c r="A19546" s="234"/>
      <c r="B19546" s="233"/>
      <c r="C19546" s="238"/>
      <c r="E19546" s="545"/>
      <c r="F19546" s="546"/>
      <c r="G19546" s="234"/>
      <c r="H19546" s="238"/>
      <c r="I19546" s="237"/>
    </row>
    <row r="19547" spans="1:9" s="232" customFormat="1" ht="17" customHeight="1">
      <c r="A19547" s="234"/>
      <c r="B19547" s="233"/>
      <c r="C19547" s="238"/>
      <c r="E19547" s="545"/>
      <c r="F19547" s="546"/>
      <c r="G19547" s="234"/>
      <c r="H19547" s="238"/>
      <c r="I19547" s="237"/>
    </row>
    <row r="19548" spans="1:9" s="232" customFormat="1" ht="17" customHeight="1">
      <c r="A19548" s="234"/>
      <c r="B19548" s="233"/>
      <c r="C19548" s="238"/>
      <c r="E19548" s="545"/>
      <c r="F19548" s="546"/>
      <c r="G19548" s="234"/>
      <c r="H19548" s="238"/>
      <c r="I19548" s="237"/>
    </row>
    <row r="19549" spans="1:9" s="232" customFormat="1" ht="17" customHeight="1">
      <c r="A19549" s="234"/>
      <c r="B19549" s="233"/>
      <c r="C19549" s="238"/>
      <c r="E19549" s="545"/>
      <c r="F19549" s="546"/>
      <c r="G19549" s="234"/>
      <c r="H19549" s="238"/>
      <c r="I19549" s="237"/>
    </row>
    <row r="19550" spans="1:9" s="232" customFormat="1" ht="17" customHeight="1">
      <c r="A19550" s="234"/>
      <c r="B19550" s="233"/>
      <c r="C19550" s="238"/>
      <c r="E19550" s="545"/>
      <c r="F19550" s="546"/>
      <c r="G19550" s="234"/>
      <c r="H19550" s="238"/>
      <c r="I19550" s="237"/>
    </row>
    <row r="19551" spans="1:9" s="232" customFormat="1" ht="17" customHeight="1">
      <c r="A19551" s="234"/>
      <c r="B19551" s="233"/>
      <c r="C19551" s="238"/>
      <c r="E19551" s="545"/>
      <c r="F19551" s="546"/>
      <c r="G19551" s="234"/>
      <c r="H19551" s="238"/>
      <c r="I19551" s="237"/>
    </row>
    <row r="19552" spans="1:9" s="232" customFormat="1" ht="17" customHeight="1">
      <c r="A19552" s="234"/>
      <c r="B19552" s="233"/>
      <c r="C19552" s="238"/>
      <c r="E19552" s="545"/>
      <c r="F19552" s="546"/>
      <c r="G19552" s="234"/>
      <c r="H19552" s="238"/>
      <c r="I19552" s="237"/>
    </row>
    <row r="19553" spans="1:9" s="232" customFormat="1" ht="17" customHeight="1">
      <c r="A19553" s="234"/>
      <c r="B19553" s="233"/>
      <c r="C19553" s="238"/>
      <c r="E19553" s="545"/>
      <c r="F19553" s="546"/>
      <c r="G19553" s="234"/>
      <c r="H19553" s="238"/>
      <c r="I19553" s="237"/>
    </row>
    <row r="19554" spans="1:9" s="232" customFormat="1" ht="17" customHeight="1">
      <c r="A19554" s="234"/>
      <c r="B19554" s="233"/>
      <c r="C19554" s="238"/>
      <c r="E19554" s="545"/>
      <c r="F19554" s="546"/>
      <c r="G19554" s="234"/>
      <c r="H19554" s="238"/>
      <c r="I19554" s="237"/>
    </row>
    <row r="19555" spans="1:9" s="232" customFormat="1" ht="17" customHeight="1">
      <c r="A19555" s="234"/>
      <c r="B19555" s="233"/>
      <c r="C19555" s="238"/>
      <c r="E19555" s="545"/>
      <c r="F19555" s="546"/>
      <c r="G19555" s="234"/>
      <c r="H19555" s="238"/>
      <c r="I19555" s="237"/>
    </row>
    <row r="19556" spans="1:9" s="232" customFormat="1" ht="17" customHeight="1">
      <c r="A19556" s="234"/>
      <c r="B19556" s="233"/>
      <c r="C19556" s="238"/>
      <c r="E19556" s="545"/>
      <c r="F19556" s="546"/>
      <c r="G19556" s="234"/>
      <c r="H19556" s="238"/>
      <c r="I19556" s="237"/>
    </row>
    <row r="19557" spans="1:9" s="232" customFormat="1" ht="17" customHeight="1">
      <c r="A19557" s="234"/>
      <c r="B19557" s="233"/>
      <c r="C19557" s="238"/>
      <c r="E19557" s="545"/>
      <c r="F19557" s="546"/>
      <c r="G19557" s="234"/>
      <c r="H19557" s="238"/>
      <c r="I19557" s="237"/>
    </row>
    <row r="19558" spans="1:9" s="232" customFormat="1" ht="17" customHeight="1">
      <c r="A19558" s="234"/>
      <c r="B19558" s="233"/>
      <c r="C19558" s="238"/>
      <c r="E19558" s="545"/>
      <c r="F19558" s="546"/>
      <c r="G19558" s="234"/>
      <c r="H19558" s="238"/>
      <c r="I19558" s="237"/>
    </row>
    <row r="19559" spans="1:9" s="232" customFormat="1" ht="17" customHeight="1">
      <c r="A19559" s="234"/>
      <c r="B19559" s="233"/>
      <c r="C19559" s="238"/>
      <c r="E19559" s="545"/>
      <c r="F19559" s="546"/>
      <c r="G19559" s="234"/>
      <c r="H19559" s="238"/>
      <c r="I19559" s="237"/>
    </row>
    <row r="19560" spans="1:9" s="232" customFormat="1" ht="17" customHeight="1">
      <c r="A19560" s="234"/>
      <c r="B19560" s="233"/>
      <c r="C19560" s="238"/>
      <c r="E19560" s="545"/>
      <c r="F19560" s="546"/>
      <c r="G19560" s="234"/>
      <c r="H19560" s="238"/>
      <c r="I19560" s="237"/>
    </row>
    <row r="19561" spans="1:9" s="232" customFormat="1" ht="17" customHeight="1">
      <c r="A19561" s="234"/>
      <c r="B19561" s="233"/>
      <c r="C19561" s="238"/>
      <c r="E19561" s="545"/>
      <c r="F19561" s="546"/>
      <c r="G19561" s="234"/>
      <c r="H19561" s="238"/>
      <c r="I19561" s="237"/>
    </row>
    <row r="19562" spans="1:9" s="232" customFormat="1" ht="17" customHeight="1">
      <c r="A19562" s="234"/>
      <c r="B19562" s="233"/>
      <c r="C19562" s="238"/>
      <c r="E19562" s="545"/>
      <c r="F19562" s="546"/>
      <c r="G19562" s="234"/>
      <c r="H19562" s="238"/>
      <c r="I19562" s="237"/>
    </row>
    <row r="19563" spans="1:9" s="232" customFormat="1" ht="17" customHeight="1">
      <c r="A19563" s="234"/>
      <c r="B19563" s="233"/>
      <c r="C19563" s="238"/>
      <c r="E19563" s="545"/>
      <c r="F19563" s="546"/>
      <c r="G19563" s="234"/>
      <c r="H19563" s="238"/>
      <c r="I19563" s="237"/>
    </row>
    <row r="19564" spans="1:9" s="232" customFormat="1" ht="17" customHeight="1">
      <c r="A19564" s="234"/>
      <c r="B19564" s="233"/>
      <c r="C19564" s="238"/>
      <c r="E19564" s="545"/>
      <c r="F19564" s="546"/>
      <c r="G19564" s="234"/>
      <c r="H19564" s="238"/>
      <c r="I19564" s="237"/>
    </row>
    <row r="19565" spans="1:9" s="232" customFormat="1" ht="17" customHeight="1">
      <c r="A19565" s="234"/>
      <c r="B19565" s="233"/>
      <c r="C19565" s="238"/>
      <c r="E19565" s="545"/>
      <c r="F19565" s="546"/>
      <c r="G19565" s="234"/>
      <c r="H19565" s="238"/>
      <c r="I19565" s="237"/>
    </row>
    <row r="19566" spans="1:9" s="232" customFormat="1" ht="17" customHeight="1">
      <c r="A19566" s="234"/>
      <c r="B19566" s="233"/>
      <c r="C19566" s="238"/>
      <c r="E19566" s="545"/>
      <c r="F19566" s="546"/>
      <c r="G19566" s="234"/>
      <c r="H19566" s="238"/>
      <c r="I19566" s="237"/>
    </row>
    <row r="19567" spans="1:9" s="232" customFormat="1" ht="17" customHeight="1">
      <c r="A19567" s="234"/>
      <c r="B19567" s="233"/>
      <c r="C19567" s="238"/>
      <c r="E19567" s="545"/>
      <c r="F19567" s="546"/>
      <c r="G19567" s="234"/>
      <c r="H19567" s="238"/>
      <c r="I19567" s="237"/>
    </row>
    <row r="19568" spans="1:9" s="232" customFormat="1" ht="17" customHeight="1">
      <c r="A19568" s="234"/>
      <c r="B19568" s="233"/>
      <c r="C19568" s="238"/>
      <c r="E19568" s="545"/>
      <c r="F19568" s="546"/>
      <c r="G19568" s="234"/>
      <c r="H19568" s="238"/>
      <c r="I19568" s="237"/>
    </row>
    <row r="19569" spans="1:9" s="232" customFormat="1" ht="17" customHeight="1">
      <c r="A19569" s="234"/>
      <c r="B19569" s="233"/>
      <c r="C19569" s="238"/>
      <c r="E19569" s="545"/>
      <c r="F19569" s="546"/>
      <c r="G19569" s="234"/>
      <c r="H19569" s="238"/>
      <c r="I19569" s="237"/>
    </row>
    <row r="19570" spans="1:9" s="232" customFormat="1" ht="17" customHeight="1">
      <c r="A19570" s="234"/>
      <c r="B19570" s="233"/>
      <c r="C19570" s="238"/>
      <c r="E19570" s="545"/>
      <c r="F19570" s="546"/>
      <c r="G19570" s="234"/>
      <c r="H19570" s="238"/>
      <c r="I19570" s="237"/>
    </row>
    <row r="19571" spans="1:9" s="232" customFormat="1" ht="17" customHeight="1">
      <c r="A19571" s="234"/>
      <c r="B19571" s="233"/>
      <c r="C19571" s="238"/>
      <c r="E19571" s="545"/>
      <c r="F19571" s="546"/>
      <c r="G19571" s="234"/>
      <c r="H19571" s="238"/>
      <c r="I19571" s="237"/>
    </row>
    <row r="19572" spans="1:9" s="232" customFormat="1" ht="17" customHeight="1">
      <c r="A19572" s="234"/>
      <c r="B19572" s="233"/>
      <c r="C19572" s="238"/>
      <c r="E19572" s="545"/>
      <c r="F19572" s="546"/>
      <c r="G19572" s="234"/>
      <c r="H19572" s="238"/>
      <c r="I19572" s="237"/>
    </row>
    <row r="19573" spans="1:9" s="232" customFormat="1" ht="17" customHeight="1">
      <c r="A19573" s="234"/>
      <c r="B19573" s="233"/>
      <c r="C19573" s="238"/>
      <c r="E19573" s="545"/>
      <c r="F19573" s="546"/>
      <c r="G19573" s="234"/>
      <c r="H19573" s="238"/>
      <c r="I19573" s="237"/>
    </row>
    <row r="19574" spans="1:9" s="232" customFormat="1" ht="17" customHeight="1">
      <c r="A19574" s="234"/>
      <c r="B19574" s="233"/>
      <c r="C19574" s="238"/>
      <c r="E19574" s="545"/>
      <c r="F19574" s="546"/>
      <c r="G19574" s="234"/>
      <c r="H19574" s="238"/>
      <c r="I19574" s="237"/>
    </row>
    <row r="19575" spans="1:9" s="232" customFormat="1" ht="17" customHeight="1">
      <c r="A19575" s="234"/>
      <c r="B19575" s="233"/>
      <c r="C19575" s="238"/>
      <c r="E19575" s="545"/>
      <c r="F19575" s="546"/>
      <c r="G19575" s="234"/>
      <c r="H19575" s="238"/>
      <c r="I19575" s="237"/>
    </row>
    <row r="19576" spans="1:9" s="232" customFormat="1" ht="17" customHeight="1">
      <c r="A19576" s="234"/>
      <c r="B19576" s="233"/>
      <c r="C19576" s="238"/>
      <c r="E19576" s="545"/>
      <c r="F19576" s="546"/>
      <c r="G19576" s="234"/>
      <c r="H19576" s="238"/>
      <c r="I19576" s="237"/>
    </row>
    <row r="19577" spans="1:9" s="232" customFormat="1" ht="17" customHeight="1">
      <c r="A19577" s="234"/>
      <c r="B19577" s="233"/>
      <c r="C19577" s="238"/>
      <c r="E19577" s="545"/>
      <c r="F19577" s="546"/>
      <c r="G19577" s="234"/>
      <c r="H19577" s="238"/>
      <c r="I19577" s="237"/>
    </row>
    <row r="19578" spans="1:9" s="232" customFormat="1" ht="17" customHeight="1">
      <c r="A19578" s="234"/>
      <c r="B19578" s="233"/>
      <c r="C19578" s="238"/>
      <c r="E19578" s="545"/>
      <c r="F19578" s="546"/>
      <c r="G19578" s="234"/>
      <c r="H19578" s="238"/>
      <c r="I19578" s="237"/>
    </row>
    <row r="19579" spans="1:9" s="232" customFormat="1" ht="17" customHeight="1">
      <c r="A19579" s="234"/>
      <c r="B19579" s="233"/>
      <c r="C19579" s="238"/>
      <c r="E19579" s="545"/>
      <c r="F19579" s="546"/>
      <c r="G19579" s="234"/>
      <c r="H19579" s="238"/>
      <c r="I19579" s="237"/>
    </row>
    <row r="19580" spans="1:9" s="232" customFormat="1" ht="17" customHeight="1">
      <c r="A19580" s="234"/>
      <c r="B19580" s="233"/>
      <c r="C19580" s="238"/>
      <c r="E19580" s="545"/>
      <c r="F19580" s="546"/>
      <c r="G19580" s="234"/>
      <c r="H19580" s="238"/>
      <c r="I19580" s="237"/>
    </row>
    <row r="19581" spans="1:9" s="232" customFormat="1" ht="17" customHeight="1">
      <c r="A19581" s="234"/>
      <c r="B19581" s="233"/>
      <c r="C19581" s="238"/>
      <c r="E19581" s="545"/>
      <c r="F19581" s="546"/>
      <c r="G19581" s="234"/>
      <c r="H19581" s="238"/>
      <c r="I19581" s="237"/>
    </row>
    <row r="19582" spans="1:9" s="232" customFormat="1" ht="17" customHeight="1">
      <c r="A19582" s="234"/>
      <c r="B19582" s="233"/>
      <c r="C19582" s="238"/>
      <c r="E19582" s="545"/>
      <c r="F19582" s="546"/>
      <c r="G19582" s="234"/>
      <c r="H19582" s="238"/>
      <c r="I19582" s="237"/>
    </row>
    <row r="19583" spans="1:9" s="232" customFormat="1" ht="17" customHeight="1">
      <c r="A19583" s="234"/>
      <c r="B19583" s="233"/>
      <c r="C19583" s="238"/>
      <c r="E19583" s="545"/>
      <c r="F19583" s="546"/>
      <c r="G19583" s="234"/>
      <c r="H19583" s="238"/>
      <c r="I19583" s="237"/>
    </row>
    <row r="19584" spans="1:9" s="232" customFormat="1" ht="17" customHeight="1">
      <c r="A19584" s="234"/>
      <c r="B19584" s="233"/>
      <c r="C19584" s="238"/>
      <c r="E19584" s="545"/>
      <c r="F19584" s="546"/>
      <c r="G19584" s="234"/>
      <c r="H19584" s="238"/>
      <c r="I19584" s="237"/>
    </row>
    <row r="19585" spans="1:9" s="232" customFormat="1" ht="17" customHeight="1">
      <c r="A19585" s="234"/>
      <c r="B19585" s="233"/>
      <c r="C19585" s="238"/>
      <c r="E19585" s="545"/>
      <c r="F19585" s="546"/>
      <c r="G19585" s="234"/>
      <c r="H19585" s="238"/>
      <c r="I19585" s="237"/>
    </row>
    <row r="19586" spans="1:9" s="232" customFormat="1" ht="17" customHeight="1">
      <c r="A19586" s="234"/>
      <c r="B19586" s="233"/>
      <c r="C19586" s="238"/>
      <c r="E19586" s="545"/>
      <c r="F19586" s="546"/>
      <c r="G19586" s="234"/>
      <c r="H19586" s="238"/>
      <c r="I19586" s="237"/>
    </row>
    <row r="19587" spans="1:9" s="232" customFormat="1" ht="17" customHeight="1">
      <c r="A19587" s="234"/>
      <c r="B19587" s="233"/>
      <c r="C19587" s="238"/>
      <c r="E19587" s="545"/>
      <c r="F19587" s="546"/>
      <c r="G19587" s="234"/>
      <c r="H19587" s="238"/>
      <c r="I19587" s="237"/>
    </row>
    <row r="19588" spans="1:9" s="232" customFormat="1" ht="17" customHeight="1">
      <c r="A19588" s="234"/>
      <c r="B19588" s="233"/>
      <c r="C19588" s="238"/>
      <c r="E19588" s="545"/>
      <c r="F19588" s="546"/>
      <c r="G19588" s="234"/>
      <c r="H19588" s="238"/>
      <c r="I19588" s="237"/>
    </row>
    <row r="19589" spans="1:9" s="232" customFormat="1" ht="17" customHeight="1">
      <c r="A19589" s="234"/>
      <c r="B19589" s="233"/>
      <c r="C19589" s="238"/>
      <c r="E19589" s="545"/>
      <c r="F19589" s="546"/>
      <c r="G19589" s="234"/>
      <c r="H19589" s="238"/>
      <c r="I19589" s="237"/>
    </row>
    <row r="19590" spans="1:9" s="232" customFormat="1" ht="17" customHeight="1">
      <c r="A19590" s="234"/>
      <c r="B19590" s="233"/>
      <c r="C19590" s="238"/>
      <c r="E19590" s="545"/>
      <c r="F19590" s="546"/>
      <c r="G19590" s="234"/>
      <c r="H19590" s="238"/>
      <c r="I19590" s="237"/>
    </row>
    <row r="19591" spans="1:9" s="232" customFormat="1" ht="17" customHeight="1">
      <c r="A19591" s="234"/>
      <c r="B19591" s="233"/>
      <c r="C19591" s="238"/>
      <c r="E19591" s="545"/>
      <c r="F19591" s="546"/>
      <c r="G19591" s="234"/>
      <c r="H19591" s="238"/>
      <c r="I19591" s="237"/>
    </row>
    <row r="19592" spans="1:9" s="232" customFormat="1" ht="17" customHeight="1">
      <c r="A19592" s="234"/>
      <c r="B19592" s="233"/>
      <c r="C19592" s="238"/>
      <c r="E19592" s="545"/>
      <c r="F19592" s="546"/>
      <c r="G19592" s="234"/>
      <c r="H19592" s="238"/>
      <c r="I19592" s="237"/>
    </row>
    <row r="19593" spans="1:9" s="232" customFormat="1" ht="17" customHeight="1">
      <c r="A19593" s="234"/>
      <c r="B19593" s="233"/>
      <c r="C19593" s="238"/>
      <c r="E19593" s="545"/>
      <c r="F19593" s="546"/>
      <c r="G19593" s="234"/>
      <c r="H19593" s="238"/>
      <c r="I19593" s="237"/>
    </row>
    <row r="19594" spans="1:9" s="232" customFormat="1" ht="17" customHeight="1">
      <c r="A19594" s="234"/>
      <c r="B19594" s="233"/>
      <c r="C19594" s="238"/>
      <c r="E19594" s="545"/>
      <c r="F19594" s="546"/>
      <c r="G19594" s="234"/>
      <c r="H19594" s="238"/>
      <c r="I19594" s="237"/>
    </row>
    <row r="19595" spans="1:9" s="232" customFormat="1" ht="17" customHeight="1">
      <c r="A19595" s="234"/>
      <c r="B19595" s="233"/>
      <c r="C19595" s="238"/>
      <c r="E19595" s="545"/>
      <c r="F19595" s="546"/>
      <c r="G19595" s="234"/>
      <c r="H19595" s="238"/>
      <c r="I19595" s="237"/>
    </row>
    <row r="19596" spans="1:9" s="232" customFormat="1" ht="17" customHeight="1">
      <c r="A19596" s="234"/>
      <c r="B19596" s="233"/>
      <c r="C19596" s="238"/>
      <c r="E19596" s="545"/>
      <c r="F19596" s="546"/>
      <c r="G19596" s="234"/>
      <c r="H19596" s="238"/>
      <c r="I19596" s="237"/>
    </row>
    <row r="19597" spans="1:9" s="232" customFormat="1" ht="17" customHeight="1">
      <c r="A19597" s="234"/>
      <c r="B19597" s="233"/>
      <c r="C19597" s="238"/>
      <c r="E19597" s="545"/>
      <c r="F19597" s="546"/>
      <c r="G19597" s="234"/>
      <c r="H19597" s="238"/>
      <c r="I19597" s="237"/>
    </row>
    <row r="19598" spans="1:9" s="232" customFormat="1" ht="17" customHeight="1">
      <c r="A19598" s="234"/>
      <c r="B19598" s="233"/>
      <c r="C19598" s="238"/>
      <c r="E19598" s="545"/>
      <c r="F19598" s="546"/>
      <c r="G19598" s="234"/>
      <c r="H19598" s="238"/>
      <c r="I19598" s="237"/>
    </row>
    <row r="19599" spans="1:9" s="232" customFormat="1" ht="17" customHeight="1">
      <c r="A19599" s="234"/>
      <c r="B19599" s="233"/>
      <c r="C19599" s="238"/>
      <c r="E19599" s="545"/>
      <c r="F19599" s="546"/>
      <c r="G19599" s="234"/>
      <c r="H19599" s="238"/>
      <c r="I19599" s="237"/>
    </row>
    <row r="19600" spans="1:9" s="232" customFormat="1" ht="17" customHeight="1">
      <c r="A19600" s="234"/>
      <c r="B19600" s="233"/>
      <c r="C19600" s="238"/>
      <c r="E19600" s="545"/>
      <c r="F19600" s="546"/>
      <c r="G19600" s="234"/>
      <c r="H19600" s="238"/>
      <c r="I19600" s="237"/>
    </row>
    <row r="19601" spans="1:9" s="232" customFormat="1" ht="17" customHeight="1">
      <c r="A19601" s="234"/>
      <c r="B19601" s="233"/>
      <c r="C19601" s="238"/>
      <c r="E19601" s="545"/>
      <c r="F19601" s="546"/>
      <c r="G19601" s="234"/>
      <c r="H19601" s="238"/>
      <c r="I19601" s="237"/>
    </row>
    <row r="19602" spans="1:9" s="232" customFormat="1" ht="17" customHeight="1">
      <c r="A19602" s="234"/>
      <c r="B19602" s="233"/>
      <c r="C19602" s="238"/>
      <c r="E19602" s="545"/>
      <c r="F19602" s="546"/>
      <c r="G19602" s="234"/>
      <c r="H19602" s="238"/>
      <c r="I19602" s="237"/>
    </row>
    <row r="19603" spans="1:9" s="232" customFormat="1" ht="17" customHeight="1">
      <c r="A19603" s="234"/>
      <c r="B19603" s="233"/>
      <c r="C19603" s="238"/>
      <c r="E19603" s="545"/>
      <c r="F19603" s="546"/>
      <c r="G19603" s="234"/>
      <c r="H19603" s="238"/>
      <c r="I19603" s="237"/>
    </row>
    <row r="19604" spans="1:9" s="232" customFormat="1" ht="17" customHeight="1">
      <c r="A19604" s="234"/>
      <c r="B19604" s="233"/>
      <c r="C19604" s="238"/>
      <c r="E19604" s="545"/>
      <c r="F19604" s="546"/>
      <c r="G19604" s="234"/>
      <c r="H19604" s="238"/>
      <c r="I19604" s="237"/>
    </row>
    <row r="19605" spans="1:9" s="232" customFormat="1" ht="17" customHeight="1">
      <c r="A19605" s="234"/>
      <c r="B19605" s="233"/>
      <c r="C19605" s="238"/>
      <c r="E19605" s="545"/>
      <c r="F19605" s="546"/>
      <c r="G19605" s="234"/>
      <c r="H19605" s="238"/>
      <c r="I19605" s="237"/>
    </row>
    <row r="19606" spans="1:9" s="232" customFormat="1" ht="17" customHeight="1">
      <c r="A19606" s="234"/>
      <c r="B19606" s="233"/>
      <c r="C19606" s="238"/>
      <c r="E19606" s="545"/>
      <c r="F19606" s="546"/>
      <c r="G19606" s="234"/>
      <c r="H19606" s="238"/>
      <c r="I19606" s="237"/>
    </row>
    <row r="19607" spans="1:9" s="232" customFormat="1" ht="17" customHeight="1">
      <c r="A19607" s="234"/>
      <c r="B19607" s="233"/>
      <c r="C19607" s="238"/>
      <c r="E19607" s="545"/>
      <c r="F19607" s="546"/>
      <c r="G19607" s="234"/>
      <c r="H19607" s="238"/>
      <c r="I19607" s="237"/>
    </row>
    <row r="19608" spans="1:9" s="232" customFormat="1" ht="17" customHeight="1">
      <c r="A19608" s="234"/>
      <c r="B19608" s="233"/>
      <c r="C19608" s="238"/>
      <c r="E19608" s="545"/>
      <c r="F19608" s="546"/>
      <c r="G19608" s="234"/>
      <c r="H19608" s="238"/>
      <c r="I19608" s="237"/>
    </row>
    <row r="19609" spans="1:9" s="232" customFormat="1" ht="17" customHeight="1">
      <c r="A19609" s="234"/>
      <c r="B19609" s="233"/>
      <c r="C19609" s="238"/>
      <c r="E19609" s="545"/>
      <c r="F19609" s="546"/>
      <c r="G19609" s="234"/>
      <c r="H19609" s="238"/>
      <c r="I19609" s="237"/>
    </row>
    <row r="19610" spans="1:9" s="232" customFormat="1" ht="17" customHeight="1">
      <c r="A19610" s="234"/>
      <c r="B19610" s="233"/>
      <c r="C19610" s="238"/>
      <c r="E19610" s="545"/>
      <c r="F19610" s="546"/>
      <c r="G19610" s="234"/>
      <c r="H19610" s="238"/>
      <c r="I19610" s="237"/>
    </row>
    <row r="19611" spans="1:9" s="232" customFormat="1" ht="17" customHeight="1">
      <c r="A19611" s="234"/>
      <c r="B19611" s="233"/>
      <c r="C19611" s="238"/>
      <c r="E19611" s="545"/>
      <c r="F19611" s="546"/>
      <c r="G19611" s="234"/>
      <c r="H19611" s="238"/>
      <c r="I19611" s="237"/>
    </row>
    <row r="19612" spans="1:9" s="232" customFormat="1" ht="17" customHeight="1">
      <c r="A19612" s="234"/>
      <c r="B19612" s="233"/>
      <c r="C19612" s="238"/>
      <c r="E19612" s="545"/>
      <c r="F19612" s="546"/>
      <c r="G19612" s="234"/>
      <c r="H19612" s="238"/>
      <c r="I19612" s="237"/>
    </row>
    <row r="19613" spans="1:9" s="232" customFormat="1" ht="17" customHeight="1">
      <c r="A19613" s="234"/>
      <c r="B19613" s="233"/>
      <c r="C19613" s="238"/>
      <c r="E19613" s="545"/>
      <c r="F19613" s="546"/>
      <c r="G19613" s="234"/>
      <c r="H19613" s="238"/>
      <c r="I19613" s="237"/>
    </row>
    <row r="19614" spans="1:9" s="232" customFormat="1" ht="17" customHeight="1">
      <c r="A19614" s="234"/>
      <c r="B19614" s="233"/>
      <c r="C19614" s="238"/>
      <c r="E19614" s="545"/>
      <c r="F19614" s="546"/>
      <c r="G19614" s="234"/>
      <c r="H19614" s="238"/>
      <c r="I19614" s="237"/>
    </row>
    <row r="19615" spans="1:9" s="232" customFormat="1" ht="17" customHeight="1">
      <c r="A19615" s="234"/>
      <c r="B19615" s="233"/>
      <c r="C19615" s="238"/>
      <c r="E19615" s="545"/>
      <c r="F19615" s="546"/>
      <c r="G19615" s="234"/>
      <c r="H19615" s="238"/>
      <c r="I19615" s="237"/>
    </row>
    <row r="19616" spans="1:9" s="232" customFormat="1" ht="17" customHeight="1">
      <c r="A19616" s="234"/>
      <c r="B19616" s="233"/>
      <c r="C19616" s="238"/>
      <c r="E19616" s="545"/>
      <c r="F19616" s="546"/>
      <c r="G19616" s="234"/>
      <c r="H19616" s="238"/>
      <c r="I19616" s="237"/>
    </row>
    <row r="19617" spans="1:9" s="232" customFormat="1" ht="17" customHeight="1">
      <c r="A19617" s="234"/>
      <c r="B19617" s="233"/>
      <c r="C19617" s="238"/>
      <c r="E19617" s="545"/>
      <c r="F19617" s="546"/>
      <c r="G19617" s="234"/>
      <c r="H19617" s="238"/>
      <c r="I19617" s="237"/>
    </row>
    <row r="19618" spans="1:9" s="232" customFormat="1" ht="17" customHeight="1">
      <c r="A19618" s="234"/>
      <c r="B19618" s="233"/>
      <c r="C19618" s="238"/>
      <c r="E19618" s="545"/>
      <c r="F19618" s="546"/>
      <c r="G19618" s="234"/>
      <c r="H19618" s="238"/>
      <c r="I19618" s="237"/>
    </row>
    <row r="19619" spans="1:9" s="232" customFormat="1" ht="17" customHeight="1">
      <c r="A19619" s="234"/>
      <c r="B19619" s="233"/>
      <c r="C19619" s="238"/>
      <c r="E19619" s="545"/>
      <c r="F19619" s="546"/>
      <c r="G19619" s="234"/>
      <c r="H19619" s="238"/>
      <c r="I19619" s="237"/>
    </row>
    <row r="19620" spans="1:9" s="232" customFormat="1" ht="17" customHeight="1">
      <c r="A19620" s="234"/>
      <c r="B19620" s="233"/>
      <c r="C19620" s="238"/>
      <c r="E19620" s="545"/>
      <c r="F19620" s="546"/>
      <c r="G19620" s="234"/>
      <c r="H19620" s="238"/>
      <c r="I19620" s="237"/>
    </row>
    <row r="19621" spans="1:9" s="232" customFormat="1" ht="17" customHeight="1">
      <c r="A19621" s="234"/>
      <c r="B19621" s="233"/>
      <c r="C19621" s="238"/>
      <c r="E19621" s="545"/>
      <c r="F19621" s="546"/>
      <c r="G19621" s="234"/>
      <c r="H19621" s="238"/>
      <c r="I19621" s="237"/>
    </row>
    <row r="19622" spans="1:9" s="232" customFormat="1" ht="17" customHeight="1">
      <c r="A19622" s="234"/>
      <c r="B19622" s="233"/>
      <c r="C19622" s="238"/>
      <c r="E19622" s="545"/>
      <c r="F19622" s="546"/>
      <c r="G19622" s="234"/>
      <c r="H19622" s="238"/>
      <c r="I19622" s="237"/>
    </row>
    <row r="19623" spans="1:9" s="232" customFormat="1" ht="17" customHeight="1">
      <c r="A19623" s="234"/>
      <c r="B19623" s="233"/>
      <c r="C19623" s="238"/>
      <c r="E19623" s="545"/>
      <c r="F19623" s="546"/>
      <c r="G19623" s="234"/>
      <c r="H19623" s="238"/>
      <c r="I19623" s="237"/>
    </row>
    <row r="19624" spans="1:9" s="232" customFormat="1" ht="17" customHeight="1">
      <c r="A19624" s="234"/>
      <c r="B19624" s="233"/>
      <c r="C19624" s="238"/>
      <c r="E19624" s="545"/>
      <c r="F19624" s="546"/>
      <c r="G19624" s="234"/>
      <c r="H19624" s="238"/>
      <c r="I19624" s="237"/>
    </row>
    <row r="19625" spans="1:9" s="232" customFormat="1" ht="17" customHeight="1">
      <c r="A19625" s="234"/>
      <c r="B19625" s="233"/>
      <c r="C19625" s="238"/>
      <c r="E19625" s="545"/>
      <c r="F19625" s="546"/>
      <c r="G19625" s="234"/>
      <c r="H19625" s="238"/>
      <c r="I19625" s="237"/>
    </row>
    <row r="19626" spans="1:9" s="232" customFormat="1" ht="17" customHeight="1">
      <c r="A19626" s="234"/>
      <c r="B19626" s="233"/>
      <c r="C19626" s="238"/>
      <c r="E19626" s="545"/>
      <c r="F19626" s="546"/>
      <c r="G19626" s="234"/>
      <c r="H19626" s="238"/>
      <c r="I19626" s="237"/>
    </row>
    <row r="19627" spans="1:9" s="232" customFormat="1" ht="17" customHeight="1">
      <c r="A19627" s="234"/>
      <c r="B19627" s="233"/>
      <c r="C19627" s="238"/>
      <c r="E19627" s="545"/>
      <c r="F19627" s="546"/>
      <c r="G19627" s="234"/>
      <c r="H19627" s="238"/>
      <c r="I19627" s="237"/>
    </row>
    <row r="19628" spans="1:9" s="232" customFormat="1" ht="17" customHeight="1">
      <c r="A19628" s="234"/>
      <c r="B19628" s="233"/>
      <c r="C19628" s="238"/>
      <c r="E19628" s="545"/>
      <c r="F19628" s="546"/>
      <c r="G19628" s="234"/>
      <c r="H19628" s="238"/>
      <c r="I19628" s="237"/>
    </row>
    <row r="19629" spans="1:9" s="232" customFormat="1" ht="17" customHeight="1">
      <c r="A19629" s="234"/>
      <c r="B19629" s="233"/>
      <c r="C19629" s="238"/>
      <c r="E19629" s="545"/>
      <c r="F19629" s="546"/>
      <c r="G19629" s="234"/>
      <c r="H19629" s="238"/>
      <c r="I19629" s="237"/>
    </row>
    <row r="19630" spans="1:9" s="232" customFormat="1" ht="17" customHeight="1">
      <c r="A19630" s="234"/>
      <c r="B19630" s="233"/>
      <c r="C19630" s="238"/>
      <c r="E19630" s="545"/>
      <c r="F19630" s="546"/>
      <c r="G19630" s="234"/>
      <c r="H19630" s="238"/>
      <c r="I19630" s="237"/>
    </row>
    <row r="19631" spans="1:9" s="232" customFormat="1" ht="17" customHeight="1">
      <c r="A19631" s="234"/>
      <c r="B19631" s="233"/>
      <c r="C19631" s="238"/>
      <c r="E19631" s="545"/>
      <c r="F19631" s="546"/>
      <c r="G19631" s="234"/>
      <c r="H19631" s="238"/>
      <c r="I19631" s="237"/>
    </row>
    <row r="19632" spans="1:9" s="232" customFormat="1" ht="17" customHeight="1">
      <c r="A19632" s="234"/>
      <c r="B19632" s="233"/>
      <c r="C19632" s="238"/>
      <c r="E19632" s="545"/>
      <c r="F19632" s="546"/>
      <c r="G19632" s="234"/>
      <c r="H19632" s="238"/>
      <c r="I19632" s="237"/>
    </row>
    <row r="19633" spans="1:9" s="232" customFormat="1" ht="17" customHeight="1">
      <c r="A19633" s="234"/>
      <c r="B19633" s="233"/>
      <c r="C19633" s="238"/>
      <c r="E19633" s="545"/>
      <c r="F19633" s="546"/>
      <c r="G19633" s="234"/>
      <c r="H19633" s="238"/>
      <c r="I19633" s="237"/>
    </row>
    <row r="19634" spans="1:9" s="232" customFormat="1" ht="17" customHeight="1">
      <c r="A19634" s="234"/>
      <c r="B19634" s="233"/>
      <c r="C19634" s="238"/>
      <c r="E19634" s="545"/>
      <c r="F19634" s="546"/>
      <c r="G19634" s="234"/>
      <c r="H19634" s="238"/>
      <c r="I19634" s="237"/>
    </row>
    <row r="19635" spans="1:9" s="232" customFormat="1" ht="17" customHeight="1">
      <c r="A19635" s="234"/>
      <c r="B19635" s="233"/>
      <c r="C19635" s="238"/>
      <c r="E19635" s="545"/>
      <c r="F19635" s="546"/>
      <c r="G19635" s="234"/>
      <c r="H19635" s="238"/>
      <c r="I19635" s="237"/>
    </row>
    <row r="19636" spans="1:9" s="232" customFormat="1" ht="17" customHeight="1">
      <c r="A19636" s="234"/>
      <c r="B19636" s="233"/>
      <c r="C19636" s="238"/>
      <c r="E19636" s="545"/>
      <c r="F19636" s="546"/>
      <c r="G19636" s="234"/>
      <c r="H19636" s="238"/>
      <c r="I19636" s="237"/>
    </row>
    <row r="19637" spans="1:9" s="232" customFormat="1" ht="17" customHeight="1">
      <c r="A19637" s="234"/>
      <c r="B19637" s="233"/>
      <c r="C19637" s="238"/>
      <c r="E19637" s="545"/>
      <c r="F19637" s="546"/>
      <c r="G19637" s="234"/>
      <c r="H19637" s="238"/>
      <c r="I19637" s="237"/>
    </row>
    <row r="19638" spans="1:9" s="232" customFormat="1" ht="17" customHeight="1">
      <c r="A19638" s="234"/>
      <c r="B19638" s="233"/>
      <c r="C19638" s="238"/>
      <c r="E19638" s="545"/>
      <c r="F19638" s="546"/>
      <c r="G19638" s="234"/>
      <c r="H19638" s="238"/>
      <c r="I19638" s="237"/>
    </row>
    <row r="19639" spans="1:9" s="232" customFormat="1" ht="17" customHeight="1">
      <c r="A19639" s="234"/>
      <c r="B19639" s="233"/>
      <c r="C19639" s="238"/>
      <c r="E19639" s="545"/>
      <c r="F19639" s="546"/>
      <c r="G19639" s="234"/>
      <c r="H19639" s="238"/>
      <c r="I19639" s="237"/>
    </row>
    <row r="19640" spans="1:9" s="232" customFormat="1" ht="17" customHeight="1">
      <c r="A19640" s="234"/>
      <c r="B19640" s="233"/>
      <c r="C19640" s="238"/>
      <c r="E19640" s="545"/>
      <c r="F19640" s="546"/>
      <c r="G19640" s="234"/>
      <c r="H19640" s="238"/>
      <c r="I19640" s="237"/>
    </row>
    <row r="19641" spans="1:9" s="232" customFormat="1" ht="17" customHeight="1">
      <c r="A19641" s="234"/>
      <c r="B19641" s="233"/>
      <c r="C19641" s="238"/>
      <c r="E19641" s="545"/>
      <c r="F19641" s="546"/>
      <c r="G19641" s="234"/>
      <c r="H19641" s="238"/>
      <c r="I19641" s="237"/>
    </row>
    <row r="19642" spans="1:9" s="232" customFormat="1" ht="17" customHeight="1">
      <c r="A19642" s="234"/>
      <c r="B19642" s="233"/>
      <c r="C19642" s="238"/>
      <c r="E19642" s="545"/>
      <c r="F19642" s="546"/>
      <c r="G19642" s="234"/>
      <c r="H19642" s="238"/>
      <c r="I19642" s="237"/>
    </row>
    <row r="19643" spans="1:9" s="232" customFormat="1" ht="17" customHeight="1">
      <c r="A19643" s="234"/>
      <c r="B19643" s="233"/>
      <c r="C19643" s="238"/>
      <c r="E19643" s="545"/>
      <c r="F19643" s="546"/>
      <c r="G19643" s="234"/>
      <c r="H19643" s="238"/>
      <c r="I19643" s="237"/>
    </row>
    <row r="19644" spans="1:9" s="232" customFormat="1" ht="17" customHeight="1">
      <c r="A19644" s="234"/>
      <c r="B19644" s="233"/>
      <c r="C19644" s="238"/>
      <c r="E19644" s="545"/>
      <c r="F19644" s="546"/>
      <c r="G19644" s="234"/>
      <c r="H19644" s="238"/>
      <c r="I19644" s="237"/>
    </row>
    <row r="19645" spans="1:9" s="232" customFormat="1" ht="17" customHeight="1">
      <c r="A19645" s="234"/>
      <c r="B19645" s="233"/>
      <c r="C19645" s="238"/>
      <c r="E19645" s="545"/>
      <c r="F19645" s="546"/>
      <c r="G19645" s="234"/>
      <c r="H19645" s="238"/>
      <c r="I19645" s="237"/>
    </row>
    <row r="19646" spans="1:9" s="232" customFormat="1" ht="17" customHeight="1">
      <c r="A19646" s="234"/>
      <c r="B19646" s="233"/>
      <c r="C19646" s="238"/>
      <c r="E19646" s="545"/>
      <c r="F19646" s="546"/>
      <c r="G19646" s="234"/>
      <c r="H19646" s="238"/>
      <c r="I19646" s="237"/>
    </row>
    <row r="19647" spans="1:9" s="232" customFormat="1" ht="17" customHeight="1">
      <c r="A19647" s="234"/>
      <c r="B19647" s="233"/>
      <c r="C19647" s="238"/>
      <c r="E19647" s="545"/>
      <c r="F19647" s="546"/>
      <c r="G19647" s="234"/>
      <c r="H19647" s="238"/>
      <c r="I19647" s="237"/>
    </row>
    <row r="19648" spans="1:9" s="232" customFormat="1" ht="17" customHeight="1">
      <c r="A19648" s="234"/>
      <c r="B19648" s="233"/>
      <c r="C19648" s="238"/>
      <c r="E19648" s="545"/>
      <c r="F19648" s="546"/>
      <c r="G19648" s="234"/>
      <c r="H19648" s="238"/>
      <c r="I19648" s="237"/>
    </row>
    <row r="19649" spans="1:9" s="232" customFormat="1" ht="17" customHeight="1">
      <c r="A19649" s="234"/>
      <c r="B19649" s="233"/>
      <c r="C19649" s="238"/>
      <c r="E19649" s="545"/>
      <c r="F19649" s="546"/>
      <c r="G19649" s="234"/>
      <c r="H19649" s="238"/>
      <c r="I19649" s="237"/>
    </row>
    <row r="19650" spans="1:9" s="232" customFormat="1" ht="17" customHeight="1">
      <c r="A19650" s="234"/>
      <c r="B19650" s="233"/>
      <c r="C19650" s="238"/>
      <c r="E19650" s="545"/>
      <c r="F19650" s="546"/>
      <c r="G19650" s="234"/>
      <c r="H19650" s="238"/>
      <c r="I19650" s="237"/>
    </row>
    <row r="19651" spans="1:9" s="232" customFormat="1" ht="17" customHeight="1">
      <c r="A19651" s="234"/>
      <c r="B19651" s="233"/>
      <c r="C19651" s="238"/>
      <c r="E19651" s="545"/>
      <c r="F19651" s="546"/>
      <c r="G19651" s="234"/>
      <c r="H19651" s="238"/>
      <c r="I19651" s="237"/>
    </row>
    <row r="19652" spans="1:9" s="232" customFormat="1" ht="17" customHeight="1">
      <c r="A19652" s="234"/>
      <c r="B19652" s="233"/>
      <c r="C19652" s="238"/>
      <c r="E19652" s="545"/>
      <c r="F19652" s="546"/>
      <c r="G19652" s="234"/>
      <c r="H19652" s="238"/>
      <c r="I19652" s="237"/>
    </row>
    <row r="19653" spans="1:9" s="232" customFormat="1" ht="17" customHeight="1">
      <c r="A19653" s="234"/>
      <c r="B19653" s="233"/>
      <c r="C19653" s="238"/>
      <c r="E19653" s="545"/>
      <c r="F19653" s="546"/>
      <c r="G19653" s="234"/>
      <c r="H19653" s="238"/>
      <c r="I19653" s="237"/>
    </row>
    <row r="19654" spans="1:9" s="232" customFormat="1" ht="17" customHeight="1">
      <c r="A19654" s="234"/>
      <c r="B19654" s="233"/>
      <c r="C19654" s="238"/>
      <c r="E19654" s="545"/>
      <c r="F19654" s="546"/>
      <c r="G19654" s="234"/>
      <c r="H19654" s="238"/>
      <c r="I19654" s="237"/>
    </row>
    <row r="19655" spans="1:9" s="232" customFormat="1" ht="17" customHeight="1">
      <c r="A19655" s="234"/>
      <c r="B19655" s="233"/>
      <c r="C19655" s="238"/>
      <c r="E19655" s="545"/>
      <c r="F19655" s="546"/>
      <c r="G19655" s="234"/>
      <c r="H19655" s="238"/>
      <c r="I19655" s="237"/>
    </row>
    <row r="19656" spans="1:9" s="232" customFormat="1" ht="17" customHeight="1">
      <c r="A19656" s="234"/>
      <c r="B19656" s="233"/>
      <c r="C19656" s="238"/>
      <c r="E19656" s="545"/>
      <c r="F19656" s="546"/>
      <c r="G19656" s="234"/>
      <c r="H19656" s="238"/>
      <c r="I19656" s="237"/>
    </row>
    <row r="19657" spans="1:9" s="232" customFormat="1" ht="17" customHeight="1">
      <c r="A19657" s="234"/>
      <c r="B19657" s="233"/>
      <c r="C19657" s="238"/>
      <c r="E19657" s="545"/>
      <c r="F19657" s="546"/>
      <c r="G19657" s="234"/>
      <c r="H19657" s="238"/>
      <c r="I19657" s="237"/>
    </row>
    <row r="19658" spans="1:9" s="232" customFormat="1" ht="17" customHeight="1">
      <c r="A19658" s="234"/>
      <c r="B19658" s="233"/>
      <c r="C19658" s="238"/>
      <c r="E19658" s="545"/>
      <c r="F19658" s="546"/>
      <c r="G19658" s="234"/>
      <c r="H19658" s="238"/>
      <c r="I19658" s="237"/>
    </row>
    <row r="19659" spans="1:9" s="232" customFormat="1" ht="17" customHeight="1">
      <c r="A19659" s="234"/>
      <c r="B19659" s="233"/>
      <c r="C19659" s="238"/>
      <c r="E19659" s="545"/>
      <c r="F19659" s="546"/>
      <c r="G19659" s="234"/>
      <c r="H19659" s="238"/>
      <c r="I19659" s="237"/>
    </row>
    <row r="19660" spans="1:9" s="232" customFormat="1" ht="17" customHeight="1">
      <c r="A19660" s="234"/>
      <c r="B19660" s="233"/>
      <c r="C19660" s="238"/>
      <c r="E19660" s="545"/>
      <c r="F19660" s="546"/>
      <c r="G19660" s="234"/>
      <c r="H19660" s="238"/>
      <c r="I19660" s="237"/>
    </row>
    <row r="19661" spans="1:9" s="232" customFormat="1" ht="17" customHeight="1">
      <c r="A19661" s="234"/>
      <c r="B19661" s="233"/>
      <c r="C19661" s="238"/>
      <c r="E19661" s="545"/>
      <c r="F19661" s="546"/>
      <c r="G19661" s="234"/>
      <c r="H19661" s="238"/>
      <c r="I19661" s="237"/>
    </row>
    <row r="19662" spans="1:9" s="232" customFormat="1" ht="17" customHeight="1">
      <c r="A19662" s="234"/>
      <c r="B19662" s="233"/>
      <c r="C19662" s="238"/>
      <c r="E19662" s="545"/>
      <c r="F19662" s="546"/>
      <c r="G19662" s="234"/>
      <c r="H19662" s="238"/>
      <c r="I19662" s="237"/>
    </row>
    <row r="19663" spans="1:9" s="232" customFormat="1" ht="17" customHeight="1">
      <c r="A19663" s="234"/>
      <c r="B19663" s="233"/>
      <c r="C19663" s="238"/>
      <c r="E19663" s="545"/>
      <c r="F19663" s="546"/>
      <c r="G19663" s="234"/>
      <c r="H19663" s="238"/>
      <c r="I19663" s="237"/>
    </row>
    <row r="19664" spans="1:9" s="232" customFormat="1" ht="17" customHeight="1">
      <c r="A19664" s="234"/>
      <c r="B19664" s="233"/>
      <c r="C19664" s="238"/>
      <c r="E19664" s="545"/>
      <c r="F19664" s="546"/>
      <c r="G19664" s="234"/>
      <c r="H19664" s="238"/>
      <c r="I19664" s="237"/>
    </row>
    <row r="19665" spans="1:9" s="232" customFormat="1" ht="17" customHeight="1">
      <c r="A19665" s="234"/>
      <c r="B19665" s="233"/>
      <c r="C19665" s="238"/>
      <c r="E19665" s="545"/>
      <c r="F19665" s="546"/>
      <c r="G19665" s="234"/>
      <c r="H19665" s="238"/>
      <c r="I19665" s="237"/>
    </row>
    <row r="19666" spans="1:9" s="232" customFormat="1" ht="17" customHeight="1">
      <c r="A19666" s="234"/>
      <c r="B19666" s="233"/>
      <c r="C19666" s="238"/>
      <c r="E19666" s="545"/>
      <c r="F19666" s="546"/>
      <c r="G19666" s="234"/>
      <c r="H19666" s="238"/>
      <c r="I19666" s="237"/>
    </row>
    <row r="19667" spans="1:9" s="232" customFormat="1" ht="17" customHeight="1">
      <c r="A19667" s="234"/>
      <c r="B19667" s="233"/>
      <c r="C19667" s="238"/>
      <c r="E19667" s="545"/>
      <c r="F19667" s="546"/>
      <c r="G19667" s="234"/>
      <c r="H19667" s="238"/>
      <c r="I19667" s="237"/>
    </row>
    <row r="19668" spans="1:9" s="232" customFormat="1" ht="17" customHeight="1">
      <c r="A19668" s="234"/>
      <c r="B19668" s="233"/>
      <c r="C19668" s="238"/>
      <c r="E19668" s="545"/>
      <c r="F19668" s="546"/>
      <c r="G19668" s="234"/>
      <c r="H19668" s="238"/>
      <c r="I19668" s="237"/>
    </row>
    <row r="19669" spans="1:9" s="232" customFormat="1" ht="17" customHeight="1">
      <c r="A19669" s="234"/>
      <c r="B19669" s="233"/>
      <c r="C19669" s="238"/>
      <c r="E19669" s="545"/>
      <c r="F19669" s="546"/>
      <c r="G19669" s="234"/>
      <c r="H19669" s="238"/>
      <c r="I19669" s="237"/>
    </row>
    <row r="19670" spans="1:9" s="232" customFormat="1" ht="17" customHeight="1">
      <c r="A19670" s="234"/>
      <c r="B19670" s="233"/>
      <c r="C19670" s="238"/>
      <c r="E19670" s="545"/>
      <c r="F19670" s="546"/>
      <c r="G19670" s="234"/>
      <c r="H19670" s="238"/>
      <c r="I19670" s="237"/>
    </row>
    <row r="19671" spans="1:9" s="232" customFormat="1" ht="17" customHeight="1">
      <c r="A19671" s="234"/>
      <c r="B19671" s="233"/>
      <c r="C19671" s="238"/>
      <c r="E19671" s="545"/>
      <c r="F19671" s="546"/>
      <c r="G19671" s="234"/>
      <c r="H19671" s="238"/>
      <c r="I19671" s="237"/>
    </row>
    <row r="19672" spans="1:9" s="232" customFormat="1" ht="17" customHeight="1">
      <c r="A19672" s="234"/>
      <c r="B19672" s="233"/>
      <c r="C19672" s="238"/>
      <c r="E19672" s="545"/>
      <c r="F19672" s="546"/>
      <c r="G19672" s="234"/>
      <c r="H19672" s="238"/>
      <c r="I19672" s="237"/>
    </row>
    <row r="19673" spans="1:9" s="232" customFormat="1" ht="17" customHeight="1">
      <c r="A19673" s="234"/>
      <c r="B19673" s="233"/>
      <c r="C19673" s="238"/>
      <c r="E19673" s="545"/>
      <c r="F19673" s="546"/>
      <c r="G19673" s="234"/>
      <c r="H19673" s="238"/>
      <c r="I19673" s="237"/>
    </row>
    <row r="19674" spans="1:9" s="232" customFormat="1" ht="17" customHeight="1">
      <c r="A19674" s="234"/>
      <c r="B19674" s="233"/>
      <c r="C19674" s="238"/>
      <c r="E19674" s="545"/>
      <c r="F19674" s="546"/>
      <c r="G19674" s="234"/>
      <c r="H19674" s="238"/>
      <c r="I19674" s="237"/>
    </row>
    <row r="19675" spans="1:9" s="232" customFormat="1" ht="17" customHeight="1">
      <c r="A19675" s="234"/>
      <c r="B19675" s="233"/>
      <c r="C19675" s="238"/>
      <c r="E19675" s="545"/>
      <c r="F19675" s="546"/>
      <c r="G19675" s="234"/>
      <c r="H19675" s="238"/>
      <c r="I19675" s="237"/>
    </row>
    <row r="19676" spans="1:9" s="232" customFormat="1" ht="17" customHeight="1">
      <c r="A19676" s="234"/>
      <c r="B19676" s="233"/>
      <c r="C19676" s="238"/>
      <c r="E19676" s="545"/>
      <c r="F19676" s="546"/>
      <c r="G19676" s="234"/>
      <c r="H19676" s="238"/>
      <c r="I19676" s="237"/>
    </row>
    <row r="19677" spans="1:9" s="232" customFormat="1" ht="17" customHeight="1">
      <c r="A19677" s="234"/>
      <c r="B19677" s="233"/>
      <c r="C19677" s="238"/>
      <c r="E19677" s="545"/>
      <c r="F19677" s="546"/>
      <c r="G19677" s="234"/>
      <c r="H19677" s="238"/>
      <c r="I19677" s="237"/>
    </row>
    <row r="19678" spans="1:9" s="232" customFormat="1" ht="17" customHeight="1">
      <c r="A19678" s="234"/>
      <c r="B19678" s="233"/>
      <c r="C19678" s="238"/>
      <c r="E19678" s="545"/>
      <c r="F19678" s="546"/>
      <c r="G19678" s="234"/>
      <c r="H19678" s="238"/>
      <c r="I19678" s="237"/>
    </row>
    <row r="19679" spans="1:9" s="232" customFormat="1" ht="17" customHeight="1">
      <c r="A19679" s="234"/>
      <c r="B19679" s="233"/>
      <c r="C19679" s="238"/>
      <c r="E19679" s="545"/>
      <c r="F19679" s="546"/>
      <c r="G19679" s="234"/>
      <c r="H19679" s="238"/>
      <c r="I19679" s="237"/>
    </row>
    <row r="19680" spans="1:9" s="232" customFormat="1" ht="17" customHeight="1">
      <c r="A19680" s="234"/>
      <c r="B19680" s="233"/>
      <c r="C19680" s="238"/>
      <c r="E19680" s="545"/>
      <c r="F19680" s="546"/>
      <c r="G19680" s="234"/>
      <c r="H19680" s="238"/>
      <c r="I19680" s="237"/>
    </row>
    <row r="19681" spans="1:9" s="232" customFormat="1" ht="17" customHeight="1">
      <c r="A19681" s="234"/>
      <c r="B19681" s="233"/>
      <c r="C19681" s="238"/>
      <c r="E19681" s="545"/>
      <c r="F19681" s="546"/>
      <c r="G19681" s="234"/>
      <c r="H19681" s="238"/>
      <c r="I19681" s="237"/>
    </row>
    <row r="19682" spans="1:9" s="232" customFormat="1" ht="17" customHeight="1">
      <c r="A19682" s="234"/>
      <c r="B19682" s="233"/>
      <c r="C19682" s="238"/>
      <c r="E19682" s="545"/>
      <c r="F19682" s="546"/>
      <c r="G19682" s="234"/>
      <c r="H19682" s="238"/>
      <c r="I19682" s="237"/>
    </row>
    <row r="19683" spans="1:9" s="232" customFormat="1" ht="17" customHeight="1">
      <c r="A19683" s="234"/>
      <c r="B19683" s="233"/>
      <c r="C19683" s="238"/>
      <c r="E19683" s="545"/>
      <c r="F19683" s="546"/>
      <c r="G19683" s="234"/>
      <c r="H19683" s="238"/>
      <c r="I19683" s="237"/>
    </row>
    <row r="19684" spans="1:9" s="232" customFormat="1" ht="17" customHeight="1">
      <c r="A19684" s="234"/>
      <c r="B19684" s="233"/>
      <c r="C19684" s="238"/>
      <c r="E19684" s="545"/>
      <c r="F19684" s="546"/>
      <c r="G19684" s="234"/>
      <c r="H19684" s="238"/>
      <c r="I19684" s="237"/>
    </row>
    <row r="19685" spans="1:9" s="232" customFormat="1" ht="17" customHeight="1">
      <c r="A19685" s="234"/>
      <c r="B19685" s="233"/>
      <c r="C19685" s="238"/>
      <c r="E19685" s="545"/>
      <c r="F19685" s="546"/>
      <c r="G19685" s="234"/>
      <c r="H19685" s="238"/>
      <c r="I19685" s="237"/>
    </row>
    <row r="19686" spans="1:9" s="232" customFormat="1" ht="17" customHeight="1">
      <c r="A19686" s="234"/>
      <c r="B19686" s="233"/>
      <c r="C19686" s="238"/>
      <c r="E19686" s="545"/>
      <c r="F19686" s="546"/>
      <c r="G19686" s="234"/>
      <c r="H19686" s="238"/>
      <c r="I19686" s="237"/>
    </row>
    <row r="19687" spans="1:9" s="232" customFormat="1" ht="17" customHeight="1">
      <c r="A19687" s="234"/>
      <c r="B19687" s="233"/>
      <c r="C19687" s="238"/>
      <c r="E19687" s="545"/>
      <c r="F19687" s="546"/>
      <c r="G19687" s="234"/>
      <c r="H19687" s="238"/>
      <c r="I19687" s="237"/>
    </row>
    <row r="19688" spans="1:9" s="232" customFormat="1" ht="17" customHeight="1">
      <c r="A19688" s="234"/>
      <c r="B19688" s="233"/>
      <c r="C19688" s="238"/>
      <c r="E19688" s="545"/>
      <c r="F19688" s="546"/>
      <c r="G19688" s="234"/>
      <c r="H19688" s="238"/>
      <c r="I19688" s="237"/>
    </row>
    <row r="19689" spans="1:9" s="232" customFormat="1" ht="17" customHeight="1">
      <c r="A19689" s="234"/>
      <c r="B19689" s="233"/>
      <c r="C19689" s="238"/>
      <c r="E19689" s="545"/>
      <c r="F19689" s="546"/>
      <c r="G19689" s="234"/>
      <c r="H19689" s="238"/>
      <c r="I19689" s="237"/>
    </row>
    <row r="19690" spans="1:9" s="232" customFormat="1" ht="17" customHeight="1">
      <c r="A19690" s="234"/>
      <c r="B19690" s="233"/>
      <c r="C19690" s="238"/>
      <c r="E19690" s="545"/>
      <c r="F19690" s="546"/>
      <c r="G19690" s="234"/>
      <c r="H19690" s="238"/>
      <c r="I19690" s="237"/>
    </row>
    <row r="19691" spans="1:9" s="232" customFormat="1" ht="17" customHeight="1">
      <c r="A19691" s="234"/>
      <c r="B19691" s="233"/>
      <c r="C19691" s="238"/>
      <c r="E19691" s="545"/>
      <c r="F19691" s="546"/>
      <c r="G19691" s="234"/>
      <c r="H19691" s="238"/>
      <c r="I19691" s="237"/>
    </row>
    <row r="19692" spans="1:9" s="232" customFormat="1" ht="17" customHeight="1">
      <c r="A19692" s="234"/>
      <c r="B19692" s="233"/>
      <c r="C19692" s="238"/>
      <c r="E19692" s="545"/>
      <c r="F19692" s="546"/>
      <c r="G19692" s="234"/>
      <c r="H19692" s="238"/>
      <c r="I19692" s="237"/>
    </row>
    <row r="19693" spans="1:9" s="232" customFormat="1" ht="17" customHeight="1">
      <c r="A19693" s="234"/>
      <c r="B19693" s="233"/>
      <c r="C19693" s="238"/>
      <c r="E19693" s="545"/>
      <c r="F19693" s="546"/>
      <c r="G19693" s="234"/>
      <c r="H19693" s="238"/>
      <c r="I19693" s="237"/>
    </row>
    <row r="19694" spans="1:9" s="232" customFormat="1" ht="17" customHeight="1">
      <c r="A19694" s="234"/>
      <c r="B19694" s="233"/>
      <c r="C19694" s="238"/>
      <c r="E19694" s="545"/>
      <c r="F19694" s="546"/>
      <c r="G19694" s="234"/>
      <c r="H19694" s="238"/>
      <c r="I19694" s="237"/>
    </row>
    <row r="19695" spans="1:9" s="232" customFormat="1" ht="17" customHeight="1">
      <c r="A19695" s="234"/>
      <c r="B19695" s="233"/>
      <c r="C19695" s="238"/>
      <c r="E19695" s="545"/>
      <c r="F19695" s="546"/>
      <c r="G19695" s="234"/>
      <c r="H19695" s="238"/>
      <c r="I19695" s="237"/>
    </row>
    <row r="19696" spans="1:9" s="232" customFormat="1" ht="17" customHeight="1">
      <c r="A19696" s="234"/>
      <c r="B19696" s="233"/>
      <c r="C19696" s="238"/>
      <c r="E19696" s="545"/>
      <c r="F19696" s="546"/>
      <c r="G19696" s="234"/>
      <c r="H19696" s="238"/>
      <c r="I19696" s="237"/>
    </row>
    <row r="19697" spans="1:9" s="232" customFormat="1" ht="17" customHeight="1">
      <c r="A19697" s="234"/>
      <c r="B19697" s="233"/>
      <c r="C19697" s="238"/>
      <c r="E19697" s="545"/>
      <c r="F19697" s="546"/>
      <c r="G19697" s="234"/>
      <c r="H19697" s="238"/>
      <c r="I19697" s="237"/>
    </row>
    <row r="19698" spans="1:9" s="232" customFormat="1" ht="17" customHeight="1">
      <c r="A19698" s="234"/>
      <c r="B19698" s="233"/>
      <c r="C19698" s="238"/>
      <c r="E19698" s="545"/>
      <c r="F19698" s="546"/>
      <c r="G19698" s="234"/>
      <c r="H19698" s="238"/>
      <c r="I19698" s="237"/>
    </row>
    <row r="19699" spans="1:9" s="232" customFormat="1" ht="17" customHeight="1">
      <c r="A19699" s="234"/>
      <c r="B19699" s="233"/>
      <c r="C19699" s="238"/>
      <c r="E19699" s="545"/>
      <c r="F19699" s="546"/>
      <c r="G19699" s="234"/>
      <c r="H19699" s="238"/>
      <c r="I19699" s="237"/>
    </row>
    <row r="19700" spans="1:9" s="232" customFormat="1" ht="17" customHeight="1">
      <c r="A19700" s="234"/>
      <c r="B19700" s="233"/>
      <c r="C19700" s="238"/>
      <c r="E19700" s="545"/>
      <c r="F19700" s="546"/>
      <c r="G19700" s="234"/>
      <c r="H19700" s="238"/>
      <c r="I19700" s="237"/>
    </row>
    <row r="19701" spans="1:9" s="232" customFormat="1" ht="17" customHeight="1">
      <c r="A19701" s="234"/>
      <c r="B19701" s="233"/>
      <c r="C19701" s="238"/>
      <c r="E19701" s="545"/>
      <c r="F19701" s="546"/>
      <c r="G19701" s="234"/>
      <c r="H19701" s="238"/>
      <c r="I19701" s="237"/>
    </row>
    <row r="19702" spans="1:9" s="232" customFormat="1" ht="17" customHeight="1">
      <c r="A19702" s="234"/>
      <c r="B19702" s="233"/>
      <c r="C19702" s="238"/>
      <c r="E19702" s="545"/>
      <c r="F19702" s="546"/>
      <c r="G19702" s="234"/>
      <c r="H19702" s="238"/>
      <c r="I19702" s="237"/>
    </row>
    <row r="19703" spans="1:9" s="232" customFormat="1" ht="17" customHeight="1">
      <c r="A19703" s="234"/>
      <c r="B19703" s="233"/>
      <c r="C19703" s="238"/>
      <c r="E19703" s="545"/>
      <c r="F19703" s="546"/>
      <c r="G19703" s="234"/>
      <c r="H19703" s="238"/>
      <c r="I19703" s="237"/>
    </row>
    <row r="19704" spans="1:9" s="232" customFormat="1" ht="17" customHeight="1">
      <c r="A19704" s="234"/>
      <c r="B19704" s="233"/>
      <c r="C19704" s="238"/>
      <c r="E19704" s="545"/>
      <c r="F19704" s="546"/>
      <c r="G19704" s="234"/>
      <c r="H19704" s="238"/>
      <c r="I19704" s="237"/>
    </row>
    <row r="19705" spans="1:9" s="232" customFormat="1" ht="17" customHeight="1">
      <c r="A19705" s="234"/>
      <c r="B19705" s="233"/>
      <c r="C19705" s="238"/>
      <c r="E19705" s="545"/>
      <c r="F19705" s="546"/>
      <c r="G19705" s="234"/>
      <c r="H19705" s="238"/>
      <c r="I19705" s="237"/>
    </row>
    <row r="19706" spans="1:9" s="232" customFormat="1" ht="17" customHeight="1">
      <c r="A19706" s="234"/>
      <c r="B19706" s="233"/>
      <c r="C19706" s="238"/>
      <c r="E19706" s="545"/>
      <c r="F19706" s="546"/>
      <c r="G19706" s="234"/>
      <c r="H19706" s="238"/>
      <c r="I19706" s="237"/>
    </row>
    <row r="19707" spans="1:9" s="232" customFormat="1" ht="17" customHeight="1">
      <c r="A19707" s="234"/>
      <c r="B19707" s="233"/>
      <c r="C19707" s="238"/>
      <c r="E19707" s="545"/>
      <c r="F19707" s="546"/>
      <c r="G19707" s="234"/>
      <c r="H19707" s="238"/>
      <c r="I19707" s="237"/>
    </row>
    <row r="19708" spans="1:9" s="232" customFormat="1" ht="17" customHeight="1">
      <c r="A19708" s="234"/>
      <c r="B19708" s="233"/>
      <c r="C19708" s="238"/>
      <c r="E19708" s="545"/>
      <c r="F19708" s="546"/>
      <c r="G19708" s="234"/>
      <c r="H19708" s="238"/>
      <c r="I19708" s="237"/>
    </row>
    <row r="19709" spans="1:9" s="232" customFormat="1" ht="17" customHeight="1">
      <c r="A19709" s="234"/>
      <c r="B19709" s="233"/>
      <c r="C19709" s="238"/>
      <c r="E19709" s="545"/>
      <c r="F19709" s="546"/>
      <c r="G19709" s="234"/>
      <c r="H19709" s="238"/>
      <c r="I19709" s="237"/>
    </row>
    <row r="19710" spans="1:9" s="232" customFormat="1" ht="17" customHeight="1">
      <c r="A19710" s="234"/>
      <c r="B19710" s="233"/>
      <c r="C19710" s="238"/>
      <c r="E19710" s="545"/>
      <c r="F19710" s="546"/>
      <c r="G19710" s="234"/>
      <c r="H19710" s="238"/>
      <c r="I19710" s="237"/>
    </row>
    <row r="19711" spans="1:9" s="232" customFormat="1" ht="17" customHeight="1">
      <c r="A19711" s="234"/>
      <c r="B19711" s="233"/>
      <c r="C19711" s="238"/>
      <c r="E19711" s="545"/>
      <c r="F19711" s="546"/>
      <c r="G19711" s="234"/>
      <c r="H19711" s="238"/>
      <c r="I19711" s="237"/>
    </row>
    <row r="19712" spans="1:9" s="232" customFormat="1" ht="17" customHeight="1">
      <c r="A19712" s="234"/>
      <c r="B19712" s="233"/>
      <c r="C19712" s="238"/>
      <c r="E19712" s="545"/>
      <c r="F19712" s="546"/>
      <c r="G19712" s="234"/>
      <c r="H19712" s="238"/>
      <c r="I19712" s="237"/>
    </row>
    <row r="19713" spans="1:9" s="232" customFormat="1" ht="17" customHeight="1">
      <c r="A19713" s="234"/>
      <c r="B19713" s="233"/>
      <c r="C19713" s="238"/>
      <c r="E19713" s="545"/>
      <c r="F19713" s="546"/>
      <c r="G19713" s="234"/>
      <c r="H19713" s="238"/>
      <c r="I19713" s="237"/>
    </row>
    <row r="19714" spans="1:9" s="232" customFormat="1" ht="17" customHeight="1">
      <c r="A19714" s="234"/>
      <c r="B19714" s="233"/>
      <c r="C19714" s="238"/>
      <c r="E19714" s="545"/>
      <c r="F19714" s="546"/>
      <c r="G19714" s="234"/>
      <c r="H19714" s="238"/>
      <c r="I19714" s="237"/>
    </row>
    <row r="19715" spans="1:9" s="232" customFormat="1" ht="17" customHeight="1">
      <c r="A19715" s="234"/>
      <c r="B19715" s="233"/>
      <c r="C19715" s="238"/>
      <c r="E19715" s="545"/>
      <c r="F19715" s="546"/>
      <c r="G19715" s="234"/>
      <c r="H19715" s="238"/>
      <c r="I19715" s="237"/>
    </row>
    <row r="19716" spans="1:9" s="232" customFormat="1" ht="17" customHeight="1">
      <c r="A19716" s="234"/>
      <c r="B19716" s="233"/>
      <c r="C19716" s="238"/>
      <c r="E19716" s="545"/>
      <c r="F19716" s="546"/>
      <c r="G19716" s="234"/>
      <c r="H19716" s="238"/>
      <c r="I19716" s="237"/>
    </row>
    <row r="19717" spans="1:9" s="232" customFormat="1" ht="17" customHeight="1">
      <c r="A19717" s="234"/>
      <c r="B19717" s="233"/>
      <c r="C19717" s="238"/>
      <c r="E19717" s="545"/>
      <c r="F19717" s="546"/>
      <c r="G19717" s="234"/>
      <c r="H19717" s="238"/>
      <c r="I19717" s="237"/>
    </row>
    <row r="19718" spans="1:9" s="232" customFormat="1" ht="17" customHeight="1">
      <c r="A19718" s="234"/>
      <c r="B19718" s="233"/>
      <c r="C19718" s="238"/>
      <c r="E19718" s="545"/>
      <c r="F19718" s="546"/>
      <c r="G19718" s="234"/>
      <c r="H19718" s="238"/>
      <c r="I19718" s="237"/>
    </row>
    <row r="19719" spans="1:9" s="232" customFormat="1" ht="17" customHeight="1">
      <c r="A19719" s="234"/>
      <c r="B19719" s="233"/>
      <c r="C19719" s="238"/>
      <c r="E19719" s="545"/>
      <c r="F19719" s="546"/>
      <c r="G19719" s="234"/>
      <c r="H19719" s="238"/>
      <c r="I19719" s="237"/>
    </row>
    <row r="19720" spans="1:9" s="232" customFormat="1" ht="17" customHeight="1">
      <c r="A19720" s="234"/>
      <c r="B19720" s="233"/>
      <c r="C19720" s="238"/>
      <c r="E19720" s="545"/>
      <c r="F19720" s="546"/>
      <c r="G19720" s="234"/>
      <c r="H19720" s="238"/>
      <c r="I19720" s="237"/>
    </row>
    <row r="19721" spans="1:9" s="232" customFormat="1" ht="17" customHeight="1">
      <c r="A19721" s="234"/>
      <c r="B19721" s="233"/>
      <c r="C19721" s="238"/>
      <c r="E19721" s="545"/>
      <c r="F19721" s="546"/>
      <c r="G19721" s="234"/>
      <c r="H19721" s="238"/>
      <c r="I19721" s="237"/>
    </row>
    <row r="19722" spans="1:9" s="232" customFormat="1" ht="17" customHeight="1">
      <c r="A19722" s="234"/>
      <c r="B19722" s="233"/>
      <c r="C19722" s="238"/>
      <c r="E19722" s="545"/>
      <c r="F19722" s="546"/>
      <c r="G19722" s="234"/>
      <c r="H19722" s="238"/>
      <c r="I19722" s="237"/>
    </row>
    <row r="19723" spans="1:9" s="232" customFormat="1" ht="17" customHeight="1">
      <c r="A19723" s="234"/>
      <c r="B19723" s="233"/>
      <c r="C19723" s="238"/>
      <c r="E19723" s="545"/>
      <c r="F19723" s="546"/>
      <c r="G19723" s="234"/>
      <c r="H19723" s="238"/>
      <c r="I19723" s="237"/>
    </row>
    <row r="19724" spans="1:9" s="232" customFormat="1" ht="17" customHeight="1">
      <c r="A19724" s="234"/>
      <c r="B19724" s="233"/>
      <c r="C19724" s="238"/>
      <c r="E19724" s="545"/>
      <c r="F19724" s="546"/>
      <c r="G19724" s="234"/>
      <c r="H19724" s="238"/>
      <c r="I19724" s="237"/>
    </row>
    <row r="19725" spans="1:9" s="232" customFormat="1" ht="17" customHeight="1">
      <c r="A19725" s="234"/>
      <c r="B19725" s="233"/>
      <c r="C19725" s="238"/>
      <c r="E19725" s="545"/>
      <c r="F19725" s="546"/>
      <c r="G19725" s="234"/>
      <c r="H19725" s="238"/>
      <c r="I19725" s="237"/>
    </row>
    <row r="19726" spans="1:9" s="232" customFormat="1" ht="17" customHeight="1">
      <c r="A19726" s="234"/>
      <c r="B19726" s="233"/>
      <c r="C19726" s="238"/>
      <c r="E19726" s="545"/>
      <c r="F19726" s="546"/>
      <c r="G19726" s="234"/>
      <c r="H19726" s="238"/>
      <c r="I19726" s="237"/>
    </row>
    <row r="19727" spans="1:9" s="232" customFormat="1" ht="17" customHeight="1">
      <c r="A19727" s="234"/>
      <c r="B19727" s="233"/>
      <c r="C19727" s="238"/>
      <c r="E19727" s="545"/>
      <c r="F19727" s="546"/>
      <c r="G19727" s="234"/>
      <c r="H19727" s="238"/>
      <c r="I19727" s="237"/>
    </row>
    <row r="19728" spans="1:9" s="232" customFormat="1" ht="17" customHeight="1">
      <c r="A19728" s="234"/>
      <c r="B19728" s="233"/>
      <c r="C19728" s="238"/>
      <c r="E19728" s="545"/>
      <c r="F19728" s="546"/>
      <c r="G19728" s="234"/>
      <c r="H19728" s="238"/>
      <c r="I19728" s="237"/>
    </row>
    <row r="19729" spans="1:9" s="232" customFormat="1" ht="17" customHeight="1">
      <c r="A19729" s="234"/>
      <c r="B19729" s="233"/>
      <c r="C19729" s="238"/>
      <c r="E19729" s="545"/>
      <c r="F19729" s="546"/>
      <c r="G19729" s="234"/>
      <c r="H19729" s="238"/>
      <c r="I19729" s="237"/>
    </row>
    <row r="19730" spans="1:9" s="232" customFormat="1" ht="17" customHeight="1">
      <c r="A19730" s="234"/>
      <c r="B19730" s="233"/>
      <c r="C19730" s="238"/>
      <c r="E19730" s="545"/>
      <c r="F19730" s="546"/>
      <c r="G19730" s="234"/>
      <c r="H19730" s="238"/>
      <c r="I19730" s="237"/>
    </row>
    <row r="19731" spans="1:9" s="232" customFormat="1" ht="17" customHeight="1">
      <c r="A19731" s="234"/>
      <c r="B19731" s="233"/>
      <c r="C19731" s="238"/>
      <c r="E19731" s="545"/>
      <c r="F19731" s="546"/>
      <c r="G19731" s="234"/>
      <c r="H19731" s="238"/>
      <c r="I19731" s="237"/>
    </row>
    <row r="19732" spans="1:9" s="232" customFormat="1" ht="17" customHeight="1">
      <c r="A19732" s="234"/>
      <c r="B19732" s="233"/>
      <c r="C19732" s="238"/>
      <c r="E19732" s="545"/>
      <c r="F19732" s="546"/>
      <c r="G19732" s="234"/>
      <c r="H19732" s="238"/>
      <c r="I19732" s="237"/>
    </row>
    <row r="19733" spans="1:9" s="232" customFormat="1" ht="17" customHeight="1">
      <c r="A19733" s="234"/>
      <c r="B19733" s="233"/>
      <c r="C19733" s="238"/>
      <c r="E19733" s="545"/>
      <c r="F19733" s="546"/>
      <c r="G19733" s="234"/>
      <c r="H19733" s="238"/>
      <c r="I19733" s="237"/>
    </row>
    <row r="19734" spans="1:9" s="232" customFormat="1" ht="17" customHeight="1">
      <c r="A19734" s="234"/>
      <c r="B19734" s="233"/>
      <c r="C19734" s="238"/>
      <c r="E19734" s="545"/>
      <c r="F19734" s="546"/>
      <c r="G19734" s="234"/>
      <c r="H19734" s="238"/>
      <c r="I19734" s="237"/>
    </row>
    <row r="19735" spans="1:9" s="232" customFormat="1" ht="17" customHeight="1">
      <c r="A19735" s="234"/>
      <c r="B19735" s="233"/>
      <c r="C19735" s="238"/>
      <c r="E19735" s="545"/>
      <c r="F19735" s="546"/>
      <c r="G19735" s="234"/>
      <c r="H19735" s="238"/>
      <c r="I19735" s="237"/>
    </row>
    <row r="19736" spans="1:9" s="232" customFormat="1" ht="17" customHeight="1">
      <c r="A19736" s="234"/>
      <c r="B19736" s="233"/>
      <c r="C19736" s="238"/>
      <c r="E19736" s="545"/>
      <c r="F19736" s="546"/>
      <c r="G19736" s="234"/>
      <c r="H19736" s="238"/>
      <c r="I19736" s="237"/>
    </row>
    <row r="19737" spans="1:9" s="232" customFormat="1" ht="17" customHeight="1">
      <c r="A19737" s="234"/>
      <c r="B19737" s="233"/>
      <c r="C19737" s="238"/>
      <c r="E19737" s="545"/>
      <c r="F19737" s="546"/>
      <c r="G19737" s="234"/>
      <c r="H19737" s="238"/>
      <c r="I19737" s="237"/>
    </row>
    <row r="19738" spans="1:9" s="232" customFormat="1" ht="17" customHeight="1">
      <c r="A19738" s="234"/>
      <c r="B19738" s="233"/>
      <c r="C19738" s="238"/>
      <c r="E19738" s="545"/>
      <c r="F19738" s="546"/>
      <c r="G19738" s="234"/>
      <c r="H19738" s="238"/>
      <c r="I19738" s="237"/>
    </row>
    <row r="19739" spans="1:9" s="232" customFormat="1" ht="17" customHeight="1">
      <c r="A19739" s="234"/>
      <c r="B19739" s="233"/>
      <c r="C19739" s="238"/>
      <c r="E19739" s="545"/>
      <c r="F19739" s="546"/>
      <c r="G19739" s="234"/>
      <c r="H19739" s="238"/>
      <c r="I19739" s="237"/>
    </row>
    <row r="19740" spans="1:9" s="232" customFormat="1" ht="17" customHeight="1">
      <c r="A19740" s="234"/>
      <c r="B19740" s="233"/>
      <c r="C19740" s="238"/>
      <c r="E19740" s="545"/>
      <c r="F19740" s="546"/>
      <c r="G19740" s="234"/>
      <c r="H19740" s="238"/>
      <c r="I19740" s="237"/>
    </row>
    <row r="19741" spans="1:9" s="232" customFormat="1" ht="17" customHeight="1">
      <c r="A19741" s="234"/>
      <c r="B19741" s="233"/>
      <c r="C19741" s="238"/>
      <c r="E19741" s="545"/>
      <c r="F19741" s="546"/>
      <c r="G19741" s="234"/>
      <c r="H19741" s="238"/>
      <c r="I19741" s="237"/>
    </row>
    <row r="19742" spans="1:9" s="232" customFormat="1" ht="17" customHeight="1">
      <c r="A19742" s="234"/>
      <c r="B19742" s="233"/>
      <c r="C19742" s="238"/>
      <c r="E19742" s="545"/>
      <c r="F19742" s="546"/>
      <c r="G19742" s="234"/>
      <c r="H19742" s="238"/>
      <c r="I19742" s="237"/>
    </row>
    <row r="19743" spans="1:9" s="232" customFormat="1" ht="17" customHeight="1">
      <c r="A19743" s="234"/>
      <c r="B19743" s="233"/>
      <c r="C19743" s="238"/>
      <c r="E19743" s="545"/>
      <c r="F19743" s="546"/>
      <c r="G19743" s="234"/>
      <c r="H19743" s="238"/>
      <c r="I19743" s="237"/>
    </row>
    <row r="19744" spans="1:9" s="232" customFormat="1" ht="17" customHeight="1">
      <c r="A19744" s="234"/>
      <c r="B19744" s="233"/>
      <c r="C19744" s="238"/>
      <c r="E19744" s="545"/>
      <c r="F19744" s="546"/>
      <c r="G19744" s="234"/>
      <c r="H19744" s="238"/>
      <c r="I19744" s="237"/>
    </row>
    <row r="19745" spans="1:9" s="232" customFormat="1" ht="17" customHeight="1">
      <c r="A19745" s="234"/>
      <c r="B19745" s="233"/>
      <c r="C19745" s="238"/>
      <c r="E19745" s="545"/>
      <c r="F19745" s="546"/>
      <c r="G19745" s="234"/>
      <c r="H19745" s="238"/>
      <c r="I19745" s="237"/>
    </row>
    <row r="19746" spans="1:9" s="232" customFormat="1" ht="17" customHeight="1">
      <c r="A19746" s="234"/>
      <c r="B19746" s="233"/>
      <c r="C19746" s="238"/>
      <c r="E19746" s="545"/>
      <c r="F19746" s="546"/>
      <c r="G19746" s="234"/>
      <c r="H19746" s="238"/>
      <c r="I19746" s="237"/>
    </row>
    <row r="19747" spans="1:9" s="232" customFormat="1" ht="17" customHeight="1">
      <c r="A19747" s="234"/>
      <c r="B19747" s="233"/>
      <c r="C19747" s="238"/>
      <c r="E19747" s="545"/>
      <c r="F19747" s="546"/>
      <c r="G19747" s="234"/>
      <c r="H19747" s="238"/>
      <c r="I19747" s="237"/>
    </row>
    <row r="19748" spans="1:9" s="232" customFormat="1" ht="17" customHeight="1">
      <c r="A19748" s="234"/>
      <c r="B19748" s="233"/>
      <c r="C19748" s="238"/>
      <c r="E19748" s="545"/>
      <c r="F19748" s="546"/>
      <c r="G19748" s="234"/>
      <c r="H19748" s="238"/>
      <c r="I19748" s="237"/>
    </row>
    <row r="19749" spans="1:9" s="232" customFormat="1" ht="17" customHeight="1">
      <c r="A19749" s="234"/>
      <c r="B19749" s="233"/>
      <c r="C19749" s="238"/>
      <c r="E19749" s="545"/>
      <c r="F19749" s="546"/>
      <c r="G19749" s="234"/>
      <c r="H19749" s="238"/>
      <c r="I19749" s="237"/>
    </row>
    <row r="19750" spans="1:9" s="232" customFormat="1" ht="17" customHeight="1">
      <c r="A19750" s="234"/>
      <c r="B19750" s="233"/>
      <c r="C19750" s="238"/>
      <c r="E19750" s="545"/>
      <c r="F19750" s="546"/>
      <c r="G19750" s="234"/>
      <c r="H19750" s="238"/>
      <c r="I19750" s="237"/>
    </row>
    <row r="19751" spans="1:9" s="232" customFormat="1" ht="17" customHeight="1">
      <c r="A19751" s="234"/>
      <c r="B19751" s="233"/>
      <c r="C19751" s="238"/>
      <c r="E19751" s="545"/>
      <c r="F19751" s="546"/>
      <c r="G19751" s="234"/>
      <c r="H19751" s="238"/>
      <c r="I19751" s="237"/>
    </row>
    <row r="19752" spans="1:9" s="232" customFormat="1" ht="17" customHeight="1">
      <c r="A19752" s="234"/>
      <c r="B19752" s="233"/>
      <c r="C19752" s="238"/>
      <c r="E19752" s="545"/>
      <c r="F19752" s="546"/>
      <c r="G19752" s="234"/>
      <c r="H19752" s="238"/>
      <c r="I19752" s="237"/>
    </row>
    <row r="19753" spans="1:9" s="232" customFormat="1" ht="17" customHeight="1">
      <c r="A19753" s="234"/>
      <c r="B19753" s="233"/>
      <c r="C19753" s="238"/>
      <c r="E19753" s="545"/>
      <c r="F19753" s="546"/>
      <c r="G19753" s="234"/>
      <c r="H19753" s="238"/>
      <c r="I19753" s="237"/>
    </row>
    <row r="19754" spans="1:9" s="232" customFormat="1" ht="17" customHeight="1">
      <c r="A19754" s="234"/>
      <c r="B19754" s="233"/>
      <c r="C19754" s="238"/>
      <c r="E19754" s="545"/>
      <c r="F19754" s="546"/>
      <c r="G19754" s="234"/>
      <c r="H19754" s="238"/>
      <c r="I19754" s="237"/>
    </row>
    <row r="19755" spans="1:9" s="232" customFormat="1" ht="17" customHeight="1">
      <c r="A19755" s="234"/>
      <c r="B19755" s="233"/>
      <c r="C19755" s="238"/>
      <c r="E19755" s="545"/>
      <c r="F19755" s="546"/>
      <c r="G19755" s="234"/>
      <c r="H19755" s="238"/>
      <c r="I19755" s="237"/>
    </row>
    <row r="19756" spans="1:9" s="232" customFormat="1" ht="17" customHeight="1">
      <c r="A19756" s="234"/>
      <c r="B19756" s="233"/>
      <c r="C19756" s="238"/>
      <c r="E19756" s="545"/>
      <c r="F19756" s="546"/>
      <c r="G19756" s="234"/>
      <c r="H19756" s="238"/>
      <c r="I19756" s="237"/>
    </row>
    <row r="19757" spans="1:9" s="232" customFormat="1" ht="17" customHeight="1">
      <c r="A19757" s="234"/>
      <c r="B19757" s="233"/>
      <c r="C19757" s="238"/>
      <c r="E19757" s="545"/>
      <c r="F19757" s="546"/>
      <c r="G19757" s="234"/>
      <c r="H19757" s="238"/>
      <c r="I19757" s="237"/>
    </row>
    <row r="19758" spans="1:9" s="232" customFormat="1" ht="17" customHeight="1">
      <c r="A19758" s="234"/>
      <c r="B19758" s="233"/>
      <c r="C19758" s="238"/>
      <c r="E19758" s="545"/>
      <c r="F19758" s="546"/>
      <c r="G19758" s="234"/>
      <c r="H19758" s="238"/>
      <c r="I19758" s="237"/>
    </row>
    <row r="19759" spans="1:9" s="232" customFormat="1" ht="17" customHeight="1">
      <c r="A19759" s="234"/>
      <c r="B19759" s="233"/>
      <c r="C19759" s="238"/>
      <c r="E19759" s="545"/>
      <c r="F19759" s="546"/>
      <c r="G19759" s="234"/>
      <c r="H19759" s="238"/>
      <c r="I19759" s="237"/>
    </row>
    <row r="19760" spans="1:9" s="232" customFormat="1" ht="17" customHeight="1">
      <c r="A19760" s="234"/>
      <c r="B19760" s="233"/>
      <c r="C19760" s="238"/>
      <c r="E19760" s="545"/>
      <c r="F19760" s="546"/>
      <c r="G19760" s="234"/>
      <c r="H19760" s="238"/>
      <c r="I19760" s="237"/>
    </row>
    <row r="19761" spans="1:9" s="232" customFormat="1" ht="17" customHeight="1">
      <c r="A19761" s="234"/>
      <c r="B19761" s="233"/>
      <c r="C19761" s="238"/>
      <c r="E19761" s="545"/>
      <c r="F19761" s="546"/>
      <c r="G19761" s="234"/>
      <c r="H19761" s="238"/>
      <c r="I19761" s="237"/>
    </row>
    <row r="19762" spans="1:9" s="232" customFormat="1" ht="17" customHeight="1">
      <c r="A19762" s="234"/>
      <c r="B19762" s="233"/>
      <c r="C19762" s="238"/>
      <c r="E19762" s="545"/>
      <c r="F19762" s="546"/>
      <c r="G19762" s="234"/>
      <c r="H19762" s="238"/>
      <c r="I19762" s="237"/>
    </row>
    <row r="19763" spans="1:9" s="232" customFormat="1" ht="17" customHeight="1">
      <c r="A19763" s="234"/>
      <c r="B19763" s="233"/>
      <c r="C19763" s="238"/>
      <c r="E19763" s="545"/>
      <c r="F19763" s="546"/>
      <c r="G19763" s="234"/>
      <c r="H19763" s="238"/>
      <c r="I19763" s="237"/>
    </row>
    <row r="19764" spans="1:9" s="232" customFormat="1" ht="17" customHeight="1">
      <c r="A19764" s="234"/>
      <c r="B19764" s="233"/>
      <c r="C19764" s="238"/>
      <c r="E19764" s="545"/>
      <c r="F19764" s="546"/>
      <c r="G19764" s="234"/>
      <c r="H19764" s="238"/>
      <c r="I19764" s="237"/>
    </row>
    <row r="19765" spans="1:9" s="232" customFormat="1" ht="17" customHeight="1">
      <c r="A19765" s="234"/>
      <c r="B19765" s="233"/>
      <c r="C19765" s="238"/>
      <c r="E19765" s="545"/>
      <c r="F19765" s="546"/>
      <c r="G19765" s="234"/>
      <c r="H19765" s="238"/>
      <c r="I19765" s="237"/>
    </row>
    <row r="19766" spans="1:9" s="232" customFormat="1" ht="17" customHeight="1">
      <c r="A19766" s="234"/>
      <c r="B19766" s="233"/>
      <c r="C19766" s="238"/>
      <c r="E19766" s="545"/>
      <c r="F19766" s="546"/>
      <c r="G19766" s="234"/>
      <c r="H19766" s="238"/>
      <c r="I19766" s="237"/>
    </row>
    <row r="19767" spans="1:9" s="232" customFormat="1" ht="17" customHeight="1">
      <c r="A19767" s="234"/>
      <c r="B19767" s="233"/>
      <c r="C19767" s="238"/>
      <c r="E19767" s="545"/>
      <c r="F19767" s="546"/>
      <c r="G19767" s="234"/>
      <c r="H19767" s="238"/>
      <c r="I19767" s="237"/>
    </row>
    <row r="19768" spans="1:9" s="232" customFormat="1" ht="17" customHeight="1">
      <c r="A19768" s="234"/>
      <c r="B19768" s="233"/>
      <c r="C19768" s="238"/>
      <c r="E19768" s="545"/>
      <c r="F19768" s="546"/>
      <c r="G19768" s="234"/>
      <c r="H19768" s="238"/>
      <c r="I19768" s="237"/>
    </row>
    <row r="19769" spans="1:9" s="232" customFormat="1" ht="17" customHeight="1">
      <c r="A19769" s="234"/>
      <c r="B19769" s="233"/>
      <c r="C19769" s="238"/>
      <c r="E19769" s="545"/>
      <c r="F19769" s="546"/>
      <c r="G19769" s="234"/>
      <c r="H19769" s="238"/>
      <c r="I19769" s="237"/>
    </row>
    <row r="19770" spans="1:9" s="232" customFormat="1" ht="17" customHeight="1">
      <c r="A19770" s="234"/>
      <c r="B19770" s="233"/>
      <c r="C19770" s="238"/>
      <c r="E19770" s="545"/>
      <c r="F19770" s="546"/>
      <c r="G19770" s="234"/>
      <c r="H19770" s="238"/>
      <c r="I19770" s="237"/>
    </row>
    <row r="19771" spans="1:9" s="232" customFormat="1" ht="17" customHeight="1">
      <c r="A19771" s="234"/>
      <c r="B19771" s="233"/>
      <c r="C19771" s="238"/>
      <c r="E19771" s="545"/>
      <c r="F19771" s="546"/>
      <c r="G19771" s="234"/>
      <c r="H19771" s="238"/>
      <c r="I19771" s="237"/>
    </row>
    <row r="19772" spans="1:9" s="232" customFormat="1" ht="17" customHeight="1">
      <c r="A19772" s="234"/>
      <c r="B19772" s="233"/>
      <c r="C19772" s="238"/>
      <c r="E19772" s="545"/>
      <c r="F19772" s="546"/>
      <c r="G19772" s="234"/>
      <c r="H19772" s="238"/>
      <c r="I19772" s="237"/>
    </row>
    <row r="19773" spans="1:9" s="232" customFormat="1" ht="17" customHeight="1">
      <c r="A19773" s="234"/>
      <c r="B19773" s="233"/>
      <c r="C19773" s="238"/>
      <c r="E19773" s="545"/>
      <c r="F19773" s="546"/>
      <c r="G19773" s="234"/>
      <c r="H19773" s="238"/>
      <c r="I19773" s="237"/>
    </row>
    <row r="19774" spans="1:9" s="232" customFormat="1" ht="17" customHeight="1">
      <c r="A19774" s="234"/>
      <c r="B19774" s="233"/>
      <c r="C19774" s="238"/>
      <c r="E19774" s="545"/>
      <c r="F19774" s="546"/>
      <c r="G19774" s="234"/>
      <c r="H19774" s="238"/>
      <c r="I19774" s="237"/>
    </row>
    <row r="19775" spans="1:9" s="232" customFormat="1" ht="17" customHeight="1">
      <c r="A19775" s="234"/>
      <c r="B19775" s="233"/>
      <c r="C19775" s="238"/>
      <c r="E19775" s="545"/>
      <c r="F19775" s="546"/>
      <c r="G19775" s="234"/>
      <c r="H19775" s="238"/>
      <c r="I19775" s="237"/>
    </row>
    <row r="19776" spans="1:9" s="232" customFormat="1" ht="17" customHeight="1">
      <c r="A19776" s="234"/>
      <c r="B19776" s="233"/>
      <c r="C19776" s="238"/>
      <c r="E19776" s="545"/>
      <c r="F19776" s="546"/>
      <c r="G19776" s="234"/>
      <c r="H19776" s="238"/>
      <c r="I19776" s="237"/>
    </row>
    <row r="19777" spans="1:9" s="232" customFormat="1" ht="17" customHeight="1">
      <c r="A19777" s="234"/>
      <c r="B19777" s="233"/>
      <c r="C19777" s="238"/>
      <c r="E19777" s="545"/>
      <c r="F19777" s="546"/>
      <c r="G19777" s="234"/>
      <c r="H19777" s="238"/>
      <c r="I19777" s="237"/>
    </row>
    <row r="19778" spans="1:9" s="232" customFormat="1" ht="17" customHeight="1">
      <c r="A19778" s="234"/>
      <c r="B19778" s="233"/>
      <c r="C19778" s="238"/>
      <c r="E19778" s="545"/>
      <c r="F19778" s="546"/>
      <c r="G19778" s="234"/>
      <c r="H19778" s="238"/>
      <c r="I19778" s="237"/>
    </row>
    <row r="19779" spans="1:9" s="232" customFormat="1" ht="17" customHeight="1">
      <c r="A19779" s="234"/>
      <c r="B19779" s="233"/>
      <c r="C19779" s="238"/>
      <c r="E19779" s="545"/>
      <c r="F19779" s="546"/>
      <c r="G19779" s="234"/>
      <c r="H19779" s="238"/>
      <c r="I19779" s="237"/>
    </row>
    <row r="19780" spans="1:9" s="232" customFormat="1" ht="17" customHeight="1">
      <c r="A19780" s="234"/>
      <c r="B19780" s="233"/>
      <c r="C19780" s="238"/>
      <c r="E19780" s="545"/>
      <c r="F19780" s="546"/>
      <c r="G19780" s="234"/>
      <c r="H19780" s="238"/>
      <c r="I19780" s="237"/>
    </row>
    <row r="19781" spans="1:9" s="232" customFormat="1" ht="17" customHeight="1">
      <c r="A19781" s="234"/>
      <c r="B19781" s="233"/>
      <c r="C19781" s="238"/>
      <c r="E19781" s="545"/>
      <c r="F19781" s="546"/>
      <c r="G19781" s="234"/>
      <c r="H19781" s="238"/>
      <c r="I19781" s="237"/>
    </row>
    <row r="19782" spans="1:9" s="232" customFormat="1" ht="17" customHeight="1">
      <c r="A19782" s="234"/>
      <c r="B19782" s="233"/>
      <c r="C19782" s="238"/>
      <c r="E19782" s="545"/>
      <c r="F19782" s="546"/>
      <c r="G19782" s="234"/>
      <c r="H19782" s="238"/>
      <c r="I19782" s="237"/>
    </row>
    <row r="19783" spans="1:9" s="232" customFormat="1" ht="17" customHeight="1">
      <c r="A19783" s="234"/>
      <c r="B19783" s="233"/>
      <c r="C19783" s="238"/>
      <c r="E19783" s="545"/>
      <c r="F19783" s="546"/>
      <c r="G19783" s="234"/>
      <c r="H19783" s="238"/>
      <c r="I19783" s="237"/>
    </row>
    <row r="19784" spans="1:9" s="232" customFormat="1" ht="17" customHeight="1">
      <c r="A19784" s="234"/>
      <c r="B19784" s="233"/>
      <c r="C19784" s="238"/>
      <c r="E19784" s="545"/>
      <c r="F19784" s="546"/>
      <c r="G19784" s="234"/>
      <c r="H19784" s="238"/>
      <c r="I19784" s="237"/>
    </row>
    <row r="19785" spans="1:9" s="232" customFormat="1" ht="17" customHeight="1">
      <c r="A19785" s="234"/>
      <c r="B19785" s="233"/>
      <c r="C19785" s="238"/>
      <c r="E19785" s="545"/>
      <c r="F19785" s="546"/>
      <c r="G19785" s="234"/>
      <c r="H19785" s="238"/>
      <c r="I19785" s="237"/>
    </row>
    <row r="19786" spans="1:9" s="232" customFormat="1" ht="17" customHeight="1">
      <c r="A19786" s="234"/>
      <c r="B19786" s="233"/>
      <c r="C19786" s="238"/>
      <c r="E19786" s="545"/>
      <c r="F19786" s="546"/>
      <c r="G19786" s="234"/>
      <c r="H19786" s="238"/>
      <c r="I19786" s="237"/>
    </row>
    <row r="19787" spans="1:9" s="232" customFormat="1" ht="17" customHeight="1">
      <c r="A19787" s="234"/>
      <c r="B19787" s="233"/>
      <c r="C19787" s="238"/>
      <c r="E19787" s="545"/>
      <c r="F19787" s="546"/>
      <c r="G19787" s="234"/>
      <c r="H19787" s="238"/>
      <c r="I19787" s="237"/>
    </row>
    <row r="19788" spans="1:9" s="232" customFormat="1" ht="17" customHeight="1">
      <c r="A19788" s="234"/>
      <c r="B19788" s="233"/>
      <c r="C19788" s="238"/>
      <c r="E19788" s="545"/>
      <c r="F19788" s="546"/>
      <c r="G19788" s="234"/>
      <c r="H19788" s="238"/>
      <c r="I19788" s="237"/>
    </row>
    <row r="19789" spans="1:9" s="232" customFormat="1" ht="17" customHeight="1">
      <c r="A19789" s="234"/>
      <c r="B19789" s="233"/>
      <c r="C19789" s="238"/>
      <c r="E19789" s="545"/>
      <c r="F19789" s="546"/>
      <c r="G19789" s="234"/>
      <c r="H19789" s="238"/>
      <c r="I19789" s="237"/>
    </row>
    <row r="19790" spans="1:9" s="232" customFormat="1" ht="17" customHeight="1">
      <c r="A19790" s="234"/>
      <c r="B19790" s="233"/>
      <c r="C19790" s="238"/>
      <c r="E19790" s="545"/>
      <c r="F19790" s="546"/>
      <c r="G19790" s="234"/>
      <c r="H19790" s="238"/>
      <c r="I19790" s="237"/>
    </row>
    <row r="19791" spans="1:9" s="232" customFormat="1" ht="17" customHeight="1">
      <c r="A19791" s="234"/>
      <c r="B19791" s="233"/>
      <c r="C19791" s="238"/>
      <c r="E19791" s="545"/>
      <c r="F19791" s="546"/>
      <c r="G19791" s="234"/>
      <c r="H19791" s="238"/>
      <c r="I19791" s="237"/>
    </row>
    <row r="19792" spans="1:9" s="232" customFormat="1" ht="17" customHeight="1">
      <c r="A19792" s="234"/>
      <c r="B19792" s="233"/>
      <c r="C19792" s="238"/>
      <c r="E19792" s="545"/>
      <c r="F19792" s="546"/>
      <c r="G19792" s="234"/>
      <c r="H19792" s="238"/>
      <c r="I19792" s="237"/>
    </row>
    <row r="19793" spans="1:9" s="232" customFormat="1" ht="17" customHeight="1">
      <c r="A19793" s="234"/>
      <c r="B19793" s="233"/>
      <c r="C19793" s="238"/>
      <c r="E19793" s="545"/>
      <c r="F19793" s="546"/>
      <c r="G19793" s="234"/>
      <c r="H19793" s="238"/>
      <c r="I19793" s="237"/>
    </row>
    <row r="19794" spans="1:9" s="232" customFormat="1" ht="17" customHeight="1">
      <c r="A19794" s="234"/>
      <c r="B19794" s="233"/>
      <c r="C19794" s="238"/>
      <c r="E19794" s="545"/>
      <c r="F19794" s="546"/>
      <c r="G19794" s="234"/>
      <c r="H19794" s="238"/>
      <c r="I19794" s="237"/>
    </row>
    <row r="19795" spans="1:9" s="232" customFormat="1" ht="17" customHeight="1">
      <c r="A19795" s="234"/>
      <c r="B19795" s="233"/>
      <c r="C19795" s="238"/>
      <c r="E19795" s="545"/>
      <c r="F19795" s="546"/>
      <c r="G19795" s="234"/>
      <c r="H19795" s="238"/>
      <c r="I19795" s="237"/>
    </row>
    <row r="19796" spans="1:9" s="232" customFormat="1" ht="17" customHeight="1">
      <c r="A19796" s="234"/>
      <c r="B19796" s="233"/>
      <c r="C19796" s="238"/>
      <c r="E19796" s="545"/>
      <c r="F19796" s="546"/>
      <c r="G19796" s="234"/>
      <c r="H19796" s="238"/>
      <c r="I19796" s="237"/>
    </row>
    <row r="19797" spans="1:9" s="232" customFormat="1" ht="17" customHeight="1">
      <c r="A19797" s="234"/>
      <c r="B19797" s="233"/>
      <c r="C19797" s="238"/>
      <c r="E19797" s="545"/>
      <c r="F19797" s="546"/>
      <c r="G19797" s="234"/>
      <c r="H19797" s="238"/>
      <c r="I19797" s="237"/>
    </row>
    <row r="19798" spans="1:9" s="232" customFormat="1" ht="17" customHeight="1">
      <c r="A19798" s="234"/>
      <c r="B19798" s="233"/>
      <c r="C19798" s="238"/>
      <c r="E19798" s="545"/>
      <c r="F19798" s="546"/>
      <c r="G19798" s="234"/>
      <c r="H19798" s="238"/>
      <c r="I19798" s="237"/>
    </row>
    <row r="19799" spans="1:9" s="232" customFormat="1" ht="17" customHeight="1">
      <c r="A19799" s="234"/>
      <c r="B19799" s="233"/>
      <c r="C19799" s="238"/>
      <c r="E19799" s="545"/>
      <c r="F19799" s="546"/>
      <c r="G19799" s="234"/>
      <c r="H19799" s="238"/>
      <c r="I19799" s="237"/>
    </row>
    <row r="19800" spans="1:9" s="232" customFormat="1" ht="17" customHeight="1">
      <c r="A19800" s="234"/>
      <c r="B19800" s="233"/>
      <c r="C19800" s="238"/>
      <c r="E19800" s="545"/>
      <c r="F19800" s="546"/>
      <c r="G19800" s="234"/>
      <c r="H19800" s="238"/>
      <c r="I19800" s="237"/>
    </row>
    <row r="19801" spans="1:9" s="232" customFormat="1" ht="17" customHeight="1">
      <c r="A19801" s="234"/>
      <c r="B19801" s="233"/>
      <c r="C19801" s="238"/>
      <c r="E19801" s="545"/>
      <c r="F19801" s="546"/>
      <c r="G19801" s="234"/>
      <c r="H19801" s="238"/>
      <c r="I19801" s="237"/>
    </row>
    <row r="19802" spans="1:9" s="232" customFormat="1" ht="17" customHeight="1">
      <c r="A19802" s="234"/>
      <c r="B19802" s="233"/>
      <c r="C19802" s="238"/>
      <c r="E19802" s="545"/>
      <c r="F19802" s="546"/>
      <c r="G19802" s="234"/>
      <c r="H19802" s="238"/>
      <c r="I19802" s="237"/>
    </row>
    <row r="19803" spans="1:9" s="232" customFormat="1" ht="17" customHeight="1">
      <c r="A19803" s="234"/>
      <c r="B19803" s="233"/>
      <c r="C19803" s="238"/>
      <c r="E19803" s="545"/>
      <c r="F19803" s="546"/>
      <c r="G19803" s="234"/>
      <c r="H19803" s="238"/>
      <c r="I19803" s="237"/>
    </row>
    <row r="19804" spans="1:9" s="232" customFormat="1" ht="17" customHeight="1">
      <c r="A19804" s="234"/>
      <c r="B19804" s="233"/>
      <c r="C19804" s="238"/>
      <c r="E19804" s="545"/>
      <c r="F19804" s="546"/>
      <c r="G19804" s="234"/>
      <c r="H19804" s="238"/>
      <c r="I19804" s="237"/>
    </row>
    <row r="19805" spans="1:9" s="232" customFormat="1" ht="17" customHeight="1">
      <c r="A19805" s="234"/>
      <c r="B19805" s="233"/>
      <c r="C19805" s="238"/>
      <c r="E19805" s="545"/>
      <c r="F19805" s="546"/>
      <c r="G19805" s="234"/>
      <c r="H19805" s="238"/>
      <c r="I19805" s="237"/>
    </row>
    <row r="19806" spans="1:9" s="232" customFormat="1" ht="17" customHeight="1">
      <c r="A19806" s="234"/>
      <c r="B19806" s="233"/>
      <c r="C19806" s="238"/>
      <c r="E19806" s="545"/>
      <c r="F19806" s="546"/>
      <c r="G19806" s="234"/>
      <c r="H19806" s="238"/>
      <c r="I19806" s="237"/>
    </row>
    <row r="19807" spans="1:9" s="232" customFormat="1" ht="17" customHeight="1">
      <c r="A19807" s="234"/>
      <c r="B19807" s="233"/>
      <c r="C19807" s="238"/>
      <c r="E19807" s="545"/>
      <c r="F19807" s="546"/>
      <c r="G19807" s="234"/>
      <c r="H19807" s="238"/>
      <c r="I19807" s="237"/>
    </row>
    <row r="19808" spans="1:9" s="232" customFormat="1" ht="17" customHeight="1">
      <c r="A19808" s="234"/>
      <c r="B19808" s="233"/>
      <c r="C19808" s="238"/>
      <c r="E19808" s="545"/>
      <c r="F19808" s="546"/>
      <c r="G19808" s="234"/>
      <c r="H19808" s="238"/>
      <c r="I19808" s="237"/>
    </row>
    <row r="19809" spans="1:9" s="232" customFormat="1" ht="17" customHeight="1">
      <c r="A19809" s="234"/>
      <c r="B19809" s="233"/>
      <c r="C19809" s="238"/>
      <c r="E19809" s="545"/>
      <c r="F19809" s="546"/>
      <c r="G19809" s="234"/>
      <c r="H19809" s="238"/>
      <c r="I19809" s="237"/>
    </row>
    <row r="19810" spans="1:9" s="232" customFormat="1" ht="17" customHeight="1">
      <c r="A19810" s="234"/>
      <c r="B19810" s="233"/>
      <c r="C19810" s="238"/>
      <c r="E19810" s="545"/>
      <c r="F19810" s="546"/>
      <c r="G19810" s="234"/>
      <c r="H19810" s="238"/>
      <c r="I19810" s="237"/>
    </row>
    <row r="19811" spans="1:9" s="232" customFormat="1" ht="17" customHeight="1">
      <c r="A19811" s="234"/>
      <c r="B19811" s="233"/>
      <c r="C19811" s="238"/>
      <c r="E19811" s="545"/>
      <c r="F19811" s="546"/>
      <c r="G19811" s="234"/>
      <c r="H19811" s="238"/>
      <c r="I19811" s="237"/>
    </row>
    <row r="19812" spans="1:9" s="232" customFormat="1" ht="17" customHeight="1">
      <c r="A19812" s="234"/>
      <c r="B19812" s="233"/>
      <c r="C19812" s="238"/>
      <c r="E19812" s="545"/>
      <c r="F19812" s="546"/>
      <c r="G19812" s="234"/>
      <c r="H19812" s="238"/>
      <c r="I19812" s="237"/>
    </row>
    <row r="19813" spans="1:9" s="232" customFormat="1" ht="17" customHeight="1">
      <c r="A19813" s="234"/>
      <c r="B19813" s="233"/>
      <c r="C19813" s="238"/>
      <c r="E19813" s="545"/>
      <c r="F19813" s="546"/>
      <c r="G19813" s="234"/>
      <c r="H19813" s="238"/>
      <c r="I19813" s="237"/>
    </row>
    <row r="19814" spans="1:9" s="232" customFormat="1" ht="17" customHeight="1">
      <c r="A19814" s="234"/>
      <c r="B19814" s="233"/>
      <c r="C19814" s="238"/>
      <c r="E19814" s="545"/>
      <c r="F19814" s="546"/>
      <c r="G19814" s="234"/>
      <c r="H19814" s="238"/>
      <c r="I19814" s="237"/>
    </row>
    <row r="19815" spans="1:9" s="232" customFormat="1" ht="17" customHeight="1">
      <c r="A19815" s="234"/>
      <c r="B19815" s="233"/>
      <c r="C19815" s="238"/>
      <c r="E19815" s="545"/>
      <c r="F19815" s="546"/>
      <c r="G19815" s="234"/>
      <c r="H19815" s="238"/>
      <c r="I19815" s="237"/>
    </row>
    <row r="19816" spans="1:9" s="232" customFormat="1" ht="17" customHeight="1">
      <c r="A19816" s="234"/>
      <c r="B19816" s="233"/>
      <c r="C19816" s="238"/>
      <c r="E19816" s="545"/>
      <c r="F19816" s="546"/>
      <c r="G19816" s="234"/>
      <c r="H19816" s="238"/>
      <c r="I19816" s="237"/>
    </row>
    <row r="19817" spans="1:9" s="232" customFormat="1" ht="17" customHeight="1">
      <c r="A19817" s="234"/>
      <c r="B19817" s="233"/>
      <c r="C19817" s="238"/>
      <c r="E19817" s="545"/>
      <c r="F19817" s="546"/>
      <c r="G19817" s="234"/>
      <c r="H19817" s="238"/>
      <c r="I19817" s="237"/>
    </row>
    <row r="19818" spans="1:9" s="232" customFormat="1" ht="17" customHeight="1">
      <c r="A19818" s="234"/>
      <c r="B19818" s="233"/>
      <c r="C19818" s="238"/>
      <c r="E19818" s="545"/>
      <c r="F19818" s="546"/>
      <c r="G19818" s="234"/>
      <c r="H19818" s="238"/>
      <c r="I19818" s="237"/>
    </row>
    <row r="19819" spans="1:9" s="232" customFormat="1" ht="17" customHeight="1">
      <c r="A19819" s="234"/>
      <c r="B19819" s="233"/>
      <c r="C19819" s="238"/>
      <c r="E19819" s="545"/>
      <c r="F19819" s="546"/>
      <c r="G19819" s="234"/>
      <c r="H19819" s="238"/>
      <c r="I19819" s="237"/>
    </row>
    <row r="19820" spans="1:9" s="232" customFormat="1" ht="17" customHeight="1">
      <c r="A19820" s="234"/>
      <c r="B19820" s="233"/>
      <c r="C19820" s="238"/>
      <c r="E19820" s="545"/>
      <c r="F19820" s="546"/>
      <c r="G19820" s="234"/>
      <c r="H19820" s="238"/>
      <c r="I19820" s="237"/>
    </row>
    <row r="19821" spans="1:9" s="232" customFormat="1" ht="17" customHeight="1">
      <c r="A19821" s="234"/>
      <c r="B19821" s="233"/>
      <c r="C19821" s="238"/>
      <c r="E19821" s="545"/>
      <c r="F19821" s="546"/>
      <c r="G19821" s="234"/>
      <c r="H19821" s="238"/>
      <c r="I19821" s="237"/>
    </row>
    <row r="19822" spans="1:9" s="232" customFormat="1" ht="17" customHeight="1">
      <c r="A19822" s="234"/>
      <c r="B19822" s="233"/>
      <c r="C19822" s="238"/>
      <c r="E19822" s="545"/>
      <c r="F19822" s="546"/>
      <c r="G19822" s="234"/>
      <c r="H19822" s="238"/>
      <c r="I19822" s="237"/>
    </row>
    <row r="19823" spans="1:9" s="232" customFormat="1" ht="17" customHeight="1">
      <c r="A19823" s="234"/>
      <c r="B19823" s="233"/>
      <c r="C19823" s="238"/>
      <c r="E19823" s="545"/>
      <c r="F19823" s="546"/>
      <c r="G19823" s="234"/>
      <c r="H19823" s="238"/>
      <c r="I19823" s="237"/>
    </row>
    <row r="19824" spans="1:9" s="232" customFormat="1" ht="17" customHeight="1">
      <c r="A19824" s="234"/>
      <c r="B19824" s="233"/>
      <c r="C19824" s="238"/>
      <c r="E19824" s="545"/>
      <c r="F19824" s="546"/>
      <c r="G19824" s="234"/>
      <c r="H19824" s="238"/>
      <c r="I19824" s="237"/>
    </row>
    <row r="19825" spans="1:9" s="232" customFormat="1" ht="17" customHeight="1">
      <c r="A19825" s="234"/>
      <c r="B19825" s="233"/>
      <c r="C19825" s="238"/>
      <c r="E19825" s="545"/>
      <c r="F19825" s="546"/>
      <c r="G19825" s="234"/>
      <c r="H19825" s="238"/>
      <c r="I19825" s="237"/>
    </row>
    <row r="19826" spans="1:9" s="232" customFormat="1" ht="17" customHeight="1">
      <c r="A19826" s="234"/>
      <c r="B19826" s="233"/>
      <c r="C19826" s="238"/>
      <c r="E19826" s="545"/>
      <c r="F19826" s="546"/>
      <c r="G19826" s="234"/>
      <c r="H19826" s="238"/>
      <c r="I19826" s="237"/>
    </row>
    <row r="19827" spans="1:9" s="232" customFormat="1" ht="17" customHeight="1">
      <c r="A19827" s="234"/>
      <c r="B19827" s="233"/>
      <c r="C19827" s="238"/>
      <c r="E19827" s="545"/>
      <c r="F19827" s="546"/>
      <c r="G19827" s="234"/>
      <c r="H19827" s="238"/>
      <c r="I19827" s="237"/>
    </row>
    <row r="19828" spans="1:9" s="232" customFormat="1" ht="17" customHeight="1">
      <c r="A19828" s="234"/>
      <c r="B19828" s="233"/>
      <c r="C19828" s="238"/>
      <c r="E19828" s="545"/>
      <c r="F19828" s="546"/>
      <c r="G19828" s="234"/>
      <c r="H19828" s="238"/>
      <c r="I19828" s="237"/>
    </row>
    <row r="19829" spans="1:9" s="232" customFormat="1" ht="17" customHeight="1">
      <c r="A19829" s="234"/>
      <c r="B19829" s="233"/>
      <c r="C19829" s="238"/>
      <c r="E19829" s="545"/>
      <c r="F19829" s="546"/>
      <c r="G19829" s="234"/>
      <c r="H19829" s="238"/>
      <c r="I19829" s="237"/>
    </row>
    <row r="19830" spans="1:9" s="232" customFormat="1" ht="17" customHeight="1">
      <c r="A19830" s="234"/>
      <c r="B19830" s="233"/>
      <c r="C19830" s="238"/>
      <c r="E19830" s="545"/>
      <c r="F19830" s="546"/>
      <c r="G19830" s="234"/>
      <c r="H19830" s="238"/>
      <c r="I19830" s="237"/>
    </row>
    <row r="19831" spans="1:9" s="232" customFormat="1" ht="17" customHeight="1">
      <c r="A19831" s="234"/>
      <c r="B19831" s="233"/>
      <c r="C19831" s="238"/>
      <c r="E19831" s="545"/>
      <c r="F19831" s="546"/>
      <c r="G19831" s="234"/>
      <c r="H19831" s="238"/>
      <c r="I19831" s="237"/>
    </row>
    <row r="19832" spans="1:9" s="232" customFormat="1" ht="17" customHeight="1">
      <c r="A19832" s="234"/>
      <c r="B19832" s="233"/>
      <c r="C19832" s="238"/>
      <c r="E19832" s="545"/>
      <c r="F19832" s="546"/>
      <c r="G19832" s="234"/>
      <c r="H19832" s="238"/>
      <c r="I19832" s="237"/>
    </row>
    <row r="19833" spans="1:9" s="232" customFormat="1" ht="17" customHeight="1">
      <c r="A19833" s="234"/>
      <c r="B19833" s="233"/>
      <c r="C19833" s="238"/>
      <c r="E19833" s="545"/>
      <c r="F19833" s="546"/>
      <c r="G19833" s="234"/>
      <c r="H19833" s="238"/>
      <c r="I19833" s="237"/>
    </row>
    <row r="19834" spans="1:9" s="232" customFormat="1" ht="17" customHeight="1">
      <c r="A19834" s="234"/>
      <c r="B19834" s="233"/>
      <c r="C19834" s="238"/>
      <c r="E19834" s="545"/>
      <c r="F19834" s="546"/>
      <c r="G19834" s="234"/>
      <c r="H19834" s="238"/>
      <c r="I19834" s="237"/>
    </row>
    <row r="19835" spans="1:9" s="232" customFormat="1" ht="17" customHeight="1">
      <c r="A19835" s="234"/>
      <c r="B19835" s="233"/>
      <c r="C19835" s="238"/>
      <c r="E19835" s="545"/>
      <c r="F19835" s="546"/>
      <c r="G19835" s="234"/>
      <c r="H19835" s="238"/>
      <c r="I19835" s="237"/>
    </row>
    <row r="19836" spans="1:9" s="232" customFormat="1" ht="17" customHeight="1">
      <c r="A19836" s="234"/>
      <c r="B19836" s="233"/>
      <c r="C19836" s="238"/>
      <c r="E19836" s="545"/>
      <c r="F19836" s="546"/>
      <c r="G19836" s="234"/>
      <c r="H19836" s="238"/>
      <c r="I19836" s="237"/>
    </row>
    <row r="19837" spans="1:9" s="232" customFormat="1" ht="17" customHeight="1">
      <c r="A19837" s="234"/>
      <c r="B19837" s="233"/>
      <c r="C19837" s="238"/>
      <c r="E19837" s="545"/>
      <c r="F19837" s="546"/>
      <c r="G19837" s="234"/>
      <c r="H19837" s="238"/>
      <c r="I19837" s="237"/>
    </row>
    <row r="19838" spans="1:9" s="232" customFormat="1" ht="17" customHeight="1">
      <c r="A19838" s="234"/>
      <c r="B19838" s="233"/>
      <c r="C19838" s="238"/>
      <c r="E19838" s="545"/>
      <c r="F19838" s="546"/>
      <c r="G19838" s="234"/>
      <c r="H19838" s="238"/>
      <c r="I19838" s="237"/>
    </row>
    <row r="19839" spans="1:9" s="232" customFormat="1" ht="17" customHeight="1">
      <c r="A19839" s="234"/>
      <c r="B19839" s="233"/>
      <c r="C19839" s="238"/>
      <c r="E19839" s="545"/>
      <c r="F19839" s="546"/>
      <c r="G19839" s="234"/>
      <c r="H19839" s="238"/>
      <c r="I19839" s="237"/>
    </row>
    <row r="19840" spans="1:9" s="232" customFormat="1" ht="17" customHeight="1">
      <c r="A19840" s="234"/>
      <c r="B19840" s="233"/>
      <c r="C19840" s="238"/>
      <c r="E19840" s="545"/>
      <c r="F19840" s="546"/>
      <c r="G19840" s="234"/>
      <c r="H19840" s="238"/>
      <c r="I19840" s="237"/>
    </row>
    <row r="19841" spans="1:9" s="232" customFormat="1" ht="17" customHeight="1">
      <c r="A19841" s="234"/>
      <c r="B19841" s="233"/>
      <c r="C19841" s="238"/>
      <c r="E19841" s="545"/>
      <c r="F19841" s="546"/>
      <c r="G19841" s="234"/>
      <c r="H19841" s="238"/>
      <c r="I19841" s="237"/>
    </row>
    <row r="19842" spans="1:9" s="232" customFormat="1" ht="17" customHeight="1">
      <c r="A19842" s="234"/>
      <c r="B19842" s="233"/>
      <c r="C19842" s="238"/>
      <c r="E19842" s="545"/>
      <c r="F19842" s="546"/>
      <c r="G19842" s="234"/>
      <c r="H19842" s="238"/>
      <c r="I19842" s="237"/>
    </row>
    <row r="19843" spans="1:9" s="232" customFormat="1" ht="17" customHeight="1">
      <c r="A19843" s="234"/>
      <c r="B19843" s="233"/>
      <c r="C19843" s="238"/>
      <c r="E19843" s="545"/>
      <c r="F19843" s="546"/>
      <c r="G19843" s="234"/>
      <c r="H19843" s="238"/>
      <c r="I19843" s="237"/>
    </row>
    <row r="19844" spans="1:9" s="232" customFormat="1" ht="17" customHeight="1">
      <c r="A19844" s="234"/>
      <c r="B19844" s="233"/>
      <c r="C19844" s="238"/>
      <c r="E19844" s="545"/>
      <c r="F19844" s="546"/>
      <c r="G19844" s="234"/>
      <c r="H19844" s="238"/>
      <c r="I19844" s="237"/>
    </row>
    <row r="19845" spans="1:9" s="232" customFormat="1" ht="17" customHeight="1">
      <c r="A19845" s="234"/>
      <c r="B19845" s="233"/>
      <c r="C19845" s="238"/>
      <c r="E19845" s="545"/>
      <c r="F19845" s="546"/>
      <c r="G19845" s="234"/>
      <c r="H19845" s="238"/>
      <c r="I19845" s="237"/>
    </row>
    <row r="19846" spans="1:9" s="232" customFormat="1" ht="17" customHeight="1">
      <c r="A19846" s="234"/>
      <c r="B19846" s="233"/>
      <c r="C19846" s="238"/>
      <c r="E19846" s="545"/>
      <c r="F19846" s="546"/>
      <c r="G19846" s="234"/>
      <c r="H19846" s="238"/>
      <c r="I19846" s="237"/>
    </row>
    <row r="19847" spans="1:9" s="232" customFormat="1" ht="17" customHeight="1">
      <c r="A19847" s="234"/>
      <c r="B19847" s="233"/>
      <c r="C19847" s="238"/>
      <c r="E19847" s="545"/>
      <c r="F19847" s="546"/>
      <c r="G19847" s="234"/>
      <c r="H19847" s="238"/>
      <c r="I19847" s="237"/>
    </row>
    <row r="19848" spans="1:9" s="232" customFormat="1" ht="17" customHeight="1">
      <c r="A19848" s="234"/>
      <c r="B19848" s="233"/>
      <c r="C19848" s="238"/>
      <c r="E19848" s="545"/>
      <c r="F19848" s="546"/>
      <c r="G19848" s="234"/>
      <c r="H19848" s="238"/>
      <c r="I19848" s="237"/>
    </row>
    <row r="19849" spans="1:9" s="232" customFormat="1" ht="17" customHeight="1">
      <c r="A19849" s="234"/>
      <c r="B19849" s="233"/>
      <c r="C19849" s="238"/>
      <c r="E19849" s="545"/>
      <c r="F19849" s="546"/>
      <c r="G19849" s="234"/>
      <c r="H19849" s="238"/>
      <c r="I19849" s="237"/>
    </row>
    <row r="19850" spans="1:9" s="232" customFormat="1" ht="17" customHeight="1">
      <c r="A19850" s="234"/>
      <c r="B19850" s="233"/>
      <c r="C19850" s="238"/>
      <c r="E19850" s="545"/>
      <c r="F19850" s="546"/>
      <c r="G19850" s="234"/>
      <c r="H19850" s="238"/>
      <c r="I19850" s="237"/>
    </row>
    <row r="19851" spans="1:9" s="232" customFormat="1" ht="17" customHeight="1">
      <c r="A19851" s="234"/>
      <c r="B19851" s="233"/>
      <c r="C19851" s="238"/>
      <c r="E19851" s="545"/>
      <c r="F19851" s="546"/>
      <c r="G19851" s="234"/>
      <c r="H19851" s="238"/>
      <c r="I19851" s="237"/>
    </row>
    <row r="19852" spans="1:9" s="232" customFormat="1" ht="17" customHeight="1">
      <c r="A19852" s="234"/>
      <c r="B19852" s="233"/>
      <c r="C19852" s="238"/>
      <c r="E19852" s="545"/>
      <c r="F19852" s="546"/>
      <c r="G19852" s="234"/>
      <c r="H19852" s="238"/>
      <c r="I19852" s="237"/>
    </row>
    <row r="19853" spans="1:9" s="232" customFormat="1" ht="17" customHeight="1">
      <c r="A19853" s="234"/>
      <c r="B19853" s="233"/>
      <c r="C19853" s="238"/>
      <c r="E19853" s="545"/>
      <c r="F19853" s="546"/>
      <c r="G19853" s="234"/>
      <c r="H19853" s="238"/>
      <c r="I19853" s="237"/>
    </row>
    <row r="19854" spans="1:9" s="232" customFormat="1" ht="17" customHeight="1">
      <c r="A19854" s="234"/>
      <c r="B19854" s="233"/>
      <c r="C19854" s="238"/>
      <c r="E19854" s="545"/>
      <c r="F19854" s="546"/>
      <c r="G19854" s="234"/>
      <c r="H19854" s="238"/>
      <c r="I19854" s="237"/>
    </row>
    <row r="19855" spans="1:9" s="232" customFormat="1" ht="17" customHeight="1">
      <c r="A19855" s="234"/>
      <c r="B19855" s="233"/>
      <c r="C19855" s="238"/>
      <c r="E19855" s="545"/>
      <c r="F19855" s="546"/>
      <c r="G19855" s="234"/>
      <c r="H19855" s="238"/>
      <c r="I19855" s="237"/>
    </row>
    <row r="19856" spans="1:9" s="232" customFormat="1" ht="17" customHeight="1">
      <c r="A19856" s="234"/>
      <c r="B19856" s="233"/>
      <c r="C19856" s="238"/>
      <c r="E19856" s="545"/>
      <c r="F19856" s="546"/>
      <c r="G19856" s="234"/>
      <c r="H19856" s="238"/>
      <c r="I19856" s="237"/>
    </row>
    <row r="19857" spans="1:9" s="232" customFormat="1" ht="17" customHeight="1">
      <c r="A19857" s="234"/>
      <c r="B19857" s="233"/>
      <c r="C19857" s="238"/>
      <c r="E19857" s="545"/>
      <c r="F19857" s="546"/>
      <c r="G19857" s="234"/>
      <c r="H19857" s="238"/>
      <c r="I19857" s="237"/>
    </row>
    <row r="19858" spans="1:9" s="232" customFormat="1" ht="17" customHeight="1">
      <c r="A19858" s="234"/>
      <c r="B19858" s="233"/>
      <c r="C19858" s="238"/>
      <c r="E19858" s="545"/>
      <c r="F19858" s="546"/>
      <c r="G19858" s="234"/>
      <c r="H19858" s="238"/>
      <c r="I19858" s="237"/>
    </row>
    <row r="19859" spans="1:9" s="232" customFormat="1" ht="17" customHeight="1">
      <c r="A19859" s="234"/>
      <c r="B19859" s="233"/>
      <c r="C19859" s="238"/>
      <c r="E19859" s="545"/>
      <c r="F19859" s="546"/>
      <c r="G19859" s="234"/>
      <c r="H19859" s="238"/>
      <c r="I19859" s="237"/>
    </row>
    <row r="19860" spans="1:9" s="232" customFormat="1" ht="17" customHeight="1">
      <c r="A19860" s="234"/>
      <c r="B19860" s="233"/>
      <c r="C19860" s="238"/>
      <c r="E19860" s="545"/>
      <c r="F19860" s="546"/>
      <c r="G19860" s="234"/>
      <c r="H19860" s="238"/>
      <c r="I19860" s="237"/>
    </row>
    <row r="19861" spans="1:9" s="232" customFormat="1" ht="17" customHeight="1">
      <c r="A19861" s="234"/>
      <c r="B19861" s="233"/>
      <c r="C19861" s="238"/>
      <c r="E19861" s="545"/>
      <c r="F19861" s="546"/>
      <c r="G19861" s="234"/>
      <c r="H19861" s="238"/>
      <c r="I19861" s="237"/>
    </row>
    <row r="19862" spans="1:9" s="232" customFormat="1" ht="17" customHeight="1">
      <c r="A19862" s="234"/>
      <c r="B19862" s="233"/>
      <c r="C19862" s="238"/>
      <c r="E19862" s="545"/>
      <c r="F19862" s="546"/>
      <c r="G19862" s="234"/>
      <c r="H19862" s="238"/>
      <c r="I19862" s="237"/>
    </row>
    <row r="19863" spans="1:9" s="232" customFormat="1" ht="17" customHeight="1">
      <c r="A19863" s="234"/>
      <c r="B19863" s="233"/>
      <c r="C19863" s="238"/>
      <c r="E19863" s="545"/>
      <c r="F19863" s="546"/>
      <c r="G19863" s="234"/>
      <c r="H19863" s="238"/>
      <c r="I19863" s="237"/>
    </row>
    <row r="19864" spans="1:9" s="232" customFormat="1" ht="17" customHeight="1">
      <c r="A19864" s="234"/>
      <c r="B19864" s="233"/>
      <c r="C19864" s="238"/>
      <c r="E19864" s="545"/>
      <c r="F19864" s="546"/>
      <c r="G19864" s="234"/>
      <c r="H19864" s="238"/>
      <c r="I19864" s="237"/>
    </row>
    <row r="19865" spans="1:9" s="232" customFormat="1" ht="17" customHeight="1">
      <c r="A19865" s="234"/>
      <c r="B19865" s="233"/>
      <c r="C19865" s="238"/>
      <c r="E19865" s="545"/>
      <c r="F19865" s="546"/>
      <c r="G19865" s="234"/>
      <c r="H19865" s="238"/>
      <c r="I19865" s="237"/>
    </row>
    <row r="19866" spans="1:9" s="232" customFormat="1" ht="17" customHeight="1">
      <c r="A19866" s="234"/>
      <c r="B19866" s="233"/>
      <c r="C19866" s="238"/>
      <c r="E19866" s="545"/>
      <c r="F19866" s="546"/>
      <c r="G19866" s="234"/>
      <c r="H19866" s="238"/>
      <c r="I19866" s="237"/>
    </row>
    <row r="19867" spans="1:9" s="232" customFormat="1" ht="17" customHeight="1">
      <c r="A19867" s="234"/>
      <c r="B19867" s="233"/>
      <c r="C19867" s="238"/>
      <c r="E19867" s="545"/>
      <c r="F19867" s="546"/>
      <c r="G19867" s="234"/>
      <c r="H19867" s="238"/>
      <c r="I19867" s="237"/>
    </row>
    <row r="19868" spans="1:9" s="232" customFormat="1" ht="17" customHeight="1">
      <c r="A19868" s="234"/>
      <c r="B19868" s="233"/>
      <c r="C19868" s="238"/>
      <c r="E19868" s="545"/>
      <c r="F19868" s="546"/>
      <c r="G19868" s="234"/>
      <c r="H19868" s="238"/>
      <c r="I19868" s="237"/>
    </row>
    <row r="19869" spans="1:9" s="232" customFormat="1" ht="17" customHeight="1">
      <c r="A19869" s="234"/>
      <c r="B19869" s="233"/>
      <c r="C19869" s="238"/>
      <c r="E19869" s="545"/>
      <c r="F19869" s="546"/>
      <c r="G19869" s="234"/>
      <c r="H19869" s="238"/>
      <c r="I19869" s="237"/>
    </row>
    <row r="19870" spans="1:9" s="232" customFormat="1" ht="17" customHeight="1">
      <c r="A19870" s="234"/>
      <c r="B19870" s="233"/>
      <c r="C19870" s="238"/>
      <c r="E19870" s="545"/>
      <c r="F19870" s="546"/>
      <c r="G19870" s="234"/>
      <c r="H19870" s="238"/>
      <c r="I19870" s="237"/>
    </row>
    <row r="19871" spans="1:9" s="232" customFormat="1" ht="17" customHeight="1">
      <c r="A19871" s="234"/>
      <c r="B19871" s="233"/>
      <c r="C19871" s="238"/>
      <c r="E19871" s="545"/>
      <c r="F19871" s="546"/>
      <c r="G19871" s="234"/>
      <c r="H19871" s="238"/>
      <c r="I19871" s="237"/>
    </row>
    <row r="19872" spans="1:9" s="232" customFormat="1" ht="17" customHeight="1">
      <c r="A19872" s="234"/>
      <c r="B19872" s="233"/>
      <c r="C19872" s="238"/>
      <c r="E19872" s="545"/>
      <c r="F19872" s="546"/>
      <c r="G19872" s="234"/>
      <c r="H19872" s="238"/>
      <c r="I19872" s="237"/>
    </row>
    <row r="19873" spans="1:9" s="232" customFormat="1" ht="17" customHeight="1">
      <c r="A19873" s="234"/>
      <c r="B19873" s="233"/>
      <c r="C19873" s="238"/>
      <c r="E19873" s="545"/>
      <c r="F19873" s="546"/>
      <c r="G19873" s="234"/>
      <c r="H19873" s="238"/>
      <c r="I19873" s="237"/>
    </row>
    <row r="19874" spans="1:9" s="232" customFormat="1" ht="17" customHeight="1">
      <c r="A19874" s="234"/>
      <c r="B19874" s="233"/>
      <c r="C19874" s="238"/>
      <c r="E19874" s="545"/>
      <c r="F19874" s="546"/>
      <c r="G19874" s="234"/>
      <c r="H19874" s="238"/>
      <c r="I19874" s="237"/>
    </row>
    <row r="19875" spans="1:9" s="232" customFormat="1" ht="17" customHeight="1">
      <c r="A19875" s="234"/>
      <c r="B19875" s="233"/>
      <c r="C19875" s="238"/>
      <c r="E19875" s="545"/>
      <c r="F19875" s="546"/>
      <c r="G19875" s="234"/>
      <c r="H19875" s="238"/>
      <c r="I19875" s="237"/>
    </row>
    <row r="19876" spans="1:9" s="232" customFormat="1" ht="17" customHeight="1">
      <c r="A19876" s="234"/>
      <c r="B19876" s="233"/>
      <c r="C19876" s="238"/>
      <c r="E19876" s="545"/>
      <c r="F19876" s="546"/>
      <c r="G19876" s="234"/>
      <c r="H19876" s="238"/>
      <c r="I19876" s="237"/>
    </row>
    <row r="19877" spans="1:9" s="232" customFormat="1" ht="17" customHeight="1">
      <c r="A19877" s="234"/>
      <c r="B19877" s="233"/>
      <c r="C19877" s="238"/>
      <c r="E19877" s="545"/>
      <c r="F19877" s="546"/>
      <c r="G19877" s="234"/>
      <c r="H19877" s="238"/>
      <c r="I19877" s="237"/>
    </row>
    <row r="19878" spans="1:9" s="232" customFormat="1" ht="17" customHeight="1">
      <c r="A19878" s="234"/>
      <c r="B19878" s="233"/>
      <c r="C19878" s="238"/>
      <c r="E19878" s="545"/>
      <c r="F19878" s="546"/>
      <c r="G19878" s="234"/>
      <c r="H19878" s="238"/>
      <c r="I19878" s="237"/>
    </row>
    <row r="19879" spans="1:9" s="232" customFormat="1" ht="17" customHeight="1">
      <c r="A19879" s="234"/>
      <c r="B19879" s="233"/>
      <c r="C19879" s="238"/>
      <c r="E19879" s="545"/>
      <c r="F19879" s="546"/>
      <c r="G19879" s="234"/>
      <c r="H19879" s="238"/>
      <c r="I19879" s="237"/>
    </row>
    <row r="19880" spans="1:9" s="232" customFormat="1" ht="17" customHeight="1">
      <c r="A19880" s="234"/>
      <c r="B19880" s="233"/>
      <c r="C19880" s="238"/>
      <c r="E19880" s="545"/>
      <c r="F19880" s="546"/>
      <c r="G19880" s="234"/>
      <c r="H19880" s="238"/>
      <c r="I19880" s="237"/>
    </row>
    <row r="19881" spans="1:9" s="232" customFormat="1" ht="17" customHeight="1">
      <c r="A19881" s="234"/>
      <c r="B19881" s="233"/>
      <c r="C19881" s="238"/>
      <c r="E19881" s="545"/>
      <c r="F19881" s="546"/>
      <c r="G19881" s="234"/>
      <c r="H19881" s="238"/>
      <c r="I19881" s="237"/>
    </row>
    <row r="19882" spans="1:9" s="232" customFormat="1" ht="17" customHeight="1">
      <c r="A19882" s="234"/>
      <c r="B19882" s="233"/>
      <c r="C19882" s="238"/>
      <c r="E19882" s="545"/>
      <c r="F19882" s="546"/>
      <c r="G19882" s="234"/>
      <c r="H19882" s="238"/>
      <c r="I19882" s="237"/>
    </row>
    <row r="19883" spans="1:9" s="232" customFormat="1" ht="17" customHeight="1">
      <c r="A19883" s="234"/>
      <c r="B19883" s="233"/>
      <c r="C19883" s="238"/>
      <c r="E19883" s="545"/>
      <c r="F19883" s="546"/>
      <c r="G19883" s="234"/>
      <c r="H19883" s="238"/>
      <c r="I19883" s="237"/>
    </row>
    <row r="19884" spans="1:9" s="232" customFormat="1" ht="17" customHeight="1">
      <c r="A19884" s="234"/>
      <c r="B19884" s="233"/>
      <c r="C19884" s="238"/>
      <c r="E19884" s="545"/>
      <c r="F19884" s="546"/>
      <c r="G19884" s="234"/>
      <c r="H19884" s="238"/>
      <c r="I19884" s="237"/>
    </row>
    <row r="19885" spans="1:9" s="232" customFormat="1" ht="17" customHeight="1">
      <c r="A19885" s="234"/>
      <c r="B19885" s="233"/>
      <c r="C19885" s="238"/>
      <c r="E19885" s="545"/>
      <c r="F19885" s="546"/>
      <c r="G19885" s="234"/>
      <c r="H19885" s="238"/>
      <c r="I19885" s="237"/>
    </row>
    <row r="19886" spans="1:9" s="232" customFormat="1" ht="17" customHeight="1">
      <c r="A19886" s="234"/>
      <c r="B19886" s="233"/>
      <c r="C19886" s="238"/>
      <c r="E19886" s="545"/>
      <c r="F19886" s="546"/>
      <c r="G19886" s="234"/>
      <c r="H19886" s="238"/>
      <c r="I19886" s="237"/>
    </row>
    <row r="19887" spans="1:9" s="232" customFormat="1" ht="17" customHeight="1">
      <c r="A19887" s="234"/>
      <c r="B19887" s="233"/>
      <c r="C19887" s="238"/>
      <c r="E19887" s="545"/>
      <c r="F19887" s="546"/>
      <c r="G19887" s="234"/>
      <c r="H19887" s="238"/>
      <c r="I19887" s="237"/>
    </row>
    <row r="19888" spans="1:9" s="232" customFormat="1" ht="17" customHeight="1">
      <c r="A19888" s="234"/>
      <c r="B19888" s="233"/>
      <c r="C19888" s="238"/>
      <c r="E19888" s="545"/>
      <c r="F19888" s="546"/>
      <c r="G19888" s="234"/>
      <c r="H19888" s="238"/>
      <c r="I19888" s="237"/>
    </row>
    <row r="19889" spans="1:9" s="232" customFormat="1" ht="17" customHeight="1">
      <c r="A19889" s="234"/>
      <c r="B19889" s="233"/>
      <c r="C19889" s="238"/>
      <c r="E19889" s="545"/>
      <c r="F19889" s="546"/>
      <c r="G19889" s="234"/>
      <c r="H19889" s="238"/>
      <c r="I19889" s="237"/>
    </row>
    <row r="19890" spans="1:9" s="232" customFormat="1" ht="17" customHeight="1">
      <c r="A19890" s="234"/>
      <c r="B19890" s="233"/>
      <c r="C19890" s="238"/>
      <c r="E19890" s="545"/>
      <c r="F19890" s="546"/>
      <c r="G19890" s="234"/>
      <c r="H19890" s="238"/>
      <c r="I19890" s="237"/>
    </row>
    <row r="19891" spans="1:9" s="232" customFormat="1" ht="17" customHeight="1">
      <c r="A19891" s="234"/>
      <c r="B19891" s="233"/>
      <c r="C19891" s="238"/>
      <c r="E19891" s="545"/>
      <c r="F19891" s="546"/>
      <c r="G19891" s="234"/>
      <c r="H19891" s="238"/>
      <c r="I19891" s="237"/>
    </row>
    <row r="19892" spans="1:9" s="232" customFormat="1" ht="17" customHeight="1">
      <c r="A19892" s="234"/>
      <c r="B19892" s="233"/>
      <c r="C19892" s="238"/>
      <c r="E19892" s="545"/>
      <c r="F19892" s="546"/>
      <c r="G19892" s="234"/>
      <c r="H19892" s="238"/>
      <c r="I19892" s="237"/>
    </row>
    <row r="19893" spans="1:9" s="232" customFormat="1" ht="17" customHeight="1">
      <c r="A19893" s="234"/>
      <c r="B19893" s="233"/>
      <c r="C19893" s="238"/>
      <c r="E19893" s="545"/>
      <c r="F19893" s="546"/>
      <c r="G19893" s="234"/>
      <c r="H19893" s="238"/>
      <c r="I19893" s="237"/>
    </row>
    <row r="19894" spans="1:9" s="232" customFormat="1" ht="17" customHeight="1">
      <c r="A19894" s="234"/>
      <c r="B19894" s="233"/>
      <c r="C19894" s="238"/>
      <c r="E19894" s="545"/>
      <c r="F19894" s="546"/>
      <c r="G19894" s="234"/>
      <c r="H19894" s="238"/>
      <c r="I19894" s="237"/>
    </row>
    <row r="19895" spans="1:9" s="232" customFormat="1" ht="17" customHeight="1">
      <c r="A19895" s="234"/>
      <c r="B19895" s="233"/>
      <c r="C19895" s="238"/>
      <c r="E19895" s="545"/>
      <c r="F19895" s="546"/>
      <c r="G19895" s="234"/>
      <c r="H19895" s="238"/>
      <c r="I19895" s="237"/>
    </row>
    <row r="19896" spans="1:9" s="232" customFormat="1" ht="17" customHeight="1">
      <c r="A19896" s="234"/>
      <c r="B19896" s="233"/>
      <c r="C19896" s="238"/>
      <c r="E19896" s="545"/>
      <c r="F19896" s="546"/>
      <c r="G19896" s="234"/>
      <c r="H19896" s="238"/>
      <c r="I19896" s="237"/>
    </row>
    <row r="19897" spans="1:9" s="232" customFormat="1" ht="17" customHeight="1">
      <c r="A19897" s="234"/>
      <c r="B19897" s="233"/>
      <c r="C19897" s="238"/>
      <c r="E19897" s="545"/>
      <c r="F19897" s="546"/>
      <c r="G19897" s="234"/>
      <c r="H19897" s="238"/>
      <c r="I19897" s="237"/>
    </row>
    <row r="19898" spans="1:9" s="232" customFormat="1" ht="17" customHeight="1">
      <c r="A19898" s="234"/>
      <c r="B19898" s="233"/>
      <c r="C19898" s="238"/>
      <c r="E19898" s="545"/>
      <c r="F19898" s="546"/>
      <c r="G19898" s="234"/>
      <c r="H19898" s="238"/>
      <c r="I19898" s="237"/>
    </row>
    <row r="19899" spans="1:9" s="232" customFormat="1" ht="17" customHeight="1">
      <c r="A19899" s="234"/>
      <c r="B19899" s="233"/>
      <c r="C19899" s="238"/>
      <c r="E19899" s="545"/>
      <c r="F19899" s="546"/>
      <c r="G19899" s="234"/>
      <c r="H19899" s="238"/>
      <c r="I19899" s="237"/>
    </row>
    <row r="19900" spans="1:9" s="232" customFormat="1" ht="17" customHeight="1">
      <c r="A19900" s="234"/>
      <c r="B19900" s="233"/>
      <c r="C19900" s="238"/>
      <c r="E19900" s="545"/>
      <c r="F19900" s="546"/>
      <c r="G19900" s="234"/>
      <c r="H19900" s="238"/>
      <c r="I19900" s="237"/>
    </row>
    <row r="19901" spans="1:9" s="232" customFormat="1" ht="17" customHeight="1">
      <c r="A19901" s="234"/>
      <c r="B19901" s="233"/>
      <c r="C19901" s="238"/>
      <c r="E19901" s="545"/>
      <c r="F19901" s="546"/>
      <c r="G19901" s="234"/>
      <c r="H19901" s="238"/>
      <c r="I19901" s="237"/>
    </row>
    <row r="19902" spans="1:9" s="232" customFormat="1" ht="17" customHeight="1">
      <c r="A19902" s="234"/>
      <c r="B19902" s="233"/>
      <c r="C19902" s="238"/>
      <c r="E19902" s="545"/>
      <c r="F19902" s="546"/>
      <c r="G19902" s="234"/>
      <c r="H19902" s="238"/>
      <c r="I19902" s="237"/>
    </row>
    <row r="19903" spans="1:9" s="232" customFormat="1" ht="17" customHeight="1">
      <c r="A19903" s="234"/>
      <c r="B19903" s="233"/>
      <c r="C19903" s="238"/>
      <c r="E19903" s="545"/>
      <c r="F19903" s="546"/>
      <c r="G19903" s="234"/>
      <c r="H19903" s="238"/>
      <c r="I19903" s="237"/>
    </row>
    <row r="19904" spans="1:9" s="232" customFormat="1" ht="17" customHeight="1">
      <c r="A19904" s="234"/>
      <c r="B19904" s="233"/>
      <c r="C19904" s="238"/>
      <c r="E19904" s="545"/>
      <c r="F19904" s="546"/>
      <c r="G19904" s="234"/>
      <c r="H19904" s="238"/>
      <c r="I19904" s="237"/>
    </row>
    <row r="19905" spans="1:9" s="232" customFormat="1" ht="17" customHeight="1">
      <c r="A19905" s="234"/>
      <c r="B19905" s="233"/>
      <c r="C19905" s="238"/>
      <c r="E19905" s="545"/>
      <c r="F19905" s="546"/>
      <c r="G19905" s="234"/>
      <c r="H19905" s="238"/>
      <c r="I19905" s="237"/>
    </row>
    <row r="19906" spans="1:9" s="232" customFormat="1" ht="17" customHeight="1">
      <c r="A19906" s="234"/>
      <c r="B19906" s="233"/>
      <c r="C19906" s="238"/>
      <c r="E19906" s="545"/>
      <c r="F19906" s="546"/>
      <c r="G19906" s="234"/>
      <c r="H19906" s="238"/>
      <c r="I19906" s="237"/>
    </row>
    <row r="19907" spans="1:9" s="232" customFormat="1" ht="17" customHeight="1">
      <c r="A19907" s="234"/>
      <c r="B19907" s="233"/>
      <c r="C19907" s="238"/>
      <c r="E19907" s="545"/>
      <c r="F19907" s="546"/>
      <c r="G19907" s="234"/>
      <c r="H19907" s="238"/>
      <c r="I19907" s="237"/>
    </row>
    <row r="19908" spans="1:9" s="232" customFormat="1" ht="17" customHeight="1">
      <c r="A19908" s="234"/>
      <c r="B19908" s="233"/>
      <c r="C19908" s="238"/>
      <c r="E19908" s="545"/>
      <c r="F19908" s="546"/>
      <c r="G19908" s="234"/>
      <c r="H19908" s="238"/>
      <c r="I19908" s="237"/>
    </row>
    <row r="19909" spans="1:9" s="232" customFormat="1" ht="17" customHeight="1">
      <c r="A19909" s="234"/>
      <c r="B19909" s="233"/>
      <c r="C19909" s="238"/>
      <c r="E19909" s="545"/>
      <c r="F19909" s="546"/>
      <c r="G19909" s="234"/>
      <c r="H19909" s="238"/>
      <c r="I19909" s="237"/>
    </row>
    <row r="19910" spans="1:9" s="232" customFormat="1" ht="17" customHeight="1">
      <c r="A19910" s="234"/>
      <c r="B19910" s="233"/>
      <c r="C19910" s="238"/>
      <c r="E19910" s="545"/>
      <c r="F19910" s="546"/>
      <c r="G19910" s="234"/>
      <c r="H19910" s="238"/>
      <c r="I19910" s="237"/>
    </row>
    <row r="19911" spans="1:9" s="232" customFormat="1" ht="17" customHeight="1">
      <c r="A19911" s="234"/>
      <c r="B19911" s="233"/>
      <c r="C19911" s="238"/>
      <c r="E19911" s="545"/>
      <c r="F19911" s="546"/>
      <c r="G19911" s="234"/>
      <c r="H19911" s="238"/>
      <c r="I19911" s="237"/>
    </row>
    <row r="19912" spans="1:9" s="232" customFormat="1" ht="17" customHeight="1">
      <c r="A19912" s="234"/>
      <c r="B19912" s="233"/>
      <c r="C19912" s="238"/>
      <c r="E19912" s="545"/>
      <c r="F19912" s="546"/>
      <c r="G19912" s="234"/>
      <c r="H19912" s="238"/>
      <c r="I19912" s="237"/>
    </row>
    <row r="19913" spans="1:9" s="232" customFormat="1" ht="17" customHeight="1">
      <c r="A19913" s="234"/>
      <c r="B19913" s="233"/>
      <c r="C19913" s="238"/>
      <c r="E19913" s="545"/>
      <c r="F19913" s="546"/>
      <c r="G19913" s="234"/>
      <c r="H19913" s="238"/>
      <c r="I19913" s="237"/>
    </row>
    <row r="19914" spans="1:9" s="232" customFormat="1" ht="17" customHeight="1">
      <c r="A19914" s="234"/>
      <c r="B19914" s="233"/>
      <c r="C19914" s="238"/>
      <c r="E19914" s="545"/>
      <c r="F19914" s="546"/>
      <c r="G19914" s="234"/>
      <c r="H19914" s="238"/>
      <c r="I19914" s="237"/>
    </row>
    <row r="19915" spans="1:9" s="232" customFormat="1" ht="17" customHeight="1">
      <c r="A19915" s="234"/>
      <c r="B19915" s="233"/>
      <c r="C19915" s="238"/>
      <c r="E19915" s="545"/>
      <c r="F19915" s="546"/>
      <c r="G19915" s="234"/>
      <c r="H19915" s="238"/>
      <c r="I19915" s="237"/>
    </row>
    <row r="19916" spans="1:9" s="232" customFormat="1" ht="17" customHeight="1">
      <c r="A19916" s="234"/>
      <c r="B19916" s="233"/>
      <c r="C19916" s="238"/>
      <c r="E19916" s="545"/>
      <c r="F19916" s="546"/>
      <c r="G19916" s="234"/>
      <c r="H19916" s="238"/>
      <c r="I19916" s="237"/>
    </row>
    <row r="19917" spans="1:9" s="232" customFormat="1" ht="17" customHeight="1">
      <c r="A19917" s="234"/>
      <c r="B19917" s="233"/>
      <c r="C19917" s="238"/>
      <c r="E19917" s="545"/>
      <c r="F19917" s="546"/>
      <c r="G19917" s="234"/>
      <c r="H19917" s="238"/>
      <c r="I19917" s="237"/>
    </row>
    <row r="19918" spans="1:9" s="232" customFormat="1" ht="17" customHeight="1">
      <c r="A19918" s="234"/>
      <c r="B19918" s="233"/>
      <c r="C19918" s="238"/>
      <c r="E19918" s="545"/>
      <c r="F19918" s="546"/>
      <c r="G19918" s="234"/>
      <c r="H19918" s="238"/>
      <c r="I19918" s="237"/>
    </row>
    <row r="19919" spans="1:9" s="232" customFormat="1" ht="17" customHeight="1">
      <c r="A19919" s="234"/>
      <c r="B19919" s="233"/>
      <c r="C19919" s="238"/>
      <c r="E19919" s="545"/>
      <c r="F19919" s="546"/>
      <c r="G19919" s="234"/>
      <c r="H19919" s="238"/>
      <c r="I19919" s="237"/>
    </row>
    <row r="19920" spans="1:9" s="232" customFormat="1" ht="17" customHeight="1">
      <c r="A19920" s="234"/>
      <c r="B19920" s="233"/>
      <c r="C19920" s="238"/>
      <c r="E19920" s="545"/>
      <c r="F19920" s="546"/>
      <c r="G19920" s="234"/>
      <c r="H19920" s="238"/>
      <c r="I19920" s="237"/>
    </row>
    <row r="19921" spans="1:9" s="232" customFormat="1" ht="17" customHeight="1">
      <c r="A19921" s="234"/>
      <c r="B19921" s="233"/>
      <c r="C19921" s="238"/>
      <c r="E19921" s="545"/>
      <c r="F19921" s="546"/>
      <c r="G19921" s="234"/>
      <c r="H19921" s="238"/>
      <c r="I19921" s="237"/>
    </row>
    <row r="19922" spans="1:9" s="232" customFormat="1" ht="17" customHeight="1">
      <c r="A19922" s="234"/>
      <c r="B19922" s="233"/>
      <c r="C19922" s="238"/>
      <c r="E19922" s="545"/>
      <c r="F19922" s="546"/>
      <c r="G19922" s="234"/>
      <c r="H19922" s="238"/>
      <c r="I19922" s="237"/>
    </row>
    <row r="19923" spans="1:9" s="232" customFormat="1" ht="17" customHeight="1">
      <c r="A19923" s="234"/>
      <c r="B19923" s="233"/>
      <c r="C19923" s="238"/>
      <c r="E19923" s="545"/>
      <c r="F19923" s="546"/>
      <c r="G19923" s="234"/>
      <c r="H19923" s="238"/>
      <c r="I19923" s="237"/>
    </row>
    <row r="19924" spans="1:9" s="232" customFormat="1" ht="17" customHeight="1">
      <c r="A19924" s="234"/>
      <c r="B19924" s="233"/>
      <c r="C19924" s="238"/>
      <c r="E19924" s="545"/>
      <c r="F19924" s="546"/>
      <c r="G19924" s="234"/>
      <c r="H19924" s="238"/>
      <c r="I19924" s="237"/>
    </row>
    <row r="19925" spans="1:9" s="232" customFormat="1" ht="17" customHeight="1">
      <c r="A19925" s="234"/>
      <c r="B19925" s="233"/>
      <c r="C19925" s="238"/>
      <c r="E19925" s="545"/>
      <c r="F19925" s="546"/>
      <c r="G19925" s="234"/>
      <c r="H19925" s="238"/>
      <c r="I19925" s="237"/>
    </row>
    <row r="19926" spans="1:9" s="232" customFormat="1" ht="17" customHeight="1">
      <c r="A19926" s="234"/>
      <c r="B19926" s="233"/>
      <c r="C19926" s="238"/>
      <c r="E19926" s="545"/>
      <c r="F19926" s="546"/>
      <c r="G19926" s="234"/>
      <c r="H19926" s="238"/>
      <c r="I19926" s="237"/>
    </row>
    <row r="19927" spans="1:9" s="232" customFormat="1" ht="17" customHeight="1">
      <c r="A19927" s="234"/>
      <c r="B19927" s="233"/>
      <c r="C19927" s="238"/>
      <c r="E19927" s="545"/>
      <c r="F19927" s="546"/>
      <c r="G19927" s="234"/>
      <c r="H19927" s="238"/>
      <c r="I19927" s="237"/>
    </row>
    <row r="19928" spans="1:9" s="232" customFormat="1" ht="17" customHeight="1">
      <c r="A19928" s="234"/>
      <c r="B19928" s="233"/>
      <c r="C19928" s="238"/>
      <c r="E19928" s="545"/>
      <c r="F19928" s="546"/>
      <c r="G19928" s="234"/>
      <c r="H19928" s="238"/>
      <c r="I19928" s="237"/>
    </row>
    <row r="19929" spans="1:9" s="232" customFormat="1" ht="17" customHeight="1">
      <c r="A19929" s="234"/>
      <c r="B19929" s="233"/>
      <c r="C19929" s="238"/>
      <c r="E19929" s="545"/>
      <c r="F19929" s="546"/>
      <c r="G19929" s="234"/>
      <c r="H19929" s="238"/>
      <c r="I19929" s="237"/>
    </row>
    <row r="19930" spans="1:9" s="232" customFormat="1" ht="17" customHeight="1">
      <c r="A19930" s="234"/>
      <c r="B19930" s="233"/>
      <c r="C19930" s="238"/>
      <c r="E19930" s="545"/>
      <c r="F19930" s="546"/>
      <c r="G19930" s="234"/>
      <c r="H19930" s="238"/>
      <c r="I19930" s="237"/>
    </row>
    <row r="19931" spans="1:9" s="232" customFormat="1" ht="17" customHeight="1">
      <c r="A19931" s="234"/>
      <c r="B19931" s="233"/>
      <c r="C19931" s="238"/>
      <c r="E19931" s="545"/>
      <c r="F19931" s="546"/>
      <c r="G19931" s="234"/>
      <c r="H19931" s="238"/>
      <c r="I19931" s="237"/>
    </row>
    <row r="19932" spans="1:9" s="232" customFormat="1" ht="17" customHeight="1">
      <c r="A19932" s="234"/>
      <c r="B19932" s="233"/>
      <c r="C19932" s="238"/>
      <c r="E19932" s="545"/>
      <c r="F19932" s="546"/>
      <c r="G19932" s="234"/>
      <c r="H19932" s="238"/>
      <c r="I19932" s="237"/>
    </row>
    <row r="19933" spans="1:9" s="232" customFormat="1" ht="17" customHeight="1">
      <c r="A19933" s="234"/>
      <c r="B19933" s="233"/>
      <c r="C19933" s="238"/>
      <c r="E19933" s="545"/>
      <c r="F19933" s="546"/>
      <c r="G19933" s="234"/>
      <c r="H19933" s="238"/>
      <c r="I19933" s="237"/>
    </row>
    <row r="19934" spans="1:9" s="232" customFormat="1" ht="17" customHeight="1">
      <c r="A19934" s="234"/>
      <c r="B19934" s="233"/>
      <c r="C19934" s="238"/>
      <c r="E19934" s="545"/>
      <c r="F19934" s="546"/>
      <c r="G19934" s="234"/>
      <c r="H19934" s="238"/>
      <c r="I19934" s="237"/>
    </row>
    <row r="19935" spans="1:9" s="232" customFormat="1" ht="17" customHeight="1">
      <c r="A19935" s="234"/>
      <c r="B19935" s="233"/>
      <c r="C19935" s="238"/>
      <c r="E19935" s="545"/>
      <c r="F19935" s="546"/>
      <c r="G19935" s="234"/>
      <c r="H19935" s="238"/>
      <c r="I19935" s="237"/>
    </row>
    <row r="19936" spans="1:9" s="232" customFormat="1" ht="17" customHeight="1">
      <c r="A19936" s="234"/>
      <c r="B19936" s="233"/>
      <c r="C19936" s="238"/>
      <c r="E19936" s="545"/>
      <c r="F19936" s="546"/>
      <c r="G19936" s="234"/>
      <c r="H19936" s="238"/>
      <c r="I19936" s="237"/>
    </row>
    <row r="19937" spans="1:9" s="232" customFormat="1" ht="17" customHeight="1">
      <c r="A19937" s="234"/>
      <c r="B19937" s="233"/>
      <c r="C19937" s="238"/>
      <c r="E19937" s="545"/>
      <c r="F19937" s="546"/>
      <c r="G19937" s="234"/>
      <c r="H19937" s="238"/>
      <c r="I19937" s="237"/>
    </row>
    <row r="19938" spans="1:9" s="232" customFormat="1" ht="17" customHeight="1">
      <c r="A19938" s="234"/>
      <c r="B19938" s="233"/>
      <c r="C19938" s="238"/>
      <c r="E19938" s="545"/>
      <c r="F19938" s="546"/>
      <c r="G19938" s="234"/>
      <c r="H19938" s="238"/>
      <c r="I19938" s="237"/>
    </row>
    <row r="19939" spans="1:9" s="232" customFormat="1" ht="17" customHeight="1">
      <c r="A19939" s="234"/>
      <c r="B19939" s="233"/>
      <c r="C19939" s="238"/>
      <c r="E19939" s="545"/>
      <c r="F19939" s="546"/>
      <c r="G19939" s="234"/>
      <c r="H19939" s="238"/>
      <c r="I19939" s="237"/>
    </row>
    <row r="19940" spans="1:9" s="232" customFormat="1" ht="17" customHeight="1">
      <c r="A19940" s="234"/>
      <c r="B19940" s="233"/>
      <c r="C19940" s="238"/>
      <c r="E19940" s="545"/>
      <c r="F19940" s="546"/>
      <c r="G19940" s="234"/>
      <c r="H19940" s="238"/>
      <c r="I19940" s="237"/>
    </row>
    <row r="19941" spans="1:9" s="232" customFormat="1" ht="17" customHeight="1">
      <c r="A19941" s="234"/>
      <c r="B19941" s="233"/>
      <c r="C19941" s="238"/>
      <c r="E19941" s="545"/>
      <c r="F19941" s="546"/>
      <c r="G19941" s="234"/>
      <c r="H19941" s="238"/>
      <c r="I19941" s="237"/>
    </row>
    <row r="19942" spans="1:9" s="232" customFormat="1" ht="17" customHeight="1">
      <c r="A19942" s="234"/>
      <c r="B19942" s="233"/>
      <c r="C19942" s="238"/>
      <c r="E19942" s="545"/>
      <c r="F19942" s="546"/>
      <c r="G19942" s="234"/>
      <c r="H19942" s="238"/>
      <c r="I19942" s="237"/>
    </row>
    <row r="19943" spans="1:9" s="232" customFormat="1" ht="17" customHeight="1">
      <c r="A19943" s="234"/>
      <c r="B19943" s="233"/>
      <c r="C19943" s="238"/>
      <c r="E19943" s="545"/>
      <c r="F19943" s="546"/>
      <c r="G19943" s="234"/>
      <c r="H19943" s="238"/>
      <c r="I19943" s="237"/>
    </row>
    <row r="19944" spans="1:9" s="232" customFormat="1" ht="17" customHeight="1">
      <c r="A19944" s="234"/>
      <c r="B19944" s="233"/>
      <c r="C19944" s="238"/>
      <c r="E19944" s="545"/>
      <c r="F19944" s="546"/>
      <c r="G19944" s="234"/>
      <c r="H19944" s="238"/>
      <c r="I19944" s="237"/>
    </row>
    <row r="19945" spans="1:9" s="232" customFormat="1" ht="17" customHeight="1">
      <c r="A19945" s="234"/>
      <c r="B19945" s="233"/>
      <c r="C19945" s="238"/>
      <c r="E19945" s="545"/>
      <c r="F19945" s="546"/>
      <c r="G19945" s="234"/>
      <c r="H19945" s="238"/>
      <c r="I19945" s="237"/>
    </row>
    <row r="19946" spans="1:9" s="232" customFormat="1" ht="17" customHeight="1">
      <c r="A19946" s="234"/>
      <c r="B19946" s="233"/>
      <c r="C19946" s="238"/>
      <c r="E19946" s="545"/>
      <c r="F19946" s="546"/>
      <c r="G19946" s="234"/>
      <c r="H19946" s="238"/>
      <c r="I19946" s="237"/>
    </row>
    <row r="19947" spans="1:9" s="232" customFormat="1" ht="17" customHeight="1">
      <c r="A19947" s="234"/>
      <c r="B19947" s="233"/>
      <c r="C19947" s="238"/>
      <c r="E19947" s="545"/>
      <c r="F19947" s="546"/>
      <c r="G19947" s="234"/>
      <c r="H19947" s="238"/>
      <c r="I19947" s="237"/>
    </row>
    <row r="19948" spans="1:9" s="232" customFormat="1" ht="17" customHeight="1">
      <c r="A19948" s="234"/>
      <c r="B19948" s="233"/>
      <c r="C19948" s="238"/>
      <c r="E19948" s="545"/>
      <c r="F19948" s="546"/>
      <c r="G19948" s="234"/>
      <c r="H19948" s="238"/>
      <c r="I19948" s="237"/>
    </row>
    <row r="19949" spans="1:9" s="232" customFormat="1" ht="17" customHeight="1">
      <c r="A19949" s="234"/>
      <c r="B19949" s="233"/>
      <c r="C19949" s="238"/>
      <c r="E19949" s="545"/>
      <c r="F19949" s="546"/>
      <c r="G19949" s="234"/>
      <c r="H19949" s="238"/>
      <c r="I19949" s="237"/>
    </row>
    <row r="19950" spans="1:9" s="232" customFormat="1" ht="17" customHeight="1">
      <c r="A19950" s="234"/>
      <c r="B19950" s="233"/>
      <c r="C19950" s="238"/>
      <c r="E19950" s="545"/>
      <c r="F19950" s="546"/>
      <c r="G19950" s="234"/>
      <c r="H19950" s="238"/>
      <c r="I19950" s="237"/>
    </row>
    <row r="19951" spans="1:9" s="232" customFormat="1" ht="17" customHeight="1">
      <c r="A19951" s="234"/>
      <c r="B19951" s="233"/>
      <c r="C19951" s="238"/>
      <c r="E19951" s="545"/>
      <c r="F19951" s="546"/>
      <c r="G19951" s="234"/>
      <c r="H19951" s="238"/>
      <c r="I19951" s="237"/>
    </row>
    <row r="19952" spans="1:9" s="232" customFormat="1" ht="17" customHeight="1">
      <c r="A19952" s="234"/>
      <c r="B19952" s="233"/>
      <c r="C19952" s="238"/>
      <c r="E19952" s="545"/>
      <c r="F19952" s="546"/>
      <c r="G19952" s="234"/>
      <c r="H19952" s="238"/>
      <c r="I19952" s="237"/>
    </row>
    <row r="19953" spans="1:9" s="232" customFormat="1" ht="17" customHeight="1">
      <c r="A19953" s="234"/>
      <c r="B19953" s="233"/>
      <c r="C19953" s="238"/>
      <c r="E19953" s="545"/>
      <c r="F19953" s="546"/>
      <c r="G19953" s="234"/>
      <c r="H19953" s="238"/>
      <c r="I19953" s="237"/>
    </row>
    <row r="19954" spans="1:9" s="232" customFormat="1" ht="17" customHeight="1">
      <c r="A19954" s="234"/>
      <c r="B19954" s="233"/>
      <c r="C19954" s="238"/>
      <c r="E19954" s="545"/>
      <c r="F19954" s="546"/>
      <c r="G19954" s="234"/>
      <c r="H19954" s="238"/>
      <c r="I19954" s="237"/>
    </row>
    <row r="19955" spans="1:9" s="232" customFormat="1" ht="17" customHeight="1">
      <c r="A19955" s="234"/>
      <c r="B19955" s="233"/>
      <c r="C19955" s="238"/>
      <c r="E19955" s="545"/>
      <c r="F19955" s="546"/>
      <c r="G19955" s="234"/>
      <c r="H19955" s="238"/>
      <c r="I19955" s="237"/>
    </row>
    <row r="19956" spans="1:9" s="232" customFormat="1" ht="17" customHeight="1">
      <c r="A19956" s="234"/>
      <c r="B19956" s="233"/>
      <c r="C19956" s="238"/>
      <c r="E19956" s="545"/>
      <c r="F19956" s="546"/>
      <c r="G19956" s="234"/>
      <c r="H19956" s="238"/>
      <c r="I19956" s="237"/>
    </row>
    <row r="19957" spans="1:9" s="232" customFormat="1" ht="17" customHeight="1">
      <c r="A19957" s="234"/>
      <c r="B19957" s="233"/>
      <c r="C19957" s="238"/>
      <c r="E19957" s="545"/>
      <c r="F19957" s="546"/>
      <c r="G19957" s="234"/>
      <c r="H19957" s="238"/>
      <c r="I19957" s="237"/>
    </row>
    <row r="19958" spans="1:9" s="232" customFormat="1" ht="17" customHeight="1">
      <c r="A19958" s="234"/>
      <c r="B19958" s="233"/>
      <c r="C19958" s="238"/>
      <c r="E19958" s="545"/>
      <c r="F19958" s="546"/>
      <c r="G19958" s="234"/>
      <c r="H19958" s="238"/>
      <c r="I19958" s="237"/>
    </row>
    <row r="19959" spans="1:9" s="232" customFormat="1" ht="17" customHeight="1">
      <c r="A19959" s="234"/>
      <c r="B19959" s="233"/>
      <c r="C19959" s="238"/>
      <c r="E19959" s="545"/>
      <c r="F19959" s="546"/>
      <c r="G19959" s="234"/>
      <c r="H19959" s="238"/>
      <c r="I19959" s="237"/>
    </row>
    <row r="19960" spans="1:9" s="232" customFormat="1" ht="17" customHeight="1">
      <c r="A19960" s="234"/>
      <c r="B19960" s="233"/>
      <c r="C19960" s="238"/>
      <c r="E19960" s="545"/>
      <c r="F19960" s="546"/>
      <c r="G19960" s="234"/>
      <c r="H19960" s="238"/>
      <c r="I19960" s="237"/>
    </row>
    <row r="19961" spans="1:9" s="232" customFormat="1" ht="17" customHeight="1">
      <c r="A19961" s="234"/>
      <c r="B19961" s="233"/>
      <c r="C19961" s="238"/>
      <c r="E19961" s="545"/>
      <c r="F19961" s="546"/>
      <c r="G19961" s="234"/>
      <c r="H19961" s="238"/>
      <c r="I19961" s="237"/>
    </row>
    <row r="19962" spans="1:9" s="232" customFormat="1" ht="17" customHeight="1">
      <c r="A19962" s="234"/>
      <c r="B19962" s="233"/>
      <c r="C19962" s="238"/>
      <c r="E19962" s="545"/>
      <c r="F19962" s="546"/>
      <c r="G19962" s="234"/>
      <c r="H19962" s="238"/>
      <c r="I19962" s="237"/>
    </row>
    <row r="19963" spans="1:9" s="232" customFormat="1" ht="17" customHeight="1">
      <c r="A19963" s="234"/>
      <c r="B19963" s="233"/>
      <c r="C19963" s="238"/>
      <c r="E19963" s="545"/>
      <c r="F19963" s="546"/>
      <c r="G19963" s="234"/>
      <c r="H19963" s="238"/>
      <c r="I19963" s="237"/>
    </row>
    <row r="19964" spans="1:9" s="232" customFormat="1" ht="17" customHeight="1">
      <c r="A19964" s="234"/>
      <c r="B19964" s="233"/>
      <c r="C19964" s="238"/>
      <c r="E19964" s="545"/>
      <c r="F19964" s="546"/>
      <c r="G19964" s="234"/>
      <c r="H19964" s="238"/>
      <c r="I19964" s="237"/>
    </row>
    <row r="19965" spans="1:9" s="232" customFormat="1" ht="17" customHeight="1">
      <c r="A19965" s="234"/>
      <c r="B19965" s="233"/>
      <c r="C19965" s="238"/>
      <c r="E19965" s="545"/>
      <c r="F19965" s="546"/>
      <c r="G19965" s="234"/>
      <c r="H19965" s="238"/>
      <c r="I19965" s="237"/>
    </row>
    <row r="19966" spans="1:9" s="232" customFormat="1" ht="17" customHeight="1">
      <c r="A19966" s="234"/>
      <c r="B19966" s="233"/>
      <c r="C19966" s="238"/>
      <c r="E19966" s="545"/>
      <c r="F19966" s="546"/>
      <c r="G19966" s="234"/>
      <c r="H19966" s="238"/>
      <c r="I19966" s="237"/>
    </row>
    <row r="19967" spans="1:9" s="232" customFormat="1" ht="17" customHeight="1">
      <c r="A19967" s="234"/>
      <c r="B19967" s="233"/>
      <c r="C19967" s="238"/>
      <c r="E19967" s="545"/>
      <c r="F19967" s="546"/>
      <c r="G19967" s="234"/>
      <c r="H19967" s="238"/>
      <c r="I19967" s="237"/>
    </row>
    <row r="19968" spans="1:9" s="232" customFormat="1" ht="17" customHeight="1">
      <c r="A19968" s="234"/>
      <c r="B19968" s="233"/>
      <c r="C19968" s="238"/>
      <c r="E19968" s="545"/>
      <c r="F19968" s="546"/>
      <c r="G19968" s="234"/>
      <c r="H19968" s="238"/>
      <c r="I19968" s="237"/>
    </row>
    <row r="19969" spans="1:9" s="232" customFormat="1" ht="17" customHeight="1">
      <c r="A19969" s="234"/>
      <c r="B19969" s="233"/>
      <c r="C19969" s="238"/>
      <c r="E19969" s="545"/>
      <c r="F19969" s="546"/>
      <c r="G19969" s="234"/>
      <c r="H19969" s="238"/>
      <c r="I19969" s="237"/>
    </row>
    <row r="19970" spans="1:9" s="232" customFormat="1" ht="17" customHeight="1">
      <c r="A19970" s="234"/>
      <c r="B19970" s="233"/>
      <c r="C19970" s="238"/>
      <c r="E19970" s="545"/>
      <c r="F19970" s="546"/>
      <c r="G19970" s="234"/>
      <c r="H19970" s="238"/>
      <c r="I19970" s="237"/>
    </row>
    <row r="19971" spans="1:9" s="232" customFormat="1" ht="17" customHeight="1">
      <c r="A19971" s="234"/>
      <c r="B19971" s="233"/>
      <c r="C19971" s="238"/>
      <c r="E19971" s="545"/>
      <c r="F19971" s="546"/>
      <c r="G19971" s="234"/>
      <c r="H19971" s="238"/>
      <c r="I19971" s="237"/>
    </row>
    <row r="19972" spans="1:9" s="232" customFormat="1" ht="17" customHeight="1">
      <c r="A19972" s="234"/>
      <c r="B19972" s="233"/>
      <c r="C19972" s="238"/>
      <c r="E19972" s="545"/>
      <c r="F19972" s="546"/>
      <c r="G19972" s="234"/>
      <c r="H19972" s="238"/>
      <c r="I19972" s="237"/>
    </row>
    <row r="19973" spans="1:9" s="232" customFormat="1" ht="17" customHeight="1">
      <c r="A19973" s="234"/>
      <c r="B19973" s="233"/>
      <c r="C19973" s="238"/>
      <c r="E19973" s="545"/>
      <c r="F19973" s="546"/>
      <c r="G19973" s="234"/>
      <c r="H19973" s="238"/>
      <c r="I19973" s="237"/>
    </row>
    <row r="19974" spans="1:9" s="232" customFormat="1" ht="17" customHeight="1">
      <c r="A19974" s="234"/>
      <c r="B19974" s="233"/>
      <c r="C19974" s="238"/>
      <c r="E19974" s="545"/>
      <c r="F19974" s="546"/>
      <c r="G19974" s="234"/>
      <c r="H19974" s="238"/>
      <c r="I19974" s="237"/>
    </row>
    <row r="19975" spans="1:9" s="232" customFormat="1" ht="17" customHeight="1">
      <c r="A19975" s="234"/>
      <c r="B19975" s="233"/>
      <c r="C19975" s="238"/>
      <c r="E19975" s="545"/>
      <c r="F19975" s="546"/>
      <c r="G19975" s="234"/>
      <c r="H19975" s="238"/>
      <c r="I19975" s="237"/>
    </row>
    <row r="19976" spans="1:9" s="232" customFormat="1" ht="17" customHeight="1">
      <c r="A19976" s="234"/>
      <c r="B19976" s="233"/>
      <c r="C19976" s="238"/>
      <c r="E19976" s="545"/>
      <c r="F19976" s="546"/>
      <c r="G19976" s="234"/>
      <c r="H19976" s="238"/>
      <c r="I19976" s="237"/>
    </row>
    <row r="19977" spans="1:9" s="232" customFormat="1" ht="17" customHeight="1">
      <c r="A19977" s="234"/>
      <c r="B19977" s="233"/>
      <c r="C19977" s="238"/>
      <c r="E19977" s="545"/>
      <c r="F19977" s="546"/>
      <c r="G19977" s="234"/>
      <c r="H19977" s="238"/>
      <c r="I19977" s="237"/>
    </row>
    <row r="19978" spans="1:9" s="232" customFormat="1" ht="17" customHeight="1">
      <c r="A19978" s="234"/>
      <c r="B19978" s="233"/>
      <c r="C19978" s="238"/>
      <c r="E19978" s="545"/>
      <c r="F19978" s="546"/>
      <c r="G19978" s="234"/>
      <c r="H19978" s="238"/>
      <c r="I19978" s="237"/>
    </row>
    <row r="19979" spans="1:9" s="232" customFormat="1" ht="17" customHeight="1">
      <c r="A19979" s="234"/>
      <c r="B19979" s="233"/>
      <c r="C19979" s="238"/>
      <c r="E19979" s="545"/>
      <c r="F19979" s="546"/>
      <c r="G19979" s="234"/>
      <c r="H19979" s="238"/>
      <c r="I19979" s="237"/>
    </row>
    <row r="19980" spans="1:9" s="232" customFormat="1" ht="17" customHeight="1">
      <c r="A19980" s="234"/>
      <c r="B19980" s="233"/>
      <c r="C19980" s="238"/>
      <c r="E19980" s="545"/>
      <c r="F19980" s="546"/>
      <c r="G19980" s="234"/>
      <c r="H19980" s="238"/>
      <c r="I19980" s="237"/>
    </row>
    <row r="19981" spans="1:9" s="232" customFormat="1" ht="17" customHeight="1">
      <c r="A19981" s="234"/>
      <c r="B19981" s="233"/>
      <c r="C19981" s="238"/>
      <c r="E19981" s="545"/>
      <c r="F19981" s="546"/>
      <c r="G19981" s="234"/>
      <c r="H19981" s="238"/>
      <c r="I19981" s="237"/>
    </row>
    <row r="19982" spans="1:9" s="232" customFormat="1" ht="17" customHeight="1">
      <c r="A19982" s="234"/>
      <c r="B19982" s="233"/>
      <c r="C19982" s="238"/>
      <c r="E19982" s="545"/>
      <c r="F19982" s="546"/>
      <c r="G19982" s="234"/>
      <c r="H19982" s="238"/>
      <c r="I19982" s="237"/>
    </row>
    <row r="19983" spans="1:9" s="232" customFormat="1" ht="17" customHeight="1">
      <c r="A19983" s="234"/>
      <c r="B19983" s="233"/>
      <c r="C19983" s="238"/>
      <c r="E19983" s="545"/>
      <c r="F19983" s="546"/>
      <c r="G19983" s="234"/>
      <c r="H19983" s="238"/>
      <c r="I19983" s="237"/>
    </row>
    <row r="19984" spans="1:9" s="232" customFormat="1" ht="17" customHeight="1">
      <c r="A19984" s="234"/>
      <c r="B19984" s="233"/>
      <c r="C19984" s="238"/>
      <c r="E19984" s="545"/>
      <c r="F19984" s="546"/>
      <c r="G19984" s="234"/>
      <c r="H19984" s="238"/>
      <c r="I19984" s="237"/>
    </row>
    <row r="19985" spans="1:9" s="232" customFormat="1" ht="17" customHeight="1">
      <c r="A19985" s="234"/>
      <c r="B19985" s="233"/>
      <c r="C19985" s="238"/>
      <c r="E19985" s="545"/>
      <c r="F19985" s="546"/>
      <c r="G19985" s="234"/>
      <c r="H19985" s="238"/>
      <c r="I19985" s="237"/>
    </row>
    <row r="19986" spans="1:9" s="232" customFormat="1" ht="17" customHeight="1">
      <c r="A19986" s="234"/>
      <c r="B19986" s="233"/>
      <c r="C19986" s="238"/>
      <c r="E19986" s="545"/>
      <c r="F19986" s="546"/>
      <c r="G19986" s="234"/>
      <c r="H19986" s="238"/>
      <c r="I19986" s="237"/>
    </row>
    <row r="19987" spans="1:9" s="232" customFormat="1" ht="17" customHeight="1">
      <c r="A19987" s="234"/>
      <c r="B19987" s="233"/>
      <c r="C19987" s="238"/>
      <c r="E19987" s="545"/>
      <c r="F19987" s="546"/>
      <c r="G19987" s="234"/>
      <c r="H19987" s="238"/>
      <c r="I19987" s="237"/>
    </row>
    <row r="19988" spans="1:9" s="232" customFormat="1" ht="17" customHeight="1">
      <c r="A19988" s="234"/>
      <c r="B19988" s="233"/>
      <c r="C19988" s="238"/>
      <c r="E19988" s="545"/>
      <c r="F19988" s="546"/>
      <c r="G19988" s="234"/>
      <c r="H19988" s="238"/>
      <c r="I19988" s="237"/>
    </row>
    <row r="19989" spans="1:9" s="232" customFormat="1" ht="17" customHeight="1">
      <c r="A19989" s="234"/>
      <c r="B19989" s="233"/>
      <c r="C19989" s="238"/>
      <c r="E19989" s="545"/>
      <c r="F19989" s="546"/>
      <c r="G19989" s="234"/>
      <c r="H19989" s="238"/>
      <c r="I19989" s="237"/>
    </row>
    <row r="19990" spans="1:9" s="232" customFormat="1" ht="17" customHeight="1">
      <c r="A19990" s="234"/>
      <c r="B19990" s="233"/>
      <c r="C19990" s="238"/>
      <c r="E19990" s="545"/>
      <c r="F19990" s="546"/>
      <c r="G19990" s="234"/>
      <c r="H19990" s="238"/>
      <c r="I19990" s="237"/>
    </row>
    <row r="19991" spans="1:9" s="232" customFormat="1" ht="17" customHeight="1">
      <c r="A19991" s="234"/>
      <c r="B19991" s="233"/>
      <c r="C19991" s="238"/>
      <c r="E19991" s="545"/>
      <c r="F19991" s="546"/>
      <c r="G19991" s="234"/>
      <c r="H19991" s="238"/>
      <c r="I19991" s="237"/>
    </row>
    <row r="19992" spans="1:9" s="232" customFormat="1" ht="17" customHeight="1">
      <c r="A19992" s="234"/>
      <c r="B19992" s="233"/>
      <c r="C19992" s="238"/>
      <c r="E19992" s="545"/>
      <c r="F19992" s="546"/>
      <c r="G19992" s="234"/>
      <c r="H19992" s="238"/>
      <c r="I19992" s="237"/>
    </row>
    <row r="19993" spans="1:9" s="232" customFormat="1" ht="17" customHeight="1">
      <c r="A19993" s="234"/>
      <c r="B19993" s="233"/>
      <c r="C19993" s="238"/>
      <c r="E19993" s="545"/>
      <c r="F19993" s="546"/>
      <c r="G19993" s="234"/>
      <c r="H19993" s="238"/>
      <c r="I19993" s="237"/>
    </row>
    <row r="19994" spans="1:9" s="232" customFormat="1" ht="17" customHeight="1">
      <c r="A19994" s="234"/>
      <c r="B19994" s="233"/>
      <c r="C19994" s="238"/>
      <c r="E19994" s="545"/>
      <c r="F19994" s="546"/>
      <c r="G19994" s="234"/>
      <c r="H19994" s="238"/>
      <c r="I19994" s="237"/>
    </row>
    <row r="19995" spans="1:9" s="232" customFormat="1" ht="17" customHeight="1">
      <c r="A19995" s="234"/>
      <c r="B19995" s="233"/>
      <c r="C19995" s="238"/>
      <c r="E19995" s="545"/>
      <c r="F19995" s="546"/>
      <c r="G19995" s="234"/>
      <c r="H19995" s="238"/>
      <c r="I19995" s="237"/>
    </row>
    <row r="19996" spans="1:9" s="232" customFormat="1" ht="17" customHeight="1">
      <c r="A19996" s="234"/>
      <c r="B19996" s="233"/>
      <c r="C19996" s="238"/>
      <c r="E19996" s="545"/>
      <c r="F19996" s="546"/>
      <c r="G19996" s="234"/>
      <c r="H19996" s="238"/>
      <c r="I19996" s="237"/>
    </row>
    <row r="19997" spans="1:9" s="232" customFormat="1" ht="17" customHeight="1">
      <c r="A19997" s="234"/>
      <c r="B19997" s="233"/>
      <c r="C19997" s="238"/>
      <c r="E19997" s="545"/>
      <c r="F19997" s="546"/>
      <c r="G19997" s="234"/>
      <c r="H19997" s="238"/>
      <c r="I19997" s="237"/>
    </row>
    <row r="19998" spans="1:9" s="232" customFormat="1" ht="17" customHeight="1">
      <c r="A19998" s="234"/>
      <c r="B19998" s="233"/>
      <c r="C19998" s="238"/>
      <c r="E19998" s="545"/>
      <c r="F19998" s="546"/>
      <c r="G19998" s="234"/>
      <c r="H19998" s="238"/>
      <c r="I19998" s="237"/>
    </row>
    <row r="19999" spans="1:9" s="232" customFormat="1" ht="17" customHeight="1">
      <c r="A19999" s="234"/>
      <c r="B19999" s="233"/>
      <c r="C19999" s="238"/>
      <c r="E19999" s="545"/>
      <c r="F19999" s="546"/>
      <c r="G19999" s="234"/>
      <c r="H19999" s="238"/>
      <c r="I19999" s="237"/>
    </row>
    <row r="20000" spans="1:9" s="232" customFormat="1" ht="17" customHeight="1">
      <c r="A20000" s="234"/>
      <c r="B20000" s="233"/>
      <c r="C20000" s="238"/>
      <c r="E20000" s="545"/>
      <c r="F20000" s="546"/>
      <c r="G20000" s="234"/>
      <c r="H20000" s="238"/>
      <c r="I20000" s="237"/>
    </row>
    <row r="20001" spans="1:9" s="232" customFormat="1" ht="17" customHeight="1">
      <c r="A20001" s="234"/>
      <c r="B20001" s="233"/>
      <c r="C20001" s="238"/>
      <c r="E20001" s="545"/>
      <c r="F20001" s="546"/>
      <c r="G20001" s="234"/>
      <c r="H20001" s="238"/>
      <c r="I20001" s="237"/>
    </row>
    <row r="20002" spans="1:9" s="232" customFormat="1" ht="17" customHeight="1">
      <c r="A20002" s="234"/>
      <c r="B20002" s="233"/>
      <c r="C20002" s="238"/>
      <c r="E20002" s="545"/>
      <c r="F20002" s="546"/>
      <c r="G20002" s="234"/>
      <c r="H20002" s="238"/>
      <c r="I20002" s="237"/>
    </row>
    <row r="20003" spans="1:9" s="232" customFormat="1" ht="17" customHeight="1">
      <c r="A20003" s="234"/>
      <c r="B20003" s="233"/>
      <c r="C20003" s="238"/>
      <c r="E20003" s="545"/>
      <c r="F20003" s="546"/>
      <c r="G20003" s="234"/>
      <c r="H20003" s="238"/>
      <c r="I20003" s="237"/>
    </row>
    <row r="20004" spans="1:9" s="232" customFormat="1" ht="17" customHeight="1">
      <c r="A20004" s="234"/>
      <c r="B20004" s="233"/>
      <c r="C20004" s="238"/>
      <c r="E20004" s="545"/>
      <c r="F20004" s="546"/>
      <c r="G20004" s="234"/>
      <c r="H20004" s="238"/>
      <c r="I20004" s="237"/>
    </row>
    <row r="20005" spans="1:9" s="232" customFormat="1" ht="17" customHeight="1">
      <c r="A20005" s="234"/>
      <c r="B20005" s="233"/>
      <c r="C20005" s="238"/>
      <c r="E20005" s="545"/>
      <c r="F20005" s="546"/>
      <c r="G20005" s="234"/>
      <c r="H20005" s="238"/>
      <c r="I20005" s="237"/>
    </row>
    <row r="20006" spans="1:9" s="232" customFormat="1" ht="17" customHeight="1">
      <c r="A20006" s="234"/>
      <c r="B20006" s="233"/>
      <c r="C20006" s="238"/>
      <c r="E20006" s="545"/>
      <c r="F20006" s="546"/>
      <c r="G20006" s="234"/>
      <c r="H20006" s="238"/>
      <c r="I20006" s="237"/>
    </row>
    <row r="20007" spans="1:9" s="232" customFormat="1" ht="17" customHeight="1">
      <c r="A20007" s="234"/>
      <c r="B20007" s="233"/>
      <c r="C20007" s="238"/>
      <c r="E20007" s="545"/>
      <c r="F20007" s="546"/>
      <c r="G20007" s="234"/>
      <c r="H20007" s="238"/>
      <c r="I20007" s="237"/>
    </row>
    <row r="20008" spans="1:9" s="232" customFormat="1" ht="17" customHeight="1">
      <c r="A20008" s="234"/>
      <c r="B20008" s="233"/>
      <c r="C20008" s="238"/>
      <c r="E20008" s="545"/>
      <c r="F20008" s="546"/>
      <c r="G20008" s="234"/>
      <c r="H20008" s="238"/>
      <c r="I20008" s="237"/>
    </row>
    <row r="20009" spans="1:9" s="232" customFormat="1" ht="17" customHeight="1">
      <c r="A20009" s="234"/>
      <c r="B20009" s="233"/>
      <c r="C20009" s="238"/>
      <c r="E20009" s="545"/>
      <c r="F20009" s="546"/>
      <c r="G20009" s="234"/>
      <c r="H20009" s="238"/>
      <c r="I20009" s="237"/>
    </row>
    <row r="20010" spans="1:9" s="232" customFormat="1" ht="17" customHeight="1">
      <c r="A20010" s="234"/>
      <c r="B20010" s="233"/>
      <c r="C20010" s="238"/>
      <c r="E20010" s="545"/>
      <c r="F20010" s="546"/>
      <c r="G20010" s="234"/>
      <c r="H20010" s="238"/>
      <c r="I20010" s="237"/>
    </row>
    <row r="20011" spans="1:9" s="232" customFormat="1" ht="17" customHeight="1">
      <c r="A20011" s="234"/>
      <c r="B20011" s="233"/>
      <c r="C20011" s="238"/>
      <c r="E20011" s="545"/>
      <c r="F20011" s="546"/>
      <c r="G20011" s="234"/>
      <c r="H20011" s="238"/>
      <c r="I20011" s="237"/>
    </row>
    <row r="20012" spans="1:9" s="232" customFormat="1" ht="17" customHeight="1">
      <c r="A20012" s="234"/>
      <c r="B20012" s="233"/>
      <c r="C20012" s="238"/>
      <c r="E20012" s="545"/>
      <c r="F20012" s="546"/>
      <c r="G20012" s="234"/>
      <c r="H20012" s="238"/>
      <c r="I20012" s="237"/>
    </row>
    <row r="20013" spans="1:9" s="232" customFormat="1" ht="17" customHeight="1">
      <c r="A20013" s="234"/>
      <c r="B20013" s="233"/>
      <c r="C20013" s="238"/>
      <c r="E20013" s="545"/>
      <c r="F20013" s="546"/>
      <c r="G20013" s="234"/>
      <c r="H20013" s="238"/>
      <c r="I20013" s="237"/>
    </row>
    <row r="20014" spans="1:9" s="232" customFormat="1" ht="17" customHeight="1">
      <c r="A20014" s="234"/>
      <c r="B20014" s="233"/>
      <c r="C20014" s="238"/>
      <c r="E20014" s="545"/>
      <c r="F20014" s="546"/>
      <c r="G20014" s="234"/>
      <c r="H20014" s="238"/>
      <c r="I20014" s="237"/>
    </row>
    <row r="20015" spans="1:9" s="232" customFormat="1" ht="17" customHeight="1">
      <c r="A20015" s="234"/>
      <c r="B20015" s="233"/>
      <c r="C20015" s="238"/>
      <c r="E20015" s="545"/>
      <c r="F20015" s="546"/>
      <c r="G20015" s="234"/>
      <c r="H20015" s="238"/>
      <c r="I20015" s="237"/>
    </row>
    <row r="20016" spans="1:9" s="232" customFormat="1" ht="17" customHeight="1">
      <c r="A20016" s="234"/>
      <c r="B20016" s="233"/>
      <c r="C20016" s="238"/>
      <c r="E20016" s="545"/>
      <c r="F20016" s="546"/>
      <c r="G20016" s="234"/>
      <c r="H20016" s="238"/>
      <c r="I20016" s="237"/>
    </row>
    <row r="20017" spans="1:9" s="232" customFormat="1" ht="17" customHeight="1">
      <c r="A20017" s="234"/>
      <c r="B20017" s="233"/>
      <c r="C20017" s="238"/>
      <c r="E20017" s="545"/>
      <c r="F20017" s="546"/>
      <c r="G20017" s="234"/>
      <c r="H20017" s="238"/>
      <c r="I20017" s="237"/>
    </row>
    <row r="20018" spans="1:9" s="232" customFormat="1" ht="17" customHeight="1">
      <c r="A20018" s="234"/>
      <c r="B20018" s="233"/>
      <c r="C20018" s="238"/>
      <c r="E20018" s="545"/>
      <c r="F20018" s="546"/>
      <c r="G20018" s="234"/>
      <c r="H20018" s="238"/>
      <c r="I20018" s="237"/>
    </row>
    <row r="20019" spans="1:9" s="232" customFormat="1" ht="17" customHeight="1">
      <c r="A20019" s="234"/>
      <c r="B20019" s="233"/>
      <c r="C20019" s="238"/>
      <c r="E20019" s="545"/>
      <c r="F20019" s="546"/>
      <c r="G20019" s="234"/>
      <c r="H20019" s="238"/>
      <c r="I20019" s="237"/>
    </row>
    <row r="20020" spans="1:9" s="232" customFormat="1" ht="17" customHeight="1">
      <c r="A20020" s="234"/>
      <c r="B20020" s="233"/>
      <c r="C20020" s="238"/>
      <c r="E20020" s="545"/>
      <c r="F20020" s="546"/>
      <c r="G20020" s="234"/>
      <c r="H20020" s="238"/>
      <c r="I20020" s="237"/>
    </row>
    <row r="20021" spans="1:9" s="232" customFormat="1" ht="17" customHeight="1">
      <c r="A20021" s="234"/>
      <c r="B20021" s="233"/>
      <c r="C20021" s="238"/>
      <c r="E20021" s="545"/>
      <c r="F20021" s="546"/>
      <c r="G20021" s="234"/>
      <c r="H20021" s="238"/>
      <c r="I20021" s="237"/>
    </row>
    <row r="20022" spans="1:9" s="232" customFormat="1" ht="17" customHeight="1">
      <c r="A20022" s="234"/>
      <c r="B20022" s="233"/>
      <c r="C20022" s="238"/>
      <c r="E20022" s="545"/>
      <c r="F20022" s="546"/>
      <c r="G20022" s="234"/>
      <c r="H20022" s="238"/>
      <c r="I20022" s="237"/>
    </row>
    <row r="20023" spans="1:9" s="232" customFormat="1" ht="17" customHeight="1">
      <c r="A20023" s="234"/>
      <c r="B20023" s="233"/>
      <c r="C20023" s="238"/>
      <c r="E20023" s="545"/>
      <c r="F20023" s="546"/>
      <c r="G20023" s="234"/>
      <c r="H20023" s="238"/>
      <c r="I20023" s="237"/>
    </row>
    <row r="20024" spans="1:9" s="232" customFormat="1" ht="17" customHeight="1">
      <c r="A20024" s="234"/>
      <c r="B20024" s="233"/>
      <c r="C20024" s="238"/>
      <c r="E20024" s="545"/>
      <c r="F20024" s="546"/>
      <c r="G20024" s="234"/>
      <c r="H20024" s="238"/>
      <c r="I20024" s="237"/>
    </row>
    <row r="20025" spans="1:9" s="232" customFormat="1" ht="17" customHeight="1">
      <c r="A20025" s="234"/>
      <c r="B20025" s="233"/>
      <c r="C20025" s="238"/>
      <c r="E20025" s="545"/>
      <c r="F20025" s="546"/>
      <c r="G20025" s="234"/>
      <c r="H20025" s="238"/>
      <c r="I20025" s="237"/>
    </row>
    <row r="20026" spans="1:9" s="232" customFormat="1" ht="17" customHeight="1">
      <c r="A20026" s="234"/>
      <c r="B20026" s="233"/>
      <c r="C20026" s="238"/>
      <c r="E20026" s="545"/>
      <c r="F20026" s="546"/>
      <c r="G20026" s="234"/>
      <c r="H20026" s="238"/>
      <c r="I20026" s="237"/>
    </row>
    <row r="20027" spans="1:9" s="232" customFormat="1" ht="17" customHeight="1">
      <c r="A20027" s="234"/>
      <c r="B20027" s="233"/>
      <c r="C20027" s="238"/>
      <c r="E20027" s="545"/>
      <c r="F20027" s="546"/>
      <c r="G20027" s="234"/>
      <c r="H20027" s="238"/>
      <c r="I20027" s="237"/>
    </row>
    <row r="20028" spans="1:9" s="232" customFormat="1" ht="17" customHeight="1">
      <c r="A20028" s="234"/>
      <c r="B20028" s="233"/>
      <c r="C20028" s="238"/>
      <c r="E20028" s="545"/>
      <c r="F20028" s="546"/>
      <c r="G20028" s="234"/>
      <c r="H20028" s="238"/>
      <c r="I20028" s="237"/>
    </row>
    <row r="20029" spans="1:9" s="232" customFormat="1" ht="17" customHeight="1">
      <c r="A20029" s="234"/>
      <c r="B20029" s="233"/>
      <c r="C20029" s="238"/>
      <c r="E20029" s="545"/>
      <c r="F20029" s="546"/>
      <c r="G20029" s="234"/>
      <c r="H20029" s="238"/>
      <c r="I20029" s="237"/>
    </row>
    <row r="20030" spans="1:9" s="232" customFormat="1" ht="17" customHeight="1">
      <c r="A20030" s="234"/>
      <c r="B20030" s="233"/>
      <c r="C20030" s="238"/>
      <c r="E20030" s="545"/>
      <c r="F20030" s="546"/>
      <c r="G20030" s="234"/>
      <c r="H20030" s="238"/>
      <c r="I20030" s="237"/>
    </row>
    <row r="20031" spans="1:9" s="232" customFormat="1" ht="17" customHeight="1">
      <c r="A20031" s="234"/>
      <c r="B20031" s="233"/>
      <c r="C20031" s="238"/>
      <c r="E20031" s="545"/>
      <c r="F20031" s="546"/>
      <c r="G20031" s="234"/>
      <c r="H20031" s="238"/>
      <c r="I20031" s="237"/>
    </row>
    <row r="20032" spans="1:9" s="232" customFormat="1" ht="17" customHeight="1">
      <c r="A20032" s="234"/>
      <c r="B20032" s="233"/>
      <c r="C20032" s="238"/>
      <c r="E20032" s="545"/>
      <c r="F20032" s="546"/>
      <c r="G20032" s="234"/>
      <c r="H20032" s="238"/>
      <c r="I20032" s="237"/>
    </row>
    <row r="20033" spans="1:9" s="232" customFormat="1" ht="17" customHeight="1">
      <c r="A20033" s="234"/>
      <c r="B20033" s="233"/>
      <c r="C20033" s="238"/>
      <c r="E20033" s="545"/>
      <c r="F20033" s="546"/>
      <c r="G20033" s="234"/>
      <c r="H20033" s="238"/>
      <c r="I20033" s="237"/>
    </row>
    <row r="20034" spans="1:9" s="232" customFormat="1" ht="17" customHeight="1">
      <c r="A20034" s="234"/>
      <c r="B20034" s="233"/>
      <c r="C20034" s="238"/>
      <c r="E20034" s="545"/>
      <c r="F20034" s="546"/>
      <c r="G20034" s="234"/>
      <c r="H20034" s="238"/>
      <c r="I20034" s="237"/>
    </row>
    <row r="20035" spans="1:9" s="232" customFormat="1" ht="17" customHeight="1">
      <c r="A20035" s="234"/>
      <c r="B20035" s="233"/>
      <c r="C20035" s="238"/>
      <c r="E20035" s="545"/>
      <c r="F20035" s="546"/>
      <c r="G20035" s="234"/>
      <c r="H20035" s="238"/>
      <c r="I20035" s="237"/>
    </row>
    <row r="20036" spans="1:9" s="232" customFormat="1" ht="17" customHeight="1">
      <c r="A20036" s="234"/>
      <c r="B20036" s="233"/>
      <c r="C20036" s="238"/>
      <c r="E20036" s="545"/>
      <c r="F20036" s="546"/>
      <c r="G20036" s="234"/>
      <c r="H20036" s="238"/>
      <c r="I20036" s="237"/>
    </row>
    <row r="20037" spans="1:9" s="232" customFormat="1" ht="17" customHeight="1">
      <c r="A20037" s="234"/>
      <c r="B20037" s="233"/>
      <c r="C20037" s="238"/>
      <c r="E20037" s="545"/>
      <c r="F20037" s="546"/>
      <c r="G20037" s="234"/>
      <c r="H20037" s="238"/>
      <c r="I20037" s="237"/>
    </row>
    <row r="20038" spans="1:9" s="232" customFormat="1" ht="17" customHeight="1">
      <c r="A20038" s="234"/>
      <c r="B20038" s="233"/>
      <c r="C20038" s="238"/>
      <c r="E20038" s="545"/>
      <c r="F20038" s="546"/>
      <c r="G20038" s="234"/>
      <c r="H20038" s="238"/>
      <c r="I20038" s="237"/>
    </row>
    <row r="20039" spans="1:9" s="232" customFormat="1" ht="17" customHeight="1">
      <c r="A20039" s="234"/>
      <c r="B20039" s="233"/>
      <c r="C20039" s="238"/>
      <c r="E20039" s="545"/>
      <c r="F20039" s="546"/>
      <c r="G20039" s="234"/>
      <c r="H20039" s="238"/>
      <c r="I20039" s="237"/>
    </row>
    <row r="20040" spans="1:9" s="232" customFormat="1" ht="17" customHeight="1">
      <c r="A20040" s="234"/>
      <c r="B20040" s="233"/>
      <c r="C20040" s="238"/>
      <c r="E20040" s="545"/>
      <c r="F20040" s="546"/>
      <c r="G20040" s="234"/>
      <c r="H20040" s="238"/>
      <c r="I20040" s="237"/>
    </row>
    <row r="20041" spans="1:9" s="232" customFormat="1" ht="17" customHeight="1">
      <c r="A20041" s="234"/>
      <c r="B20041" s="233"/>
      <c r="C20041" s="238"/>
      <c r="E20041" s="545"/>
      <c r="F20041" s="546"/>
      <c r="G20041" s="234"/>
      <c r="H20041" s="238"/>
      <c r="I20041" s="237"/>
    </row>
    <row r="20042" spans="1:9" s="232" customFormat="1" ht="17" customHeight="1">
      <c r="A20042" s="234"/>
      <c r="B20042" s="233"/>
      <c r="C20042" s="238"/>
      <c r="E20042" s="545"/>
      <c r="F20042" s="546"/>
      <c r="G20042" s="234"/>
      <c r="H20042" s="238"/>
      <c r="I20042" s="237"/>
    </row>
    <row r="20043" spans="1:9" s="232" customFormat="1" ht="17" customHeight="1">
      <c r="A20043" s="234"/>
      <c r="B20043" s="233"/>
      <c r="C20043" s="238"/>
      <c r="E20043" s="545"/>
      <c r="F20043" s="546"/>
      <c r="G20043" s="234"/>
      <c r="H20043" s="238"/>
      <c r="I20043" s="237"/>
    </row>
    <row r="20044" spans="1:9" s="232" customFormat="1" ht="17" customHeight="1">
      <c r="A20044" s="234"/>
      <c r="B20044" s="233"/>
      <c r="C20044" s="238"/>
      <c r="E20044" s="545"/>
      <c r="F20044" s="546"/>
      <c r="G20044" s="234"/>
      <c r="H20044" s="238"/>
      <c r="I20044" s="237"/>
    </row>
    <row r="20045" spans="1:9" s="232" customFormat="1" ht="17" customHeight="1">
      <c r="A20045" s="234"/>
      <c r="B20045" s="233"/>
      <c r="C20045" s="238"/>
      <c r="E20045" s="545"/>
      <c r="F20045" s="546"/>
      <c r="G20045" s="234"/>
      <c r="H20045" s="238"/>
      <c r="I20045" s="237"/>
    </row>
    <row r="20046" spans="1:9" s="232" customFormat="1" ht="17" customHeight="1">
      <c r="A20046" s="234"/>
      <c r="B20046" s="233"/>
      <c r="C20046" s="238"/>
      <c r="E20046" s="545"/>
      <c r="F20046" s="546"/>
      <c r="G20046" s="234"/>
      <c r="H20046" s="238"/>
      <c r="I20046" s="237"/>
    </row>
    <row r="20047" spans="1:9" s="232" customFormat="1" ht="17" customHeight="1">
      <c r="A20047" s="234"/>
      <c r="B20047" s="233"/>
      <c r="C20047" s="238"/>
      <c r="E20047" s="545"/>
      <c r="F20047" s="546"/>
      <c r="G20047" s="234"/>
      <c r="H20047" s="238"/>
      <c r="I20047" s="237"/>
    </row>
    <row r="20048" spans="1:9" s="232" customFormat="1" ht="17" customHeight="1">
      <c r="A20048" s="234"/>
      <c r="B20048" s="233"/>
      <c r="C20048" s="238"/>
      <c r="E20048" s="545"/>
      <c r="F20048" s="546"/>
      <c r="G20048" s="234"/>
      <c r="H20048" s="238"/>
      <c r="I20048" s="237"/>
    </row>
    <row r="20049" spans="1:9" s="232" customFormat="1" ht="17" customHeight="1">
      <c r="A20049" s="234"/>
      <c r="B20049" s="233"/>
      <c r="C20049" s="238"/>
      <c r="E20049" s="545"/>
      <c r="F20049" s="546"/>
      <c r="G20049" s="234"/>
      <c r="H20049" s="238"/>
      <c r="I20049" s="237"/>
    </row>
    <row r="20050" spans="1:9" s="232" customFormat="1" ht="17" customHeight="1">
      <c r="A20050" s="234"/>
      <c r="B20050" s="233"/>
      <c r="C20050" s="238"/>
      <c r="E20050" s="545"/>
      <c r="F20050" s="546"/>
      <c r="G20050" s="234"/>
      <c r="H20050" s="238"/>
      <c r="I20050" s="237"/>
    </row>
    <row r="20051" spans="1:9" s="232" customFormat="1" ht="17" customHeight="1">
      <c r="A20051" s="234"/>
      <c r="B20051" s="233"/>
      <c r="C20051" s="238"/>
      <c r="E20051" s="545"/>
      <c r="F20051" s="546"/>
      <c r="G20051" s="234"/>
      <c r="H20051" s="238"/>
      <c r="I20051" s="237"/>
    </row>
    <row r="20052" spans="1:9" s="232" customFormat="1" ht="17" customHeight="1">
      <c r="A20052" s="234"/>
      <c r="B20052" s="233"/>
      <c r="C20052" s="238"/>
      <c r="E20052" s="545"/>
      <c r="F20052" s="546"/>
      <c r="G20052" s="234"/>
      <c r="H20052" s="238"/>
      <c r="I20052" s="237"/>
    </row>
    <row r="20053" spans="1:9" s="232" customFormat="1" ht="17" customHeight="1">
      <c r="A20053" s="234"/>
      <c r="B20053" s="233"/>
      <c r="C20053" s="238"/>
      <c r="E20053" s="545"/>
      <c r="F20053" s="546"/>
      <c r="G20053" s="234"/>
      <c r="H20053" s="238"/>
      <c r="I20053" s="237"/>
    </row>
    <row r="20054" spans="1:9" s="232" customFormat="1" ht="17" customHeight="1">
      <c r="A20054" s="234"/>
      <c r="B20054" s="233"/>
      <c r="C20054" s="238"/>
      <c r="E20054" s="545"/>
      <c r="F20054" s="546"/>
      <c r="G20054" s="234"/>
      <c r="H20054" s="238"/>
      <c r="I20054" s="237"/>
    </row>
    <row r="20055" spans="1:9" s="232" customFormat="1" ht="17" customHeight="1">
      <c r="A20055" s="234"/>
      <c r="B20055" s="233"/>
      <c r="C20055" s="238"/>
      <c r="E20055" s="545"/>
      <c r="F20055" s="546"/>
      <c r="G20055" s="234"/>
      <c r="H20055" s="238"/>
      <c r="I20055" s="237"/>
    </row>
    <row r="20056" spans="1:9" s="232" customFormat="1" ht="17" customHeight="1">
      <c r="A20056" s="234"/>
      <c r="B20056" s="233"/>
      <c r="C20056" s="238"/>
      <c r="E20056" s="545"/>
      <c r="F20056" s="546"/>
      <c r="G20056" s="234"/>
      <c r="H20056" s="238"/>
      <c r="I20056" s="237"/>
    </row>
    <row r="20057" spans="1:9" s="232" customFormat="1" ht="17" customHeight="1">
      <c r="A20057" s="234"/>
      <c r="B20057" s="233"/>
      <c r="C20057" s="238"/>
      <c r="E20057" s="545"/>
      <c r="F20057" s="546"/>
      <c r="G20057" s="234"/>
      <c r="H20057" s="238"/>
      <c r="I20057" s="237"/>
    </row>
    <row r="20058" spans="1:9" s="232" customFormat="1" ht="17" customHeight="1">
      <c r="A20058" s="234"/>
      <c r="B20058" s="233"/>
      <c r="C20058" s="238"/>
      <c r="E20058" s="545"/>
      <c r="F20058" s="546"/>
      <c r="G20058" s="234"/>
      <c r="H20058" s="238"/>
      <c r="I20058" s="237"/>
    </row>
    <row r="20059" spans="1:9" s="232" customFormat="1" ht="17" customHeight="1">
      <c r="A20059" s="234"/>
      <c r="B20059" s="233"/>
      <c r="C20059" s="238"/>
      <c r="E20059" s="545"/>
      <c r="F20059" s="546"/>
      <c r="G20059" s="234"/>
      <c r="H20059" s="238"/>
      <c r="I20059" s="237"/>
    </row>
    <row r="20060" spans="1:9" s="232" customFormat="1" ht="17" customHeight="1">
      <c r="A20060" s="234"/>
      <c r="B20060" s="233"/>
      <c r="C20060" s="238"/>
      <c r="E20060" s="545"/>
      <c r="F20060" s="546"/>
      <c r="G20060" s="234"/>
      <c r="H20060" s="238"/>
      <c r="I20060" s="237"/>
    </row>
    <row r="20061" spans="1:9" s="232" customFormat="1" ht="17" customHeight="1">
      <c r="A20061" s="234"/>
      <c r="B20061" s="233"/>
      <c r="C20061" s="238"/>
      <c r="E20061" s="545"/>
      <c r="F20061" s="546"/>
      <c r="G20061" s="234"/>
      <c r="H20061" s="238"/>
      <c r="I20061" s="237"/>
    </row>
    <row r="20062" spans="1:9" s="232" customFormat="1" ht="17" customHeight="1">
      <c r="A20062" s="234"/>
      <c r="B20062" s="233"/>
      <c r="C20062" s="238"/>
      <c r="E20062" s="545"/>
      <c r="F20062" s="546"/>
      <c r="G20062" s="234"/>
      <c r="H20062" s="238"/>
      <c r="I20062" s="237"/>
    </row>
    <row r="20063" spans="1:9" s="232" customFormat="1" ht="17" customHeight="1">
      <c r="A20063" s="234"/>
      <c r="B20063" s="233"/>
      <c r="C20063" s="238"/>
      <c r="E20063" s="545"/>
      <c r="F20063" s="546"/>
      <c r="G20063" s="234"/>
      <c r="H20063" s="238"/>
      <c r="I20063" s="237"/>
    </row>
    <row r="20064" spans="1:9" s="232" customFormat="1" ht="17" customHeight="1">
      <c r="A20064" s="234"/>
      <c r="B20064" s="233"/>
      <c r="C20064" s="238"/>
      <c r="E20064" s="545"/>
      <c r="F20064" s="546"/>
      <c r="G20064" s="234"/>
      <c r="H20064" s="238"/>
      <c r="I20064" s="237"/>
    </row>
    <row r="20065" spans="1:9" s="232" customFormat="1" ht="17" customHeight="1">
      <c r="A20065" s="234"/>
      <c r="B20065" s="233"/>
      <c r="C20065" s="238"/>
      <c r="E20065" s="545"/>
      <c r="F20065" s="546"/>
      <c r="G20065" s="234"/>
      <c r="H20065" s="238"/>
      <c r="I20065" s="237"/>
    </row>
    <row r="20066" spans="1:9" s="232" customFormat="1" ht="17" customHeight="1">
      <c r="A20066" s="234"/>
      <c r="B20066" s="233"/>
      <c r="C20066" s="238"/>
      <c r="E20066" s="545"/>
      <c r="F20066" s="546"/>
      <c r="G20066" s="234"/>
      <c r="H20066" s="238"/>
      <c r="I20066" s="237"/>
    </row>
    <row r="20067" spans="1:9" s="232" customFormat="1" ht="17" customHeight="1">
      <c r="A20067" s="234"/>
      <c r="B20067" s="233"/>
      <c r="C20067" s="238"/>
      <c r="E20067" s="545"/>
      <c r="F20067" s="546"/>
      <c r="G20067" s="234"/>
      <c r="H20067" s="238"/>
      <c r="I20067" s="237"/>
    </row>
    <row r="20068" spans="1:9" s="232" customFormat="1" ht="17" customHeight="1">
      <c r="A20068" s="234"/>
      <c r="B20068" s="233"/>
      <c r="C20068" s="238"/>
      <c r="E20068" s="545"/>
      <c r="F20068" s="546"/>
      <c r="G20068" s="234"/>
      <c r="H20068" s="238"/>
      <c r="I20068" s="237"/>
    </row>
    <row r="20069" spans="1:9" s="232" customFormat="1" ht="17" customHeight="1">
      <c r="A20069" s="234"/>
      <c r="B20069" s="233"/>
      <c r="C20069" s="238"/>
      <c r="E20069" s="545"/>
      <c r="F20069" s="546"/>
      <c r="G20069" s="234"/>
      <c r="H20069" s="238"/>
      <c r="I20069" s="237"/>
    </row>
    <row r="20070" spans="1:9" s="232" customFormat="1" ht="17" customHeight="1">
      <c r="A20070" s="234"/>
      <c r="B20070" s="233"/>
      <c r="C20070" s="238"/>
      <c r="E20070" s="545"/>
      <c r="F20070" s="546"/>
      <c r="G20070" s="234"/>
      <c r="H20070" s="238"/>
      <c r="I20070" s="237"/>
    </row>
    <row r="20071" spans="1:9" s="232" customFormat="1" ht="17" customHeight="1">
      <c r="A20071" s="234"/>
      <c r="B20071" s="233"/>
      <c r="C20071" s="238"/>
      <c r="E20071" s="545"/>
      <c r="F20071" s="546"/>
      <c r="G20071" s="234"/>
      <c r="H20071" s="238"/>
      <c r="I20071" s="237"/>
    </row>
    <row r="20072" spans="1:9" s="232" customFormat="1" ht="17" customHeight="1">
      <c r="A20072" s="234"/>
      <c r="B20072" s="233"/>
      <c r="C20072" s="238"/>
      <c r="E20072" s="545"/>
      <c r="F20072" s="546"/>
      <c r="G20072" s="234"/>
      <c r="H20072" s="238"/>
      <c r="I20072" s="237"/>
    </row>
    <row r="20073" spans="1:9" s="232" customFormat="1" ht="17" customHeight="1">
      <c r="A20073" s="234"/>
      <c r="B20073" s="233"/>
      <c r="C20073" s="238"/>
      <c r="E20073" s="545"/>
      <c r="F20073" s="546"/>
      <c r="G20073" s="234"/>
      <c r="H20073" s="238"/>
      <c r="I20073" s="237"/>
    </row>
    <row r="20074" spans="1:9" s="232" customFormat="1" ht="17" customHeight="1">
      <c r="A20074" s="234"/>
      <c r="B20074" s="233"/>
      <c r="C20074" s="238"/>
      <c r="E20074" s="545"/>
      <c r="F20074" s="546"/>
      <c r="G20074" s="234"/>
      <c r="H20074" s="238"/>
      <c r="I20074" s="237"/>
    </row>
    <row r="20075" spans="1:9" s="232" customFormat="1" ht="17" customHeight="1">
      <c r="A20075" s="234"/>
      <c r="B20075" s="233"/>
      <c r="C20075" s="238"/>
      <c r="E20075" s="545"/>
      <c r="F20075" s="546"/>
      <c r="G20075" s="234"/>
      <c r="H20075" s="238"/>
      <c r="I20075" s="237"/>
    </row>
    <row r="20076" spans="1:9" s="232" customFormat="1" ht="17" customHeight="1">
      <c r="A20076" s="234"/>
      <c r="B20076" s="233"/>
      <c r="C20076" s="238"/>
      <c r="E20076" s="545"/>
      <c r="F20076" s="546"/>
      <c r="G20076" s="234"/>
      <c r="H20076" s="238"/>
      <c r="I20076" s="237"/>
    </row>
    <row r="20077" spans="1:9" s="232" customFormat="1" ht="17" customHeight="1">
      <c r="A20077" s="234"/>
      <c r="B20077" s="233"/>
      <c r="C20077" s="238"/>
      <c r="E20077" s="545"/>
      <c r="F20077" s="546"/>
      <c r="G20077" s="234"/>
      <c r="H20077" s="238"/>
      <c r="I20077" s="237"/>
    </row>
    <row r="20078" spans="1:9" s="232" customFormat="1" ht="17" customHeight="1">
      <c r="A20078" s="234"/>
      <c r="B20078" s="233"/>
      <c r="C20078" s="238"/>
      <c r="E20078" s="545"/>
      <c r="F20078" s="546"/>
      <c r="G20078" s="234"/>
      <c r="H20078" s="238"/>
      <c r="I20078" s="237"/>
    </row>
    <row r="20079" spans="1:9" s="232" customFormat="1" ht="17" customHeight="1">
      <c r="A20079" s="234"/>
      <c r="B20079" s="233"/>
      <c r="C20079" s="238"/>
      <c r="E20079" s="545"/>
      <c r="F20079" s="546"/>
      <c r="G20079" s="234"/>
      <c r="H20079" s="238"/>
      <c r="I20079" s="237"/>
    </row>
    <row r="20080" spans="1:9" s="232" customFormat="1" ht="17" customHeight="1">
      <c r="A20080" s="234"/>
      <c r="B20080" s="233"/>
      <c r="C20080" s="238"/>
      <c r="E20080" s="545"/>
      <c r="F20080" s="546"/>
      <c r="G20080" s="234"/>
      <c r="H20080" s="238"/>
      <c r="I20080" s="237"/>
    </row>
    <row r="20081" spans="1:9" s="232" customFormat="1" ht="17" customHeight="1">
      <c r="A20081" s="234"/>
      <c r="B20081" s="233"/>
      <c r="C20081" s="238"/>
      <c r="E20081" s="545"/>
      <c r="F20081" s="546"/>
      <c r="G20081" s="234"/>
      <c r="H20081" s="238"/>
      <c r="I20081" s="237"/>
    </row>
    <row r="20082" spans="1:9" s="232" customFormat="1" ht="17" customHeight="1">
      <c r="A20082" s="234"/>
      <c r="B20082" s="233"/>
      <c r="C20082" s="238"/>
      <c r="E20082" s="545"/>
      <c r="F20082" s="546"/>
      <c r="G20082" s="234"/>
      <c r="H20082" s="238"/>
      <c r="I20082" s="237"/>
    </row>
    <row r="20083" spans="1:9" s="232" customFormat="1" ht="17" customHeight="1">
      <c r="A20083" s="234"/>
      <c r="B20083" s="233"/>
      <c r="C20083" s="238"/>
      <c r="E20083" s="545"/>
      <c r="F20083" s="546"/>
      <c r="G20083" s="234"/>
      <c r="H20083" s="238"/>
      <c r="I20083" s="237"/>
    </row>
    <row r="20084" spans="1:9" s="232" customFormat="1" ht="17" customHeight="1">
      <c r="A20084" s="234"/>
      <c r="B20084" s="233"/>
      <c r="C20084" s="238"/>
      <c r="E20084" s="545"/>
      <c r="F20084" s="546"/>
      <c r="G20084" s="234"/>
      <c r="H20084" s="238"/>
      <c r="I20084" s="237"/>
    </row>
    <row r="20085" spans="1:9" s="232" customFormat="1" ht="17" customHeight="1">
      <c r="A20085" s="234"/>
      <c r="B20085" s="233"/>
      <c r="C20085" s="238"/>
      <c r="E20085" s="545"/>
      <c r="F20085" s="546"/>
      <c r="G20085" s="234"/>
      <c r="H20085" s="238"/>
      <c r="I20085" s="237"/>
    </row>
    <row r="20086" spans="1:9" s="232" customFormat="1" ht="17" customHeight="1">
      <c r="A20086" s="234"/>
      <c r="B20086" s="233"/>
      <c r="C20086" s="238"/>
      <c r="E20086" s="545"/>
      <c r="F20086" s="546"/>
      <c r="G20086" s="234"/>
      <c r="H20086" s="238"/>
      <c r="I20086" s="237"/>
    </row>
    <row r="20087" spans="1:9" s="232" customFormat="1" ht="17" customHeight="1">
      <c r="A20087" s="234"/>
      <c r="B20087" s="233"/>
      <c r="C20087" s="238"/>
      <c r="E20087" s="545"/>
      <c r="F20087" s="546"/>
      <c r="G20087" s="234"/>
      <c r="H20087" s="238"/>
      <c r="I20087" s="237"/>
    </row>
    <row r="20088" spans="1:9" s="232" customFormat="1" ht="17" customHeight="1">
      <c r="A20088" s="234"/>
      <c r="B20088" s="233"/>
      <c r="C20088" s="238"/>
      <c r="E20088" s="545"/>
      <c r="F20088" s="546"/>
      <c r="G20088" s="234"/>
      <c r="H20088" s="238"/>
      <c r="I20088" s="237"/>
    </row>
    <row r="20089" spans="1:9" s="232" customFormat="1" ht="17" customHeight="1">
      <c r="A20089" s="234"/>
      <c r="B20089" s="233"/>
      <c r="C20089" s="238"/>
      <c r="E20089" s="545"/>
      <c r="F20089" s="546"/>
      <c r="G20089" s="234"/>
      <c r="H20089" s="238"/>
      <c r="I20089" s="237"/>
    </row>
    <row r="20090" spans="1:9" s="232" customFormat="1" ht="17" customHeight="1">
      <c r="A20090" s="234"/>
      <c r="B20090" s="233"/>
      <c r="C20090" s="238"/>
      <c r="E20090" s="545"/>
      <c r="F20090" s="546"/>
      <c r="G20090" s="234"/>
      <c r="H20090" s="238"/>
      <c r="I20090" s="237"/>
    </row>
    <row r="20091" spans="1:9" s="232" customFormat="1" ht="17" customHeight="1">
      <c r="A20091" s="234"/>
      <c r="B20091" s="233"/>
      <c r="C20091" s="238"/>
      <c r="E20091" s="545"/>
      <c r="F20091" s="546"/>
      <c r="G20091" s="234"/>
      <c r="H20091" s="238"/>
      <c r="I20091" s="237"/>
    </row>
    <row r="20092" spans="1:9" s="232" customFormat="1" ht="17" customHeight="1">
      <c r="A20092" s="234"/>
      <c r="B20092" s="233"/>
      <c r="C20092" s="238"/>
      <c r="E20092" s="545"/>
      <c r="F20092" s="546"/>
      <c r="G20092" s="234"/>
      <c r="H20092" s="238"/>
      <c r="I20092" s="237"/>
    </row>
    <row r="20093" spans="1:9" s="232" customFormat="1" ht="17" customHeight="1">
      <c r="A20093" s="234"/>
      <c r="B20093" s="233"/>
      <c r="C20093" s="238"/>
      <c r="E20093" s="545"/>
      <c r="F20093" s="546"/>
      <c r="G20093" s="234"/>
      <c r="H20093" s="238"/>
      <c r="I20093" s="237"/>
    </row>
    <row r="20094" spans="1:9" s="232" customFormat="1" ht="17" customHeight="1">
      <c r="A20094" s="234"/>
      <c r="B20094" s="233"/>
      <c r="C20094" s="238"/>
      <c r="E20094" s="545"/>
      <c r="F20094" s="546"/>
      <c r="G20094" s="234"/>
      <c r="H20094" s="238"/>
      <c r="I20094" s="237"/>
    </row>
    <row r="20095" spans="1:9" s="232" customFormat="1" ht="17" customHeight="1">
      <c r="A20095" s="234"/>
      <c r="B20095" s="233"/>
      <c r="C20095" s="238"/>
      <c r="E20095" s="545"/>
      <c r="F20095" s="546"/>
      <c r="G20095" s="234"/>
      <c r="H20095" s="238"/>
      <c r="I20095" s="237"/>
    </row>
    <row r="20096" spans="1:9" s="232" customFormat="1" ht="17" customHeight="1">
      <c r="A20096" s="234"/>
      <c r="B20096" s="233"/>
      <c r="C20096" s="238"/>
      <c r="E20096" s="545"/>
      <c r="F20096" s="546"/>
      <c r="G20096" s="234"/>
      <c r="H20096" s="238"/>
      <c r="I20096" s="237"/>
    </row>
    <row r="20097" spans="1:9" s="232" customFormat="1" ht="17" customHeight="1">
      <c r="A20097" s="234"/>
      <c r="B20097" s="233"/>
      <c r="C20097" s="238"/>
      <c r="E20097" s="545"/>
      <c r="F20097" s="546"/>
      <c r="G20097" s="234"/>
      <c r="H20097" s="238"/>
      <c r="I20097" s="237"/>
    </row>
    <row r="20098" spans="1:9" s="232" customFormat="1" ht="17" customHeight="1">
      <c r="A20098" s="234"/>
      <c r="B20098" s="233"/>
      <c r="C20098" s="238"/>
      <c r="E20098" s="545"/>
      <c r="F20098" s="546"/>
      <c r="G20098" s="234"/>
      <c r="H20098" s="238"/>
      <c r="I20098" s="237"/>
    </row>
    <row r="20099" spans="1:9" s="232" customFormat="1" ht="17" customHeight="1">
      <c r="A20099" s="234"/>
      <c r="B20099" s="233"/>
      <c r="C20099" s="238"/>
      <c r="E20099" s="545"/>
      <c r="F20099" s="546"/>
      <c r="G20099" s="234"/>
      <c r="H20099" s="238"/>
      <c r="I20099" s="237"/>
    </row>
    <row r="20100" spans="1:9" s="232" customFormat="1" ht="17" customHeight="1">
      <c r="A20100" s="234"/>
      <c r="B20100" s="233"/>
      <c r="C20100" s="238"/>
      <c r="E20100" s="545"/>
      <c r="F20100" s="546"/>
      <c r="G20100" s="234"/>
      <c r="H20100" s="238"/>
      <c r="I20100" s="237"/>
    </row>
    <row r="20101" spans="1:9" s="232" customFormat="1" ht="17" customHeight="1">
      <c r="A20101" s="234"/>
      <c r="B20101" s="233"/>
      <c r="C20101" s="238"/>
      <c r="E20101" s="545"/>
      <c r="F20101" s="546"/>
      <c r="G20101" s="234"/>
      <c r="H20101" s="238"/>
      <c r="I20101" s="237"/>
    </row>
    <row r="20102" spans="1:9" s="232" customFormat="1" ht="17" customHeight="1">
      <c r="A20102" s="234"/>
      <c r="B20102" s="233"/>
      <c r="C20102" s="238"/>
      <c r="E20102" s="545"/>
      <c r="F20102" s="546"/>
      <c r="G20102" s="234"/>
      <c r="H20102" s="238"/>
      <c r="I20102" s="237"/>
    </row>
    <row r="20103" spans="1:9" s="232" customFormat="1" ht="17" customHeight="1">
      <c r="A20103" s="234"/>
      <c r="B20103" s="233"/>
      <c r="C20103" s="238"/>
      <c r="E20103" s="545"/>
      <c r="F20103" s="546"/>
      <c r="G20103" s="234"/>
      <c r="H20103" s="238"/>
      <c r="I20103" s="237"/>
    </row>
    <row r="20104" spans="1:9" s="232" customFormat="1" ht="17" customHeight="1">
      <c r="A20104" s="234"/>
      <c r="B20104" s="233"/>
      <c r="C20104" s="238"/>
      <c r="E20104" s="545"/>
      <c r="F20104" s="546"/>
      <c r="G20104" s="234"/>
      <c r="H20104" s="238"/>
      <c r="I20104" s="237"/>
    </row>
    <row r="20105" spans="1:9" s="232" customFormat="1" ht="17" customHeight="1">
      <c r="A20105" s="234"/>
      <c r="B20105" s="233"/>
      <c r="C20105" s="238"/>
      <c r="E20105" s="545"/>
      <c r="F20105" s="546"/>
      <c r="G20105" s="234"/>
      <c r="H20105" s="238"/>
      <c r="I20105" s="237"/>
    </row>
    <row r="20106" spans="1:9" s="232" customFormat="1" ht="17" customHeight="1">
      <c r="A20106" s="234"/>
      <c r="B20106" s="233"/>
      <c r="C20106" s="238"/>
      <c r="E20106" s="545"/>
      <c r="F20106" s="546"/>
      <c r="G20106" s="234"/>
      <c r="H20106" s="238"/>
      <c r="I20106" s="237"/>
    </row>
    <row r="20107" spans="1:9" s="232" customFormat="1" ht="17" customHeight="1">
      <c r="A20107" s="234"/>
      <c r="B20107" s="233"/>
      <c r="C20107" s="238"/>
      <c r="E20107" s="545"/>
      <c r="F20107" s="546"/>
      <c r="G20107" s="234"/>
      <c r="H20107" s="238"/>
      <c r="I20107" s="237"/>
    </row>
    <row r="20108" spans="1:9" s="232" customFormat="1" ht="17" customHeight="1">
      <c r="A20108" s="234"/>
      <c r="B20108" s="233"/>
      <c r="C20108" s="238"/>
      <c r="E20108" s="545"/>
      <c r="F20108" s="546"/>
      <c r="G20108" s="234"/>
      <c r="H20108" s="238"/>
      <c r="I20108" s="237"/>
    </row>
    <row r="20109" spans="1:9" s="232" customFormat="1" ht="17" customHeight="1">
      <c r="A20109" s="234"/>
      <c r="B20109" s="233"/>
      <c r="C20109" s="238"/>
      <c r="E20109" s="545"/>
      <c r="F20109" s="546"/>
      <c r="G20109" s="234"/>
      <c r="H20109" s="238"/>
      <c r="I20109" s="237"/>
    </row>
    <row r="20110" spans="1:9" s="232" customFormat="1" ht="17" customHeight="1">
      <c r="A20110" s="234"/>
      <c r="B20110" s="233"/>
      <c r="C20110" s="238"/>
      <c r="E20110" s="545"/>
      <c r="F20110" s="546"/>
      <c r="G20110" s="234"/>
      <c r="H20110" s="238"/>
      <c r="I20110" s="237"/>
    </row>
    <row r="20111" spans="1:9" s="232" customFormat="1" ht="17" customHeight="1">
      <c r="A20111" s="234"/>
      <c r="B20111" s="233"/>
      <c r="C20111" s="238"/>
      <c r="E20111" s="545"/>
      <c r="F20111" s="546"/>
      <c r="G20111" s="234"/>
      <c r="H20111" s="238"/>
      <c r="I20111" s="237"/>
    </row>
    <row r="20112" spans="1:9" s="232" customFormat="1" ht="17" customHeight="1">
      <c r="A20112" s="234"/>
      <c r="B20112" s="233"/>
      <c r="C20112" s="238"/>
      <c r="E20112" s="545"/>
      <c r="F20112" s="546"/>
      <c r="G20112" s="234"/>
      <c r="H20112" s="238"/>
      <c r="I20112" s="237"/>
    </row>
    <row r="20113" spans="1:9" s="232" customFormat="1" ht="17" customHeight="1">
      <c r="A20113" s="234"/>
      <c r="B20113" s="233"/>
      <c r="C20113" s="238"/>
      <c r="E20113" s="545"/>
      <c r="F20113" s="546"/>
      <c r="G20113" s="234"/>
      <c r="H20113" s="238"/>
      <c r="I20113" s="237"/>
    </row>
    <row r="20114" spans="1:9" s="232" customFormat="1" ht="17" customHeight="1">
      <c r="A20114" s="234"/>
      <c r="B20114" s="233"/>
      <c r="C20114" s="238"/>
      <c r="E20114" s="545"/>
      <c r="F20114" s="546"/>
      <c r="G20114" s="234"/>
      <c r="H20114" s="238"/>
      <c r="I20114" s="237"/>
    </row>
    <row r="20115" spans="1:9" s="232" customFormat="1" ht="17" customHeight="1">
      <c r="A20115" s="234"/>
      <c r="B20115" s="233"/>
      <c r="C20115" s="238"/>
      <c r="E20115" s="545"/>
      <c r="F20115" s="546"/>
      <c r="G20115" s="234"/>
      <c r="H20115" s="238"/>
      <c r="I20115" s="237"/>
    </row>
    <row r="20116" spans="1:9" s="232" customFormat="1" ht="17" customHeight="1">
      <c r="A20116" s="234"/>
      <c r="B20116" s="233"/>
      <c r="C20116" s="238"/>
      <c r="E20116" s="545"/>
      <c r="F20116" s="546"/>
      <c r="G20116" s="234"/>
      <c r="H20116" s="238"/>
      <c r="I20116" s="237"/>
    </row>
    <row r="20117" spans="1:9" s="232" customFormat="1" ht="17" customHeight="1">
      <c r="A20117" s="234"/>
      <c r="B20117" s="233"/>
      <c r="C20117" s="238"/>
      <c r="E20117" s="545"/>
      <c r="F20117" s="546"/>
      <c r="G20117" s="234"/>
      <c r="H20117" s="238"/>
      <c r="I20117" s="237"/>
    </row>
    <row r="20118" spans="1:9" s="232" customFormat="1" ht="17" customHeight="1">
      <c r="A20118" s="234"/>
      <c r="B20118" s="233"/>
      <c r="C20118" s="238"/>
      <c r="E20118" s="545"/>
      <c r="F20118" s="546"/>
      <c r="G20118" s="234"/>
      <c r="H20118" s="238"/>
      <c r="I20118" s="237"/>
    </row>
    <row r="20119" spans="1:9" s="232" customFormat="1" ht="17" customHeight="1">
      <c r="A20119" s="234"/>
      <c r="B20119" s="233"/>
      <c r="C20119" s="238"/>
      <c r="E20119" s="545"/>
      <c r="F20119" s="546"/>
      <c r="G20119" s="234"/>
      <c r="H20119" s="238"/>
      <c r="I20119" s="237"/>
    </row>
    <row r="20120" spans="1:9" s="232" customFormat="1" ht="17" customHeight="1">
      <c r="A20120" s="234"/>
      <c r="B20120" s="233"/>
      <c r="C20120" s="238"/>
      <c r="E20120" s="545"/>
      <c r="F20120" s="546"/>
      <c r="G20120" s="234"/>
      <c r="H20120" s="238"/>
      <c r="I20120" s="237"/>
    </row>
    <row r="20121" spans="1:9" s="232" customFormat="1" ht="17" customHeight="1">
      <c r="A20121" s="234"/>
      <c r="B20121" s="233"/>
      <c r="C20121" s="238"/>
      <c r="E20121" s="545"/>
      <c r="F20121" s="546"/>
      <c r="G20121" s="234"/>
      <c r="H20121" s="238"/>
      <c r="I20121" s="237"/>
    </row>
    <row r="20122" spans="1:9" s="232" customFormat="1" ht="17" customHeight="1">
      <c r="A20122" s="234"/>
      <c r="B20122" s="233"/>
      <c r="C20122" s="238"/>
      <c r="E20122" s="545"/>
      <c r="F20122" s="546"/>
      <c r="G20122" s="234"/>
      <c r="H20122" s="238"/>
      <c r="I20122" s="237"/>
    </row>
    <row r="20123" spans="1:9" s="232" customFormat="1" ht="17" customHeight="1">
      <c r="A20123" s="234"/>
      <c r="B20123" s="233"/>
      <c r="C20123" s="238"/>
      <c r="E20123" s="545"/>
      <c r="F20123" s="546"/>
      <c r="G20123" s="234"/>
      <c r="H20123" s="238"/>
      <c r="I20123" s="237"/>
    </row>
    <row r="20124" spans="1:9" s="232" customFormat="1" ht="17" customHeight="1">
      <c r="A20124" s="234"/>
      <c r="B20124" s="233"/>
      <c r="C20124" s="238"/>
      <c r="E20124" s="545"/>
      <c r="F20124" s="546"/>
      <c r="G20124" s="234"/>
      <c r="H20124" s="238"/>
      <c r="I20124" s="237"/>
    </row>
    <row r="20125" spans="1:9" s="232" customFormat="1" ht="17" customHeight="1">
      <c r="A20125" s="234"/>
      <c r="B20125" s="233"/>
      <c r="C20125" s="238"/>
      <c r="E20125" s="545"/>
      <c r="F20125" s="546"/>
      <c r="G20125" s="234"/>
      <c r="H20125" s="238"/>
      <c r="I20125" s="237"/>
    </row>
    <row r="20126" spans="1:9" s="232" customFormat="1" ht="17" customHeight="1">
      <c r="A20126" s="234"/>
      <c r="B20126" s="233"/>
      <c r="C20126" s="238"/>
      <c r="E20126" s="545"/>
      <c r="F20126" s="546"/>
      <c r="G20126" s="234"/>
      <c r="H20126" s="238"/>
      <c r="I20126" s="237"/>
    </row>
    <row r="20127" spans="1:9" s="232" customFormat="1" ht="17" customHeight="1">
      <c r="A20127" s="234"/>
      <c r="B20127" s="233"/>
      <c r="C20127" s="238"/>
      <c r="E20127" s="545"/>
      <c r="F20127" s="546"/>
      <c r="G20127" s="234"/>
      <c r="H20127" s="238"/>
      <c r="I20127" s="237"/>
    </row>
    <row r="20128" spans="1:9" s="232" customFormat="1" ht="17" customHeight="1">
      <c r="A20128" s="234"/>
      <c r="B20128" s="233"/>
      <c r="C20128" s="238"/>
      <c r="E20128" s="545"/>
      <c r="F20128" s="546"/>
      <c r="G20128" s="234"/>
      <c r="H20128" s="238"/>
      <c r="I20128" s="237"/>
    </row>
    <row r="20129" spans="1:9" s="232" customFormat="1" ht="17" customHeight="1">
      <c r="A20129" s="234"/>
      <c r="B20129" s="233"/>
      <c r="C20129" s="238"/>
      <c r="E20129" s="545"/>
      <c r="F20129" s="546"/>
      <c r="G20129" s="234"/>
      <c r="H20129" s="238"/>
      <c r="I20129" s="237"/>
    </row>
    <row r="20130" spans="1:9" s="232" customFormat="1" ht="17" customHeight="1">
      <c r="A20130" s="234"/>
      <c r="B20130" s="233"/>
      <c r="C20130" s="238"/>
      <c r="E20130" s="545"/>
      <c r="F20130" s="546"/>
      <c r="G20130" s="234"/>
      <c r="H20130" s="238"/>
      <c r="I20130" s="237"/>
    </row>
    <row r="20131" spans="1:9" s="232" customFormat="1" ht="17" customHeight="1">
      <c r="A20131" s="234"/>
      <c r="B20131" s="233"/>
      <c r="C20131" s="238"/>
      <c r="E20131" s="545"/>
      <c r="F20131" s="546"/>
      <c r="G20131" s="234"/>
      <c r="H20131" s="238"/>
      <c r="I20131" s="237"/>
    </row>
    <row r="20132" spans="1:9" s="232" customFormat="1" ht="17" customHeight="1">
      <c r="A20132" s="234"/>
      <c r="B20132" s="233"/>
      <c r="C20132" s="238"/>
      <c r="E20132" s="545"/>
      <c r="F20132" s="546"/>
      <c r="G20132" s="234"/>
      <c r="H20132" s="238"/>
      <c r="I20132" s="237"/>
    </row>
    <row r="20133" spans="1:9" s="232" customFormat="1" ht="17" customHeight="1">
      <c r="A20133" s="234"/>
      <c r="B20133" s="233"/>
      <c r="C20133" s="238"/>
      <c r="E20133" s="545"/>
      <c r="F20133" s="546"/>
      <c r="G20133" s="234"/>
      <c r="H20133" s="238"/>
      <c r="I20133" s="237"/>
    </row>
    <row r="20134" spans="1:9" s="232" customFormat="1" ht="17" customHeight="1">
      <c r="A20134" s="234"/>
      <c r="B20134" s="233"/>
      <c r="C20134" s="238"/>
      <c r="E20134" s="545"/>
      <c r="F20134" s="546"/>
      <c r="G20134" s="234"/>
      <c r="H20134" s="238"/>
      <c r="I20134" s="237"/>
    </row>
    <row r="20135" spans="1:9" s="232" customFormat="1" ht="17" customHeight="1">
      <c r="A20135" s="234"/>
      <c r="B20135" s="233"/>
      <c r="C20135" s="238"/>
      <c r="E20135" s="545"/>
      <c r="F20135" s="546"/>
      <c r="G20135" s="234"/>
      <c r="H20135" s="238"/>
      <c r="I20135" s="237"/>
    </row>
    <row r="20136" spans="1:9" s="232" customFormat="1" ht="17" customHeight="1">
      <c r="A20136" s="234"/>
      <c r="B20136" s="233"/>
      <c r="C20136" s="238"/>
      <c r="E20136" s="545"/>
      <c r="F20136" s="546"/>
      <c r="G20136" s="234"/>
      <c r="H20136" s="238"/>
      <c r="I20136" s="237"/>
    </row>
    <row r="20137" spans="1:9" s="232" customFormat="1" ht="17" customHeight="1">
      <c r="A20137" s="234"/>
      <c r="B20137" s="233"/>
      <c r="C20137" s="238"/>
      <c r="E20137" s="545"/>
      <c r="F20137" s="546"/>
      <c r="G20137" s="234"/>
      <c r="H20137" s="238"/>
      <c r="I20137" s="237"/>
    </row>
    <row r="20138" spans="1:9" s="232" customFormat="1" ht="17" customHeight="1">
      <c r="A20138" s="234"/>
      <c r="B20138" s="233"/>
      <c r="C20138" s="238"/>
      <c r="E20138" s="545"/>
      <c r="F20138" s="546"/>
      <c r="G20138" s="234"/>
      <c r="H20138" s="238"/>
      <c r="I20138" s="237"/>
    </row>
    <row r="20139" spans="1:9" s="232" customFormat="1" ht="17" customHeight="1">
      <c r="A20139" s="234"/>
      <c r="B20139" s="233"/>
      <c r="C20139" s="238"/>
      <c r="E20139" s="545"/>
      <c r="F20139" s="546"/>
      <c r="G20139" s="234"/>
      <c r="H20139" s="238"/>
      <c r="I20139" s="237"/>
    </row>
    <row r="20140" spans="1:9" s="232" customFormat="1" ht="17" customHeight="1">
      <c r="A20140" s="234"/>
      <c r="B20140" s="233"/>
      <c r="C20140" s="238"/>
      <c r="E20140" s="545"/>
      <c r="F20140" s="546"/>
      <c r="G20140" s="234"/>
      <c r="H20140" s="238"/>
      <c r="I20140" s="237"/>
    </row>
    <row r="20141" spans="1:9" s="232" customFormat="1" ht="17" customHeight="1">
      <c r="A20141" s="234"/>
      <c r="B20141" s="233"/>
      <c r="C20141" s="238"/>
      <c r="E20141" s="545"/>
      <c r="F20141" s="546"/>
      <c r="G20141" s="234"/>
      <c r="H20141" s="238"/>
      <c r="I20141" s="237"/>
    </row>
    <row r="20142" spans="1:9" s="232" customFormat="1" ht="17" customHeight="1">
      <c r="A20142" s="234"/>
      <c r="B20142" s="233"/>
      <c r="C20142" s="238"/>
      <c r="E20142" s="545"/>
      <c r="F20142" s="546"/>
      <c r="G20142" s="234"/>
      <c r="H20142" s="238"/>
      <c r="I20142" s="237"/>
    </row>
    <row r="20143" spans="1:9" s="232" customFormat="1" ht="17" customHeight="1">
      <c r="A20143" s="234"/>
      <c r="B20143" s="233"/>
      <c r="C20143" s="238"/>
      <c r="E20143" s="545"/>
      <c r="F20143" s="546"/>
      <c r="G20143" s="234"/>
      <c r="H20143" s="238"/>
      <c r="I20143" s="237"/>
    </row>
    <row r="20144" spans="1:9" s="232" customFormat="1" ht="17" customHeight="1">
      <c r="A20144" s="234"/>
      <c r="B20144" s="233"/>
      <c r="C20144" s="238"/>
      <c r="E20144" s="545"/>
      <c r="F20144" s="546"/>
      <c r="G20144" s="234"/>
      <c r="H20144" s="238"/>
      <c r="I20144" s="237"/>
    </row>
    <row r="20145" spans="1:9" s="232" customFormat="1" ht="17" customHeight="1">
      <c r="A20145" s="234"/>
      <c r="B20145" s="233"/>
      <c r="C20145" s="238"/>
      <c r="E20145" s="545"/>
      <c r="F20145" s="546"/>
      <c r="G20145" s="234"/>
      <c r="H20145" s="238"/>
      <c r="I20145" s="237"/>
    </row>
    <row r="20146" spans="1:9" s="232" customFormat="1" ht="17" customHeight="1">
      <c r="A20146" s="234"/>
      <c r="B20146" s="233"/>
      <c r="C20146" s="238"/>
      <c r="E20146" s="545"/>
      <c r="F20146" s="546"/>
      <c r="G20146" s="234"/>
      <c r="H20146" s="238"/>
      <c r="I20146" s="237"/>
    </row>
    <row r="20147" spans="1:9" s="232" customFormat="1" ht="17" customHeight="1">
      <c r="A20147" s="234"/>
      <c r="B20147" s="233"/>
      <c r="C20147" s="238"/>
      <c r="E20147" s="545"/>
      <c r="F20147" s="546"/>
      <c r="G20147" s="234"/>
      <c r="H20147" s="238"/>
      <c r="I20147" s="237"/>
    </row>
    <row r="20148" spans="1:9" s="232" customFormat="1" ht="17" customHeight="1">
      <c r="A20148" s="234"/>
      <c r="B20148" s="233"/>
      <c r="C20148" s="238"/>
      <c r="E20148" s="545"/>
      <c r="F20148" s="546"/>
      <c r="G20148" s="234"/>
      <c r="H20148" s="238"/>
      <c r="I20148" s="237"/>
    </row>
    <row r="20149" spans="1:9" s="232" customFormat="1" ht="17" customHeight="1">
      <c r="A20149" s="234"/>
      <c r="B20149" s="233"/>
      <c r="C20149" s="238"/>
      <c r="E20149" s="545"/>
      <c r="F20149" s="546"/>
      <c r="G20149" s="234"/>
      <c r="H20149" s="238"/>
      <c r="I20149" s="237"/>
    </row>
    <row r="20150" spans="1:9" s="232" customFormat="1" ht="17" customHeight="1">
      <c r="A20150" s="234"/>
      <c r="B20150" s="233"/>
      <c r="C20150" s="238"/>
      <c r="E20150" s="545"/>
      <c r="F20150" s="546"/>
      <c r="G20150" s="234"/>
      <c r="H20150" s="238"/>
      <c r="I20150" s="237"/>
    </row>
    <row r="20151" spans="1:9" s="232" customFormat="1" ht="17" customHeight="1">
      <c r="A20151" s="234"/>
      <c r="B20151" s="233"/>
      <c r="C20151" s="238"/>
      <c r="E20151" s="545"/>
      <c r="F20151" s="546"/>
      <c r="G20151" s="234"/>
      <c r="H20151" s="238"/>
      <c r="I20151" s="237"/>
    </row>
    <row r="20152" spans="1:9" s="232" customFormat="1" ht="17" customHeight="1">
      <c r="A20152" s="234"/>
      <c r="B20152" s="233"/>
      <c r="C20152" s="238"/>
      <c r="E20152" s="545"/>
      <c r="F20152" s="546"/>
      <c r="G20152" s="234"/>
      <c r="H20152" s="238"/>
      <c r="I20152" s="237"/>
    </row>
    <row r="20153" spans="1:9" s="232" customFormat="1" ht="17" customHeight="1">
      <c r="A20153" s="234"/>
      <c r="B20153" s="233"/>
      <c r="C20153" s="238"/>
      <c r="E20153" s="545"/>
      <c r="F20153" s="546"/>
      <c r="G20153" s="234"/>
      <c r="H20153" s="238"/>
      <c r="I20153" s="237"/>
    </row>
    <row r="20154" spans="1:9" s="232" customFormat="1" ht="17" customHeight="1">
      <c r="A20154" s="234"/>
      <c r="B20154" s="233"/>
      <c r="C20154" s="238"/>
      <c r="E20154" s="545"/>
      <c r="F20154" s="546"/>
      <c r="G20154" s="234"/>
      <c r="H20154" s="238"/>
      <c r="I20154" s="237"/>
    </row>
    <row r="20155" spans="1:9" s="232" customFormat="1" ht="17" customHeight="1">
      <c r="A20155" s="234"/>
      <c r="B20155" s="233"/>
      <c r="C20155" s="238"/>
      <c r="E20155" s="545"/>
      <c r="F20155" s="546"/>
      <c r="G20155" s="234"/>
      <c r="H20155" s="238"/>
      <c r="I20155" s="237"/>
    </row>
    <row r="20156" spans="1:9" s="232" customFormat="1" ht="17" customHeight="1">
      <c r="A20156" s="234"/>
      <c r="B20156" s="233"/>
      <c r="C20156" s="238"/>
      <c r="E20156" s="545"/>
      <c r="F20156" s="546"/>
      <c r="G20156" s="234"/>
      <c r="H20156" s="238"/>
      <c r="I20156" s="237"/>
    </row>
    <row r="20157" spans="1:9" s="232" customFormat="1" ht="17" customHeight="1">
      <c r="A20157" s="234"/>
      <c r="B20157" s="233"/>
      <c r="C20157" s="238"/>
      <c r="E20157" s="545"/>
      <c r="F20157" s="546"/>
      <c r="G20157" s="234"/>
      <c r="H20157" s="238"/>
      <c r="I20157" s="237"/>
    </row>
    <row r="20158" spans="1:9" s="232" customFormat="1" ht="17" customHeight="1">
      <c r="A20158" s="234"/>
      <c r="B20158" s="233"/>
      <c r="C20158" s="238"/>
      <c r="E20158" s="545"/>
      <c r="F20158" s="546"/>
      <c r="G20158" s="234"/>
      <c r="H20158" s="238"/>
      <c r="I20158" s="237"/>
    </row>
    <row r="20159" spans="1:9" s="232" customFormat="1" ht="17" customHeight="1">
      <c r="A20159" s="234"/>
      <c r="B20159" s="233"/>
      <c r="C20159" s="238"/>
      <c r="E20159" s="545"/>
      <c r="F20159" s="546"/>
      <c r="G20159" s="234"/>
      <c r="H20159" s="238"/>
      <c r="I20159" s="237"/>
    </row>
    <row r="20160" spans="1:9" s="232" customFormat="1" ht="17" customHeight="1">
      <c r="A20160" s="234"/>
      <c r="B20160" s="233"/>
      <c r="C20160" s="238"/>
      <c r="E20160" s="545"/>
      <c r="F20160" s="546"/>
      <c r="G20160" s="234"/>
      <c r="H20160" s="238"/>
      <c r="I20160" s="237"/>
    </row>
    <row r="20161" spans="1:9" s="232" customFormat="1" ht="17" customHeight="1">
      <c r="A20161" s="234"/>
      <c r="B20161" s="233"/>
      <c r="C20161" s="238"/>
      <c r="E20161" s="545"/>
      <c r="F20161" s="546"/>
      <c r="G20161" s="234"/>
      <c r="H20161" s="238"/>
      <c r="I20161" s="237"/>
    </row>
    <row r="20162" spans="1:9" s="232" customFormat="1" ht="17" customHeight="1">
      <c r="A20162" s="234"/>
      <c r="B20162" s="233"/>
      <c r="C20162" s="238"/>
      <c r="E20162" s="545"/>
      <c r="F20162" s="546"/>
      <c r="G20162" s="234"/>
      <c r="H20162" s="238"/>
      <c r="I20162" s="237"/>
    </row>
    <row r="20163" spans="1:9" s="232" customFormat="1" ht="17" customHeight="1">
      <c r="A20163" s="234"/>
      <c r="B20163" s="233"/>
      <c r="C20163" s="238"/>
      <c r="E20163" s="545"/>
      <c r="F20163" s="546"/>
      <c r="G20163" s="234"/>
      <c r="H20163" s="238"/>
      <c r="I20163" s="237"/>
    </row>
    <row r="20164" spans="1:9" s="232" customFormat="1" ht="17" customHeight="1">
      <c r="A20164" s="234"/>
      <c r="B20164" s="233"/>
      <c r="C20164" s="238"/>
      <c r="E20164" s="545"/>
      <c r="F20164" s="546"/>
      <c r="G20164" s="234"/>
      <c r="H20164" s="238"/>
      <c r="I20164" s="237"/>
    </row>
    <row r="20165" spans="1:9" s="232" customFormat="1" ht="17" customHeight="1">
      <c r="A20165" s="234"/>
      <c r="B20165" s="233"/>
      <c r="C20165" s="238"/>
      <c r="E20165" s="545"/>
      <c r="F20165" s="546"/>
      <c r="G20165" s="234"/>
      <c r="H20165" s="238"/>
      <c r="I20165" s="237"/>
    </row>
    <row r="20166" spans="1:9" s="232" customFormat="1" ht="17" customHeight="1">
      <c r="A20166" s="234"/>
      <c r="B20166" s="233"/>
      <c r="C20166" s="238"/>
      <c r="E20166" s="545"/>
      <c r="F20166" s="546"/>
      <c r="G20166" s="234"/>
      <c r="H20166" s="238"/>
      <c r="I20166" s="237"/>
    </row>
    <row r="20167" spans="1:9" s="232" customFormat="1" ht="17" customHeight="1">
      <c r="A20167" s="234"/>
      <c r="B20167" s="233"/>
      <c r="C20167" s="238"/>
      <c r="E20167" s="545"/>
      <c r="F20167" s="546"/>
      <c r="G20167" s="234"/>
      <c r="H20167" s="238"/>
      <c r="I20167" s="237"/>
    </row>
    <row r="20168" spans="1:9" s="232" customFormat="1" ht="17" customHeight="1">
      <c r="A20168" s="234"/>
      <c r="B20168" s="233"/>
      <c r="C20168" s="238"/>
      <c r="E20168" s="545"/>
      <c r="F20168" s="546"/>
      <c r="G20168" s="234"/>
      <c r="H20168" s="238"/>
      <c r="I20168" s="237"/>
    </row>
    <row r="20169" spans="1:9" s="232" customFormat="1" ht="17" customHeight="1">
      <c r="A20169" s="234"/>
      <c r="B20169" s="233"/>
      <c r="C20169" s="238"/>
      <c r="E20169" s="545"/>
      <c r="F20169" s="546"/>
      <c r="G20169" s="234"/>
      <c r="H20169" s="238"/>
      <c r="I20169" s="237"/>
    </row>
    <row r="20170" spans="1:9" s="232" customFormat="1" ht="17" customHeight="1">
      <c r="A20170" s="234"/>
      <c r="B20170" s="233"/>
      <c r="C20170" s="238"/>
      <c r="E20170" s="545"/>
      <c r="F20170" s="546"/>
      <c r="G20170" s="234"/>
      <c r="H20170" s="238"/>
      <c r="I20170" s="237"/>
    </row>
    <row r="20171" spans="1:9" s="232" customFormat="1" ht="17" customHeight="1">
      <c r="A20171" s="234"/>
      <c r="B20171" s="233"/>
      <c r="C20171" s="238"/>
      <c r="E20171" s="545"/>
      <c r="F20171" s="546"/>
      <c r="G20171" s="234"/>
      <c r="H20171" s="238"/>
      <c r="I20171" s="237"/>
    </row>
    <row r="20172" spans="1:9" s="232" customFormat="1" ht="17" customHeight="1">
      <c r="A20172" s="234"/>
      <c r="B20172" s="233"/>
      <c r="C20172" s="238"/>
      <c r="E20172" s="545"/>
      <c r="F20172" s="546"/>
      <c r="G20172" s="234"/>
      <c r="H20172" s="238"/>
      <c r="I20172" s="237"/>
    </row>
    <row r="20173" spans="1:9" s="232" customFormat="1" ht="17" customHeight="1">
      <c r="A20173" s="234"/>
      <c r="B20173" s="233"/>
      <c r="C20173" s="238"/>
      <c r="E20173" s="545"/>
      <c r="F20173" s="546"/>
      <c r="G20173" s="234"/>
      <c r="H20173" s="238"/>
      <c r="I20173" s="237"/>
    </row>
    <row r="20174" spans="1:9" s="232" customFormat="1" ht="17" customHeight="1">
      <c r="A20174" s="234"/>
      <c r="B20174" s="233"/>
      <c r="C20174" s="238"/>
      <c r="E20174" s="545"/>
      <c r="F20174" s="546"/>
      <c r="G20174" s="234"/>
      <c r="H20174" s="238"/>
      <c r="I20174" s="237"/>
    </row>
    <row r="20175" spans="1:9" s="232" customFormat="1" ht="17" customHeight="1">
      <c r="A20175" s="234"/>
      <c r="B20175" s="233"/>
      <c r="C20175" s="238"/>
      <c r="E20175" s="545"/>
      <c r="F20175" s="546"/>
      <c r="G20175" s="234"/>
      <c r="H20175" s="238"/>
      <c r="I20175" s="237"/>
    </row>
    <row r="20176" spans="1:9" s="232" customFormat="1" ht="17" customHeight="1">
      <c r="A20176" s="234"/>
      <c r="B20176" s="233"/>
      <c r="C20176" s="238"/>
      <c r="E20176" s="545"/>
      <c r="F20176" s="546"/>
      <c r="G20176" s="234"/>
      <c r="H20176" s="238"/>
      <c r="I20176" s="237"/>
    </row>
    <row r="20177" spans="1:9" s="232" customFormat="1" ht="17" customHeight="1">
      <c r="A20177" s="234"/>
      <c r="B20177" s="233"/>
      <c r="C20177" s="238"/>
      <c r="E20177" s="545"/>
      <c r="F20177" s="546"/>
      <c r="G20177" s="234"/>
      <c r="H20177" s="238"/>
      <c r="I20177" s="237"/>
    </row>
    <row r="20178" spans="1:9" s="232" customFormat="1" ht="17" customHeight="1">
      <c r="A20178" s="234"/>
      <c r="B20178" s="233"/>
      <c r="C20178" s="238"/>
      <c r="E20178" s="545"/>
      <c r="F20178" s="546"/>
      <c r="G20178" s="234"/>
      <c r="H20178" s="238"/>
      <c r="I20178" s="237"/>
    </row>
    <row r="20179" spans="1:9" s="232" customFormat="1" ht="17" customHeight="1">
      <c r="A20179" s="234"/>
      <c r="B20179" s="233"/>
      <c r="C20179" s="238"/>
      <c r="E20179" s="545"/>
      <c r="F20179" s="546"/>
      <c r="G20179" s="234"/>
      <c r="H20179" s="238"/>
      <c r="I20179" s="237"/>
    </row>
    <row r="20180" spans="1:9" s="232" customFormat="1" ht="17" customHeight="1">
      <c r="A20180" s="234"/>
      <c r="B20180" s="233"/>
      <c r="C20180" s="238"/>
      <c r="E20180" s="545"/>
      <c r="F20180" s="546"/>
      <c r="G20180" s="234"/>
      <c r="H20180" s="238"/>
      <c r="I20180" s="237"/>
    </row>
    <row r="20181" spans="1:9" s="232" customFormat="1" ht="17" customHeight="1">
      <c r="A20181" s="234"/>
      <c r="B20181" s="233"/>
      <c r="C20181" s="238"/>
      <c r="E20181" s="545"/>
      <c r="F20181" s="546"/>
      <c r="G20181" s="234"/>
      <c r="H20181" s="238"/>
      <c r="I20181" s="237"/>
    </row>
    <row r="20182" spans="1:9" s="232" customFormat="1" ht="17" customHeight="1">
      <c r="A20182" s="234"/>
      <c r="B20182" s="233"/>
      <c r="C20182" s="238"/>
      <c r="E20182" s="545"/>
      <c r="F20182" s="546"/>
      <c r="G20182" s="234"/>
      <c r="H20182" s="238"/>
      <c r="I20182" s="237"/>
    </row>
    <row r="20183" spans="1:9" s="232" customFormat="1" ht="17" customHeight="1">
      <c r="A20183" s="234"/>
      <c r="B20183" s="233"/>
      <c r="C20183" s="238"/>
      <c r="E20183" s="545"/>
      <c r="F20183" s="546"/>
      <c r="G20183" s="234"/>
      <c r="H20183" s="238"/>
      <c r="I20183" s="237"/>
    </row>
    <row r="20184" spans="1:9" s="232" customFormat="1" ht="17" customHeight="1">
      <c r="A20184" s="234"/>
      <c r="B20184" s="233"/>
      <c r="C20184" s="238"/>
      <c r="E20184" s="545"/>
      <c r="F20184" s="546"/>
      <c r="G20184" s="234"/>
      <c r="H20184" s="238"/>
      <c r="I20184" s="237"/>
    </row>
    <row r="20185" spans="1:9" s="232" customFormat="1" ht="17" customHeight="1">
      <c r="A20185" s="234"/>
      <c r="B20185" s="233"/>
      <c r="C20185" s="238"/>
      <c r="E20185" s="545"/>
      <c r="F20185" s="546"/>
      <c r="G20185" s="234"/>
      <c r="H20185" s="238"/>
      <c r="I20185" s="237"/>
    </row>
    <row r="20186" spans="1:9" s="232" customFormat="1" ht="17" customHeight="1">
      <c r="A20186" s="234"/>
      <c r="B20186" s="233"/>
      <c r="C20186" s="238"/>
      <c r="E20186" s="545"/>
      <c r="F20186" s="546"/>
      <c r="G20186" s="234"/>
      <c r="H20186" s="238"/>
      <c r="I20186" s="237"/>
    </row>
    <row r="20187" spans="1:9" s="232" customFormat="1" ht="17" customHeight="1">
      <c r="A20187" s="234"/>
      <c r="B20187" s="233"/>
      <c r="C20187" s="238"/>
      <c r="E20187" s="545"/>
      <c r="F20187" s="546"/>
      <c r="G20187" s="234"/>
      <c r="H20187" s="238"/>
      <c r="I20187" s="237"/>
    </row>
    <row r="20188" spans="1:9" s="232" customFormat="1" ht="17" customHeight="1">
      <c r="A20188" s="234"/>
      <c r="B20188" s="233"/>
      <c r="C20188" s="238"/>
      <c r="E20188" s="545"/>
      <c r="F20188" s="546"/>
      <c r="G20188" s="234"/>
      <c r="H20188" s="238"/>
      <c r="I20188" s="237"/>
    </row>
    <row r="20189" spans="1:9" s="232" customFormat="1" ht="17" customHeight="1">
      <c r="A20189" s="234"/>
      <c r="B20189" s="233"/>
      <c r="C20189" s="238"/>
      <c r="E20189" s="545"/>
      <c r="F20189" s="546"/>
      <c r="G20189" s="234"/>
      <c r="H20189" s="238"/>
      <c r="I20189" s="237"/>
    </row>
    <row r="20190" spans="1:9" s="232" customFormat="1" ht="17" customHeight="1">
      <c r="A20190" s="234"/>
      <c r="B20190" s="233"/>
      <c r="C20190" s="238"/>
      <c r="E20190" s="545"/>
      <c r="F20190" s="546"/>
      <c r="G20190" s="234"/>
      <c r="H20190" s="238"/>
      <c r="I20190" s="237"/>
    </row>
    <row r="20191" spans="1:9" s="232" customFormat="1" ht="17" customHeight="1">
      <c r="A20191" s="234"/>
      <c r="B20191" s="233"/>
      <c r="C20191" s="238"/>
      <c r="E20191" s="545"/>
      <c r="F20191" s="546"/>
      <c r="G20191" s="234"/>
      <c r="H20191" s="238"/>
      <c r="I20191" s="237"/>
    </row>
    <row r="20192" spans="1:9" s="232" customFormat="1" ht="17" customHeight="1">
      <c r="A20192" s="234"/>
      <c r="B20192" s="233"/>
      <c r="C20192" s="238"/>
      <c r="E20192" s="545"/>
      <c r="F20192" s="546"/>
      <c r="G20192" s="234"/>
      <c r="H20192" s="238"/>
      <c r="I20192" s="237"/>
    </row>
    <row r="20193" spans="1:9" s="232" customFormat="1" ht="17" customHeight="1">
      <c r="A20193" s="234"/>
      <c r="B20193" s="233"/>
      <c r="C20193" s="238"/>
      <c r="E20193" s="545"/>
      <c r="F20193" s="546"/>
      <c r="G20193" s="234"/>
      <c r="H20193" s="238"/>
      <c r="I20193" s="237"/>
    </row>
    <row r="20194" spans="1:9" s="232" customFormat="1" ht="17" customHeight="1">
      <c r="A20194" s="234"/>
      <c r="B20194" s="233"/>
      <c r="C20194" s="238"/>
      <c r="E20194" s="545"/>
      <c r="F20194" s="546"/>
      <c r="G20194" s="234"/>
      <c r="H20194" s="238"/>
      <c r="I20194" s="237"/>
    </row>
    <row r="20195" spans="1:9" s="232" customFormat="1" ht="17" customHeight="1">
      <c r="A20195" s="234"/>
      <c r="B20195" s="233"/>
      <c r="C20195" s="238"/>
      <c r="E20195" s="545"/>
      <c r="F20195" s="546"/>
      <c r="G20195" s="234"/>
      <c r="H20195" s="238"/>
      <c r="I20195" s="237"/>
    </row>
    <row r="20196" spans="1:9" s="232" customFormat="1" ht="17" customHeight="1">
      <c r="A20196" s="234"/>
      <c r="B20196" s="233"/>
      <c r="C20196" s="238"/>
      <c r="E20196" s="545"/>
      <c r="F20196" s="546"/>
      <c r="G20196" s="234"/>
      <c r="H20196" s="238"/>
      <c r="I20196" s="237"/>
    </row>
    <row r="20197" spans="1:9" s="232" customFormat="1" ht="17" customHeight="1">
      <c r="A20197" s="234"/>
      <c r="B20197" s="233"/>
      <c r="C20197" s="238"/>
      <c r="E20197" s="545"/>
      <c r="F20197" s="546"/>
      <c r="G20197" s="234"/>
      <c r="H20197" s="238"/>
      <c r="I20197" s="237"/>
    </row>
    <row r="20198" spans="1:9" s="232" customFormat="1" ht="17" customHeight="1">
      <c r="A20198" s="234"/>
      <c r="B20198" s="233"/>
      <c r="C20198" s="238"/>
      <c r="E20198" s="545"/>
      <c r="F20198" s="546"/>
      <c r="G20198" s="234"/>
      <c r="H20198" s="238"/>
      <c r="I20198" s="237"/>
    </row>
    <row r="20199" spans="1:9" s="232" customFormat="1" ht="17" customHeight="1">
      <c r="A20199" s="234"/>
      <c r="B20199" s="233"/>
      <c r="C20199" s="238"/>
      <c r="E20199" s="545"/>
      <c r="F20199" s="546"/>
      <c r="G20199" s="234"/>
      <c r="H20199" s="238"/>
      <c r="I20199" s="237"/>
    </row>
    <row r="20200" spans="1:9" s="232" customFormat="1" ht="17" customHeight="1">
      <c r="A20200" s="234"/>
      <c r="B20200" s="233"/>
      <c r="C20200" s="238"/>
      <c r="E20200" s="545"/>
      <c r="F20200" s="546"/>
      <c r="G20200" s="234"/>
      <c r="H20200" s="238"/>
      <c r="I20200" s="237"/>
    </row>
    <row r="20201" spans="1:9" s="232" customFormat="1" ht="17" customHeight="1">
      <c r="A20201" s="234"/>
      <c r="B20201" s="233"/>
      <c r="C20201" s="238"/>
      <c r="E20201" s="545"/>
      <c r="F20201" s="546"/>
      <c r="G20201" s="234"/>
      <c r="H20201" s="238"/>
      <c r="I20201" s="237"/>
    </row>
    <row r="20202" spans="1:9" s="232" customFormat="1" ht="17" customHeight="1">
      <c r="A20202" s="234"/>
      <c r="B20202" s="233"/>
      <c r="C20202" s="238"/>
      <c r="E20202" s="545"/>
      <c r="F20202" s="546"/>
      <c r="G20202" s="234"/>
      <c r="H20202" s="238"/>
      <c r="I20202" s="237"/>
    </row>
    <row r="20203" spans="1:9" s="232" customFormat="1" ht="17" customHeight="1">
      <c r="A20203" s="234"/>
      <c r="B20203" s="233"/>
      <c r="C20203" s="238"/>
      <c r="E20203" s="545"/>
      <c r="F20203" s="546"/>
      <c r="G20203" s="234"/>
      <c r="H20203" s="238"/>
      <c r="I20203" s="237"/>
    </row>
    <row r="20204" spans="1:9" s="232" customFormat="1" ht="17" customHeight="1">
      <c r="A20204" s="234"/>
      <c r="B20204" s="233"/>
      <c r="C20204" s="238"/>
      <c r="E20204" s="545"/>
      <c r="F20204" s="546"/>
      <c r="G20204" s="234"/>
      <c r="H20204" s="238"/>
      <c r="I20204" s="237"/>
    </row>
    <row r="20205" spans="1:9" s="232" customFormat="1" ht="17" customHeight="1">
      <c r="A20205" s="234"/>
      <c r="B20205" s="233"/>
      <c r="C20205" s="238"/>
      <c r="E20205" s="545"/>
      <c r="F20205" s="546"/>
      <c r="G20205" s="234"/>
      <c r="H20205" s="238"/>
      <c r="I20205" s="237"/>
    </row>
    <row r="20206" spans="1:9" s="232" customFormat="1" ht="17" customHeight="1">
      <c r="A20206" s="234"/>
      <c r="B20206" s="233"/>
      <c r="C20206" s="238"/>
      <c r="E20206" s="545"/>
      <c r="F20206" s="546"/>
      <c r="G20206" s="234"/>
      <c r="H20206" s="238"/>
      <c r="I20206" s="237"/>
    </row>
    <row r="20207" spans="1:9" s="232" customFormat="1" ht="17" customHeight="1">
      <c r="A20207" s="234"/>
      <c r="B20207" s="233"/>
      <c r="C20207" s="238"/>
      <c r="E20207" s="545"/>
      <c r="F20207" s="546"/>
      <c r="G20207" s="234"/>
      <c r="H20207" s="238"/>
      <c r="I20207" s="237"/>
    </row>
    <row r="20208" spans="1:9" s="232" customFormat="1" ht="17" customHeight="1">
      <c r="A20208" s="234"/>
      <c r="B20208" s="233"/>
      <c r="C20208" s="238"/>
      <c r="E20208" s="545"/>
      <c r="F20208" s="546"/>
      <c r="G20208" s="234"/>
      <c r="H20208" s="238"/>
      <c r="I20208" s="237"/>
    </row>
    <row r="20209" spans="1:9" s="232" customFormat="1" ht="17" customHeight="1">
      <c r="A20209" s="234"/>
      <c r="B20209" s="233"/>
      <c r="C20209" s="238"/>
      <c r="E20209" s="545"/>
      <c r="F20209" s="546"/>
      <c r="G20209" s="234"/>
      <c r="H20209" s="238"/>
      <c r="I20209" s="237"/>
    </row>
    <row r="20210" spans="1:9" s="232" customFormat="1" ht="17" customHeight="1">
      <c r="A20210" s="234"/>
      <c r="B20210" s="233"/>
      <c r="C20210" s="238"/>
      <c r="E20210" s="545"/>
      <c r="F20210" s="546"/>
      <c r="G20210" s="234"/>
      <c r="H20210" s="238"/>
      <c r="I20210" s="237"/>
    </row>
    <row r="20211" spans="1:9" s="232" customFormat="1" ht="17" customHeight="1">
      <c r="A20211" s="234"/>
      <c r="B20211" s="233"/>
      <c r="C20211" s="238"/>
      <c r="E20211" s="545"/>
      <c r="F20211" s="546"/>
      <c r="G20211" s="234"/>
      <c r="H20211" s="238"/>
      <c r="I20211" s="237"/>
    </row>
    <row r="20212" spans="1:9" s="232" customFormat="1" ht="17" customHeight="1">
      <c r="A20212" s="234"/>
      <c r="B20212" s="233"/>
      <c r="C20212" s="238"/>
      <c r="E20212" s="545"/>
      <c r="F20212" s="546"/>
      <c r="G20212" s="234"/>
      <c r="H20212" s="238"/>
      <c r="I20212" s="237"/>
    </row>
    <row r="20213" spans="1:9" s="232" customFormat="1" ht="17" customHeight="1">
      <c r="A20213" s="234"/>
      <c r="B20213" s="233"/>
      <c r="C20213" s="238"/>
      <c r="E20213" s="545"/>
      <c r="F20213" s="546"/>
      <c r="G20213" s="234"/>
      <c r="H20213" s="238"/>
      <c r="I20213" s="237"/>
    </row>
    <row r="20214" spans="1:9" s="232" customFormat="1" ht="17" customHeight="1">
      <c r="A20214" s="234"/>
      <c r="B20214" s="233"/>
      <c r="C20214" s="238"/>
      <c r="E20214" s="545"/>
      <c r="F20214" s="546"/>
      <c r="G20214" s="234"/>
      <c r="H20214" s="238"/>
      <c r="I20214" s="237"/>
    </row>
    <row r="20215" spans="1:9" s="232" customFormat="1" ht="17" customHeight="1">
      <c r="A20215" s="234"/>
      <c r="B20215" s="233"/>
      <c r="C20215" s="238"/>
      <c r="E20215" s="545"/>
      <c r="F20215" s="546"/>
      <c r="G20215" s="234"/>
      <c r="H20215" s="238"/>
      <c r="I20215" s="237"/>
    </row>
    <row r="20216" spans="1:9" s="232" customFormat="1" ht="17" customHeight="1">
      <c r="A20216" s="234"/>
      <c r="B20216" s="233"/>
      <c r="C20216" s="238"/>
      <c r="E20216" s="545"/>
      <c r="F20216" s="546"/>
      <c r="G20216" s="234"/>
      <c r="H20216" s="238"/>
      <c r="I20216" s="237"/>
    </row>
    <row r="20217" spans="1:9" s="232" customFormat="1" ht="17" customHeight="1">
      <c r="A20217" s="234"/>
      <c r="B20217" s="233"/>
      <c r="C20217" s="238"/>
      <c r="E20217" s="545"/>
      <c r="F20217" s="546"/>
      <c r="G20217" s="234"/>
      <c r="H20217" s="238"/>
      <c r="I20217" s="237"/>
    </row>
    <row r="20218" spans="1:9" s="232" customFormat="1" ht="17" customHeight="1">
      <c r="A20218" s="234"/>
      <c r="B20218" s="233"/>
      <c r="C20218" s="238"/>
      <c r="E20218" s="545"/>
      <c r="F20218" s="546"/>
      <c r="G20218" s="234"/>
      <c r="H20218" s="238"/>
      <c r="I20218" s="237"/>
    </row>
    <row r="20219" spans="1:9" s="232" customFormat="1" ht="17" customHeight="1">
      <c r="A20219" s="234"/>
      <c r="B20219" s="233"/>
      <c r="C20219" s="238"/>
      <c r="E20219" s="545"/>
      <c r="F20219" s="546"/>
      <c r="G20219" s="234"/>
      <c r="H20219" s="238"/>
      <c r="I20219" s="237"/>
    </row>
    <row r="20220" spans="1:9" s="232" customFormat="1" ht="17" customHeight="1">
      <c r="A20220" s="234"/>
      <c r="B20220" s="233"/>
      <c r="C20220" s="238"/>
      <c r="E20220" s="545"/>
      <c r="F20220" s="546"/>
      <c r="G20220" s="234"/>
      <c r="H20220" s="238"/>
      <c r="I20220" s="237"/>
    </row>
    <row r="20221" spans="1:9" s="232" customFormat="1" ht="17" customHeight="1">
      <c r="A20221" s="234"/>
      <c r="B20221" s="233"/>
      <c r="C20221" s="238"/>
      <c r="E20221" s="545"/>
      <c r="F20221" s="546"/>
      <c r="G20221" s="234"/>
      <c r="H20221" s="238"/>
      <c r="I20221" s="237"/>
    </row>
    <row r="20222" spans="1:9" s="232" customFormat="1" ht="17" customHeight="1">
      <c r="A20222" s="234"/>
      <c r="B20222" s="233"/>
      <c r="C20222" s="238"/>
      <c r="E20222" s="545"/>
      <c r="F20222" s="546"/>
      <c r="G20222" s="234"/>
      <c r="H20222" s="238"/>
      <c r="I20222" s="237"/>
    </row>
    <row r="20223" spans="1:9" s="232" customFormat="1" ht="17" customHeight="1">
      <c r="A20223" s="234"/>
      <c r="B20223" s="233"/>
      <c r="C20223" s="238"/>
      <c r="E20223" s="545"/>
      <c r="F20223" s="546"/>
      <c r="G20223" s="234"/>
      <c r="H20223" s="238"/>
      <c r="I20223" s="237"/>
    </row>
    <row r="20224" spans="1:9" s="232" customFormat="1" ht="17" customHeight="1">
      <c r="A20224" s="234"/>
      <c r="B20224" s="233"/>
      <c r="C20224" s="238"/>
      <c r="E20224" s="545"/>
      <c r="F20224" s="546"/>
      <c r="G20224" s="234"/>
      <c r="H20224" s="238"/>
      <c r="I20224" s="237"/>
    </row>
    <row r="20225" spans="1:9" s="232" customFormat="1" ht="17" customHeight="1">
      <c r="A20225" s="234"/>
      <c r="B20225" s="233"/>
      <c r="C20225" s="238"/>
      <c r="E20225" s="545"/>
      <c r="F20225" s="546"/>
      <c r="G20225" s="234"/>
      <c r="H20225" s="238"/>
      <c r="I20225" s="237"/>
    </row>
    <row r="20226" spans="1:9" s="232" customFormat="1" ht="17" customHeight="1">
      <c r="A20226" s="234"/>
      <c r="B20226" s="233"/>
      <c r="C20226" s="238"/>
      <c r="E20226" s="545"/>
      <c r="F20226" s="546"/>
      <c r="G20226" s="234"/>
      <c r="H20226" s="238"/>
      <c r="I20226" s="237"/>
    </row>
    <row r="20227" spans="1:9" s="232" customFormat="1" ht="17" customHeight="1">
      <c r="A20227" s="234"/>
      <c r="B20227" s="233"/>
      <c r="C20227" s="238"/>
      <c r="E20227" s="545"/>
      <c r="F20227" s="546"/>
      <c r="G20227" s="234"/>
      <c r="H20227" s="238"/>
      <c r="I20227" s="237"/>
    </row>
    <row r="20228" spans="1:9" s="232" customFormat="1" ht="17" customHeight="1">
      <c r="A20228" s="234"/>
      <c r="B20228" s="233"/>
      <c r="C20228" s="238"/>
      <c r="E20228" s="545"/>
      <c r="F20228" s="546"/>
      <c r="G20228" s="234"/>
      <c r="H20228" s="238"/>
      <c r="I20228" s="237"/>
    </row>
    <row r="20229" spans="1:9" s="232" customFormat="1" ht="17" customHeight="1">
      <c r="A20229" s="234"/>
      <c r="B20229" s="233"/>
      <c r="C20229" s="238"/>
      <c r="E20229" s="545"/>
      <c r="F20229" s="546"/>
      <c r="G20229" s="234"/>
      <c r="H20229" s="238"/>
      <c r="I20229" s="237"/>
    </row>
    <row r="20230" spans="1:9" s="232" customFormat="1" ht="17" customHeight="1">
      <c r="A20230" s="234"/>
      <c r="B20230" s="233"/>
      <c r="C20230" s="238"/>
      <c r="E20230" s="545"/>
      <c r="F20230" s="546"/>
      <c r="G20230" s="234"/>
      <c r="H20230" s="238"/>
      <c r="I20230" s="237"/>
    </row>
    <row r="20231" spans="1:9" s="232" customFormat="1" ht="17" customHeight="1">
      <c r="A20231" s="234"/>
      <c r="B20231" s="233"/>
      <c r="C20231" s="238"/>
      <c r="E20231" s="545"/>
      <c r="F20231" s="546"/>
      <c r="G20231" s="234"/>
      <c r="H20231" s="238"/>
      <c r="I20231" s="237"/>
    </row>
    <row r="20232" spans="1:9" s="232" customFormat="1" ht="17" customHeight="1">
      <c r="A20232" s="234"/>
      <c r="B20232" s="233"/>
      <c r="C20232" s="238"/>
      <c r="E20232" s="545"/>
      <c r="F20232" s="546"/>
      <c r="G20232" s="234"/>
      <c r="H20232" s="238"/>
      <c r="I20232" s="237"/>
    </row>
    <row r="20233" spans="1:9" s="232" customFormat="1" ht="17" customHeight="1">
      <c r="A20233" s="234"/>
      <c r="B20233" s="233"/>
      <c r="C20233" s="238"/>
      <c r="E20233" s="545"/>
      <c r="F20233" s="546"/>
      <c r="G20233" s="234"/>
      <c r="H20233" s="238"/>
      <c r="I20233" s="237"/>
    </row>
    <row r="20234" spans="1:9" s="232" customFormat="1" ht="17" customHeight="1">
      <c r="A20234" s="234"/>
      <c r="B20234" s="233"/>
      <c r="C20234" s="238"/>
      <c r="E20234" s="545"/>
      <c r="F20234" s="546"/>
      <c r="G20234" s="234"/>
      <c r="H20234" s="238"/>
      <c r="I20234" s="237"/>
    </row>
    <row r="20235" spans="1:9" s="232" customFormat="1" ht="17" customHeight="1">
      <c r="A20235" s="234"/>
      <c r="B20235" s="233"/>
      <c r="C20235" s="238"/>
      <c r="E20235" s="545"/>
      <c r="F20235" s="546"/>
      <c r="G20235" s="234"/>
      <c r="H20235" s="238"/>
      <c r="I20235" s="237"/>
    </row>
    <row r="20236" spans="1:9" s="232" customFormat="1" ht="17" customHeight="1">
      <c r="A20236" s="234"/>
      <c r="B20236" s="233"/>
      <c r="C20236" s="238"/>
      <c r="E20236" s="545"/>
      <c r="F20236" s="546"/>
      <c r="G20236" s="234"/>
      <c r="H20236" s="238"/>
      <c r="I20236" s="237"/>
    </row>
    <row r="20237" spans="1:9" s="232" customFormat="1" ht="17" customHeight="1">
      <c r="A20237" s="234"/>
      <c r="B20237" s="233"/>
      <c r="C20237" s="238"/>
      <c r="E20237" s="545"/>
      <c r="F20237" s="546"/>
      <c r="G20237" s="234"/>
      <c r="H20237" s="238"/>
      <c r="I20237" s="237"/>
    </row>
    <row r="20238" spans="1:9" s="232" customFormat="1" ht="17" customHeight="1">
      <c r="A20238" s="234"/>
      <c r="B20238" s="233"/>
      <c r="C20238" s="238"/>
      <c r="E20238" s="545"/>
      <c r="F20238" s="546"/>
      <c r="G20238" s="234"/>
      <c r="H20238" s="238"/>
      <c r="I20238" s="237"/>
    </row>
    <row r="20239" spans="1:9" s="232" customFormat="1" ht="17" customHeight="1">
      <c r="A20239" s="234"/>
      <c r="B20239" s="233"/>
      <c r="C20239" s="238"/>
      <c r="E20239" s="545"/>
      <c r="F20239" s="546"/>
      <c r="G20239" s="234"/>
      <c r="H20239" s="238"/>
      <c r="I20239" s="237"/>
    </row>
    <row r="20240" spans="1:9" s="232" customFormat="1" ht="17" customHeight="1">
      <c r="A20240" s="234"/>
      <c r="B20240" s="233"/>
      <c r="C20240" s="238"/>
      <c r="E20240" s="545"/>
      <c r="F20240" s="546"/>
      <c r="G20240" s="234"/>
      <c r="H20240" s="238"/>
      <c r="I20240" s="237"/>
    </row>
    <row r="20241" spans="1:9" s="232" customFormat="1" ht="17" customHeight="1">
      <c r="A20241" s="234"/>
      <c r="B20241" s="233"/>
      <c r="C20241" s="238"/>
      <c r="E20241" s="545"/>
      <c r="F20241" s="546"/>
      <c r="G20241" s="234"/>
      <c r="H20241" s="238"/>
      <c r="I20241" s="237"/>
    </row>
    <row r="20242" spans="1:9" s="232" customFormat="1" ht="17" customHeight="1">
      <c r="A20242" s="234"/>
      <c r="B20242" s="233"/>
      <c r="C20242" s="238"/>
      <c r="E20242" s="545"/>
      <c r="F20242" s="546"/>
      <c r="G20242" s="234"/>
      <c r="H20242" s="238"/>
      <c r="I20242" s="237"/>
    </row>
    <row r="20243" spans="1:9" s="232" customFormat="1" ht="17" customHeight="1">
      <c r="A20243" s="234"/>
      <c r="B20243" s="233"/>
      <c r="C20243" s="238"/>
      <c r="E20243" s="545"/>
      <c r="F20243" s="546"/>
      <c r="G20243" s="234"/>
      <c r="H20243" s="238"/>
      <c r="I20243" s="237"/>
    </row>
    <row r="20244" spans="1:9" s="232" customFormat="1" ht="17" customHeight="1">
      <c r="A20244" s="234"/>
      <c r="B20244" s="233"/>
      <c r="C20244" s="238"/>
      <c r="E20244" s="545"/>
      <c r="F20244" s="546"/>
      <c r="G20244" s="234"/>
      <c r="H20244" s="238"/>
      <c r="I20244" s="237"/>
    </row>
    <row r="20245" spans="1:9" s="232" customFormat="1" ht="17" customHeight="1">
      <c r="A20245" s="234"/>
      <c r="B20245" s="233"/>
      <c r="C20245" s="238"/>
      <c r="E20245" s="545"/>
      <c r="F20245" s="546"/>
      <c r="G20245" s="234"/>
      <c r="H20245" s="238"/>
      <c r="I20245" s="237"/>
    </row>
    <row r="20246" spans="1:9" s="232" customFormat="1" ht="17" customHeight="1">
      <c r="A20246" s="234"/>
      <c r="B20246" s="233"/>
      <c r="C20246" s="238"/>
      <c r="E20246" s="545"/>
      <c r="F20246" s="546"/>
      <c r="G20246" s="234"/>
      <c r="H20246" s="238"/>
      <c r="I20246" s="237"/>
    </row>
    <row r="20247" spans="1:9" s="232" customFormat="1" ht="17" customHeight="1">
      <c r="A20247" s="234"/>
      <c r="B20247" s="233"/>
      <c r="C20247" s="238"/>
      <c r="E20247" s="545"/>
      <c r="F20247" s="546"/>
      <c r="G20247" s="234"/>
      <c r="H20247" s="238"/>
      <c r="I20247" s="237"/>
    </row>
    <row r="20248" spans="1:9" s="232" customFormat="1" ht="17" customHeight="1">
      <c r="A20248" s="234"/>
      <c r="B20248" s="233"/>
      <c r="C20248" s="238"/>
      <c r="E20248" s="545"/>
      <c r="F20248" s="546"/>
      <c r="G20248" s="234"/>
      <c r="H20248" s="238"/>
      <c r="I20248" s="237"/>
    </row>
    <row r="20249" spans="1:9" s="232" customFormat="1" ht="17" customHeight="1">
      <c r="A20249" s="234"/>
      <c r="B20249" s="233"/>
      <c r="C20249" s="238"/>
      <c r="E20249" s="545"/>
      <c r="F20249" s="546"/>
      <c r="G20249" s="234"/>
      <c r="H20249" s="238"/>
      <c r="I20249" s="237"/>
    </row>
    <row r="20250" spans="1:9" s="232" customFormat="1" ht="17" customHeight="1">
      <c r="A20250" s="234"/>
      <c r="B20250" s="233"/>
      <c r="C20250" s="238"/>
      <c r="E20250" s="545"/>
      <c r="F20250" s="546"/>
      <c r="G20250" s="234"/>
      <c r="H20250" s="238"/>
      <c r="I20250" s="237"/>
    </row>
    <row r="20251" spans="1:9" s="232" customFormat="1" ht="17" customHeight="1">
      <c r="A20251" s="234"/>
      <c r="B20251" s="233"/>
      <c r="C20251" s="238"/>
      <c r="E20251" s="545"/>
      <c r="F20251" s="546"/>
      <c r="G20251" s="234"/>
      <c r="H20251" s="238"/>
      <c r="I20251" s="237"/>
    </row>
    <row r="20252" spans="1:9" s="232" customFormat="1" ht="17" customHeight="1">
      <c r="A20252" s="234"/>
      <c r="B20252" s="233"/>
      <c r="C20252" s="238"/>
      <c r="E20252" s="545"/>
      <c r="F20252" s="546"/>
      <c r="G20252" s="234"/>
      <c r="H20252" s="238"/>
      <c r="I20252" s="237"/>
    </row>
    <row r="20253" spans="1:9" s="232" customFormat="1" ht="17" customHeight="1">
      <c r="A20253" s="234"/>
      <c r="B20253" s="233"/>
      <c r="C20253" s="238"/>
      <c r="E20253" s="545"/>
      <c r="F20253" s="546"/>
      <c r="G20253" s="234"/>
      <c r="H20253" s="238"/>
      <c r="I20253" s="237"/>
    </row>
    <row r="20254" spans="1:9" s="232" customFormat="1" ht="17" customHeight="1">
      <c r="A20254" s="234"/>
      <c r="B20254" s="233"/>
      <c r="C20254" s="238"/>
      <c r="E20254" s="545"/>
      <c r="F20254" s="546"/>
      <c r="G20254" s="234"/>
      <c r="H20254" s="238"/>
      <c r="I20254" s="237"/>
    </row>
    <row r="20255" spans="1:9" s="232" customFormat="1" ht="17" customHeight="1">
      <c r="A20255" s="234"/>
      <c r="B20255" s="233"/>
      <c r="C20255" s="238"/>
      <c r="E20255" s="545"/>
      <c r="F20255" s="546"/>
      <c r="G20255" s="234"/>
      <c r="H20255" s="238"/>
      <c r="I20255" s="237"/>
    </row>
    <row r="20256" spans="1:9" s="232" customFormat="1" ht="17" customHeight="1">
      <c r="A20256" s="234"/>
      <c r="B20256" s="233"/>
      <c r="C20256" s="238"/>
      <c r="E20256" s="545"/>
      <c r="F20256" s="546"/>
      <c r="G20256" s="234"/>
      <c r="H20256" s="238"/>
      <c r="I20256" s="237"/>
    </row>
    <row r="20257" spans="1:9" s="232" customFormat="1" ht="17" customHeight="1">
      <c r="A20257" s="234"/>
      <c r="B20257" s="233"/>
      <c r="C20257" s="238"/>
      <c r="E20257" s="545"/>
      <c r="F20257" s="546"/>
      <c r="G20257" s="234"/>
      <c r="H20257" s="238"/>
      <c r="I20257" s="237"/>
    </row>
    <row r="20258" spans="1:9" s="232" customFormat="1" ht="17" customHeight="1">
      <c r="A20258" s="234"/>
      <c r="B20258" s="233"/>
      <c r="C20258" s="238"/>
      <c r="E20258" s="545"/>
      <c r="F20258" s="546"/>
      <c r="G20258" s="234"/>
      <c r="H20258" s="238"/>
      <c r="I20258" s="237"/>
    </row>
    <row r="20259" spans="1:9" s="232" customFormat="1" ht="17" customHeight="1">
      <c r="A20259" s="234"/>
      <c r="B20259" s="233"/>
      <c r="C20259" s="238"/>
      <c r="E20259" s="545"/>
      <c r="F20259" s="546"/>
      <c r="G20259" s="234"/>
      <c r="H20259" s="238"/>
      <c r="I20259" s="237"/>
    </row>
    <row r="20260" spans="1:9" s="232" customFormat="1" ht="17" customHeight="1">
      <c r="A20260" s="234"/>
      <c r="B20260" s="233"/>
      <c r="C20260" s="238"/>
      <c r="E20260" s="545"/>
      <c r="F20260" s="546"/>
      <c r="G20260" s="234"/>
      <c r="H20260" s="238"/>
      <c r="I20260" s="237"/>
    </row>
    <row r="20261" spans="1:9" s="232" customFormat="1" ht="17" customHeight="1">
      <c r="A20261" s="234"/>
      <c r="B20261" s="233"/>
      <c r="C20261" s="238"/>
      <c r="E20261" s="545"/>
      <c r="F20261" s="546"/>
      <c r="G20261" s="234"/>
      <c r="H20261" s="238"/>
      <c r="I20261" s="237"/>
    </row>
    <row r="20262" spans="1:9" s="232" customFormat="1" ht="17" customHeight="1">
      <c r="A20262" s="234"/>
      <c r="B20262" s="233"/>
      <c r="C20262" s="238"/>
      <c r="E20262" s="545"/>
      <c r="F20262" s="546"/>
      <c r="G20262" s="234"/>
      <c r="H20262" s="238"/>
      <c r="I20262" s="237"/>
    </row>
    <row r="20263" spans="1:9" s="232" customFormat="1" ht="17" customHeight="1">
      <c r="A20263" s="234"/>
      <c r="B20263" s="233"/>
      <c r="C20263" s="238"/>
      <c r="E20263" s="545"/>
      <c r="F20263" s="546"/>
      <c r="G20263" s="234"/>
      <c r="H20263" s="238"/>
      <c r="I20263" s="237"/>
    </row>
    <row r="20264" spans="1:9" s="232" customFormat="1" ht="17" customHeight="1">
      <c r="A20264" s="234"/>
      <c r="B20264" s="233"/>
      <c r="C20264" s="238"/>
      <c r="E20264" s="545"/>
      <c r="F20264" s="546"/>
      <c r="G20264" s="234"/>
      <c r="H20264" s="238"/>
      <c r="I20264" s="237"/>
    </row>
    <row r="20265" spans="1:9" s="232" customFormat="1" ht="17" customHeight="1">
      <c r="A20265" s="234"/>
      <c r="B20265" s="233"/>
      <c r="C20265" s="238"/>
      <c r="E20265" s="545"/>
      <c r="F20265" s="546"/>
      <c r="G20265" s="234"/>
      <c r="H20265" s="238"/>
      <c r="I20265" s="237"/>
    </row>
    <row r="20266" spans="1:9" s="232" customFormat="1" ht="17" customHeight="1">
      <c r="A20266" s="234"/>
      <c r="B20266" s="233"/>
      <c r="C20266" s="238"/>
      <c r="E20266" s="545"/>
      <c r="F20266" s="546"/>
      <c r="G20266" s="234"/>
      <c r="H20266" s="238"/>
      <c r="I20266" s="237"/>
    </row>
    <row r="20267" spans="1:9" s="232" customFormat="1" ht="17" customHeight="1">
      <c r="A20267" s="234"/>
      <c r="B20267" s="233"/>
      <c r="C20267" s="238"/>
      <c r="E20267" s="545"/>
      <c r="F20267" s="546"/>
      <c r="G20267" s="234"/>
      <c r="H20267" s="238"/>
      <c r="I20267" s="237"/>
    </row>
    <row r="20268" spans="1:9" s="232" customFormat="1" ht="17" customHeight="1">
      <c r="A20268" s="234"/>
      <c r="B20268" s="233"/>
      <c r="C20268" s="238"/>
      <c r="E20268" s="545"/>
      <c r="F20268" s="546"/>
      <c r="G20268" s="234"/>
      <c r="H20268" s="238"/>
      <c r="I20268" s="237"/>
    </row>
    <row r="20269" spans="1:9" s="232" customFormat="1" ht="17" customHeight="1">
      <c r="A20269" s="234"/>
      <c r="B20269" s="233"/>
      <c r="C20269" s="238"/>
      <c r="E20269" s="545"/>
      <c r="F20269" s="546"/>
      <c r="G20269" s="234"/>
      <c r="H20269" s="238"/>
      <c r="I20269" s="237"/>
    </row>
    <row r="20270" spans="1:9" s="232" customFormat="1" ht="17" customHeight="1">
      <c r="A20270" s="234"/>
      <c r="B20270" s="233"/>
      <c r="C20270" s="238"/>
      <c r="E20270" s="545"/>
      <c r="F20270" s="546"/>
      <c r="G20270" s="234"/>
      <c r="H20270" s="238"/>
      <c r="I20270" s="237"/>
    </row>
    <row r="20271" spans="1:9" s="232" customFormat="1" ht="17" customHeight="1">
      <c r="A20271" s="234"/>
      <c r="B20271" s="233"/>
      <c r="C20271" s="238"/>
      <c r="E20271" s="545"/>
      <c r="F20271" s="546"/>
      <c r="G20271" s="234"/>
      <c r="H20271" s="238"/>
      <c r="I20271" s="237"/>
    </row>
    <row r="20272" spans="1:9" s="232" customFormat="1" ht="17" customHeight="1">
      <c r="A20272" s="234"/>
      <c r="B20272" s="233"/>
      <c r="C20272" s="238"/>
      <c r="E20272" s="545"/>
      <c r="F20272" s="546"/>
      <c r="G20272" s="234"/>
      <c r="H20272" s="238"/>
      <c r="I20272" s="237"/>
    </row>
    <row r="20273" spans="1:9" s="232" customFormat="1" ht="17" customHeight="1">
      <c r="A20273" s="234"/>
      <c r="B20273" s="233"/>
      <c r="C20273" s="238"/>
      <c r="E20273" s="545"/>
      <c r="F20273" s="546"/>
      <c r="G20273" s="234"/>
      <c r="H20273" s="238"/>
      <c r="I20273" s="237"/>
    </row>
    <row r="20274" spans="1:9" s="232" customFormat="1" ht="17" customHeight="1">
      <c r="A20274" s="234"/>
      <c r="B20274" s="233"/>
      <c r="C20274" s="238"/>
      <c r="E20274" s="545"/>
      <c r="F20274" s="546"/>
      <c r="G20274" s="234"/>
      <c r="H20274" s="238"/>
      <c r="I20274" s="237"/>
    </row>
    <row r="20275" spans="1:9" s="232" customFormat="1" ht="17" customHeight="1">
      <c r="A20275" s="234"/>
      <c r="B20275" s="233"/>
      <c r="C20275" s="238"/>
      <c r="E20275" s="545"/>
      <c r="F20275" s="546"/>
      <c r="G20275" s="234"/>
      <c r="H20275" s="238"/>
      <c r="I20275" s="237"/>
    </row>
    <row r="20276" spans="1:9" s="232" customFormat="1" ht="17" customHeight="1">
      <c r="A20276" s="234"/>
      <c r="B20276" s="233"/>
      <c r="C20276" s="238"/>
      <c r="E20276" s="545"/>
      <c r="F20276" s="546"/>
      <c r="G20276" s="234"/>
      <c r="H20276" s="238"/>
      <c r="I20276" s="237"/>
    </row>
    <row r="20277" spans="1:9" s="232" customFormat="1" ht="17" customHeight="1">
      <c r="A20277" s="234"/>
      <c r="B20277" s="233"/>
      <c r="C20277" s="238"/>
      <c r="E20277" s="545"/>
      <c r="F20277" s="546"/>
      <c r="G20277" s="234"/>
      <c r="H20277" s="238"/>
      <c r="I20277" s="237"/>
    </row>
    <row r="20278" spans="1:9" s="232" customFormat="1" ht="17" customHeight="1">
      <c r="A20278" s="234"/>
      <c r="B20278" s="233"/>
      <c r="C20278" s="238"/>
      <c r="E20278" s="545"/>
      <c r="F20278" s="546"/>
      <c r="G20278" s="234"/>
      <c r="H20278" s="238"/>
      <c r="I20278" s="237"/>
    </row>
    <row r="20279" spans="1:9" s="232" customFormat="1" ht="17" customHeight="1">
      <c r="A20279" s="234"/>
      <c r="B20279" s="233"/>
      <c r="C20279" s="238"/>
      <c r="E20279" s="545"/>
      <c r="F20279" s="546"/>
      <c r="G20279" s="234"/>
      <c r="H20279" s="238"/>
      <c r="I20279" s="237"/>
    </row>
    <row r="20280" spans="1:9" s="232" customFormat="1" ht="17" customHeight="1">
      <c r="A20280" s="234"/>
      <c r="B20280" s="233"/>
      <c r="C20280" s="238"/>
      <c r="E20280" s="545"/>
      <c r="F20280" s="546"/>
      <c r="G20280" s="234"/>
      <c r="H20280" s="238"/>
      <c r="I20280" s="237"/>
    </row>
    <row r="20281" spans="1:9" s="232" customFormat="1" ht="17" customHeight="1">
      <c r="A20281" s="234"/>
      <c r="B20281" s="233"/>
      <c r="C20281" s="238"/>
      <c r="E20281" s="545"/>
      <c r="F20281" s="546"/>
      <c r="G20281" s="234"/>
      <c r="H20281" s="238"/>
      <c r="I20281" s="237"/>
    </row>
    <row r="20282" spans="1:9" s="232" customFormat="1" ht="17" customHeight="1">
      <c r="A20282" s="234"/>
      <c r="B20282" s="233"/>
      <c r="C20282" s="238"/>
      <c r="E20282" s="545"/>
      <c r="F20282" s="546"/>
      <c r="G20282" s="234"/>
      <c r="H20282" s="238"/>
      <c r="I20282" s="237"/>
    </row>
    <row r="20283" spans="1:9" s="232" customFormat="1" ht="17" customHeight="1">
      <c r="A20283" s="234"/>
      <c r="B20283" s="233"/>
      <c r="C20283" s="238"/>
      <c r="E20283" s="545"/>
      <c r="F20283" s="546"/>
      <c r="G20283" s="234"/>
      <c r="H20283" s="238"/>
      <c r="I20283" s="237"/>
    </row>
    <row r="20284" spans="1:9" s="232" customFormat="1" ht="17" customHeight="1">
      <c r="A20284" s="234"/>
      <c r="B20284" s="233"/>
      <c r="C20284" s="238"/>
      <c r="E20284" s="545"/>
      <c r="F20284" s="546"/>
      <c r="G20284" s="234"/>
      <c r="H20284" s="238"/>
      <c r="I20284" s="237"/>
    </row>
    <row r="20285" spans="1:9" s="232" customFormat="1" ht="17" customHeight="1">
      <c r="A20285" s="234"/>
      <c r="B20285" s="233"/>
      <c r="C20285" s="238"/>
      <c r="E20285" s="545"/>
      <c r="F20285" s="546"/>
      <c r="G20285" s="234"/>
      <c r="H20285" s="238"/>
      <c r="I20285" s="237"/>
    </row>
    <row r="20286" spans="1:9" s="232" customFormat="1" ht="17" customHeight="1">
      <c r="A20286" s="234"/>
      <c r="B20286" s="233"/>
      <c r="C20286" s="238"/>
      <c r="E20286" s="545"/>
      <c r="F20286" s="546"/>
      <c r="G20286" s="234"/>
      <c r="H20286" s="238"/>
      <c r="I20286" s="237"/>
    </row>
    <row r="20287" spans="1:9" s="232" customFormat="1" ht="17" customHeight="1">
      <c r="A20287" s="234"/>
      <c r="B20287" s="233"/>
      <c r="C20287" s="238"/>
      <c r="E20287" s="545"/>
      <c r="F20287" s="546"/>
      <c r="G20287" s="234"/>
      <c r="H20287" s="238"/>
      <c r="I20287" s="237"/>
    </row>
    <row r="20288" spans="1:9" s="232" customFormat="1" ht="17" customHeight="1">
      <c r="A20288" s="234"/>
      <c r="B20288" s="233"/>
      <c r="C20288" s="238"/>
      <c r="E20288" s="545"/>
      <c r="F20288" s="546"/>
      <c r="G20288" s="234"/>
      <c r="H20288" s="238"/>
      <c r="I20288" s="237"/>
    </row>
    <row r="20289" spans="1:9" s="232" customFormat="1" ht="17" customHeight="1">
      <c r="A20289" s="234"/>
      <c r="B20289" s="233"/>
      <c r="C20289" s="238"/>
      <c r="E20289" s="545"/>
      <c r="F20289" s="546"/>
      <c r="G20289" s="234"/>
      <c r="H20289" s="238"/>
      <c r="I20289" s="237"/>
    </row>
    <row r="20290" spans="1:9" s="232" customFormat="1" ht="17" customHeight="1">
      <c r="A20290" s="234"/>
      <c r="B20290" s="233"/>
      <c r="C20290" s="238"/>
      <c r="E20290" s="545"/>
      <c r="F20290" s="546"/>
      <c r="G20290" s="234"/>
      <c r="H20290" s="238"/>
      <c r="I20290" s="237"/>
    </row>
    <row r="20291" spans="1:9" s="232" customFormat="1" ht="17" customHeight="1">
      <c r="A20291" s="234"/>
      <c r="B20291" s="233"/>
      <c r="C20291" s="238"/>
      <c r="E20291" s="545"/>
      <c r="F20291" s="546"/>
      <c r="G20291" s="234"/>
      <c r="H20291" s="238"/>
      <c r="I20291" s="237"/>
    </row>
    <row r="20292" spans="1:9" s="232" customFormat="1" ht="17" customHeight="1">
      <c r="A20292" s="234"/>
      <c r="B20292" s="233"/>
      <c r="C20292" s="238"/>
      <c r="E20292" s="545"/>
      <c r="F20292" s="546"/>
      <c r="G20292" s="234"/>
      <c r="H20292" s="238"/>
      <c r="I20292" s="237"/>
    </row>
    <row r="20293" spans="1:9" s="232" customFormat="1" ht="17" customHeight="1">
      <c r="A20293" s="234"/>
      <c r="B20293" s="233"/>
      <c r="C20293" s="238"/>
      <c r="E20293" s="545"/>
      <c r="F20293" s="546"/>
      <c r="G20293" s="234"/>
      <c r="H20293" s="238"/>
      <c r="I20293" s="237"/>
    </row>
    <row r="20294" spans="1:9" s="232" customFormat="1" ht="17" customHeight="1">
      <c r="A20294" s="234"/>
      <c r="B20294" s="233"/>
      <c r="C20294" s="238"/>
      <c r="E20294" s="545"/>
      <c r="F20294" s="546"/>
      <c r="G20294" s="234"/>
      <c r="H20294" s="238"/>
      <c r="I20294" s="237"/>
    </row>
    <row r="20295" spans="1:9" s="232" customFormat="1" ht="17" customHeight="1">
      <c r="A20295" s="234"/>
      <c r="B20295" s="233"/>
      <c r="C20295" s="238"/>
      <c r="E20295" s="545"/>
      <c r="F20295" s="546"/>
      <c r="G20295" s="234"/>
      <c r="H20295" s="238"/>
      <c r="I20295" s="237"/>
    </row>
    <row r="20296" spans="1:9" s="232" customFormat="1" ht="17" customHeight="1">
      <c r="A20296" s="234"/>
      <c r="B20296" s="233"/>
      <c r="C20296" s="238"/>
      <c r="E20296" s="545"/>
      <c r="F20296" s="546"/>
      <c r="G20296" s="234"/>
      <c r="H20296" s="238"/>
      <c r="I20296" s="237"/>
    </row>
    <row r="20297" spans="1:9" s="232" customFormat="1" ht="17" customHeight="1">
      <c r="A20297" s="234"/>
      <c r="B20297" s="233"/>
      <c r="C20297" s="238"/>
      <c r="E20297" s="545"/>
      <c r="F20297" s="546"/>
      <c r="G20297" s="234"/>
      <c r="H20297" s="238"/>
      <c r="I20297" s="237"/>
    </row>
    <row r="20298" spans="1:9" s="232" customFormat="1" ht="17" customHeight="1">
      <c r="A20298" s="234"/>
      <c r="B20298" s="233"/>
      <c r="C20298" s="238"/>
      <c r="E20298" s="545"/>
      <c r="F20298" s="546"/>
      <c r="G20298" s="234"/>
      <c r="H20298" s="238"/>
      <c r="I20298" s="237"/>
    </row>
    <row r="20299" spans="1:9" s="232" customFormat="1" ht="17" customHeight="1">
      <c r="A20299" s="234"/>
      <c r="B20299" s="233"/>
      <c r="C20299" s="238"/>
      <c r="E20299" s="545"/>
      <c r="F20299" s="546"/>
      <c r="G20299" s="234"/>
      <c r="H20299" s="238"/>
      <c r="I20299" s="237"/>
    </row>
    <row r="20300" spans="1:9" s="232" customFormat="1" ht="17" customHeight="1">
      <c r="A20300" s="234"/>
      <c r="B20300" s="233"/>
      <c r="C20300" s="238"/>
      <c r="E20300" s="545"/>
      <c r="F20300" s="546"/>
      <c r="G20300" s="234"/>
      <c r="H20300" s="238"/>
      <c r="I20300" s="237"/>
    </row>
    <row r="20301" spans="1:9" s="232" customFormat="1" ht="17" customHeight="1">
      <c r="A20301" s="234"/>
      <c r="B20301" s="233"/>
      <c r="C20301" s="238"/>
      <c r="E20301" s="545"/>
      <c r="F20301" s="546"/>
      <c r="G20301" s="234"/>
      <c r="H20301" s="238"/>
      <c r="I20301" s="237"/>
    </row>
    <row r="20302" spans="1:9" s="232" customFormat="1" ht="17" customHeight="1">
      <c r="A20302" s="234"/>
      <c r="B20302" s="233"/>
      <c r="C20302" s="238"/>
      <c r="E20302" s="545"/>
      <c r="F20302" s="546"/>
      <c r="G20302" s="234"/>
      <c r="H20302" s="238"/>
      <c r="I20302" s="237"/>
    </row>
    <row r="20303" spans="1:9" s="232" customFormat="1" ht="17" customHeight="1">
      <c r="A20303" s="234"/>
      <c r="B20303" s="233"/>
      <c r="C20303" s="238"/>
      <c r="E20303" s="545"/>
      <c r="F20303" s="546"/>
      <c r="G20303" s="234"/>
      <c r="H20303" s="238"/>
      <c r="I20303" s="237"/>
    </row>
    <row r="20304" spans="1:9" s="232" customFormat="1" ht="17" customHeight="1">
      <c r="A20304" s="234"/>
      <c r="B20304" s="233"/>
      <c r="C20304" s="238"/>
      <c r="E20304" s="545"/>
      <c r="F20304" s="546"/>
      <c r="G20304" s="234"/>
      <c r="H20304" s="238"/>
      <c r="I20304" s="237"/>
    </row>
    <row r="20305" spans="1:9" s="232" customFormat="1" ht="17" customHeight="1">
      <c r="A20305" s="234"/>
      <c r="B20305" s="233"/>
      <c r="C20305" s="238"/>
      <c r="E20305" s="545"/>
      <c r="F20305" s="546"/>
      <c r="G20305" s="234"/>
      <c r="H20305" s="238"/>
      <c r="I20305" s="237"/>
    </row>
    <row r="20306" spans="1:9" s="232" customFormat="1" ht="17" customHeight="1">
      <c r="A20306" s="234"/>
      <c r="B20306" s="233"/>
      <c r="C20306" s="238"/>
      <c r="E20306" s="545"/>
      <c r="F20306" s="546"/>
      <c r="G20306" s="234"/>
      <c r="H20306" s="238"/>
      <c r="I20306" s="237"/>
    </row>
    <row r="20307" spans="1:9" s="232" customFormat="1" ht="17" customHeight="1">
      <c r="A20307" s="234"/>
      <c r="B20307" s="233"/>
      <c r="C20307" s="238"/>
      <c r="E20307" s="545"/>
      <c r="F20307" s="546"/>
      <c r="G20307" s="234"/>
      <c r="H20307" s="238"/>
      <c r="I20307" s="237"/>
    </row>
    <row r="20308" spans="1:9" s="232" customFormat="1" ht="17" customHeight="1">
      <c r="A20308" s="234"/>
      <c r="B20308" s="233"/>
      <c r="C20308" s="238"/>
      <c r="E20308" s="545"/>
      <c r="F20308" s="546"/>
      <c r="G20308" s="234"/>
      <c r="H20308" s="238"/>
      <c r="I20308" s="237"/>
    </row>
    <row r="20309" spans="1:9" s="232" customFormat="1" ht="17" customHeight="1">
      <c r="A20309" s="234"/>
      <c r="B20309" s="233"/>
      <c r="C20309" s="238"/>
      <c r="E20309" s="545"/>
      <c r="F20309" s="546"/>
      <c r="G20309" s="234"/>
      <c r="H20309" s="238"/>
      <c r="I20309" s="237"/>
    </row>
    <row r="20310" spans="1:9" s="232" customFormat="1" ht="17" customHeight="1">
      <c r="A20310" s="234"/>
      <c r="B20310" s="233"/>
      <c r="C20310" s="238"/>
      <c r="E20310" s="545"/>
      <c r="F20310" s="546"/>
      <c r="G20310" s="234"/>
      <c r="H20310" s="238"/>
      <c r="I20310" s="237"/>
    </row>
    <row r="20311" spans="1:9" s="232" customFormat="1" ht="17" customHeight="1">
      <c r="A20311" s="234"/>
      <c r="B20311" s="233"/>
      <c r="C20311" s="238"/>
      <c r="E20311" s="545"/>
      <c r="F20311" s="546"/>
      <c r="G20311" s="234"/>
      <c r="H20311" s="238"/>
      <c r="I20311" s="237"/>
    </row>
    <row r="20312" spans="1:9" s="232" customFormat="1" ht="17" customHeight="1">
      <c r="A20312" s="234"/>
      <c r="B20312" s="233"/>
      <c r="C20312" s="238"/>
      <c r="E20312" s="545"/>
      <c r="F20312" s="546"/>
      <c r="G20312" s="234"/>
      <c r="H20312" s="238"/>
      <c r="I20312" s="237"/>
    </row>
    <row r="20313" spans="1:9" s="232" customFormat="1" ht="17" customHeight="1">
      <c r="A20313" s="234"/>
      <c r="B20313" s="233"/>
      <c r="C20313" s="238"/>
      <c r="E20313" s="545"/>
      <c r="F20313" s="546"/>
      <c r="G20313" s="234"/>
      <c r="H20313" s="238"/>
      <c r="I20313" s="237"/>
    </row>
    <row r="20314" spans="1:9" s="232" customFormat="1" ht="17" customHeight="1">
      <c r="A20314" s="234"/>
      <c r="B20314" s="233"/>
      <c r="C20314" s="238"/>
      <c r="E20314" s="545"/>
      <c r="F20314" s="546"/>
      <c r="G20314" s="234"/>
      <c r="H20314" s="238"/>
      <c r="I20314" s="237"/>
    </row>
    <row r="20315" spans="1:9" s="232" customFormat="1" ht="17" customHeight="1">
      <c r="A20315" s="234"/>
      <c r="B20315" s="233"/>
      <c r="C20315" s="238"/>
      <c r="E20315" s="545"/>
      <c r="F20315" s="546"/>
      <c r="G20315" s="234"/>
      <c r="H20315" s="238"/>
      <c r="I20315" s="237"/>
    </row>
    <row r="20316" spans="1:9" s="232" customFormat="1" ht="17" customHeight="1">
      <c r="A20316" s="234"/>
      <c r="B20316" s="233"/>
      <c r="C20316" s="238"/>
      <c r="E20316" s="545"/>
      <c r="F20316" s="546"/>
      <c r="G20316" s="234"/>
      <c r="H20316" s="238"/>
      <c r="I20316" s="237"/>
    </row>
    <row r="20317" spans="1:9" s="232" customFormat="1" ht="17" customHeight="1">
      <c r="A20317" s="234"/>
      <c r="B20317" s="233"/>
      <c r="C20317" s="238"/>
      <c r="E20317" s="545"/>
      <c r="F20317" s="546"/>
      <c r="G20317" s="234"/>
      <c r="H20317" s="238"/>
      <c r="I20317" s="237"/>
    </row>
    <row r="20318" spans="1:9" s="232" customFormat="1" ht="17" customHeight="1">
      <c r="A20318" s="234"/>
      <c r="B20318" s="233"/>
      <c r="C20318" s="238"/>
      <c r="E20318" s="545"/>
      <c r="F20318" s="546"/>
      <c r="G20318" s="234"/>
      <c r="H20318" s="238"/>
      <c r="I20318" s="237"/>
    </row>
    <row r="20319" spans="1:9" s="232" customFormat="1" ht="17" customHeight="1">
      <c r="A20319" s="234"/>
      <c r="B20319" s="233"/>
      <c r="C20319" s="238"/>
      <c r="E20319" s="545"/>
      <c r="F20319" s="546"/>
      <c r="G20319" s="234"/>
      <c r="H20319" s="238"/>
      <c r="I20319" s="237"/>
    </row>
    <row r="20320" spans="1:9" s="232" customFormat="1" ht="17" customHeight="1">
      <c r="A20320" s="234"/>
      <c r="B20320" s="233"/>
      <c r="C20320" s="238"/>
      <c r="E20320" s="545"/>
      <c r="F20320" s="546"/>
      <c r="G20320" s="234"/>
      <c r="H20320" s="238"/>
      <c r="I20320" s="237"/>
    </row>
    <row r="20321" spans="1:9" s="232" customFormat="1" ht="17" customHeight="1">
      <c r="A20321" s="234"/>
      <c r="B20321" s="233"/>
      <c r="C20321" s="238"/>
      <c r="E20321" s="545"/>
      <c r="F20321" s="546"/>
      <c r="G20321" s="234"/>
      <c r="H20321" s="238"/>
      <c r="I20321" s="237"/>
    </row>
    <row r="20322" spans="1:9" s="232" customFormat="1" ht="17" customHeight="1">
      <c r="A20322" s="234"/>
      <c r="B20322" s="233"/>
      <c r="C20322" s="238"/>
      <c r="E20322" s="545"/>
      <c r="F20322" s="546"/>
      <c r="G20322" s="234"/>
      <c r="H20322" s="238"/>
      <c r="I20322" s="237"/>
    </row>
    <row r="20323" spans="1:9" s="232" customFormat="1" ht="17" customHeight="1">
      <c r="A20323" s="234"/>
      <c r="B20323" s="233"/>
      <c r="C20323" s="238"/>
      <c r="E20323" s="545"/>
      <c r="F20323" s="546"/>
      <c r="G20323" s="234"/>
      <c r="H20323" s="238"/>
      <c r="I20323" s="237"/>
    </row>
    <row r="20324" spans="1:9" s="232" customFormat="1" ht="17" customHeight="1">
      <c r="A20324" s="234"/>
      <c r="B20324" s="233"/>
      <c r="C20324" s="238"/>
      <c r="E20324" s="545"/>
      <c r="F20324" s="546"/>
      <c r="G20324" s="234"/>
      <c r="H20324" s="238"/>
      <c r="I20324" s="237"/>
    </row>
    <row r="20325" spans="1:9" s="232" customFormat="1" ht="17" customHeight="1">
      <c r="A20325" s="234"/>
      <c r="B20325" s="233"/>
      <c r="C20325" s="238"/>
      <c r="E20325" s="545"/>
      <c r="F20325" s="546"/>
      <c r="G20325" s="234"/>
      <c r="H20325" s="238"/>
      <c r="I20325" s="237"/>
    </row>
    <row r="20326" spans="1:9" s="232" customFormat="1" ht="17" customHeight="1">
      <c r="A20326" s="234"/>
      <c r="B20326" s="233"/>
      <c r="C20326" s="238"/>
      <c r="E20326" s="545"/>
      <c r="F20326" s="546"/>
      <c r="G20326" s="234"/>
      <c r="H20326" s="238"/>
      <c r="I20326" s="237"/>
    </row>
    <row r="20327" spans="1:9" s="232" customFormat="1" ht="17" customHeight="1">
      <c r="A20327" s="234"/>
      <c r="B20327" s="233"/>
      <c r="C20327" s="238"/>
      <c r="E20327" s="545"/>
      <c r="F20327" s="546"/>
      <c r="G20327" s="234"/>
      <c r="H20327" s="238"/>
      <c r="I20327" s="237"/>
    </row>
    <row r="20328" spans="1:9" s="232" customFormat="1" ht="17" customHeight="1">
      <c r="A20328" s="234"/>
      <c r="B20328" s="233"/>
      <c r="C20328" s="238"/>
      <c r="E20328" s="545"/>
      <c r="F20328" s="546"/>
      <c r="G20328" s="234"/>
      <c r="H20328" s="238"/>
      <c r="I20328" s="237"/>
    </row>
    <row r="20329" spans="1:9" s="232" customFormat="1" ht="17" customHeight="1">
      <c r="A20329" s="234"/>
      <c r="B20329" s="233"/>
      <c r="C20329" s="238"/>
      <c r="E20329" s="545"/>
      <c r="F20329" s="546"/>
      <c r="G20329" s="234"/>
      <c r="H20329" s="238"/>
      <c r="I20329" s="237"/>
    </row>
    <row r="20330" spans="1:9" s="232" customFormat="1" ht="17" customHeight="1">
      <c r="A20330" s="234"/>
      <c r="B20330" s="233"/>
      <c r="C20330" s="238"/>
      <c r="E20330" s="545"/>
      <c r="F20330" s="546"/>
      <c r="G20330" s="234"/>
      <c r="H20330" s="238"/>
      <c r="I20330" s="237"/>
    </row>
    <row r="20331" spans="1:9" s="232" customFormat="1" ht="17" customHeight="1">
      <c r="A20331" s="234"/>
      <c r="B20331" s="233"/>
      <c r="C20331" s="238"/>
      <c r="E20331" s="545"/>
      <c r="F20331" s="546"/>
      <c r="G20331" s="234"/>
      <c r="H20331" s="238"/>
      <c r="I20331" s="237"/>
    </row>
    <row r="20332" spans="1:9" s="232" customFormat="1" ht="17" customHeight="1">
      <c r="A20332" s="234"/>
      <c r="B20332" s="233"/>
      <c r="C20332" s="238"/>
      <c r="E20332" s="545"/>
      <c r="F20332" s="546"/>
      <c r="G20332" s="234"/>
      <c r="H20332" s="238"/>
      <c r="I20332" s="237"/>
    </row>
    <row r="20333" spans="1:9" s="232" customFormat="1" ht="17" customHeight="1">
      <c r="A20333" s="234"/>
      <c r="B20333" s="233"/>
      <c r="C20333" s="238"/>
      <c r="E20333" s="545"/>
      <c r="F20333" s="546"/>
      <c r="G20333" s="234"/>
      <c r="H20333" s="238"/>
      <c r="I20333" s="237"/>
    </row>
    <row r="20334" spans="1:9" s="232" customFormat="1" ht="17" customHeight="1">
      <c r="A20334" s="234"/>
      <c r="B20334" s="233"/>
      <c r="C20334" s="238"/>
      <c r="E20334" s="545"/>
      <c r="F20334" s="546"/>
      <c r="G20334" s="234"/>
      <c r="H20334" s="238"/>
      <c r="I20334" s="237"/>
    </row>
    <row r="20335" spans="1:9" s="232" customFormat="1" ht="17" customHeight="1">
      <c r="A20335" s="234"/>
      <c r="B20335" s="233"/>
      <c r="C20335" s="238"/>
      <c r="E20335" s="545"/>
      <c r="F20335" s="546"/>
      <c r="G20335" s="234"/>
      <c r="H20335" s="238"/>
      <c r="I20335" s="237"/>
    </row>
    <row r="20336" spans="1:9" s="232" customFormat="1" ht="17" customHeight="1">
      <c r="A20336" s="234"/>
      <c r="B20336" s="233"/>
      <c r="C20336" s="238"/>
      <c r="E20336" s="545"/>
      <c r="F20336" s="546"/>
      <c r="G20336" s="234"/>
      <c r="H20336" s="238"/>
      <c r="I20336" s="237"/>
    </row>
    <row r="20337" spans="1:9" s="232" customFormat="1" ht="17" customHeight="1">
      <c r="A20337" s="234"/>
      <c r="B20337" s="233"/>
      <c r="C20337" s="238"/>
      <c r="E20337" s="545"/>
      <c r="F20337" s="546"/>
      <c r="G20337" s="234"/>
      <c r="H20337" s="238"/>
      <c r="I20337" s="237"/>
    </row>
    <row r="20338" spans="1:9" s="232" customFormat="1" ht="17" customHeight="1">
      <c r="A20338" s="234"/>
      <c r="B20338" s="233"/>
      <c r="C20338" s="238"/>
      <c r="E20338" s="545"/>
      <c r="F20338" s="546"/>
      <c r="G20338" s="234"/>
      <c r="H20338" s="238"/>
      <c r="I20338" s="237"/>
    </row>
    <row r="20339" spans="1:9" s="232" customFormat="1" ht="17" customHeight="1">
      <c r="A20339" s="234"/>
      <c r="B20339" s="233"/>
      <c r="C20339" s="238"/>
      <c r="E20339" s="545"/>
      <c r="F20339" s="546"/>
      <c r="G20339" s="234"/>
      <c r="H20339" s="238"/>
      <c r="I20339" s="237"/>
    </row>
    <row r="20340" spans="1:9" s="232" customFormat="1" ht="17" customHeight="1">
      <c r="A20340" s="234"/>
      <c r="B20340" s="233"/>
      <c r="C20340" s="238"/>
      <c r="E20340" s="545"/>
      <c r="F20340" s="546"/>
      <c r="G20340" s="234"/>
      <c r="H20340" s="238"/>
      <c r="I20340" s="237"/>
    </row>
    <row r="20341" spans="1:9" s="232" customFormat="1" ht="17" customHeight="1">
      <c r="A20341" s="234"/>
      <c r="B20341" s="233"/>
      <c r="C20341" s="238"/>
      <c r="E20341" s="545"/>
      <c r="F20341" s="546"/>
      <c r="G20341" s="234"/>
      <c r="H20341" s="238"/>
      <c r="I20341" s="237"/>
    </row>
    <row r="20342" spans="1:9" s="232" customFormat="1" ht="17" customHeight="1">
      <c r="A20342" s="234"/>
      <c r="B20342" s="233"/>
      <c r="C20342" s="238"/>
      <c r="E20342" s="545"/>
      <c r="F20342" s="546"/>
      <c r="G20342" s="234"/>
      <c r="H20342" s="238"/>
      <c r="I20342" s="237"/>
    </row>
    <row r="20343" spans="1:9" s="232" customFormat="1" ht="17" customHeight="1">
      <c r="A20343" s="234"/>
      <c r="B20343" s="233"/>
      <c r="C20343" s="238"/>
      <c r="E20343" s="545"/>
      <c r="F20343" s="546"/>
      <c r="G20343" s="234"/>
      <c r="H20343" s="238"/>
      <c r="I20343" s="237"/>
    </row>
    <row r="20344" spans="1:9" s="232" customFormat="1" ht="17" customHeight="1">
      <c r="A20344" s="234"/>
      <c r="B20344" s="233"/>
      <c r="C20344" s="238"/>
      <c r="E20344" s="545"/>
      <c r="F20344" s="546"/>
      <c r="G20344" s="234"/>
      <c r="H20344" s="238"/>
      <c r="I20344" s="237"/>
    </row>
    <row r="20345" spans="1:9" s="232" customFormat="1" ht="17" customHeight="1">
      <c r="A20345" s="234"/>
      <c r="B20345" s="233"/>
      <c r="C20345" s="238"/>
      <c r="E20345" s="545"/>
      <c r="F20345" s="546"/>
      <c r="G20345" s="234"/>
      <c r="H20345" s="238"/>
      <c r="I20345" s="237"/>
    </row>
    <row r="20346" spans="1:9" s="232" customFormat="1" ht="17" customHeight="1">
      <c r="A20346" s="234"/>
      <c r="B20346" s="233"/>
      <c r="C20346" s="238"/>
      <c r="E20346" s="545"/>
      <c r="F20346" s="546"/>
      <c r="G20346" s="234"/>
      <c r="H20346" s="238"/>
      <c r="I20346" s="237"/>
    </row>
    <row r="20347" spans="1:9" s="232" customFormat="1" ht="17" customHeight="1">
      <c r="A20347" s="234"/>
      <c r="B20347" s="233"/>
      <c r="C20347" s="238"/>
      <c r="E20347" s="545"/>
      <c r="F20347" s="546"/>
      <c r="G20347" s="234"/>
      <c r="H20347" s="238"/>
      <c r="I20347" s="237"/>
    </row>
    <row r="20348" spans="1:9" s="232" customFormat="1" ht="17" customHeight="1">
      <c r="A20348" s="234"/>
      <c r="B20348" s="233"/>
      <c r="C20348" s="238"/>
      <c r="E20348" s="545"/>
      <c r="F20348" s="546"/>
      <c r="G20348" s="234"/>
      <c r="H20348" s="238"/>
      <c r="I20348" s="237"/>
    </row>
    <row r="20349" spans="1:9" s="232" customFormat="1" ht="17" customHeight="1">
      <c r="A20349" s="234"/>
      <c r="B20349" s="233"/>
      <c r="C20349" s="238"/>
      <c r="E20349" s="545"/>
      <c r="F20349" s="546"/>
      <c r="G20349" s="234"/>
      <c r="H20349" s="238"/>
      <c r="I20349" s="237"/>
    </row>
    <row r="20350" spans="1:9" s="232" customFormat="1" ht="17" customHeight="1">
      <c r="A20350" s="234"/>
      <c r="B20350" s="233"/>
      <c r="C20350" s="238"/>
      <c r="E20350" s="545"/>
      <c r="F20350" s="546"/>
      <c r="G20350" s="234"/>
      <c r="H20350" s="238"/>
      <c r="I20350" s="237"/>
    </row>
    <row r="20351" spans="1:9" s="232" customFormat="1" ht="17" customHeight="1">
      <c r="A20351" s="234"/>
      <c r="B20351" s="233"/>
      <c r="C20351" s="238"/>
      <c r="E20351" s="545"/>
      <c r="F20351" s="546"/>
      <c r="G20351" s="234"/>
      <c r="H20351" s="238"/>
      <c r="I20351" s="237"/>
    </row>
    <row r="20352" spans="1:9" s="232" customFormat="1" ht="17" customHeight="1">
      <c r="A20352" s="234"/>
      <c r="B20352" s="233"/>
      <c r="C20352" s="238"/>
      <c r="E20352" s="545"/>
      <c r="F20352" s="546"/>
      <c r="G20352" s="234"/>
      <c r="H20352" s="238"/>
      <c r="I20352" s="237"/>
    </row>
    <row r="20353" spans="1:9" s="232" customFormat="1" ht="17" customHeight="1">
      <c r="A20353" s="234"/>
      <c r="B20353" s="233"/>
      <c r="C20353" s="238"/>
      <c r="E20353" s="545"/>
      <c r="F20353" s="546"/>
      <c r="G20353" s="234"/>
      <c r="H20353" s="238"/>
      <c r="I20353" s="237"/>
    </row>
    <row r="20354" spans="1:9" s="232" customFormat="1" ht="17" customHeight="1">
      <c r="A20354" s="234"/>
      <c r="B20354" s="233"/>
      <c r="C20354" s="238"/>
      <c r="E20354" s="545"/>
      <c r="F20354" s="546"/>
      <c r="G20354" s="234"/>
      <c r="H20354" s="238"/>
      <c r="I20354" s="237"/>
    </row>
    <row r="20355" spans="1:9" s="232" customFormat="1" ht="17" customHeight="1">
      <c r="A20355" s="234"/>
      <c r="B20355" s="233"/>
      <c r="C20355" s="238"/>
      <c r="E20355" s="545"/>
      <c r="F20355" s="546"/>
      <c r="G20355" s="234"/>
      <c r="H20355" s="238"/>
      <c r="I20355" s="237"/>
    </row>
    <row r="20356" spans="1:9" s="232" customFormat="1" ht="17" customHeight="1">
      <c r="A20356" s="234"/>
      <c r="B20356" s="233"/>
      <c r="C20356" s="238"/>
      <c r="E20356" s="545"/>
      <c r="F20356" s="546"/>
      <c r="G20356" s="234"/>
      <c r="H20356" s="238"/>
      <c r="I20356" s="237"/>
    </row>
    <row r="20357" spans="1:9" s="232" customFormat="1" ht="17" customHeight="1">
      <c r="A20357" s="234"/>
      <c r="B20357" s="233"/>
      <c r="C20357" s="238"/>
      <c r="E20357" s="545"/>
      <c r="F20357" s="546"/>
      <c r="G20357" s="234"/>
      <c r="H20357" s="238"/>
      <c r="I20357" s="237"/>
    </row>
    <row r="20358" spans="1:9" s="232" customFormat="1" ht="17" customHeight="1">
      <c r="A20358" s="234"/>
      <c r="B20358" s="233"/>
      <c r="C20358" s="238"/>
      <c r="E20358" s="545"/>
      <c r="F20358" s="546"/>
      <c r="G20358" s="234"/>
      <c r="H20358" s="238"/>
      <c r="I20358" s="237"/>
    </row>
    <row r="20359" spans="1:9" s="232" customFormat="1" ht="17" customHeight="1">
      <c r="A20359" s="234"/>
      <c r="B20359" s="233"/>
      <c r="C20359" s="238"/>
      <c r="E20359" s="545"/>
      <c r="F20359" s="546"/>
      <c r="G20359" s="234"/>
      <c r="H20359" s="238"/>
      <c r="I20359" s="237"/>
    </row>
    <row r="20360" spans="1:9" s="232" customFormat="1" ht="17" customHeight="1">
      <c r="A20360" s="234"/>
      <c r="B20360" s="233"/>
      <c r="C20360" s="238"/>
      <c r="E20360" s="545"/>
      <c r="F20360" s="546"/>
      <c r="G20360" s="234"/>
      <c r="H20360" s="238"/>
      <c r="I20360" s="237"/>
    </row>
    <row r="20361" spans="1:9" s="232" customFormat="1" ht="17" customHeight="1">
      <c r="A20361" s="234"/>
      <c r="B20361" s="233"/>
      <c r="C20361" s="238"/>
      <c r="E20361" s="545"/>
      <c r="F20361" s="546"/>
      <c r="G20361" s="234"/>
      <c r="H20361" s="238"/>
      <c r="I20361" s="237"/>
    </row>
    <row r="20362" spans="1:9" s="232" customFormat="1" ht="17" customHeight="1">
      <c r="A20362" s="234"/>
      <c r="B20362" s="233"/>
      <c r="C20362" s="238"/>
      <c r="E20362" s="545"/>
      <c r="F20362" s="546"/>
      <c r="G20362" s="234"/>
      <c r="H20362" s="238"/>
      <c r="I20362" s="237"/>
    </row>
    <row r="20363" spans="1:9" s="232" customFormat="1" ht="17" customHeight="1">
      <c r="A20363" s="234"/>
      <c r="B20363" s="233"/>
      <c r="C20363" s="238"/>
      <c r="E20363" s="545"/>
      <c r="F20363" s="546"/>
      <c r="G20363" s="234"/>
      <c r="H20363" s="238"/>
      <c r="I20363" s="237"/>
    </row>
    <row r="20364" spans="1:9" s="232" customFormat="1" ht="17" customHeight="1">
      <c r="A20364" s="234"/>
      <c r="B20364" s="233"/>
      <c r="C20364" s="238"/>
      <c r="E20364" s="545"/>
      <c r="F20364" s="546"/>
      <c r="G20364" s="234"/>
      <c r="H20364" s="238"/>
      <c r="I20364" s="237"/>
    </row>
    <row r="20365" spans="1:9" s="232" customFormat="1" ht="17" customHeight="1">
      <c r="A20365" s="234"/>
      <c r="B20365" s="233"/>
      <c r="C20365" s="238"/>
      <c r="E20365" s="545"/>
      <c r="F20365" s="546"/>
      <c r="G20365" s="234"/>
      <c r="H20365" s="238"/>
      <c r="I20365" s="237"/>
    </row>
    <row r="20366" spans="1:9" s="232" customFormat="1" ht="17" customHeight="1">
      <c r="A20366" s="234"/>
      <c r="B20366" s="233"/>
      <c r="C20366" s="238"/>
      <c r="E20366" s="545"/>
      <c r="F20366" s="546"/>
      <c r="G20366" s="234"/>
      <c r="H20366" s="238"/>
      <c r="I20366" s="237"/>
    </row>
    <row r="20367" spans="1:9" s="232" customFormat="1" ht="17" customHeight="1">
      <c r="A20367" s="234"/>
      <c r="B20367" s="233"/>
      <c r="C20367" s="238"/>
      <c r="E20367" s="545"/>
      <c r="F20367" s="546"/>
      <c r="G20367" s="234"/>
      <c r="H20367" s="238"/>
      <c r="I20367" s="237"/>
    </row>
    <row r="20368" spans="1:9" s="232" customFormat="1" ht="17" customHeight="1">
      <c r="A20368" s="234"/>
      <c r="B20368" s="233"/>
      <c r="C20368" s="238"/>
      <c r="E20368" s="545"/>
      <c r="F20368" s="546"/>
      <c r="G20368" s="234"/>
      <c r="H20368" s="238"/>
      <c r="I20368" s="237"/>
    </row>
    <row r="20369" spans="1:9" s="232" customFormat="1" ht="17" customHeight="1">
      <c r="A20369" s="234"/>
      <c r="B20369" s="233"/>
      <c r="C20369" s="238"/>
      <c r="E20369" s="545"/>
      <c r="F20369" s="546"/>
      <c r="G20369" s="234"/>
      <c r="H20369" s="238"/>
      <c r="I20369" s="237"/>
    </row>
    <row r="20370" spans="1:9" s="232" customFormat="1" ht="17" customHeight="1">
      <c r="A20370" s="234"/>
      <c r="B20370" s="233"/>
      <c r="C20370" s="238"/>
      <c r="E20370" s="545"/>
      <c r="F20370" s="546"/>
      <c r="G20370" s="234"/>
      <c r="H20370" s="238"/>
      <c r="I20370" s="237"/>
    </row>
    <row r="20371" spans="1:9" s="232" customFormat="1" ht="17" customHeight="1">
      <c r="A20371" s="234"/>
      <c r="B20371" s="233"/>
      <c r="C20371" s="238"/>
      <c r="E20371" s="545"/>
      <c r="F20371" s="546"/>
      <c r="G20371" s="234"/>
      <c r="H20371" s="238"/>
      <c r="I20371" s="237"/>
    </row>
    <row r="20372" spans="1:9" s="232" customFormat="1" ht="17" customHeight="1">
      <c r="A20372" s="234"/>
      <c r="B20372" s="233"/>
      <c r="C20372" s="238"/>
      <c r="E20372" s="545"/>
      <c r="F20372" s="546"/>
      <c r="G20372" s="234"/>
      <c r="H20372" s="238"/>
      <c r="I20372" s="237"/>
    </row>
    <row r="20373" spans="1:9" s="232" customFormat="1" ht="17" customHeight="1">
      <c r="A20373" s="234"/>
      <c r="B20373" s="233"/>
      <c r="C20373" s="238"/>
      <c r="E20373" s="545"/>
      <c r="F20373" s="546"/>
      <c r="G20373" s="234"/>
      <c r="H20373" s="238"/>
      <c r="I20373" s="237"/>
    </row>
    <row r="20374" spans="1:9" s="232" customFormat="1" ht="17" customHeight="1">
      <c r="A20374" s="234"/>
      <c r="B20374" s="233"/>
      <c r="C20374" s="238"/>
      <c r="E20374" s="545"/>
      <c r="F20374" s="546"/>
      <c r="G20374" s="234"/>
      <c r="H20374" s="238"/>
      <c r="I20374" s="237"/>
    </row>
    <row r="20375" spans="1:9" s="232" customFormat="1" ht="17" customHeight="1">
      <c r="A20375" s="234"/>
      <c r="B20375" s="233"/>
      <c r="C20375" s="238"/>
      <c r="E20375" s="545"/>
      <c r="F20375" s="546"/>
      <c r="G20375" s="234"/>
      <c r="H20375" s="238"/>
      <c r="I20375" s="237"/>
    </row>
    <row r="20376" spans="1:9" s="232" customFormat="1" ht="17" customHeight="1">
      <c r="A20376" s="234"/>
      <c r="B20376" s="233"/>
      <c r="C20376" s="238"/>
      <c r="E20376" s="545"/>
      <c r="F20376" s="546"/>
      <c r="G20376" s="234"/>
      <c r="H20376" s="238"/>
      <c r="I20376" s="237"/>
    </row>
    <row r="20377" spans="1:9" s="232" customFormat="1" ht="17" customHeight="1">
      <c r="A20377" s="234"/>
      <c r="B20377" s="233"/>
      <c r="C20377" s="238"/>
      <c r="E20377" s="545"/>
      <c r="F20377" s="546"/>
      <c r="G20377" s="234"/>
      <c r="H20377" s="238"/>
      <c r="I20377" s="237"/>
    </row>
    <row r="20378" spans="1:9" s="232" customFormat="1" ht="17" customHeight="1">
      <c r="A20378" s="234"/>
      <c r="B20378" s="233"/>
      <c r="C20378" s="238"/>
      <c r="E20378" s="545"/>
      <c r="F20378" s="546"/>
      <c r="G20378" s="234"/>
      <c r="H20378" s="238"/>
      <c r="I20378" s="237"/>
    </row>
    <row r="20379" spans="1:9" s="232" customFormat="1" ht="17" customHeight="1">
      <c r="A20379" s="234"/>
      <c r="B20379" s="233"/>
      <c r="C20379" s="238"/>
      <c r="E20379" s="545"/>
      <c r="F20379" s="546"/>
      <c r="G20379" s="234"/>
      <c r="H20379" s="238"/>
      <c r="I20379" s="237"/>
    </row>
    <row r="20380" spans="1:9" s="232" customFormat="1" ht="17" customHeight="1">
      <c r="A20380" s="234"/>
      <c r="B20380" s="233"/>
      <c r="C20380" s="238"/>
      <c r="E20380" s="545"/>
      <c r="F20380" s="546"/>
      <c r="G20380" s="234"/>
      <c r="H20380" s="238"/>
      <c r="I20380" s="237"/>
    </row>
    <row r="20381" spans="1:9" s="232" customFormat="1" ht="17" customHeight="1">
      <c r="A20381" s="234"/>
      <c r="B20381" s="233"/>
      <c r="C20381" s="238"/>
      <c r="E20381" s="545"/>
      <c r="F20381" s="546"/>
      <c r="G20381" s="234"/>
      <c r="H20381" s="238"/>
      <c r="I20381" s="237"/>
    </row>
    <row r="20382" spans="1:9" s="232" customFormat="1" ht="17" customHeight="1">
      <c r="A20382" s="234"/>
      <c r="B20382" s="233"/>
      <c r="C20382" s="238"/>
      <c r="E20382" s="545"/>
      <c r="F20382" s="546"/>
      <c r="G20382" s="234"/>
      <c r="H20382" s="238"/>
      <c r="I20382" s="237"/>
    </row>
    <row r="20383" spans="1:9" s="232" customFormat="1" ht="17" customHeight="1">
      <c r="A20383" s="234"/>
      <c r="B20383" s="233"/>
      <c r="C20383" s="238"/>
      <c r="E20383" s="545"/>
      <c r="F20383" s="546"/>
      <c r="G20383" s="234"/>
      <c r="H20383" s="238"/>
      <c r="I20383" s="237"/>
    </row>
    <row r="20384" spans="1:9" s="232" customFormat="1" ht="17" customHeight="1">
      <c r="A20384" s="234"/>
      <c r="B20384" s="233"/>
      <c r="C20384" s="238"/>
      <c r="E20384" s="545"/>
      <c r="F20384" s="546"/>
      <c r="G20384" s="234"/>
      <c r="H20384" s="238"/>
      <c r="I20384" s="237"/>
    </row>
    <row r="20385" spans="1:9" s="232" customFormat="1" ht="17" customHeight="1">
      <c r="A20385" s="234"/>
      <c r="B20385" s="233"/>
      <c r="C20385" s="238"/>
      <c r="E20385" s="545"/>
      <c r="F20385" s="546"/>
      <c r="G20385" s="234"/>
      <c r="H20385" s="238"/>
      <c r="I20385" s="237"/>
    </row>
    <row r="20386" spans="1:9" s="232" customFormat="1" ht="17" customHeight="1">
      <c r="A20386" s="234"/>
      <c r="B20386" s="233"/>
      <c r="C20386" s="238"/>
      <c r="E20386" s="545"/>
      <c r="F20386" s="546"/>
      <c r="G20386" s="234"/>
      <c r="H20386" s="238"/>
      <c r="I20386" s="237"/>
    </row>
    <row r="20387" spans="1:9" s="232" customFormat="1" ht="17" customHeight="1">
      <c r="A20387" s="234"/>
      <c r="B20387" s="233"/>
      <c r="C20387" s="238"/>
      <c r="E20387" s="545"/>
      <c r="F20387" s="546"/>
      <c r="G20387" s="234"/>
      <c r="H20387" s="238"/>
      <c r="I20387" s="237"/>
    </row>
    <row r="20388" spans="1:9" s="232" customFormat="1" ht="17" customHeight="1">
      <c r="A20388" s="234"/>
      <c r="B20388" s="233"/>
      <c r="C20388" s="238"/>
      <c r="E20388" s="545"/>
      <c r="F20388" s="546"/>
      <c r="G20388" s="234"/>
      <c r="H20388" s="238"/>
      <c r="I20388" s="237"/>
    </row>
    <row r="20389" spans="1:9" s="232" customFormat="1" ht="17" customHeight="1">
      <c r="A20389" s="234"/>
      <c r="B20389" s="233"/>
      <c r="C20389" s="238"/>
      <c r="E20389" s="545"/>
      <c r="F20389" s="546"/>
      <c r="G20389" s="234"/>
      <c r="H20389" s="238"/>
      <c r="I20389" s="237"/>
    </row>
    <row r="20390" spans="1:9" s="232" customFormat="1" ht="17" customHeight="1">
      <c r="A20390" s="234"/>
      <c r="B20390" s="233"/>
      <c r="C20390" s="238"/>
      <c r="E20390" s="545"/>
      <c r="F20390" s="546"/>
      <c r="G20390" s="234"/>
      <c r="H20390" s="238"/>
      <c r="I20390" s="237"/>
    </row>
    <row r="20391" spans="1:9" s="232" customFormat="1" ht="17" customHeight="1">
      <c r="A20391" s="234"/>
      <c r="B20391" s="233"/>
      <c r="C20391" s="238"/>
      <c r="E20391" s="545"/>
      <c r="F20391" s="546"/>
      <c r="G20391" s="234"/>
      <c r="H20391" s="238"/>
      <c r="I20391" s="237"/>
    </row>
    <row r="20392" spans="1:9" s="232" customFormat="1" ht="17" customHeight="1">
      <c r="A20392" s="234"/>
      <c r="B20392" s="233"/>
      <c r="C20392" s="238"/>
      <c r="E20392" s="545"/>
      <c r="F20392" s="546"/>
      <c r="G20392" s="234"/>
      <c r="H20392" s="238"/>
      <c r="I20392" s="237"/>
    </row>
    <row r="20393" spans="1:9" s="232" customFormat="1" ht="17" customHeight="1">
      <c r="A20393" s="234"/>
      <c r="B20393" s="233"/>
      <c r="C20393" s="238"/>
      <c r="E20393" s="545"/>
      <c r="F20393" s="546"/>
      <c r="G20393" s="234"/>
      <c r="H20393" s="238"/>
      <c r="I20393" s="237"/>
    </row>
    <row r="20394" spans="1:9" s="232" customFormat="1" ht="17" customHeight="1">
      <c r="A20394" s="234"/>
      <c r="B20394" s="233"/>
      <c r="C20394" s="238"/>
      <c r="E20394" s="545"/>
      <c r="F20394" s="546"/>
      <c r="G20394" s="234"/>
      <c r="H20394" s="238"/>
      <c r="I20394" s="237"/>
    </row>
    <row r="20395" spans="1:9" s="232" customFormat="1" ht="17" customHeight="1">
      <c r="A20395" s="234"/>
      <c r="B20395" s="233"/>
      <c r="C20395" s="238"/>
      <c r="E20395" s="545"/>
      <c r="F20395" s="546"/>
      <c r="G20395" s="234"/>
      <c r="H20395" s="238"/>
      <c r="I20395" s="237"/>
    </row>
    <row r="20396" spans="1:9" s="232" customFormat="1" ht="17" customHeight="1">
      <c r="A20396" s="234"/>
      <c r="B20396" s="233"/>
      <c r="C20396" s="238"/>
      <c r="E20396" s="545"/>
      <c r="F20396" s="546"/>
      <c r="G20396" s="234"/>
      <c r="H20396" s="238"/>
      <c r="I20396" s="237"/>
    </row>
    <row r="20397" spans="1:9" s="232" customFormat="1" ht="17" customHeight="1">
      <c r="A20397" s="234"/>
      <c r="B20397" s="233"/>
      <c r="C20397" s="238"/>
      <c r="E20397" s="545"/>
      <c r="F20397" s="546"/>
      <c r="G20397" s="234"/>
      <c r="H20397" s="238"/>
      <c r="I20397" s="237"/>
    </row>
    <row r="20398" spans="1:9" s="232" customFormat="1" ht="17" customHeight="1">
      <c r="A20398" s="234"/>
      <c r="B20398" s="233"/>
      <c r="C20398" s="238"/>
      <c r="E20398" s="545"/>
      <c r="F20398" s="546"/>
      <c r="G20398" s="234"/>
      <c r="H20398" s="238"/>
      <c r="I20398" s="237"/>
    </row>
    <row r="20399" spans="1:9" s="232" customFormat="1" ht="17" customHeight="1">
      <c r="A20399" s="234"/>
      <c r="B20399" s="233"/>
      <c r="C20399" s="238"/>
      <c r="E20399" s="545"/>
      <c r="F20399" s="546"/>
      <c r="G20399" s="234"/>
      <c r="H20399" s="238"/>
      <c r="I20399" s="237"/>
    </row>
    <row r="20400" spans="1:9" s="232" customFormat="1" ht="17" customHeight="1">
      <c r="A20400" s="234"/>
      <c r="B20400" s="233"/>
      <c r="C20400" s="238"/>
      <c r="E20400" s="545"/>
      <c r="F20400" s="546"/>
      <c r="G20400" s="234"/>
      <c r="H20400" s="238"/>
      <c r="I20400" s="237"/>
    </row>
    <row r="20401" spans="1:9" s="232" customFormat="1" ht="17" customHeight="1">
      <c r="A20401" s="234"/>
      <c r="B20401" s="233"/>
      <c r="C20401" s="238"/>
      <c r="E20401" s="545"/>
      <c r="F20401" s="546"/>
      <c r="G20401" s="234"/>
      <c r="H20401" s="238"/>
      <c r="I20401" s="237"/>
    </row>
    <row r="20402" spans="1:9" s="232" customFormat="1" ht="17" customHeight="1">
      <c r="A20402" s="234"/>
      <c r="B20402" s="233"/>
      <c r="C20402" s="238"/>
      <c r="E20402" s="545"/>
      <c r="F20402" s="546"/>
      <c r="G20402" s="234"/>
      <c r="H20402" s="238"/>
      <c r="I20402" s="237"/>
    </row>
    <row r="20403" spans="1:9" s="232" customFormat="1" ht="17" customHeight="1">
      <c r="A20403" s="234"/>
      <c r="B20403" s="233"/>
      <c r="C20403" s="238"/>
      <c r="E20403" s="545"/>
      <c r="F20403" s="546"/>
      <c r="G20403" s="234"/>
      <c r="H20403" s="238"/>
      <c r="I20403" s="237"/>
    </row>
    <row r="20404" spans="1:9" s="232" customFormat="1" ht="17" customHeight="1">
      <c r="A20404" s="234"/>
      <c r="B20404" s="233"/>
      <c r="C20404" s="238"/>
      <c r="E20404" s="545"/>
      <c r="F20404" s="546"/>
      <c r="G20404" s="234"/>
      <c r="H20404" s="238"/>
      <c r="I20404" s="237"/>
    </row>
    <row r="20405" spans="1:9" s="232" customFormat="1" ht="17" customHeight="1">
      <c r="A20405" s="234"/>
      <c r="B20405" s="233"/>
      <c r="C20405" s="238"/>
      <c r="E20405" s="545"/>
      <c r="F20405" s="546"/>
      <c r="G20405" s="234"/>
      <c r="H20405" s="238"/>
      <c r="I20405" s="237"/>
    </row>
    <row r="20406" spans="1:9" s="232" customFormat="1" ht="17" customHeight="1">
      <c r="A20406" s="234"/>
      <c r="B20406" s="233"/>
      <c r="C20406" s="238"/>
      <c r="E20406" s="545"/>
      <c r="F20406" s="546"/>
      <c r="G20406" s="234"/>
      <c r="H20406" s="238"/>
      <c r="I20406" s="237"/>
    </row>
    <row r="20407" spans="1:9" s="232" customFormat="1" ht="17" customHeight="1">
      <c r="A20407" s="234"/>
      <c r="B20407" s="233"/>
      <c r="C20407" s="238"/>
      <c r="E20407" s="545"/>
      <c r="F20407" s="546"/>
      <c r="G20407" s="234"/>
      <c r="H20407" s="238"/>
      <c r="I20407" s="237"/>
    </row>
    <row r="20408" spans="1:9" s="232" customFormat="1" ht="17" customHeight="1">
      <c r="A20408" s="234"/>
      <c r="B20408" s="233"/>
      <c r="C20408" s="238"/>
      <c r="E20408" s="545"/>
      <c r="F20408" s="546"/>
      <c r="G20408" s="234"/>
      <c r="H20408" s="238"/>
      <c r="I20408" s="237"/>
    </row>
    <row r="20409" spans="1:9" s="232" customFormat="1" ht="17" customHeight="1">
      <c r="A20409" s="234"/>
      <c r="B20409" s="233"/>
      <c r="C20409" s="238"/>
      <c r="E20409" s="545"/>
      <c r="F20409" s="546"/>
      <c r="G20409" s="234"/>
      <c r="H20409" s="238"/>
      <c r="I20409" s="237"/>
    </row>
    <row r="20410" spans="1:9" s="232" customFormat="1" ht="17" customHeight="1">
      <c r="A20410" s="234"/>
      <c r="B20410" s="233"/>
      <c r="C20410" s="238"/>
      <c r="E20410" s="545"/>
      <c r="F20410" s="546"/>
      <c r="G20410" s="234"/>
      <c r="H20410" s="238"/>
      <c r="I20410" s="237"/>
    </row>
    <row r="20411" spans="1:9" s="232" customFormat="1" ht="17" customHeight="1">
      <c r="A20411" s="234"/>
      <c r="B20411" s="233"/>
      <c r="C20411" s="238"/>
      <c r="E20411" s="545"/>
      <c r="F20411" s="546"/>
      <c r="G20411" s="234"/>
      <c r="H20411" s="238"/>
      <c r="I20411" s="237"/>
    </row>
    <row r="20412" spans="1:9" s="232" customFormat="1" ht="17" customHeight="1">
      <c r="A20412" s="234"/>
      <c r="B20412" s="233"/>
      <c r="C20412" s="238"/>
      <c r="E20412" s="545"/>
      <c r="F20412" s="546"/>
      <c r="G20412" s="234"/>
      <c r="H20412" s="238"/>
      <c r="I20412" s="237"/>
    </row>
    <row r="20413" spans="1:9" s="232" customFormat="1" ht="17" customHeight="1">
      <c r="A20413" s="234"/>
      <c r="B20413" s="233"/>
      <c r="C20413" s="238"/>
      <c r="E20413" s="545"/>
      <c r="F20413" s="546"/>
      <c r="G20413" s="234"/>
      <c r="H20413" s="238"/>
      <c r="I20413" s="237"/>
    </row>
    <row r="20414" spans="1:9" s="232" customFormat="1" ht="17" customHeight="1">
      <c r="A20414" s="234"/>
      <c r="B20414" s="233"/>
      <c r="C20414" s="238"/>
      <c r="E20414" s="545"/>
      <c r="F20414" s="546"/>
      <c r="G20414" s="234"/>
      <c r="H20414" s="238"/>
      <c r="I20414" s="237"/>
    </row>
    <row r="20415" spans="1:9" s="232" customFormat="1" ht="17" customHeight="1">
      <c r="A20415" s="234"/>
      <c r="B20415" s="233"/>
      <c r="C20415" s="238"/>
      <c r="E20415" s="545"/>
      <c r="F20415" s="546"/>
      <c r="G20415" s="234"/>
      <c r="H20415" s="238"/>
      <c r="I20415" s="237"/>
    </row>
    <row r="20416" spans="1:9" s="232" customFormat="1" ht="17" customHeight="1">
      <c r="A20416" s="234"/>
      <c r="B20416" s="233"/>
      <c r="C20416" s="238"/>
      <c r="E20416" s="545"/>
      <c r="F20416" s="546"/>
      <c r="G20416" s="234"/>
      <c r="H20416" s="238"/>
      <c r="I20416" s="237"/>
    </row>
    <row r="20417" spans="1:9" s="232" customFormat="1" ht="17" customHeight="1">
      <c r="A20417" s="234"/>
      <c r="B20417" s="233"/>
      <c r="C20417" s="238"/>
      <c r="E20417" s="545"/>
      <c r="F20417" s="546"/>
      <c r="G20417" s="234"/>
      <c r="H20417" s="238"/>
      <c r="I20417" s="237"/>
    </row>
    <row r="20418" spans="1:9" s="232" customFormat="1" ht="17" customHeight="1">
      <c r="A20418" s="234"/>
      <c r="B20418" s="233"/>
      <c r="C20418" s="238"/>
      <c r="E20418" s="545"/>
      <c r="F20418" s="546"/>
      <c r="G20418" s="234"/>
      <c r="H20418" s="238"/>
      <c r="I20418" s="237"/>
    </row>
    <row r="20419" spans="1:9" s="232" customFormat="1" ht="17" customHeight="1">
      <c r="A20419" s="234"/>
      <c r="B20419" s="233"/>
      <c r="C20419" s="238"/>
      <c r="E20419" s="545"/>
      <c r="F20419" s="546"/>
      <c r="G20419" s="234"/>
      <c r="H20419" s="238"/>
      <c r="I20419" s="237"/>
    </row>
    <row r="20420" spans="1:9" s="232" customFormat="1" ht="17" customHeight="1">
      <c r="A20420" s="234"/>
      <c r="B20420" s="233"/>
      <c r="C20420" s="238"/>
      <c r="E20420" s="545"/>
      <c r="F20420" s="546"/>
      <c r="G20420" s="234"/>
      <c r="H20420" s="238"/>
      <c r="I20420" s="237"/>
    </row>
    <row r="20421" spans="1:9" s="232" customFormat="1" ht="17" customHeight="1">
      <c r="A20421" s="234"/>
      <c r="B20421" s="233"/>
      <c r="C20421" s="238"/>
      <c r="E20421" s="545"/>
      <c r="F20421" s="546"/>
      <c r="G20421" s="234"/>
      <c r="H20421" s="238"/>
      <c r="I20421" s="237"/>
    </row>
    <row r="20422" spans="1:9" s="232" customFormat="1" ht="17" customHeight="1">
      <c r="A20422" s="234"/>
      <c r="B20422" s="233"/>
      <c r="C20422" s="238"/>
      <c r="E20422" s="545"/>
      <c r="F20422" s="546"/>
      <c r="G20422" s="234"/>
      <c r="H20422" s="238"/>
      <c r="I20422" s="237"/>
    </row>
    <row r="20423" spans="1:9" s="232" customFormat="1" ht="17" customHeight="1">
      <c r="A20423" s="234"/>
      <c r="B20423" s="233"/>
      <c r="C20423" s="238"/>
      <c r="E20423" s="545"/>
      <c r="F20423" s="546"/>
      <c r="G20423" s="234"/>
      <c r="H20423" s="238"/>
      <c r="I20423" s="237"/>
    </row>
    <row r="20424" spans="1:9" s="232" customFormat="1" ht="17" customHeight="1">
      <c r="A20424" s="234"/>
      <c r="B20424" s="233"/>
      <c r="C20424" s="238"/>
      <c r="E20424" s="545"/>
      <c r="F20424" s="546"/>
      <c r="G20424" s="234"/>
      <c r="H20424" s="238"/>
      <c r="I20424" s="237"/>
    </row>
    <row r="20425" spans="1:9" s="232" customFormat="1" ht="17" customHeight="1">
      <c r="A20425" s="234"/>
      <c r="B20425" s="233"/>
      <c r="C20425" s="238"/>
      <c r="E20425" s="545"/>
      <c r="F20425" s="546"/>
      <c r="G20425" s="234"/>
      <c r="H20425" s="238"/>
      <c r="I20425" s="237"/>
    </row>
    <row r="20426" spans="1:9" s="232" customFormat="1" ht="17" customHeight="1">
      <c r="A20426" s="234"/>
      <c r="B20426" s="233"/>
      <c r="C20426" s="238"/>
      <c r="E20426" s="545"/>
      <c r="F20426" s="546"/>
      <c r="G20426" s="234"/>
      <c r="H20426" s="238"/>
      <c r="I20426" s="237"/>
    </row>
    <row r="20427" spans="1:9" s="232" customFormat="1" ht="17" customHeight="1">
      <c r="A20427" s="234"/>
      <c r="B20427" s="233"/>
      <c r="C20427" s="238"/>
      <c r="E20427" s="545"/>
      <c r="F20427" s="546"/>
      <c r="G20427" s="234"/>
      <c r="H20427" s="238"/>
      <c r="I20427" s="237"/>
    </row>
    <row r="20428" spans="1:9" s="232" customFormat="1" ht="17" customHeight="1">
      <c r="A20428" s="234"/>
      <c r="B20428" s="233"/>
      <c r="C20428" s="238"/>
      <c r="E20428" s="545"/>
      <c r="F20428" s="546"/>
      <c r="G20428" s="234"/>
      <c r="H20428" s="238"/>
      <c r="I20428" s="237"/>
    </row>
    <row r="20429" spans="1:9" s="232" customFormat="1" ht="17" customHeight="1">
      <c r="A20429" s="234"/>
      <c r="B20429" s="233"/>
      <c r="C20429" s="238"/>
      <c r="E20429" s="545"/>
      <c r="F20429" s="546"/>
      <c r="G20429" s="234"/>
      <c r="H20429" s="238"/>
      <c r="I20429" s="237"/>
    </row>
    <row r="20430" spans="1:9" s="232" customFormat="1" ht="17" customHeight="1">
      <c r="A20430" s="234"/>
      <c r="B20430" s="233"/>
      <c r="C20430" s="238"/>
      <c r="E20430" s="545"/>
      <c r="F20430" s="546"/>
      <c r="G20430" s="234"/>
      <c r="H20430" s="238"/>
      <c r="I20430" s="237"/>
    </row>
    <row r="20431" spans="1:9" s="232" customFormat="1" ht="17" customHeight="1">
      <c r="A20431" s="234"/>
      <c r="B20431" s="233"/>
      <c r="C20431" s="238"/>
      <c r="E20431" s="545"/>
      <c r="F20431" s="546"/>
      <c r="G20431" s="234"/>
      <c r="H20431" s="238"/>
      <c r="I20431" s="237"/>
    </row>
    <row r="20432" spans="1:9" s="232" customFormat="1" ht="17" customHeight="1">
      <c r="A20432" s="234"/>
      <c r="B20432" s="233"/>
      <c r="C20432" s="238"/>
      <c r="E20432" s="545"/>
      <c r="F20432" s="546"/>
      <c r="G20432" s="234"/>
      <c r="H20432" s="238"/>
      <c r="I20432" s="237"/>
    </row>
    <row r="20433" spans="1:9" s="232" customFormat="1" ht="17" customHeight="1">
      <c r="A20433" s="234"/>
      <c r="B20433" s="233"/>
      <c r="C20433" s="238"/>
      <c r="E20433" s="545"/>
      <c r="F20433" s="546"/>
      <c r="G20433" s="234"/>
      <c r="H20433" s="238"/>
      <c r="I20433" s="237"/>
    </row>
    <row r="20434" spans="1:9" s="232" customFormat="1" ht="17" customHeight="1">
      <c r="A20434" s="234"/>
      <c r="B20434" s="233"/>
      <c r="C20434" s="238"/>
      <c r="E20434" s="545"/>
      <c r="F20434" s="546"/>
      <c r="G20434" s="234"/>
      <c r="H20434" s="238"/>
      <c r="I20434" s="237"/>
    </row>
    <row r="20435" spans="1:9" s="232" customFormat="1" ht="17" customHeight="1">
      <c r="A20435" s="234"/>
      <c r="B20435" s="233"/>
      <c r="C20435" s="238"/>
      <c r="E20435" s="545"/>
      <c r="F20435" s="546"/>
      <c r="G20435" s="234"/>
      <c r="H20435" s="238"/>
      <c r="I20435" s="237"/>
    </row>
    <row r="20436" spans="1:9" s="232" customFormat="1" ht="17" customHeight="1">
      <c r="A20436" s="234"/>
      <c r="B20436" s="233"/>
      <c r="C20436" s="238"/>
      <c r="E20436" s="545"/>
      <c r="F20436" s="546"/>
      <c r="G20436" s="234"/>
      <c r="H20436" s="238"/>
      <c r="I20436" s="237"/>
    </row>
    <row r="20437" spans="1:9" s="232" customFormat="1" ht="17" customHeight="1">
      <c r="A20437" s="234"/>
      <c r="B20437" s="233"/>
      <c r="C20437" s="238"/>
      <c r="E20437" s="545"/>
      <c r="F20437" s="546"/>
      <c r="G20437" s="234"/>
      <c r="H20437" s="238"/>
      <c r="I20437" s="237"/>
    </row>
    <row r="20438" spans="1:9" s="232" customFormat="1" ht="17" customHeight="1">
      <c r="A20438" s="234"/>
      <c r="B20438" s="233"/>
      <c r="C20438" s="238"/>
      <c r="E20438" s="545"/>
      <c r="F20438" s="546"/>
      <c r="G20438" s="234"/>
      <c r="H20438" s="238"/>
      <c r="I20438" s="237"/>
    </row>
    <row r="20439" spans="1:9" s="232" customFormat="1" ht="17" customHeight="1">
      <c r="A20439" s="234"/>
      <c r="B20439" s="233"/>
      <c r="C20439" s="238"/>
      <c r="E20439" s="545"/>
      <c r="F20439" s="546"/>
      <c r="G20439" s="234"/>
      <c r="H20439" s="238"/>
      <c r="I20439" s="237"/>
    </row>
    <row r="20440" spans="1:9" s="232" customFormat="1" ht="17" customHeight="1">
      <c r="A20440" s="234"/>
      <c r="B20440" s="233"/>
      <c r="C20440" s="238"/>
      <c r="E20440" s="545"/>
      <c r="F20440" s="546"/>
      <c r="G20440" s="234"/>
      <c r="H20440" s="238"/>
      <c r="I20440" s="237"/>
    </row>
    <row r="20441" spans="1:9" s="232" customFormat="1" ht="17" customHeight="1">
      <c r="A20441" s="234"/>
      <c r="B20441" s="233"/>
      <c r="C20441" s="238"/>
      <c r="E20441" s="545"/>
      <c r="F20441" s="546"/>
      <c r="G20441" s="234"/>
      <c r="H20441" s="238"/>
      <c r="I20441" s="237"/>
    </row>
    <row r="20442" spans="1:9" s="232" customFormat="1" ht="17" customHeight="1">
      <c r="A20442" s="234"/>
      <c r="B20442" s="233"/>
      <c r="C20442" s="238"/>
      <c r="E20442" s="545"/>
      <c r="F20442" s="546"/>
      <c r="G20442" s="234"/>
      <c r="H20442" s="238"/>
      <c r="I20442" s="237"/>
    </row>
    <row r="20443" spans="1:9" s="232" customFormat="1" ht="17" customHeight="1">
      <c r="A20443" s="234"/>
      <c r="B20443" s="233"/>
      <c r="C20443" s="238"/>
      <c r="E20443" s="545"/>
      <c r="F20443" s="546"/>
      <c r="G20443" s="234"/>
      <c r="H20443" s="238"/>
      <c r="I20443" s="237"/>
    </row>
    <row r="20444" spans="1:9" s="232" customFormat="1" ht="17" customHeight="1">
      <c r="A20444" s="234"/>
      <c r="B20444" s="233"/>
      <c r="C20444" s="238"/>
      <c r="E20444" s="545"/>
      <c r="F20444" s="546"/>
      <c r="G20444" s="234"/>
      <c r="H20444" s="238"/>
      <c r="I20444" s="237"/>
    </row>
    <row r="20445" spans="1:9" s="232" customFormat="1" ht="17" customHeight="1">
      <c r="A20445" s="234"/>
      <c r="B20445" s="233"/>
      <c r="C20445" s="238"/>
      <c r="E20445" s="545"/>
      <c r="F20445" s="546"/>
      <c r="G20445" s="234"/>
      <c r="H20445" s="238"/>
      <c r="I20445" s="237"/>
    </row>
    <row r="20446" spans="1:9" s="232" customFormat="1" ht="17" customHeight="1">
      <c r="A20446" s="234"/>
      <c r="B20446" s="233"/>
      <c r="C20446" s="238"/>
      <c r="E20446" s="545"/>
      <c r="F20446" s="546"/>
      <c r="G20446" s="234"/>
      <c r="H20446" s="238"/>
      <c r="I20446" s="237"/>
    </row>
    <row r="20447" spans="1:9" s="232" customFormat="1" ht="17" customHeight="1">
      <c r="A20447" s="234"/>
      <c r="B20447" s="233"/>
      <c r="C20447" s="238"/>
      <c r="E20447" s="545"/>
      <c r="F20447" s="546"/>
      <c r="G20447" s="234"/>
      <c r="H20447" s="238"/>
      <c r="I20447" s="237"/>
    </row>
    <row r="20448" spans="1:9" s="232" customFormat="1" ht="17" customHeight="1">
      <c r="A20448" s="234"/>
      <c r="B20448" s="233"/>
      <c r="C20448" s="238"/>
      <c r="E20448" s="545"/>
      <c r="F20448" s="546"/>
      <c r="G20448" s="234"/>
      <c r="H20448" s="238"/>
      <c r="I20448" s="237"/>
    </row>
    <row r="20449" spans="1:9" s="232" customFormat="1" ht="17" customHeight="1">
      <c r="A20449" s="234"/>
      <c r="B20449" s="233"/>
      <c r="C20449" s="238"/>
      <c r="E20449" s="545"/>
      <c r="F20449" s="546"/>
      <c r="G20449" s="234"/>
      <c r="H20449" s="238"/>
      <c r="I20449" s="237"/>
    </row>
    <row r="20450" spans="1:9" s="232" customFormat="1" ht="17" customHeight="1">
      <c r="A20450" s="234"/>
      <c r="B20450" s="233"/>
      <c r="C20450" s="238"/>
      <c r="E20450" s="545"/>
      <c r="F20450" s="546"/>
      <c r="G20450" s="234"/>
      <c r="H20450" s="238"/>
      <c r="I20450" s="237"/>
    </row>
    <row r="20451" spans="1:9" s="232" customFormat="1" ht="17" customHeight="1">
      <c r="A20451" s="234"/>
      <c r="B20451" s="233"/>
      <c r="C20451" s="238"/>
      <c r="E20451" s="545"/>
      <c r="F20451" s="546"/>
      <c r="G20451" s="234"/>
      <c r="H20451" s="238"/>
      <c r="I20451" s="237"/>
    </row>
    <row r="20452" spans="1:9" s="232" customFormat="1" ht="17" customHeight="1">
      <c r="A20452" s="234"/>
      <c r="B20452" s="233"/>
      <c r="C20452" s="238"/>
      <c r="E20452" s="545"/>
      <c r="F20452" s="546"/>
      <c r="G20452" s="234"/>
      <c r="H20452" s="238"/>
      <c r="I20452" s="237"/>
    </row>
    <row r="20453" spans="1:9" s="232" customFormat="1" ht="17" customHeight="1">
      <c r="A20453" s="234"/>
      <c r="B20453" s="233"/>
      <c r="C20453" s="238"/>
      <c r="E20453" s="545"/>
      <c r="F20453" s="546"/>
      <c r="G20453" s="234"/>
      <c r="H20453" s="238"/>
      <c r="I20453" s="237"/>
    </row>
    <row r="20454" spans="1:9" s="232" customFormat="1" ht="17" customHeight="1">
      <c r="A20454" s="234"/>
      <c r="B20454" s="233"/>
      <c r="C20454" s="238"/>
      <c r="E20454" s="545"/>
      <c r="F20454" s="546"/>
      <c r="G20454" s="234"/>
      <c r="H20454" s="238"/>
      <c r="I20454" s="237"/>
    </row>
    <row r="20455" spans="1:9" s="232" customFormat="1" ht="17" customHeight="1">
      <c r="A20455" s="234"/>
      <c r="B20455" s="233"/>
      <c r="C20455" s="238"/>
      <c r="E20455" s="545"/>
      <c r="F20455" s="546"/>
      <c r="G20455" s="234"/>
      <c r="H20455" s="238"/>
      <c r="I20455" s="237"/>
    </row>
    <row r="20456" spans="1:9" s="232" customFormat="1" ht="17" customHeight="1">
      <c r="A20456" s="234"/>
      <c r="B20456" s="233"/>
      <c r="C20456" s="238"/>
      <c r="E20456" s="545"/>
      <c r="F20456" s="546"/>
      <c r="G20456" s="234"/>
      <c r="H20456" s="238"/>
      <c r="I20456" s="237"/>
    </row>
    <row r="20457" spans="1:9" s="232" customFormat="1" ht="17" customHeight="1">
      <c r="A20457" s="234"/>
      <c r="B20457" s="233"/>
      <c r="C20457" s="238"/>
      <c r="E20457" s="545"/>
      <c r="F20457" s="546"/>
      <c r="G20457" s="234"/>
      <c r="H20457" s="238"/>
      <c r="I20457" s="237"/>
    </row>
    <row r="20458" spans="1:9" s="232" customFormat="1" ht="17" customHeight="1">
      <c r="A20458" s="234"/>
      <c r="B20458" s="233"/>
      <c r="C20458" s="238"/>
      <c r="E20458" s="545"/>
      <c r="F20458" s="546"/>
      <c r="G20458" s="234"/>
      <c r="H20458" s="238"/>
      <c r="I20458" s="237"/>
    </row>
    <row r="20459" spans="1:9" s="232" customFormat="1" ht="17" customHeight="1">
      <c r="A20459" s="234"/>
      <c r="B20459" s="233"/>
      <c r="C20459" s="238"/>
      <c r="E20459" s="545"/>
      <c r="F20459" s="546"/>
      <c r="G20459" s="234"/>
      <c r="H20459" s="238"/>
      <c r="I20459" s="237"/>
    </row>
    <row r="20460" spans="1:9" s="232" customFormat="1" ht="17" customHeight="1">
      <c r="A20460" s="234"/>
      <c r="B20460" s="233"/>
      <c r="C20460" s="238"/>
      <c r="E20460" s="545"/>
      <c r="F20460" s="546"/>
      <c r="G20460" s="234"/>
      <c r="H20460" s="238"/>
      <c r="I20460" s="237"/>
    </row>
    <row r="20461" spans="1:9" s="232" customFormat="1" ht="17" customHeight="1">
      <c r="A20461" s="234"/>
      <c r="B20461" s="233"/>
      <c r="C20461" s="238"/>
      <c r="E20461" s="545"/>
      <c r="F20461" s="546"/>
      <c r="G20461" s="234"/>
      <c r="H20461" s="238"/>
      <c r="I20461" s="237"/>
    </row>
    <row r="20462" spans="1:9" s="232" customFormat="1" ht="17" customHeight="1">
      <c r="A20462" s="234"/>
      <c r="B20462" s="233"/>
      <c r="C20462" s="238"/>
      <c r="E20462" s="545"/>
      <c r="F20462" s="546"/>
      <c r="G20462" s="234"/>
      <c r="H20462" s="238"/>
      <c r="I20462" s="237"/>
    </row>
    <row r="20463" spans="1:9" s="232" customFormat="1" ht="17" customHeight="1">
      <c r="A20463" s="234"/>
      <c r="B20463" s="233"/>
      <c r="C20463" s="238"/>
      <c r="E20463" s="545"/>
      <c r="F20463" s="546"/>
      <c r="G20463" s="234"/>
      <c r="H20463" s="238"/>
      <c r="I20463" s="237"/>
    </row>
    <row r="20464" spans="1:9" s="232" customFormat="1" ht="17" customHeight="1">
      <c r="A20464" s="234"/>
      <c r="B20464" s="233"/>
      <c r="C20464" s="238"/>
      <c r="E20464" s="545"/>
      <c r="F20464" s="546"/>
      <c r="G20464" s="234"/>
      <c r="H20464" s="238"/>
      <c r="I20464" s="237"/>
    </row>
    <row r="20465" spans="1:9" s="232" customFormat="1" ht="17" customHeight="1">
      <c r="A20465" s="234"/>
      <c r="B20465" s="233"/>
      <c r="C20465" s="238"/>
      <c r="E20465" s="545"/>
      <c r="F20465" s="546"/>
      <c r="G20465" s="234"/>
      <c r="H20465" s="238"/>
      <c r="I20465" s="237"/>
    </row>
    <row r="20466" spans="1:9" s="232" customFormat="1" ht="17" customHeight="1">
      <c r="A20466" s="234"/>
      <c r="B20466" s="233"/>
      <c r="C20466" s="238"/>
      <c r="E20466" s="545"/>
      <c r="F20466" s="546"/>
      <c r="G20466" s="234"/>
      <c r="H20466" s="238"/>
      <c r="I20466" s="237"/>
    </row>
    <row r="20467" spans="1:9" s="232" customFormat="1" ht="17" customHeight="1">
      <c r="A20467" s="234"/>
      <c r="B20467" s="233"/>
      <c r="C20467" s="238"/>
      <c r="E20467" s="545"/>
      <c r="F20467" s="546"/>
      <c r="G20467" s="234"/>
      <c r="H20467" s="238"/>
      <c r="I20467" s="237"/>
    </row>
    <row r="20468" spans="1:9" s="232" customFormat="1" ht="17" customHeight="1">
      <c r="A20468" s="234"/>
      <c r="B20468" s="233"/>
      <c r="C20468" s="238"/>
      <c r="E20468" s="545"/>
      <c r="F20468" s="546"/>
      <c r="G20468" s="234"/>
      <c r="H20468" s="238"/>
      <c r="I20468" s="237"/>
    </row>
    <row r="20469" spans="1:9" s="232" customFormat="1" ht="17" customHeight="1">
      <c r="A20469" s="234"/>
      <c r="B20469" s="233"/>
      <c r="C20469" s="238"/>
      <c r="E20469" s="545"/>
      <c r="F20469" s="546"/>
      <c r="G20469" s="234"/>
      <c r="H20469" s="238"/>
      <c r="I20469" s="237"/>
    </row>
    <row r="20470" spans="1:9" s="232" customFormat="1" ht="17" customHeight="1">
      <c r="A20470" s="234"/>
      <c r="B20470" s="233"/>
      <c r="C20470" s="238"/>
      <c r="E20470" s="545"/>
      <c r="F20470" s="546"/>
      <c r="G20470" s="234"/>
      <c r="H20470" s="238"/>
      <c r="I20470" s="237"/>
    </row>
    <row r="20471" spans="1:9" s="232" customFormat="1" ht="17" customHeight="1">
      <c r="A20471" s="234"/>
      <c r="B20471" s="233"/>
      <c r="C20471" s="238"/>
      <c r="E20471" s="545"/>
      <c r="F20471" s="546"/>
      <c r="G20471" s="234"/>
      <c r="H20471" s="238"/>
      <c r="I20471" s="237"/>
    </row>
    <row r="20472" spans="1:9" s="232" customFormat="1" ht="17" customHeight="1">
      <c r="A20472" s="234"/>
      <c r="B20472" s="233"/>
      <c r="C20472" s="238"/>
      <c r="E20472" s="545"/>
      <c r="F20472" s="546"/>
      <c r="G20472" s="234"/>
      <c r="H20472" s="238"/>
      <c r="I20472" s="237"/>
    </row>
    <row r="20473" spans="1:9" s="232" customFormat="1" ht="17" customHeight="1">
      <c r="A20473" s="234"/>
      <c r="B20473" s="233"/>
      <c r="C20473" s="238"/>
      <c r="E20473" s="545"/>
      <c r="F20473" s="546"/>
      <c r="G20473" s="234"/>
      <c r="H20473" s="238"/>
      <c r="I20473" s="237"/>
    </row>
    <row r="20474" spans="1:9" s="232" customFormat="1" ht="17" customHeight="1">
      <c r="A20474" s="234"/>
      <c r="B20474" s="233"/>
      <c r="C20474" s="238"/>
      <c r="E20474" s="545"/>
      <c r="F20474" s="546"/>
      <c r="G20474" s="234"/>
      <c r="H20474" s="238"/>
      <c r="I20474" s="237"/>
    </row>
    <row r="20475" spans="1:9" s="232" customFormat="1" ht="17" customHeight="1">
      <c r="A20475" s="234"/>
      <c r="B20475" s="233"/>
      <c r="C20475" s="238"/>
      <c r="E20475" s="545"/>
      <c r="F20475" s="546"/>
      <c r="G20475" s="234"/>
      <c r="H20475" s="238"/>
      <c r="I20475" s="237"/>
    </row>
    <row r="20476" spans="1:9" s="232" customFormat="1" ht="17" customHeight="1">
      <c r="A20476" s="234"/>
      <c r="B20476" s="233"/>
      <c r="C20476" s="238"/>
      <c r="E20476" s="545"/>
      <c r="F20476" s="546"/>
      <c r="G20476" s="234"/>
      <c r="H20476" s="238"/>
      <c r="I20476" s="237"/>
    </row>
    <row r="20477" spans="1:9" s="232" customFormat="1" ht="17" customHeight="1">
      <c r="A20477" s="234"/>
      <c r="B20477" s="233"/>
      <c r="C20477" s="238"/>
      <c r="E20477" s="545"/>
      <c r="F20477" s="546"/>
      <c r="G20477" s="234"/>
      <c r="H20477" s="238"/>
      <c r="I20477" s="237"/>
    </row>
    <row r="20478" spans="1:9" s="232" customFormat="1" ht="17" customHeight="1">
      <c r="A20478" s="234"/>
      <c r="B20478" s="233"/>
      <c r="C20478" s="238"/>
      <c r="E20478" s="545"/>
      <c r="F20478" s="546"/>
      <c r="G20478" s="234"/>
      <c r="H20478" s="238"/>
      <c r="I20478" s="237"/>
    </row>
    <row r="20479" spans="1:9" s="232" customFormat="1" ht="17" customHeight="1">
      <c r="A20479" s="234"/>
      <c r="B20479" s="233"/>
      <c r="C20479" s="238"/>
      <c r="E20479" s="545"/>
      <c r="F20479" s="546"/>
      <c r="G20479" s="234"/>
      <c r="H20479" s="238"/>
      <c r="I20479" s="237"/>
    </row>
    <row r="20480" spans="1:9" s="232" customFormat="1" ht="17" customHeight="1">
      <c r="A20480" s="234"/>
      <c r="B20480" s="233"/>
      <c r="C20480" s="238"/>
      <c r="E20480" s="545"/>
      <c r="F20480" s="546"/>
      <c r="G20480" s="234"/>
      <c r="H20480" s="238"/>
      <c r="I20480" s="237"/>
    </row>
    <row r="20481" spans="1:9" s="232" customFormat="1" ht="17" customHeight="1">
      <c r="A20481" s="234"/>
      <c r="B20481" s="233"/>
      <c r="C20481" s="238"/>
      <c r="E20481" s="545"/>
      <c r="F20481" s="546"/>
      <c r="G20481" s="234"/>
      <c r="H20481" s="238"/>
      <c r="I20481" s="237"/>
    </row>
    <row r="20482" spans="1:9" s="232" customFormat="1" ht="17" customHeight="1">
      <c r="A20482" s="234"/>
      <c r="B20482" s="233"/>
      <c r="C20482" s="238"/>
      <c r="E20482" s="545"/>
      <c r="F20482" s="546"/>
      <c r="G20482" s="234"/>
      <c r="H20482" s="238"/>
      <c r="I20482" s="237"/>
    </row>
    <row r="20483" spans="1:9" s="232" customFormat="1" ht="17" customHeight="1">
      <c r="A20483" s="234"/>
      <c r="B20483" s="233"/>
      <c r="C20483" s="238"/>
      <c r="E20483" s="545"/>
      <c r="F20483" s="546"/>
      <c r="G20483" s="234"/>
      <c r="H20483" s="238"/>
      <c r="I20483" s="237"/>
    </row>
    <row r="20484" spans="1:9" s="232" customFormat="1" ht="17" customHeight="1">
      <c r="A20484" s="234"/>
      <c r="B20484" s="233"/>
      <c r="C20484" s="238"/>
      <c r="E20484" s="545"/>
      <c r="F20484" s="546"/>
      <c r="G20484" s="234"/>
      <c r="H20484" s="238"/>
      <c r="I20484" s="237"/>
    </row>
    <row r="20485" spans="1:9" s="232" customFormat="1" ht="17" customHeight="1">
      <c r="A20485" s="234"/>
      <c r="B20485" s="233"/>
      <c r="C20485" s="238"/>
      <c r="E20485" s="545"/>
      <c r="F20485" s="546"/>
      <c r="G20485" s="234"/>
      <c r="H20485" s="238"/>
      <c r="I20485" s="237"/>
    </row>
    <row r="20486" spans="1:9" s="232" customFormat="1" ht="17" customHeight="1">
      <c r="A20486" s="234"/>
      <c r="B20486" s="233"/>
      <c r="C20486" s="238"/>
      <c r="E20486" s="545"/>
      <c r="F20486" s="546"/>
      <c r="G20486" s="234"/>
      <c r="H20486" s="238"/>
      <c r="I20486" s="237"/>
    </row>
    <row r="20487" spans="1:9" s="232" customFormat="1" ht="17" customHeight="1">
      <c r="A20487" s="234"/>
      <c r="B20487" s="233"/>
      <c r="C20487" s="238"/>
      <c r="E20487" s="545"/>
      <c r="F20487" s="546"/>
      <c r="G20487" s="234"/>
      <c r="H20487" s="238"/>
      <c r="I20487" s="237"/>
    </row>
    <row r="20488" spans="1:9" s="232" customFormat="1" ht="17" customHeight="1">
      <c r="A20488" s="234"/>
      <c r="B20488" s="233"/>
      <c r="C20488" s="238"/>
      <c r="E20488" s="545"/>
      <c r="F20488" s="546"/>
      <c r="G20488" s="234"/>
      <c r="H20488" s="238"/>
      <c r="I20488" s="237"/>
    </row>
    <row r="20489" spans="1:9" s="232" customFormat="1" ht="17" customHeight="1">
      <c r="A20489" s="234"/>
      <c r="B20489" s="233"/>
      <c r="C20489" s="238"/>
      <c r="E20489" s="545"/>
      <c r="F20489" s="546"/>
      <c r="G20489" s="234"/>
      <c r="H20489" s="238"/>
      <c r="I20489" s="237"/>
    </row>
    <row r="20490" spans="1:9" s="232" customFormat="1" ht="17" customHeight="1">
      <c r="A20490" s="234"/>
      <c r="B20490" s="233"/>
      <c r="C20490" s="238"/>
      <c r="E20490" s="545"/>
      <c r="F20490" s="546"/>
      <c r="G20490" s="234"/>
      <c r="H20490" s="238"/>
      <c r="I20490" s="237"/>
    </row>
    <row r="20491" spans="1:9" s="232" customFormat="1" ht="17" customHeight="1">
      <c r="A20491" s="234"/>
      <c r="B20491" s="233"/>
      <c r="C20491" s="238"/>
      <c r="E20491" s="545"/>
      <c r="F20491" s="546"/>
      <c r="G20491" s="234"/>
      <c r="H20491" s="238"/>
      <c r="I20491" s="237"/>
    </row>
    <row r="20492" spans="1:9" s="232" customFormat="1" ht="17" customHeight="1">
      <c r="A20492" s="234"/>
      <c r="B20492" s="233"/>
      <c r="C20492" s="238"/>
      <c r="E20492" s="545"/>
      <c r="F20492" s="546"/>
      <c r="G20492" s="234"/>
      <c r="H20492" s="238"/>
      <c r="I20492" s="237"/>
    </row>
    <row r="20493" spans="1:9" s="232" customFormat="1" ht="17" customHeight="1">
      <c r="A20493" s="234"/>
      <c r="B20493" s="233"/>
      <c r="C20493" s="238"/>
      <c r="E20493" s="545"/>
      <c r="F20493" s="546"/>
      <c r="G20493" s="234"/>
      <c r="H20493" s="238"/>
      <c r="I20493" s="237"/>
    </row>
    <row r="20494" spans="1:9" s="232" customFormat="1" ht="17" customHeight="1">
      <c r="A20494" s="234"/>
      <c r="B20494" s="233"/>
      <c r="C20494" s="238"/>
      <c r="E20494" s="545"/>
      <c r="F20494" s="546"/>
      <c r="G20494" s="234"/>
      <c r="H20494" s="238"/>
      <c r="I20494" s="237"/>
    </row>
    <row r="20495" spans="1:9" s="232" customFormat="1" ht="17" customHeight="1">
      <c r="A20495" s="234"/>
      <c r="B20495" s="233"/>
      <c r="C20495" s="238"/>
      <c r="E20495" s="545"/>
      <c r="F20495" s="546"/>
      <c r="G20495" s="234"/>
      <c r="H20495" s="238"/>
      <c r="I20495" s="237"/>
    </row>
    <row r="20496" spans="1:9" s="232" customFormat="1" ht="17" customHeight="1">
      <c r="A20496" s="234"/>
      <c r="B20496" s="233"/>
      <c r="C20496" s="238"/>
      <c r="E20496" s="545"/>
      <c r="F20496" s="546"/>
      <c r="G20496" s="234"/>
      <c r="H20496" s="238"/>
      <c r="I20496" s="237"/>
    </row>
    <row r="20497" spans="1:9" s="232" customFormat="1" ht="17" customHeight="1">
      <c r="A20497" s="234"/>
      <c r="B20497" s="233"/>
      <c r="C20497" s="238"/>
      <c r="E20497" s="545"/>
      <c r="F20497" s="546"/>
      <c r="G20497" s="234"/>
      <c r="H20497" s="238"/>
      <c r="I20497" s="237"/>
    </row>
    <row r="20498" spans="1:9" s="232" customFormat="1" ht="17" customHeight="1">
      <c r="A20498" s="234"/>
      <c r="B20498" s="233"/>
      <c r="C20498" s="238"/>
      <c r="E20498" s="545"/>
      <c r="F20498" s="546"/>
      <c r="G20498" s="234"/>
      <c r="H20498" s="238"/>
      <c r="I20498" s="237"/>
    </row>
    <row r="20499" spans="1:9" s="232" customFormat="1" ht="17" customHeight="1">
      <c r="A20499" s="234"/>
      <c r="B20499" s="233"/>
      <c r="C20499" s="238"/>
      <c r="E20499" s="545"/>
      <c r="F20499" s="546"/>
      <c r="G20499" s="234"/>
      <c r="H20499" s="238"/>
      <c r="I20499" s="237"/>
    </row>
    <row r="20500" spans="1:9" s="232" customFormat="1" ht="17" customHeight="1">
      <c r="A20500" s="234"/>
      <c r="B20500" s="233"/>
      <c r="C20500" s="238"/>
      <c r="E20500" s="545"/>
      <c r="F20500" s="546"/>
      <c r="G20500" s="234"/>
      <c r="H20500" s="238"/>
      <c r="I20500" s="237"/>
    </row>
    <row r="20501" spans="1:9" s="232" customFormat="1" ht="17" customHeight="1">
      <c r="A20501" s="234"/>
      <c r="B20501" s="233"/>
      <c r="C20501" s="238"/>
      <c r="E20501" s="545"/>
      <c r="F20501" s="546"/>
      <c r="G20501" s="234"/>
      <c r="H20501" s="238"/>
      <c r="I20501" s="237"/>
    </row>
    <row r="20502" spans="1:9" s="232" customFormat="1" ht="17" customHeight="1">
      <c r="A20502" s="234"/>
      <c r="B20502" s="233"/>
      <c r="C20502" s="238"/>
      <c r="E20502" s="545"/>
      <c r="F20502" s="546"/>
      <c r="G20502" s="234"/>
      <c r="H20502" s="238"/>
      <c r="I20502" s="237"/>
    </row>
    <row r="20503" spans="1:9" s="232" customFormat="1" ht="17" customHeight="1">
      <c r="A20503" s="234"/>
      <c r="B20503" s="233"/>
      <c r="C20503" s="238"/>
      <c r="E20503" s="545"/>
      <c r="F20503" s="546"/>
      <c r="G20503" s="234"/>
      <c r="H20503" s="238"/>
      <c r="I20503" s="237"/>
    </row>
    <row r="20504" spans="1:9" s="232" customFormat="1" ht="17" customHeight="1">
      <c r="A20504" s="234"/>
      <c r="B20504" s="233"/>
      <c r="C20504" s="238"/>
      <c r="E20504" s="545"/>
      <c r="F20504" s="546"/>
      <c r="G20504" s="234"/>
      <c r="H20504" s="238"/>
      <c r="I20504" s="237"/>
    </row>
    <row r="20505" spans="1:9" s="232" customFormat="1" ht="17" customHeight="1">
      <c r="A20505" s="234"/>
      <c r="B20505" s="233"/>
      <c r="C20505" s="238"/>
      <c r="E20505" s="545"/>
      <c r="F20505" s="546"/>
      <c r="G20505" s="234"/>
      <c r="H20505" s="238"/>
      <c r="I20505" s="237"/>
    </row>
    <row r="20506" spans="1:9" s="232" customFormat="1" ht="17" customHeight="1">
      <c r="A20506" s="234"/>
      <c r="B20506" s="233"/>
      <c r="C20506" s="238"/>
      <c r="E20506" s="545"/>
      <c r="F20506" s="546"/>
      <c r="G20506" s="234"/>
      <c r="H20506" s="238"/>
      <c r="I20506" s="237"/>
    </row>
    <row r="20507" spans="1:9" s="232" customFormat="1" ht="17" customHeight="1">
      <c r="A20507" s="234"/>
      <c r="B20507" s="233"/>
      <c r="C20507" s="238"/>
      <c r="E20507" s="545"/>
      <c r="F20507" s="546"/>
      <c r="G20507" s="234"/>
      <c r="H20507" s="238"/>
      <c r="I20507" s="237"/>
    </row>
    <row r="20508" spans="1:9" s="232" customFormat="1" ht="17" customHeight="1">
      <c r="A20508" s="234"/>
      <c r="B20508" s="233"/>
      <c r="C20508" s="238"/>
      <c r="E20508" s="545"/>
      <c r="F20508" s="546"/>
      <c r="G20508" s="234"/>
      <c r="H20508" s="238"/>
      <c r="I20508" s="237"/>
    </row>
    <row r="20509" spans="1:9" s="232" customFormat="1" ht="17" customHeight="1">
      <c r="A20509" s="234"/>
      <c r="B20509" s="233"/>
      <c r="C20509" s="238"/>
      <c r="E20509" s="545"/>
      <c r="F20509" s="546"/>
      <c r="G20509" s="234"/>
      <c r="H20509" s="238"/>
      <c r="I20509" s="237"/>
    </row>
    <row r="20510" spans="1:9" s="232" customFormat="1" ht="17" customHeight="1">
      <c r="A20510" s="234"/>
      <c r="B20510" s="233"/>
      <c r="C20510" s="238"/>
      <c r="E20510" s="545"/>
      <c r="F20510" s="546"/>
      <c r="G20510" s="234"/>
      <c r="H20510" s="238"/>
      <c r="I20510" s="237"/>
    </row>
    <row r="20511" spans="1:9" s="232" customFormat="1" ht="17" customHeight="1">
      <c r="A20511" s="234"/>
      <c r="B20511" s="233"/>
      <c r="C20511" s="238"/>
      <c r="E20511" s="545"/>
      <c r="F20511" s="546"/>
      <c r="G20511" s="234"/>
      <c r="H20511" s="238"/>
      <c r="I20511" s="237"/>
    </row>
    <row r="20512" spans="1:9" s="232" customFormat="1" ht="17" customHeight="1">
      <c r="A20512" s="234"/>
      <c r="B20512" s="233"/>
      <c r="C20512" s="238"/>
      <c r="E20512" s="545"/>
      <c r="F20512" s="546"/>
      <c r="G20512" s="234"/>
      <c r="H20512" s="238"/>
      <c r="I20512" s="237"/>
    </row>
    <row r="20513" spans="1:9" s="232" customFormat="1" ht="17" customHeight="1">
      <c r="A20513" s="234"/>
      <c r="B20513" s="233"/>
      <c r="C20513" s="238"/>
      <c r="E20513" s="545"/>
      <c r="F20513" s="546"/>
      <c r="G20513" s="234"/>
      <c r="H20513" s="238"/>
      <c r="I20513" s="237"/>
    </row>
    <row r="20514" spans="1:9" s="232" customFormat="1" ht="17" customHeight="1">
      <c r="A20514" s="234"/>
      <c r="B20514" s="233"/>
      <c r="C20514" s="238"/>
      <c r="E20514" s="545"/>
      <c r="F20514" s="546"/>
      <c r="G20514" s="234"/>
      <c r="H20514" s="238"/>
      <c r="I20514" s="237"/>
    </row>
    <row r="20515" spans="1:9" s="232" customFormat="1" ht="17" customHeight="1">
      <c r="A20515" s="234"/>
      <c r="B20515" s="233"/>
      <c r="C20515" s="238"/>
      <c r="E20515" s="545"/>
      <c r="F20515" s="546"/>
      <c r="G20515" s="234"/>
      <c r="H20515" s="238"/>
      <c r="I20515" s="237"/>
    </row>
    <row r="20516" spans="1:9" s="232" customFormat="1" ht="17" customHeight="1">
      <c r="A20516" s="234"/>
      <c r="B20516" s="233"/>
      <c r="C20516" s="238"/>
      <c r="E20516" s="545"/>
      <c r="F20516" s="546"/>
      <c r="G20516" s="234"/>
      <c r="H20516" s="238"/>
      <c r="I20516" s="237"/>
    </row>
    <row r="20517" spans="1:9" s="232" customFormat="1" ht="17" customHeight="1">
      <c r="A20517" s="234"/>
      <c r="B20517" s="233"/>
      <c r="C20517" s="238"/>
      <c r="E20517" s="545"/>
      <c r="F20517" s="546"/>
      <c r="G20517" s="234"/>
      <c r="H20517" s="238"/>
      <c r="I20517" s="237"/>
    </row>
    <row r="20518" spans="1:9" s="232" customFormat="1" ht="17" customHeight="1">
      <c r="A20518" s="234"/>
      <c r="B20518" s="233"/>
      <c r="C20518" s="238"/>
      <c r="E20518" s="545"/>
      <c r="F20518" s="546"/>
      <c r="G20518" s="234"/>
      <c r="H20518" s="238"/>
      <c r="I20518" s="237"/>
    </row>
    <row r="20519" spans="1:9" s="232" customFormat="1" ht="17" customHeight="1">
      <c r="A20519" s="234"/>
      <c r="B20519" s="233"/>
      <c r="C20519" s="238"/>
      <c r="E20519" s="545"/>
      <c r="F20519" s="546"/>
      <c r="G20519" s="234"/>
      <c r="H20519" s="238"/>
      <c r="I20519" s="237"/>
    </row>
    <row r="20520" spans="1:9" s="232" customFormat="1" ht="17" customHeight="1">
      <c r="A20520" s="234"/>
      <c r="B20520" s="233"/>
      <c r="C20520" s="238"/>
      <c r="E20520" s="545"/>
      <c r="F20520" s="546"/>
      <c r="G20520" s="234"/>
      <c r="H20520" s="238"/>
      <c r="I20520" s="237"/>
    </row>
    <row r="20521" spans="1:9" s="232" customFormat="1" ht="17" customHeight="1">
      <c r="A20521" s="234"/>
      <c r="B20521" s="233"/>
      <c r="C20521" s="238"/>
      <c r="E20521" s="545"/>
      <c r="F20521" s="546"/>
      <c r="G20521" s="234"/>
      <c r="H20521" s="238"/>
      <c r="I20521" s="237"/>
    </row>
    <row r="20522" spans="1:9" s="232" customFormat="1" ht="17" customHeight="1">
      <c r="A20522" s="234"/>
      <c r="B20522" s="233"/>
      <c r="C20522" s="238"/>
      <c r="E20522" s="545"/>
      <c r="F20522" s="546"/>
      <c r="G20522" s="234"/>
      <c r="H20522" s="238"/>
      <c r="I20522" s="237"/>
    </row>
    <row r="20523" spans="1:9" s="232" customFormat="1" ht="17" customHeight="1">
      <c r="A20523" s="234"/>
      <c r="B20523" s="233"/>
      <c r="C20523" s="238"/>
      <c r="E20523" s="545"/>
      <c r="F20523" s="546"/>
      <c r="G20523" s="234"/>
      <c r="H20523" s="238"/>
      <c r="I20523" s="237"/>
    </row>
    <row r="20524" spans="1:9" s="232" customFormat="1" ht="17" customHeight="1">
      <c r="A20524" s="234"/>
      <c r="B20524" s="233"/>
      <c r="C20524" s="238"/>
      <c r="E20524" s="545"/>
      <c r="F20524" s="546"/>
      <c r="G20524" s="234"/>
      <c r="H20524" s="238"/>
      <c r="I20524" s="237"/>
    </row>
    <row r="20525" spans="1:9" s="232" customFormat="1" ht="17" customHeight="1">
      <c r="A20525" s="234"/>
      <c r="B20525" s="233"/>
      <c r="C20525" s="238"/>
      <c r="E20525" s="545"/>
      <c r="F20525" s="546"/>
      <c r="G20525" s="234"/>
      <c r="H20525" s="238"/>
      <c r="I20525" s="237"/>
    </row>
    <row r="20526" spans="1:9" s="232" customFormat="1" ht="17" customHeight="1">
      <c r="A20526" s="234"/>
      <c r="B20526" s="233"/>
      <c r="C20526" s="238"/>
      <c r="E20526" s="545"/>
      <c r="F20526" s="546"/>
      <c r="G20526" s="234"/>
      <c r="H20526" s="238"/>
      <c r="I20526" s="237"/>
    </row>
    <row r="20527" spans="1:9" s="232" customFormat="1" ht="17" customHeight="1">
      <c r="A20527" s="234"/>
      <c r="B20527" s="233"/>
      <c r="C20527" s="238"/>
      <c r="E20527" s="545"/>
      <c r="F20527" s="546"/>
      <c r="G20527" s="234"/>
      <c r="H20527" s="238"/>
      <c r="I20527" s="237"/>
    </row>
    <row r="20528" spans="1:9" s="232" customFormat="1" ht="17" customHeight="1">
      <c r="A20528" s="234"/>
      <c r="B20528" s="233"/>
      <c r="C20528" s="238"/>
      <c r="E20528" s="545"/>
      <c r="F20528" s="546"/>
      <c r="G20528" s="234"/>
      <c r="H20528" s="238"/>
      <c r="I20528" s="237"/>
    </row>
    <row r="20529" spans="1:9" s="232" customFormat="1" ht="17" customHeight="1">
      <c r="A20529" s="234"/>
      <c r="B20529" s="233"/>
      <c r="C20529" s="238"/>
      <c r="E20529" s="545"/>
      <c r="F20529" s="546"/>
      <c r="G20529" s="234"/>
      <c r="H20529" s="238"/>
      <c r="I20529" s="237"/>
    </row>
    <row r="20530" spans="1:9" s="232" customFormat="1" ht="17" customHeight="1">
      <c r="A20530" s="234"/>
      <c r="B20530" s="233"/>
      <c r="C20530" s="238"/>
      <c r="E20530" s="545"/>
      <c r="F20530" s="546"/>
      <c r="G20530" s="234"/>
      <c r="H20530" s="238"/>
      <c r="I20530" s="237"/>
    </row>
    <row r="20531" spans="1:9" s="232" customFormat="1" ht="17" customHeight="1">
      <c r="A20531" s="234"/>
      <c r="B20531" s="233"/>
      <c r="C20531" s="238"/>
      <c r="E20531" s="545"/>
      <c r="F20531" s="546"/>
      <c r="G20531" s="234"/>
      <c r="H20531" s="238"/>
      <c r="I20531" s="237"/>
    </row>
    <row r="20532" spans="1:9" s="232" customFormat="1" ht="17" customHeight="1">
      <c r="A20532" s="234"/>
      <c r="B20532" s="233"/>
      <c r="C20532" s="238"/>
      <c r="E20532" s="545"/>
      <c r="F20532" s="546"/>
      <c r="G20532" s="234"/>
      <c r="H20532" s="238"/>
      <c r="I20532" s="237"/>
    </row>
    <row r="20533" spans="1:9" s="232" customFormat="1" ht="17" customHeight="1">
      <c r="A20533" s="234"/>
      <c r="B20533" s="233"/>
      <c r="C20533" s="238"/>
      <c r="E20533" s="545"/>
      <c r="F20533" s="546"/>
      <c r="G20533" s="234"/>
      <c r="H20533" s="238"/>
      <c r="I20533" s="237"/>
    </row>
    <row r="20534" spans="1:9" s="232" customFormat="1" ht="17" customHeight="1">
      <c r="A20534" s="234"/>
      <c r="B20534" s="233"/>
      <c r="C20534" s="238"/>
      <c r="E20534" s="545"/>
      <c r="F20534" s="546"/>
      <c r="G20534" s="234"/>
      <c r="H20534" s="238"/>
      <c r="I20534" s="237"/>
    </row>
    <row r="20535" spans="1:9" s="232" customFormat="1" ht="17" customHeight="1">
      <c r="A20535" s="234"/>
      <c r="B20535" s="233"/>
      <c r="C20535" s="238"/>
      <c r="E20535" s="545"/>
      <c r="F20535" s="546"/>
      <c r="G20535" s="234"/>
      <c r="H20535" s="238"/>
      <c r="I20535" s="237"/>
    </row>
    <row r="20536" spans="1:9" s="232" customFormat="1" ht="17" customHeight="1">
      <c r="A20536" s="234"/>
      <c r="B20536" s="233"/>
      <c r="C20536" s="238"/>
      <c r="E20536" s="545"/>
      <c r="F20536" s="546"/>
      <c r="G20536" s="234"/>
      <c r="H20536" s="238"/>
      <c r="I20536" s="237"/>
    </row>
    <row r="20537" spans="1:9" s="232" customFormat="1" ht="17" customHeight="1">
      <c r="A20537" s="234"/>
      <c r="B20537" s="233"/>
      <c r="C20537" s="238"/>
      <c r="E20537" s="545"/>
      <c r="F20537" s="546"/>
      <c r="G20537" s="234"/>
      <c r="H20537" s="238"/>
      <c r="I20537" s="237"/>
    </row>
    <row r="20538" spans="1:9" s="232" customFormat="1" ht="17" customHeight="1">
      <c r="A20538" s="234"/>
      <c r="B20538" s="233"/>
      <c r="C20538" s="238"/>
      <c r="E20538" s="545"/>
      <c r="F20538" s="546"/>
      <c r="G20538" s="234"/>
      <c r="H20538" s="238"/>
      <c r="I20538" s="237"/>
    </row>
    <row r="20539" spans="1:9" s="232" customFormat="1" ht="17" customHeight="1">
      <c r="A20539" s="234"/>
      <c r="B20539" s="233"/>
      <c r="C20539" s="238"/>
      <c r="E20539" s="545"/>
      <c r="F20539" s="546"/>
      <c r="G20539" s="234"/>
      <c r="H20539" s="238"/>
      <c r="I20539" s="237"/>
    </row>
    <row r="20540" spans="1:9" s="232" customFormat="1" ht="17" customHeight="1">
      <c r="A20540" s="234"/>
      <c r="B20540" s="233"/>
      <c r="C20540" s="238"/>
      <c r="E20540" s="545"/>
      <c r="F20540" s="546"/>
      <c r="G20540" s="234"/>
      <c r="H20540" s="238"/>
      <c r="I20540" s="237"/>
    </row>
    <row r="20541" spans="1:9" s="232" customFormat="1" ht="17" customHeight="1">
      <c r="A20541" s="234"/>
      <c r="B20541" s="233"/>
      <c r="C20541" s="238"/>
      <c r="E20541" s="545"/>
      <c r="F20541" s="546"/>
      <c r="G20541" s="234"/>
      <c r="H20541" s="238"/>
      <c r="I20541" s="237"/>
    </row>
    <row r="20542" spans="1:9" s="232" customFormat="1" ht="17" customHeight="1">
      <c r="A20542" s="234"/>
      <c r="B20542" s="233"/>
      <c r="C20542" s="238"/>
      <c r="E20542" s="545"/>
      <c r="F20542" s="546"/>
      <c r="G20542" s="234"/>
      <c r="H20542" s="238"/>
      <c r="I20542" s="237"/>
    </row>
    <row r="20543" spans="1:9" s="232" customFormat="1" ht="17" customHeight="1">
      <c r="A20543" s="234"/>
      <c r="B20543" s="233"/>
      <c r="C20543" s="238"/>
      <c r="E20543" s="545"/>
      <c r="F20543" s="546"/>
      <c r="G20543" s="234"/>
      <c r="H20543" s="238"/>
      <c r="I20543" s="237"/>
    </row>
    <row r="20544" spans="1:9" s="232" customFormat="1" ht="17" customHeight="1">
      <c r="A20544" s="234"/>
      <c r="B20544" s="233"/>
      <c r="C20544" s="238"/>
      <c r="E20544" s="545"/>
      <c r="F20544" s="546"/>
      <c r="G20544" s="234"/>
      <c r="H20544" s="238"/>
      <c r="I20544" s="237"/>
    </row>
    <row r="20545" spans="1:9" s="232" customFormat="1" ht="17" customHeight="1">
      <c r="A20545" s="234"/>
      <c r="B20545" s="233"/>
      <c r="C20545" s="238"/>
      <c r="E20545" s="545"/>
      <c r="F20545" s="546"/>
      <c r="G20545" s="234"/>
      <c r="H20545" s="238"/>
      <c r="I20545" s="237"/>
    </row>
    <row r="20546" spans="1:9" s="232" customFormat="1" ht="17" customHeight="1">
      <c r="A20546" s="234"/>
      <c r="B20546" s="233"/>
      <c r="C20546" s="238"/>
      <c r="E20546" s="545"/>
      <c r="F20546" s="546"/>
      <c r="G20546" s="234"/>
      <c r="H20546" s="238"/>
      <c r="I20546" s="237"/>
    </row>
    <row r="20547" spans="1:9" s="232" customFormat="1" ht="17" customHeight="1">
      <c r="A20547" s="234"/>
      <c r="B20547" s="233"/>
      <c r="C20547" s="238"/>
      <c r="E20547" s="545"/>
      <c r="F20547" s="546"/>
      <c r="G20547" s="234"/>
      <c r="H20547" s="238"/>
      <c r="I20547" s="237"/>
    </row>
    <row r="20548" spans="1:9" s="232" customFormat="1" ht="17" customHeight="1">
      <c r="A20548" s="234"/>
      <c r="B20548" s="233"/>
      <c r="C20548" s="238"/>
      <c r="E20548" s="545"/>
      <c r="F20548" s="546"/>
      <c r="G20548" s="234"/>
      <c r="H20548" s="238"/>
      <c r="I20548" s="237"/>
    </row>
    <row r="20549" spans="1:9" s="232" customFormat="1" ht="17" customHeight="1">
      <c r="A20549" s="234"/>
      <c r="B20549" s="233"/>
      <c r="C20549" s="238"/>
      <c r="E20549" s="545"/>
      <c r="F20549" s="546"/>
      <c r="G20549" s="234"/>
      <c r="H20549" s="238"/>
      <c r="I20549" s="237"/>
    </row>
    <row r="20550" spans="1:9" s="232" customFormat="1" ht="17" customHeight="1">
      <c r="A20550" s="234"/>
      <c r="B20550" s="233"/>
      <c r="C20550" s="238"/>
      <c r="E20550" s="545"/>
      <c r="F20550" s="546"/>
      <c r="G20550" s="234"/>
      <c r="H20550" s="238"/>
      <c r="I20550" s="237"/>
    </row>
    <row r="20551" spans="1:9" s="232" customFormat="1" ht="17" customHeight="1">
      <c r="A20551" s="234"/>
      <c r="B20551" s="233"/>
      <c r="C20551" s="238"/>
      <c r="E20551" s="545"/>
      <c r="F20551" s="546"/>
      <c r="G20551" s="234"/>
      <c r="H20551" s="238"/>
      <c r="I20551" s="237"/>
    </row>
    <row r="20552" spans="1:9" s="232" customFormat="1" ht="17" customHeight="1">
      <c r="A20552" s="234"/>
      <c r="B20552" s="233"/>
      <c r="C20552" s="238"/>
      <c r="E20552" s="545"/>
      <c r="F20552" s="546"/>
      <c r="G20552" s="234"/>
      <c r="H20552" s="238"/>
      <c r="I20552" s="237"/>
    </row>
    <row r="20553" spans="1:9" s="232" customFormat="1" ht="17" customHeight="1">
      <c r="A20553" s="234"/>
      <c r="B20553" s="233"/>
      <c r="C20553" s="238"/>
      <c r="E20553" s="545"/>
      <c r="F20553" s="546"/>
      <c r="G20553" s="234"/>
      <c r="H20553" s="238"/>
      <c r="I20553" s="237"/>
    </row>
    <row r="20554" spans="1:9" s="232" customFormat="1" ht="17" customHeight="1">
      <c r="A20554" s="234"/>
      <c r="B20554" s="233"/>
      <c r="C20554" s="238"/>
      <c r="E20554" s="545"/>
      <c r="F20554" s="546"/>
      <c r="G20554" s="234"/>
      <c r="H20554" s="238"/>
      <c r="I20554" s="237"/>
    </row>
    <row r="20555" spans="1:9" s="232" customFormat="1" ht="17" customHeight="1">
      <c r="A20555" s="234"/>
      <c r="B20555" s="233"/>
      <c r="C20555" s="238"/>
      <c r="E20555" s="545"/>
      <c r="F20555" s="546"/>
      <c r="G20555" s="234"/>
      <c r="H20555" s="238"/>
      <c r="I20555" s="237"/>
    </row>
    <row r="20556" spans="1:9" s="232" customFormat="1" ht="17" customHeight="1">
      <c r="A20556" s="234"/>
      <c r="B20556" s="233"/>
      <c r="C20556" s="238"/>
      <c r="E20556" s="545"/>
      <c r="F20556" s="546"/>
      <c r="G20556" s="234"/>
      <c r="H20556" s="238"/>
      <c r="I20556" s="237"/>
    </row>
    <row r="20557" spans="1:9" s="232" customFormat="1" ht="17" customHeight="1">
      <c r="A20557" s="234"/>
      <c r="B20557" s="233"/>
      <c r="C20557" s="238"/>
      <c r="E20557" s="545"/>
      <c r="F20557" s="546"/>
      <c r="G20557" s="234"/>
      <c r="H20557" s="238"/>
      <c r="I20557" s="237"/>
    </row>
    <row r="20558" spans="1:9" s="232" customFormat="1" ht="17" customHeight="1">
      <c r="A20558" s="234"/>
      <c r="B20558" s="233"/>
      <c r="C20558" s="238"/>
      <c r="E20558" s="545"/>
      <c r="F20558" s="546"/>
      <c r="G20558" s="234"/>
      <c r="H20558" s="238"/>
      <c r="I20558" s="237"/>
    </row>
    <row r="20559" spans="1:9" s="232" customFormat="1" ht="17" customHeight="1">
      <c r="A20559" s="234"/>
      <c r="B20559" s="233"/>
      <c r="C20559" s="238"/>
      <c r="E20559" s="545"/>
      <c r="F20559" s="546"/>
      <c r="G20559" s="234"/>
      <c r="H20559" s="238"/>
      <c r="I20559" s="237"/>
    </row>
    <row r="20560" spans="1:9" s="232" customFormat="1" ht="17" customHeight="1">
      <c r="A20560" s="234"/>
      <c r="B20560" s="233"/>
      <c r="C20560" s="238"/>
      <c r="E20560" s="545"/>
      <c r="F20560" s="546"/>
      <c r="G20560" s="234"/>
      <c r="H20560" s="238"/>
      <c r="I20560" s="237"/>
    </row>
    <row r="20561" spans="1:9" s="232" customFormat="1" ht="17" customHeight="1">
      <c r="A20561" s="234"/>
      <c r="B20561" s="233"/>
      <c r="C20561" s="238"/>
      <c r="E20561" s="545"/>
      <c r="F20561" s="546"/>
      <c r="G20561" s="234"/>
      <c r="H20561" s="238"/>
      <c r="I20561" s="237"/>
    </row>
    <row r="20562" spans="1:9" s="232" customFormat="1" ht="17" customHeight="1">
      <c r="A20562" s="234"/>
      <c r="B20562" s="233"/>
      <c r="C20562" s="238"/>
      <c r="E20562" s="545"/>
      <c r="F20562" s="546"/>
      <c r="G20562" s="234"/>
      <c r="H20562" s="238"/>
      <c r="I20562" s="237"/>
    </row>
    <row r="20563" spans="1:9" s="232" customFormat="1" ht="17" customHeight="1">
      <c r="A20563" s="234"/>
      <c r="B20563" s="233"/>
      <c r="C20563" s="238"/>
      <c r="E20563" s="545"/>
      <c r="F20563" s="546"/>
      <c r="G20563" s="234"/>
      <c r="H20563" s="238"/>
      <c r="I20563" s="237"/>
    </row>
    <row r="20564" spans="1:9" s="232" customFormat="1" ht="17" customHeight="1">
      <c r="A20564" s="234"/>
      <c r="B20564" s="233"/>
      <c r="C20564" s="238"/>
      <c r="E20564" s="545"/>
      <c r="F20564" s="546"/>
      <c r="G20564" s="234"/>
      <c r="H20564" s="238"/>
      <c r="I20564" s="237"/>
    </row>
    <row r="20565" spans="1:9" s="232" customFormat="1" ht="17" customHeight="1">
      <c r="A20565" s="234"/>
      <c r="B20565" s="233"/>
      <c r="C20565" s="238"/>
      <c r="E20565" s="545"/>
      <c r="F20565" s="546"/>
      <c r="G20565" s="234"/>
      <c r="H20565" s="238"/>
      <c r="I20565" s="237"/>
    </row>
    <row r="20566" spans="1:9" s="232" customFormat="1" ht="17" customHeight="1">
      <c r="A20566" s="234"/>
      <c r="B20566" s="233"/>
      <c r="C20566" s="238"/>
      <c r="E20566" s="545"/>
      <c r="F20566" s="546"/>
      <c r="G20566" s="234"/>
      <c r="H20566" s="238"/>
      <c r="I20566" s="237"/>
    </row>
    <row r="20567" spans="1:9" s="232" customFormat="1" ht="17" customHeight="1">
      <c r="A20567" s="234"/>
      <c r="B20567" s="233"/>
      <c r="C20567" s="238"/>
      <c r="E20567" s="545"/>
      <c r="F20567" s="546"/>
      <c r="G20567" s="234"/>
      <c r="H20567" s="238"/>
      <c r="I20567" s="237"/>
    </row>
    <row r="20568" spans="1:9" s="232" customFormat="1" ht="17" customHeight="1">
      <c r="A20568" s="234"/>
      <c r="B20568" s="233"/>
      <c r="C20568" s="238"/>
      <c r="E20568" s="545"/>
      <c r="F20568" s="546"/>
      <c r="G20568" s="234"/>
      <c r="H20568" s="238"/>
      <c r="I20568" s="237"/>
    </row>
    <row r="20569" spans="1:9" s="232" customFormat="1" ht="17" customHeight="1">
      <c r="A20569" s="234"/>
      <c r="B20569" s="233"/>
      <c r="C20569" s="238"/>
      <c r="E20569" s="545"/>
      <c r="F20569" s="546"/>
      <c r="G20569" s="234"/>
      <c r="H20569" s="238"/>
      <c r="I20569" s="237"/>
    </row>
    <row r="20570" spans="1:9" s="232" customFormat="1" ht="17" customHeight="1">
      <c r="A20570" s="234"/>
      <c r="B20570" s="233"/>
      <c r="C20570" s="238"/>
      <c r="E20570" s="545"/>
      <c r="F20570" s="546"/>
      <c r="G20570" s="234"/>
      <c r="H20570" s="238"/>
      <c r="I20570" s="237"/>
    </row>
    <row r="20571" spans="1:9" s="232" customFormat="1" ht="17" customHeight="1">
      <c r="A20571" s="234"/>
      <c r="B20571" s="233"/>
      <c r="C20571" s="238"/>
      <c r="E20571" s="545"/>
      <c r="F20571" s="546"/>
      <c r="G20571" s="234"/>
      <c r="H20571" s="238"/>
      <c r="I20571" s="237"/>
    </row>
    <row r="20572" spans="1:9" s="232" customFormat="1" ht="17" customHeight="1">
      <c r="A20572" s="234"/>
      <c r="B20572" s="233"/>
      <c r="C20572" s="238"/>
      <c r="E20572" s="545"/>
      <c r="F20572" s="546"/>
      <c r="G20572" s="234"/>
      <c r="H20572" s="238"/>
      <c r="I20572" s="237"/>
    </row>
    <row r="20573" spans="1:9" s="232" customFormat="1" ht="17" customHeight="1">
      <c r="A20573" s="234"/>
      <c r="B20573" s="233"/>
      <c r="C20573" s="238"/>
      <c r="E20573" s="545"/>
      <c r="F20573" s="546"/>
      <c r="G20573" s="234"/>
      <c r="H20573" s="238"/>
      <c r="I20573" s="237"/>
    </row>
    <row r="20574" spans="1:9" s="232" customFormat="1" ht="17" customHeight="1">
      <c r="A20574" s="234"/>
      <c r="B20574" s="233"/>
      <c r="C20574" s="238"/>
      <c r="E20574" s="545"/>
      <c r="F20574" s="546"/>
      <c r="G20574" s="234"/>
      <c r="H20574" s="238"/>
      <c r="I20574" s="237"/>
    </row>
    <row r="20575" spans="1:9" s="232" customFormat="1" ht="17" customHeight="1">
      <c r="A20575" s="234"/>
      <c r="B20575" s="233"/>
      <c r="C20575" s="238"/>
      <c r="E20575" s="545"/>
      <c r="F20575" s="546"/>
      <c r="G20575" s="234"/>
      <c r="H20575" s="238"/>
      <c r="I20575" s="237"/>
    </row>
    <row r="20576" spans="1:9" s="232" customFormat="1" ht="17" customHeight="1">
      <c r="A20576" s="234"/>
      <c r="B20576" s="233"/>
      <c r="C20576" s="238"/>
      <c r="E20576" s="545"/>
      <c r="F20576" s="546"/>
      <c r="G20576" s="234"/>
      <c r="H20576" s="238"/>
      <c r="I20576" s="237"/>
    </row>
    <row r="20577" spans="1:9" s="232" customFormat="1" ht="17" customHeight="1">
      <c r="A20577" s="234"/>
      <c r="B20577" s="233"/>
      <c r="C20577" s="238"/>
      <c r="E20577" s="545"/>
      <c r="F20577" s="546"/>
      <c r="G20577" s="234"/>
      <c r="H20577" s="238"/>
      <c r="I20577" s="237"/>
    </row>
    <row r="20578" spans="1:9" s="232" customFormat="1" ht="17" customHeight="1">
      <c r="A20578" s="234"/>
      <c r="B20578" s="233"/>
      <c r="C20578" s="238"/>
      <c r="E20578" s="545"/>
      <c r="F20578" s="546"/>
      <c r="G20578" s="234"/>
      <c r="H20578" s="238"/>
      <c r="I20578" s="237"/>
    </row>
    <row r="20579" spans="1:9" s="232" customFormat="1" ht="17" customHeight="1">
      <c r="A20579" s="234"/>
      <c r="B20579" s="233"/>
      <c r="C20579" s="238"/>
      <c r="E20579" s="545"/>
      <c r="F20579" s="546"/>
      <c r="G20579" s="234"/>
      <c r="H20579" s="238"/>
      <c r="I20579" s="237"/>
    </row>
    <row r="20580" spans="1:9" s="232" customFormat="1" ht="17" customHeight="1">
      <c r="A20580" s="234"/>
      <c r="B20580" s="233"/>
      <c r="C20580" s="238"/>
      <c r="E20580" s="545"/>
      <c r="F20580" s="546"/>
      <c r="G20580" s="234"/>
      <c r="H20580" s="238"/>
      <c r="I20580" s="237"/>
    </row>
    <row r="20581" spans="1:9" s="232" customFormat="1" ht="17" customHeight="1">
      <c r="A20581" s="234"/>
      <c r="B20581" s="233"/>
      <c r="C20581" s="238"/>
      <c r="E20581" s="545"/>
      <c r="F20581" s="546"/>
      <c r="G20581" s="234"/>
      <c r="H20581" s="238"/>
      <c r="I20581" s="237"/>
    </row>
    <row r="20582" spans="1:9" s="232" customFormat="1" ht="17" customHeight="1">
      <c r="A20582" s="234"/>
      <c r="B20582" s="233"/>
      <c r="C20582" s="238"/>
      <c r="E20582" s="545"/>
      <c r="F20582" s="546"/>
      <c r="G20582" s="234"/>
      <c r="H20582" s="238"/>
      <c r="I20582" s="237"/>
    </row>
    <row r="20583" spans="1:9" s="232" customFormat="1" ht="17" customHeight="1">
      <c r="A20583" s="234"/>
      <c r="B20583" s="233"/>
      <c r="C20583" s="238"/>
      <c r="E20583" s="545"/>
      <c r="F20583" s="546"/>
      <c r="G20583" s="234"/>
      <c r="H20583" s="238"/>
      <c r="I20583" s="237"/>
    </row>
    <row r="20584" spans="1:9" s="232" customFormat="1" ht="17" customHeight="1">
      <c r="A20584" s="234"/>
      <c r="B20584" s="233"/>
      <c r="C20584" s="238"/>
      <c r="E20584" s="545"/>
      <c r="F20584" s="546"/>
      <c r="G20584" s="234"/>
      <c r="H20584" s="238"/>
      <c r="I20584" s="237"/>
    </row>
    <row r="20585" spans="1:9" s="232" customFormat="1" ht="17" customHeight="1">
      <c r="A20585" s="234"/>
      <c r="B20585" s="233"/>
      <c r="C20585" s="238"/>
      <c r="E20585" s="545"/>
      <c r="F20585" s="546"/>
      <c r="G20585" s="234"/>
      <c r="H20585" s="238"/>
      <c r="I20585" s="237"/>
    </row>
    <row r="20586" spans="1:9" s="232" customFormat="1" ht="17" customHeight="1">
      <c r="A20586" s="234"/>
      <c r="B20586" s="233"/>
      <c r="C20586" s="238"/>
      <c r="E20586" s="545"/>
      <c r="F20586" s="546"/>
      <c r="G20586" s="234"/>
      <c r="H20586" s="238"/>
      <c r="I20586" s="237"/>
    </row>
    <row r="20587" spans="1:9" s="232" customFormat="1" ht="17" customHeight="1">
      <c r="A20587" s="234"/>
      <c r="B20587" s="233"/>
      <c r="C20587" s="238"/>
      <c r="E20587" s="545"/>
      <c r="F20587" s="546"/>
      <c r="G20587" s="234"/>
      <c r="H20587" s="238"/>
      <c r="I20587" s="237"/>
    </row>
    <row r="20588" spans="1:9" s="232" customFormat="1" ht="17" customHeight="1">
      <c r="A20588" s="234"/>
      <c r="B20588" s="233"/>
      <c r="C20588" s="238"/>
      <c r="E20588" s="545"/>
      <c r="F20588" s="546"/>
      <c r="G20588" s="234"/>
      <c r="H20588" s="238"/>
      <c r="I20588" s="237"/>
    </row>
    <row r="20589" spans="1:9" s="232" customFormat="1" ht="17" customHeight="1">
      <c r="A20589" s="234"/>
      <c r="B20589" s="233"/>
      <c r="C20589" s="238"/>
      <c r="E20589" s="545"/>
      <c r="F20589" s="546"/>
      <c r="G20589" s="234"/>
      <c r="H20589" s="238"/>
      <c r="I20589" s="237"/>
    </row>
    <row r="20590" spans="1:9" s="232" customFormat="1" ht="17" customHeight="1">
      <c r="A20590" s="234"/>
      <c r="B20590" s="233"/>
      <c r="C20590" s="238"/>
      <c r="E20590" s="545"/>
      <c r="F20590" s="546"/>
      <c r="G20590" s="234"/>
      <c r="H20590" s="238"/>
      <c r="I20590" s="237"/>
    </row>
    <row r="20591" spans="1:9" s="232" customFormat="1" ht="17" customHeight="1">
      <c r="A20591" s="234"/>
      <c r="B20591" s="233"/>
      <c r="C20591" s="238"/>
      <c r="E20591" s="545"/>
      <c r="F20591" s="546"/>
      <c r="G20591" s="234"/>
      <c r="H20591" s="238"/>
      <c r="I20591" s="237"/>
    </row>
    <row r="20592" spans="1:9" s="232" customFormat="1" ht="17" customHeight="1">
      <c r="A20592" s="234"/>
      <c r="B20592" s="233"/>
      <c r="C20592" s="238"/>
      <c r="E20592" s="545"/>
      <c r="F20592" s="546"/>
      <c r="G20592" s="234"/>
      <c r="H20592" s="238"/>
      <c r="I20592" s="237"/>
    </row>
    <row r="20593" spans="1:9" s="232" customFormat="1" ht="17" customHeight="1">
      <c r="A20593" s="234"/>
      <c r="B20593" s="233"/>
      <c r="C20593" s="238"/>
      <c r="E20593" s="545"/>
      <c r="F20593" s="546"/>
      <c r="G20593" s="234"/>
      <c r="H20593" s="238"/>
      <c r="I20593" s="237"/>
    </row>
    <row r="20594" spans="1:9" s="232" customFormat="1" ht="17" customHeight="1">
      <c r="A20594" s="234"/>
      <c r="B20594" s="233"/>
      <c r="C20594" s="238"/>
      <c r="E20594" s="545"/>
      <c r="F20594" s="546"/>
      <c r="G20594" s="234"/>
      <c r="H20594" s="238"/>
      <c r="I20594" s="237"/>
    </row>
    <row r="20595" spans="1:9" s="232" customFormat="1" ht="17" customHeight="1">
      <c r="A20595" s="234"/>
      <c r="B20595" s="233"/>
      <c r="C20595" s="238"/>
      <c r="E20595" s="545"/>
      <c r="F20595" s="546"/>
      <c r="G20595" s="234"/>
      <c r="H20595" s="238"/>
      <c r="I20595" s="237"/>
    </row>
    <row r="20596" spans="1:9" s="232" customFormat="1" ht="17" customHeight="1">
      <c r="A20596" s="234"/>
      <c r="B20596" s="233"/>
      <c r="C20596" s="238"/>
      <c r="E20596" s="545"/>
      <c r="F20596" s="546"/>
      <c r="G20596" s="234"/>
      <c r="H20596" s="238"/>
      <c r="I20596" s="237"/>
    </row>
    <row r="20597" spans="1:9" s="232" customFormat="1" ht="17" customHeight="1">
      <c r="A20597" s="234"/>
      <c r="B20597" s="233"/>
      <c r="C20597" s="238"/>
      <c r="E20597" s="545"/>
      <c r="F20597" s="546"/>
      <c r="G20597" s="234"/>
      <c r="H20597" s="238"/>
      <c r="I20597" s="237"/>
    </row>
    <row r="20598" spans="1:9" s="232" customFormat="1" ht="17" customHeight="1">
      <c r="A20598" s="234"/>
      <c r="B20598" s="233"/>
      <c r="C20598" s="238"/>
      <c r="E20598" s="545"/>
      <c r="F20598" s="546"/>
      <c r="G20598" s="234"/>
      <c r="H20598" s="238"/>
      <c r="I20598" s="237"/>
    </row>
    <row r="20599" spans="1:9" s="232" customFormat="1" ht="17" customHeight="1">
      <c r="A20599" s="234"/>
      <c r="B20599" s="233"/>
      <c r="C20599" s="238"/>
      <c r="E20599" s="545"/>
      <c r="F20599" s="546"/>
      <c r="G20599" s="234"/>
      <c r="H20599" s="238"/>
      <c r="I20599" s="237"/>
    </row>
    <row r="20600" spans="1:9" s="232" customFormat="1" ht="17" customHeight="1">
      <c r="A20600" s="234"/>
      <c r="B20600" s="233"/>
      <c r="C20600" s="238"/>
      <c r="E20600" s="545"/>
      <c r="F20600" s="546"/>
      <c r="G20600" s="234"/>
      <c r="H20600" s="238"/>
      <c r="I20600" s="237"/>
    </row>
    <row r="20601" spans="1:9" s="232" customFormat="1" ht="17" customHeight="1">
      <c r="A20601" s="234"/>
      <c r="B20601" s="233"/>
      <c r="C20601" s="238"/>
      <c r="E20601" s="545"/>
      <c r="F20601" s="546"/>
      <c r="G20601" s="234"/>
      <c r="H20601" s="238"/>
      <c r="I20601" s="237"/>
    </row>
    <row r="20602" spans="1:9" s="232" customFormat="1" ht="17" customHeight="1">
      <c r="A20602" s="234"/>
      <c r="B20602" s="233"/>
      <c r="C20602" s="238"/>
      <c r="E20602" s="545"/>
      <c r="F20602" s="546"/>
      <c r="G20602" s="234"/>
      <c r="H20602" s="238"/>
      <c r="I20602" s="237"/>
    </row>
    <row r="20603" spans="1:9" s="232" customFormat="1" ht="17" customHeight="1">
      <c r="A20603" s="234"/>
      <c r="B20603" s="233"/>
      <c r="C20603" s="238"/>
      <c r="E20603" s="545"/>
      <c r="F20603" s="546"/>
      <c r="G20603" s="234"/>
      <c r="H20603" s="238"/>
      <c r="I20603" s="237"/>
    </row>
    <row r="20604" spans="1:9" s="232" customFormat="1" ht="17" customHeight="1">
      <c r="A20604" s="234"/>
      <c r="B20604" s="233"/>
      <c r="C20604" s="238"/>
      <c r="E20604" s="545"/>
      <c r="F20604" s="546"/>
      <c r="G20604" s="234"/>
      <c r="H20604" s="238"/>
      <c r="I20604" s="237"/>
    </row>
    <row r="20605" spans="1:9" s="232" customFormat="1" ht="17" customHeight="1">
      <c r="A20605" s="234"/>
      <c r="B20605" s="233"/>
      <c r="C20605" s="238"/>
      <c r="E20605" s="545"/>
      <c r="F20605" s="546"/>
      <c r="G20605" s="234"/>
      <c r="H20605" s="238"/>
      <c r="I20605" s="237"/>
    </row>
    <row r="20606" spans="1:9" s="232" customFormat="1" ht="17" customHeight="1">
      <c r="A20606" s="234"/>
      <c r="B20606" s="233"/>
      <c r="C20606" s="238"/>
      <c r="E20606" s="545"/>
      <c r="F20606" s="546"/>
      <c r="G20606" s="234"/>
      <c r="H20606" s="238"/>
      <c r="I20606" s="237"/>
    </row>
    <row r="20607" spans="1:9" s="232" customFormat="1" ht="17" customHeight="1">
      <c r="A20607" s="234"/>
      <c r="B20607" s="233"/>
      <c r="C20607" s="238"/>
      <c r="E20607" s="545"/>
      <c r="F20607" s="546"/>
      <c r="G20607" s="234"/>
      <c r="H20607" s="238"/>
      <c r="I20607" s="237"/>
    </row>
    <row r="20608" spans="1:9" s="232" customFormat="1" ht="17" customHeight="1">
      <c r="A20608" s="234"/>
      <c r="B20608" s="233"/>
      <c r="C20608" s="238"/>
      <c r="E20608" s="545"/>
      <c r="F20608" s="546"/>
      <c r="G20608" s="234"/>
      <c r="H20608" s="238"/>
      <c r="I20608" s="237"/>
    </row>
    <row r="20609" spans="1:9" s="232" customFormat="1" ht="17" customHeight="1">
      <c r="A20609" s="234"/>
      <c r="B20609" s="233"/>
      <c r="C20609" s="238"/>
      <c r="E20609" s="545"/>
      <c r="F20609" s="546"/>
      <c r="G20609" s="234"/>
      <c r="H20609" s="238"/>
      <c r="I20609" s="237"/>
    </row>
    <row r="20610" spans="1:9" s="232" customFormat="1" ht="17" customHeight="1">
      <c r="A20610" s="234"/>
      <c r="B20610" s="233"/>
      <c r="C20610" s="238"/>
      <c r="E20610" s="545"/>
      <c r="F20610" s="546"/>
      <c r="G20610" s="234"/>
      <c r="H20610" s="238"/>
      <c r="I20610" s="237"/>
    </row>
    <row r="20611" spans="1:9" s="232" customFormat="1" ht="17" customHeight="1">
      <c r="A20611" s="234"/>
      <c r="B20611" s="233"/>
      <c r="C20611" s="238"/>
      <c r="E20611" s="545"/>
      <c r="F20611" s="546"/>
      <c r="G20611" s="234"/>
      <c r="H20611" s="238"/>
      <c r="I20611" s="237"/>
    </row>
    <row r="20612" spans="1:9" s="232" customFormat="1" ht="17" customHeight="1">
      <c r="A20612" s="234"/>
      <c r="B20612" s="233"/>
      <c r="C20612" s="238"/>
      <c r="E20612" s="545"/>
      <c r="F20612" s="546"/>
      <c r="G20612" s="234"/>
      <c r="H20612" s="238"/>
      <c r="I20612" s="237"/>
    </row>
    <row r="20613" spans="1:9" s="232" customFormat="1" ht="17" customHeight="1">
      <c r="A20613" s="234"/>
      <c r="B20613" s="233"/>
      <c r="C20613" s="238"/>
      <c r="E20613" s="545"/>
      <c r="F20613" s="546"/>
      <c r="G20613" s="234"/>
      <c r="H20613" s="238"/>
      <c r="I20613" s="237"/>
    </row>
    <row r="20614" spans="1:9" s="232" customFormat="1" ht="17" customHeight="1">
      <c r="A20614" s="234"/>
      <c r="B20614" s="233"/>
      <c r="C20614" s="238"/>
      <c r="E20614" s="545"/>
      <c r="F20614" s="546"/>
      <c r="G20614" s="234"/>
      <c r="H20614" s="238"/>
      <c r="I20614" s="237"/>
    </row>
    <row r="20615" spans="1:9" s="232" customFormat="1" ht="17" customHeight="1">
      <c r="A20615" s="234"/>
      <c r="B20615" s="233"/>
      <c r="C20615" s="238"/>
      <c r="E20615" s="545"/>
      <c r="F20615" s="546"/>
      <c r="G20615" s="234"/>
      <c r="H20615" s="238"/>
      <c r="I20615" s="237"/>
    </row>
    <row r="20616" spans="1:9" s="232" customFormat="1" ht="17" customHeight="1">
      <c r="A20616" s="234"/>
      <c r="B20616" s="233"/>
      <c r="C20616" s="238"/>
      <c r="E20616" s="545"/>
      <c r="F20616" s="546"/>
      <c r="G20616" s="234"/>
      <c r="H20616" s="238"/>
      <c r="I20616" s="237"/>
    </row>
    <row r="20617" spans="1:9" s="232" customFormat="1" ht="17" customHeight="1">
      <c r="A20617" s="234"/>
      <c r="B20617" s="233"/>
      <c r="C20617" s="238"/>
      <c r="E20617" s="545"/>
      <c r="F20617" s="546"/>
      <c r="G20617" s="234"/>
      <c r="H20617" s="238"/>
      <c r="I20617" s="237"/>
    </row>
    <row r="20618" spans="1:9" s="232" customFormat="1" ht="17" customHeight="1">
      <c r="A20618" s="234"/>
      <c r="B20618" s="233"/>
      <c r="C20618" s="238"/>
      <c r="E20618" s="545"/>
      <c r="F20618" s="546"/>
      <c r="G20618" s="234"/>
      <c r="H20618" s="238"/>
      <c r="I20618" s="237"/>
    </row>
    <row r="20619" spans="1:9" s="232" customFormat="1" ht="17" customHeight="1">
      <c r="A20619" s="234"/>
      <c r="B20619" s="233"/>
      <c r="C20619" s="238"/>
      <c r="E20619" s="545"/>
      <c r="F20619" s="546"/>
      <c r="G20619" s="234"/>
      <c r="H20619" s="238"/>
      <c r="I20619" s="237"/>
    </row>
    <row r="20620" spans="1:9" s="232" customFormat="1" ht="17" customHeight="1">
      <c r="A20620" s="234"/>
      <c r="B20620" s="233"/>
      <c r="C20620" s="238"/>
      <c r="E20620" s="545"/>
      <c r="F20620" s="546"/>
      <c r="G20620" s="234"/>
      <c r="H20620" s="238"/>
      <c r="I20620" s="237"/>
    </row>
    <row r="20621" spans="1:9" s="232" customFormat="1" ht="17" customHeight="1">
      <c r="A20621" s="234"/>
      <c r="B20621" s="233"/>
      <c r="C20621" s="238"/>
      <c r="E20621" s="545"/>
      <c r="F20621" s="546"/>
      <c r="G20621" s="234"/>
      <c r="H20621" s="238"/>
      <c r="I20621" s="237"/>
    </row>
    <row r="20622" spans="1:9" s="232" customFormat="1" ht="17" customHeight="1">
      <c r="A20622" s="234"/>
      <c r="B20622" s="233"/>
      <c r="C20622" s="238"/>
      <c r="E20622" s="545"/>
      <c r="F20622" s="546"/>
      <c r="G20622" s="234"/>
      <c r="H20622" s="238"/>
      <c r="I20622" s="237"/>
    </row>
    <row r="20623" spans="1:9" s="232" customFormat="1" ht="17" customHeight="1">
      <c r="A20623" s="234"/>
      <c r="B20623" s="233"/>
      <c r="C20623" s="238"/>
      <c r="E20623" s="545"/>
      <c r="F20623" s="546"/>
      <c r="G20623" s="234"/>
      <c r="H20623" s="238"/>
      <c r="I20623" s="237"/>
    </row>
    <row r="20624" spans="1:9" s="232" customFormat="1" ht="17" customHeight="1">
      <c r="A20624" s="234"/>
      <c r="B20624" s="233"/>
      <c r="C20624" s="238"/>
      <c r="E20624" s="545"/>
      <c r="F20624" s="546"/>
      <c r="G20624" s="234"/>
      <c r="H20624" s="238"/>
      <c r="I20624" s="237"/>
    </row>
    <row r="20625" spans="1:9" s="232" customFormat="1" ht="17" customHeight="1">
      <c r="A20625" s="234"/>
      <c r="B20625" s="233"/>
      <c r="C20625" s="238"/>
      <c r="E20625" s="545"/>
      <c r="F20625" s="546"/>
      <c r="G20625" s="234"/>
      <c r="H20625" s="238"/>
      <c r="I20625" s="237"/>
    </row>
    <row r="20626" spans="1:9" s="232" customFormat="1" ht="17" customHeight="1">
      <c r="A20626" s="234"/>
      <c r="B20626" s="233"/>
      <c r="C20626" s="238"/>
      <c r="E20626" s="545"/>
      <c r="F20626" s="546"/>
      <c r="G20626" s="234"/>
      <c r="H20626" s="238"/>
      <c r="I20626" s="237"/>
    </row>
    <row r="20627" spans="1:9" s="232" customFormat="1" ht="17" customHeight="1">
      <c r="A20627" s="234"/>
      <c r="B20627" s="233"/>
      <c r="C20627" s="238"/>
      <c r="E20627" s="545"/>
      <c r="F20627" s="546"/>
      <c r="G20627" s="234"/>
      <c r="H20627" s="238"/>
      <c r="I20627" s="237"/>
    </row>
    <row r="20628" spans="1:9" s="232" customFormat="1" ht="17" customHeight="1">
      <c r="A20628" s="234"/>
      <c r="B20628" s="233"/>
      <c r="C20628" s="238"/>
      <c r="E20628" s="545"/>
      <c r="F20628" s="546"/>
      <c r="G20628" s="234"/>
      <c r="H20628" s="238"/>
      <c r="I20628" s="237"/>
    </row>
    <row r="20629" spans="1:9" s="232" customFormat="1" ht="17" customHeight="1">
      <c r="A20629" s="234"/>
      <c r="B20629" s="233"/>
      <c r="C20629" s="238"/>
      <c r="E20629" s="545"/>
      <c r="F20629" s="546"/>
      <c r="G20629" s="234"/>
      <c r="H20629" s="238"/>
      <c r="I20629" s="237"/>
    </row>
    <row r="20630" spans="1:9" s="232" customFormat="1" ht="17" customHeight="1">
      <c r="A20630" s="234"/>
      <c r="B20630" s="233"/>
      <c r="C20630" s="238"/>
      <c r="E20630" s="545"/>
      <c r="F20630" s="546"/>
      <c r="G20630" s="234"/>
      <c r="H20630" s="238"/>
      <c r="I20630" s="237"/>
    </row>
    <row r="20631" spans="1:9" s="232" customFormat="1" ht="17" customHeight="1">
      <c r="A20631" s="234"/>
      <c r="B20631" s="233"/>
      <c r="C20631" s="238"/>
      <c r="E20631" s="545"/>
      <c r="F20631" s="546"/>
      <c r="G20631" s="234"/>
      <c r="H20631" s="238"/>
      <c r="I20631" s="237"/>
    </row>
    <row r="20632" spans="1:9" s="232" customFormat="1" ht="17" customHeight="1">
      <c r="A20632" s="234"/>
      <c r="B20632" s="233"/>
      <c r="C20632" s="238"/>
      <c r="E20632" s="545"/>
      <c r="F20632" s="546"/>
      <c r="G20632" s="234"/>
      <c r="H20632" s="238"/>
      <c r="I20632" s="237"/>
    </row>
    <row r="20633" spans="1:9" s="232" customFormat="1" ht="17" customHeight="1">
      <c r="A20633" s="234"/>
      <c r="B20633" s="233"/>
      <c r="C20633" s="238"/>
      <c r="E20633" s="545"/>
      <c r="F20633" s="546"/>
      <c r="G20633" s="234"/>
      <c r="H20633" s="238"/>
      <c r="I20633" s="237"/>
    </row>
    <row r="20634" spans="1:9" s="232" customFormat="1" ht="17" customHeight="1">
      <c r="A20634" s="234"/>
      <c r="B20634" s="233"/>
      <c r="C20634" s="238"/>
      <c r="E20634" s="545"/>
      <c r="F20634" s="546"/>
      <c r="G20634" s="234"/>
      <c r="H20634" s="238"/>
      <c r="I20634" s="237"/>
    </row>
    <row r="20635" spans="1:9" s="232" customFormat="1" ht="17" customHeight="1">
      <c r="A20635" s="234"/>
      <c r="B20635" s="233"/>
      <c r="C20635" s="238"/>
      <c r="E20635" s="545"/>
      <c r="F20635" s="546"/>
      <c r="G20635" s="234"/>
      <c r="H20635" s="238"/>
      <c r="I20635" s="237"/>
    </row>
    <row r="20636" spans="1:9" s="232" customFormat="1" ht="17" customHeight="1">
      <c r="A20636" s="234"/>
      <c r="B20636" s="233"/>
      <c r="C20636" s="238"/>
      <c r="E20636" s="545"/>
      <c r="F20636" s="546"/>
      <c r="G20636" s="234"/>
      <c r="H20636" s="238"/>
      <c r="I20636" s="237"/>
    </row>
    <row r="20637" spans="1:9" s="232" customFormat="1" ht="17" customHeight="1">
      <c r="A20637" s="234"/>
      <c r="B20637" s="233"/>
      <c r="C20637" s="238"/>
      <c r="E20637" s="545"/>
      <c r="F20637" s="546"/>
      <c r="G20637" s="234"/>
      <c r="H20637" s="238"/>
      <c r="I20637" s="237"/>
    </row>
    <row r="20638" spans="1:9" s="232" customFormat="1" ht="17" customHeight="1">
      <c r="A20638" s="234"/>
      <c r="B20638" s="233"/>
      <c r="C20638" s="238"/>
      <c r="E20638" s="545"/>
      <c r="F20638" s="546"/>
      <c r="G20638" s="234"/>
      <c r="H20638" s="238"/>
      <c r="I20638" s="237"/>
    </row>
    <row r="20639" spans="1:9" s="232" customFormat="1" ht="17" customHeight="1">
      <c r="A20639" s="234"/>
      <c r="B20639" s="233"/>
      <c r="C20639" s="238"/>
      <c r="E20639" s="545"/>
      <c r="F20639" s="546"/>
      <c r="G20639" s="234"/>
      <c r="H20639" s="238"/>
      <c r="I20639" s="237"/>
    </row>
    <row r="20640" spans="1:9" s="232" customFormat="1" ht="17" customHeight="1">
      <c r="A20640" s="234"/>
      <c r="B20640" s="233"/>
      <c r="C20640" s="238"/>
      <c r="E20640" s="545"/>
      <c r="F20640" s="546"/>
      <c r="G20640" s="234"/>
      <c r="H20640" s="238"/>
      <c r="I20640" s="237"/>
    </row>
    <row r="20641" spans="1:9" s="232" customFormat="1" ht="17" customHeight="1">
      <c r="A20641" s="234"/>
      <c r="B20641" s="233"/>
      <c r="C20641" s="238"/>
      <c r="E20641" s="545"/>
      <c r="F20641" s="546"/>
      <c r="G20641" s="234"/>
      <c r="H20641" s="238"/>
      <c r="I20641" s="237"/>
    </row>
    <row r="20642" spans="1:9" s="232" customFormat="1" ht="17" customHeight="1">
      <c r="A20642" s="234"/>
      <c r="B20642" s="233"/>
      <c r="C20642" s="238"/>
      <c r="E20642" s="545"/>
      <c r="F20642" s="546"/>
      <c r="G20642" s="234"/>
      <c r="H20642" s="238"/>
      <c r="I20642" s="237"/>
    </row>
    <row r="20643" spans="1:9" s="232" customFormat="1" ht="17" customHeight="1">
      <c r="A20643" s="234"/>
      <c r="B20643" s="233"/>
      <c r="C20643" s="238"/>
      <c r="E20643" s="545"/>
      <c r="F20643" s="546"/>
      <c r="G20643" s="234"/>
      <c r="H20643" s="238"/>
      <c r="I20643" s="237"/>
    </row>
    <row r="20644" spans="1:9" s="232" customFormat="1" ht="17" customHeight="1">
      <c r="A20644" s="234"/>
      <c r="B20644" s="233"/>
      <c r="C20644" s="238"/>
      <c r="E20644" s="545"/>
      <c r="F20644" s="546"/>
      <c r="G20644" s="234"/>
      <c r="H20644" s="238"/>
      <c r="I20644" s="237"/>
    </row>
    <row r="20645" spans="1:9" s="232" customFormat="1" ht="17" customHeight="1">
      <c r="A20645" s="234"/>
      <c r="B20645" s="233"/>
      <c r="C20645" s="238"/>
      <c r="E20645" s="545"/>
      <c r="F20645" s="546"/>
      <c r="G20645" s="234"/>
      <c r="H20645" s="238"/>
      <c r="I20645" s="237"/>
    </row>
    <row r="20646" spans="1:9" s="232" customFormat="1" ht="17" customHeight="1">
      <c r="A20646" s="234"/>
      <c r="B20646" s="233"/>
      <c r="C20646" s="238"/>
      <c r="E20646" s="545"/>
      <c r="F20646" s="546"/>
      <c r="G20646" s="234"/>
      <c r="H20646" s="238"/>
      <c r="I20646" s="237"/>
    </row>
    <row r="20647" spans="1:9" s="232" customFormat="1" ht="17" customHeight="1">
      <c r="A20647" s="234"/>
      <c r="B20647" s="233"/>
      <c r="C20647" s="238"/>
      <c r="E20647" s="545"/>
      <c r="F20647" s="546"/>
      <c r="G20647" s="234"/>
      <c r="H20647" s="238"/>
      <c r="I20647" s="237"/>
    </row>
    <row r="20648" spans="1:9" s="232" customFormat="1" ht="17" customHeight="1">
      <c r="A20648" s="234"/>
      <c r="B20648" s="233"/>
      <c r="C20648" s="238"/>
      <c r="E20648" s="545"/>
      <c r="F20648" s="546"/>
      <c r="G20648" s="234"/>
      <c r="H20648" s="238"/>
      <c r="I20648" s="237"/>
    </row>
    <row r="20649" spans="1:9" s="232" customFormat="1" ht="17" customHeight="1">
      <c r="A20649" s="234"/>
      <c r="B20649" s="233"/>
      <c r="C20649" s="238"/>
      <c r="E20649" s="545"/>
      <c r="F20649" s="546"/>
      <c r="G20649" s="234"/>
      <c r="H20649" s="238"/>
      <c r="I20649" s="237"/>
    </row>
    <row r="20650" spans="1:9" s="232" customFormat="1" ht="17" customHeight="1">
      <c r="A20650" s="234"/>
      <c r="B20650" s="233"/>
      <c r="C20650" s="238"/>
      <c r="E20650" s="545"/>
      <c r="F20650" s="546"/>
      <c r="G20650" s="234"/>
      <c r="H20650" s="238"/>
      <c r="I20650" s="237"/>
    </row>
    <row r="20651" spans="1:9" s="232" customFormat="1" ht="17" customHeight="1">
      <c r="A20651" s="234"/>
      <c r="B20651" s="233"/>
      <c r="C20651" s="238"/>
      <c r="E20651" s="545"/>
      <c r="F20651" s="546"/>
      <c r="G20651" s="234"/>
      <c r="H20651" s="238"/>
      <c r="I20651" s="237"/>
    </row>
    <row r="20652" spans="1:9" s="232" customFormat="1" ht="17" customHeight="1">
      <c r="A20652" s="234"/>
      <c r="B20652" s="233"/>
      <c r="C20652" s="238"/>
      <c r="E20652" s="545"/>
      <c r="F20652" s="546"/>
      <c r="G20652" s="234"/>
      <c r="H20652" s="238"/>
      <c r="I20652" s="237"/>
    </row>
    <row r="20653" spans="1:9" s="232" customFormat="1" ht="17" customHeight="1">
      <c r="A20653" s="234"/>
      <c r="B20653" s="233"/>
      <c r="C20653" s="238"/>
      <c r="E20653" s="545"/>
      <c r="F20653" s="546"/>
      <c r="G20653" s="234"/>
      <c r="H20653" s="238"/>
      <c r="I20653" s="237"/>
    </row>
    <row r="20654" spans="1:9" s="232" customFormat="1" ht="17" customHeight="1">
      <c r="A20654" s="234"/>
      <c r="B20654" s="233"/>
      <c r="C20654" s="238"/>
      <c r="E20654" s="545"/>
      <c r="F20654" s="546"/>
      <c r="G20654" s="234"/>
      <c r="H20654" s="238"/>
      <c r="I20654" s="237"/>
    </row>
    <row r="20655" spans="1:9" s="232" customFormat="1" ht="17" customHeight="1">
      <c r="A20655" s="234"/>
      <c r="B20655" s="233"/>
      <c r="C20655" s="238"/>
      <c r="E20655" s="545"/>
      <c r="F20655" s="546"/>
      <c r="G20655" s="234"/>
      <c r="H20655" s="238"/>
      <c r="I20655" s="237"/>
    </row>
    <row r="20656" spans="1:9" s="232" customFormat="1" ht="17" customHeight="1">
      <c r="A20656" s="234"/>
      <c r="B20656" s="233"/>
      <c r="C20656" s="238"/>
      <c r="E20656" s="545"/>
      <c r="F20656" s="546"/>
      <c r="G20656" s="234"/>
      <c r="H20656" s="238"/>
      <c r="I20656" s="237"/>
    </row>
    <row r="20657" spans="1:9" s="232" customFormat="1" ht="17" customHeight="1">
      <c r="A20657" s="234"/>
      <c r="B20657" s="233"/>
      <c r="C20657" s="238"/>
      <c r="E20657" s="545"/>
      <c r="F20657" s="546"/>
      <c r="G20657" s="234"/>
      <c r="H20657" s="238"/>
      <c r="I20657" s="237"/>
    </row>
    <row r="20658" spans="1:9" s="232" customFormat="1" ht="17" customHeight="1">
      <c r="A20658" s="234"/>
      <c r="B20658" s="233"/>
      <c r="C20658" s="238"/>
      <c r="E20658" s="545"/>
      <c r="F20658" s="546"/>
      <c r="G20658" s="234"/>
      <c r="H20658" s="238"/>
      <c r="I20658" s="237"/>
    </row>
    <row r="20659" spans="1:9" s="232" customFormat="1" ht="17" customHeight="1">
      <c r="A20659" s="234"/>
      <c r="B20659" s="233"/>
      <c r="C20659" s="238"/>
      <c r="E20659" s="545"/>
      <c r="F20659" s="546"/>
      <c r="G20659" s="234"/>
      <c r="H20659" s="238"/>
      <c r="I20659" s="237"/>
    </row>
    <row r="20660" spans="1:9" s="232" customFormat="1" ht="17" customHeight="1">
      <c r="A20660" s="234"/>
      <c r="B20660" s="233"/>
      <c r="C20660" s="238"/>
      <c r="E20660" s="545"/>
      <c r="F20660" s="546"/>
      <c r="G20660" s="234"/>
      <c r="H20660" s="238"/>
      <c r="I20660" s="237"/>
    </row>
    <row r="20661" spans="1:9" s="232" customFormat="1" ht="17" customHeight="1">
      <c r="A20661" s="234"/>
      <c r="B20661" s="233"/>
      <c r="C20661" s="238"/>
      <c r="E20661" s="545"/>
      <c r="F20661" s="546"/>
      <c r="G20661" s="234"/>
      <c r="H20661" s="238"/>
      <c r="I20661" s="237"/>
    </row>
    <row r="20662" spans="1:9" s="232" customFormat="1" ht="17" customHeight="1">
      <c r="A20662" s="234"/>
      <c r="B20662" s="233"/>
      <c r="C20662" s="238"/>
      <c r="E20662" s="545"/>
      <c r="F20662" s="546"/>
      <c r="G20662" s="234"/>
      <c r="H20662" s="238"/>
      <c r="I20662" s="237"/>
    </row>
    <row r="20663" spans="1:9" s="232" customFormat="1" ht="17" customHeight="1">
      <c r="A20663" s="234"/>
      <c r="B20663" s="233"/>
      <c r="C20663" s="238"/>
      <c r="E20663" s="545"/>
      <c r="F20663" s="546"/>
      <c r="G20663" s="234"/>
      <c r="H20663" s="238"/>
      <c r="I20663" s="237"/>
    </row>
    <row r="20664" spans="1:9" s="232" customFormat="1" ht="17" customHeight="1">
      <c r="A20664" s="234"/>
      <c r="B20664" s="233"/>
      <c r="C20664" s="238"/>
      <c r="E20664" s="545"/>
      <c r="F20664" s="546"/>
      <c r="G20664" s="234"/>
      <c r="H20664" s="238"/>
      <c r="I20664" s="237"/>
    </row>
    <row r="20665" spans="1:9" s="232" customFormat="1" ht="17" customHeight="1">
      <c r="A20665" s="234"/>
      <c r="B20665" s="233"/>
      <c r="C20665" s="238"/>
      <c r="E20665" s="545"/>
      <c r="F20665" s="546"/>
      <c r="G20665" s="234"/>
      <c r="H20665" s="238"/>
      <c r="I20665" s="237"/>
    </row>
    <row r="20666" spans="1:9" s="232" customFormat="1" ht="17" customHeight="1">
      <c r="A20666" s="234"/>
      <c r="B20666" s="233"/>
      <c r="C20666" s="238"/>
      <c r="E20666" s="545"/>
      <c r="F20666" s="546"/>
      <c r="G20666" s="234"/>
      <c r="H20666" s="238"/>
      <c r="I20666" s="237"/>
    </row>
    <row r="20667" spans="1:9" s="232" customFormat="1" ht="17" customHeight="1">
      <c r="A20667" s="234"/>
      <c r="B20667" s="233"/>
      <c r="C20667" s="238"/>
      <c r="E20667" s="545"/>
      <c r="F20667" s="546"/>
      <c r="G20667" s="234"/>
      <c r="H20667" s="238"/>
      <c r="I20667" s="237"/>
    </row>
    <row r="20668" spans="1:9" s="232" customFormat="1" ht="17" customHeight="1">
      <c r="A20668" s="234"/>
      <c r="B20668" s="233"/>
      <c r="C20668" s="238"/>
      <c r="E20668" s="545"/>
      <c r="F20668" s="546"/>
      <c r="G20668" s="234"/>
      <c r="H20668" s="238"/>
      <c r="I20668" s="237"/>
    </row>
    <row r="20669" spans="1:9" s="232" customFormat="1" ht="17" customHeight="1">
      <c r="A20669" s="234"/>
      <c r="B20669" s="233"/>
      <c r="C20669" s="238"/>
      <c r="E20669" s="545"/>
      <c r="F20669" s="546"/>
      <c r="G20669" s="234"/>
      <c r="H20669" s="238"/>
      <c r="I20669" s="237"/>
    </row>
    <row r="20670" spans="1:9" s="232" customFormat="1" ht="17" customHeight="1">
      <c r="A20670" s="234"/>
      <c r="B20670" s="233"/>
      <c r="C20670" s="238"/>
      <c r="E20670" s="545"/>
      <c r="F20670" s="546"/>
      <c r="G20670" s="234"/>
      <c r="H20670" s="238"/>
      <c r="I20670" s="237"/>
    </row>
    <row r="20671" spans="1:9" s="232" customFormat="1" ht="17" customHeight="1">
      <c r="A20671" s="234"/>
      <c r="B20671" s="233"/>
      <c r="C20671" s="238"/>
      <c r="E20671" s="545"/>
      <c r="F20671" s="546"/>
      <c r="G20671" s="234"/>
      <c r="H20671" s="238"/>
      <c r="I20671" s="237"/>
    </row>
    <row r="20672" spans="1:9" s="232" customFormat="1" ht="17" customHeight="1">
      <c r="A20672" s="234"/>
      <c r="B20672" s="233"/>
      <c r="C20672" s="238"/>
      <c r="E20672" s="545"/>
      <c r="F20672" s="546"/>
      <c r="G20672" s="234"/>
      <c r="H20672" s="238"/>
      <c r="I20672" s="237"/>
    </row>
    <row r="20673" spans="1:9" s="232" customFormat="1" ht="17" customHeight="1">
      <c r="A20673" s="234"/>
      <c r="B20673" s="233"/>
      <c r="C20673" s="238"/>
      <c r="E20673" s="545"/>
      <c r="F20673" s="546"/>
      <c r="G20673" s="234"/>
      <c r="H20673" s="238"/>
      <c r="I20673" s="237"/>
    </row>
    <row r="20674" spans="1:9" s="232" customFormat="1" ht="17" customHeight="1">
      <c r="A20674" s="234"/>
      <c r="B20674" s="233"/>
      <c r="C20674" s="238"/>
      <c r="E20674" s="545"/>
      <c r="F20674" s="546"/>
      <c r="G20674" s="234"/>
      <c r="H20674" s="238"/>
      <c r="I20674" s="237"/>
    </row>
    <row r="20675" spans="1:9" s="232" customFormat="1" ht="17" customHeight="1">
      <c r="A20675" s="234"/>
      <c r="B20675" s="233"/>
      <c r="C20675" s="238"/>
      <c r="E20675" s="545"/>
      <c r="F20675" s="546"/>
      <c r="G20675" s="234"/>
      <c r="H20675" s="238"/>
      <c r="I20675" s="237"/>
    </row>
    <row r="20676" spans="1:9" s="232" customFormat="1" ht="17" customHeight="1">
      <c r="A20676" s="234"/>
      <c r="B20676" s="233"/>
      <c r="C20676" s="238"/>
      <c r="E20676" s="545"/>
      <c r="F20676" s="546"/>
      <c r="G20676" s="234"/>
      <c r="H20676" s="238"/>
      <c r="I20676" s="237"/>
    </row>
    <row r="20677" spans="1:9" s="232" customFormat="1" ht="17" customHeight="1">
      <c r="A20677" s="234"/>
      <c r="B20677" s="233"/>
      <c r="C20677" s="238"/>
      <c r="E20677" s="545"/>
      <c r="F20677" s="546"/>
      <c r="G20677" s="234"/>
      <c r="H20677" s="238"/>
      <c r="I20677" s="237"/>
    </row>
    <row r="20678" spans="1:9" s="232" customFormat="1" ht="17" customHeight="1">
      <c r="A20678" s="234"/>
      <c r="B20678" s="233"/>
      <c r="C20678" s="238"/>
      <c r="E20678" s="545"/>
      <c r="F20678" s="546"/>
      <c r="G20678" s="234"/>
      <c r="H20678" s="238"/>
      <c r="I20678" s="237"/>
    </row>
    <row r="20679" spans="1:9" s="232" customFormat="1" ht="17" customHeight="1">
      <c r="A20679" s="234"/>
      <c r="B20679" s="233"/>
      <c r="C20679" s="238"/>
      <c r="E20679" s="545"/>
      <c r="F20679" s="546"/>
      <c r="G20679" s="234"/>
      <c r="H20679" s="238"/>
      <c r="I20679" s="237"/>
    </row>
    <row r="20680" spans="1:9" s="232" customFormat="1" ht="17" customHeight="1">
      <c r="A20680" s="234"/>
      <c r="B20680" s="233"/>
      <c r="C20680" s="238"/>
      <c r="E20680" s="545"/>
      <c r="F20680" s="546"/>
      <c r="G20680" s="234"/>
      <c r="H20680" s="238"/>
      <c r="I20680" s="237"/>
    </row>
    <row r="20681" spans="1:9" s="232" customFormat="1" ht="17" customHeight="1">
      <c r="A20681" s="234"/>
      <c r="B20681" s="233"/>
      <c r="C20681" s="238"/>
      <c r="E20681" s="545"/>
      <c r="F20681" s="546"/>
      <c r="G20681" s="234"/>
      <c r="H20681" s="238"/>
      <c r="I20681" s="237"/>
    </row>
    <row r="20682" spans="1:9" s="232" customFormat="1" ht="17" customHeight="1">
      <c r="A20682" s="234"/>
      <c r="B20682" s="233"/>
      <c r="C20682" s="238"/>
      <c r="E20682" s="545"/>
      <c r="F20682" s="546"/>
      <c r="G20682" s="234"/>
      <c r="H20682" s="238"/>
      <c r="I20682" s="237"/>
    </row>
    <row r="20683" spans="1:9" s="232" customFormat="1" ht="17" customHeight="1">
      <c r="A20683" s="234"/>
      <c r="B20683" s="233"/>
      <c r="C20683" s="238"/>
      <c r="E20683" s="545"/>
      <c r="F20683" s="546"/>
      <c r="G20683" s="234"/>
      <c r="H20683" s="238"/>
      <c r="I20683" s="237"/>
    </row>
    <row r="20684" spans="1:9" s="232" customFormat="1" ht="17" customHeight="1">
      <c r="A20684" s="234"/>
      <c r="B20684" s="233"/>
      <c r="C20684" s="238"/>
      <c r="E20684" s="545"/>
      <c r="F20684" s="546"/>
      <c r="G20684" s="234"/>
      <c r="H20684" s="238"/>
      <c r="I20684" s="237"/>
    </row>
    <row r="20685" spans="1:9" s="232" customFormat="1" ht="17" customHeight="1">
      <c r="A20685" s="234"/>
      <c r="B20685" s="233"/>
      <c r="C20685" s="238"/>
      <c r="E20685" s="545"/>
      <c r="F20685" s="546"/>
      <c r="G20685" s="234"/>
      <c r="H20685" s="238"/>
      <c r="I20685" s="237"/>
    </row>
    <row r="20686" spans="1:9" s="232" customFormat="1" ht="17" customHeight="1">
      <c r="A20686" s="234"/>
      <c r="B20686" s="233"/>
      <c r="C20686" s="238"/>
      <c r="E20686" s="545"/>
      <c r="F20686" s="546"/>
      <c r="G20686" s="234"/>
      <c r="H20686" s="238"/>
      <c r="I20686" s="237"/>
    </row>
    <row r="20687" spans="1:9" s="232" customFormat="1" ht="17" customHeight="1">
      <c r="A20687" s="234"/>
      <c r="B20687" s="233"/>
      <c r="C20687" s="238"/>
      <c r="E20687" s="545"/>
      <c r="F20687" s="546"/>
      <c r="G20687" s="234"/>
      <c r="H20687" s="238"/>
      <c r="I20687" s="237"/>
    </row>
    <row r="20688" spans="1:9" s="232" customFormat="1" ht="17" customHeight="1">
      <c r="A20688" s="234"/>
      <c r="B20688" s="233"/>
      <c r="C20688" s="238"/>
      <c r="E20688" s="545"/>
      <c r="F20688" s="546"/>
      <c r="G20688" s="234"/>
      <c r="H20688" s="238"/>
      <c r="I20688" s="237"/>
    </row>
    <row r="20689" spans="1:9" s="232" customFormat="1" ht="17" customHeight="1">
      <c r="A20689" s="234"/>
      <c r="B20689" s="233"/>
      <c r="C20689" s="238"/>
      <c r="E20689" s="545"/>
      <c r="F20689" s="546"/>
      <c r="G20689" s="234"/>
      <c r="H20689" s="238"/>
      <c r="I20689" s="237"/>
    </row>
    <row r="20690" spans="1:9" s="232" customFormat="1" ht="17" customHeight="1">
      <c r="A20690" s="234"/>
      <c r="B20690" s="233"/>
      <c r="C20690" s="238"/>
      <c r="E20690" s="545"/>
      <c r="F20690" s="546"/>
      <c r="G20690" s="234"/>
      <c r="H20690" s="238"/>
      <c r="I20690" s="237"/>
    </row>
    <row r="20691" spans="1:9" s="232" customFormat="1" ht="17" customHeight="1">
      <c r="A20691" s="234"/>
      <c r="B20691" s="233"/>
      <c r="C20691" s="238"/>
      <c r="E20691" s="545"/>
      <c r="F20691" s="546"/>
      <c r="G20691" s="234"/>
      <c r="H20691" s="238"/>
      <c r="I20691" s="237"/>
    </row>
    <row r="20692" spans="1:9" s="232" customFormat="1" ht="17" customHeight="1">
      <c r="A20692" s="234"/>
      <c r="B20692" s="233"/>
      <c r="C20692" s="238"/>
      <c r="E20692" s="545"/>
      <c r="F20692" s="546"/>
      <c r="G20692" s="234"/>
      <c r="H20692" s="238"/>
      <c r="I20692" s="237"/>
    </row>
    <row r="20693" spans="1:9" s="232" customFormat="1" ht="17" customHeight="1">
      <c r="A20693" s="234"/>
      <c r="B20693" s="233"/>
      <c r="C20693" s="238"/>
      <c r="E20693" s="545"/>
      <c r="F20693" s="546"/>
      <c r="G20693" s="234"/>
      <c r="H20693" s="238"/>
      <c r="I20693" s="237"/>
    </row>
    <row r="20694" spans="1:9" s="232" customFormat="1" ht="17" customHeight="1">
      <c r="A20694" s="234"/>
      <c r="B20694" s="233"/>
      <c r="C20694" s="238"/>
      <c r="E20694" s="545"/>
      <c r="F20694" s="546"/>
      <c r="G20694" s="234"/>
      <c r="H20694" s="238"/>
      <c r="I20694" s="237"/>
    </row>
    <row r="20695" spans="1:9" s="232" customFormat="1" ht="17" customHeight="1">
      <c r="A20695" s="234"/>
      <c r="B20695" s="233"/>
      <c r="C20695" s="238"/>
      <c r="E20695" s="545"/>
      <c r="F20695" s="546"/>
      <c r="G20695" s="234"/>
      <c r="H20695" s="238"/>
      <c r="I20695" s="237"/>
    </row>
    <row r="20696" spans="1:9" s="232" customFormat="1" ht="17" customHeight="1">
      <c r="A20696" s="234"/>
      <c r="B20696" s="233"/>
      <c r="C20696" s="238"/>
      <c r="E20696" s="545"/>
      <c r="F20696" s="546"/>
      <c r="G20696" s="234"/>
      <c r="H20696" s="238"/>
      <c r="I20696" s="237"/>
    </row>
    <row r="20697" spans="1:9" s="232" customFormat="1" ht="17" customHeight="1">
      <c r="A20697" s="234"/>
      <c r="B20697" s="233"/>
      <c r="C20697" s="238"/>
      <c r="E20697" s="545"/>
      <c r="F20697" s="546"/>
      <c r="G20697" s="234"/>
      <c r="H20697" s="238"/>
      <c r="I20697" s="237"/>
    </row>
    <row r="20698" spans="1:9" s="232" customFormat="1" ht="17" customHeight="1">
      <c r="A20698" s="234"/>
      <c r="B20698" s="233"/>
      <c r="C20698" s="238"/>
      <c r="E20698" s="545"/>
      <c r="F20698" s="546"/>
      <c r="G20698" s="234"/>
      <c r="H20698" s="238"/>
      <c r="I20698" s="237"/>
    </row>
    <row r="20699" spans="1:9" s="232" customFormat="1" ht="17" customHeight="1">
      <c r="A20699" s="234"/>
      <c r="B20699" s="233"/>
      <c r="C20699" s="238"/>
      <c r="E20699" s="545"/>
      <c r="F20699" s="546"/>
      <c r="G20699" s="234"/>
      <c r="H20699" s="238"/>
      <c r="I20699" s="237"/>
    </row>
    <row r="20700" spans="1:9" s="232" customFormat="1" ht="17" customHeight="1">
      <c r="A20700" s="234"/>
      <c r="B20700" s="233"/>
      <c r="C20700" s="238"/>
      <c r="E20700" s="545"/>
      <c r="F20700" s="546"/>
      <c r="G20700" s="234"/>
      <c r="H20700" s="238"/>
      <c r="I20700" s="237"/>
    </row>
    <row r="20701" spans="1:9" s="232" customFormat="1" ht="17" customHeight="1">
      <c r="A20701" s="234"/>
      <c r="B20701" s="233"/>
      <c r="C20701" s="238"/>
      <c r="E20701" s="545"/>
      <c r="F20701" s="546"/>
      <c r="G20701" s="234"/>
      <c r="H20701" s="238"/>
      <c r="I20701" s="237"/>
    </row>
    <row r="20702" spans="1:9" s="232" customFormat="1" ht="17" customHeight="1">
      <c r="A20702" s="234"/>
      <c r="B20702" s="233"/>
      <c r="C20702" s="238"/>
      <c r="E20702" s="545"/>
      <c r="F20702" s="546"/>
      <c r="G20702" s="234"/>
      <c r="H20702" s="238"/>
      <c r="I20702" s="237"/>
    </row>
    <row r="20703" spans="1:9" s="232" customFormat="1" ht="17" customHeight="1">
      <c r="A20703" s="234"/>
      <c r="B20703" s="233"/>
      <c r="C20703" s="238"/>
      <c r="E20703" s="545"/>
      <c r="F20703" s="546"/>
      <c r="G20703" s="234"/>
      <c r="H20703" s="238"/>
      <c r="I20703" s="237"/>
    </row>
    <row r="20704" spans="1:9" s="232" customFormat="1" ht="17" customHeight="1">
      <c r="A20704" s="234"/>
      <c r="B20704" s="233"/>
      <c r="C20704" s="238"/>
      <c r="E20704" s="545"/>
      <c r="F20704" s="546"/>
      <c r="G20704" s="234"/>
      <c r="H20704" s="238"/>
      <c r="I20704" s="237"/>
    </row>
    <row r="20705" spans="1:9" s="232" customFormat="1" ht="17" customHeight="1">
      <c r="A20705" s="234"/>
      <c r="B20705" s="233"/>
      <c r="C20705" s="238"/>
      <c r="E20705" s="545"/>
      <c r="F20705" s="546"/>
      <c r="G20705" s="234"/>
      <c r="H20705" s="238"/>
      <c r="I20705" s="237"/>
    </row>
    <row r="20706" spans="1:9" s="232" customFormat="1" ht="17" customHeight="1">
      <c r="A20706" s="234"/>
      <c r="B20706" s="233"/>
      <c r="C20706" s="238"/>
      <c r="E20706" s="545"/>
      <c r="F20706" s="546"/>
      <c r="G20706" s="234"/>
      <c r="H20706" s="238"/>
      <c r="I20706" s="237"/>
    </row>
    <row r="20707" spans="1:9" s="232" customFormat="1" ht="17" customHeight="1">
      <c r="A20707" s="234"/>
      <c r="B20707" s="233"/>
      <c r="C20707" s="238"/>
      <c r="E20707" s="545"/>
      <c r="F20707" s="546"/>
      <c r="G20707" s="234"/>
      <c r="H20707" s="238"/>
      <c r="I20707" s="237"/>
    </row>
    <row r="20708" spans="1:9" s="232" customFormat="1" ht="17" customHeight="1">
      <c r="A20708" s="234"/>
      <c r="B20708" s="233"/>
      <c r="C20708" s="238"/>
      <c r="E20708" s="545"/>
      <c r="F20708" s="546"/>
      <c r="G20708" s="234"/>
      <c r="H20708" s="238"/>
      <c r="I20708" s="237"/>
    </row>
    <row r="20709" spans="1:9" s="232" customFormat="1" ht="17" customHeight="1">
      <c r="A20709" s="234"/>
      <c r="B20709" s="233"/>
      <c r="C20709" s="238"/>
      <c r="E20709" s="545"/>
      <c r="F20709" s="546"/>
      <c r="G20709" s="234"/>
      <c r="H20709" s="238"/>
      <c r="I20709" s="237"/>
    </row>
    <row r="20710" spans="1:9" s="232" customFormat="1" ht="17" customHeight="1">
      <c r="A20710" s="234"/>
      <c r="B20710" s="233"/>
      <c r="C20710" s="238"/>
      <c r="E20710" s="545"/>
      <c r="F20710" s="546"/>
      <c r="G20710" s="234"/>
      <c r="H20710" s="238"/>
      <c r="I20710" s="237"/>
    </row>
    <row r="20711" spans="1:9" s="232" customFormat="1" ht="17" customHeight="1">
      <c r="A20711" s="234"/>
      <c r="B20711" s="233"/>
      <c r="C20711" s="238"/>
      <c r="E20711" s="545"/>
      <c r="F20711" s="546"/>
      <c r="G20711" s="234"/>
      <c r="H20711" s="238"/>
      <c r="I20711" s="237"/>
    </row>
    <row r="20712" spans="1:9" s="232" customFormat="1" ht="17" customHeight="1">
      <c r="A20712" s="234"/>
      <c r="B20712" s="233"/>
      <c r="C20712" s="238"/>
      <c r="E20712" s="545"/>
      <c r="F20712" s="546"/>
      <c r="G20712" s="234"/>
      <c r="H20712" s="238"/>
      <c r="I20712" s="237"/>
    </row>
    <row r="20713" spans="1:9" s="232" customFormat="1" ht="17" customHeight="1">
      <c r="A20713" s="234"/>
      <c r="B20713" s="233"/>
      <c r="C20713" s="238"/>
      <c r="E20713" s="545"/>
      <c r="F20713" s="546"/>
      <c r="G20713" s="234"/>
      <c r="H20713" s="238"/>
      <c r="I20713" s="237"/>
    </row>
    <row r="20714" spans="1:9" s="232" customFormat="1" ht="17" customHeight="1">
      <c r="A20714" s="234"/>
      <c r="B20714" s="233"/>
      <c r="C20714" s="238"/>
      <c r="E20714" s="545"/>
      <c r="F20714" s="546"/>
      <c r="G20714" s="234"/>
      <c r="H20714" s="238"/>
      <c r="I20714" s="237"/>
    </row>
    <row r="20715" spans="1:9" s="232" customFormat="1" ht="17" customHeight="1">
      <c r="A20715" s="234"/>
      <c r="B20715" s="233"/>
      <c r="C20715" s="238"/>
      <c r="E20715" s="545"/>
      <c r="F20715" s="546"/>
      <c r="G20715" s="234"/>
      <c r="H20715" s="238"/>
      <c r="I20715" s="237"/>
    </row>
    <row r="20716" spans="1:9" s="232" customFormat="1" ht="17" customHeight="1">
      <c r="A20716" s="234"/>
      <c r="B20716" s="233"/>
      <c r="C20716" s="238"/>
      <c r="E20716" s="545"/>
      <c r="F20716" s="546"/>
      <c r="G20716" s="234"/>
      <c r="H20716" s="238"/>
      <c r="I20716" s="237"/>
    </row>
    <row r="20717" spans="1:9" s="232" customFormat="1" ht="17" customHeight="1">
      <c r="A20717" s="234"/>
      <c r="B20717" s="233"/>
      <c r="C20717" s="238"/>
      <c r="E20717" s="545"/>
      <c r="F20717" s="546"/>
      <c r="G20717" s="234"/>
      <c r="H20717" s="238"/>
      <c r="I20717" s="237"/>
    </row>
    <row r="20718" spans="1:9" s="232" customFormat="1" ht="17" customHeight="1">
      <c r="A20718" s="234"/>
      <c r="B20718" s="233"/>
      <c r="C20718" s="238"/>
      <c r="E20718" s="545"/>
      <c r="F20718" s="546"/>
      <c r="G20718" s="234"/>
      <c r="H20718" s="238"/>
      <c r="I20718" s="237"/>
    </row>
    <row r="20719" spans="1:9" s="232" customFormat="1" ht="17" customHeight="1">
      <c r="A20719" s="234"/>
      <c r="B20719" s="233"/>
      <c r="C20719" s="238"/>
      <c r="E20719" s="545"/>
      <c r="F20719" s="546"/>
      <c r="G20719" s="234"/>
      <c r="H20719" s="238"/>
      <c r="I20719" s="237"/>
    </row>
    <row r="20720" spans="1:9" s="232" customFormat="1" ht="17" customHeight="1">
      <c r="A20720" s="234"/>
      <c r="B20720" s="233"/>
      <c r="C20720" s="238"/>
      <c r="E20720" s="545"/>
      <c r="F20720" s="546"/>
      <c r="G20720" s="234"/>
      <c r="H20720" s="238"/>
      <c r="I20720" s="237"/>
    </row>
    <row r="20721" spans="1:9" s="232" customFormat="1" ht="17" customHeight="1">
      <c r="A20721" s="234"/>
      <c r="B20721" s="233"/>
      <c r="C20721" s="238"/>
      <c r="E20721" s="545"/>
      <c r="F20721" s="546"/>
      <c r="G20721" s="234"/>
      <c r="H20721" s="238"/>
      <c r="I20721" s="237"/>
    </row>
    <row r="20722" spans="1:9" s="232" customFormat="1" ht="17" customHeight="1">
      <c r="A20722" s="234"/>
      <c r="B20722" s="233"/>
      <c r="C20722" s="238"/>
      <c r="E20722" s="545"/>
      <c r="F20722" s="546"/>
      <c r="G20722" s="234"/>
      <c r="H20722" s="238"/>
      <c r="I20722" s="237"/>
    </row>
    <row r="20723" spans="1:9" s="232" customFormat="1" ht="17" customHeight="1">
      <c r="A20723" s="234"/>
      <c r="B20723" s="233"/>
      <c r="C20723" s="238"/>
      <c r="E20723" s="545"/>
      <c r="F20723" s="546"/>
      <c r="G20723" s="234"/>
      <c r="H20723" s="238"/>
      <c r="I20723" s="237"/>
    </row>
    <row r="20724" spans="1:9" s="232" customFormat="1" ht="17" customHeight="1">
      <c r="A20724" s="234"/>
      <c r="B20724" s="233"/>
      <c r="C20724" s="238"/>
      <c r="E20724" s="545"/>
      <c r="F20724" s="546"/>
      <c r="G20724" s="234"/>
      <c r="H20724" s="238"/>
      <c r="I20724" s="237"/>
    </row>
    <row r="20725" spans="1:9" s="232" customFormat="1" ht="17" customHeight="1">
      <c r="A20725" s="234"/>
      <c r="B20725" s="233"/>
      <c r="C20725" s="238"/>
      <c r="E20725" s="545"/>
      <c r="F20725" s="546"/>
      <c r="G20725" s="234"/>
      <c r="H20725" s="238"/>
      <c r="I20725" s="237"/>
    </row>
    <row r="20726" spans="1:9" s="232" customFormat="1" ht="17" customHeight="1">
      <c r="A20726" s="234"/>
      <c r="B20726" s="233"/>
      <c r="C20726" s="238"/>
      <c r="E20726" s="545"/>
      <c r="F20726" s="546"/>
      <c r="G20726" s="234"/>
      <c r="H20726" s="238"/>
      <c r="I20726" s="237"/>
    </row>
    <row r="20727" spans="1:9" s="232" customFormat="1" ht="17" customHeight="1">
      <c r="A20727" s="234"/>
      <c r="B20727" s="233"/>
      <c r="C20727" s="238"/>
      <c r="E20727" s="545"/>
      <c r="F20727" s="546"/>
      <c r="G20727" s="234"/>
      <c r="H20727" s="238"/>
      <c r="I20727" s="237"/>
    </row>
    <row r="20728" spans="1:9" s="232" customFormat="1" ht="17" customHeight="1">
      <c r="A20728" s="234"/>
      <c r="B20728" s="233"/>
      <c r="C20728" s="238"/>
      <c r="E20728" s="545"/>
      <c r="F20728" s="546"/>
      <c r="G20728" s="234"/>
      <c r="H20728" s="238"/>
      <c r="I20728" s="237"/>
    </row>
    <row r="20729" spans="1:9" s="232" customFormat="1" ht="17" customHeight="1">
      <c r="A20729" s="234"/>
      <c r="B20729" s="233"/>
      <c r="C20729" s="238"/>
      <c r="E20729" s="545"/>
      <c r="F20729" s="546"/>
      <c r="G20729" s="234"/>
      <c r="H20729" s="238"/>
      <c r="I20729" s="237"/>
    </row>
    <row r="20730" spans="1:9" s="232" customFormat="1" ht="17" customHeight="1">
      <c r="A20730" s="234"/>
      <c r="B20730" s="233"/>
      <c r="C20730" s="238"/>
      <c r="E20730" s="545"/>
      <c r="F20730" s="546"/>
      <c r="G20730" s="234"/>
      <c r="H20730" s="238"/>
      <c r="I20730" s="237"/>
    </row>
    <row r="20731" spans="1:9" s="232" customFormat="1" ht="17" customHeight="1">
      <c r="A20731" s="234"/>
      <c r="B20731" s="233"/>
      <c r="C20731" s="238"/>
      <c r="E20731" s="545"/>
      <c r="F20731" s="546"/>
      <c r="G20731" s="234"/>
      <c r="H20731" s="238"/>
      <c r="I20731" s="237"/>
    </row>
    <row r="20732" spans="1:9" s="232" customFormat="1" ht="17" customHeight="1">
      <c r="A20732" s="234"/>
      <c r="B20732" s="233"/>
      <c r="C20732" s="238"/>
      <c r="E20732" s="545"/>
      <c r="F20732" s="546"/>
      <c r="G20732" s="234"/>
      <c r="H20732" s="238"/>
      <c r="I20732" s="237"/>
    </row>
    <row r="20733" spans="1:9" s="232" customFormat="1" ht="17" customHeight="1">
      <c r="A20733" s="234"/>
      <c r="B20733" s="233"/>
      <c r="C20733" s="238"/>
      <c r="E20733" s="545"/>
      <c r="F20733" s="546"/>
      <c r="G20733" s="234"/>
      <c r="H20733" s="238"/>
      <c r="I20733" s="237"/>
    </row>
    <row r="20734" spans="1:9" s="232" customFormat="1" ht="17" customHeight="1">
      <c r="A20734" s="234"/>
      <c r="B20734" s="233"/>
      <c r="C20734" s="238"/>
      <c r="E20734" s="545"/>
      <c r="F20734" s="546"/>
      <c r="G20734" s="234"/>
      <c r="H20734" s="238"/>
      <c r="I20734" s="237"/>
    </row>
    <row r="20735" spans="1:9" s="232" customFormat="1" ht="17" customHeight="1">
      <c r="A20735" s="234"/>
      <c r="B20735" s="233"/>
      <c r="C20735" s="238"/>
      <c r="E20735" s="545"/>
      <c r="F20735" s="546"/>
      <c r="G20735" s="234"/>
      <c r="H20735" s="238"/>
      <c r="I20735" s="237"/>
    </row>
    <row r="20736" spans="1:9" s="232" customFormat="1" ht="17" customHeight="1">
      <c r="A20736" s="234"/>
      <c r="B20736" s="233"/>
      <c r="C20736" s="238"/>
      <c r="E20736" s="545"/>
      <c r="F20736" s="546"/>
      <c r="G20736" s="234"/>
      <c r="H20736" s="238"/>
      <c r="I20736" s="237"/>
    </row>
    <row r="20737" spans="1:9" s="232" customFormat="1" ht="17" customHeight="1">
      <c r="A20737" s="234"/>
      <c r="B20737" s="233"/>
      <c r="C20737" s="238"/>
      <c r="E20737" s="545"/>
      <c r="F20737" s="546"/>
      <c r="G20737" s="234"/>
      <c r="H20737" s="238"/>
      <c r="I20737" s="237"/>
    </row>
    <row r="20738" spans="1:9" s="232" customFormat="1" ht="17" customHeight="1">
      <c r="A20738" s="234"/>
      <c r="B20738" s="233"/>
      <c r="C20738" s="238"/>
      <c r="E20738" s="545"/>
      <c r="F20738" s="546"/>
      <c r="G20738" s="234"/>
      <c r="H20738" s="238"/>
      <c r="I20738" s="237"/>
    </row>
    <row r="20739" spans="1:9" s="232" customFormat="1" ht="17" customHeight="1">
      <c r="A20739" s="234"/>
      <c r="B20739" s="233"/>
      <c r="C20739" s="238"/>
      <c r="E20739" s="545"/>
      <c r="F20739" s="546"/>
      <c r="G20739" s="234"/>
      <c r="H20739" s="238"/>
      <c r="I20739" s="237"/>
    </row>
    <row r="20740" spans="1:9" s="232" customFormat="1" ht="17" customHeight="1">
      <c r="A20740" s="234"/>
      <c r="B20740" s="233"/>
      <c r="C20740" s="238"/>
      <c r="E20740" s="545"/>
      <c r="F20740" s="546"/>
      <c r="G20740" s="234"/>
      <c r="H20740" s="238"/>
      <c r="I20740" s="237"/>
    </row>
    <row r="20741" spans="1:9" s="232" customFormat="1" ht="17" customHeight="1">
      <c r="A20741" s="234"/>
      <c r="B20741" s="233"/>
      <c r="C20741" s="238"/>
      <c r="E20741" s="545"/>
      <c r="F20741" s="546"/>
      <c r="G20741" s="234"/>
      <c r="H20741" s="238"/>
      <c r="I20741" s="237"/>
    </row>
    <row r="20742" spans="1:9" s="232" customFormat="1" ht="17" customHeight="1">
      <c r="A20742" s="234"/>
      <c r="B20742" s="233"/>
      <c r="C20742" s="238"/>
      <c r="E20742" s="545"/>
      <c r="F20742" s="546"/>
      <c r="G20742" s="234"/>
      <c r="H20742" s="238"/>
      <c r="I20742" s="237"/>
    </row>
    <row r="20743" spans="1:9" s="232" customFormat="1" ht="17" customHeight="1">
      <c r="A20743" s="234"/>
      <c r="B20743" s="233"/>
      <c r="C20743" s="238"/>
      <c r="E20743" s="545"/>
      <c r="F20743" s="546"/>
      <c r="G20743" s="234"/>
      <c r="H20743" s="238"/>
      <c r="I20743" s="237"/>
    </row>
    <row r="20744" spans="1:9" s="232" customFormat="1" ht="17" customHeight="1">
      <c r="A20744" s="234"/>
      <c r="B20744" s="233"/>
      <c r="C20744" s="238"/>
      <c r="E20744" s="545"/>
      <c r="F20744" s="546"/>
      <c r="G20744" s="234"/>
      <c r="H20744" s="238"/>
      <c r="I20744" s="237"/>
    </row>
    <row r="20745" spans="1:9" s="232" customFormat="1" ht="17" customHeight="1">
      <c r="A20745" s="234"/>
      <c r="B20745" s="233"/>
      <c r="C20745" s="238"/>
      <c r="E20745" s="545"/>
      <c r="F20745" s="546"/>
      <c r="G20745" s="234"/>
      <c r="H20745" s="238"/>
      <c r="I20745" s="237"/>
    </row>
    <row r="20746" spans="1:9" s="232" customFormat="1" ht="17" customHeight="1">
      <c r="A20746" s="234"/>
      <c r="B20746" s="233"/>
      <c r="C20746" s="238"/>
      <c r="E20746" s="545"/>
      <c r="F20746" s="546"/>
      <c r="G20746" s="234"/>
      <c r="H20746" s="238"/>
      <c r="I20746" s="237"/>
    </row>
    <row r="20747" spans="1:9" s="232" customFormat="1" ht="17" customHeight="1">
      <c r="A20747" s="234"/>
      <c r="B20747" s="233"/>
      <c r="C20747" s="238"/>
      <c r="E20747" s="545"/>
      <c r="F20747" s="546"/>
      <c r="G20747" s="234"/>
      <c r="H20747" s="238"/>
      <c r="I20747" s="237"/>
    </row>
    <row r="20748" spans="1:9" s="232" customFormat="1" ht="17" customHeight="1">
      <c r="A20748" s="234"/>
      <c r="B20748" s="233"/>
      <c r="C20748" s="238"/>
      <c r="E20748" s="545"/>
      <c r="F20748" s="546"/>
      <c r="G20748" s="234"/>
      <c r="H20748" s="238"/>
      <c r="I20748" s="237"/>
    </row>
    <row r="20749" spans="1:9" s="232" customFormat="1" ht="17" customHeight="1">
      <c r="A20749" s="234"/>
      <c r="B20749" s="233"/>
      <c r="C20749" s="238"/>
      <c r="E20749" s="545"/>
      <c r="F20749" s="546"/>
      <c r="G20749" s="234"/>
      <c r="H20749" s="238"/>
      <c r="I20749" s="237"/>
    </row>
    <row r="20750" spans="1:9" s="232" customFormat="1" ht="17" customHeight="1">
      <c r="A20750" s="234"/>
      <c r="B20750" s="233"/>
      <c r="C20750" s="238"/>
      <c r="E20750" s="545"/>
      <c r="F20750" s="546"/>
      <c r="G20750" s="234"/>
      <c r="H20750" s="238"/>
      <c r="I20750" s="237"/>
    </row>
    <row r="20751" spans="1:9" s="232" customFormat="1" ht="17" customHeight="1">
      <c r="A20751" s="234"/>
      <c r="B20751" s="233"/>
      <c r="C20751" s="238"/>
      <c r="E20751" s="545"/>
      <c r="F20751" s="546"/>
      <c r="G20751" s="234"/>
      <c r="H20751" s="238"/>
      <c r="I20751" s="237"/>
    </row>
    <row r="20752" spans="1:9" s="232" customFormat="1" ht="17" customHeight="1">
      <c r="A20752" s="234"/>
      <c r="B20752" s="233"/>
      <c r="C20752" s="238"/>
      <c r="E20752" s="545"/>
      <c r="F20752" s="546"/>
      <c r="G20752" s="234"/>
      <c r="H20752" s="238"/>
      <c r="I20752" s="237"/>
    </row>
    <row r="20753" spans="1:9" s="232" customFormat="1" ht="17" customHeight="1">
      <c r="A20753" s="234"/>
      <c r="B20753" s="233"/>
      <c r="C20753" s="238"/>
      <c r="E20753" s="545"/>
      <c r="F20753" s="546"/>
      <c r="G20753" s="234"/>
      <c r="H20753" s="238"/>
      <c r="I20753" s="237"/>
    </row>
    <row r="20754" spans="1:9" s="232" customFormat="1" ht="17" customHeight="1">
      <c r="A20754" s="234"/>
      <c r="B20754" s="233"/>
      <c r="C20754" s="238"/>
      <c r="E20754" s="545"/>
      <c r="F20754" s="546"/>
      <c r="G20754" s="234"/>
      <c r="H20754" s="238"/>
      <c r="I20754" s="237"/>
    </row>
    <row r="20755" spans="1:9" s="232" customFormat="1" ht="17" customHeight="1">
      <c r="A20755" s="234"/>
      <c r="B20755" s="233"/>
      <c r="C20755" s="238"/>
      <c r="E20755" s="545"/>
      <c r="F20755" s="546"/>
      <c r="G20755" s="234"/>
      <c r="H20755" s="238"/>
      <c r="I20755" s="237"/>
    </row>
    <row r="20756" spans="1:9" s="232" customFormat="1" ht="17" customHeight="1">
      <c r="A20756" s="234"/>
      <c r="B20756" s="233"/>
      <c r="C20756" s="238"/>
      <c r="E20756" s="545"/>
      <c r="F20756" s="546"/>
      <c r="G20756" s="234"/>
      <c r="H20756" s="238"/>
      <c r="I20756" s="237"/>
    </row>
    <row r="20757" spans="1:9" s="232" customFormat="1" ht="17" customHeight="1">
      <c r="A20757" s="234"/>
      <c r="B20757" s="233"/>
      <c r="C20757" s="238"/>
      <c r="E20757" s="545"/>
      <c r="F20757" s="546"/>
      <c r="G20757" s="234"/>
      <c r="H20757" s="238"/>
      <c r="I20757" s="237"/>
    </row>
    <row r="20758" spans="1:9" s="232" customFormat="1" ht="17" customHeight="1">
      <c r="A20758" s="234"/>
      <c r="B20758" s="233"/>
      <c r="C20758" s="238"/>
      <c r="E20758" s="545"/>
      <c r="F20758" s="546"/>
      <c r="G20758" s="234"/>
      <c r="H20758" s="238"/>
      <c r="I20758" s="237"/>
    </row>
    <row r="20759" spans="1:9" s="232" customFormat="1" ht="17" customHeight="1">
      <c r="A20759" s="234"/>
      <c r="B20759" s="233"/>
      <c r="C20759" s="238"/>
      <c r="E20759" s="545"/>
      <c r="F20759" s="546"/>
      <c r="G20759" s="234"/>
      <c r="H20759" s="238"/>
      <c r="I20759" s="237"/>
    </row>
    <row r="20760" spans="1:9" s="232" customFormat="1" ht="17" customHeight="1">
      <c r="A20760" s="234"/>
      <c r="B20760" s="233"/>
      <c r="C20760" s="238"/>
      <c r="E20760" s="545"/>
      <c r="F20760" s="546"/>
      <c r="G20760" s="234"/>
      <c r="H20760" s="238"/>
      <c r="I20760" s="237"/>
    </row>
    <row r="20761" spans="1:9" s="232" customFormat="1" ht="17" customHeight="1">
      <c r="A20761" s="234"/>
      <c r="B20761" s="233"/>
      <c r="C20761" s="238"/>
      <c r="E20761" s="545"/>
      <c r="F20761" s="546"/>
      <c r="G20761" s="234"/>
      <c r="H20761" s="238"/>
      <c r="I20761" s="237"/>
    </row>
    <row r="20762" spans="1:9" s="232" customFormat="1" ht="17" customHeight="1">
      <c r="A20762" s="234"/>
      <c r="B20762" s="233"/>
      <c r="C20762" s="238"/>
      <c r="E20762" s="545"/>
      <c r="F20762" s="546"/>
      <c r="G20762" s="234"/>
      <c r="H20762" s="238"/>
      <c r="I20762" s="237"/>
    </row>
    <row r="20763" spans="1:9" s="232" customFormat="1" ht="17" customHeight="1">
      <c r="A20763" s="234"/>
      <c r="B20763" s="233"/>
      <c r="C20763" s="238"/>
      <c r="E20763" s="545"/>
      <c r="F20763" s="546"/>
      <c r="G20763" s="234"/>
      <c r="H20763" s="238"/>
      <c r="I20763" s="237"/>
    </row>
    <row r="20764" spans="1:9" s="232" customFormat="1" ht="17" customHeight="1">
      <c r="A20764" s="234"/>
      <c r="B20764" s="233"/>
      <c r="C20764" s="238"/>
      <c r="E20764" s="545"/>
      <c r="F20764" s="546"/>
      <c r="G20764" s="234"/>
      <c r="H20764" s="238"/>
      <c r="I20764" s="237"/>
    </row>
    <row r="20765" spans="1:9" s="232" customFormat="1" ht="17" customHeight="1">
      <c r="A20765" s="234"/>
      <c r="B20765" s="233"/>
      <c r="C20765" s="238"/>
      <c r="E20765" s="545"/>
      <c r="F20765" s="546"/>
      <c r="G20765" s="234"/>
      <c r="H20765" s="238"/>
      <c r="I20765" s="237"/>
    </row>
    <row r="20766" spans="1:9" s="232" customFormat="1" ht="17" customHeight="1">
      <c r="A20766" s="234"/>
      <c r="B20766" s="233"/>
      <c r="C20766" s="238"/>
      <c r="E20766" s="545"/>
      <c r="F20766" s="546"/>
      <c r="G20766" s="234"/>
      <c r="H20766" s="238"/>
      <c r="I20766" s="237"/>
    </row>
    <row r="20767" spans="1:9" s="232" customFormat="1" ht="17" customHeight="1">
      <c r="A20767" s="234"/>
      <c r="B20767" s="233"/>
      <c r="C20767" s="238"/>
      <c r="E20767" s="545"/>
      <c r="F20767" s="546"/>
      <c r="G20767" s="234"/>
      <c r="H20767" s="238"/>
      <c r="I20767" s="237"/>
    </row>
    <row r="20768" spans="1:9" s="232" customFormat="1" ht="17" customHeight="1">
      <c r="A20768" s="234"/>
      <c r="B20768" s="233"/>
      <c r="C20768" s="238"/>
      <c r="E20768" s="545"/>
      <c r="F20768" s="546"/>
      <c r="G20768" s="234"/>
      <c r="H20768" s="238"/>
      <c r="I20768" s="237"/>
    </row>
    <row r="20769" spans="1:9" s="232" customFormat="1" ht="17" customHeight="1">
      <c r="A20769" s="234"/>
      <c r="B20769" s="233"/>
      <c r="C20769" s="238"/>
      <c r="E20769" s="545"/>
      <c r="F20769" s="546"/>
      <c r="G20769" s="234"/>
      <c r="H20769" s="238"/>
      <c r="I20769" s="237"/>
    </row>
    <row r="20770" spans="1:9" s="232" customFormat="1" ht="17" customHeight="1">
      <c r="A20770" s="234"/>
      <c r="B20770" s="233"/>
      <c r="C20770" s="238"/>
      <c r="E20770" s="545"/>
      <c r="F20770" s="546"/>
      <c r="G20770" s="234"/>
      <c r="H20770" s="238"/>
      <c r="I20770" s="237"/>
    </row>
    <row r="20771" spans="1:9" s="232" customFormat="1" ht="17" customHeight="1">
      <c r="A20771" s="234"/>
      <c r="B20771" s="233"/>
      <c r="C20771" s="238"/>
      <c r="E20771" s="545"/>
      <c r="F20771" s="546"/>
      <c r="G20771" s="234"/>
      <c r="H20771" s="238"/>
      <c r="I20771" s="237"/>
    </row>
    <row r="20772" spans="1:9" s="232" customFormat="1" ht="17" customHeight="1">
      <c r="A20772" s="234"/>
      <c r="B20772" s="233"/>
      <c r="C20772" s="238"/>
      <c r="E20772" s="545"/>
      <c r="F20772" s="546"/>
      <c r="G20772" s="234"/>
      <c r="H20772" s="238"/>
      <c r="I20772" s="237"/>
    </row>
    <row r="20773" spans="1:9" s="232" customFormat="1" ht="17" customHeight="1">
      <c r="A20773" s="234"/>
      <c r="B20773" s="233"/>
      <c r="C20773" s="238"/>
      <c r="E20773" s="545"/>
      <c r="F20773" s="546"/>
      <c r="G20773" s="234"/>
      <c r="H20773" s="238"/>
      <c r="I20773" s="237"/>
    </row>
    <row r="20774" spans="1:9" s="232" customFormat="1" ht="17" customHeight="1">
      <c r="A20774" s="234"/>
      <c r="B20774" s="233"/>
      <c r="C20774" s="238"/>
      <c r="E20774" s="545"/>
      <c r="F20774" s="546"/>
      <c r="G20774" s="234"/>
      <c r="H20774" s="238"/>
      <c r="I20774" s="237"/>
    </row>
    <row r="20775" spans="1:9" s="232" customFormat="1" ht="17" customHeight="1">
      <c r="A20775" s="234"/>
      <c r="B20775" s="233"/>
      <c r="C20775" s="238"/>
      <c r="E20775" s="545"/>
      <c r="F20775" s="546"/>
      <c r="G20775" s="234"/>
      <c r="H20775" s="238"/>
      <c r="I20775" s="237"/>
    </row>
    <row r="20776" spans="1:9" s="232" customFormat="1" ht="17" customHeight="1">
      <c r="A20776" s="234"/>
      <c r="B20776" s="233"/>
      <c r="C20776" s="238"/>
      <c r="E20776" s="545"/>
      <c r="F20776" s="546"/>
      <c r="G20776" s="234"/>
      <c r="H20776" s="238"/>
      <c r="I20776" s="237"/>
    </row>
    <row r="20777" spans="1:9" s="232" customFormat="1" ht="17" customHeight="1">
      <c r="A20777" s="234"/>
      <c r="B20777" s="233"/>
      <c r="C20777" s="238"/>
      <c r="E20777" s="545"/>
      <c r="F20777" s="546"/>
      <c r="G20777" s="234"/>
      <c r="H20777" s="238"/>
      <c r="I20777" s="237"/>
    </row>
    <row r="20778" spans="1:9" s="232" customFormat="1" ht="17" customHeight="1">
      <c r="A20778" s="234"/>
      <c r="B20778" s="233"/>
      <c r="C20778" s="238"/>
      <c r="E20778" s="545"/>
      <c r="F20778" s="546"/>
      <c r="G20778" s="234"/>
      <c r="H20778" s="238"/>
      <c r="I20778" s="237"/>
    </row>
    <row r="20779" spans="1:9" s="232" customFormat="1" ht="17" customHeight="1">
      <c r="A20779" s="234"/>
      <c r="B20779" s="233"/>
      <c r="C20779" s="238"/>
      <c r="E20779" s="545"/>
      <c r="F20779" s="546"/>
      <c r="G20779" s="234"/>
      <c r="H20779" s="238"/>
      <c r="I20779" s="237"/>
    </row>
    <row r="20780" spans="1:9" s="232" customFormat="1" ht="17" customHeight="1">
      <c r="A20780" s="234"/>
      <c r="B20780" s="233"/>
      <c r="C20780" s="238"/>
      <c r="E20780" s="545"/>
      <c r="F20780" s="546"/>
      <c r="G20780" s="234"/>
      <c r="H20780" s="238"/>
      <c r="I20780" s="237"/>
    </row>
    <row r="20781" spans="1:9" s="232" customFormat="1" ht="17" customHeight="1">
      <c r="A20781" s="234"/>
      <c r="B20781" s="233"/>
      <c r="C20781" s="238"/>
      <c r="E20781" s="545"/>
      <c r="F20781" s="546"/>
      <c r="G20781" s="234"/>
      <c r="H20781" s="238"/>
      <c r="I20781" s="237"/>
    </row>
    <row r="20782" spans="1:9" s="232" customFormat="1" ht="17" customHeight="1">
      <c r="A20782" s="234"/>
      <c r="B20782" s="233"/>
      <c r="C20782" s="238"/>
      <c r="E20782" s="545"/>
      <c r="F20782" s="546"/>
      <c r="G20782" s="234"/>
      <c r="H20782" s="238"/>
      <c r="I20782" s="237"/>
    </row>
    <row r="20783" spans="1:9" s="232" customFormat="1" ht="17" customHeight="1">
      <c r="A20783" s="234"/>
      <c r="B20783" s="233"/>
      <c r="C20783" s="238"/>
      <c r="E20783" s="545"/>
      <c r="F20783" s="546"/>
      <c r="G20783" s="234"/>
      <c r="H20783" s="238"/>
      <c r="I20783" s="237"/>
    </row>
    <row r="20784" spans="1:9" s="232" customFormat="1" ht="17" customHeight="1">
      <c r="A20784" s="234"/>
      <c r="B20784" s="233"/>
      <c r="C20784" s="238"/>
      <c r="E20784" s="545"/>
      <c r="F20784" s="546"/>
      <c r="G20784" s="234"/>
      <c r="H20784" s="238"/>
      <c r="I20784" s="237"/>
    </row>
    <row r="20785" spans="1:9" s="232" customFormat="1" ht="17" customHeight="1">
      <c r="A20785" s="234"/>
      <c r="B20785" s="233"/>
      <c r="C20785" s="238"/>
      <c r="E20785" s="545"/>
      <c r="F20785" s="546"/>
      <c r="G20785" s="234"/>
      <c r="H20785" s="238"/>
      <c r="I20785" s="237"/>
    </row>
    <row r="20786" spans="1:9" s="232" customFormat="1" ht="17" customHeight="1">
      <c r="A20786" s="234"/>
      <c r="B20786" s="233"/>
      <c r="C20786" s="238"/>
      <c r="E20786" s="545"/>
      <c r="F20786" s="546"/>
      <c r="G20786" s="234"/>
      <c r="H20786" s="238"/>
      <c r="I20786" s="237"/>
    </row>
    <row r="20787" spans="1:9" s="232" customFormat="1" ht="17" customHeight="1">
      <c r="A20787" s="234"/>
      <c r="B20787" s="233"/>
      <c r="C20787" s="238"/>
      <c r="E20787" s="545"/>
      <c r="F20787" s="546"/>
      <c r="G20787" s="234"/>
      <c r="H20787" s="238"/>
      <c r="I20787" s="237"/>
    </row>
    <row r="20788" spans="1:9" s="232" customFormat="1" ht="17" customHeight="1">
      <c r="A20788" s="234"/>
      <c r="B20788" s="233"/>
      <c r="C20788" s="238"/>
      <c r="E20788" s="545"/>
      <c r="F20788" s="546"/>
      <c r="G20788" s="234"/>
      <c r="H20788" s="238"/>
      <c r="I20788" s="237"/>
    </row>
    <row r="20789" spans="1:9" s="232" customFormat="1" ht="17" customHeight="1">
      <c r="A20789" s="234"/>
      <c r="B20789" s="233"/>
      <c r="C20789" s="238"/>
      <c r="E20789" s="545"/>
      <c r="F20789" s="546"/>
      <c r="G20789" s="234"/>
      <c r="H20789" s="238"/>
      <c r="I20789" s="237"/>
    </row>
    <row r="20790" spans="1:9" s="232" customFormat="1" ht="17" customHeight="1">
      <c r="A20790" s="234"/>
      <c r="B20790" s="233"/>
      <c r="C20790" s="238"/>
      <c r="E20790" s="545"/>
      <c r="F20790" s="546"/>
      <c r="G20790" s="234"/>
      <c r="H20790" s="238"/>
      <c r="I20790" s="237"/>
    </row>
    <row r="20791" spans="1:9" s="232" customFormat="1" ht="17" customHeight="1">
      <c r="A20791" s="234"/>
      <c r="B20791" s="233"/>
      <c r="C20791" s="238"/>
      <c r="E20791" s="545"/>
      <c r="F20791" s="546"/>
      <c r="G20791" s="234"/>
      <c r="H20791" s="238"/>
      <c r="I20791" s="237"/>
    </row>
    <row r="20792" spans="1:9" s="232" customFormat="1" ht="17" customHeight="1">
      <c r="A20792" s="234"/>
      <c r="B20792" s="233"/>
      <c r="C20792" s="238"/>
      <c r="E20792" s="545"/>
      <c r="F20792" s="546"/>
      <c r="G20792" s="234"/>
      <c r="H20792" s="238"/>
      <c r="I20792" s="237"/>
    </row>
    <row r="20793" spans="1:9" s="232" customFormat="1" ht="17" customHeight="1">
      <c r="A20793" s="234"/>
      <c r="B20793" s="233"/>
      <c r="C20793" s="238"/>
      <c r="E20793" s="545"/>
      <c r="F20793" s="546"/>
      <c r="G20793" s="234"/>
      <c r="H20793" s="238"/>
      <c r="I20793" s="237"/>
    </row>
    <row r="20794" spans="1:9" s="232" customFormat="1" ht="17" customHeight="1">
      <c r="A20794" s="234"/>
      <c r="B20794" s="233"/>
      <c r="C20794" s="238"/>
      <c r="E20794" s="545"/>
      <c r="F20794" s="546"/>
      <c r="G20794" s="234"/>
      <c r="H20794" s="238"/>
      <c r="I20794" s="237"/>
    </row>
    <row r="20795" spans="1:9" s="232" customFormat="1" ht="17" customHeight="1">
      <c r="A20795" s="234"/>
      <c r="B20795" s="233"/>
      <c r="C20795" s="238"/>
      <c r="E20795" s="545"/>
      <c r="F20795" s="546"/>
      <c r="G20795" s="234"/>
      <c r="H20795" s="238"/>
      <c r="I20795" s="237"/>
    </row>
    <row r="20796" spans="1:9" s="232" customFormat="1" ht="17" customHeight="1">
      <c r="A20796" s="234"/>
      <c r="B20796" s="233"/>
      <c r="C20796" s="238"/>
      <c r="E20796" s="545"/>
      <c r="F20796" s="546"/>
      <c r="G20796" s="234"/>
      <c r="H20796" s="238"/>
      <c r="I20796" s="237"/>
    </row>
    <row r="20797" spans="1:9" s="232" customFormat="1" ht="17" customHeight="1">
      <c r="A20797" s="234"/>
      <c r="B20797" s="233"/>
      <c r="C20797" s="238"/>
      <c r="E20797" s="545"/>
      <c r="F20797" s="546"/>
      <c r="G20797" s="234"/>
      <c r="H20797" s="238"/>
      <c r="I20797" s="237"/>
    </row>
    <row r="20798" spans="1:9" s="232" customFormat="1" ht="17" customHeight="1">
      <c r="A20798" s="234"/>
      <c r="B20798" s="233"/>
      <c r="C20798" s="238"/>
      <c r="E20798" s="545"/>
      <c r="F20798" s="546"/>
      <c r="G20798" s="234"/>
      <c r="H20798" s="238"/>
      <c r="I20798" s="237"/>
    </row>
    <row r="20799" spans="1:9" s="232" customFormat="1" ht="17" customHeight="1">
      <c r="A20799" s="234"/>
      <c r="B20799" s="233"/>
      <c r="C20799" s="238"/>
      <c r="E20799" s="545"/>
      <c r="F20799" s="546"/>
      <c r="G20799" s="234"/>
      <c r="H20799" s="238"/>
      <c r="I20799" s="237"/>
    </row>
    <row r="20800" spans="1:9" s="232" customFormat="1" ht="17" customHeight="1">
      <c r="A20800" s="234"/>
      <c r="B20800" s="233"/>
      <c r="C20800" s="238"/>
      <c r="E20800" s="545"/>
      <c r="F20800" s="546"/>
      <c r="G20800" s="234"/>
      <c r="H20800" s="238"/>
      <c r="I20800" s="237"/>
    </row>
    <row r="20801" spans="1:9" s="232" customFormat="1" ht="17" customHeight="1">
      <c r="A20801" s="234"/>
      <c r="B20801" s="233"/>
      <c r="C20801" s="238"/>
      <c r="E20801" s="545"/>
      <c r="F20801" s="546"/>
      <c r="G20801" s="234"/>
      <c r="H20801" s="238"/>
      <c r="I20801" s="237"/>
    </row>
    <row r="20802" spans="1:9" s="232" customFormat="1" ht="17" customHeight="1">
      <c r="A20802" s="234"/>
      <c r="B20802" s="233"/>
      <c r="C20802" s="238"/>
      <c r="E20802" s="545"/>
      <c r="F20802" s="546"/>
      <c r="G20802" s="234"/>
      <c r="H20802" s="238"/>
      <c r="I20802" s="237"/>
    </row>
    <row r="20803" spans="1:9" s="232" customFormat="1" ht="17" customHeight="1">
      <c r="A20803" s="234"/>
      <c r="B20803" s="233"/>
      <c r="C20803" s="238"/>
      <c r="E20803" s="545"/>
      <c r="F20803" s="546"/>
      <c r="G20803" s="234"/>
      <c r="H20803" s="238"/>
      <c r="I20803" s="237"/>
    </row>
    <row r="20804" spans="1:9" s="232" customFormat="1" ht="17" customHeight="1">
      <c r="A20804" s="234"/>
      <c r="B20804" s="233"/>
      <c r="C20804" s="238"/>
      <c r="E20804" s="545"/>
      <c r="F20804" s="546"/>
      <c r="G20804" s="234"/>
      <c r="H20804" s="238"/>
      <c r="I20804" s="237"/>
    </row>
    <row r="20805" spans="1:9" s="232" customFormat="1" ht="17" customHeight="1">
      <c r="A20805" s="234"/>
      <c r="B20805" s="233"/>
      <c r="C20805" s="238"/>
      <c r="E20805" s="545"/>
      <c r="F20805" s="546"/>
      <c r="G20805" s="234"/>
      <c r="H20805" s="238"/>
      <c r="I20805" s="237"/>
    </row>
    <row r="20806" spans="1:9" s="232" customFormat="1" ht="17" customHeight="1">
      <c r="A20806" s="234"/>
      <c r="B20806" s="233"/>
      <c r="C20806" s="238"/>
      <c r="E20806" s="545"/>
      <c r="F20806" s="546"/>
      <c r="G20806" s="234"/>
      <c r="H20806" s="238"/>
      <c r="I20806" s="237"/>
    </row>
    <row r="20807" spans="1:9" s="232" customFormat="1" ht="17" customHeight="1">
      <c r="A20807" s="234"/>
      <c r="B20807" s="233"/>
      <c r="C20807" s="238"/>
      <c r="E20807" s="545"/>
      <c r="F20807" s="546"/>
      <c r="G20807" s="234"/>
      <c r="H20807" s="238"/>
      <c r="I20807" s="237"/>
    </row>
    <row r="20808" spans="1:9" s="232" customFormat="1" ht="17" customHeight="1">
      <c r="A20808" s="234"/>
      <c r="B20808" s="233"/>
      <c r="C20808" s="238"/>
      <c r="E20808" s="545"/>
      <c r="F20808" s="546"/>
      <c r="G20808" s="234"/>
      <c r="H20808" s="238"/>
      <c r="I20808" s="237"/>
    </row>
    <row r="20809" spans="1:9" s="232" customFormat="1" ht="17" customHeight="1">
      <c r="A20809" s="234"/>
      <c r="B20809" s="233"/>
      <c r="C20809" s="238"/>
      <c r="E20809" s="545"/>
      <c r="F20809" s="546"/>
      <c r="G20809" s="234"/>
      <c r="H20809" s="238"/>
      <c r="I20809" s="237"/>
    </row>
    <row r="20810" spans="1:9" s="232" customFormat="1" ht="17" customHeight="1">
      <c r="A20810" s="234"/>
      <c r="B20810" s="233"/>
      <c r="C20810" s="238"/>
      <c r="E20810" s="545"/>
      <c r="F20810" s="546"/>
      <c r="G20810" s="234"/>
      <c r="H20810" s="238"/>
      <c r="I20810" s="237"/>
    </row>
    <row r="20811" spans="1:9" s="232" customFormat="1" ht="17" customHeight="1">
      <c r="A20811" s="234"/>
      <c r="B20811" s="233"/>
      <c r="C20811" s="238"/>
      <c r="E20811" s="545"/>
      <c r="F20811" s="546"/>
      <c r="G20811" s="234"/>
      <c r="H20811" s="238"/>
      <c r="I20811" s="237"/>
    </row>
    <row r="20812" spans="1:9" s="232" customFormat="1" ht="17" customHeight="1">
      <c r="A20812" s="234"/>
      <c r="B20812" s="233"/>
      <c r="C20812" s="238"/>
      <c r="E20812" s="545"/>
      <c r="F20812" s="546"/>
      <c r="G20812" s="234"/>
      <c r="H20812" s="238"/>
      <c r="I20812" s="237"/>
    </row>
    <row r="20813" spans="1:9" s="232" customFormat="1" ht="17" customHeight="1">
      <c r="A20813" s="234"/>
      <c r="B20813" s="233"/>
      <c r="C20813" s="238"/>
      <c r="E20813" s="545"/>
      <c r="F20813" s="546"/>
      <c r="G20813" s="234"/>
      <c r="H20813" s="238"/>
      <c r="I20813" s="237"/>
    </row>
    <row r="20814" spans="1:9" s="232" customFormat="1" ht="17" customHeight="1">
      <c r="A20814" s="234"/>
      <c r="B20814" s="233"/>
      <c r="C20814" s="238"/>
      <c r="E20814" s="545"/>
      <c r="F20814" s="546"/>
      <c r="G20814" s="234"/>
      <c r="H20814" s="238"/>
      <c r="I20814" s="237"/>
    </row>
    <row r="20815" spans="1:9" s="232" customFormat="1" ht="17" customHeight="1">
      <c r="A20815" s="234"/>
      <c r="B20815" s="233"/>
      <c r="C20815" s="238"/>
      <c r="E20815" s="545"/>
      <c r="F20815" s="546"/>
      <c r="G20815" s="234"/>
      <c r="H20815" s="238"/>
      <c r="I20815" s="237"/>
    </row>
    <row r="20816" spans="1:9" s="232" customFormat="1" ht="17" customHeight="1">
      <c r="A20816" s="234"/>
      <c r="B20816" s="233"/>
      <c r="C20816" s="238"/>
      <c r="E20816" s="545"/>
      <c r="F20816" s="546"/>
      <c r="G20816" s="234"/>
      <c r="H20816" s="238"/>
      <c r="I20816" s="237"/>
    </row>
    <row r="20817" spans="1:9" s="232" customFormat="1" ht="17" customHeight="1">
      <c r="A20817" s="234"/>
      <c r="B20817" s="233"/>
      <c r="C20817" s="238"/>
      <c r="E20817" s="545"/>
      <c r="F20817" s="546"/>
      <c r="G20817" s="234"/>
      <c r="H20817" s="238"/>
      <c r="I20817" s="237"/>
    </row>
    <row r="20818" spans="1:9" s="232" customFormat="1" ht="17" customHeight="1">
      <c r="A20818" s="234"/>
      <c r="B20818" s="233"/>
      <c r="C20818" s="238"/>
      <c r="E20818" s="545"/>
      <c r="F20818" s="546"/>
      <c r="G20818" s="234"/>
      <c r="H20818" s="238"/>
      <c r="I20818" s="237"/>
    </row>
    <row r="20819" spans="1:9" s="232" customFormat="1" ht="17" customHeight="1">
      <c r="A20819" s="234"/>
      <c r="B20819" s="233"/>
      <c r="C20819" s="238"/>
      <c r="E20819" s="545"/>
      <c r="F20819" s="546"/>
      <c r="G20819" s="234"/>
      <c r="H20819" s="238"/>
      <c r="I20819" s="237"/>
    </row>
    <row r="20820" spans="1:9" s="232" customFormat="1" ht="17" customHeight="1">
      <c r="A20820" s="234"/>
      <c r="B20820" s="233"/>
      <c r="C20820" s="238"/>
      <c r="E20820" s="545"/>
      <c r="F20820" s="546"/>
      <c r="G20820" s="234"/>
      <c r="H20820" s="238"/>
      <c r="I20820" s="237"/>
    </row>
    <row r="20821" spans="1:9" s="232" customFormat="1" ht="17" customHeight="1">
      <c r="A20821" s="234"/>
      <c r="B20821" s="233"/>
      <c r="C20821" s="238"/>
      <c r="E20821" s="545"/>
      <c r="F20821" s="546"/>
      <c r="G20821" s="234"/>
      <c r="H20821" s="238"/>
      <c r="I20821" s="237"/>
    </row>
    <row r="20822" spans="1:9" s="232" customFormat="1" ht="17" customHeight="1">
      <c r="A20822" s="234"/>
      <c r="B20822" s="233"/>
      <c r="C20822" s="238"/>
      <c r="E20822" s="545"/>
      <c r="F20822" s="546"/>
      <c r="G20822" s="234"/>
      <c r="H20822" s="238"/>
      <c r="I20822" s="237"/>
    </row>
    <row r="20823" spans="1:9" s="232" customFormat="1" ht="17" customHeight="1">
      <c r="A20823" s="234"/>
      <c r="B20823" s="233"/>
      <c r="C20823" s="238"/>
      <c r="E20823" s="545"/>
      <c r="F20823" s="546"/>
      <c r="G20823" s="234"/>
      <c r="H20823" s="238"/>
      <c r="I20823" s="237"/>
    </row>
    <row r="20824" spans="1:9" s="232" customFormat="1" ht="17" customHeight="1">
      <c r="A20824" s="234"/>
      <c r="B20824" s="233"/>
      <c r="C20824" s="238"/>
      <c r="E20824" s="545"/>
      <c r="F20824" s="546"/>
      <c r="G20824" s="234"/>
      <c r="H20824" s="238"/>
      <c r="I20824" s="237"/>
    </row>
    <row r="20825" spans="1:9" s="232" customFormat="1" ht="17" customHeight="1">
      <c r="A20825" s="234"/>
      <c r="B20825" s="233"/>
      <c r="C20825" s="238"/>
      <c r="E20825" s="545"/>
      <c r="F20825" s="546"/>
      <c r="G20825" s="234"/>
      <c r="H20825" s="238"/>
      <c r="I20825" s="237"/>
    </row>
    <row r="20826" spans="1:9" s="232" customFormat="1" ht="17" customHeight="1">
      <c r="A20826" s="234"/>
      <c r="B20826" s="233"/>
      <c r="C20826" s="238"/>
      <c r="E20826" s="545"/>
      <c r="F20826" s="546"/>
      <c r="G20826" s="234"/>
      <c r="H20826" s="238"/>
      <c r="I20826" s="237"/>
    </row>
    <row r="20827" spans="1:9" s="232" customFormat="1" ht="17" customHeight="1">
      <c r="A20827" s="234"/>
      <c r="B20827" s="233"/>
      <c r="C20827" s="238"/>
      <c r="E20827" s="545"/>
      <c r="F20827" s="546"/>
      <c r="G20827" s="234"/>
      <c r="H20827" s="238"/>
      <c r="I20827" s="237"/>
    </row>
    <row r="20828" spans="1:9" s="232" customFormat="1" ht="17" customHeight="1">
      <c r="A20828" s="234"/>
      <c r="B20828" s="233"/>
      <c r="C20828" s="238"/>
      <c r="E20828" s="545"/>
      <c r="F20828" s="546"/>
      <c r="G20828" s="234"/>
      <c r="H20828" s="238"/>
      <c r="I20828" s="237"/>
    </row>
    <row r="20829" spans="1:9" s="232" customFormat="1" ht="17" customHeight="1">
      <c r="A20829" s="234"/>
      <c r="B20829" s="233"/>
      <c r="C20829" s="238"/>
      <c r="E20829" s="545"/>
      <c r="F20829" s="546"/>
      <c r="G20829" s="234"/>
      <c r="H20829" s="238"/>
      <c r="I20829" s="237"/>
    </row>
    <row r="20830" spans="1:9" s="232" customFormat="1" ht="17" customHeight="1">
      <c r="A20830" s="234"/>
      <c r="B20830" s="233"/>
      <c r="C20830" s="238"/>
      <c r="E20830" s="545"/>
      <c r="F20830" s="546"/>
      <c r="G20830" s="234"/>
      <c r="H20830" s="238"/>
      <c r="I20830" s="237"/>
    </row>
    <row r="20831" spans="1:9" s="232" customFormat="1" ht="17" customHeight="1">
      <c r="A20831" s="234"/>
      <c r="B20831" s="233"/>
      <c r="C20831" s="238"/>
      <c r="E20831" s="545"/>
      <c r="F20831" s="546"/>
      <c r="G20831" s="234"/>
      <c r="H20831" s="238"/>
      <c r="I20831" s="237"/>
    </row>
    <row r="20832" spans="1:9" s="232" customFormat="1" ht="17" customHeight="1">
      <c r="A20832" s="234"/>
      <c r="B20832" s="233"/>
      <c r="C20832" s="238"/>
      <c r="E20832" s="545"/>
      <c r="F20832" s="546"/>
      <c r="G20832" s="234"/>
      <c r="H20832" s="238"/>
      <c r="I20832" s="237"/>
    </row>
    <row r="20833" spans="1:9" s="232" customFormat="1" ht="17" customHeight="1">
      <c r="A20833" s="234"/>
      <c r="B20833" s="233"/>
      <c r="C20833" s="238"/>
      <c r="E20833" s="545"/>
      <c r="F20833" s="546"/>
      <c r="G20833" s="234"/>
      <c r="H20833" s="238"/>
      <c r="I20833" s="237"/>
    </row>
    <row r="20834" spans="1:9" s="232" customFormat="1" ht="17" customHeight="1">
      <c r="A20834" s="234"/>
      <c r="B20834" s="233"/>
      <c r="C20834" s="238"/>
      <c r="E20834" s="545"/>
      <c r="F20834" s="546"/>
      <c r="G20834" s="234"/>
      <c r="H20834" s="238"/>
      <c r="I20834" s="237"/>
    </row>
    <row r="20835" spans="1:9" s="232" customFormat="1" ht="17" customHeight="1">
      <c r="A20835" s="234"/>
      <c r="B20835" s="233"/>
      <c r="C20835" s="238"/>
      <c r="E20835" s="545"/>
      <c r="F20835" s="546"/>
      <c r="G20835" s="234"/>
      <c r="H20835" s="238"/>
      <c r="I20835" s="237"/>
    </row>
    <row r="20836" spans="1:9" s="232" customFormat="1" ht="17" customHeight="1">
      <c r="A20836" s="234"/>
      <c r="B20836" s="233"/>
      <c r="C20836" s="238"/>
      <c r="E20836" s="545"/>
      <c r="F20836" s="546"/>
      <c r="G20836" s="234"/>
      <c r="H20836" s="238"/>
      <c r="I20836" s="237"/>
    </row>
    <row r="20837" spans="1:9" s="232" customFormat="1" ht="17" customHeight="1">
      <c r="A20837" s="234"/>
      <c r="B20837" s="233"/>
      <c r="C20837" s="238"/>
      <c r="E20837" s="545"/>
      <c r="F20837" s="546"/>
      <c r="G20837" s="234"/>
      <c r="H20837" s="238"/>
      <c r="I20837" s="237"/>
    </row>
    <row r="20838" spans="1:9" s="232" customFormat="1" ht="17" customHeight="1">
      <c r="A20838" s="234"/>
      <c r="B20838" s="233"/>
      <c r="C20838" s="238"/>
      <c r="E20838" s="545"/>
      <c r="F20838" s="546"/>
      <c r="G20838" s="234"/>
      <c r="H20838" s="238"/>
      <c r="I20838" s="237"/>
    </row>
    <row r="20839" spans="1:9" s="232" customFormat="1" ht="17" customHeight="1">
      <c r="A20839" s="234"/>
      <c r="B20839" s="233"/>
      <c r="C20839" s="238"/>
      <c r="E20839" s="545"/>
      <c r="F20839" s="546"/>
      <c r="G20839" s="234"/>
      <c r="H20839" s="238"/>
      <c r="I20839" s="237"/>
    </row>
    <row r="20840" spans="1:9" s="232" customFormat="1" ht="17" customHeight="1">
      <c r="A20840" s="234"/>
      <c r="B20840" s="233"/>
      <c r="C20840" s="238"/>
      <c r="E20840" s="545"/>
      <c r="F20840" s="546"/>
      <c r="G20840" s="234"/>
      <c r="H20840" s="238"/>
      <c r="I20840" s="237"/>
    </row>
    <row r="20841" spans="1:9" s="232" customFormat="1" ht="17" customHeight="1">
      <c r="A20841" s="234"/>
      <c r="B20841" s="233"/>
      <c r="C20841" s="238"/>
      <c r="E20841" s="545"/>
      <c r="F20841" s="546"/>
      <c r="G20841" s="234"/>
      <c r="H20841" s="238"/>
      <c r="I20841" s="237"/>
    </row>
    <row r="20842" spans="1:9" s="232" customFormat="1" ht="17" customHeight="1">
      <c r="A20842" s="234"/>
      <c r="B20842" s="233"/>
      <c r="C20842" s="238"/>
      <c r="E20842" s="545"/>
      <c r="F20842" s="546"/>
      <c r="G20842" s="234"/>
      <c r="H20842" s="238"/>
      <c r="I20842" s="237"/>
    </row>
    <row r="20843" spans="1:9" s="232" customFormat="1" ht="17" customHeight="1">
      <c r="A20843" s="234"/>
      <c r="B20843" s="233"/>
      <c r="C20843" s="238"/>
      <c r="E20843" s="545"/>
      <c r="F20843" s="546"/>
      <c r="G20843" s="234"/>
      <c r="H20843" s="238"/>
      <c r="I20843" s="237"/>
    </row>
    <row r="20844" spans="1:9" s="232" customFormat="1" ht="17" customHeight="1">
      <c r="A20844" s="234"/>
      <c r="B20844" s="233"/>
      <c r="C20844" s="238"/>
      <c r="E20844" s="545"/>
      <c r="F20844" s="546"/>
      <c r="G20844" s="234"/>
      <c r="H20844" s="238"/>
      <c r="I20844" s="237"/>
    </row>
    <row r="20845" spans="1:9" s="232" customFormat="1" ht="17" customHeight="1">
      <c r="A20845" s="234"/>
      <c r="B20845" s="233"/>
      <c r="C20845" s="238"/>
      <c r="E20845" s="545"/>
      <c r="F20845" s="546"/>
      <c r="G20845" s="234"/>
      <c r="H20845" s="238"/>
      <c r="I20845" s="237"/>
    </row>
    <row r="20846" spans="1:9" s="232" customFormat="1" ht="17" customHeight="1">
      <c r="A20846" s="234"/>
      <c r="B20846" s="233"/>
      <c r="C20846" s="238"/>
      <c r="E20846" s="545"/>
      <c r="F20846" s="546"/>
      <c r="G20846" s="234"/>
      <c r="H20846" s="238"/>
      <c r="I20846" s="237"/>
    </row>
    <row r="20847" spans="1:9" s="232" customFormat="1" ht="17" customHeight="1">
      <c r="A20847" s="234"/>
      <c r="B20847" s="233"/>
      <c r="C20847" s="238"/>
      <c r="E20847" s="545"/>
      <c r="F20847" s="546"/>
      <c r="G20847" s="234"/>
      <c r="H20847" s="238"/>
      <c r="I20847" s="237"/>
    </row>
    <row r="20848" spans="1:9" s="232" customFormat="1" ht="17" customHeight="1">
      <c r="A20848" s="234"/>
      <c r="B20848" s="233"/>
      <c r="C20848" s="238"/>
      <c r="E20848" s="545"/>
      <c r="F20848" s="546"/>
      <c r="G20848" s="234"/>
      <c r="H20848" s="238"/>
      <c r="I20848" s="237"/>
    </row>
    <row r="20849" spans="1:9" s="232" customFormat="1" ht="17" customHeight="1">
      <c r="A20849" s="234"/>
      <c r="B20849" s="233"/>
      <c r="C20849" s="238"/>
      <c r="E20849" s="545"/>
      <c r="F20849" s="546"/>
      <c r="G20849" s="234"/>
      <c r="H20849" s="238"/>
      <c r="I20849" s="237"/>
    </row>
    <row r="20850" spans="1:9" s="232" customFormat="1" ht="17" customHeight="1">
      <c r="A20850" s="234"/>
      <c r="B20850" s="233"/>
      <c r="C20850" s="238"/>
      <c r="E20850" s="545"/>
      <c r="F20850" s="546"/>
      <c r="G20850" s="234"/>
      <c r="H20850" s="238"/>
      <c r="I20850" s="237"/>
    </row>
    <row r="20851" spans="1:9" s="232" customFormat="1" ht="17" customHeight="1">
      <c r="A20851" s="234"/>
      <c r="B20851" s="233"/>
      <c r="C20851" s="238"/>
      <c r="E20851" s="545"/>
      <c r="F20851" s="546"/>
      <c r="G20851" s="234"/>
      <c r="H20851" s="238"/>
      <c r="I20851" s="237"/>
    </row>
    <row r="20852" spans="1:9" s="232" customFormat="1" ht="17" customHeight="1">
      <c r="A20852" s="234"/>
      <c r="B20852" s="233"/>
      <c r="C20852" s="238"/>
      <c r="E20852" s="545"/>
      <c r="F20852" s="546"/>
      <c r="G20852" s="234"/>
      <c r="H20852" s="238"/>
      <c r="I20852" s="237"/>
    </row>
    <row r="20853" spans="1:9" s="232" customFormat="1" ht="17" customHeight="1">
      <c r="A20853" s="234"/>
      <c r="B20853" s="233"/>
      <c r="C20853" s="238"/>
      <c r="E20853" s="545"/>
      <c r="F20853" s="546"/>
      <c r="G20853" s="234"/>
      <c r="H20853" s="238"/>
      <c r="I20853" s="237"/>
    </row>
    <row r="20854" spans="1:9" s="232" customFormat="1" ht="17" customHeight="1">
      <c r="A20854" s="234"/>
      <c r="B20854" s="233"/>
      <c r="C20854" s="238"/>
      <c r="E20854" s="545"/>
      <c r="F20854" s="546"/>
      <c r="G20854" s="234"/>
      <c r="H20854" s="238"/>
      <c r="I20854" s="237"/>
    </row>
    <row r="20855" spans="1:9" s="232" customFormat="1" ht="17" customHeight="1">
      <c r="A20855" s="234"/>
      <c r="B20855" s="233"/>
      <c r="C20855" s="238"/>
      <c r="E20855" s="545"/>
      <c r="F20855" s="546"/>
      <c r="G20855" s="234"/>
      <c r="H20855" s="238"/>
      <c r="I20855" s="237"/>
    </row>
    <row r="20856" spans="1:9" s="232" customFormat="1" ht="17" customHeight="1">
      <c r="A20856" s="234"/>
      <c r="B20856" s="233"/>
      <c r="C20856" s="238"/>
      <c r="E20856" s="545"/>
      <c r="F20856" s="546"/>
      <c r="G20856" s="234"/>
      <c r="H20856" s="238"/>
      <c r="I20856" s="237"/>
    </row>
    <row r="20857" spans="1:9" s="232" customFormat="1" ht="17" customHeight="1">
      <c r="A20857" s="234"/>
      <c r="B20857" s="233"/>
      <c r="C20857" s="238"/>
      <c r="E20857" s="545"/>
      <c r="F20857" s="546"/>
      <c r="G20857" s="234"/>
      <c r="H20857" s="238"/>
      <c r="I20857" s="237"/>
    </row>
    <row r="20858" spans="1:9" s="232" customFormat="1" ht="17" customHeight="1">
      <c r="A20858" s="234"/>
      <c r="B20858" s="233"/>
      <c r="C20858" s="238"/>
      <c r="E20858" s="545"/>
      <c r="F20858" s="546"/>
      <c r="G20858" s="234"/>
      <c r="H20858" s="238"/>
      <c r="I20858" s="237"/>
    </row>
    <row r="20859" spans="1:9" s="232" customFormat="1" ht="17" customHeight="1">
      <c r="A20859" s="234"/>
      <c r="B20859" s="233"/>
      <c r="C20859" s="238"/>
      <c r="E20859" s="545"/>
      <c r="F20859" s="546"/>
      <c r="G20859" s="234"/>
      <c r="H20859" s="238"/>
      <c r="I20859" s="237"/>
    </row>
    <row r="20860" spans="1:9" s="232" customFormat="1" ht="17" customHeight="1">
      <c r="A20860" s="234"/>
      <c r="B20860" s="233"/>
      <c r="C20860" s="238"/>
      <c r="E20860" s="545"/>
      <c r="F20860" s="546"/>
      <c r="G20860" s="234"/>
      <c r="H20860" s="238"/>
      <c r="I20860" s="237"/>
    </row>
    <row r="20861" spans="1:9" s="232" customFormat="1" ht="17" customHeight="1">
      <c r="A20861" s="234"/>
      <c r="B20861" s="233"/>
      <c r="C20861" s="238"/>
      <c r="E20861" s="545"/>
      <c r="F20861" s="546"/>
      <c r="G20861" s="234"/>
      <c r="H20861" s="238"/>
      <c r="I20861" s="237"/>
    </row>
    <row r="20862" spans="1:9" s="232" customFormat="1" ht="17" customHeight="1">
      <c r="A20862" s="234"/>
      <c r="B20862" s="233"/>
      <c r="C20862" s="238"/>
      <c r="E20862" s="545"/>
      <c r="F20862" s="546"/>
      <c r="G20862" s="234"/>
      <c r="H20862" s="238"/>
      <c r="I20862" s="237"/>
    </row>
    <row r="20863" spans="1:9" s="232" customFormat="1" ht="17" customHeight="1">
      <c r="A20863" s="234"/>
      <c r="B20863" s="233"/>
      <c r="C20863" s="238"/>
      <c r="E20863" s="545"/>
      <c r="F20863" s="546"/>
      <c r="G20863" s="234"/>
      <c r="H20863" s="238"/>
      <c r="I20863" s="237"/>
    </row>
    <row r="20864" spans="1:9" s="232" customFormat="1" ht="17" customHeight="1">
      <c r="A20864" s="234"/>
      <c r="B20864" s="233"/>
      <c r="C20864" s="238"/>
      <c r="E20864" s="545"/>
      <c r="F20864" s="546"/>
      <c r="G20864" s="234"/>
      <c r="H20864" s="238"/>
      <c r="I20864" s="237"/>
    </row>
    <row r="20865" spans="1:9" s="232" customFormat="1" ht="17" customHeight="1">
      <c r="A20865" s="234"/>
      <c r="B20865" s="233"/>
      <c r="C20865" s="238"/>
      <c r="E20865" s="545"/>
      <c r="F20865" s="546"/>
      <c r="G20865" s="234"/>
      <c r="H20865" s="238"/>
      <c r="I20865" s="237"/>
    </row>
    <row r="20866" spans="1:9" s="232" customFormat="1" ht="17" customHeight="1">
      <c r="A20866" s="234"/>
      <c r="B20866" s="233"/>
      <c r="C20866" s="238"/>
      <c r="E20866" s="545"/>
      <c r="F20866" s="546"/>
      <c r="G20866" s="234"/>
      <c r="H20866" s="238"/>
      <c r="I20866" s="237"/>
    </row>
    <row r="20867" spans="1:9" s="232" customFormat="1" ht="17" customHeight="1">
      <c r="A20867" s="234"/>
      <c r="B20867" s="233"/>
      <c r="C20867" s="238"/>
      <c r="E20867" s="545"/>
      <c r="F20867" s="546"/>
      <c r="G20867" s="234"/>
      <c r="H20867" s="238"/>
      <c r="I20867" s="237"/>
    </row>
    <row r="20868" spans="1:9" s="232" customFormat="1" ht="17" customHeight="1">
      <c r="A20868" s="234"/>
      <c r="B20868" s="233"/>
      <c r="C20868" s="238"/>
      <c r="E20868" s="545"/>
      <c r="F20868" s="546"/>
      <c r="G20868" s="234"/>
      <c r="H20868" s="238"/>
      <c r="I20868" s="237"/>
    </row>
    <row r="20869" spans="1:9" s="232" customFormat="1" ht="17" customHeight="1">
      <c r="A20869" s="234"/>
      <c r="B20869" s="233"/>
      <c r="C20869" s="238"/>
      <c r="E20869" s="545"/>
      <c r="F20869" s="546"/>
      <c r="G20869" s="234"/>
      <c r="H20869" s="238"/>
      <c r="I20869" s="237"/>
    </row>
    <row r="20870" spans="1:9" s="232" customFormat="1" ht="17" customHeight="1">
      <c r="A20870" s="234"/>
      <c r="B20870" s="233"/>
      <c r="C20870" s="238"/>
      <c r="E20870" s="545"/>
      <c r="F20870" s="546"/>
      <c r="G20870" s="234"/>
      <c r="H20870" s="238"/>
      <c r="I20870" s="237"/>
    </row>
    <row r="20871" spans="1:9" s="232" customFormat="1" ht="17" customHeight="1">
      <c r="A20871" s="234"/>
      <c r="B20871" s="233"/>
      <c r="C20871" s="238"/>
      <c r="E20871" s="545"/>
      <c r="F20871" s="546"/>
      <c r="G20871" s="234"/>
      <c r="H20871" s="238"/>
      <c r="I20871" s="237"/>
    </row>
    <row r="20872" spans="1:9" s="232" customFormat="1" ht="17" customHeight="1">
      <c r="A20872" s="234"/>
      <c r="B20872" s="233"/>
      <c r="C20872" s="238"/>
      <c r="E20872" s="545"/>
      <c r="F20872" s="546"/>
      <c r="G20872" s="234"/>
      <c r="H20872" s="238"/>
      <c r="I20872" s="237"/>
    </row>
    <row r="20873" spans="1:9" s="232" customFormat="1" ht="17" customHeight="1">
      <c r="A20873" s="234"/>
      <c r="B20873" s="233"/>
      <c r="C20873" s="238"/>
      <c r="E20873" s="545"/>
      <c r="F20873" s="546"/>
      <c r="G20873" s="234"/>
      <c r="H20873" s="238"/>
      <c r="I20873" s="237"/>
    </row>
    <row r="20874" spans="1:9" s="232" customFormat="1" ht="17" customHeight="1">
      <c r="A20874" s="234"/>
      <c r="B20874" s="233"/>
      <c r="C20874" s="238"/>
      <c r="E20874" s="545"/>
      <c r="F20874" s="546"/>
      <c r="G20874" s="234"/>
      <c r="H20874" s="238"/>
      <c r="I20874" s="237"/>
    </row>
    <row r="20875" spans="1:9" s="232" customFormat="1" ht="17" customHeight="1">
      <c r="A20875" s="234"/>
      <c r="B20875" s="233"/>
      <c r="C20875" s="238"/>
      <c r="E20875" s="545"/>
      <c r="F20875" s="546"/>
      <c r="G20875" s="234"/>
      <c r="H20875" s="238"/>
      <c r="I20875" s="237"/>
    </row>
    <row r="20876" spans="1:9" s="232" customFormat="1" ht="17" customHeight="1">
      <c r="A20876" s="234"/>
      <c r="B20876" s="233"/>
      <c r="C20876" s="238"/>
      <c r="E20876" s="545"/>
      <c r="F20876" s="546"/>
      <c r="G20876" s="234"/>
      <c r="H20876" s="238"/>
      <c r="I20876" s="237"/>
    </row>
    <row r="20877" spans="1:9" s="232" customFormat="1" ht="17" customHeight="1">
      <c r="A20877" s="234"/>
      <c r="B20877" s="233"/>
      <c r="C20877" s="238"/>
      <c r="E20877" s="545"/>
      <c r="F20877" s="546"/>
      <c r="G20877" s="234"/>
      <c r="H20877" s="238"/>
      <c r="I20877" s="237"/>
    </row>
    <row r="20878" spans="1:9" s="232" customFormat="1" ht="17" customHeight="1">
      <c r="A20878" s="234"/>
      <c r="B20878" s="233"/>
      <c r="C20878" s="238"/>
      <c r="E20878" s="545"/>
      <c r="F20878" s="546"/>
      <c r="G20878" s="234"/>
      <c r="H20878" s="238"/>
      <c r="I20878" s="237"/>
    </row>
    <row r="20879" spans="1:9" s="232" customFormat="1" ht="17" customHeight="1">
      <c r="A20879" s="234"/>
      <c r="B20879" s="233"/>
      <c r="C20879" s="238"/>
      <c r="E20879" s="545"/>
      <c r="F20879" s="546"/>
      <c r="G20879" s="234"/>
      <c r="H20879" s="238"/>
      <c r="I20879" s="237"/>
    </row>
    <row r="20880" spans="1:9" s="232" customFormat="1" ht="17" customHeight="1">
      <c r="A20880" s="234"/>
      <c r="B20880" s="233"/>
      <c r="C20880" s="238"/>
      <c r="E20880" s="545"/>
      <c r="F20880" s="546"/>
      <c r="G20880" s="234"/>
      <c r="H20880" s="238"/>
      <c r="I20880" s="237"/>
    </row>
    <row r="20881" spans="1:9" s="232" customFormat="1" ht="17" customHeight="1">
      <c r="A20881" s="234"/>
      <c r="B20881" s="233"/>
      <c r="C20881" s="238"/>
      <c r="E20881" s="545"/>
      <c r="F20881" s="546"/>
      <c r="G20881" s="234"/>
      <c r="H20881" s="238"/>
      <c r="I20881" s="237"/>
    </row>
    <row r="20882" spans="1:9" s="232" customFormat="1" ht="17" customHeight="1">
      <c r="A20882" s="234"/>
      <c r="B20882" s="233"/>
      <c r="C20882" s="238"/>
      <c r="E20882" s="545"/>
      <c r="F20882" s="546"/>
      <c r="G20882" s="234"/>
      <c r="H20882" s="238"/>
      <c r="I20882" s="237"/>
    </row>
    <row r="20883" spans="1:9" s="232" customFormat="1" ht="17" customHeight="1">
      <c r="A20883" s="234"/>
      <c r="B20883" s="233"/>
      <c r="C20883" s="238"/>
      <c r="E20883" s="545"/>
      <c r="F20883" s="546"/>
      <c r="G20883" s="234"/>
      <c r="H20883" s="238"/>
      <c r="I20883" s="237"/>
    </row>
    <row r="20884" spans="1:9" s="232" customFormat="1" ht="17" customHeight="1">
      <c r="A20884" s="234"/>
      <c r="B20884" s="233"/>
      <c r="C20884" s="238"/>
      <c r="E20884" s="545"/>
      <c r="F20884" s="546"/>
      <c r="G20884" s="234"/>
      <c r="H20884" s="238"/>
      <c r="I20884" s="237"/>
    </row>
    <row r="20885" spans="1:9" s="232" customFormat="1" ht="17" customHeight="1">
      <c r="A20885" s="234"/>
      <c r="B20885" s="233"/>
      <c r="C20885" s="238"/>
      <c r="E20885" s="545"/>
      <c r="F20885" s="546"/>
      <c r="G20885" s="234"/>
      <c r="H20885" s="238"/>
      <c r="I20885" s="237"/>
    </row>
    <row r="20886" spans="1:9" s="232" customFormat="1" ht="17" customHeight="1">
      <c r="A20886" s="234"/>
      <c r="B20886" s="233"/>
      <c r="C20886" s="238"/>
      <c r="E20886" s="545"/>
      <c r="F20886" s="546"/>
      <c r="G20886" s="234"/>
      <c r="H20886" s="238"/>
      <c r="I20886" s="237"/>
    </row>
    <row r="20887" spans="1:9" s="232" customFormat="1" ht="17" customHeight="1">
      <c r="A20887" s="234"/>
      <c r="B20887" s="233"/>
      <c r="C20887" s="238"/>
      <c r="E20887" s="545"/>
      <c r="F20887" s="546"/>
      <c r="G20887" s="234"/>
      <c r="H20887" s="238"/>
      <c r="I20887" s="237"/>
    </row>
    <row r="20888" spans="1:9" s="232" customFormat="1" ht="17" customHeight="1">
      <c r="A20888" s="234"/>
      <c r="B20888" s="233"/>
      <c r="C20888" s="238"/>
      <c r="E20888" s="545"/>
      <c r="F20888" s="546"/>
      <c r="G20888" s="234"/>
      <c r="H20888" s="238"/>
      <c r="I20888" s="237"/>
    </row>
    <row r="20889" spans="1:9" s="232" customFormat="1" ht="17" customHeight="1">
      <c r="A20889" s="234"/>
      <c r="B20889" s="233"/>
      <c r="C20889" s="238"/>
      <c r="E20889" s="545"/>
      <c r="F20889" s="546"/>
      <c r="G20889" s="234"/>
      <c r="H20889" s="238"/>
      <c r="I20889" s="237"/>
    </row>
    <row r="20890" spans="1:9" s="232" customFormat="1" ht="17" customHeight="1">
      <c r="A20890" s="234"/>
      <c r="B20890" s="233"/>
      <c r="C20890" s="238"/>
      <c r="E20890" s="545"/>
      <c r="F20890" s="546"/>
      <c r="G20890" s="234"/>
      <c r="H20890" s="238"/>
      <c r="I20890" s="237"/>
    </row>
    <row r="20891" spans="1:9" s="232" customFormat="1" ht="17" customHeight="1">
      <c r="A20891" s="234"/>
      <c r="B20891" s="233"/>
      <c r="C20891" s="238"/>
      <c r="E20891" s="545"/>
      <c r="F20891" s="546"/>
      <c r="G20891" s="234"/>
      <c r="H20891" s="238"/>
      <c r="I20891" s="237"/>
    </row>
    <row r="20892" spans="1:9" s="232" customFormat="1" ht="17" customHeight="1">
      <c r="A20892" s="234"/>
      <c r="B20892" s="233"/>
      <c r="C20892" s="238"/>
      <c r="E20892" s="545"/>
      <c r="F20892" s="546"/>
      <c r="G20892" s="234"/>
      <c r="H20892" s="238"/>
      <c r="I20892" s="237"/>
    </row>
    <row r="20893" spans="1:9" s="232" customFormat="1" ht="17" customHeight="1">
      <c r="A20893" s="234"/>
      <c r="B20893" s="233"/>
      <c r="C20893" s="238"/>
      <c r="E20893" s="545"/>
      <c r="F20893" s="546"/>
      <c r="G20893" s="234"/>
      <c r="H20893" s="238"/>
      <c r="I20893" s="237"/>
    </row>
    <row r="20894" spans="1:9" s="232" customFormat="1" ht="17" customHeight="1">
      <c r="A20894" s="234"/>
      <c r="B20894" s="233"/>
      <c r="C20894" s="238"/>
      <c r="E20894" s="545"/>
      <c r="F20894" s="546"/>
      <c r="G20894" s="234"/>
      <c r="H20894" s="238"/>
      <c r="I20894" s="237"/>
    </row>
    <row r="20895" spans="1:9" s="232" customFormat="1" ht="17" customHeight="1">
      <c r="A20895" s="234"/>
      <c r="B20895" s="233"/>
      <c r="C20895" s="238"/>
      <c r="E20895" s="545"/>
      <c r="F20895" s="546"/>
      <c r="G20895" s="234"/>
      <c r="H20895" s="238"/>
      <c r="I20895" s="237"/>
    </row>
    <row r="20896" spans="1:9" s="232" customFormat="1" ht="17" customHeight="1">
      <c r="A20896" s="234"/>
      <c r="B20896" s="233"/>
      <c r="C20896" s="238"/>
      <c r="E20896" s="545"/>
      <c r="F20896" s="546"/>
      <c r="G20896" s="234"/>
      <c r="H20896" s="238"/>
      <c r="I20896" s="237"/>
    </row>
    <row r="20897" spans="1:9" s="232" customFormat="1" ht="17" customHeight="1">
      <c r="A20897" s="234"/>
      <c r="B20897" s="233"/>
      <c r="C20897" s="238"/>
      <c r="E20897" s="545"/>
      <c r="F20897" s="546"/>
      <c r="G20897" s="234"/>
      <c r="H20897" s="238"/>
      <c r="I20897" s="237"/>
    </row>
    <row r="20898" spans="1:9" s="232" customFormat="1" ht="17" customHeight="1">
      <c r="A20898" s="234"/>
      <c r="B20898" s="233"/>
      <c r="C20898" s="238"/>
      <c r="E20898" s="545"/>
      <c r="F20898" s="546"/>
      <c r="G20898" s="234"/>
      <c r="H20898" s="238"/>
      <c r="I20898" s="237"/>
    </row>
    <row r="20899" spans="1:9" s="232" customFormat="1" ht="17" customHeight="1">
      <c r="A20899" s="234"/>
      <c r="B20899" s="233"/>
      <c r="C20899" s="238"/>
      <c r="E20899" s="545"/>
      <c r="F20899" s="546"/>
      <c r="G20899" s="234"/>
      <c r="H20899" s="238"/>
      <c r="I20899" s="237"/>
    </row>
    <row r="20900" spans="1:9" s="232" customFormat="1" ht="17" customHeight="1">
      <c r="A20900" s="234"/>
      <c r="B20900" s="233"/>
      <c r="C20900" s="238"/>
      <c r="E20900" s="545"/>
      <c r="F20900" s="546"/>
      <c r="G20900" s="234"/>
      <c r="H20900" s="238"/>
      <c r="I20900" s="237"/>
    </row>
    <row r="20901" spans="1:9" s="232" customFormat="1" ht="17" customHeight="1">
      <c r="A20901" s="234"/>
      <c r="B20901" s="233"/>
      <c r="C20901" s="238"/>
      <c r="E20901" s="545"/>
      <c r="F20901" s="546"/>
      <c r="G20901" s="234"/>
      <c r="H20901" s="238"/>
      <c r="I20901" s="237"/>
    </row>
    <row r="20902" spans="1:9" s="232" customFormat="1" ht="17" customHeight="1">
      <c r="A20902" s="234"/>
      <c r="B20902" s="233"/>
      <c r="C20902" s="238"/>
      <c r="E20902" s="545"/>
      <c r="F20902" s="546"/>
      <c r="G20902" s="234"/>
      <c r="H20902" s="238"/>
      <c r="I20902" s="237"/>
    </row>
    <row r="20903" spans="1:9" s="232" customFormat="1" ht="17" customHeight="1">
      <c r="A20903" s="234"/>
      <c r="B20903" s="233"/>
      <c r="C20903" s="238"/>
      <c r="E20903" s="545"/>
      <c r="F20903" s="546"/>
      <c r="G20903" s="234"/>
      <c r="H20903" s="238"/>
      <c r="I20903" s="237"/>
    </row>
    <row r="20904" spans="1:9" s="232" customFormat="1" ht="17" customHeight="1">
      <c r="A20904" s="234"/>
      <c r="B20904" s="233"/>
      <c r="C20904" s="238"/>
      <c r="E20904" s="545"/>
      <c r="F20904" s="546"/>
      <c r="G20904" s="234"/>
      <c r="H20904" s="238"/>
      <c r="I20904" s="237"/>
    </row>
    <row r="20905" spans="1:9" s="232" customFormat="1" ht="17" customHeight="1">
      <c r="A20905" s="234"/>
      <c r="B20905" s="233"/>
      <c r="C20905" s="238"/>
      <c r="E20905" s="545"/>
      <c r="F20905" s="546"/>
      <c r="G20905" s="234"/>
      <c r="H20905" s="238"/>
      <c r="I20905" s="237"/>
    </row>
    <row r="20906" spans="1:9" s="232" customFormat="1" ht="17" customHeight="1">
      <c r="A20906" s="234"/>
      <c r="B20906" s="233"/>
      <c r="C20906" s="238"/>
      <c r="E20906" s="545"/>
      <c r="F20906" s="546"/>
      <c r="G20906" s="234"/>
      <c r="H20906" s="238"/>
      <c r="I20906" s="237"/>
    </row>
    <row r="20907" spans="1:9" s="232" customFormat="1" ht="17" customHeight="1">
      <c r="A20907" s="234"/>
      <c r="B20907" s="233"/>
      <c r="C20907" s="238"/>
      <c r="E20907" s="545"/>
      <c r="F20907" s="546"/>
      <c r="G20907" s="234"/>
      <c r="H20907" s="238"/>
      <c r="I20907" s="237"/>
    </row>
    <row r="20908" spans="1:9" s="232" customFormat="1" ht="17" customHeight="1">
      <c r="A20908" s="234"/>
      <c r="B20908" s="233"/>
      <c r="C20908" s="238"/>
      <c r="E20908" s="545"/>
      <c r="F20908" s="546"/>
      <c r="G20908" s="234"/>
      <c r="H20908" s="238"/>
      <c r="I20908" s="237"/>
    </row>
    <row r="20909" spans="1:9" s="232" customFormat="1" ht="17" customHeight="1">
      <c r="A20909" s="234"/>
      <c r="B20909" s="233"/>
      <c r="C20909" s="238"/>
      <c r="E20909" s="545"/>
      <c r="F20909" s="546"/>
      <c r="G20909" s="234"/>
      <c r="H20909" s="238"/>
      <c r="I20909" s="237"/>
    </row>
    <row r="20910" spans="1:9" s="232" customFormat="1" ht="17" customHeight="1">
      <c r="A20910" s="234"/>
      <c r="B20910" s="233"/>
      <c r="C20910" s="238"/>
      <c r="E20910" s="545"/>
      <c r="F20910" s="546"/>
      <c r="G20910" s="234"/>
      <c r="H20910" s="238"/>
      <c r="I20910" s="237"/>
    </row>
    <row r="20911" spans="1:9" s="232" customFormat="1" ht="17" customHeight="1">
      <c r="A20911" s="234"/>
      <c r="B20911" s="233"/>
      <c r="C20911" s="238"/>
      <c r="E20911" s="545"/>
      <c r="F20911" s="546"/>
      <c r="G20911" s="234"/>
      <c r="H20911" s="238"/>
      <c r="I20911" s="237"/>
    </row>
    <row r="20912" spans="1:9" s="232" customFormat="1" ht="17" customHeight="1">
      <c r="A20912" s="234"/>
      <c r="B20912" s="233"/>
      <c r="C20912" s="238"/>
      <c r="E20912" s="545"/>
      <c r="F20912" s="546"/>
      <c r="G20912" s="234"/>
      <c r="H20912" s="238"/>
      <c r="I20912" s="237"/>
    </row>
    <row r="20913" spans="1:9" s="232" customFormat="1" ht="17" customHeight="1">
      <c r="A20913" s="234"/>
      <c r="B20913" s="233"/>
      <c r="C20913" s="238"/>
      <c r="E20913" s="545"/>
      <c r="F20913" s="546"/>
      <c r="G20913" s="234"/>
      <c r="H20913" s="238"/>
      <c r="I20913" s="237"/>
    </row>
    <row r="20914" spans="1:9" s="232" customFormat="1" ht="17" customHeight="1">
      <c r="A20914" s="234"/>
      <c r="B20914" s="233"/>
      <c r="C20914" s="238"/>
      <c r="E20914" s="545"/>
      <c r="F20914" s="546"/>
      <c r="G20914" s="234"/>
      <c r="H20914" s="238"/>
      <c r="I20914" s="237"/>
    </row>
    <row r="20915" spans="1:9" s="232" customFormat="1" ht="17" customHeight="1">
      <c r="A20915" s="234"/>
      <c r="B20915" s="233"/>
      <c r="C20915" s="238"/>
      <c r="E20915" s="545"/>
      <c r="F20915" s="546"/>
      <c r="G20915" s="234"/>
      <c r="H20915" s="238"/>
      <c r="I20915" s="237"/>
    </row>
    <row r="20916" spans="1:9" s="232" customFormat="1" ht="17" customHeight="1">
      <c r="A20916" s="234"/>
      <c r="B20916" s="233"/>
      <c r="C20916" s="238"/>
      <c r="E20916" s="545"/>
      <c r="F20916" s="546"/>
      <c r="G20916" s="234"/>
      <c r="H20916" s="238"/>
      <c r="I20916" s="237"/>
    </row>
    <row r="20917" spans="1:9" s="232" customFormat="1" ht="17" customHeight="1">
      <c r="A20917" s="234"/>
      <c r="B20917" s="233"/>
      <c r="C20917" s="238"/>
      <c r="E20917" s="545"/>
      <c r="F20917" s="546"/>
      <c r="G20917" s="234"/>
      <c r="H20917" s="238"/>
      <c r="I20917" s="237"/>
    </row>
    <row r="20918" spans="1:9" s="232" customFormat="1" ht="17" customHeight="1">
      <c r="A20918" s="234"/>
      <c r="B20918" s="233"/>
      <c r="C20918" s="238"/>
      <c r="E20918" s="545"/>
      <c r="F20918" s="546"/>
      <c r="G20918" s="234"/>
      <c r="H20918" s="238"/>
      <c r="I20918" s="237"/>
    </row>
    <row r="20919" spans="1:9" s="232" customFormat="1" ht="17" customHeight="1">
      <c r="A20919" s="234"/>
      <c r="B20919" s="233"/>
      <c r="C20919" s="238"/>
      <c r="E20919" s="545"/>
      <c r="F20919" s="546"/>
      <c r="G20919" s="234"/>
      <c r="H20919" s="238"/>
      <c r="I20919" s="237"/>
    </row>
    <row r="20920" spans="1:9" s="232" customFormat="1" ht="17" customHeight="1">
      <c r="A20920" s="234"/>
      <c r="B20920" s="233"/>
      <c r="C20920" s="238"/>
      <c r="E20920" s="545"/>
      <c r="F20920" s="546"/>
      <c r="G20920" s="234"/>
      <c r="H20920" s="238"/>
      <c r="I20920" s="237"/>
    </row>
    <row r="20921" spans="1:9" s="232" customFormat="1" ht="17" customHeight="1">
      <c r="A20921" s="234"/>
      <c r="B20921" s="233"/>
      <c r="C20921" s="238"/>
      <c r="E20921" s="545"/>
      <c r="F20921" s="546"/>
      <c r="G20921" s="234"/>
      <c r="H20921" s="238"/>
      <c r="I20921" s="237"/>
    </row>
    <row r="20922" spans="1:9" s="232" customFormat="1" ht="17" customHeight="1">
      <c r="A20922" s="234"/>
      <c r="B20922" s="233"/>
      <c r="C20922" s="238"/>
      <c r="E20922" s="545"/>
      <c r="F20922" s="546"/>
      <c r="G20922" s="234"/>
      <c r="H20922" s="238"/>
      <c r="I20922" s="237"/>
    </row>
    <row r="20923" spans="1:9" s="232" customFormat="1" ht="17" customHeight="1">
      <c r="A20923" s="234"/>
      <c r="B20923" s="233"/>
      <c r="C20923" s="238"/>
      <c r="E20923" s="545"/>
      <c r="F20923" s="546"/>
      <c r="G20923" s="234"/>
      <c r="H20923" s="238"/>
      <c r="I20923" s="237"/>
    </row>
    <row r="20924" spans="1:9" s="232" customFormat="1" ht="17" customHeight="1">
      <c r="A20924" s="234"/>
      <c r="B20924" s="233"/>
      <c r="C20924" s="238"/>
      <c r="E20924" s="545"/>
      <c r="F20924" s="546"/>
      <c r="G20924" s="234"/>
      <c r="H20924" s="238"/>
      <c r="I20924" s="237"/>
    </row>
    <row r="20925" spans="1:9" s="232" customFormat="1" ht="17" customHeight="1">
      <c r="A20925" s="234"/>
      <c r="B20925" s="233"/>
      <c r="C20925" s="238"/>
      <c r="E20925" s="545"/>
      <c r="F20925" s="546"/>
      <c r="G20925" s="234"/>
      <c r="H20925" s="238"/>
      <c r="I20925" s="237"/>
    </row>
    <row r="20926" spans="1:9" s="232" customFormat="1" ht="17" customHeight="1">
      <c r="A20926" s="234"/>
      <c r="B20926" s="233"/>
      <c r="C20926" s="238"/>
      <c r="E20926" s="545"/>
      <c r="F20926" s="546"/>
      <c r="G20926" s="234"/>
      <c r="H20926" s="238"/>
      <c r="I20926" s="237"/>
    </row>
    <row r="20927" spans="1:9" s="232" customFormat="1" ht="17" customHeight="1">
      <c r="A20927" s="234"/>
      <c r="B20927" s="233"/>
      <c r="C20927" s="238"/>
      <c r="E20927" s="545"/>
      <c r="F20927" s="546"/>
      <c r="G20927" s="234"/>
      <c r="H20927" s="238"/>
      <c r="I20927" s="237"/>
    </row>
    <row r="20928" spans="1:9" s="232" customFormat="1" ht="17" customHeight="1">
      <c r="A20928" s="234"/>
      <c r="B20928" s="233"/>
      <c r="C20928" s="238"/>
      <c r="E20928" s="545"/>
      <c r="F20928" s="546"/>
      <c r="G20928" s="234"/>
      <c r="H20928" s="238"/>
      <c r="I20928" s="237"/>
    </row>
    <row r="20929" spans="1:9" s="232" customFormat="1" ht="17" customHeight="1">
      <c r="A20929" s="234"/>
      <c r="B20929" s="233"/>
      <c r="C20929" s="238"/>
      <c r="E20929" s="545"/>
      <c r="F20929" s="546"/>
      <c r="G20929" s="234"/>
      <c r="H20929" s="238"/>
      <c r="I20929" s="237"/>
    </row>
    <row r="20930" spans="1:9" s="232" customFormat="1" ht="17" customHeight="1">
      <c r="A20930" s="234"/>
      <c r="B20930" s="233"/>
      <c r="C20930" s="238"/>
      <c r="E20930" s="545"/>
      <c r="F20930" s="546"/>
      <c r="G20930" s="234"/>
      <c r="H20930" s="238"/>
      <c r="I20930" s="237"/>
    </row>
    <row r="20931" spans="1:9" s="232" customFormat="1" ht="17" customHeight="1">
      <c r="A20931" s="234"/>
      <c r="B20931" s="233"/>
      <c r="C20931" s="238"/>
      <c r="E20931" s="545"/>
      <c r="F20931" s="546"/>
      <c r="G20931" s="234"/>
      <c r="H20931" s="238"/>
      <c r="I20931" s="237"/>
    </row>
    <row r="20932" spans="1:9" s="232" customFormat="1" ht="17" customHeight="1">
      <c r="A20932" s="234"/>
      <c r="B20932" s="233"/>
      <c r="C20932" s="238"/>
      <c r="E20932" s="545"/>
      <c r="F20932" s="546"/>
      <c r="G20932" s="234"/>
      <c r="H20932" s="238"/>
      <c r="I20932" s="237"/>
    </row>
    <row r="20933" spans="1:9" s="232" customFormat="1" ht="17" customHeight="1">
      <c r="A20933" s="234"/>
      <c r="B20933" s="233"/>
      <c r="C20933" s="238"/>
      <c r="E20933" s="545"/>
      <c r="F20933" s="546"/>
      <c r="G20933" s="234"/>
      <c r="H20933" s="238"/>
      <c r="I20933" s="237"/>
    </row>
    <row r="20934" spans="1:9" s="232" customFormat="1" ht="17" customHeight="1">
      <c r="A20934" s="234"/>
      <c r="B20934" s="233"/>
      <c r="C20934" s="238"/>
      <c r="E20934" s="545"/>
      <c r="F20934" s="546"/>
      <c r="G20934" s="234"/>
      <c r="H20934" s="238"/>
      <c r="I20934" s="237"/>
    </row>
    <row r="20935" spans="1:9" s="232" customFormat="1" ht="17" customHeight="1">
      <c r="A20935" s="234"/>
      <c r="B20935" s="233"/>
      <c r="C20935" s="238"/>
      <c r="E20935" s="545"/>
      <c r="F20935" s="546"/>
      <c r="G20935" s="234"/>
      <c r="H20935" s="238"/>
      <c r="I20935" s="237"/>
    </row>
    <row r="20936" spans="1:9" s="232" customFormat="1" ht="17" customHeight="1">
      <c r="A20936" s="234"/>
      <c r="B20936" s="233"/>
      <c r="C20936" s="238"/>
      <c r="E20936" s="545"/>
      <c r="F20936" s="546"/>
      <c r="G20936" s="234"/>
      <c r="H20936" s="238"/>
      <c r="I20936" s="237"/>
    </row>
    <row r="20937" spans="1:9" s="232" customFormat="1" ht="17" customHeight="1">
      <c r="A20937" s="234"/>
      <c r="B20937" s="233"/>
      <c r="C20937" s="238"/>
      <c r="E20937" s="545"/>
      <c r="F20937" s="546"/>
      <c r="G20937" s="234"/>
      <c r="H20937" s="238"/>
      <c r="I20937" s="237"/>
    </row>
    <row r="20938" spans="1:9" s="232" customFormat="1" ht="17" customHeight="1">
      <c r="A20938" s="234"/>
      <c r="B20938" s="233"/>
      <c r="C20938" s="238"/>
      <c r="E20938" s="545"/>
      <c r="F20938" s="546"/>
      <c r="G20938" s="234"/>
      <c r="H20938" s="238"/>
      <c r="I20938" s="237"/>
    </row>
    <row r="20939" spans="1:9" s="232" customFormat="1" ht="17" customHeight="1">
      <c r="A20939" s="234"/>
      <c r="B20939" s="233"/>
      <c r="C20939" s="238"/>
      <c r="E20939" s="545"/>
      <c r="F20939" s="546"/>
      <c r="G20939" s="234"/>
      <c r="H20939" s="238"/>
      <c r="I20939" s="237"/>
    </row>
    <row r="20940" spans="1:9" s="232" customFormat="1" ht="17" customHeight="1">
      <c r="A20940" s="234"/>
      <c r="B20940" s="233"/>
      <c r="C20940" s="238"/>
      <c r="E20940" s="545"/>
      <c r="F20940" s="546"/>
      <c r="G20940" s="234"/>
      <c r="H20940" s="238"/>
      <c r="I20940" s="237"/>
    </row>
    <row r="20941" spans="1:9" s="232" customFormat="1" ht="17" customHeight="1">
      <c r="A20941" s="234"/>
      <c r="B20941" s="233"/>
      <c r="C20941" s="238"/>
      <c r="E20941" s="545"/>
      <c r="F20941" s="546"/>
      <c r="G20941" s="234"/>
      <c r="H20941" s="238"/>
      <c r="I20941" s="237"/>
    </row>
    <row r="20942" spans="1:9" s="232" customFormat="1" ht="17" customHeight="1">
      <c r="A20942" s="234"/>
      <c r="B20942" s="233"/>
      <c r="C20942" s="238"/>
      <c r="E20942" s="545"/>
      <c r="F20942" s="546"/>
      <c r="G20942" s="234"/>
      <c r="H20942" s="238"/>
      <c r="I20942" s="237"/>
    </row>
    <row r="20943" spans="1:9" s="232" customFormat="1" ht="17" customHeight="1">
      <c r="A20943" s="234"/>
      <c r="B20943" s="233"/>
      <c r="C20943" s="238"/>
      <c r="E20943" s="545"/>
      <c r="F20943" s="546"/>
      <c r="G20943" s="234"/>
      <c r="H20943" s="238"/>
      <c r="I20943" s="237"/>
    </row>
    <row r="20944" spans="1:9" s="232" customFormat="1" ht="17" customHeight="1">
      <c r="A20944" s="234"/>
      <c r="B20944" s="233"/>
      <c r="C20944" s="238"/>
      <c r="E20944" s="545"/>
      <c r="F20944" s="546"/>
      <c r="G20944" s="234"/>
      <c r="H20944" s="238"/>
      <c r="I20944" s="237"/>
    </row>
    <row r="20945" spans="1:9" s="232" customFormat="1" ht="17" customHeight="1">
      <c r="A20945" s="234"/>
      <c r="B20945" s="233"/>
      <c r="C20945" s="238"/>
      <c r="E20945" s="545"/>
      <c r="F20945" s="546"/>
      <c r="G20945" s="234"/>
      <c r="H20945" s="238"/>
      <c r="I20945" s="237"/>
    </row>
    <row r="20946" spans="1:9" s="232" customFormat="1" ht="17" customHeight="1">
      <c r="A20946" s="234"/>
      <c r="B20946" s="233"/>
      <c r="C20946" s="238"/>
      <c r="E20946" s="545"/>
      <c r="F20946" s="546"/>
      <c r="G20946" s="234"/>
      <c r="H20946" s="238"/>
      <c r="I20946" s="237"/>
    </row>
    <row r="20947" spans="1:9" s="232" customFormat="1" ht="17" customHeight="1">
      <c r="A20947" s="234"/>
      <c r="B20947" s="233"/>
      <c r="C20947" s="238"/>
      <c r="E20947" s="545"/>
      <c r="F20947" s="546"/>
      <c r="G20947" s="234"/>
      <c r="H20947" s="238"/>
      <c r="I20947" s="237"/>
    </row>
    <row r="20948" spans="1:9" s="232" customFormat="1" ht="17" customHeight="1">
      <c r="A20948" s="234"/>
      <c r="B20948" s="233"/>
      <c r="C20948" s="238"/>
      <c r="E20948" s="545"/>
      <c r="F20948" s="546"/>
      <c r="G20948" s="234"/>
      <c r="H20948" s="238"/>
      <c r="I20948" s="237"/>
    </row>
    <row r="20949" spans="1:9" s="232" customFormat="1" ht="17" customHeight="1">
      <c r="A20949" s="234"/>
      <c r="B20949" s="233"/>
      <c r="C20949" s="238"/>
      <c r="E20949" s="545"/>
      <c r="F20949" s="546"/>
      <c r="G20949" s="234"/>
      <c r="H20949" s="238"/>
      <c r="I20949" s="237"/>
    </row>
    <row r="20950" spans="1:9" s="232" customFormat="1" ht="17" customHeight="1">
      <c r="A20950" s="234"/>
      <c r="B20950" s="233"/>
      <c r="C20950" s="238"/>
      <c r="E20950" s="545"/>
      <c r="F20950" s="546"/>
      <c r="G20950" s="234"/>
      <c r="H20950" s="238"/>
      <c r="I20950" s="237"/>
    </row>
    <row r="20951" spans="1:9" s="232" customFormat="1" ht="17" customHeight="1">
      <c r="A20951" s="234"/>
      <c r="B20951" s="233"/>
      <c r="C20951" s="238"/>
      <c r="E20951" s="545"/>
      <c r="F20951" s="546"/>
      <c r="G20951" s="234"/>
      <c r="H20951" s="238"/>
      <c r="I20951" s="237"/>
    </row>
    <row r="20952" spans="1:9" s="232" customFormat="1" ht="17" customHeight="1">
      <c r="A20952" s="234"/>
      <c r="B20952" s="233"/>
      <c r="C20952" s="238"/>
      <c r="E20952" s="545"/>
      <c r="F20952" s="546"/>
      <c r="G20952" s="234"/>
      <c r="H20952" s="238"/>
      <c r="I20952" s="237"/>
    </row>
    <row r="20953" spans="1:9" s="232" customFormat="1" ht="17" customHeight="1">
      <c r="A20953" s="234"/>
      <c r="B20953" s="233"/>
      <c r="C20953" s="238"/>
      <c r="E20953" s="545"/>
      <c r="F20953" s="546"/>
      <c r="G20953" s="234"/>
      <c r="H20953" s="238"/>
      <c r="I20953" s="237"/>
    </row>
    <row r="20954" spans="1:9" s="232" customFormat="1" ht="17" customHeight="1">
      <c r="A20954" s="234"/>
      <c r="B20954" s="233"/>
      <c r="C20954" s="238"/>
      <c r="E20954" s="545"/>
      <c r="F20954" s="546"/>
      <c r="G20954" s="234"/>
      <c r="H20954" s="238"/>
      <c r="I20954" s="237"/>
    </row>
    <row r="20955" spans="1:9" s="232" customFormat="1" ht="17" customHeight="1">
      <c r="A20955" s="234"/>
      <c r="B20955" s="233"/>
      <c r="C20955" s="238"/>
      <c r="E20955" s="545"/>
      <c r="F20955" s="546"/>
      <c r="G20955" s="234"/>
      <c r="H20955" s="238"/>
      <c r="I20955" s="237"/>
    </row>
    <row r="20956" spans="1:9" s="232" customFormat="1" ht="17" customHeight="1">
      <c r="A20956" s="234"/>
      <c r="B20956" s="233"/>
      <c r="C20956" s="238"/>
      <c r="E20956" s="545"/>
      <c r="F20956" s="546"/>
      <c r="G20956" s="234"/>
      <c r="H20956" s="238"/>
      <c r="I20956" s="237"/>
    </row>
    <row r="20957" spans="1:9" s="232" customFormat="1" ht="17" customHeight="1">
      <c r="A20957" s="234"/>
      <c r="B20957" s="233"/>
      <c r="C20957" s="238"/>
      <c r="E20957" s="545"/>
      <c r="F20957" s="546"/>
      <c r="G20957" s="234"/>
      <c r="H20957" s="238"/>
      <c r="I20957" s="237"/>
    </row>
    <row r="20958" spans="1:9" s="232" customFormat="1" ht="17" customHeight="1">
      <c r="A20958" s="234"/>
      <c r="B20958" s="233"/>
      <c r="C20958" s="238"/>
      <c r="E20958" s="545"/>
      <c r="F20958" s="546"/>
      <c r="G20958" s="234"/>
      <c r="H20958" s="238"/>
      <c r="I20958" s="237"/>
    </row>
    <row r="20959" spans="1:9" s="232" customFormat="1" ht="17" customHeight="1">
      <c r="A20959" s="234"/>
      <c r="B20959" s="233"/>
      <c r="C20959" s="238"/>
      <c r="E20959" s="545"/>
      <c r="F20959" s="546"/>
      <c r="G20959" s="234"/>
      <c r="H20959" s="238"/>
      <c r="I20959" s="237"/>
    </row>
    <row r="20960" spans="1:9" s="232" customFormat="1" ht="17" customHeight="1">
      <c r="A20960" s="234"/>
      <c r="B20960" s="233"/>
      <c r="C20960" s="238"/>
      <c r="E20960" s="545"/>
      <c r="F20960" s="546"/>
      <c r="G20960" s="234"/>
      <c r="H20960" s="238"/>
      <c r="I20960" s="237"/>
    </row>
    <row r="20961" spans="1:9" s="232" customFormat="1" ht="17" customHeight="1">
      <c r="A20961" s="234"/>
      <c r="B20961" s="233"/>
      <c r="C20961" s="238"/>
      <c r="E20961" s="545"/>
      <c r="F20961" s="546"/>
      <c r="G20961" s="234"/>
      <c r="H20961" s="238"/>
      <c r="I20961" s="237"/>
    </row>
    <row r="20962" spans="1:9" s="232" customFormat="1" ht="17" customHeight="1">
      <c r="A20962" s="234"/>
      <c r="B20962" s="233"/>
      <c r="C20962" s="238"/>
      <c r="E20962" s="545"/>
      <c r="F20962" s="546"/>
      <c r="G20962" s="234"/>
      <c r="H20962" s="238"/>
      <c r="I20962" s="237"/>
    </row>
    <row r="20963" spans="1:9" s="232" customFormat="1" ht="17" customHeight="1">
      <c r="A20963" s="234"/>
      <c r="B20963" s="233"/>
      <c r="C20963" s="238"/>
      <c r="E20963" s="545"/>
      <c r="F20963" s="546"/>
      <c r="G20963" s="234"/>
      <c r="H20963" s="238"/>
      <c r="I20963" s="237"/>
    </row>
    <row r="20964" spans="1:9" s="232" customFormat="1" ht="17" customHeight="1">
      <c r="A20964" s="234"/>
      <c r="B20964" s="233"/>
      <c r="C20964" s="238"/>
      <c r="E20964" s="545"/>
      <c r="F20964" s="546"/>
      <c r="G20964" s="234"/>
      <c r="H20964" s="238"/>
      <c r="I20964" s="237"/>
    </row>
    <row r="20965" spans="1:9" s="232" customFormat="1" ht="17" customHeight="1">
      <c r="A20965" s="234"/>
      <c r="B20965" s="233"/>
      <c r="C20965" s="238"/>
      <c r="E20965" s="545"/>
      <c r="F20965" s="546"/>
      <c r="G20965" s="234"/>
      <c r="H20965" s="238"/>
      <c r="I20965" s="237"/>
    </row>
    <row r="20966" spans="1:9" s="232" customFormat="1" ht="17" customHeight="1">
      <c r="A20966" s="234"/>
      <c r="B20966" s="233"/>
      <c r="C20966" s="238"/>
      <c r="E20966" s="545"/>
      <c r="F20966" s="546"/>
      <c r="G20966" s="234"/>
      <c r="H20966" s="238"/>
      <c r="I20966" s="237"/>
    </row>
    <row r="20967" spans="1:9" s="232" customFormat="1" ht="17" customHeight="1">
      <c r="A20967" s="234"/>
      <c r="B20967" s="233"/>
      <c r="C20967" s="238"/>
      <c r="E20967" s="545"/>
      <c r="F20967" s="546"/>
      <c r="G20967" s="234"/>
      <c r="H20967" s="238"/>
      <c r="I20967" s="237"/>
    </row>
    <row r="20968" spans="1:9" s="232" customFormat="1" ht="17" customHeight="1">
      <c r="A20968" s="234"/>
      <c r="B20968" s="233"/>
      <c r="C20968" s="238"/>
      <c r="E20968" s="545"/>
      <c r="F20968" s="546"/>
      <c r="G20968" s="234"/>
      <c r="H20968" s="238"/>
      <c r="I20968" s="237"/>
    </row>
    <row r="20969" spans="1:9" s="232" customFormat="1" ht="17" customHeight="1">
      <c r="A20969" s="234"/>
      <c r="B20969" s="233"/>
      <c r="C20969" s="238"/>
      <c r="E20969" s="545"/>
      <c r="F20969" s="546"/>
      <c r="G20969" s="234"/>
      <c r="H20969" s="238"/>
      <c r="I20969" s="237"/>
    </row>
    <row r="20970" spans="1:9" s="232" customFormat="1" ht="17" customHeight="1">
      <c r="A20970" s="234"/>
      <c r="B20970" s="233"/>
      <c r="C20970" s="238"/>
      <c r="E20970" s="545"/>
      <c r="F20970" s="546"/>
      <c r="G20970" s="234"/>
      <c r="H20970" s="238"/>
      <c r="I20970" s="237"/>
    </row>
    <row r="20971" spans="1:9" s="232" customFormat="1" ht="17" customHeight="1">
      <c r="A20971" s="234"/>
      <c r="B20971" s="233"/>
      <c r="C20971" s="238"/>
      <c r="E20971" s="545"/>
      <c r="F20971" s="546"/>
      <c r="G20971" s="234"/>
      <c r="H20971" s="238"/>
      <c r="I20971" s="237"/>
    </row>
    <row r="20972" spans="1:9" s="232" customFormat="1" ht="17" customHeight="1">
      <c r="A20972" s="234"/>
      <c r="B20972" s="233"/>
      <c r="C20972" s="238"/>
      <c r="E20972" s="545"/>
      <c r="F20972" s="546"/>
      <c r="G20972" s="234"/>
      <c r="H20972" s="238"/>
      <c r="I20972" s="237"/>
    </row>
    <row r="20973" spans="1:9" s="232" customFormat="1" ht="17" customHeight="1">
      <c r="A20973" s="234"/>
      <c r="B20973" s="233"/>
      <c r="C20973" s="238"/>
      <c r="E20973" s="545"/>
      <c r="F20973" s="546"/>
      <c r="G20973" s="234"/>
      <c r="H20973" s="238"/>
      <c r="I20973" s="237"/>
    </row>
    <row r="20974" spans="1:9" s="232" customFormat="1" ht="17" customHeight="1">
      <c r="A20974" s="234"/>
      <c r="B20974" s="233"/>
      <c r="C20974" s="238"/>
      <c r="E20974" s="545"/>
      <c r="F20974" s="546"/>
      <c r="G20974" s="234"/>
      <c r="H20974" s="238"/>
      <c r="I20974" s="237"/>
    </row>
    <row r="20975" spans="1:9" s="232" customFormat="1" ht="17" customHeight="1">
      <c r="A20975" s="234"/>
      <c r="B20975" s="233"/>
      <c r="C20975" s="238"/>
      <c r="E20975" s="545"/>
      <c r="F20975" s="546"/>
      <c r="G20975" s="234"/>
      <c r="H20975" s="238"/>
      <c r="I20975" s="237"/>
    </row>
    <row r="20976" spans="1:9" s="232" customFormat="1" ht="17" customHeight="1">
      <c r="A20976" s="234"/>
      <c r="B20976" s="233"/>
      <c r="C20976" s="238"/>
      <c r="E20976" s="545"/>
      <c r="F20976" s="546"/>
      <c r="G20976" s="234"/>
      <c r="H20976" s="238"/>
      <c r="I20976" s="237"/>
    </row>
    <row r="20977" spans="1:9" s="232" customFormat="1" ht="17" customHeight="1">
      <c r="A20977" s="234"/>
      <c r="B20977" s="233"/>
      <c r="C20977" s="238"/>
      <c r="E20977" s="545"/>
      <c r="F20977" s="546"/>
      <c r="G20977" s="234"/>
      <c r="H20977" s="238"/>
      <c r="I20977" s="237"/>
    </row>
    <row r="20978" spans="1:9" s="232" customFormat="1" ht="17" customHeight="1">
      <c r="A20978" s="234"/>
      <c r="B20978" s="233"/>
      <c r="C20978" s="238"/>
      <c r="E20978" s="545"/>
      <c r="F20978" s="546"/>
      <c r="G20978" s="234"/>
      <c r="H20978" s="238"/>
      <c r="I20978" s="237"/>
    </row>
    <row r="20979" spans="1:9" s="232" customFormat="1" ht="17" customHeight="1">
      <c r="A20979" s="234"/>
      <c r="B20979" s="233"/>
      <c r="C20979" s="238"/>
      <c r="E20979" s="545"/>
      <c r="F20979" s="546"/>
      <c r="G20979" s="234"/>
      <c r="H20979" s="238"/>
      <c r="I20979" s="237"/>
    </row>
    <row r="20980" spans="1:9" s="232" customFormat="1" ht="17" customHeight="1">
      <c r="A20980" s="234"/>
      <c r="B20980" s="233"/>
      <c r="C20980" s="238"/>
      <c r="E20980" s="545"/>
      <c r="F20980" s="546"/>
      <c r="G20980" s="234"/>
      <c r="H20980" s="238"/>
      <c r="I20980" s="237"/>
    </row>
    <row r="20981" spans="1:9" s="232" customFormat="1" ht="17" customHeight="1">
      <c r="A20981" s="234"/>
      <c r="B20981" s="233"/>
      <c r="C20981" s="238"/>
      <c r="E20981" s="545"/>
      <c r="F20981" s="546"/>
      <c r="G20981" s="234"/>
      <c r="H20981" s="238"/>
      <c r="I20981" s="237"/>
    </row>
    <row r="20982" spans="1:9" s="232" customFormat="1" ht="17" customHeight="1">
      <c r="A20982" s="234"/>
      <c r="B20982" s="233"/>
      <c r="C20982" s="238"/>
      <c r="E20982" s="545"/>
      <c r="F20982" s="546"/>
      <c r="G20982" s="234"/>
      <c r="H20982" s="238"/>
      <c r="I20982" s="237"/>
    </row>
    <row r="20983" spans="1:9" s="232" customFormat="1" ht="17" customHeight="1">
      <c r="A20983" s="234"/>
      <c r="B20983" s="233"/>
      <c r="C20983" s="238"/>
      <c r="E20983" s="545"/>
      <c r="F20983" s="546"/>
      <c r="G20983" s="234"/>
      <c r="H20983" s="238"/>
      <c r="I20983" s="237"/>
    </row>
    <row r="20984" spans="1:9" s="232" customFormat="1" ht="17" customHeight="1">
      <c r="A20984" s="234"/>
      <c r="B20984" s="233"/>
      <c r="C20984" s="238"/>
      <c r="E20984" s="545"/>
      <c r="F20984" s="546"/>
      <c r="G20984" s="234"/>
      <c r="H20984" s="238"/>
      <c r="I20984" s="237"/>
    </row>
    <row r="20985" spans="1:9" s="232" customFormat="1" ht="17" customHeight="1">
      <c r="A20985" s="234"/>
      <c r="B20985" s="233"/>
      <c r="C20985" s="238"/>
      <c r="E20985" s="545"/>
      <c r="F20985" s="546"/>
      <c r="G20985" s="234"/>
      <c r="H20985" s="238"/>
      <c r="I20985" s="237"/>
    </row>
    <row r="20986" spans="1:9" s="232" customFormat="1" ht="17" customHeight="1">
      <c r="A20986" s="234"/>
      <c r="B20986" s="233"/>
      <c r="C20986" s="238"/>
      <c r="E20986" s="545"/>
      <c r="F20986" s="546"/>
      <c r="G20986" s="234"/>
      <c r="H20986" s="238"/>
      <c r="I20986" s="237"/>
    </row>
    <row r="20987" spans="1:9" s="232" customFormat="1" ht="17" customHeight="1">
      <c r="A20987" s="234"/>
      <c r="B20987" s="233"/>
      <c r="C20987" s="238"/>
      <c r="E20987" s="545"/>
      <c r="F20987" s="546"/>
      <c r="G20987" s="234"/>
      <c r="H20987" s="238"/>
      <c r="I20987" s="237"/>
    </row>
    <row r="20988" spans="1:9" s="232" customFormat="1" ht="17" customHeight="1">
      <c r="A20988" s="234"/>
      <c r="B20988" s="233"/>
      <c r="C20988" s="238"/>
      <c r="E20988" s="545"/>
      <c r="F20988" s="546"/>
      <c r="G20988" s="234"/>
      <c r="H20988" s="238"/>
      <c r="I20988" s="237"/>
    </row>
    <row r="20989" spans="1:9" s="232" customFormat="1" ht="17" customHeight="1">
      <c r="A20989" s="234"/>
      <c r="B20989" s="233"/>
      <c r="C20989" s="238"/>
      <c r="E20989" s="545"/>
      <c r="F20989" s="546"/>
      <c r="G20989" s="234"/>
      <c r="H20989" s="238"/>
      <c r="I20989" s="237"/>
    </row>
    <row r="20990" spans="1:9" s="232" customFormat="1" ht="17" customHeight="1">
      <c r="A20990" s="234"/>
      <c r="B20990" s="233"/>
      <c r="C20990" s="238"/>
      <c r="E20990" s="545"/>
      <c r="F20990" s="546"/>
      <c r="G20990" s="234"/>
      <c r="H20990" s="238"/>
      <c r="I20990" s="237"/>
    </row>
    <row r="20991" spans="1:9" s="232" customFormat="1" ht="17" customHeight="1">
      <c r="A20991" s="234"/>
      <c r="B20991" s="233"/>
      <c r="C20991" s="238"/>
      <c r="E20991" s="545"/>
      <c r="F20991" s="546"/>
      <c r="G20991" s="234"/>
      <c r="H20991" s="238"/>
      <c r="I20991" s="237"/>
    </row>
    <row r="20992" spans="1:9" s="232" customFormat="1" ht="17" customHeight="1">
      <c r="A20992" s="234"/>
      <c r="B20992" s="233"/>
      <c r="C20992" s="238"/>
      <c r="E20992" s="545"/>
      <c r="F20992" s="546"/>
      <c r="G20992" s="234"/>
      <c r="H20992" s="238"/>
      <c r="I20992" s="237"/>
    </row>
    <row r="20993" spans="1:9" s="232" customFormat="1" ht="17" customHeight="1">
      <c r="A20993" s="234"/>
      <c r="B20993" s="233"/>
      <c r="C20993" s="238"/>
      <c r="E20993" s="545"/>
      <c r="F20993" s="546"/>
      <c r="G20993" s="234"/>
      <c r="H20993" s="238"/>
      <c r="I20993" s="237"/>
    </row>
    <row r="20994" spans="1:9" s="232" customFormat="1" ht="17" customHeight="1">
      <c r="A20994" s="234"/>
      <c r="B20994" s="233"/>
      <c r="C20994" s="238"/>
      <c r="E20994" s="545"/>
      <c r="F20994" s="546"/>
      <c r="G20994" s="234"/>
      <c r="H20994" s="238"/>
      <c r="I20994" s="237"/>
    </row>
    <row r="20995" spans="1:9" s="232" customFormat="1" ht="17" customHeight="1">
      <c r="A20995" s="234"/>
      <c r="B20995" s="233"/>
      <c r="C20995" s="238"/>
      <c r="E20995" s="545"/>
      <c r="F20995" s="546"/>
      <c r="G20995" s="234"/>
      <c r="H20995" s="238"/>
      <c r="I20995" s="237"/>
    </row>
    <row r="20996" spans="1:9" s="232" customFormat="1" ht="17" customHeight="1">
      <c r="A20996" s="234"/>
      <c r="B20996" s="233"/>
      <c r="C20996" s="238"/>
      <c r="E20996" s="545"/>
      <c r="F20996" s="546"/>
      <c r="G20996" s="234"/>
      <c r="H20996" s="238"/>
      <c r="I20996" s="237"/>
    </row>
    <row r="20997" spans="1:9" s="232" customFormat="1" ht="17" customHeight="1">
      <c r="A20997" s="234"/>
      <c r="B20997" s="233"/>
      <c r="C20997" s="238"/>
      <c r="E20997" s="545"/>
      <c r="F20997" s="546"/>
      <c r="G20997" s="234"/>
      <c r="H20997" s="238"/>
      <c r="I20997" s="237"/>
    </row>
    <row r="20998" spans="1:9" s="232" customFormat="1" ht="17" customHeight="1">
      <c r="A20998" s="234"/>
      <c r="B20998" s="233"/>
      <c r="C20998" s="238"/>
      <c r="E20998" s="545"/>
      <c r="F20998" s="546"/>
      <c r="G20998" s="234"/>
      <c r="H20998" s="238"/>
      <c r="I20998" s="237"/>
    </row>
    <row r="20999" spans="1:9" s="232" customFormat="1" ht="17" customHeight="1">
      <c r="A20999" s="234"/>
      <c r="B20999" s="233"/>
      <c r="C20999" s="238"/>
      <c r="E20999" s="545"/>
      <c r="F20999" s="546"/>
      <c r="G20999" s="234"/>
      <c r="H20999" s="238"/>
      <c r="I20999" s="237"/>
    </row>
    <row r="21000" spans="1:9" s="232" customFormat="1" ht="17" customHeight="1">
      <c r="A21000" s="234"/>
      <c r="B21000" s="233"/>
      <c r="C21000" s="238"/>
      <c r="E21000" s="545"/>
      <c r="F21000" s="546"/>
      <c r="G21000" s="234"/>
      <c r="H21000" s="238"/>
      <c r="I21000" s="237"/>
    </row>
    <row r="21001" spans="1:9" s="232" customFormat="1" ht="17" customHeight="1">
      <c r="A21001" s="234"/>
      <c r="B21001" s="233"/>
      <c r="C21001" s="238"/>
      <c r="E21001" s="545"/>
      <c r="F21001" s="546"/>
      <c r="G21001" s="234"/>
      <c r="H21001" s="238"/>
      <c r="I21001" s="237"/>
    </row>
    <row r="21002" spans="1:9" s="232" customFormat="1" ht="17" customHeight="1">
      <c r="A21002" s="234"/>
      <c r="B21002" s="233"/>
      <c r="C21002" s="238"/>
      <c r="E21002" s="545"/>
      <c r="F21002" s="546"/>
      <c r="G21002" s="234"/>
      <c r="H21002" s="238"/>
      <c r="I21002" s="237"/>
    </row>
    <row r="21003" spans="1:9" s="232" customFormat="1" ht="17" customHeight="1">
      <c r="A21003" s="234"/>
      <c r="B21003" s="233"/>
      <c r="C21003" s="238"/>
      <c r="E21003" s="545"/>
      <c r="F21003" s="546"/>
      <c r="G21003" s="234"/>
      <c r="H21003" s="238"/>
      <c r="I21003" s="237"/>
    </row>
    <row r="21004" spans="1:9" s="232" customFormat="1" ht="17" customHeight="1">
      <c r="A21004" s="234"/>
      <c r="B21004" s="233"/>
      <c r="C21004" s="238"/>
      <c r="E21004" s="545"/>
      <c r="F21004" s="546"/>
      <c r="G21004" s="234"/>
      <c r="H21004" s="238"/>
      <c r="I21004" s="237"/>
    </row>
    <row r="21005" spans="1:9" s="232" customFormat="1" ht="17" customHeight="1">
      <c r="A21005" s="234"/>
      <c r="B21005" s="233"/>
      <c r="C21005" s="238"/>
      <c r="E21005" s="545"/>
      <c r="F21005" s="546"/>
      <c r="G21005" s="234"/>
      <c r="H21005" s="238"/>
      <c r="I21005" s="237"/>
    </row>
    <row r="21006" spans="1:9" s="232" customFormat="1" ht="17" customHeight="1">
      <c r="A21006" s="234"/>
      <c r="B21006" s="233"/>
      <c r="C21006" s="238"/>
      <c r="E21006" s="545"/>
      <c r="F21006" s="546"/>
      <c r="G21006" s="234"/>
      <c r="H21006" s="238"/>
      <c r="I21006" s="237"/>
    </row>
    <row r="21007" spans="1:9" s="232" customFormat="1" ht="17" customHeight="1">
      <c r="A21007" s="234"/>
      <c r="B21007" s="233"/>
      <c r="C21007" s="238"/>
      <c r="E21007" s="545"/>
      <c r="F21007" s="546"/>
      <c r="G21007" s="234"/>
      <c r="H21007" s="238"/>
      <c r="I21007" s="237"/>
    </row>
    <row r="21008" spans="1:9" s="232" customFormat="1" ht="17" customHeight="1">
      <c r="A21008" s="234"/>
      <c r="B21008" s="233"/>
      <c r="C21008" s="238"/>
      <c r="E21008" s="545"/>
      <c r="F21008" s="546"/>
      <c r="G21008" s="234"/>
      <c r="H21008" s="238"/>
      <c r="I21008" s="237"/>
    </row>
    <row r="21009" spans="1:9" s="232" customFormat="1" ht="17" customHeight="1">
      <c r="A21009" s="234"/>
      <c r="B21009" s="233"/>
      <c r="C21009" s="238"/>
      <c r="E21009" s="545"/>
      <c r="F21009" s="546"/>
      <c r="G21009" s="234"/>
      <c r="H21009" s="238"/>
      <c r="I21009" s="237"/>
    </row>
    <row r="21010" spans="1:9" s="232" customFormat="1" ht="17" customHeight="1">
      <c r="A21010" s="234"/>
      <c r="B21010" s="233"/>
      <c r="C21010" s="238"/>
      <c r="E21010" s="545"/>
      <c r="F21010" s="546"/>
      <c r="G21010" s="234"/>
      <c r="H21010" s="238"/>
      <c r="I21010" s="237"/>
    </row>
    <row r="21011" spans="1:9" s="232" customFormat="1" ht="17" customHeight="1">
      <c r="A21011" s="234"/>
      <c r="B21011" s="233"/>
      <c r="C21011" s="238"/>
      <c r="E21011" s="545"/>
      <c r="F21011" s="546"/>
      <c r="G21011" s="234"/>
      <c r="H21011" s="238"/>
      <c r="I21011" s="237"/>
    </row>
    <row r="21012" spans="1:9" s="232" customFormat="1" ht="17" customHeight="1">
      <c r="A21012" s="234"/>
      <c r="B21012" s="233"/>
      <c r="C21012" s="238"/>
      <c r="E21012" s="545"/>
      <c r="F21012" s="546"/>
      <c r="G21012" s="234"/>
      <c r="H21012" s="238"/>
      <c r="I21012" s="237"/>
    </row>
    <row r="21013" spans="1:9" s="232" customFormat="1" ht="17" customHeight="1">
      <c r="A21013" s="234"/>
      <c r="B21013" s="233"/>
      <c r="C21013" s="238"/>
      <c r="E21013" s="545"/>
      <c r="F21013" s="546"/>
      <c r="G21013" s="234"/>
      <c r="H21013" s="238"/>
      <c r="I21013" s="237"/>
    </row>
    <row r="21014" spans="1:9" s="232" customFormat="1" ht="17" customHeight="1">
      <c r="A21014" s="234"/>
      <c r="B21014" s="233"/>
      <c r="C21014" s="238"/>
      <c r="E21014" s="545"/>
      <c r="F21014" s="546"/>
      <c r="G21014" s="234"/>
      <c r="H21014" s="238"/>
      <c r="I21014" s="237"/>
    </row>
    <row r="21015" spans="1:9" s="232" customFormat="1" ht="17" customHeight="1">
      <c r="A21015" s="234"/>
      <c r="B21015" s="233"/>
      <c r="C21015" s="238"/>
      <c r="E21015" s="545"/>
      <c r="F21015" s="546"/>
      <c r="G21015" s="234"/>
      <c r="H21015" s="238"/>
      <c r="I21015" s="237"/>
    </row>
    <row r="21016" spans="1:9" s="232" customFormat="1" ht="17" customHeight="1">
      <c r="A21016" s="234"/>
      <c r="B21016" s="233"/>
      <c r="C21016" s="238"/>
      <c r="E21016" s="545"/>
      <c r="F21016" s="546"/>
      <c r="G21016" s="234"/>
      <c r="H21016" s="238"/>
      <c r="I21016" s="237"/>
    </row>
    <row r="21017" spans="1:9" s="232" customFormat="1" ht="17" customHeight="1">
      <c r="A21017" s="234"/>
      <c r="B21017" s="233"/>
      <c r="C21017" s="238"/>
      <c r="E21017" s="545"/>
      <c r="F21017" s="546"/>
      <c r="G21017" s="234"/>
      <c r="H21017" s="238"/>
      <c r="I21017" s="237"/>
    </row>
    <row r="21018" spans="1:9" s="232" customFormat="1" ht="17" customHeight="1">
      <c r="A21018" s="234"/>
      <c r="B21018" s="233"/>
      <c r="C21018" s="238"/>
      <c r="E21018" s="545"/>
      <c r="F21018" s="546"/>
      <c r="G21018" s="234"/>
      <c r="H21018" s="238"/>
      <c r="I21018" s="237"/>
    </row>
    <row r="21019" spans="1:9" s="232" customFormat="1" ht="17" customHeight="1">
      <c r="A21019" s="234"/>
      <c r="B21019" s="233"/>
      <c r="C21019" s="238"/>
      <c r="E21019" s="545"/>
      <c r="F21019" s="546"/>
      <c r="G21019" s="234"/>
      <c r="H21019" s="238"/>
      <c r="I21019" s="237"/>
    </row>
    <row r="21020" spans="1:9" s="232" customFormat="1" ht="17" customHeight="1">
      <c r="A21020" s="234"/>
      <c r="B21020" s="233"/>
      <c r="C21020" s="238"/>
      <c r="E21020" s="545"/>
      <c r="F21020" s="546"/>
      <c r="G21020" s="234"/>
      <c r="H21020" s="238"/>
      <c r="I21020" s="237"/>
    </row>
    <row r="21021" spans="1:9" s="232" customFormat="1" ht="17" customHeight="1">
      <c r="A21021" s="234"/>
      <c r="B21021" s="233"/>
      <c r="C21021" s="238"/>
      <c r="E21021" s="545"/>
      <c r="F21021" s="546"/>
      <c r="G21021" s="234"/>
      <c r="H21021" s="238"/>
      <c r="I21021" s="237"/>
    </row>
    <row r="21022" spans="1:9" s="232" customFormat="1" ht="17" customHeight="1">
      <c r="A21022" s="234"/>
      <c r="B21022" s="233"/>
      <c r="C21022" s="238"/>
      <c r="E21022" s="545"/>
      <c r="F21022" s="546"/>
      <c r="G21022" s="234"/>
      <c r="H21022" s="238"/>
      <c r="I21022" s="237"/>
    </row>
    <row r="21023" spans="1:9" s="232" customFormat="1" ht="17" customHeight="1">
      <c r="A21023" s="234"/>
      <c r="B21023" s="233"/>
      <c r="C21023" s="238"/>
      <c r="E21023" s="545"/>
      <c r="F21023" s="546"/>
      <c r="G21023" s="234"/>
      <c r="H21023" s="238"/>
      <c r="I21023" s="237"/>
    </row>
    <row r="21024" spans="1:9" s="232" customFormat="1" ht="17" customHeight="1">
      <c r="A21024" s="234"/>
      <c r="B21024" s="233"/>
      <c r="C21024" s="238"/>
      <c r="E21024" s="545"/>
      <c r="F21024" s="546"/>
      <c r="G21024" s="234"/>
      <c r="H21024" s="238"/>
      <c r="I21024" s="237"/>
    </row>
    <row r="21025" spans="1:9" s="232" customFormat="1" ht="17" customHeight="1">
      <c r="A21025" s="234"/>
      <c r="B21025" s="233"/>
      <c r="C21025" s="238"/>
      <c r="E21025" s="545"/>
      <c r="F21025" s="546"/>
      <c r="G21025" s="234"/>
      <c r="H21025" s="238"/>
      <c r="I21025" s="237"/>
    </row>
    <row r="21026" spans="1:9" s="232" customFormat="1" ht="17" customHeight="1">
      <c r="A21026" s="234"/>
      <c r="B21026" s="233"/>
      <c r="C21026" s="238"/>
      <c r="E21026" s="545"/>
      <c r="F21026" s="546"/>
      <c r="G21026" s="234"/>
      <c r="H21026" s="238"/>
      <c r="I21026" s="237"/>
    </row>
    <row r="21027" spans="1:9" s="232" customFormat="1" ht="17" customHeight="1">
      <c r="A21027" s="234"/>
      <c r="B21027" s="233"/>
      <c r="C21027" s="238"/>
      <c r="E21027" s="545"/>
      <c r="F21027" s="546"/>
      <c r="G21027" s="234"/>
      <c r="H21027" s="238"/>
      <c r="I21027" s="237"/>
    </row>
    <row r="21028" spans="1:9" s="232" customFormat="1" ht="17" customHeight="1">
      <c r="A21028" s="234"/>
      <c r="B21028" s="233"/>
      <c r="C21028" s="238"/>
      <c r="E21028" s="545"/>
      <c r="F21028" s="546"/>
      <c r="G21028" s="234"/>
      <c r="H21028" s="238"/>
      <c r="I21028" s="237"/>
    </row>
    <row r="21029" spans="1:9" s="232" customFormat="1" ht="17" customHeight="1">
      <c r="A21029" s="234"/>
      <c r="B21029" s="233"/>
      <c r="C21029" s="238"/>
      <c r="E21029" s="545"/>
      <c r="F21029" s="546"/>
      <c r="G21029" s="234"/>
      <c r="H21029" s="238"/>
      <c r="I21029" s="237"/>
    </row>
    <row r="21030" spans="1:9" s="232" customFormat="1" ht="17" customHeight="1">
      <c r="A21030" s="234"/>
      <c r="B21030" s="233"/>
      <c r="C21030" s="238"/>
      <c r="E21030" s="545"/>
      <c r="F21030" s="546"/>
      <c r="G21030" s="234"/>
      <c r="H21030" s="238"/>
      <c r="I21030" s="237"/>
    </row>
    <row r="21031" spans="1:9" s="232" customFormat="1" ht="17" customHeight="1">
      <c r="A21031" s="234"/>
      <c r="B21031" s="233"/>
      <c r="C21031" s="238"/>
      <c r="E21031" s="545"/>
      <c r="F21031" s="546"/>
      <c r="G21031" s="234"/>
      <c r="H21031" s="238"/>
      <c r="I21031" s="237"/>
    </row>
    <row r="21032" spans="1:9" s="232" customFormat="1" ht="17" customHeight="1">
      <c r="A21032" s="234"/>
      <c r="B21032" s="233"/>
      <c r="C21032" s="238"/>
      <c r="E21032" s="545"/>
      <c r="F21032" s="546"/>
      <c r="G21032" s="234"/>
      <c r="H21032" s="238"/>
      <c r="I21032" s="237"/>
    </row>
    <row r="21033" spans="1:9" s="232" customFormat="1" ht="17" customHeight="1">
      <c r="A21033" s="234"/>
      <c r="B21033" s="233"/>
      <c r="C21033" s="238"/>
      <c r="E21033" s="545"/>
      <c r="F21033" s="546"/>
      <c r="G21033" s="234"/>
      <c r="H21033" s="238"/>
      <c r="I21033" s="237"/>
    </row>
    <row r="21034" spans="1:9" s="232" customFormat="1" ht="17" customHeight="1">
      <c r="A21034" s="234"/>
      <c r="B21034" s="233"/>
      <c r="C21034" s="238"/>
      <c r="E21034" s="545"/>
      <c r="F21034" s="546"/>
      <c r="G21034" s="234"/>
      <c r="H21034" s="238"/>
      <c r="I21034" s="237"/>
    </row>
    <row r="21035" spans="1:9" s="232" customFormat="1" ht="17" customHeight="1">
      <c r="A21035" s="234"/>
      <c r="B21035" s="233"/>
      <c r="C21035" s="238"/>
      <c r="E21035" s="545"/>
      <c r="F21035" s="546"/>
      <c r="G21035" s="234"/>
      <c r="H21035" s="238"/>
      <c r="I21035" s="237"/>
    </row>
    <row r="21036" spans="1:9" s="232" customFormat="1" ht="17" customHeight="1">
      <c r="A21036" s="234"/>
      <c r="B21036" s="233"/>
      <c r="C21036" s="238"/>
      <c r="E21036" s="545"/>
      <c r="F21036" s="546"/>
      <c r="G21036" s="234"/>
      <c r="H21036" s="238"/>
      <c r="I21036" s="237"/>
    </row>
    <row r="21037" spans="1:9" s="232" customFormat="1" ht="17" customHeight="1">
      <c r="A21037" s="234"/>
      <c r="B21037" s="233"/>
      <c r="C21037" s="238"/>
      <c r="E21037" s="545"/>
      <c r="F21037" s="546"/>
      <c r="G21037" s="234"/>
      <c r="H21037" s="238"/>
      <c r="I21037" s="237"/>
    </row>
    <row r="21038" spans="1:9" s="232" customFormat="1" ht="17" customHeight="1">
      <c r="A21038" s="234"/>
      <c r="B21038" s="233"/>
      <c r="C21038" s="238"/>
      <c r="E21038" s="545"/>
      <c r="F21038" s="546"/>
      <c r="G21038" s="234"/>
      <c r="H21038" s="238"/>
      <c r="I21038" s="237"/>
    </row>
    <row r="21039" spans="1:9" s="232" customFormat="1" ht="17" customHeight="1">
      <c r="A21039" s="234"/>
      <c r="B21039" s="233"/>
      <c r="C21039" s="238"/>
      <c r="E21039" s="545"/>
      <c r="F21039" s="546"/>
      <c r="G21039" s="234"/>
      <c r="H21039" s="238"/>
      <c r="I21039" s="237"/>
    </row>
    <row r="21040" spans="1:9" s="232" customFormat="1" ht="17" customHeight="1">
      <c r="A21040" s="234"/>
      <c r="B21040" s="233"/>
      <c r="C21040" s="238"/>
      <c r="E21040" s="545"/>
      <c r="F21040" s="546"/>
      <c r="G21040" s="234"/>
      <c r="H21040" s="238"/>
      <c r="I21040" s="237"/>
    </row>
    <row r="21041" spans="1:9" s="232" customFormat="1" ht="17" customHeight="1">
      <c r="A21041" s="234"/>
      <c r="B21041" s="233"/>
      <c r="C21041" s="238"/>
      <c r="E21041" s="545"/>
      <c r="F21041" s="546"/>
      <c r="G21041" s="234"/>
      <c r="H21041" s="238"/>
      <c r="I21041" s="237"/>
    </row>
    <row r="21042" spans="1:9" s="232" customFormat="1" ht="17" customHeight="1">
      <c r="A21042" s="234"/>
      <c r="B21042" s="233"/>
      <c r="C21042" s="238"/>
      <c r="E21042" s="545"/>
      <c r="F21042" s="546"/>
      <c r="G21042" s="234"/>
      <c r="H21042" s="238"/>
      <c r="I21042" s="237"/>
    </row>
    <row r="21043" spans="1:9" s="232" customFormat="1" ht="17" customHeight="1">
      <c r="A21043" s="234"/>
      <c r="B21043" s="233"/>
      <c r="C21043" s="238"/>
      <c r="E21043" s="545"/>
      <c r="F21043" s="546"/>
      <c r="G21043" s="234"/>
      <c r="H21043" s="238"/>
      <c r="I21043" s="237"/>
    </row>
    <row r="21044" spans="1:9" s="232" customFormat="1" ht="17" customHeight="1">
      <c r="A21044" s="234"/>
      <c r="B21044" s="233"/>
      <c r="C21044" s="238"/>
      <c r="E21044" s="545"/>
      <c r="F21044" s="546"/>
      <c r="G21044" s="234"/>
      <c r="H21044" s="238"/>
      <c r="I21044" s="237"/>
    </row>
    <row r="21045" spans="1:9" s="232" customFormat="1" ht="17" customHeight="1">
      <c r="A21045" s="234"/>
      <c r="B21045" s="233"/>
      <c r="C21045" s="238"/>
      <c r="E21045" s="545"/>
      <c r="F21045" s="546"/>
      <c r="G21045" s="234"/>
      <c r="H21045" s="238"/>
      <c r="I21045" s="237"/>
    </row>
    <row r="21046" spans="1:9" s="232" customFormat="1" ht="17" customHeight="1">
      <c r="A21046" s="234"/>
      <c r="B21046" s="233"/>
      <c r="C21046" s="238"/>
      <c r="E21046" s="545"/>
      <c r="F21046" s="546"/>
      <c r="G21046" s="234"/>
      <c r="H21046" s="238"/>
      <c r="I21046" s="237"/>
    </row>
    <row r="21047" spans="1:9" s="232" customFormat="1" ht="17" customHeight="1">
      <c r="A21047" s="234"/>
      <c r="B21047" s="233"/>
      <c r="C21047" s="238"/>
      <c r="E21047" s="545"/>
      <c r="F21047" s="546"/>
      <c r="G21047" s="234"/>
      <c r="H21047" s="238"/>
      <c r="I21047" s="237"/>
    </row>
    <row r="21048" spans="1:9" s="232" customFormat="1" ht="17" customHeight="1">
      <c r="A21048" s="234"/>
      <c r="B21048" s="233"/>
      <c r="C21048" s="238"/>
      <c r="E21048" s="545"/>
      <c r="F21048" s="546"/>
      <c r="G21048" s="234"/>
      <c r="H21048" s="238"/>
      <c r="I21048" s="237"/>
    </row>
    <row r="21049" spans="1:9" s="232" customFormat="1" ht="17" customHeight="1">
      <c r="A21049" s="234"/>
      <c r="B21049" s="233"/>
      <c r="C21049" s="238"/>
      <c r="E21049" s="545"/>
      <c r="F21049" s="546"/>
      <c r="G21049" s="234"/>
      <c r="H21049" s="238"/>
      <c r="I21049" s="237"/>
    </row>
    <row r="21050" spans="1:9" s="232" customFormat="1" ht="17" customHeight="1">
      <c r="A21050" s="234"/>
      <c r="B21050" s="233"/>
      <c r="C21050" s="238"/>
      <c r="E21050" s="545"/>
      <c r="F21050" s="546"/>
      <c r="G21050" s="234"/>
      <c r="H21050" s="238"/>
      <c r="I21050" s="237"/>
    </row>
    <row r="21051" spans="1:9" s="232" customFormat="1" ht="17" customHeight="1">
      <c r="A21051" s="234"/>
      <c r="B21051" s="233"/>
      <c r="C21051" s="238"/>
      <c r="E21051" s="545"/>
      <c r="F21051" s="546"/>
      <c r="G21051" s="234"/>
      <c r="H21051" s="238"/>
      <c r="I21051" s="237"/>
    </row>
    <row r="21052" spans="1:9" s="232" customFormat="1" ht="17" customHeight="1">
      <c r="A21052" s="234"/>
      <c r="B21052" s="233"/>
      <c r="C21052" s="238"/>
      <c r="E21052" s="545"/>
      <c r="F21052" s="546"/>
      <c r="G21052" s="234"/>
      <c r="H21052" s="238"/>
      <c r="I21052" s="237"/>
    </row>
    <row r="21053" spans="1:9" s="232" customFormat="1" ht="17" customHeight="1">
      <c r="A21053" s="234"/>
      <c r="B21053" s="233"/>
      <c r="C21053" s="238"/>
      <c r="E21053" s="545"/>
      <c r="F21053" s="546"/>
      <c r="G21053" s="234"/>
      <c r="H21053" s="238"/>
      <c r="I21053" s="237"/>
    </row>
    <row r="21054" spans="1:9" s="232" customFormat="1" ht="17" customHeight="1">
      <c r="A21054" s="234"/>
      <c r="B21054" s="233"/>
      <c r="C21054" s="238"/>
      <c r="E21054" s="545"/>
      <c r="F21054" s="546"/>
      <c r="G21054" s="234"/>
      <c r="H21054" s="238"/>
      <c r="I21054" s="237"/>
    </row>
    <row r="21055" spans="1:9" s="232" customFormat="1" ht="17" customHeight="1">
      <c r="A21055" s="234"/>
      <c r="B21055" s="233"/>
      <c r="C21055" s="238"/>
      <c r="E21055" s="545"/>
      <c r="F21055" s="546"/>
      <c r="G21055" s="234"/>
      <c r="H21055" s="238"/>
      <c r="I21055" s="237"/>
    </row>
    <row r="21056" spans="1:9" s="232" customFormat="1" ht="17" customHeight="1">
      <c r="A21056" s="234"/>
      <c r="B21056" s="233"/>
      <c r="C21056" s="238"/>
      <c r="E21056" s="545"/>
      <c r="F21056" s="546"/>
      <c r="G21056" s="234"/>
      <c r="H21056" s="238"/>
      <c r="I21056" s="237"/>
    </row>
    <row r="21057" spans="1:9" s="232" customFormat="1" ht="17" customHeight="1">
      <c r="A21057" s="234"/>
      <c r="B21057" s="233"/>
      <c r="C21057" s="238"/>
      <c r="E21057" s="545"/>
      <c r="F21057" s="546"/>
      <c r="G21057" s="234"/>
      <c r="H21057" s="238"/>
      <c r="I21057" s="237"/>
    </row>
    <row r="21058" spans="1:9" s="232" customFormat="1" ht="17" customHeight="1">
      <c r="A21058" s="234"/>
      <c r="B21058" s="233"/>
      <c r="C21058" s="238"/>
      <c r="E21058" s="545"/>
      <c r="F21058" s="546"/>
      <c r="G21058" s="234"/>
      <c r="H21058" s="238"/>
      <c r="I21058" s="237"/>
    </row>
    <row r="21059" spans="1:9" s="232" customFormat="1" ht="17" customHeight="1">
      <c r="A21059" s="234"/>
      <c r="B21059" s="233"/>
      <c r="C21059" s="238"/>
      <c r="E21059" s="545"/>
      <c r="F21059" s="546"/>
      <c r="G21059" s="234"/>
      <c r="H21059" s="238"/>
      <c r="I21059" s="237"/>
    </row>
    <row r="21060" spans="1:9" s="232" customFormat="1" ht="17" customHeight="1">
      <c r="A21060" s="234"/>
      <c r="B21060" s="233"/>
      <c r="C21060" s="238"/>
      <c r="E21060" s="545"/>
      <c r="F21060" s="546"/>
      <c r="G21060" s="234"/>
      <c r="H21060" s="238"/>
      <c r="I21060" s="237"/>
    </row>
    <row r="21061" spans="1:9" s="232" customFormat="1" ht="17" customHeight="1">
      <c r="A21061" s="234"/>
      <c r="B21061" s="233"/>
      <c r="C21061" s="238"/>
      <c r="E21061" s="545"/>
      <c r="F21061" s="546"/>
      <c r="G21061" s="234"/>
      <c r="H21061" s="238"/>
      <c r="I21061" s="237"/>
    </row>
    <row r="21062" spans="1:9" s="232" customFormat="1" ht="17" customHeight="1">
      <c r="A21062" s="234"/>
      <c r="B21062" s="233"/>
      <c r="C21062" s="238"/>
      <c r="E21062" s="545"/>
      <c r="F21062" s="546"/>
      <c r="G21062" s="234"/>
      <c r="H21062" s="238"/>
      <c r="I21062" s="237"/>
    </row>
    <row r="21063" spans="1:9" s="232" customFormat="1" ht="17" customHeight="1">
      <c r="A21063" s="234"/>
      <c r="B21063" s="233"/>
      <c r="C21063" s="238"/>
      <c r="E21063" s="545"/>
      <c r="F21063" s="546"/>
      <c r="G21063" s="234"/>
      <c r="H21063" s="238"/>
      <c r="I21063" s="237"/>
    </row>
    <row r="21064" spans="1:9" s="232" customFormat="1" ht="17" customHeight="1">
      <c r="A21064" s="234"/>
      <c r="B21064" s="233"/>
      <c r="C21064" s="238"/>
      <c r="E21064" s="545"/>
      <c r="F21064" s="546"/>
      <c r="G21064" s="234"/>
      <c r="H21064" s="238"/>
      <c r="I21064" s="237"/>
    </row>
    <row r="21065" spans="1:9" s="232" customFormat="1" ht="17" customHeight="1">
      <c r="A21065" s="234"/>
      <c r="B21065" s="233"/>
      <c r="C21065" s="238"/>
      <c r="E21065" s="545"/>
      <c r="F21065" s="546"/>
      <c r="G21065" s="234"/>
      <c r="H21065" s="238"/>
      <c r="I21065" s="237"/>
    </row>
    <row r="21066" spans="1:9" s="232" customFormat="1" ht="17" customHeight="1">
      <c r="A21066" s="234"/>
      <c r="B21066" s="233"/>
      <c r="C21066" s="238"/>
      <c r="E21066" s="545"/>
      <c r="F21066" s="546"/>
      <c r="G21066" s="234"/>
      <c r="H21066" s="238"/>
      <c r="I21066" s="237"/>
    </row>
    <row r="21067" spans="1:9" s="232" customFormat="1" ht="17" customHeight="1">
      <c r="A21067" s="234"/>
      <c r="B21067" s="233"/>
      <c r="C21067" s="238"/>
      <c r="E21067" s="545"/>
      <c r="F21067" s="546"/>
      <c r="G21067" s="234"/>
      <c r="H21067" s="238"/>
      <c r="I21067" s="237"/>
    </row>
    <row r="21068" spans="1:9" s="232" customFormat="1" ht="17" customHeight="1">
      <c r="A21068" s="234"/>
      <c r="B21068" s="233"/>
      <c r="C21068" s="238"/>
      <c r="E21068" s="545"/>
      <c r="F21068" s="546"/>
      <c r="G21068" s="234"/>
      <c r="H21068" s="238"/>
      <c r="I21068" s="237"/>
    </row>
    <row r="21069" spans="1:9" s="232" customFormat="1" ht="17" customHeight="1">
      <c r="A21069" s="234"/>
      <c r="B21069" s="233"/>
      <c r="C21069" s="238"/>
      <c r="E21069" s="545"/>
      <c r="F21069" s="546"/>
      <c r="G21069" s="234"/>
      <c r="H21069" s="238"/>
      <c r="I21069" s="237"/>
    </row>
    <row r="21070" spans="1:9" s="232" customFormat="1" ht="17" customHeight="1">
      <c r="A21070" s="234"/>
      <c r="B21070" s="233"/>
      <c r="C21070" s="238"/>
      <c r="E21070" s="545"/>
      <c r="F21070" s="546"/>
      <c r="G21070" s="234"/>
      <c r="H21070" s="238"/>
      <c r="I21070" s="237"/>
    </row>
    <row r="21071" spans="1:9" s="232" customFormat="1" ht="17" customHeight="1">
      <c r="A21071" s="234"/>
      <c r="B21071" s="233"/>
      <c r="C21071" s="238"/>
      <c r="E21071" s="545"/>
      <c r="F21071" s="546"/>
      <c r="G21071" s="234"/>
      <c r="H21071" s="238"/>
      <c r="I21071" s="237"/>
    </row>
    <row r="21072" spans="1:9" s="232" customFormat="1" ht="17" customHeight="1">
      <c r="A21072" s="234"/>
      <c r="B21072" s="233"/>
      <c r="C21072" s="238"/>
      <c r="E21072" s="545"/>
      <c r="F21072" s="546"/>
      <c r="G21072" s="234"/>
      <c r="H21072" s="238"/>
      <c r="I21072" s="237"/>
    </row>
    <row r="21073" spans="1:9" s="232" customFormat="1" ht="17" customHeight="1">
      <c r="A21073" s="234"/>
      <c r="B21073" s="233"/>
      <c r="C21073" s="238"/>
      <c r="E21073" s="545"/>
      <c r="F21073" s="546"/>
      <c r="G21073" s="234"/>
      <c r="H21073" s="238"/>
      <c r="I21073" s="237"/>
    </row>
    <row r="21074" spans="1:9" s="232" customFormat="1" ht="17" customHeight="1">
      <c r="A21074" s="234"/>
      <c r="B21074" s="233"/>
      <c r="C21074" s="238"/>
      <c r="E21074" s="545"/>
      <c r="F21074" s="546"/>
      <c r="G21074" s="234"/>
      <c r="H21074" s="238"/>
      <c r="I21074" s="237"/>
    </row>
    <row r="21075" spans="1:9" s="232" customFormat="1" ht="17" customHeight="1">
      <c r="A21075" s="234"/>
      <c r="B21075" s="233"/>
      <c r="C21075" s="238"/>
      <c r="E21075" s="545"/>
      <c r="F21075" s="546"/>
      <c r="G21075" s="234"/>
      <c r="H21075" s="238"/>
      <c r="I21075" s="237"/>
    </row>
    <row r="21076" spans="1:9" s="232" customFormat="1" ht="17" customHeight="1">
      <c r="A21076" s="234"/>
      <c r="B21076" s="233"/>
      <c r="C21076" s="238"/>
      <c r="E21076" s="545"/>
      <c r="F21076" s="546"/>
      <c r="G21076" s="234"/>
      <c r="H21076" s="238"/>
      <c r="I21076" s="237"/>
    </row>
    <row r="21077" spans="1:9" s="232" customFormat="1" ht="17" customHeight="1">
      <c r="A21077" s="234"/>
      <c r="B21077" s="233"/>
      <c r="C21077" s="238"/>
      <c r="E21077" s="545"/>
      <c r="F21077" s="546"/>
      <c r="G21077" s="234"/>
      <c r="H21077" s="238"/>
      <c r="I21077" s="237"/>
    </row>
    <row r="21078" spans="1:9" s="232" customFormat="1" ht="17" customHeight="1">
      <c r="A21078" s="234"/>
      <c r="B21078" s="233"/>
      <c r="C21078" s="238"/>
      <c r="E21078" s="545"/>
      <c r="F21078" s="546"/>
      <c r="G21078" s="234"/>
      <c r="H21078" s="238"/>
      <c r="I21078" s="237"/>
    </row>
    <row r="21079" spans="1:9" s="232" customFormat="1" ht="17" customHeight="1">
      <c r="A21079" s="234"/>
      <c r="B21079" s="233"/>
      <c r="C21079" s="238"/>
      <c r="E21079" s="545"/>
      <c r="F21079" s="546"/>
      <c r="G21079" s="234"/>
      <c r="H21079" s="238"/>
      <c r="I21079" s="237"/>
    </row>
    <row r="21080" spans="1:9" s="232" customFormat="1" ht="17" customHeight="1">
      <c r="A21080" s="234"/>
      <c r="B21080" s="233"/>
      <c r="C21080" s="238"/>
      <c r="E21080" s="545"/>
      <c r="F21080" s="546"/>
      <c r="G21080" s="234"/>
      <c r="H21080" s="238"/>
      <c r="I21080" s="237"/>
    </row>
    <row r="21081" spans="1:9" s="232" customFormat="1" ht="17" customHeight="1">
      <c r="A21081" s="234"/>
      <c r="B21081" s="233"/>
      <c r="C21081" s="238"/>
      <c r="E21081" s="545"/>
      <c r="F21081" s="546"/>
      <c r="G21081" s="234"/>
      <c r="H21081" s="238"/>
      <c r="I21081" s="237"/>
    </row>
    <row r="21082" spans="1:9" s="232" customFormat="1" ht="17" customHeight="1">
      <c r="A21082" s="234"/>
      <c r="B21082" s="233"/>
      <c r="C21082" s="238"/>
      <c r="E21082" s="545"/>
      <c r="F21082" s="546"/>
      <c r="G21082" s="234"/>
      <c r="H21082" s="238"/>
      <c r="I21082" s="237"/>
    </row>
    <row r="21083" spans="1:9" s="232" customFormat="1" ht="17" customHeight="1">
      <c r="A21083" s="234"/>
      <c r="B21083" s="233"/>
      <c r="C21083" s="238"/>
      <c r="E21083" s="545"/>
      <c r="F21083" s="546"/>
      <c r="G21083" s="234"/>
      <c r="H21083" s="238"/>
      <c r="I21083" s="237"/>
    </row>
    <row r="21084" spans="1:9" s="232" customFormat="1" ht="17" customHeight="1">
      <c r="A21084" s="234"/>
      <c r="B21084" s="233"/>
      <c r="C21084" s="238"/>
      <c r="E21084" s="545"/>
      <c r="F21084" s="546"/>
      <c r="G21084" s="234"/>
      <c r="H21084" s="238"/>
      <c r="I21084" s="237"/>
    </row>
    <row r="21085" spans="1:9" s="232" customFormat="1" ht="17" customHeight="1">
      <c r="A21085" s="234"/>
      <c r="B21085" s="233"/>
      <c r="C21085" s="238"/>
      <c r="E21085" s="545"/>
      <c r="F21085" s="546"/>
      <c r="G21085" s="234"/>
      <c r="H21085" s="238"/>
      <c r="I21085" s="237"/>
    </row>
    <row r="21086" spans="1:9" s="232" customFormat="1" ht="17" customHeight="1">
      <c r="A21086" s="234"/>
      <c r="B21086" s="233"/>
      <c r="C21086" s="238"/>
      <c r="E21086" s="545"/>
      <c r="F21086" s="546"/>
      <c r="G21086" s="234"/>
      <c r="H21086" s="238"/>
      <c r="I21086" s="237"/>
    </row>
    <row r="21087" spans="1:9" s="232" customFormat="1" ht="17" customHeight="1">
      <c r="A21087" s="234"/>
      <c r="B21087" s="233"/>
      <c r="C21087" s="238"/>
      <c r="E21087" s="545"/>
      <c r="F21087" s="546"/>
      <c r="G21087" s="234"/>
      <c r="H21087" s="238"/>
      <c r="I21087" s="237"/>
    </row>
    <row r="21088" spans="1:9" s="232" customFormat="1" ht="17" customHeight="1">
      <c r="A21088" s="234"/>
      <c r="B21088" s="233"/>
      <c r="C21088" s="238"/>
      <c r="E21088" s="545"/>
      <c r="F21088" s="546"/>
      <c r="G21088" s="234"/>
      <c r="H21088" s="238"/>
      <c r="I21088" s="237"/>
    </row>
    <row r="21089" spans="1:9" s="232" customFormat="1" ht="17" customHeight="1">
      <c r="A21089" s="234"/>
      <c r="B21089" s="233"/>
      <c r="C21089" s="238"/>
      <c r="E21089" s="545"/>
      <c r="F21089" s="546"/>
      <c r="G21089" s="234"/>
      <c r="H21089" s="238"/>
      <c r="I21089" s="237"/>
    </row>
    <row r="21090" spans="1:9" s="232" customFormat="1" ht="17" customHeight="1">
      <c r="A21090" s="234"/>
      <c r="B21090" s="233"/>
      <c r="C21090" s="238"/>
      <c r="E21090" s="545"/>
      <c r="F21090" s="546"/>
      <c r="G21090" s="234"/>
      <c r="H21090" s="238"/>
      <c r="I21090" s="237"/>
    </row>
    <row r="21091" spans="1:9" s="232" customFormat="1" ht="17" customHeight="1">
      <c r="A21091" s="234"/>
      <c r="B21091" s="233"/>
      <c r="C21091" s="238"/>
      <c r="E21091" s="545"/>
      <c r="F21091" s="546"/>
      <c r="G21091" s="234"/>
      <c r="H21091" s="238"/>
      <c r="I21091" s="237"/>
    </row>
    <row r="21092" spans="1:9" s="232" customFormat="1" ht="17" customHeight="1">
      <c r="A21092" s="234"/>
      <c r="B21092" s="233"/>
      <c r="C21092" s="238"/>
      <c r="E21092" s="545"/>
      <c r="F21092" s="546"/>
      <c r="G21092" s="234"/>
      <c r="H21092" s="238"/>
      <c r="I21092" s="237"/>
    </row>
    <row r="21093" spans="1:9" s="232" customFormat="1" ht="17" customHeight="1">
      <c r="A21093" s="234"/>
      <c r="B21093" s="233"/>
      <c r="C21093" s="238"/>
      <c r="E21093" s="545"/>
      <c r="F21093" s="546"/>
      <c r="G21093" s="234"/>
      <c r="H21093" s="238"/>
      <c r="I21093" s="237"/>
    </row>
    <row r="21094" spans="1:9" s="232" customFormat="1" ht="17" customHeight="1">
      <c r="A21094" s="234"/>
      <c r="B21094" s="233"/>
      <c r="C21094" s="238"/>
      <c r="E21094" s="545"/>
      <c r="F21094" s="546"/>
      <c r="G21094" s="234"/>
      <c r="H21094" s="238"/>
      <c r="I21094" s="237"/>
    </row>
    <row r="21095" spans="1:9" s="232" customFormat="1" ht="17" customHeight="1">
      <c r="A21095" s="234"/>
      <c r="B21095" s="233"/>
      <c r="C21095" s="238"/>
      <c r="E21095" s="545"/>
      <c r="F21095" s="546"/>
      <c r="G21095" s="234"/>
      <c r="H21095" s="238"/>
      <c r="I21095" s="237"/>
    </row>
    <row r="21096" spans="1:9" s="232" customFormat="1" ht="17" customHeight="1">
      <c r="A21096" s="234"/>
      <c r="B21096" s="233"/>
      <c r="C21096" s="238"/>
      <c r="E21096" s="545"/>
      <c r="F21096" s="546"/>
      <c r="G21096" s="234"/>
      <c r="H21096" s="238"/>
      <c r="I21096" s="237"/>
    </row>
    <row r="21097" spans="1:9" s="232" customFormat="1" ht="17" customHeight="1">
      <c r="A21097" s="234"/>
      <c r="B21097" s="233"/>
      <c r="C21097" s="238"/>
      <c r="E21097" s="545"/>
      <c r="F21097" s="546"/>
      <c r="G21097" s="234"/>
      <c r="H21097" s="238"/>
      <c r="I21097" s="237"/>
    </row>
    <row r="21098" spans="1:9" s="232" customFormat="1" ht="17" customHeight="1">
      <c r="A21098" s="234"/>
      <c r="B21098" s="233"/>
      <c r="C21098" s="238"/>
      <c r="E21098" s="545"/>
      <c r="F21098" s="546"/>
      <c r="G21098" s="234"/>
      <c r="H21098" s="238"/>
      <c r="I21098" s="237"/>
    </row>
    <row r="21099" spans="1:9" s="232" customFormat="1" ht="17" customHeight="1">
      <c r="A21099" s="234"/>
      <c r="B21099" s="233"/>
      <c r="C21099" s="238"/>
      <c r="E21099" s="545"/>
      <c r="F21099" s="546"/>
      <c r="G21099" s="234"/>
      <c r="H21099" s="238"/>
      <c r="I21099" s="237"/>
    </row>
    <row r="21100" spans="1:9" s="232" customFormat="1" ht="17" customHeight="1">
      <c r="A21100" s="234"/>
      <c r="B21100" s="233"/>
      <c r="C21100" s="238"/>
      <c r="E21100" s="545"/>
      <c r="F21100" s="546"/>
      <c r="G21100" s="234"/>
      <c r="H21100" s="238"/>
      <c r="I21100" s="237"/>
    </row>
    <row r="21101" spans="1:9" s="232" customFormat="1" ht="17" customHeight="1">
      <c r="A21101" s="234"/>
      <c r="B21101" s="233"/>
      <c r="C21101" s="238"/>
      <c r="E21101" s="545"/>
      <c r="F21101" s="546"/>
      <c r="G21101" s="234"/>
      <c r="H21101" s="238"/>
      <c r="I21101" s="237"/>
    </row>
    <row r="21102" spans="1:9" s="232" customFormat="1" ht="17" customHeight="1">
      <c r="A21102" s="234"/>
      <c r="B21102" s="233"/>
      <c r="C21102" s="238"/>
      <c r="E21102" s="545"/>
      <c r="F21102" s="546"/>
      <c r="G21102" s="234"/>
      <c r="H21102" s="238"/>
      <c r="I21102" s="237"/>
    </row>
    <row r="21103" spans="1:9" s="232" customFormat="1" ht="17" customHeight="1">
      <c r="A21103" s="234"/>
      <c r="B21103" s="233"/>
      <c r="C21103" s="238"/>
      <c r="E21103" s="545"/>
      <c r="F21103" s="546"/>
      <c r="G21103" s="234"/>
      <c r="H21103" s="238"/>
      <c r="I21103" s="237"/>
    </row>
    <row r="21104" spans="1:9" s="232" customFormat="1" ht="17" customHeight="1">
      <c r="A21104" s="234"/>
      <c r="B21104" s="233"/>
      <c r="C21104" s="238"/>
      <c r="E21104" s="545"/>
      <c r="F21104" s="546"/>
      <c r="G21104" s="234"/>
      <c r="H21104" s="238"/>
      <c r="I21104" s="237"/>
    </row>
    <row r="21105" spans="1:9" s="232" customFormat="1" ht="17" customHeight="1">
      <c r="A21105" s="234"/>
      <c r="B21105" s="233"/>
      <c r="C21105" s="238"/>
      <c r="E21105" s="545"/>
      <c r="F21105" s="546"/>
      <c r="G21105" s="234"/>
      <c r="H21105" s="238"/>
      <c r="I21105" s="237"/>
    </row>
    <row r="21106" spans="1:9" s="232" customFormat="1" ht="17" customHeight="1">
      <c r="A21106" s="234"/>
      <c r="B21106" s="233"/>
      <c r="C21106" s="238"/>
      <c r="E21106" s="545"/>
      <c r="F21106" s="546"/>
      <c r="G21106" s="234"/>
      <c r="H21106" s="238"/>
      <c r="I21106" s="237"/>
    </row>
    <row r="21107" spans="1:9" s="232" customFormat="1" ht="17" customHeight="1">
      <c r="A21107" s="234"/>
      <c r="B21107" s="233"/>
      <c r="C21107" s="238"/>
      <c r="E21107" s="545"/>
      <c r="F21107" s="546"/>
      <c r="G21107" s="234"/>
      <c r="H21107" s="238"/>
      <c r="I21107" s="237"/>
    </row>
    <row r="21108" spans="1:9" s="232" customFormat="1" ht="17" customHeight="1">
      <c r="A21108" s="234"/>
      <c r="B21108" s="233"/>
      <c r="C21108" s="238"/>
      <c r="E21108" s="545"/>
      <c r="F21108" s="546"/>
      <c r="G21108" s="234"/>
      <c r="H21108" s="238"/>
      <c r="I21108" s="237"/>
    </row>
    <row r="21109" spans="1:9" s="232" customFormat="1" ht="17" customHeight="1">
      <c r="A21109" s="234"/>
      <c r="B21109" s="233"/>
      <c r="C21109" s="238"/>
      <c r="E21109" s="545"/>
      <c r="F21109" s="546"/>
      <c r="G21109" s="234"/>
      <c r="H21109" s="238"/>
      <c r="I21109" s="237"/>
    </row>
    <row r="21110" spans="1:9" s="232" customFormat="1" ht="17" customHeight="1">
      <c r="A21110" s="234"/>
      <c r="B21110" s="233"/>
      <c r="C21110" s="238"/>
      <c r="E21110" s="545"/>
      <c r="F21110" s="546"/>
      <c r="G21110" s="234"/>
      <c r="H21110" s="238"/>
      <c r="I21110" s="237"/>
    </row>
    <row r="21111" spans="1:9" s="232" customFormat="1" ht="17" customHeight="1">
      <c r="A21111" s="234"/>
      <c r="B21111" s="233"/>
      <c r="C21111" s="238"/>
      <c r="E21111" s="545"/>
      <c r="F21111" s="546"/>
      <c r="G21111" s="234"/>
      <c r="H21111" s="238"/>
      <c r="I21111" s="237"/>
    </row>
    <row r="21112" spans="1:9" s="232" customFormat="1" ht="17" customHeight="1">
      <c r="A21112" s="234"/>
      <c r="B21112" s="233"/>
      <c r="C21112" s="238"/>
      <c r="E21112" s="545"/>
      <c r="F21112" s="546"/>
      <c r="G21112" s="234"/>
      <c r="H21112" s="238"/>
      <c r="I21112" s="237"/>
    </row>
    <row r="21113" spans="1:9" s="232" customFormat="1" ht="17" customHeight="1">
      <c r="A21113" s="234"/>
      <c r="B21113" s="233"/>
      <c r="C21113" s="238"/>
      <c r="E21113" s="545"/>
      <c r="F21113" s="546"/>
      <c r="G21113" s="234"/>
      <c r="H21113" s="238"/>
      <c r="I21113" s="237"/>
    </row>
    <row r="21114" spans="1:9" s="232" customFormat="1" ht="17" customHeight="1">
      <c r="A21114" s="234"/>
      <c r="B21114" s="233"/>
      <c r="C21114" s="238"/>
      <c r="E21114" s="545"/>
      <c r="F21114" s="546"/>
      <c r="G21114" s="234"/>
      <c r="H21114" s="238"/>
      <c r="I21114" s="237"/>
    </row>
    <row r="21115" spans="1:9" s="232" customFormat="1" ht="17" customHeight="1">
      <c r="A21115" s="234"/>
      <c r="B21115" s="233"/>
      <c r="C21115" s="238"/>
      <c r="E21115" s="545"/>
      <c r="F21115" s="546"/>
      <c r="G21115" s="234"/>
      <c r="H21115" s="238"/>
      <c r="I21115" s="237"/>
    </row>
    <row r="21116" spans="1:9" s="232" customFormat="1" ht="17" customHeight="1">
      <c r="A21116" s="234"/>
      <c r="B21116" s="233"/>
      <c r="C21116" s="238"/>
      <c r="E21116" s="545"/>
      <c r="F21116" s="546"/>
      <c r="G21116" s="234"/>
      <c r="H21116" s="238"/>
      <c r="I21116" s="237"/>
    </row>
    <row r="21117" spans="1:9" s="232" customFormat="1" ht="17" customHeight="1">
      <c r="A21117" s="234"/>
      <c r="B21117" s="233"/>
      <c r="C21117" s="238"/>
      <c r="E21117" s="545"/>
      <c r="F21117" s="546"/>
      <c r="G21117" s="234"/>
      <c r="H21117" s="238"/>
      <c r="I21117" s="237"/>
    </row>
    <row r="21118" spans="1:9" s="232" customFormat="1" ht="17" customHeight="1">
      <c r="A21118" s="234"/>
      <c r="B21118" s="233"/>
      <c r="C21118" s="238"/>
      <c r="E21118" s="545"/>
      <c r="F21118" s="546"/>
      <c r="G21118" s="234"/>
      <c r="H21118" s="238"/>
      <c r="I21118" s="237"/>
    </row>
    <row r="21119" spans="1:9" s="232" customFormat="1" ht="17" customHeight="1">
      <c r="A21119" s="234"/>
      <c r="B21119" s="233"/>
      <c r="C21119" s="238"/>
      <c r="E21119" s="545"/>
      <c r="F21119" s="546"/>
      <c r="G21119" s="234"/>
      <c r="H21119" s="238"/>
      <c r="I21119" s="237"/>
    </row>
    <row r="21120" spans="1:9" s="232" customFormat="1" ht="17" customHeight="1">
      <c r="A21120" s="234"/>
      <c r="B21120" s="233"/>
      <c r="C21120" s="238"/>
      <c r="E21120" s="545"/>
      <c r="F21120" s="546"/>
      <c r="G21120" s="234"/>
      <c r="H21120" s="238"/>
      <c r="I21120" s="237"/>
    </row>
    <row r="21121" spans="1:9" s="232" customFormat="1" ht="17" customHeight="1">
      <c r="A21121" s="234"/>
      <c r="B21121" s="233"/>
      <c r="C21121" s="238"/>
      <c r="E21121" s="545"/>
      <c r="F21121" s="546"/>
      <c r="G21121" s="234"/>
      <c r="H21121" s="238"/>
      <c r="I21121" s="237"/>
    </row>
    <row r="21122" spans="1:9" s="232" customFormat="1" ht="17" customHeight="1">
      <c r="A21122" s="234"/>
      <c r="B21122" s="233"/>
      <c r="C21122" s="238"/>
      <c r="E21122" s="545"/>
      <c r="F21122" s="546"/>
      <c r="G21122" s="234"/>
      <c r="H21122" s="238"/>
      <c r="I21122" s="237"/>
    </row>
    <row r="21123" spans="1:9" s="232" customFormat="1" ht="17" customHeight="1">
      <c r="A21123" s="234"/>
      <c r="B21123" s="233"/>
      <c r="C21123" s="238"/>
      <c r="E21123" s="545"/>
      <c r="F21123" s="546"/>
      <c r="G21123" s="234"/>
      <c r="H21123" s="238"/>
      <c r="I21123" s="237"/>
    </row>
    <row r="21124" spans="1:9" s="232" customFormat="1" ht="17" customHeight="1">
      <c r="A21124" s="234"/>
      <c r="B21124" s="233"/>
      <c r="C21124" s="238"/>
      <c r="E21124" s="545"/>
      <c r="F21124" s="546"/>
      <c r="G21124" s="234"/>
      <c r="H21124" s="238"/>
      <c r="I21124" s="237"/>
    </row>
    <row r="21125" spans="1:9" s="232" customFormat="1" ht="17" customHeight="1">
      <c r="A21125" s="234"/>
      <c r="B21125" s="233"/>
      <c r="C21125" s="238"/>
      <c r="E21125" s="545"/>
      <c r="F21125" s="546"/>
      <c r="G21125" s="234"/>
      <c r="H21125" s="238"/>
      <c r="I21125" s="237"/>
    </row>
    <row r="21126" spans="1:9" s="232" customFormat="1" ht="17" customHeight="1">
      <c r="A21126" s="234"/>
      <c r="B21126" s="233"/>
      <c r="C21126" s="238"/>
      <c r="E21126" s="545"/>
      <c r="F21126" s="546"/>
      <c r="G21126" s="234"/>
      <c r="H21126" s="238"/>
      <c r="I21126" s="237"/>
    </row>
    <row r="21127" spans="1:9" s="232" customFormat="1" ht="17" customHeight="1">
      <c r="A21127" s="234"/>
      <c r="B21127" s="233"/>
      <c r="C21127" s="238"/>
      <c r="E21127" s="545"/>
      <c r="F21127" s="546"/>
      <c r="G21127" s="234"/>
      <c r="H21127" s="238"/>
      <c r="I21127" s="237"/>
    </row>
    <row r="21128" spans="1:9" s="232" customFormat="1" ht="17" customHeight="1">
      <c r="A21128" s="234"/>
      <c r="B21128" s="233"/>
      <c r="C21128" s="238"/>
      <c r="E21128" s="545"/>
      <c r="F21128" s="546"/>
      <c r="G21128" s="234"/>
      <c r="H21128" s="238"/>
      <c r="I21128" s="237"/>
    </row>
    <row r="21129" spans="1:9" s="232" customFormat="1" ht="17" customHeight="1">
      <c r="A21129" s="234"/>
      <c r="B21129" s="233"/>
      <c r="C21129" s="238"/>
      <c r="E21129" s="545"/>
      <c r="F21129" s="546"/>
      <c r="G21129" s="234"/>
      <c r="H21129" s="238"/>
      <c r="I21129" s="237"/>
    </row>
    <row r="21130" spans="1:9" s="232" customFormat="1" ht="17" customHeight="1">
      <c r="A21130" s="234"/>
      <c r="B21130" s="233"/>
      <c r="C21130" s="238"/>
      <c r="E21130" s="545"/>
      <c r="F21130" s="546"/>
      <c r="G21130" s="234"/>
      <c r="H21130" s="238"/>
      <c r="I21130" s="237"/>
    </row>
    <row r="21131" spans="1:9" s="232" customFormat="1" ht="17" customHeight="1">
      <c r="A21131" s="234"/>
      <c r="B21131" s="233"/>
      <c r="C21131" s="238"/>
      <c r="E21131" s="545"/>
      <c r="F21131" s="546"/>
      <c r="G21131" s="234"/>
      <c r="H21131" s="238"/>
      <c r="I21131" s="237"/>
    </row>
    <row r="21132" spans="1:9" s="232" customFormat="1" ht="17" customHeight="1">
      <c r="A21132" s="234"/>
      <c r="B21132" s="233"/>
      <c r="C21132" s="238"/>
      <c r="E21132" s="545"/>
      <c r="F21132" s="546"/>
      <c r="G21132" s="234"/>
      <c r="H21132" s="238"/>
      <c r="I21132" s="237"/>
    </row>
    <row r="21133" spans="1:9" s="232" customFormat="1" ht="17" customHeight="1">
      <c r="A21133" s="234"/>
      <c r="B21133" s="233"/>
      <c r="C21133" s="238"/>
      <c r="E21133" s="545"/>
      <c r="F21133" s="546"/>
      <c r="G21133" s="234"/>
      <c r="H21133" s="238"/>
      <c r="I21133" s="237"/>
    </row>
    <row r="21134" spans="1:9" s="232" customFormat="1" ht="17" customHeight="1">
      <c r="A21134" s="234"/>
      <c r="B21134" s="233"/>
      <c r="C21134" s="238"/>
      <c r="E21134" s="545"/>
      <c r="F21134" s="546"/>
      <c r="G21134" s="234"/>
      <c r="H21134" s="238"/>
      <c r="I21134" s="237"/>
    </row>
    <row r="21135" spans="1:9" s="232" customFormat="1" ht="17" customHeight="1">
      <c r="A21135" s="234"/>
      <c r="B21135" s="233"/>
      <c r="C21135" s="238"/>
      <c r="E21135" s="545"/>
      <c r="F21135" s="546"/>
      <c r="G21135" s="234"/>
      <c r="H21135" s="238"/>
      <c r="I21135" s="237"/>
    </row>
    <row r="21136" spans="1:9" s="232" customFormat="1" ht="17" customHeight="1">
      <c r="A21136" s="234"/>
      <c r="B21136" s="233"/>
      <c r="C21136" s="238"/>
      <c r="E21136" s="545"/>
      <c r="F21136" s="546"/>
      <c r="G21136" s="234"/>
      <c r="H21136" s="238"/>
      <c r="I21136" s="237"/>
    </row>
    <row r="21137" spans="1:9" s="232" customFormat="1" ht="17" customHeight="1">
      <c r="A21137" s="234"/>
      <c r="B21137" s="233"/>
      <c r="C21137" s="238"/>
      <c r="E21137" s="545"/>
      <c r="F21137" s="546"/>
      <c r="G21137" s="234"/>
      <c r="H21137" s="238"/>
      <c r="I21137" s="237"/>
    </row>
    <row r="21138" spans="1:9" s="232" customFormat="1" ht="17" customHeight="1">
      <c r="A21138" s="234"/>
      <c r="B21138" s="233"/>
      <c r="C21138" s="238"/>
      <c r="E21138" s="545"/>
      <c r="F21138" s="546"/>
      <c r="G21138" s="234"/>
      <c r="H21138" s="238"/>
      <c r="I21138" s="237"/>
    </row>
    <row r="21139" spans="1:9" s="232" customFormat="1" ht="17" customHeight="1">
      <c r="A21139" s="234"/>
      <c r="B21139" s="233"/>
      <c r="C21139" s="238"/>
      <c r="E21139" s="545"/>
      <c r="F21139" s="546"/>
      <c r="G21139" s="234"/>
      <c r="H21139" s="238"/>
      <c r="I21139" s="237"/>
    </row>
    <row r="21140" spans="1:9" s="232" customFormat="1" ht="17" customHeight="1">
      <c r="A21140" s="234"/>
      <c r="B21140" s="233"/>
      <c r="C21140" s="238"/>
      <c r="E21140" s="545"/>
      <c r="F21140" s="546"/>
      <c r="G21140" s="234"/>
      <c r="H21140" s="238"/>
      <c r="I21140" s="237"/>
    </row>
    <row r="21141" spans="1:9" s="232" customFormat="1" ht="17" customHeight="1">
      <c r="A21141" s="234"/>
      <c r="B21141" s="233"/>
      <c r="C21141" s="238"/>
      <c r="E21141" s="545"/>
      <c r="F21141" s="546"/>
      <c r="G21141" s="234"/>
      <c r="H21141" s="238"/>
      <c r="I21141" s="237"/>
    </row>
    <row r="21142" spans="1:9" s="232" customFormat="1" ht="17" customHeight="1">
      <c r="A21142" s="234"/>
      <c r="B21142" s="233"/>
      <c r="C21142" s="238"/>
      <c r="E21142" s="545"/>
      <c r="F21142" s="546"/>
      <c r="G21142" s="234"/>
      <c r="H21142" s="238"/>
      <c r="I21142" s="237"/>
    </row>
    <row r="21143" spans="1:9" s="232" customFormat="1" ht="17" customHeight="1">
      <c r="A21143" s="234"/>
      <c r="B21143" s="233"/>
      <c r="C21143" s="238"/>
      <c r="E21143" s="545"/>
      <c r="F21143" s="546"/>
      <c r="G21143" s="234"/>
      <c r="H21143" s="238"/>
      <c r="I21143" s="237"/>
    </row>
    <row r="21144" spans="1:9" s="232" customFormat="1" ht="17" customHeight="1">
      <c r="A21144" s="234"/>
      <c r="B21144" s="233"/>
      <c r="C21144" s="238"/>
      <c r="E21144" s="545"/>
      <c r="F21144" s="546"/>
      <c r="G21144" s="234"/>
      <c r="H21144" s="238"/>
      <c r="I21144" s="237"/>
    </row>
    <row r="21145" spans="1:9" s="232" customFormat="1" ht="17" customHeight="1">
      <c r="A21145" s="234"/>
      <c r="B21145" s="233"/>
      <c r="C21145" s="238"/>
      <c r="E21145" s="545"/>
      <c r="F21145" s="546"/>
      <c r="G21145" s="234"/>
      <c r="H21145" s="238"/>
      <c r="I21145" s="237"/>
    </row>
    <row r="21146" spans="1:9" s="232" customFormat="1" ht="17" customHeight="1">
      <c r="A21146" s="234"/>
      <c r="B21146" s="233"/>
      <c r="C21146" s="238"/>
      <c r="E21146" s="545"/>
      <c r="F21146" s="546"/>
      <c r="G21146" s="234"/>
      <c r="H21146" s="238"/>
      <c r="I21146" s="237"/>
    </row>
    <row r="21147" spans="1:9" s="232" customFormat="1" ht="17" customHeight="1">
      <c r="A21147" s="234"/>
      <c r="B21147" s="233"/>
      <c r="C21147" s="238"/>
      <c r="E21147" s="545"/>
      <c r="F21147" s="546"/>
      <c r="G21147" s="234"/>
      <c r="H21147" s="238"/>
      <c r="I21147" s="237"/>
    </row>
    <row r="21148" spans="1:9" s="232" customFormat="1" ht="17" customHeight="1">
      <c r="A21148" s="234"/>
      <c r="B21148" s="233"/>
      <c r="C21148" s="238"/>
      <c r="E21148" s="545"/>
      <c r="F21148" s="546"/>
      <c r="G21148" s="234"/>
      <c r="H21148" s="238"/>
      <c r="I21148" s="237"/>
    </row>
    <row r="21149" spans="1:9" s="232" customFormat="1" ht="17" customHeight="1">
      <c r="A21149" s="234"/>
      <c r="B21149" s="233"/>
      <c r="C21149" s="238"/>
      <c r="E21149" s="545"/>
      <c r="F21149" s="546"/>
      <c r="G21149" s="234"/>
      <c r="H21149" s="238"/>
      <c r="I21149" s="237"/>
    </row>
    <row r="21150" spans="1:9" s="232" customFormat="1" ht="17" customHeight="1">
      <c r="A21150" s="234"/>
      <c r="B21150" s="233"/>
      <c r="C21150" s="238"/>
      <c r="E21150" s="545"/>
      <c r="F21150" s="546"/>
      <c r="G21150" s="234"/>
      <c r="H21150" s="238"/>
      <c r="I21150" s="237"/>
    </row>
    <row r="21151" spans="1:9" s="232" customFormat="1" ht="17" customHeight="1">
      <c r="A21151" s="234"/>
      <c r="B21151" s="233"/>
      <c r="C21151" s="238"/>
      <c r="E21151" s="545"/>
      <c r="F21151" s="546"/>
      <c r="G21151" s="234"/>
      <c r="H21151" s="238"/>
      <c r="I21151" s="237"/>
    </row>
    <row r="21152" spans="1:9" s="232" customFormat="1" ht="17" customHeight="1">
      <c r="A21152" s="234"/>
      <c r="B21152" s="233"/>
      <c r="C21152" s="238"/>
      <c r="E21152" s="545"/>
      <c r="F21152" s="546"/>
      <c r="G21152" s="234"/>
      <c r="H21152" s="238"/>
      <c r="I21152" s="237"/>
    </row>
    <row r="21153" spans="1:9" s="232" customFormat="1" ht="17" customHeight="1">
      <c r="A21153" s="234"/>
      <c r="B21153" s="233"/>
      <c r="C21153" s="238"/>
      <c r="E21153" s="545"/>
      <c r="F21153" s="546"/>
      <c r="G21153" s="234"/>
      <c r="H21153" s="238"/>
      <c r="I21153" s="237"/>
    </row>
    <row r="21154" spans="1:9" s="232" customFormat="1" ht="17" customHeight="1">
      <c r="A21154" s="234"/>
      <c r="B21154" s="233"/>
      <c r="C21154" s="238"/>
      <c r="E21154" s="545"/>
      <c r="F21154" s="546"/>
      <c r="G21154" s="234"/>
      <c r="H21154" s="238"/>
      <c r="I21154" s="237"/>
    </row>
    <row r="21155" spans="1:9" s="232" customFormat="1" ht="17" customHeight="1">
      <c r="A21155" s="234"/>
      <c r="B21155" s="233"/>
      <c r="C21155" s="238"/>
      <c r="E21155" s="545"/>
      <c r="F21155" s="546"/>
      <c r="G21155" s="234"/>
      <c r="H21155" s="238"/>
      <c r="I21155" s="237"/>
    </row>
    <row r="21156" spans="1:9" s="232" customFormat="1" ht="17" customHeight="1">
      <c r="A21156" s="234"/>
      <c r="B21156" s="233"/>
      <c r="C21156" s="238"/>
      <c r="E21156" s="545"/>
      <c r="F21156" s="546"/>
      <c r="G21156" s="234"/>
      <c r="H21156" s="238"/>
      <c r="I21156" s="237"/>
    </row>
    <row r="21157" spans="1:9" s="232" customFormat="1" ht="17" customHeight="1">
      <c r="A21157" s="234"/>
      <c r="B21157" s="233"/>
      <c r="C21157" s="238"/>
      <c r="E21157" s="545"/>
      <c r="F21157" s="546"/>
      <c r="G21157" s="234"/>
      <c r="H21157" s="238"/>
      <c r="I21157" s="237"/>
    </row>
    <row r="21158" spans="1:9" s="232" customFormat="1" ht="17" customHeight="1">
      <c r="A21158" s="234"/>
      <c r="B21158" s="233"/>
      <c r="C21158" s="238"/>
      <c r="E21158" s="545"/>
      <c r="F21158" s="546"/>
      <c r="G21158" s="234"/>
      <c r="H21158" s="238"/>
      <c r="I21158" s="237"/>
    </row>
    <row r="21159" spans="1:9" s="232" customFormat="1" ht="17" customHeight="1">
      <c r="A21159" s="234"/>
      <c r="B21159" s="233"/>
      <c r="C21159" s="238"/>
      <c r="E21159" s="545"/>
      <c r="F21159" s="546"/>
      <c r="G21159" s="234"/>
      <c r="H21159" s="238"/>
      <c r="I21159" s="237"/>
    </row>
    <row r="21160" spans="1:9" s="232" customFormat="1" ht="17" customHeight="1">
      <c r="A21160" s="234"/>
      <c r="B21160" s="233"/>
      <c r="C21160" s="238"/>
      <c r="E21160" s="545"/>
      <c r="F21160" s="546"/>
      <c r="G21160" s="234"/>
      <c r="H21160" s="238"/>
      <c r="I21160" s="237"/>
    </row>
    <row r="21161" spans="1:9" s="232" customFormat="1" ht="17" customHeight="1">
      <c r="A21161" s="234"/>
      <c r="B21161" s="233"/>
      <c r="C21161" s="238"/>
      <c r="E21161" s="545"/>
      <c r="F21161" s="546"/>
      <c r="G21161" s="234"/>
      <c r="H21161" s="238"/>
      <c r="I21161" s="237"/>
    </row>
    <row r="21162" spans="1:9" s="232" customFormat="1" ht="17" customHeight="1">
      <c r="A21162" s="234"/>
      <c r="B21162" s="233"/>
      <c r="C21162" s="238"/>
      <c r="E21162" s="545"/>
      <c r="F21162" s="546"/>
      <c r="G21162" s="234"/>
      <c r="H21162" s="238"/>
      <c r="I21162" s="237"/>
    </row>
    <row r="21163" spans="1:9" s="232" customFormat="1" ht="17" customHeight="1">
      <c r="A21163" s="234"/>
      <c r="B21163" s="233"/>
      <c r="C21163" s="238"/>
      <c r="E21163" s="545"/>
      <c r="F21163" s="546"/>
      <c r="G21163" s="234"/>
      <c r="H21163" s="238"/>
      <c r="I21163" s="237"/>
    </row>
    <row r="21164" spans="1:9" s="232" customFormat="1" ht="17" customHeight="1">
      <c r="A21164" s="234"/>
      <c r="B21164" s="233"/>
      <c r="C21164" s="238"/>
      <c r="E21164" s="545"/>
      <c r="F21164" s="546"/>
      <c r="G21164" s="234"/>
      <c r="H21164" s="238"/>
      <c r="I21164" s="237"/>
    </row>
    <row r="21165" spans="1:9" s="232" customFormat="1" ht="17" customHeight="1">
      <c r="A21165" s="234"/>
      <c r="B21165" s="233"/>
      <c r="C21165" s="238"/>
      <c r="E21165" s="545"/>
      <c r="F21165" s="546"/>
      <c r="G21165" s="234"/>
      <c r="H21165" s="238"/>
      <c r="I21165" s="237"/>
    </row>
    <row r="21166" spans="1:9" s="232" customFormat="1" ht="17" customHeight="1">
      <c r="A21166" s="234"/>
      <c r="B21166" s="233"/>
      <c r="C21166" s="238"/>
      <c r="E21166" s="545"/>
      <c r="F21166" s="546"/>
      <c r="G21166" s="234"/>
      <c r="H21166" s="238"/>
      <c r="I21166" s="237"/>
    </row>
    <row r="21167" spans="1:9" s="232" customFormat="1" ht="17" customHeight="1">
      <c r="A21167" s="234"/>
      <c r="B21167" s="233"/>
      <c r="C21167" s="238"/>
      <c r="E21167" s="545"/>
      <c r="F21167" s="546"/>
      <c r="G21167" s="234"/>
      <c r="H21167" s="238"/>
      <c r="I21167" s="237"/>
    </row>
    <row r="21168" spans="1:9" s="232" customFormat="1" ht="17" customHeight="1">
      <c r="A21168" s="234"/>
      <c r="B21168" s="233"/>
      <c r="C21168" s="238"/>
      <c r="E21168" s="545"/>
      <c r="F21168" s="546"/>
      <c r="G21168" s="234"/>
      <c r="H21168" s="238"/>
      <c r="I21168" s="237"/>
    </row>
    <row r="21169" spans="1:9" s="232" customFormat="1" ht="17" customHeight="1">
      <c r="A21169" s="234"/>
      <c r="B21169" s="233"/>
      <c r="C21169" s="238"/>
      <c r="E21169" s="545"/>
      <c r="F21169" s="546"/>
      <c r="G21169" s="234"/>
      <c r="H21169" s="238"/>
      <c r="I21169" s="237"/>
    </row>
    <row r="21170" spans="1:9" s="232" customFormat="1" ht="17" customHeight="1">
      <c r="A21170" s="234"/>
      <c r="B21170" s="233"/>
      <c r="C21170" s="238"/>
      <c r="E21170" s="545"/>
      <c r="F21170" s="546"/>
      <c r="G21170" s="234"/>
      <c r="H21170" s="238"/>
      <c r="I21170" s="237"/>
    </row>
    <row r="21171" spans="1:9" s="232" customFormat="1" ht="17" customHeight="1">
      <c r="A21171" s="234"/>
      <c r="B21171" s="233"/>
      <c r="C21171" s="238"/>
      <c r="E21171" s="545"/>
      <c r="F21171" s="546"/>
      <c r="G21171" s="234"/>
      <c r="H21171" s="238"/>
      <c r="I21171" s="237"/>
    </row>
    <row r="21172" spans="1:9" s="232" customFormat="1" ht="17" customHeight="1">
      <c r="A21172" s="234"/>
      <c r="B21172" s="233"/>
      <c r="C21172" s="238"/>
      <c r="E21172" s="545"/>
      <c r="F21172" s="546"/>
      <c r="G21172" s="234"/>
      <c r="H21172" s="238"/>
      <c r="I21172" s="237"/>
    </row>
    <row r="21173" spans="1:9" s="232" customFormat="1" ht="17" customHeight="1">
      <c r="A21173" s="234"/>
      <c r="B21173" s="233"/>
      <c r="C21173" s="238"/>
      <c r="E21173" s="545"/>
      <c r="F21173" s="546"/>
      <c r="G21173" s="234"/>
      <c r="H21173" s="238"/>
      <c r="I21173" s="237"/>
    </row>
    <row r="21174" spans="1:9" s="232" customFormat="1" ht="17" customHeight="1">
      <c r="A21174" s="234"/>
      <c r="B21174" s="233"/>
      <c r="C21174" s="238"/>
      <c r="E21174" s="545"/>
      <c r="F21174" s="546"/>
      <c r="G21174" s="234"/>
      <c r="H21174" s="238"/>
      <c r="I21174" s="237"/>
    </row>
    <row r="21175" spans="1:9" s="232" customFormat="1" ht="17" customHeight="1">
      <c r="A21175" s="234"/>
      <c r="B21175" s="233"/>
      <c r="C21175" s="238"/>
      <c r="E21175" s="545"/>
      <c r="F21175" s="546"/>
      <c r="G21175" s="234"/>
      <c r="H21175" s="238"/>
      <c r="I21175" s="237"/>
    </row>
    <row r="21176" spans="1:9" s="232" customFormat="1" ht="17" customHeight="1">
      <c r="A21176" s="234"/>
      <c r="B21176" s="233"/>
      <c r="C21176" s="238"/>
      <c r="E21176" s="545"/>
      <c r="F21176" s="546"/>
      <c r="G21176" s="234"/>
      <c r="H21176" s="238"/>
      <c r="I21176" s="237"/>
    </row>
    <row r="21177" spans="1:9" s="232" customFormat="1" ht="17" customHeight="1">
      <c r="A21177" s="234"/>
      <c r="B21177" s="233"/>
      <c r="C21177" s="238"/>
      <c r="E21177" s="545"/>
      <c r="F21177" s="546"/>
      <c r="G21177" s="234"/>
      <c r="H21177" s="238"/>
      <c r="I21177" s="237"/>
    </row>
    <row r="21178" spans="1:9" s="232" customFormat="1" ht="17" customHeight="1">
      <c r="A21178" s="234"/>
      <c r="B21178" s="233"/>
      <c r="C21178" s="238"/>
      <c r="E21178" s="545"/>
      <c r="F21178" s="546"/>
      <c r="G21178" s="234"/>
      <c r="H21178" s="238"/>
      <c r="I21178" s="237"/>
    </row>
    <row r="21179" spans="1:9" s="232" customFormat="1" ht="17" customHeight="1">
      <c r="A21179" s="234"/>
      <c r="B21179" s="233"/>
      <c r="C21179" s="238"/>
      <c r="E21179" s="545"/>
      <c r="F21179" s="546"/>
      <c r="G21179" s="234"/>
      <c r="H21179" s="238"/>
      <c r="I21179" s="237"/>
    </row>
    <row r="21180" spans="1:9" s="232" customFormat="1" ht="17" customHeight="1">
      <c r="A21180" s="234"/>
      <c r="B21180" s="233"/>
      <c r="C21180" s="238"/>
      <c r="E21180" s="545"/>
      <c r="F21180" s="546"/>
      <c r="G21180" s="234"/>
      <c r="H21180" s="238"/>
      <c r="I21180" s="237"/>
    </row>
    <row r="21181" spans="1:9" s="232" customFormat="1" ht="17" customHeight="1">
      <c r="A21181" s="234"/>
      <c r="B21181" s="233"/>
      <c r="C21181" s="238"/>
      <c r="E21181" s="545"/>
      <c r="F21181" s="546"/>
      <c r="G21181" s="234"/>
      <c r="H21181" s="238"/>
      <c r="I21181" s="237"/>
    </row>
    <row r="21182" spans="1:9" s="232" customFormat="1" ht="17" customHeight="1">
      <c r="A21182" s="234"/>
      <c r="B21182" s="233"/>
      <c r="C21182" s="238"/>
      <c r="E21182" s="545"/>
      <c r="F21182" s="546"/>
      <c r="G21182" s="234"/>
      <c r="H21182" s="238"/>
      <c r="I21182" s="237"/>
    </row>
    <row r="21183" spans="1:9" s="232" customFormat="1" ht="17" customHeight="1">
      <c r="A21183" s="234"/>
      <c r="B21183" s="233"/>
      <c r="C21183" s="238"/>
      <c r="E21183" s="545"/>
      <c r="F21183" s="546"/>
      <c r="G21183" s="234"/>
      <c r="H21183" s="238"/>
      <c r="I21183" s="237"/>
    </row>
    <row r="21184" spans="1:9" s="232" customFormat="1" ht="17" customHeight="1">
      <c r="A21184" s="234"/>
      <c r="B21184" s="233"/>
      <c r="C21184" s="238"/>
      <c r="E21184" s="545"/>
      <c r="F21184" s="546"/>
      <c r="G21184" s="234"/>
      <c r="H21184" s="238"/>
      <c r="I21184" s="237"/>
    </row>
    <row r="21185" spans="1:9" s="232" customFormat="1" ht="17" customHeight="1">
      <c r="A21185" s="234"/>
      <c r="B21185" s="233"/>
      <c r="C21185" s="238"/>
      <c r="E21185" s="545"/>
      <c r="F21185" s="546"/>
      <c r="G21185" s="234"/>
      <c r="H21185" s="238"/>
      <c r="I21185" s="237"/>
    </row>
    <row r="21186" spans="1:9" s="232" customFormat="1" ht="17" customHeight="1">
      <c r="A21186" s="234"/>
      <c r="B21186" s="233"/>
      <c r="C21186" s="238"/>
      <c r="E21186" s="545"/>
      <c r="F21186" s="546"/>
      <c r="G21186" s="234"/>
      <c r="H21186" s="238"/>
      <c r="I21186" s="237"/>
    </row>
    <row r="21187" spans="1:9" s="232" customFormat="1" ht="17" customHeight="1">
      <c r="A21187" s="234"/>
      <c r="B21187" s="233"/>
      <c r="C21187" s="238"/>
      <c r="E21187" s="545"/>
      <c r="F21187" s="546"/>
      <c r="G21187" s="234"/>
      <c r="H21187" s="238"/>
      <c r="I21187" s="237"/>
    </row>
    <row r="21188" spans="1:9" s="232" customFormat="1" ht="17" customHeight="1">
      <c r="A21188" s="234"/>
      <c r="B21188" s="233"/>
      <c r="C21188" s="238"/>
      <c r="E21188" s="545"/>
      <c r="F21188" s="546"/>
      <c r="G21188" s="234"/>
      <c r="H21188" s="238"/>
      <c r="I21188" s="237"/>
    </row>
    <row r="21189" spans="1:9" s="232" customFormat="1" ht="17" customHeight="1">
      <c r="A21189" s="234"/>
      <c r="B21189" s="233"/>
      <c r="C21189" s="238"/>
      <c r="E21189" s="545"/>
      <c r="F21189" s="546"/>
      <c r="G21189" s="234"/>
      <c r="H21189" s="238"/>
      <c r="I21189" s="237"/>
    </row>
    <row r="21190" spans="1:9" s="232" customFormat="1" ht="17" customHeight="1">
      <c r="A21190" s="234"/>
      <c r="B21190" s="233"/>
      <c r="C21190" s="238"/>
      <c r="E21190" s="545"/>
      <c r="F21190" s="546"/>
      <c r="G21190" s="234"/>
      <c r="H21190" s="238"/>
      <c r="I21190" s="237"/>
    </row>
    <row r="21191" spans="1:9" s="232" customFormat="1" ht="17" customHeight="1">
      <c r="A21191" s="234"/>
      <c r="B21191" s="233"/>
      <c r="C21191" s="238"/>
      <c r="E21191" s="545"/>
      <c r="F21191" s="546"/>
      <c r="G21191" s="234"/>
      <c r="H21191" s="238"/>
      <c r="I21191" s="237"/>
    </row>
    <row r="21192" spans="1:9" s="232" customFormat="1" ht="17" customHeight="1">
      <c r="A21192" s="234"/>
      <c r="B21192" s="233"/>
      <c r="C21192" s="238"/>
      <c r="E21192" s="545"/>
      <c r="F21192" s="546"/>
      <c r="G21192" s="234"/>
      <c r="H21192" s="238"/>
      <c r="I21192" s="237"/>
    </row>
    <row r="21193" spans="1:9" s="232" customFormat="1" ht="17" customHeight="1">
      <c r="A21193" s="234"/>
      <c r="B21193" s="233"/>
      <c r="C21193" s="238"/>
      <c r="E21193" s="545"/>
      <c r="F21193" s="546"/>
      <c r="G21193" s="234"/>
      <c r="H21193" s="238"/>
      <c r="I21193" s="237"/>
    </row>
    <row r="21194" spans="1:9" s="232" customFormat="1" ht="17" customHeight="1">
      <c r="A21194" s="234"/>
      <c r="B21194" s="233"/>
      <c r="C21194" s="238"/>
      <c r="E21194" s="545"/>
      <c r="F21194" s="546"/>
      <c r="G21194" s="234"/>
      <c r="H21194" s="238"/>
      <c r="I21194" s="237"/>
    </row>
    <row r="21195" spans="1:9" s="232" customFormat="1" ht="17" customHeight="1">
      <c r="A21195" s="234"/>
      <c r="B21195" s="233"/>
      <c r="C21195" s="238"/>
      <c r="E21195" s="545"/>
      <c r="F21195" s="546"/>
      <c r="G21195" s="234"/>
      <c r="H21195" s="238"/>
      <c r="I21195" s="237"/>
    </row>
    <row r="21196" spans="1:9" s="232" customFormat="1" ht="17" customHeight="1">
      <c r="A21196" s="234"/>
      <c r="B21196" s="233"/>
      <c r="C21196" s="238"/>
      <c r="E21196" s="545"/>
      <c r="F21196" s="546"/>
      <c r="G21196" s="234"/>
      <c r="H21196" s="238"/>
      <c r="I21196" s="237"/>
    </row>
    <row r="21197" spans="1:9" s="232" customFormat="1" ht="17" customHeight="1">
      <c r="A21197" s="234"/>
      <c r="B21197" s="233"/>
      <c r="C21197" s="238"/>
      <c r="E21197" s="545"/>
      <c r="F21197" s="546"/>
      <c r="G21197" s="234"/>
      <c r="H21197" s="238"/>
      <c r="I21197" s="237"/>
    </row>
    <row r="21198" spans="1:9" s="232" customFormat="1" ht="17" customHeight="1">
      <c r="A21198" s="234"/>
      <c r="B21198" s="233"/>
      <c r="C21198" s="238"/>
      <c r="E21198" s="545"/>
      <c r="F21198" s="546"/>
      <c r="G21198" s="234"/>
      <c r="H21198" s="238"/>
      <c r="I21198" s="237"/>
    </row>
    <row r="21199" spans="1:9" s="232" customFormat="1" ht="17" customHeight="1">
      <c r="A21199" s="234"/>
      <c r="B21199" s="233"/>
      <c r="C21199" s="238"/>
      <c r="E21199" s="545"/>
      <c r="F21199" s="546"/>
      <c r="G21199" s="234"/>
      <c r="H21199" s="238"/>
      <c r="I21199" s="237"/>
    </row>
    <row r="21200" spans="1:9" s="232" customFormat="1" ht="17" customHeight="1">
      <c r="A21200" s="234"/>
      <c r="B21200" s="233"/>
      <c r="C21200" s="238"/>
      <c r="E21200" s="545"/>
      <c r="F21200" s="546"/>
      <c r="G21200" s="234"/>
      <c r="H21200" s="238"/>
      <c r="I21200" s="237"/>
    </row>
    <row r="21201" spans="1:9" s="232" customFormat="1" ht="17" customHeight="1">
      <c r="A21201" s="234"/>
      <c r="B21201" s="233"/>
      <c r="C21201" s="238"/>
      <c r="E21201" s="545"/>
      <c r="F21201" s="546"/>
      <c r="G21201" s="234"/>
      <c r="H21201" s="238"/>
      <c r="I21201" s="237"/>
    </row>
    <row r="21202" spans="1:9" s="232" customFormat="1" ht="17" customHeight="1">
      <c r="A21202" s="234"/>
      <c r="B21202" s="233"/>
      <c r="C21202" s="238"/>
      <c r="E21202" s="545"/>
      <c r="F21202" s="546"/>
      <c r="G21202" s="234"/>
      <c r="H21202" s="238"/>
      <c r="I21202" s="237"/>
    </row>
    <row r="21203" spans="1:9" s="232" customFormat="1" ht="17" customHeight="1">
      <c r="A21203" s="234"/>
      <c r="B21203" s="233"/>
      <c r="C21203" s="238"/>
      <c r="E21203" s="545"/>
      <c r="F21203" s="546"/>
      <c r="G21203" s="234"/>
      <c r="H21203" s="238"/>
      <c r="I21203" s="237"/>
    </row>
    <row r="21204" spans="1:9" s="232" customFormat="1" ht="17" customHeight="1">
      <c r="A21204" s="234"/>
      <c r="B21204" s="233"/>
      <c r="C21204" s="238"/>
      <c r="E21204" s="545"/>
      <c r="F21204" s="546"/>
      <c r="G21204" s="234"/>
      <c r="H21204" s="238"/>
      <c r="I21204" s="237"/>
    </row>
    <row r="21205" spans="1:9" s="232" customFormat="1" ht="17" customHeight="1">
      <c r="A21205" s="234"/>
      <c r="B21205" s="233"/>
      <c r="C21205" s="238"/>
      <c r="E21205" s="545"/>
      <c r="F21205" s="546"/>
      <c r="G21205" s="234"/>
      <c r="H21205" s="238"/>
      <c r="I21205" s="237"/>
    </row>
    <row r="21206" spans="1:9" s="232" customFormat="1" ht="17" customHeight="1">
      <c r="A21206" s="234"/>
      <c r="B21206" s="233"/>
      <c r="C21206" s="238"/>
      <c r="E21206" s="545"/>
      <c r="F21206" s="546"/>
      <c r="G21206" s="234"/>
      <c r="H21206" s="238"/>
      <c r="I21206" s="237"/>
    </row>
    <row r="21207" spans="1:9" s="232" customFormat="1" ht="17" customHeight="1">
      <c r="A21207" s="234"/>
      <c r="B21207" s="233"/>
      <c r="C21207" s="238"/>
      <c r="E21207" s="545"/>
      <c r="F21207" s="546"/>
      <c r="G21207" s="234"/>
      <c r="H21207" s="238"/>
      <c r="I21207" s="237"/>
    </row>
    <row r="21208" spans="1:9" s="232" customFormat="1" ht="17" customHeight="1">
      <c r="A21208" s="234"/>
      <c r="B21208" s="233"/>
      <c r="C21208" s="238"/>
      <c r="E21208" s="545"/>
      <c r="F21208" s="546"/>
      <c r="G21208" s="234"/>
      <c r="H21208" s="238"/>
      <c r="I21208" s="237"/>
    </row>
    <row r="21209" spans="1:9" s="232" customFormat="1" ht="17" customHeight="1">
      <c r="A21209" s="234"/>
      <c r="B21209" s="233"/>
      <c r="C21209" s="238"/>
      <c r="E21209" s="545"/>
      <c r="F21209" s="546"/>
      <c r="G21209" s="234"/>
      <c r="H21209" s="238"/>
      <c r="I21209" s="237"/>
    </row>
    <row r="21210" spans="1:9" s="232" customFormat="1" ht="17" customHeight="1">
      <c r="A21210" s="234"/>
      <c r="B21210" s="233"/>
      <c r="C21210" s="238"/>
      <c r="E21210" s="545"/>
      <c r="F21210" s="546"/>
      <c r="G21210" s="234"/>
      <c r="H21210" s="238"/>
      <c r="I21210" s="237"/>
    </row>
    <row r="21211" spans="1:9" s="232" customFormat="1" ht="17" customHeight="1">
      <c r="A21211" s="234"/>
      <c r="B21211" s="233"/>
      <c r="C21211" s="238"/>
      <c r="E21211" s="545"/>
      <c r="F21211" s="546"/>
      <c r="G21211" s="234"/>
      <c r="H21211" s="238"/>
      <c r="I21211" s="237"/>
    </row>
    <row r="21212" spans="1:9" s="232" customFormat="1" ht="17" customHeight="1">
      <c r="A21212" s="234"/>
      <c r="B21212" s="233"/>
      <c r="C21212" s="238"/>
      <c r="E21212" s="545"/>
      <c r="F21212" s="546"/>
      <c r="G21212" s="234"/>
      <c r="H21212" s="238"/>
      <c r="I21212" s="237"/>
    </row>
    <row r="21213" spans="1:9" s="232" customFormat="1" ht="17" customHeight="1">
      <c r="A21213" s="234"/>
      <c r="B21213" s="233"/>
      <c r="C21213" s="238"/>
      <c r="E21213" s="545"/>
      <c r="F21213" s="546"/>
      <c r="G21213" s="234"/>
      <c r="H21213" s="238"/>
      <c r="I21213" s="237"/>
    </row>
    <row r="21214" spans="1:9" s="232" customFormat="1" ht="17" customHeight="1">
      <c r="A21214" s="234"/>
      <c r="B21214" s="233"/>
      <c r="C21214" s="238"/>
      <c r="E21214" s="545"/>
      <c r="F21214" s="546"/>
      <c r="G21214" s="234"/>
      <c r="H21214" s="238"/>
      <c r="I21214" s="237"/>
    </row>
    <row r="21215" spans="1:9" s="232" customFormat="1" ht="17" customHeight="1">
      <c r="A21215" s="234"/>
      <c r="B21215" s="233"/>
      <c r="C21215" s="238"/>
      <c r="E21215" s="545"/>
      <c r="F21215" s="546"/>
      <c r="G21215" s="234"/>
      <c r="H21215" s="238"/>
      <c r="I21215" s="237"/>
    </row>
    <row r="21216" spans="1:9" s="232" customFormat="1" ht="17" customHeight="1">
      <c r="A21216" s="234"/>
      <c r="B21216" s="233"/>
      <c r="C21216" s="238"/>
      <c r="E21216" s="545"/>
      <c r="F21216" s="546"/>
      <c r="G21216" s="234"/>
      <c r="H21216" s="238"/>
      <c r="I21216" s="237"/>
    </row>
    <row r="21217" spans="1:9" s="232" customFormat="1" ht="17" customHeight="1">
      <c r="A21217" s="234"/>
      <c r="B21217" s="233"/>
      <c r="C21217" s="238"/>
      <c r="E21217" s="545"/>
      <c r="F21217" s="546"/>
      <c r="G21217" s="234"/>
      <c r="H21217" s="238"/>
      <c r="I21217" s="237"/>
    </row>
    <row r="21218" spans="1:9" s="232" customFormat="1" ht="17" customHeight="1">
      <c r="A21218" s="234"/>
      <c r="B21218" s="233"/>
      <c r="C21218" s="238"/>
      <c r="E21218" s="545"/>
      <c r="F21218" s="546"/>
      <c r="G21218" s="234"/>
      <c r="H21218" s="238"/>
      <c r="I21218" s="237"/>
    </row>
    <row r="21219" spans="1:9" s="232" customFormat="1" ht="17" customHeight="1">
      <c r="A21219" s="234"/>
      <c r="B21219" s="233"/>
      <c r="C21219" s="238"/>
      <c r="E21219" s="545"/>
      <c r="F21219" s="546"/>
      <c r="G21219" s="234"/>
      <c r="H21219" s="238"/>
      <c r="I21219" s="237"/>
    </row>
    <row r="21220" spans="1:9" s="232" customFormat="1" ht="17" customHeight="1">
      <c r="A21220" s="234"/>
      <c r="B21220" s="233"/>
      <c r="C21220" s="238"/>
      <c r="E21220" s="545"/>
      <c r="F21220" s="546"/>
      <c r="G21220" s="234"/>
      <c r="H21220" s="238"/>
      <c r="I21220" s="237"/>
    </row>
    <row r="21221" spans="1:9" s="232" customFormat="1" ht="17" customHeight="1">
      <c r="A21221" s="234"/>
      <c r="B21221" s="233"/>
      <c r="C21221" s="238"/>
      <c r="E21221" s="545"/>
      <c r="F21221" s="546"/>
      <c r="G21221" s="234"/>
      <c r="H21221" s="238"/>
      <c r="I21221" s="237"/>
    </row>
    <row r="21222" spans="1:9" s="232" customFormat="1" ht="17" customHeight="1">
      <c r="A21222" s="234"/>
      <c r="B21222" s="233"/>
      <c r="C21222" s="238"/>
      <c r="E21222" s="545"/>
      <c r="F21222" s="546"/>
      <c r="G21222" s="234"/>
      <c r="H21222" s="238"/>
      <c r="I21222" s="237"/>
    </row>
    <row r="21223" spans="1:9" s="232" customFormat="1" ht="17" customHeight="1">
      <c r="A21223" s="234"/>
      <c r="B21223" s="233"/>
      <c r="C21223" s="238"/>
      <c r="E21223" s="545"/>
      <c r="F21223" s="546"/>
      <c r="G21223" s="234"/>
      <c r="H21223" s="238"/>
      <c r="I21223" s="237"/>
    </row>
    <row r="21224" spans="1:9" s="232" customFormat="1" ht="17" customHeight="1">
      <c r="A21224" s="234"/>
      <c r="B21224" s="233"/>
      <c r="C21224" s="238"/>
      <c r="E21224" s="545"/>
      <c r="F21224" s="546"/>
      <c r="G21224" s="234"/>
      <c r="H21224" s="238"/>
      <c r="I21224" s="237"/>
    </row>
    <row r="21225" spans="1:9" s="232" customFormat="1" ht="17" customHeight="1">
      <c r="A21225" s="234"/>
      <c r="B21225" s="233"/>
      <c r="C21225" s="238"/>
      <c r="E21225" s="545"/>
      <c r="F21225" s="546"/>
      <c r="G21225" s="234"/>
      <c r="H21225" s="238"/>
      <c r="I21225" s="237"/>
    </row>
    <row r="21226" spans="1:9" s="232" customFormat="1" ht="17" customHeight="1">
      <c r="A21226" s="234"/>
      <c r="B21226" s="233"/>
      <c r="C21226" s="238"/>
      <c r="E21226" s="545"/>
      <c r="F21226" s="546"/>
      <c r="G21226" s="234"/>
      <c r="H21226" s="238"/>
      <c r="I21226" s="237"/>
    </row>
    <row r="21227" spans="1:9" s="232" customFormat="1" ht="17" customHeight="1">
      <c r="A21227" s="234"/>
      <c r="B21227" s="233"/>
      <c r="C21227" s="238"/>
      <c r="E21227" s="545"/>
      <c r="F21227" s="546"/>
      <c r="G21227" s="234"/>
      <c r="H21227" s="238"/>
      <c r="I21227" s="237"/>
    </row>
    <row r="21228" spans="1:9" s="232" customFormat="1" ht="17" customHeight="1">
      <c r="A21228" s="234"/>
      <c r="B21228" s="233"/>
      <c r="C21228" s="238"/>
      <c r="E21228" s="545"/>
      <c r="F21228" s="546"/>
      <c r="G21228" s="234"/>
      <c r="H21228" s="238"/>
      <c r="I21228" s="237"/>
    </row>
    <row r="21229" spans="1:9" s="232" customFormat="1" ht="17" customHeight="1">
      <c r="A21229" s="234"/>
      <c r="B21229" s="233"/>
      <c r="C21229" s="238"/>
      <c r="E21229" s="545"/>
      <c r="F21229" s="546"/>
      <c r="G21229" s="234"/>
      <c r="H21229" s="238"/>
      <c r="I21229" s="237"/>
    </row>
    <row r="21230" spans="1:9" s="232" customFormat="1" ht="17" customHeight="1">
      <c r="A21230" s="234"/>
      <c r="B21230" s="233"/>
      <c r="C21230" s="238"/>
      <c r="E21230" s="545"/>
      <c r="F21230" s="546"/>
      <c r="G21230" s="234"/>
      <c r="H21230" s="238"/>
      <c r="I21230" s="237"/>
    </row>
    <row r="21231" spans="1:9" s="232" customFormat="1" ht="17" customHeight="1">
      <c r="A21231" s="234"/>
      <c r="B21231" s="233"/>
      <c r="C21231" s="238"/>
      <c r="E21231" s="545"/>
      <c r="F21231" s="546"/>
      <c r="G21231" s="234"/>
      <c r="H21231" s="238"/>
      <c r="I21231" s="237"/>
    </row>
    <row r="21232" spans="1:9" s="232" customFormat="1" ht="17" customHeight="1">
      <c r="A21232" s="234"/>
      <c r="B21232" s="233"/>
      <c r="C21232" s="238"/>
      <c r="E21232" s="545"/>
      <c r="F21232" s="546"/>
      <c r="G21232" s="234"/>
      <c r="H21232" s="238"/>
      <c r="I21232" s="237"/>
    </row>
    <row r="21233" spans="1:9" s="232" customFormat="1" ht="17" customHeight="1">
      <c r="A21233" s="234"/>
      <c r="B21233" s="233"/>
      <c r="C21233" s="238"/>
      <c r="E21233" s="545"/>
      <c r="F21233" s="546"/>
      <c r="G21233" s="234"/>
      <c r="H21233" s="238"/>
      <c r="I21233" s="237"/>
    </row>
    <row r="21234" spans="1:9" s="232" customFormat="1" ht="17" customHeight="1">
      <c r="A21234" s="234"/>
      <c r="B21234" s="233"/>
      <c r="C21234" s="238"/>
      <c r="E21234" s="545"/>
      <c r="F21234" s="546"/>
      <c r="G21234" s="234"/>
      <c r="H21234" s="238"/>
      <c r="I21234" s="237"/>
    </row>
    <row r="21235" spans="1:9" s="232" customFormat="1" ht="17" customHeight="1">
      <c r="A21235" s="234"/>
      <c r="B21235" s="233"/>
      <c r="C21235" s="238"/>
      <c r="E21235" s="545"/>
      <c r="F21235" s="546"/>
      <c r="G21235" s="234"/>
      <c r="H21235" s="238"/>
      <c r="I21235" s="237"/>
    </row>
    <row r="21236" spans="1:9" s="232" customFormat="1" ht="17" customHeight="1">
      <c r="A21236" s="234"/>
      <c r="B21236" s="233"/>
      <c r="C21236" s="238"/>
      <c r="E21236" s="545"/>
      <c r="F21236" s="546"/>
      <c r="G21236" s="234"/>
      <c r="H21236" s="238"/>
      <c r="I21236" s="237"/>
    </row>
    <row r="21237" spans="1:9" s="232" customFormat="1" ht="17" customHeight="1">
      <c r="A21237" s="234"/>
      <c r="B21237" s="233"/>
      <c r="C21237" s="238"/>
      <c r="E21237" s="545"/>
      <c r="F21237" s="546"/>
      <c r="G21237" s="234"/>
      <c r="H21237" s="238"/>
      <c r="I21237" s="237"/>
    </row>
    <row r="21238" spans="1:9" s="232" customFormat="1" ht="17" customHeight="1">
      <c r="A21238" s="234"/>
      <c r="B21238" s="233"/>
      <c r="C21238" s="238"/>
      <c r="E21238" s="545"/>
      <c r="F21238" s="546"/>
      <c r="G21238" s="234"/>
      <c r="H21238" s="238"/>
      <c r="I21238" s="237"/>
    </row>
    <row r="21239" spans="1:9" s="232" customFormat="1" ht="17" customHeight="1">
      <c r="A21239" s="234"/>
      <c r="B21239" s="233"/>
      <c r="C21239" s="238"/>
      <c r="E21239" s="545"/>
      <c r="F21239" s="546"/>
      <c r="G21239" s="234"/>
      <c r="H21239" s="238"/>
      <c r="I21239" s="237"/>
    </row>
    <row r="21240" spans="1:9" s="232" customFormat="1" ht="17" customHeight="1">
      <c r="A21240" s="234"/>
      <c r="B21240" s="233"/>
      <c r="C21240" s="238"/>
      <c r="E21240" s="545"/>
      <c r="F21240" s="546"/>
      <c r="G21240" s="234"/>
      <c r="H21240" s="238"/>
      <c r="I21240" s="237"/>
    </row>
    <row r="21241" spans="1:9" s="232" customFormat="1" ht="17" customHeight="1">
      <c r="A21241" s="234"/>
      <c r="B21241" s="233"/>
      <c r="C21241" s="238"/>
      <c r="E21241" s="545"/>
      <c r="F21241" s="546"/>
      <c r="G21241" s="234"/>
      <c r="H21241" s="238"/>
      <c r="I21241" s="237"/>
    </row>
    <row r="21242" spans="1:9" s="232" customFormat="1" ht="17" customHeight="1">
      <c r="A21242" s="234"/>
      <c r="B21242" s="233"/>
      <c r="C21242" s="238"/>
      <c r="E21242" s="545"/>
      <c r="F21242" s="546"/>
      <c r="G21242" s="234"/>
      <c r="H21242" s="238"/>
      <c r="I21242" s="237"/>
    </row>
    <row r="21243" spans="1:9" s="232" customFormat="1" ht="17" customHeight="1">
      <c r="A21243" s="234"/>
      <c r="B21243" s="233"/>
      <c r="C21243" s="238"/>
      <c r="E21243" s="545"/>
      <c r="F21243" s="546"/>
      <c r="G21243" s="234"/>
      <c r="H21243" s="238"/>
      <c r="I21243" s="237"/>
    </row>
    <row r="21244" spans="1:9" s="232" customFormat="1" ht="17" customHeight="1">
      <c r="A21244" s="234"/>
      <c r="B21244" s="233"/>
      <c r="C21244" s="238"/>
      <c r="E21244" s="545"/>
      <c r="F21244" s="546"/>
      <c r="G21244" s="234"/>
      <c r="H21244" s="238"/>
      <c r="I21244" s="237"/>
    </row>
    <row r="21245" spans="1:9" s="232" customFormat="1" ht="17" customHeight="1">
      <c r="A21245" s="234"/>
      <c r="B21245" s="233"/>
      <c r="C21245" s="238"/>
      <c r="E21245" s="545"/>
      <c r="F21245" s="546"/>
      <c r="G21245" s="234"/>
      <c r="H21245" s="238"/>
      <c r="I21245" s="237"/>
    </row>
    <row r="21246" spans="1:9" s="232" customFormat="1" ht="17" customHeight="1">
      <c r="A21246" s="234"/>
      <c r="B21246" s="233"/>
      <c r="C21246" s="238"/>
      <c r="E21246" s="545"/>
      <c r="F21246" s="546"/>
      <c r="G21246" s="234"/>
      <c r="H21246" s="238"/>
      <c r="I21246" s="237"/>
    </row>
    <row r="21247" spans="1:9" s="232" customFormat="1" ht="17" customHeight="1">
      <c r="A21247" s="234"/>
      <c r="B21247" s="233"/>
      <c r="C21247" s="238"/>
      <c r="E21247" s="545"/>
      <c r="F21247" s="546"/>
      <c r="G21247" s="234"/>
      <c r="H21247" s="238"/>
      <c r="I21247" s="237"/>
    </row>
    <row r="21248" spans="1:9" s="232" customFormat="1" ht="17" customHeight="1">
      <c r="A21248" s="234"/>
      <c r="B21248" s="233"/>
      <c r="C21248" s="238"/>
      <c r="E21248" s="545"/>
      <c r="F21248" s="546"/>
      <c r="G21248" s="234"/>
      <c r="H21248" s="238"/>
      <c r="I21248" s="237"/>
    </row>
    <row r="21249" spans="1:9" s="232" customFormat="1" ht="17" customHeight="1">
      <c r="A21249" s="234"/>
      <c r="B21249" s="233"/>
      <c r="C21249" s="238"/>
      <c r="E21249" s="545"/>
      <c r="F21249" s="546"/>
      <c r="G21249" s="234"/>
      <c r="H21249" s="238"/>
      <c r="I21249" s="237"/>
    </row>
    <row r="21250" spans="1:9" s="232" customFormat="1" ht="17" customHeight="1">
      <c r="A21250" s="234"/>
      <c r="B21250" s="233"/>
      <c r="C21250" s="238"/>
      <c r="E21250" s="545"/>
      <c r="F21250" s="546"/>
      <c r="G21250" s="234"/>
      <c r="H21250" s="238"/>
      <c r="I21250" s="237"/>
    </row>
    <row r="21251" spans="1:9" s="232" customFormat="1" ht="17" customHeight="1">
      <c r="A21251" s="234"/>
      <c r="B21251" s="233"/>
      <c r="C21251" s="238"/>
      <c r="E21251" s="545"/>
      <c r="F21251" s="546"/>
      <c r="G21251" s="234"/>
      <c r="H21251" s="238"/>
      <c r="I21251" s="237"/>
    </row>
    <row r="21252" spans="1:9" s="232" customFormat="1" ht="17" customHeight="1">
      <c r="A21252" s="234"/>
      <c r="B21252" s="233"/>
      <c r="C21252" s="238"/>
      <c r="E21252" s="545"/>
      <c r="F21252" s="546"/>
      <c r="G21252" s="234"/>
      <c r="H21252" s="238"/>
      <c r="I21252" s="237"/>
    </row>
    <row r="21253" spans="1:9" s="232" customFormat="1" ht="17" customHeight="1">
      <c r="A21253" s="234"/>
      <c r="B21253" s="233"/>
      <c r="C21253" s="238"/>
      <c r="E21253" s="545"/>
      <c r="F21253" s="546"/>
      <c r="G21253" s="234"/>
      <c r="H21253" s="238"/>
      <c r="I21253" s="237"/>
    </row>
    <row r="21254" spans="1:9" s="232" customFormat="1" ht="17" customHeight="1">
      <c r="A21254" s="234"/>
      <c r="B21254" s="233"/>
      <c r="C21254" s="238"/>
      <c r="E21254" s="545"/>
      <c r="F21254" s="546"/>
      <c r="G21254" s="234"/>
      <c r="H21254" s="238"/>
      <c r="I21254" s="237"/>
    </row>
    <row r="21255" spans="1:9" s="232" customFormat="1" ht="17" customHeight="1">
      <c r="A21255" s="234"/>
      <c r="B21255" s="233"/>
      <c r="C21255" s="238"/>
      <c r="E21255" s="545"/>
      <c r="F21255" s="546"/>
      <c r="G21255" s="234"/>
      <c r="H21255" s="238"/>
      <c r="I21255" s="237"/>
    </row>
    <row r="21256" spans="1:9" s="232" customFormat="1" ht="17" customHeight="1">
      <c r="A21256" s="234"/>
      <c r="B21256" s="233"/>
      <c r="C21256" s="238"/>
      <c r="E21256" s="545"/>
      <c r="F21256" s="546"/>
      <c r="G21256" s="234"/>
      <c r="H21256" s="238"/>
      <c r="I21256" s="237"/>
    </row>
    <row r="21257" spans="1:9" s="232" customFormat="1" ht="17" customHeight="1">
      <c r="A21257" s="234"/>
      <c r="B21257" s="233"/>
      <c r="C21257" s="238"/>
      <c r="E21257" s="545"/>
      <c r="F21257" s="546"/>
      <c r="G21257" s="234"/>
      <c r="H21257" s="238"/>
      <c r="I21257" s="237"/>
    </row>
    <row r="21258" spans="1:9" s="232" customFormat="1" ht="17" customHeight="1">
      <c r="A21258" s="234"/>
      <c r="B21258" s="233"/>
      <c r="C21258" s="238"/>
      <c r="E21258" s="545"/>
      <c r="F21258" s="546"/>
      <c r="G21258" s="234"/>
      <c r="H21258" s="238"/>
      <c r="I21258" s="237"/>
    </row>
    <row r="21259" spans="1:9" s="232" customFormat="1" ht="17" customHeight="1">
      <c r="A21259" s="234"/>
      <c r="B21259" s="233"/>
      <c r="C21259" s="238"/>
      <c r="E21259" s="545"/>
      <c r="F21259" s="546"/>
      <c r="G21259" s="234"/>
      <c r="H21259" s="238"/>
      <c r="I21259" s="237"/>
    </row>
    <row r="21260" spans="1:9" s="232" customFormat="1" ht="17" customHeight="1">
      <c r="A21260" s="234"/>
      <c r="B21260" s="233"/>
      <c r="C21260" s="238"/>
      <c r="E21260" s="545"/>
      <c r="F21260" s="546"/>
      <c r="G21260" s="234"/>
      <c r="H21260" s="238"/>
      <c r="I21260" s="237"/>
    </row>
    <row r="21261" spans="1:9" s="232" customFormat="1" ht="17" customHeight="1">
      <c r="A21261" s="234"/>
      <c r="B21261" s="233"/>
      <c r="C21261" s="238"/>
      <c r="E21261" s="545"/>
      <c r="F21261" s="546"/>
      <c r="G21261" s="234"/>
      <c r="H21261" s="238"/>
      <c r="I21261" s="237"/>
    </row>
    <row r="21262" spans="1:9" s="232" customFormat="1" ht="17" customHeight="1">
      <c r="A21262" s="234"/>
      <c r="B21262" s="233"/>
      <c r="C21262" s="238"/>
      <c r="E21262" s="545"/>
      <c r="F21262" s="546"/>
      <c r="G21262" s="234"/>
      <c r="H21262" s="238"/>
      <c r="I21262" s="237"/>
    </row>
    <row r="21263" spans="1:9" s="232" customFormat="1" ht="17" customHeight="1">
      <c r="A21263" s="234"/>
      <c r="B21263" s="233"/>
      <c r="C21263" s="238"/>
      <c r="E21263" s="545"/>
      <c r="F21263" s="546"/>
      <c r="G21263" s="234"/>
      <c r="H21263" s="238"/>
      <c r="I21263" s="237"/>
    </row>
    <row r="21264" spans="1:9" s="232" customFormat="1" ht="17" customHeight="1">
      <c r="A21264" s="234"/>
      <c r="B21264" s="233"/>
      <c r="C21264" s="238"/>
      <c r="E21264" s="545"/>
      <c r="F21264" s="546"/>
      <c r="G21264" s="234"/>
      <c r="H21264" s="238"/>
      <c r="I21264" s="237"/>
    </row>
    <row r="21265" spans="1:9" s="232" customFormat="1" ht="17" customHeight="1">
      <c r="A21265" s="234"/>
      <c r="B21265" s="233"/>
      <c r="C21265" s="238"/>
      <c r="E21265" s="545"/>
      <c r="F21265" s="546"/>
      <c r="G21265" s="234"/>
      <c r="H21265" s="238"/>
      <c r="I21265" s="237"/>
    </row>
    <row r="21266" spans="1:9" s="232" customFormat="1" ht="17" customHeight="1">
      <c r="A21266" s="234"/>
      <c r="B21266" s="233"/>
      <c r="C21266" s="238"/>
      <c r="E21266" s="545"/>
      <c r="F21266" s="546"/>
      <c r="G21266" s="234"/>
      <c r="H21266" s="238"/>
      <c r="I21266" s="237"/>
    </row>
    <row r="21267" spans="1:9" s="232" customFormat="1" ht="17" customHeight="1">
      <c r="A21267" s="234"/>
      <c r="B21267" s="233"/>
      <c r="C21267" s="238"/>
      <c r="E21267" s="545"/>
      <c r="F21267" s="546"/>
      <c r="G21267" s="234"/>
      <c r="H21267" s="238"/>
      <c r="I21267" s="237"/>
    </row>
    <row r="21268" spans="1:9" s="232" customFormat="1" ht="17" customHeight="1">
      <c r="A21268" s="234"/>
      <c r="B21268" s="233"/>
      <c r="C21268" s="238"/>
      <c r="E21268" s="545"/>
      <c r="F21268" s="546"/>
      <c r="G21268" s="234"/>
      <c r="H21268" s="238"/>
      <c r="I21268" s="237"/>
    </row>
    <row r="21269" spans="1:9" s="232" customFormat="1" ht="17" customHeight="1">
      <c r="A21269" s="234"/>
      <c r="B21269" s="233"/>
      <c r="C21269" s="238"/>
      <c r="E21269" s="545"/>
      <c r="F21269" s="546"/>
      <c r="G21269" s="234"/>
      <c r="H21269" s="238"/>
      <c r="I21269" s="237"/>
    </row>
    <row r="21270" spans="1:9" s="232" customFormat="1" ht="17" customHeight="1">
      <c r="A21270" s="234"/>
      <c r="B21270" s="233"/>
      <c r="C21270" s="238"/>
      <c r="E21270" s="545"/>
      <c r="F21270" s="546"/>
      <c r="G21270" s="234"/>
      <c r="H21270" s="238"/>
      <c r="I21270" s="237"/>
    </row>
    <row r="21271" spans="1:9" s="232" customFormat="1" ht="17" customHeight="1">
      <c r="A21271" s="234"/>
      <c r="B21271" s="233"/>
      <c r="C21271" s="238"/>
      <c r="E21271" s="545"/>
      <c r="F21271" s="546"/>
      <c r="G21271" s="234"/>
      <c r="H21271" s="238"/>
      <c r="I21271" s="237"/>
    </row>
    <row r="21272" spans="1:9" s="232" customFormat="1" ht="17" customHeight="1">
      <c r="A21272" s="234"/>
      <c r="B21272" s="233"/>
      <c r="C21272" s="238"/>
      <c r="E21272" s="545"/>
      <c r="F21272" s="546"/>
      <c r="G21272" s="234"/>
      <c r="H21272" s="238"/>
      <c r="I21272" s="237"/>
    </row>
    <row r="21273" spans="1:9" s="232" customFormat="1" ht="17" customHeight="1">
      <c r="A21273" s="234"/>
      <c r="B21273" s="233"/>
      <c r="C21273" s="238"/>
      <c r="E21273" s="545"/>
      <c r="F21273" s="546"/>
      <c r="G21273" s="234"/>
      <c r="H21273" s="238"/>
      <c r="I21273" s="237"/>
    </row>
    <row r="21274" spans="1:9" s="232" customFormat="1" ht="17" customHeight="1">
      <c r="A21274" s="234"/>
      <c r="B21274" s="233"/>
      <c r="C21274" s="238"/>
      <c r="E21274" s="545"/>
      <c r="F21274" s="546"/>
      <c r="G21274" s="234"/>
      <c r="H21274" s="238"/>
      <c r="I21274" s="237"/>
    </row>
    <row r="21275" spans="1:9" s="232" customFormat="1" ht="17" customHeight="1">
      <c r="A21275" s="234"/>
      <c r="B21275" s="233"/>
      <c r="C21275" s="238"/>
      <c r="E21275" s="545"/>
      <c r="F21275" s="546"/>
      <c r="G21275" s="234"/>
      <c r="H21275" s="238"/>
      <c r="I21275" s="237"/>
    </row>
    <row r="21276" spans="1:9" s="232" customFormat="1" ht="17" customHeight="1">
      <c r="A21276" s="234"/>
      <c r="B21276" s="233"/>
      <c r="C21276" s="238"/>
      <c r="E21276" s="545"/>
      <c r="F21276" s="546"/>
      <c r="G21276" s="234"/>
      <c r="H21276" s="238"/>
      <c r="I21276" s="237"/>
    </row>
    <row r="21277" spans="1:9" s="232" customFormat="1" ht="17" customHeight="1">
      <c r="A21277" s="234"/>
      <c r="B21277" s="233"/>
      <c r="C21277" s="238"/>
      <c r="E21277" s="545"/>
      <c r="F21277" s="546"/>
      <c r="G21277" s="234"/>
      <c r="H21277" s="238"/>
      <c r="I21277" s="237"/>
    </row>
    <row r="21278" spans="1:9" s="232" customFormat="1" ht="17" customHeight="1">
      <c r="A21278" s="234"/>
      <c r="B21278" s="233"/>
      <c r="C21278" s="238"/>
      <c r="E21278" s="545"/>
      <c r="F21278" s="546"/>
      <c r="G21278" s="234"/>
      <c r="H21278" s="238"/>
      <c r="I21278" s="237"/>
    </row>
    <row r="21279" spans="1:9" s="232" customFormat="1" ht="17" customHeight="1">
      <c r="A21279" s="234"/>
      <c r="B21279" s="233"/>
      <c r="C21279" s="238"/>
      <c r="E21279" s="545"/>
      <c r="F21279" s="546"/>
      <c r="G21279" s="234"/>
      <c r="H21279" s="238"/>
      <c r="I21279" s="237"/>
    </row>
    <row r="21280" spans="1:9" s="232" customFormat="1" ht="17" customHeight="1">
      <c r="A21280" s="234"/>
      <c r="B21280" s="233"/>
      <c r="C21280" s="238"/>
      <c r="E21280" s="545"/>
      <c r="F21280" s="546"/>
      <c r="G21280" s="234"/>
      <c r="H21280" s="238"/>
      <c r="I21280" s="237"/>
    </row>
    <row r="21281" spans="1:9" s="232" customFormat="1" ht="17" customHeight="1">
      <c r="A21281" s="234"/>
      <c r="B21281" s="233"/>
      <c r="C21281" s="238"/>
      <c r="E21281" s="545"/>
      <c r="F21281" s="546"/>
      <c r="G21281" s="234"/>
      <c r="H21281" s="238"/>
      <c r="I21281" s="237"/>
    </row>
    <row r="21282" spans="1:9" s="232" customFormat="1" ht="17" customHeight="1">
      <c r="A21282" s="234"/>
      <c r="B21282" s="233"/>
      <c r="C21282" s="238"/>
      <c r="E21282" s="545"/>
      <c r="F21282" s="546"/>
      <c r="G21282" s="234"/>
      <c r="H21282" s="238"/>
      <c r="I21282" s="237"/>
    </row>
    <row r="21283" spans="1:9" s="232" customFormat="1" ht="17" customHeight="1">
      <c r="A21283" s="234"/>
      <c r="B21283" s="233"/>
      <c r="C21283" s="238"/>
      <c r="E21283" s="545"/>
      <c r="F21283" s="546"/>
      <c r="G21283" s="234"/>
      <c r="H21283" s="238"/>
      <c r="I21283" s="237"/>
    </row>
    <row r="21284" spans="1:9" s="232" customFormat="1" ht="17" customHeight="1">
      <c r="A21284" s="234"/>
      <c r="B21284" s="233"/>
      <c r="C21284" s="238"/>
      <c r="E21284" s="545"/>
      <c r="F21284" s="546"/>
      <c r="G21284" s="234"/>
      <c r="H21284" s="238"/>
      <c r="I21284" s="237"/>
    </row>
    <row r="21285" spans="1:9" s="232" customFormat="1" ht="17" customHeight="1">
      <c r="A21285" s="234"/>
      <c r="B21285" s="233"/>
      <c r="C21285" s="238"/>
      <c r="E21285" s="545"/>
      <c r="F21285" s="546"/>
      <c r="G21285" s="234"/>
      <c r="H21285" s="238"/>
      <c r="I21285" s="237"/>
    </row>
    <row r="21286" spans="1:9" s="232" customFormat="1" ht="17" customHeight="1">
      <c r="A21286" s="234"/>
      <c r="B21286" s="233"/>
      <c r="C21286" s="238"/>
      <c r="E21286" s="545"/>
      <c r="F21286" s="546"/>
      <c r="G21286" s="234"/>
      <c r="H21286" s="238"/>
      <c r="I21286" s="237"/>
    </row>
    <row r="21287" spans="1:9" s="232" customFormat="1" ht="17" customHeight="1">
      <c r="A21287" s="234"/>
      <c r="B21287" s="233"/>
      <c r="C21287" s="238"/>
      <c r="E21287" s="545"/>
      <c r="F21287" s="546"/>
      <c r="G21287" s="234"/>
      <c r="H21287" s="238"/>
      <c r="I21287" s="237"/>
    </row>
    <row r="21288" spans="1:9" s="232" customFormat="1" ht="17" customHeight="1">
      <c r="A21288" s="234"/>
      <c r="B21288" s="233"/>
      <c r="C21288" s="238"/>
      <c r="E21288" s="545"/>
      <c r="F21288" s="546"/>
      <c r="G21288" s="234"/>
      <c r="H21288" s="238"/>
      <c r="I21288" s="237"/>
    </row>
    <row r="21289" spans="1:9" s="232" customFormat="1" ht="17" customHeight="1">
      <c r="A21289" s="234"/>
      <c r="B21289" s="233"/>
      <c r="C21289" s="238"/>
      <c r="E21289" s="545"/>
      <c r="F21289" s="546"/>
      <c r="G21289" s="234"/>
      <c r="H21289" s="238"/>
      <c r="I21289" s="237"/>
    </row>
    <row r="21290" spans="1:9" s="232" customFormat="1" ht="17" customHeight="1">
      <c r="A21290" s="234"/>
      <c r="B21290" s="233"/>
      <c r="C21290" s="238"/>
      <c r="E21290" s="545"/>
      <c r="F21290" s="546"/>
      <c r="G21290" s="234"/>
      <c r="H21290" s="238"/>
      <c r="I21290" s="237"/>
    </row>
    <row r="21291" spans="1:9" s="232" customFormat="1" ht="17" customHeight="1">
      <c r="A21291" s="234"/>
      <c r="B21291" s="233"/>
      <c r="C21291" s="238"/>
      <c r="E21291" s="545"/>
      <c r="F21291" s="546"/>
      <c r="G21291" s="234"/>
      <c r="H21291" s="238"/>
      <c r="I21291" s="237"/>
    </row>
    <row r="21292" spans="1:9" s="232" customFormat="1" ht="17" customHeight="1">
      <c r="A21292" s="234"/>
      <c r="B21292" s="233"/>
      <c r="C21292" s="238"/>
      <c r="E21292" s="545"/>
      <c r="F21292" s="546"/>
      <c r="G21292" s="234"/>
      <c r="H21292" s="238"/>
      <c r="I21292" s="237"/>
    </row>
    <row r="21293" spans="1:9" s="232" customFormat="1" ht="17" customHeight="1">
      <c r="A21293" s="234"/>
      <c r="B21293" s="233"/>
      <c r="C21293" s="238"/>
      <c r="E21293" s="545"/>
      <c r="F21293" s="546"/>
      <c r="G21293" s="234"/>
      <c r="H21293" s="238"/>
      <c r="I21293" s="237"/>
    </row>
    <row r="21294" spans="1:9" s="232" customFormat="1" ht="17" customHeight="1">
      <c r="A21294" s="234"/>
      <c r="B21294" s="233"/>
      <c r="C21294" s="238"/>
      <c r="E21294" s="545"/>
      <c r="F21294" s="546"/>
      <c r="G21294" s="234"/>
      <c r="H21294" s="238"/>
      <c r="I21294" s="237"/>
    </row>
    <row r="21295" spans="1:9" s="232" customFormat="1" ht="17" customHeight="1">
      <c r="A21295" s="234"/>
      <c r="B21295" s="233"/>
      <c r="C21295" s="238"/>
      <c r="E21295" s="545"/>
      <c r="F21295" s="546"/>
      <c r="G21295" s="234"/>
      <c r="H21295" s="238"/>
      <c r="I21295" s="237"/>
    </row>
    <row r="21296" spans="1:9" s="232" customFormat="1" ht="17" customHeight="1">
      <c r="A21296" s="234"/>
      <c r="B21296" s="233"/>
      <c r="C21296" s="238"/>
      <c r="E21296" s="545"/>
      <c r="F21296" s="546"/>
      <c r="G21296" s="234"/>
      <c r="H21296" s="238"/>
      <c r="I21296" s="237"/>
    </row>
    <row r="21297" spans="1:9" s="232" customFormat="1" ht="17" customHeight="1">
      <c r="A21297" s="234"/>
      <c r="B21297" s="233"/>
      <c r="C21297" s="238"/>
      <c r="E21297" s="545"/>
      <c r="F21297" s="546"/>
      <c r="G21297" s="234"/>
      <c r="H21297" s="238"/>
      <c r="I21297" s="237"/>
    </row>
    <row r="21298" spans="1:9" s="232" customFormat="1" ht="17" customHeight="1">
      <c r="A21298" s="234"/>
      <c r="B21298" s="233"/>
      <c r="C21298" s="238"/>
      <c r="E21298" s="545"/>
      <c r="F21298" s="546"/>
      <c r="G21298" s="234"/>
      <c r="H21298" s="238"/>
      <c r="I21298" s="237"/>
    </row>
    <row r="21299" spans="1:9" s="232" customFormat="1" ht="17" customHeight="1">
      <c r="A21299" s="234"/>
      <c r="B21299" s="233"/>
      <c r="C21299" s="238"/>
      <c r="E21299" s="545"/>
      <c r="F21299" s="546"/>
      <c r="G21299" s="234"/>
      <c r="H21299" s="238"/>
      <c r="I21299" s="237"/>
    </row>
    <row r="21300" spans="1:9" s="232" customFormat="1" ht="17" customHeight="1">
      <c r="A21300" s="234"/>
      <c r="B21300" s="233"/>
      <c r="C21300" s="238"/>
      <c r="E21300" s="545"/>
      <c r="F21300" s="546"/>
      <c r="G21300" s="234"/>
      <c r="H21300" s="238"/>
      <c r="I21300" s="237"/>
    </row>
    <row r="21301" spans="1:9" s="232" customFormat="1" ht="17" customHeight="1">
      <c r="A21301" s="234"/>
      <c r="B21301" s="233"/>
      <c r="C21301" s="238"/>
      <c r="E21301" s="545"/>
      <c r="F21301" s="546"/>
      <c r="G21301" s="234"/>
      <c r="H21301" s="238"/>
      <c r="I21301" s="237"/>
    </row>
    <row r="21302" spans="1:9" s="232" customFormat="1" ht="17" customHeight="1">
      <c r="A21302" s="234"/>
      <c r="B21302" s="233"/>
      <c r="C21302" s="238"/>
      <c r="E21302" s="545"/>
      <c r="F21302" s="546"/>
      <c r="G21302" s="234"/>
      <c r="H21302" s="238"/>
      <c r="I21302" s="237"/>
    </row>
    <row r="21303" spans="1:9" s="232" customFormat="1" ht="17" customHeight="1">
      <c r="A21303" s="234"/>
      <c r="B21303" s="233"/>
      <c r="C21303" s="238"/>
      <c r="E21303" s="545"/>
      <c r="F21303" s="546"/>
      <c r="G21303" s="234"/>
      <c r="H21303" s="238"/>
      <c r="I21303" s="237"/>
    </row>
    <row r="21304" spans="1:9" s="232" customFormat="1" ht="17" customHeight="1">
      <c r="A21304" s="234"/>
      <c r="B21304" s="233"/>
      <c r="C21304" s="238"/>
      <c r="E21304" s="545"/>
      <c r="F21304" s="546"/>
      <c r="G21304" s="234"/>
      <c r="H21304" s="238"/>
      <c r="I21304" s="237"/>
    </row>
    <row r="21305" spans="1:9" s="232" customFormat="1" ht="17" customHeight="1">
      <c r="A21305" s="234"/>
      <c r="B21305" s="233"/>
      <c r="C21305" s="238"/>
      <c r="E21305" s="545"/>
      <c r="F21305" s="546"/>
      <c r="G21305" s="234"/>
      <c r="H21305" s="238"/>
      <c r="I21305" s="237"/>
    </row>
    <row r="21306" spans="1:9" s="232" customFormat="1" ht="17" customHeight="1">
      <c r="A21306" s="234"/>
      <c r="B21306" s="233"/>
      <c r="C21306" s="238"/>
      <c r="E21306" s="545"/>
      <c r="F21306" s="546"/>
      <c r="G21306" s="234"/>
      <c r="H21306" s="238"/>
      <c r="I21306" s="237"/>
    </row>
    <row r="21307" spans="1:9" s="232" customFormat="1" ht="17" customHeight="1">
      <c r="A21307" s="234"/>
      <c r="B21307" s="233"/>
      <c r="C21307" s="238"/>
      <c r="E21307" s="545"/>
      <c r="F21307" s="546"/>
      <c r="G21307" s="234"/>
      <c r="H21307" s="238"/>
      <c r="I21307" s="237"/>
    </row>
    <row r="21308" spans="1:9" s="232" customFormat="1" ht="17" customHeight="1">
      <c r="A21308" s="234"/>
      <c r="B21308" s="233"/>
      <c r="C21308" s="238"/>
      <c r="E21308" s="545"/>
      <c r="F21308" s="546"/>
      <c r="G21308" s="234"/>
      <c r="H21308" s="238"/>
      <c r="I21308" s="237"/>
    </row>
    <row r="21309" spans="1:9" s="232" customFormat="1" ht="17" customHeight="1">
      <c r="A21309" s="234"/>
      <c r="B21309" s="233"/>
      <c r="C21309" s="238"/>
      <c r="E21309" s="545"/>
      <c r="F21309" s="546"/>
      <c r="G21309" s="234"/>
      <c r="H21309" s="238"/>
      <c r="I21309" s="237"/>
    </row>
    <row r="21310" spans="1:9" s="232" customFormat="1" ht="17" customHeight="1">
      <c r="A21310" s="234"/>
      <c r="B21310" s="233"/>
      <c r="C21310" s="238"/>
      <c r="E21310" s="545"/>
      <c r="F21310" s="546"/>
      <c r="G21310" s="234"/>
      <c r="H21310" s="238"/>
      <c r="I21310" s="237"/>
    </row>
    <row r="21311" spans="1:9" s="232" customFormat="1" ht="17" customHeight="1">
      <c r="A21311" s="234"/>
      <c r="B21311" s="233"/>
      <c r="C21311" s="238"/>
      <c r="E21311" s="545"/>
      <c r="F21311" s="546"/>
      <c r="G21311" s="234"/>
      <c r="H21311" s="238"/>
      <c r="I21311" s="237"/>
    </row>
    <row r="21312" spans="1:9" s="232" customFormat="1" ht="17" customHeight="1">
      <c r="A21312" s="234"/>
      <c r="B21312" s="233"/>
      <c r="C21312" s="238"/>
      <c r="E21312" s="545"/>
      <c r="F21312" s="546"/>
      <c r="G21312" s="234"/>
      <c r="H21312" s="238"/>
      <c r="I21312" s="237"/>
    </row>
    <row r="21313" spans="1:9" s="232" customFormat="1" ht="17" customHeight="1">
      <c r="A21313" s="234"/>
      <c r="B21313" s="233"/>
      <c r="C21313" s="238"/>
      <c r="E21313" s="545"/>
      <c r="F21313" s="546"/>
      <c r="G21313" s="234"/>
      <c r="H21313" s="238"/>
      <c r="I21313" s="237"/>
    </row>
    <row r="21314" spans="1:9" s="232" customFormat="1" ht="17" customHeight="1">
      <c r="A21314" s="234"/>
      <c r="B21314" s="233"/>
      <c r="C21314" s="238"/>
      <c r="E21314" s="545"/>
      <c r="F21314" s="546"/>
      <c r="G21314" s="234"/>
      <c r="H21314" s="238"/>
      <c r="I21314" s="237"/>
    </row>
    <row r="21315" spans="1:9" s="232" customFormat="1" ht="17" customHeight="1">
      <c r="A21315" s="234"/>
      <c r="B21315" s="233"/>
      <c r="C21315" s="238"/>
      <c r="E21315" s="545"/>
      <c r="F21315" s="546"/>
      <c r="G21315" s="234"/>
      <c r="H21315" s="238"/>
      <c r="I21315" s="237"/>
    </row>
    <row r="21316" spans="1:9" s="232" customFormat="1" ht="17" customHeight="1">
      <c r="A21316" s="234"/>
      <c r="B21316" s="233"/>
      <c r="C21316" s="238"/>
      <c r="E21316" s="545"/>
      <c r="F21316" s="546"/>
      <c r="G21316" s="234"/>
      <c r="H21316" s="238"/>
      <c r="I21316" s="237"/>
    </row>
    <row r="21317" spans="1:9" s="232" customFormat="1" ht="17" customHeight="1">
      <c r="A21317" s="234"/>
      <c r="B21317" s="233"/>
      <c r="C21317" s="238"/>
      <c r="E21317" s="545"/>
      <c r="F21317" s="546"/>
      <c r="G21317" s="234"/>
      <c r="H21317" s="238"/>
      <c r="I21317" s="237"/>
    </row>
    <row r="21318" spans="1:9" s="232" customFormat="1" ht="17" customHeight="1">
      <c r="A21318" s="234"/>
      <c r="B21318" s="233"/>
      <c r="C21318" s="238"/>
      <c r="E21318" s="545"/>
      <c r="F21318" s="546"/>
      <c r="G21318" s="234"/>
      <c r="H21318" s="238"/>
      <c r="I21318" s="237"/>
    </row>
    <row r="21319" spans="1:9" s="232" customFormat="1" ht="17" customHeight="1">
      <c r="A21319" s="234"/>
      <c r="B21319" s="233"/>
      <c r="C21319" s="238"/>
      <c r="E21319" s="545"/>
      <c r="F21319" s="546"/>
      <c r="G21319" s="234"/>
      <c r="H21319" s="238"/>
      <c r="I21319" s="237"/>
    </row>
    <row r="21320" spans="1:9" s="232" customFormat="1" ht="17" customHeight="1">
      <c r="A21320" s="234"/>
      <c r="B21320" s="233"/>
      <c r="C21320" s="238"/>
      <c r="E21320" s="545"/>
      <c r="F21320" s="546"/>
      <c r="G21320" s="234"/>
      <c r="H21320" s="238"/>
      <c r="I21320" s="237"/>
    </row>
    <row r="21321" spans="1:9" s="232" customFormat="1" ht="17" customHeight="1">
      <c r="A21321" s="234"/>
      <c r="B21321" s="233"/>
      <c r="C21321" s="238"/>
      <c r="E21321" s="545"/>
      <c r="F21321" s="546"/>
      <c r="G21321" s="234"/>
      <c r="H21321" s="238"/>
      <c r="I21321" s="237"/>
    </row>
    <row r="21322" spans="1:9" s="232" customFormat="1" ht="17" customHeight="1">
      <c r="A21322" s="234"/>
      <c r="B21322" s="233"/>
      <c r="C21322" s="238"/>
      <c r="E21322" s="545"/>
      <c r="F21322" s="546"/>
      <c r="G21322" s="234"/>
      <c r="H21322" s="238"/>
      <c r="I21322" s="237"/>
    </row>
    <row r="21323" spans="1:9" s="232" customFormat="1" ht="17" customHeight="1">
      <c r="A21323" s="234"/>
      <c r="B21323" s="233"/>
      <c r="C21323" s="238"/>
      <c r="E21323" s="545"/>
      <c r="F21323" s="546"/>
      <c r="G21323" s="234"/>
      <c r="H21323" s="238"/>
      <c r="I21323" s="237"/>
    </row>
    <row r="21324" spans="1:9" s="232" customFormat="1" ht="17" customHeight="1">
      <c r="A21324" s="234"/>
      <c r="B21324" s="233"/>
      <c r="C21324" s="238"/>
      <c r="E21324" s="545"/>
      <c r="F21324" s="546"/>
      <c r="G21324" s="234"/>
      <c r="H21324" s="238"/>
      <c r="I21324" s="237"/>
    </row>
    <row r="21325" spans="1:9" s="232" customFormat="1" ht="17" customHeight="1">
      <c r="A21325" s="234"/>
      <c r="B21325" s="233"/>
      <c r="C21325" s="238"/>
      <c r="E21325" s="545"/>
      <c r="F21325" s="546"/>
      <c r="G21325" s="234"/>
      <c r="H21325" s="238"/>
      <c r="I21325" s="237"/>
    </row>
    <row r="21326" spans="1:9" s="232" customFormat="1" ht="17" customHeight="1">
      <c r="A21326" s="234"/>
      <c r="B21326" s="233"/>
      <c r="C21326" s="238"/>
      <c r="E21326" s="545"/>
      <c r="F21326" s="546"/>
      <c r="G21326" s="234"/>
      <c r="H21326" s="238"/>
      <c r="I21326" s="237"/>
    </row>
    <row r="21327" spans="1:9" s="232" customFormat="1" ht="17" customHeight="1">
      <c r="A21327" s="234"/>
      <c r="B21327" s="233"/>
      <c r="C21327" s="238"/>
      <c r="E21327" s="545"/>
      <c r="F21327" s="546"/>
      <c r="G21327" s="234"/>
      <c r="H21327" s="238"/>
      <c r="I21327" s="237"/>
    </row>
    <row r="21328" spans="1:9" s="232" customFormat="1" ht="17" customHeight="1">
      <c r="A21328" s="234"/>
      <c r="B21328" s="233"/>
      <c r="C21328" s="238"/>
      <c r="E21328" s="545"/>
      <c r="F21328" s="546"/>
      <c r="G21328" s="234"/>
      <c r="H21328" s="238"/>
      <c r="I21328" s="237"/>
    </row>
    <row r="21329" spans="1:9" s="232" customFormat="1" ht="17" customHeight="1">
      <c r="A21329" s="234"/>
      <c r="B21329" s="233"/>
      <c r="C21329" s="238"/>
      <c r="E21329" s="545"/>
      <c r="F21329" s="546"/>
      <c r="G21329" s="234"/>
      <c r="H21329" s="238"/>
      <c r="I21329" s="237"/>
    </row>
    <row r="21330" spans="1:9" s="232" customFormat="1" ht="17" customHeight="1">
      <c r="A21330" s="234"/>
      <c r="B21330" s="233"/>
      <c r="C21330" s="238"/>
      <c r="E21330" s="545"/>
      <c r="F21330" s="546"/>
      <c r="G21330" s="234"/>
      <c r="H21330" s="238"/>
      <c r="I21330" s="237"/>
    </row>
    <row r="21331" spans="1:9" s="232" customFormat="1" ht="17" customHeight="1">
      <c r="A21331" s="234"/>
      <c r="B21331" s="233"/>
      <c r="C21331" s="238"/>
      <c r="E21331" s="545"/>
      <c r="F21331" s="546"/>
      <c r="G21331" s="234"/>
      <c r="H21331" s="238"/>
      <c r="I21331" s="237"/>
    </row>
    <row r="21332" spans="1:9" s="232" customFormat="1" ht="17" customHeight="1">
      <c r="A21332" s="234"/>
      <c r="B21332" s="233"/>
      <c r="C21332" s="238"/>
      <c r="E21332" s="545"/>
      <c r="F21332" s="546"/>
      <c r="G21332" s="234"/>
      <c r="H21332" s="238"/>
      <c r="I21332" s="237"/>
    </row>
    <row r="21333" spans="1:9" s="232" customFormat="1" ht="17" customHeight="1">
      <c r="A21333" s="234"/>
      <c r="B21333" s="233"/>
      <c r="C21333" s="238"/>
      <c r="E21333" s="545"/>
      <c r="F21333" s="546"/>
      <c r="G21333" s="234"/>
      <c r="H21333" s="238"/>
      <c r="I21333" s="237"/>
    </row>
    <row r="21334" spans="1:9" s="232" customFormat="1" ht="17" customHeight="1">
      <c r="A21334" s="234"/>
      <c r="B21334" s="233"/>
      <c r="C21334" s="238"/>
      <c r="E21334" s="545"/>
      <c r="F21334" s="546"/>
      <c r="G21334" s="234"/>
      <c r="H21334" s="238"/>
      <c r="I21334" s="237"/>
    </row>
    <row r="21335" spans="1:9" s="232" customFormat="1" ht="17" customHeight="1">
      <c r="A21335" s="234"/>
      <c r="B21335" s="233"/>
      <c r="C21335" s="238"/>
      <c r="E21335" s="545"/>
      <c r="F21335" s="546"/>
      <c r="G21335" s="234"/>
      <c r="H21335" s="238"/>
      <c r="I21335" s="237"/>
    </row>
    <row r="21336" spans="1:9" s="232" customFormat="1" ht="17" customHeight="1">
      <c r="A21336" s="234"/>
      <c r="B21336" s="233"/>
      <c r="C21336" s="238"/>
      <c r="E21336" s="545"/>
      <c r="F21336" s="546"/>
      <c r="G21336" s="234"/>
      <c r="H21336" s="238"/>
      <c r="I21336" s="237"/>
    </row>
    <row r="21337" spans="1:9" s="232" customFormat="1" ht="17" customHeight="1">
      <c r="A21337" s="234"/>
      <c r="B21337" s="233"/>
      <c r="C21337" s="238"/>
      <c r="E21337" s="545"/>
      <c r="F21337" s="546"/>
      <c r="G21337" s="234"/>
      <c r="H21337" s="238"/>
      <c r="I21337" s="237"/>
    </row>
    <row r="21338" spans="1:9" s="232" customFormat="1" ht="17" customHeight="1">
      <c r="A21338" s="234"/>
      <c r="B21338" s="233"/>
      <c r="C21338" s="238"/>
      <c r="E21338" s="545"/>
      <c r="F21338" s="546"/>
      <c r="G21338" s="234"/>
      <c r="H21338" s="238"/>
      <c r="I21338" s="237"/>
    </row>
    <row r="21339" spans="1:9" s="232" customFormat="1" ht="17" customHeight="1">
      <c r="A21339" s="234"/>
      <c r="B21339" s="233"/>
      <c r="C21339" s="238"/>
      <c r="E21339" s="545"/>
      <c r="F21339" s="546"/>
      <c r="G21339" s="234"/>
      <c r="H21339" s="238"/>
      <c r="I21339" s="237"/>
    </row>
    <row r="21340" spans="1:9" s="232" customFormat="1" ht="17" customHeight="1">
      <c r="A21340" s="234"/>
      <c r="B21340" s="233"/>
      <c r="C21340" s="238"/>
      <c r="E21340" s="545"/>
      <c r="F21340" s="546"/>
      <c r="G21340" s="234"/>
      <c r="H21340" s="238"/>
      <c r="I21340" s="237"/>
    </row>
    <row r="21341" spans="1:9" s="232" customFormat="1" ht="17" customHeight="1">
      <c r="A21341" s="234"/>
      <c r="B21341" s="233"/>
      <c r="C21341" s="238"/>
      <c r="E21341" s="545"/>
      <c r="F21341" s="546"/>
      <c r="G21341" s="234"/>
      <c r="H21341" s="238"/>
      <c r="I21341" s="237"/>
    </row>
    <row r="21342" spans="1:9" s="232" customFormat="1" ht="17" customHeight="1">
      <c r="A21342" s="234"/>
      <c r="B21342" s="233"/>
      <c r="C21342" s="238"/>
      <c r="E21342" s="545"/>
      <c r="F21342" s="546"/>
      <c r="G21342" s="234"/>
      <c r="H21342" s="238"/>
      <c r="I21342" s="237"/>
    </row>
    <row r="21343" spans="1:9" s="232" customFormat="1" ht="17" customHeight="1">
      <c r="A21343" s="234"/>
      <c r="B21343" s="233"/>
      <c r="C21343" s="238"/>
      <c r="E21343" s="545"/>
      <c r="F21343" s="546"/>
      <c r="G21343" s="234"/>
      <c r="H21343" s="238"/>
      <c r="I21343" s="237"/>
    </row>
    <row r="21344" spans="1:9" s="232" customFormat="1" ht="17" customHeight="1">
      <c r="A21344" s="234"/>
      <c r="B21344" s="233"/>
      <c r="C21344" s="238"/>
      <c r="E21344" s="545"/>
      <c r="F21344" s="546"/>
      <c r="G21344" s="234"/>
      <c r="H21344" s="238"/>
      <c r="I21344" s="237"/>
    </row>
    <row r="21345" spans="1:9" s="232" customFormat="1" ht="17" customHeight="1">
      <c r="A21345" s="234"/>
      <c r="B21345" s="233"/>
      <c r="C21345" s="238"/>
      <c r="E21345" s="545"/>
      <c r="F21345" s="546"/>
      <c r="G21345" s="234"/>
      <c r="H21345" s="238"/>
      <c r="I21345" s="237"/>
    </row>
    <row r="21346" spans="1:9" s="232" customFormat="1" ht="17" customHeight="1">
      <c r="A21346" s="234"/>
      <c r="B21346" s="233"/>
      <c r="C21346" s="238"/>
      <c r="E21346" s="545"/>
      <c r="F21346" s="546"/>
      <c r="G21346" s="234"/>
      <c r="H21346" s="238"/>
      <c r="I21346" s="237"/>
    </row>
    <row r="21347" spans="1:9" s="232" customFormat="1" ht="17" customHeight="1">
      <c r="A21347" s="234"/>
      <c r="B21347" s="233"/>
      <c r="C21347" s="238"/>
      <c r="E21347" s="545"/>
      <c r="F21347" s="546"/>
      <c r="G21347" s="234"/>
      <c r="H21347" s="238"/>
      <c r="I21347" s="237"/>
    </row>
    <row r="21348" spans="1:9" s="232" customFormat="1" ht="17" customHeight="1">
      <c r="A21348" s="234"/>
      <c r="B21348" s="233"/>
      <c r="C21348" s="238"/>
      <c r="E21348" s="545"/>
      <c r="F21348" s="546"/>
      <c r="G21348" s="234"/>
      <c r="H21348" s="238"/>
      <c r="I21348" s="237"/>
    </row>
    <row r="21349" spans="1:9" s="232" customFormat="1" ht="17" customHeight="1">
      <c r="A21349" s="234"/>
      <c r="B21349" s="233"/>
      <c r="C21349" s="238"/>
      <c r="E21349" s="545"/>
      <c r="F21349" s="546"/>
      <c r="G21349" s="234"/>
      <c r="H21349" s="238"/>
      <c r="I21349" s="237"/>
    </row>
    <row r="21350" spans="1:9" s="232" customFormat="1" ht="17" customHeight="1">
      <c r="A21350" s="234"/>
      <c r="B21350" s="233"/>
      <c r="C21350" s="238"/>
      <c r="E21350" s="545"/>
      <c r="F21350" s="546"/>
      <c r="G21350" s="234"/>
      <c r="H21350" s="238"/>
      <c r="I21350" s="237"/>
    </row>
    <row r="21351" spans="1:9" s="232" customFormat="1" ht="17" customHeight="1">
      <c r="A21351" s="234"/>
      <c r="B21351" s="233"/>
      <c r="C21351" s="238"/>
      <c r="E21351" s="545"/>
      <c r="F21351" s="546"/>
      <c r="G21351" s="234"/>
      <c r="H21351" s="238"/>
      <c r="I21351" s="237"/>
    </row>
    <row r="21352" spans="1:9" s="232" customFormat="1" ht="17" customHeight="1">
      <c r="A21352" s="234"/>
      <c r="B21352" s="233"/>
      <c r="C21352" s="238"/>
      <c r="E21352" s="545"/>
      <c r="F21352" s="546"/>
      <c r="G21352" s="234"/>
      <c r="H21352" s="238"/>
      <c r="I21352" s="237"/>
    </row>
    <row r="21353" spans="1:9" s="232" customFormat="1" ht="17" customHeight="1">
      <c r="A21353" s="234"/>
      <c r="B21353" s="233"/>
      <c r="C21353" s="238"/>
      <c r="E21353" s="545"/>
      <c r="F21353" s="546"/>
      <c r="G21353" s="234"/>
      <c r="H21353" s="238"/>
      <c r="I21353" s="237"/>
    </row>
    <row r="21354" spans="1:9" s="232" customFormat="1" ht="17" customHeight="1">
      <c r="A21354" s="234"/>
      <c r="B21354" s="233"/>
      <c r="C21354" s="238"/>
      <c r="E21354" s="545"/>
      <c r="F21354" s="546"/>
      <c r="G21354" s="234"/>
      <c r="H21354" s="238"/>
      <c r="I21354" s="237"/>
    </row>
    <row r="21355" spans="1:9" s="232" customFormat="1" ht="17" customHeight="1">
      <c r="A21355" s="234"/>
      <c r="B21355" s="233"/>
      <c r="C21355" s="238"/>
      <c r="E21355" s="545"/>
      <c r="F21355" s="546"/>
      <c r="G21355" s="234"/>
      <c r="H21355" s="238"/>
      <c r="I21355" s="237"/>
    </row>
    <row r="21356" spans="1:9" s="232" customFormat="1" ht="17" customHeight="1">
      <c r="A21356" s="234"/>
      <c r="B21356" s="233"/>
      <c r="C21356" s="238"/>
      <c r="E21356" s="545"/>
      <c r="F21356" s="546"/>
      <c r="G21356" s="234"/>
      <c r="H21356" s="238"/>
      <c r="I21356" s="237"/>
    </row>
    <row r="21357" spans="1:9" s="232" customFormat="1" ht="17" customHeight="1">
      <c r="A21357" s="234"/>
      <c r="B21357" s="233"/>
      <c r="C21357" s="238"/>
      <c r="E21357" s="545"/>
      <c r="F21357" s="546"/>
      <c r="G21357" s="234"/>
      <c r="H21357" s="238"/>
      <c r="I21357" s="237"/>
    </row>
    <row r="21358" spans="1:9" s="232" customFormat="1" ht="17" customHeight="1">
      <c r="A21358" s="234"/>
      <c r="B21358" s="233"/>
      <c r="C21358" s="238"/>
      <c r="E21358" s="545"/>
      <c r="F21358" s="546"/>
      <c r="G21358" s="234"/>
      <c r="H21358" s="238"/>
      <c r="I21358" s="237"/>
    </row>
    <row r="21359" spans="1:9" s="232" customFormat="1" ht="17" customHeight="1">
      <c r="A21359" s="234"/>
      <c r="B21359" s="233"/>
      <c r="C21359" s="238"/>
      <c r="E21359" s="545"/>
      <c r="F21359" s="546"/>
      <c r="G21359" s="234"/>
      <c r="H21359" s="238"/>
      <c r="I21359" s="237"/>
    </row>
    <row r="21360" spans="1:9" s="232" customFormat="1" ht="17" customHeight="1">
      <c r="A21360" s="234"/>
      <c r="B21360" s="233"/>
      <c r="C21360" s="238"/>
      <c r="E21360" s="545"/>
      <c r="F21360" s="546"/>
      <c r="G21360" s="234"/>
      <c r="H21360" s="238"/>
      <c r="I21360" s="237"/>
    </row>
    <row r="21361" spans="1:9" s="232" customFormat="1" ht="17" customHeight="1">
      <c r="A21361" s="234"/>
      <c r="B21361" s="233"/>
      <c r="C21361" s="238"/>
      <c r="E21361" s="545"/>
      <c r="F21361" s="546"/>
      <c r="G21361" s="234"/>
      <c r="H21361" s="238"/>
      <c r="I21361" s="237"/>
    </row>
    <row r="21362" spans="1:9" s="232" customFormat="1" ht="17" customHeight="1">
      <c r="A21362" s="234"/>
      <c r="B21362" s="233"/>
      <c r="C21362" s="238"/>
      <c r="E21362" s="545"/>
      <c r="F21362" s="546"/>
      <c r="G21362" s="234"/>
      <c r="H21362" s="238"/>
      <c r="I21362" s="237"/>
    </row>
    <row r="21363" spans="1:9" s="232" customFormat="1" ht="17" customHeight="1">
      <c r="A21363" s="234"/>
      <c r="B21363" s="233"/>
      <c r="C21363" s="238"/>
      <c r="E21363" s="545"/>
      <c r="F21363" s="546"/>
      <c r="G21363" s="234"/>
      <c r="H21363" s="238"/>
      <c r="I21363" s="237"/>
    </row>
    <row r="21364" spans="1:9" s="232" customFormat="1" ht="17" customHeight="1">
      <c r="A21364" s="234"/>
      <c r="B21364" s="233"/>
      <c r="C21364" s="238"/>
      <c r="E21364" s="545"/>
      <c r="F21364" s="546"/>
      <c r="G21364" s="234"/>
      <c r="H21364" s="238"/>
      <c r="I21364" s="237"/>
    </row>
    <row r="21365" spans="1:9" s="232" customFormat="1" ht="17" customHeight="1">
      <c r="A21365" s="234"/>
      <c r="B21365" s="233"/>
      <c r="C21365" s="238"/>
      <c r="E21365" s="545"/>
      <c r="F21365" s="546"/>
      <c r="G21365" s="234"/>
      <c r="H21365" s="238"/>
      <c r="I21365" s="237"/>
    </row>
    <row r="21366" spans="1:9" s="232" customFormat="1" ht="17" customHeight="1">
      <c r="A21366" s="234"/>
      <c r="B21366" s="233"/>
      <c r="C21366" s="238"/>
      <c r="E21366" s="545"/>
      <c r="F21366" s="546"/>
      <c r="G21366" s="234"/>
      <c r="H21366" s="238"/>
      <c r="I21366" s="237"/>
    </row>
    <row r="21367" spans="1:9" s="232" customFormat="1" ht="17" customHeight="1">
      <c r="A21367" s="234"/>
      <c r="B21367" s="233"/>
      <c r="C21367" s="238"/>
      <c r="E21367" s="545"/>
      <c r="F21367" s="546"/>
      <c r="G21367" s="234"/>
      <c r="H21367" s="238"/>
      <c r="I21367" s="237"/>
    </row>
    <row r="21368" spans="1:9" s="232" customFormat="1" ht="17" customHeight="1">
      <c r="A21368" s="234"/>
      <c r="B21368" s="233"/>
      <c r="C21368" s="238"/>
      <c r="E21368" s="545"/>
      <c r="F21368" s="546"/>
      <c r="G21368" s="234"/>
      <c r="H21368" s="238"/>
      <c r="I21368" s="237"/>
    </row>
    <row r="21369" spans="1:9" s="232" customFormat="1" ht="17" customHeight="1">
      <c r="A21369" s="234"/>
      <c r="B21369" s="233"/>
      <c r="C21369" s="238"/>
      <c r="E21369" s="545"/>
      <c r="F21369" s="546"/>
      <c r="G21369" s="234"/>
      <c r="H21369" s="238"/>
      <c r="I21369" s="237"/>
    </row>
    <row r="21370" spans="1:9" s="232" customFormat="1" ht="17" customHeight="1">
      <c r="A21370" s="234"/>
      <c r="B21370" s="233"/>
      <c r="C21370" s="238"/>
      <c r="E21370" s="545"/>
      <c r="F21370" s="546"/>
      <c r="G21370" s="234"/>
      <c r="H21370" s="238"/>
      <c r="I21370" s="237"/>
    </row>
    <row r="21371" spans="1:9" s="232" customFormat="1" ht="17" customHeight="1">
      <c r="A21371" s="234"/>
      <c r="B21371" s="233"/>
      <c r="C21371" s="238"/>
      <c r="E21371" s="545"/>
      <c r="F21371" s="546"/>
      <c r="G21371" s="234"/>
      <c r="H21371" s="238"/>
      <c r="I21371" s="237"/>
    </row>
    <row r="21372" spans="1:9" s="232" customFormat="1" ht="17" customHeight="1">
      <c r="A21372" s="234"/>
      <c r="B21372" s="233"/>
      <c r="C21372" s="238"/>
      <c r="E21372" s="545"/>
      <c r="F21372" s="546"/>
      <c r="G21372" s="234"/>
      <c r="H21372" s="238"/>
      <c r="I21372" s="237"/>
    </row>
    <row r="21373" spans="1:9" s="232" customFormat="1" ht="17" customHeight="1">
      <c r="A21373" s="234"/>
      <c r="B21373" s="233"/>
      <c r="C21373" s="238"/>
      <c r="E21373" s="545"/>
      <c r="F21373" s="546"/>
      <c r="G21373" s="234"/>
      <c r="H21373" s="238"/>
      <c r="I21373" s="237"/>
    </row>
    <row r="21374" spans="1:9" s="232" customFormat="1" ht="17" customHeight="1">
      <c r="A21374" s="234"/>
      <c r="B21374" s="233"/>
      <c r="C21374" s="238"/>
      <c r="E21374" s="545"/>
      <c r="F21374" s="546"/>
      <c r="G21374" s="234"/>
      <c r="H21374" s="238"/>
      <c r="I21374" s="237"/>
    </row>
    <row r="21375" spans="1:9" s="232" customFormat="1" ht="17" customHeight="1">
      <c r="A21375" s="234"/>
      <c r="B21375" s="233"/>
      <c r="C21375" s="238"/>
      <c r="E21375" s="545"/>
      <c r="F21375" s="546"/>
      <c r="G21375" s="234"/>
      <c r="H21375" s="238"/>
      <c r="I21375" s="237"/>
    </row>
    <row r="21376" spans="1:9" s="232" customFormat="1" ht="17" customHeight="1">
      <c r="A21376" s="234"/>
      <c r="B21376" s="233"/>
      <c r="C21376" s="238"/>
      <c r="E21376" s="545"/>
      <c r="F21376" s="546"/>
      <c r="G21376" s="234"/>
      <c r="H21376" s="238"/>
      <c r="I21376" s="237"/>
    </row>
    <row r="21377" spans="1:9" s="232" customFormat="1" ht="17" customHeight="1">
      <c r="A21377" s="234"/>
      <c r="B21377" s="233"/>
      <c r="C21377" s="238"/>
      <c r="E21377" s="545"/>
      <c r="F21377" s="546"/>
      <c r="G21377" s="234"/>
      <c r="H21377" s="238"/>
      <c r="I21377" s="237"/>
    </row>
    <row r="21378" spans="1:9" s="232" customFormat="1" ht="17" customHeight="1">
      <c r="A21378" s="234"/>
      <c r="B21378" s="233"/>
      <c r="C21378" s="238"/>
      <c r="E21378" s="545"/>
      <c r="F21378" s="546"/>
      <c r="G21378" s="234"/>
      <c r="H21378" s="238"/>
      <c r="I21378" s="237"/>
    </row>
    <row r="21379" spans="1:9" s="232" customFormat="1" ht="17" customHeight="1">
      <c r="A21379" s="234"/>
      <c r="B21379" s="233"/>
      <c r="C21379" s="238"/>
      <c r="E21379" s="545"/>
      <c r="F21379" s="546"/>
      <c r="G21379" s="234"/>
      <c r="H21379" s="238"/>
      <c r="I21379" s="237"/>
    </row>
    <row r="21380" spans="1:9" s="232" customFormat="1" ht="17" customHeight="1">
      <c r="A21380" s="234"/>
      <c r="B21380" s="233"/>
      <c r="C21380" s="238"/>
      <c r="E21380" s="545"/>
      <c r="F21380" s="546"/>
      <c r="G21380" s="234"/>
      <c r="H21380" s="238"/>
      <c r="I21380" s="237"/>
    </row>
    <row r="21381" spans="1:9" s="232" customFormat="1" ht="17" customHeight="1">
      <c r="A21381" s="234"/>
      <c r="B21381" s="233"/>
      <c r="C21381" s="238"/>
      <c r="E21381" s="545"/>
      <c r="F21381" s="546"/>
      <c r="G21381" s="234"/>
      <c r="H21381" s="238"/>
      <c r="I21381" s="237"/>
    </row>
    <row r="21382" spans="1:9" s="232" customFormat="1" ht="17" customHeight="1">
      <c r="A21382" s="234"/>
      <c r="B21382" s="233"/>
      <c r="C21382" s="238"/>
      <c r="E21382" s="545"/>
      <c r="F21382" s="546"/>
      <c r="G21382" s="234"/>
      <c r="H21382" s="238"/>
      <c r="I21382" s="237"/>
    </row>
    <row r="21383" spans="1:9" s="232" customFormat="1" ht="17" customHeight="1">
      <c r="A21383" s="234"/>
      <c r="B21383" s="233"/>
      <c r="C21383" s="238"/>
      <c r="E21383" s="545"/>
      <c r="F21383" s="546"/>
      <c r="G21383" s="234"/>
      <c r="H21383" s="238"/>
      <c r="I21383" s="237"/>
    </row>
    <row r="21384" spans="1:9" s="232" customFormat="1" ht="17" customHeight="1">
      <c r="A21384" s="234"/>
      <c r="B21384" s="233"/>
      <c r="C21384" s="238"/>
      <c r="E21384" s="545"/>
      <c r="F21384" s="546"/>
      <c r="G21384" s="234"/>
      <c r="H21384" s="238"/>
      <c r="I21384" s="237"/>
    </row>
    <row r="21385" spans="1:9" s="232" customFormat="1" ht="17" customHeight="1">
      <c r="A21385" s="234"/>
      <c r="B21385" s="233"/>
      <c r="C21385" s="238"/>
      <c r="E21385" s="545"/>
      <c r="F21385" s="546"/>
      <c r="G21385" s="234"/>
      <c r="H21385" s="238"/>
      <c r="I21385" s="237"/>
    </row>
    <row r="21386" spans="1:9" s="232" customFormat="1" ht="17" customHeight="1">
      <c r="A21386" s="234"/>
      <c r="B21386" s="233"/>
      <c r="C21386" s="238"/>
      <c r="E21386" s="545"/>
      <c r="F21386" s="546"/>
      <c r="G21386" s="234"/>
      <c r="H21386" s="238"/>
      <c r="I21386" s="237"/>
    </row>
    <row r="21387" spans="1:9" s="232" customFormat="1" ht="17" customHeight="1">
      <c r="A21387" s="234"/>
      <c r="B21387" s="233"/>
      <c r="C21387" s="238"/>
      <c r="E21387" s="545"/>
      <c r="F21387" s="546"/>
      <c r="G21387" s="234"/>
      <c r="H21387" s="238"/>
      <c r="I21387" s="237"/>
    </row>
    <row r="21388" spans="1:9" s="232" customFormat="1" ht="17" customHeight="1">
      <c r="A21388" s="234"/>
      <c r="B21388" s="233"/>
      <c r="C21388" s="238"/>
      <c r="E21388" s="545"/>
      <c r="F21388" s="546"/>
      <c r="G21388" s="234"/>
      <c r="H21388" s="238"/>
      <c r="I21388" s="237"/>
    </row>
    <row r="21389" spans="1:9" s="232" customFormat="1" ht="17" customHeight="1">
      <c r="A21389" s="234"/>
      <c r="B21389" s="233"/>
      <c r="C21389" s="238"/>
      <c r="E21389" s="545"/>
      <c r="F21389" s="546"/>
      <c r="G21389" s="234"/>
      <c r="H21389" s="238"/>
      <c r="I21389" s="237"/>
    </row>
    <row r="21390" spans="1:9" s="232" customFormat="1" ht="17" customHeight="1">
      <c r="A21390" s="234"/>
      <c r="B21390" s="233"/>
      <c r="C21390" s="238"/>
      <c r="E21390" s="545"/>
      <c r="F21390" s="546"/>
      <c r="G21390" s="234"/>
      <c r="H21390" s="238"/>
      <c r="I21390" s="237"/>
    </row>
    <row r="21391" spans="1:9" s="232" customFormat="1" ht="17" customHeight="1">
      <c r="A21391" s="234"/>
      <c r="B21391" s="233"/>
      <c r="C21391" s="238"/>
      <c r="E21391" s="545"/>
      <c r="F21391" s="546"/>
      <c r="G21391" s="234"/>
      <c r="H21391" s="238"/>
      <c r="I21391" s="237"/>
    </row>
    <row r="21392" spans="1:9" s="232" customFormat="1" ht="17" customHeight="1">
      <c r="A21392" s="234"/>
      <c r="B21392" s="233"/>
      <c r="C21392" s="238"/>
      <c r="E21392" s="545"/>
      <c r="F21392" s="546"/>
      <c r="G21392" s="234"/>
      <c r="H21392" s="238"/>
      <c r="I21392" s="237"/>
    </row>
    <row r="21393" spans="1:9" s="232" customFormat="1" ht="17" customHeight="1">
      <c r="A21393" s="234"/>
      <c r="B21393" s="233"/>
      <c r="C21393" s="238"/>
      <c r="E21393" s="545"/>
      <c r="F21393" s="546"/>
      <c r="G21393" s="234"/>
      <c r="H21393" s="238"/>
      <c r="I21393" s="237"/>
    </row>
    <row r="21394" spans="1:9" s="232" customFormat="1" ht="17" customHeight="1">
      <c r="A21394" s="234"/>
      <c r="B21394" s="233"/>
      <c r="C21394" s="238"/>
      <c r="E21394" s="545"/>
      <c r="F21394" s="546"/>
      <c r="G21394" s="234"/>
      <c r="H21394" s="238"/>
      <c r="I21394" s="237"/>
    </row>
    <row r="21395" spans="1:9" s="232" customFormat="1" ht="17" customHeight="1">
      <c r="A21395" s="234"/>
      <c r="B21395" s="233"/>
      <c r="C21395" s="238"/>
      <c r="E21395" s="545"/>
      <c r="F21395" s="546"/>
      <c r="G21395" s="234"/>
      <c r="H21395" s="238"/>
      <c r="I21395" s="237"/>
    </row>
    <row r="21396" spans="1:9" s="232" customFormat="1" ht="17" customHeight="1">
      <c r="A21396" s="234"/>
      <c r="B21396" s="233"/>
      <c r="C21396" s="238"/>
      <c r="E21396" s="545"/>
      <c r="F21396" s="546"/>
      <c r="G21396" s="234"/>
      <c r="H21396" s="238"/>
      <c r="I21396" s="237"/>
    </row>
    <row r="21397" spans="1:9" s="232" customFormat="1" ht="17" customHeight="1">
      <c r="A21397" s="234"/>
      <c r="B21397" s="233"/>
      <c r="C21397" s="238"/>
      <c r="E21397" s="545"/>
      <c r="F21397" s="546"/>
      <c r="G21397" s="234"/>
      <c r="H21397" s="238"/>
      <c r="I21397" s="237"/>
    </row>
    <row r="21398" spans="1:9" s="232" customFormat="1" ht="17" customHeight="1">
      <c r="A21398" s="234"/>
      <c r="B21398" s="233"/>
      <c r="C21398" s="238"/>
      <c r="E21398" s="545"/>
      <c r="F21398" s="546"/>
      <c r="G21398" s="234"/>
      <c r="H21398" s="238"/>
      <c r="I21398" s="237"/>
    </row>
    <row r="21399" spans="1:9" s="232" customFormat="1" ht="17" customHeight="1">
      <c r="A21399" s="234"/>
      <c r="B21399" s="233"/>
      <c r="C21399" s="238"/>
      <c r="E21399" s="545"/>
      <c r="F21399" s="546"/>
      <c r="G21399" s="234"/>
      <c r="H21399" s="238"/>
      <c r="I21399" s="237"/>
    </row>
    <row r="21400" spans="1:9" s="232" customFormat="1" ht="17" customHeight="1">
      <c r="A21400" s="234"/>
      <c r="B21400" s="233"/>
      <c r="C21400" s="238"/>
      <c r="E21400" s="545"/>
      <c r="F21400" s="546"/>
      <c r="G21400" s="234"/>
      <c r="H21400" s="238"/>
      <c r="I21400" s="237"/>
    </row>
    <row r="21401" spans="1:9" s="232" customFormat="1" ht="17" customHeight="1">
      <c r="A21401" s="234"/>
      <c r="B21401" s="233"/>
      <c r="C21401" s="238"/>
      <c r="E21401" s="545"/>
      <c r="F21401" s="546"/>
      <c r="G21401" s="234"/>
      <c r="H21401" s="238"/>
      <c r="I21401" s="237"/>
    </row>
    <row r="21402" spans="1:9" s="232" customFormat="1" ht="17" customHeight="1">
      <c r="A21402" s="234"/>
      <c r="B21402" s="233"/>
      <c r="C21402" s="238"/>
      <c r="E21402" s="545"/>
      <c r="F21402" s="546"/>
      <c r="G21402" s="234"/>
      <c r="H21402" s="238"/>
      <c r="I21402" s="237"/>
    </row>
    <row r="21403" spans="1:9" s="232" customFormat="1" ht="17" customHeight="1">
      <c r="A21403" s="234"/>
      <c r="B21403" s="233"/>
      <c r="C21403" s="238"/>
      <c r="E21403" s="545"/>
      <c r="F21403" s="546"/>
      <c r="G21403" s="234"/>
      <c r="H21403" s="238"/>
      <c r="I21403" s="237"/>
    </row>
    <row r="21404" spans="1:9" s="232" customFormat="1" ht="17" customHeight="1">
      <c r="A21404" s="234"/>
      <c r="B21404" s="233"/>
      <c r="C21404" s="238"/>
      <c r="E21404" s="545"/>
      <c r="F21404" s="546"/>
      <c r="G21404" s="234"/>
      <c r="H21404" s="238"/>
      <c r="I21404" s="237"/>
    </row>
    <row r="21405" spans="1:9" s="232" customFormat="1" ht="17" customHeight="1">
      <c r="A21405" s="234"/>
      <c r="B21405" s="233"/>
      <c r="C21405" s="238"/>
      <c r="E21405" s="545"/>
      <c r="F21405" s="546"/>
      <c r="G21405" s="234"/>
      <c r="H21405" s="238"/>
      <c r="I21405" s="237"/>
    </row>
    <row r="21406" spans="1:9" s="232" customFormat="1" ht="17" customHeight="1">
      <c r="A21406" s="234"/>
      <c r="B21406" s="233"/>
      <c r="C21406" s="238"/>
      <c r="E21406" s="545"/>
      <c r="F21406" s="546"/>
      <c r="G21406" s="234"/>
      <c r="H21406" s="238"/>
      <c r="I21406" s="237"/>
    </row>
    <row r="21407" spans="1:9" s="232" customFormat="1" ht="17" customHeight="1">
      <c r="A21407" s="234"/>
      <c r="B21407" s="233"/>
      <c r="C21407" s="238"/>
      <c r="E21407" s="545"/>
      <c r="F21407" s="546"/>
      <c r="G21407" s="234"/>
      <c r="H21407" s="238"/>
      <c r="I21407" s="237"/>
    </row>
    <row r="21408" spans="1:9" s="232" customFormat="1" ht="17" customHeight="1">
      <c r="A21408" s="234"/>
      <c r="B21408" s="233"/>
      <c r="C21408" s="238"/>
      <c r="E21408" s="545"/>
      <c r="F21408" s="546"/>
      <c r="G21408" s="234"/>
      <c r="H21408" s="238"/>
      <c r="I21408" s="237"/>
    </row>
    <row r="21409" spans="1:9" s="232" customFormat="1" ht="17" customHeight="1">
      <c r="A21409" s="234"/>
      <c r="B21409" s="233"/>
      <c r="C21409" s="238"/>
      <c r="E21409" s="545"/>
      <c r="F21409" s="546"/>
      <c r="G21409" s="234"/>
      <c r="H21409" s="238"/>
      <c r="I21409" s="237"/>
    </row>
    <row r="21410" spans="1:9" s="232" customFormat="1" ht="17" customHeight="1">
      <c r="A21410" s="234"/>
      <c r="B21410" s="233"/>
      <c r="C21410" s="238"/>
      <c r="E21410" s="545"/>
      <c r="F21410" s="546"/>
      <c r="G21410" s="234"/>
      <c r="H21410" s="238"/>
      <c r="I21410" s="237"/>
    </row>
    <row r="21411" spans="1:9" s="232" customFormat="1" ht="17" customHeight="1">
      <c r="A21411" s="234"/>
      <c r="B21411" s="233"/>
      <c r="C21411" s="238"/>
      <c r="E21411" s="545"/>
      <c r="F21411" s="546"/>
      <c r="G21411" s="234"/>
      <c r="H21411" s="238"/>
      <c r="I21411" s="237"/>
    </row>
    <row r="21412" spans="1:9" s="232" customFormat="1" ht="17" customHeight="1">
      <c r="A21412" s="234"/>
      <c r="B21412" s="233"/>
      <c r="C21412" s="238"/>
      <c r="E21412" s="545"/>
      <c r="F21412" s="546"/>
      <c r="G21412" s="234"/>
      <c r="H21412" s="238"/>
      <c r="I21412" s="237"/>
    </row>
    <row r="21413" spans="1:9" s="232" customFormat="1" ht="17" customHeight="1">
      <c r="A21413" s="234"/>
      <c r="B21413" s="233"/>
      <c r="C21413" s="238"/>
      <c r="E21413" s="545"/>
      <c r="F21413" s="546"/>
      <c r="G21413" s="234"/>
      <c r="H21413" s="238"/>
      <c r="I21413" s="237"/>
    </row>
    <row r="21414" spans="1:9" s="232" customFormat="1" ht="17" customHeight="1">
      <c r="A21414" s="234"/>
      <c r="B21414" s="233"/>
      <c r="C21414" s="238"/>
      <c r="E21414" s="545"/>
      <c r="F21414" s="546"/>
      <c r="G21414" s="234"/>
      <c r="H21414" s="238"/>
      <c r="I21414" s="237"/>
    </row>
    <row r="21415" spans="1:9" s="232" customFormat="1" ht="17" customHeight="1">
      <c r="A21415" s="234"/>
      <c r="B21415" s="233"/>
      <c r="C21415" s="238"/>
      <c r="E21415" s="545"/>
      <c r="F21415" s="546"/>
      <c r="G21415" s="234"/>
      <c r="H21415" s="238"/>
      <c r="I21415" s="237"/>
    </row>
    <row r="21416" spans="1:9" s="232" customFormat="1" ht="17" customHeight="1">
      <c r="A21416" s="234"/>
      <c r="B21416" s="233"/>
      <c r="C21416" s="238"/>
      <c r="E21416" s="545"/>
      <c r="F21416" s="546"/>
      <c r="G21416" s="234"/>
      <c r="H21416" s="238"/>
      <c r="I21416" s="237"/>
    </row>
    <row r="21417" spans="1:9" s="232" customFormat="1" ht="17" customHeight="1">
      <c r="A21417" s="234"/>
      <c r="B21417" s="233"/>
      <c r="C21417" s="238"/>
      <c r="E21417" s="545"/>
      <c r="F21417" s="546"/>
      <c r="G21417" s="234"/>
      <c r="H21417" s="238"/>
      <c r="I21417" s="237"/>
    </row>
    <row r="21418" spans="1:9" s="232" customFormat="1" ht="17" customHeight="1">
      <c r="A21418" s="234"/>
      <c r="B21418" s="233"/>
      <c r="C21418" s="238"/>
      <c r="E21418" s="545"/>
      <c r="F21418" s="546"/>
      <c r="G21418" s="234"/>
      <c r="H21418" s="238"/>
      <c r="I21418" s="237"/>
    </row>
    <row r="21419" spans="1:9" s="232" customFormat="1" ht="17" customHeight="1">
      <c r="A21419" s="234"/>
      <c r="B21419" s="233"/>
      <c r="C21419" s="238"/>
      <c r="E21419" s="545"/>
      <c r="F21419" s="546"/>
      <c r="G21419" s="234"/>
      <c r="H21419" s="238"/>
      <c r="I21419" s="237"/>
    </row>
    <row r="21420" spans="1:9" s="232" customFormat="1" ht="17" customHeight="1">
      <c r="A21420" s="234"/>
      <c r="B21420" s="233"/>
      <c r="C21420" s="238"/>
      <c r="E21420" s="545"/>
      <c r="F21420" s="546"/>
      <c r="G21420" s="234"/>
      <c r="H21420" s="238"/>
      <c r="I21420" s="237"/>
    </row>
    <row r="21421" spans="1:9" s="232" customFormat="1" ht="17" customHeight="1">
      <c r="A21421" s="234"/>
      <c r="B21421" s="233"/>
      <c r="C21421" s="238"/>
      <c r="E21421" s="545"/>
      <c r="F21421" s="546"/>
      <c r="G21421" s="234"/>
      <c r="H21421" s="238"/>
      <c r="I21421" s="237"/>
    </row>
    <row r="21422" spans="1:9" s="232" customFormat="1" ht="17" customHeight="1">
      <c r="A21422" s="234"/>
      <c r="B21422" s="233"/>
      <c r="C21422" s="238"/>
      <c r="E21422" s="545"/>
      <c r="F21422" s="546"/>
      <c r="G21422" s="234"/>
      <c r="H21422" s="238"/>
      <c r="I21422" s="237"/>
    </row>
    <row r="21423" spans="1:9" s="232" customFormat="1" ht="17" customHeight="1">
      <c r="A21423" s="234"/>
      <c r="B21423" s="233"/>
      <c r="C21423" s="238"/>
      <c r="E21423" s="545"/>
      <c r="F21423" s="546"/>
      <c r="G21423" s="234"/>
      <c r="H21423" s="238"/>
      <c r="I21423" s="237"/>
    </row>
    <row r="21424" spans="1:9" s="232" customFormat="1" ht="17" customHeight="1">
      <c r="A21424" s="234"/>
      <c r="B21424" s="233"/>
      <c r="C21424" s="238"/>
      <c r="E21424" s="545"/>
      <c r="F21424" s="546"/>
      <c r="G21424" s="234"/>
      <c r="H21424" s="238"/>
      <c r="I21424" s="237"/>
    </row>
    <row r="21425" spans="1:9" s="232" customFormat="1" ht="17" customHeight="1">
      <c r="A21425" s="234"/>
      <c r="B21425" s="233"/>
      <c r="C21425" s="238"/>
      <c r="E21425" s="545"/>
      <c r="F21425" s="546"/>
      <c r="G21425" s="234"/>
      <c r="H21425" s="238"/>
      <c r="I21425" s="237"/>
    </row>
    <row r="21426" spans="1:9" s="232" customFormat="1" ht="17" customHeight="1">
      <c r="A21426" s="234"/>
      <c r="B21426" s="233"/>
      <c r="C21426" s="238"/>
      <c r="E21426" s="545"/>
      <c r="F21426" s="546"/>
      <c r="G21426" s="234"/>
      <c r="H21426" s="238"/>
      <c r="I21426" s="237"/>
    </row>
    <row r="21427" spans="1:9" s="232" customFormat="1" ht="17" customHeight="1">
      <c r="A21427" s="234"/>
      <c r="B21427" s="233"/>
      <c r="C21427" s="238"/>
      <c r="E21427" s="545"/>
      <c r="F21427" s="546"/>
      <c r="G21427" s="234"/>
      <c r="H21427" s="238"/>
      <c r="I21427" s="237"/>
    </row>
    <row r="21428" spans="1:9" s="232" customFormat="1" ht="17" customHeight="1">
      <c r="A21428" s="234"/>
      <c r="B21428" s="233"/>
      <c r="C21428" s="238"/>
      <c r="E21428" s="545"/>
      <c r="F21428" s="546"/>
      <c r="G21428" s="234"/>
      <c r="H21428" s="238"/>
      <c r="I21428" s="237"/>
    </row>
    <row r="21429" spans="1:9" s="232" customFormat="1" ht="17" customHeight="1">
      <c r="A21429" s="234"/>
      <c r="B21429" s="233"/>
      <c r="C21429" s="238"/>
      <c r="E21429" s="545"/>
      <c r="F21429" s="546"/>
      <c r="G21429" s="234"/>
      <c r="H21429" s="238"/>
      <c r="I21429" s="237"/>
    </row>
    <row r="21430" spans="1:9" s="232" customFormat="1" ht="17" customHeight="1">
      <c r="A21430" s="234"/>
      <c r="B21430" s="233"/>
      <c r="C21430" s="238"/>
      <c r="E21430" s="545"/>
      <c r="F21430" s="546"/>
      <c r="G21430" s="234"/>
      <c r="H21430" s="238"/>
      <c r="I21430" s="237"/>
    </row>
    <row r="21431" spans="1:9" s="232" customFormat="1" ht="17" customHeight="1">
      <c r="A21431" s="234"/>
      <c r="B21431" s="233"/>
      <c r="C21431" s="238"/>
      <c r="E21431" s="545"/>
      <c r="F21431" s="546"/>
      <c r="G21431" s="234"/>
      <c r="H21431" s="238"/>
      <c r="I21431" s="237"/>
    </row>
    <row r="21432" spans="1:9" s="232" customFormat="1" ht="17" customHeight="1">
      <c r="A21432" s="234"/>
      <c r="B21432" s="233"/>
      <c r="C21432" s="238"/>
      <c r="E21432" s="545"/>
      <c r="F21432" s="546"/>
      <c r="G21432" s="234"/>
      <c r="H21432" s="238"/>
      <c r="I21432" s="237"/>
    </row>
    <row r="21433" spans="1:9" s="232" customFormat="1" ht="17" customHeight="1">
      <c r="A21433" s="234"/>
      <c r="B21433" s="233"/>
      <c r="C21433" s="238"/>
      <c r="E21433" s="545"/>
      <c r="F21433" s="546"/>
      <c r="G21433" s="234"/>
      <c r="H21433" s="238"/>
      <c r="I21433" s="237"/>
    </row>
    <row r="21434" spans="1:9" s="232" customFormat="1" ht="17" customHeight="1">
      <c r="A21434" s="234"/>
      <c r="B21434" s="233"/>
      <c r="C21434" s="238"/>
      <c r="E21434" s="545"/>
      <c r="F21434" s="546"/>
      <c r="G21434" s="234"/>
      <c r="H21434" s="238"/>
      <c r="I21434" s="237"/>
    </row>
    <row r="21435" spans="1:9" s="232" customFormat="1" ht="17" customHeight="1">
      <c r="A21435" s="234"/>
      <c r="B21435" s="233"/>
      <c r="C21435" s="238"/>
      <c r="E21435" s="545"/>
      <c r="F21435" s="546"/>
      <c r="G21435" s="234"/>
      <c r="H21435" s="238"/>
      <c r="I21435" s="237"/>
    </row>
    <row r="21436" spans="1:9" s="232" customFormat="1" ht="17" customHeight="1">
      <c r="A21436" s="234"/>
      <c r="B21436" s="233"/>
      <c r="C21436" s="238"/>
      <c r="E21436" s="545"/>
      <c r="F21436" s="546"/>
      <c r="G21436" s="234"/>
      <c r="H21436" s="238"/>
      <c r="I21436" s="237"/>
    </row>
    <row r="21437" spans="1:9" s="232" customFormat="1" ht="17" customHeight="1">
      <c r="A21437" s="234"/>
      <c r="B21437" s="233"/>
      <c r="C21437" s="238"/>
      <c r="E21437" s="545"/>
      <c r="F21437" s="546"/>
      <c r="G21437" s="234"/>
      <c r="H21437" s="238"/>
      <c r="I21437" s="237"/>
    </row>
    <row r="21438" spans="1:9" s="232" customFormat="1" ht="17" customHeight="1">
      <c r="A21438" s="234"/>
      <c r="B21438" s="233"/>
      <c r="C21438" s="238"/>
      <c r="E21438" s="545"/>
      <c r="F21438" s="546"/>
      <c r="G21438" s="234"/>
      <c r="H21438" s="238"/>
      <c r="I21438" s="237"/>
    </row>
    <row r="21439" spans="1:9" s="232" customFormat="1" ht="17" customHeight="1">
      <c r="A21439" s="234"/>
      <c r="B21439" s="233"/>
      <c r="C21439" s="238"/>
      <c r="E21439" s="545"/>
      <c r="F21439" s="546"/>
      <c r="G21439" s="234"/>
      <c r="H21439" s="238"/>
      <c r="I21439" s="237"/>
    </row>
    <row r="21440" spans="1:9" s="232" customFormat="1" ht="17" customHeight="1">
      <c r="A21440" s="234"/>
      <c r="B21440" s="233"/>
      <c r="C21440" s="238"/>
      <c r="E21440" s="545"/>
      <c r="F21440" s="546"/>
      <c r="G21440" s="234"/>
      <c r="H21440" s="238"/>
      <c r="I21440" s="237"/>
    </row>
    <row r="21441" spans="1:9" s="232" customFormat="1" ht="17" customHeight="1">
      <c r="A21441" s="234"/>
      <c r="B21441" s="233"/>
      <c r="C21441" s="238"/>
      <c r="E21441" s="545"/>
      <c r="F21441" s="546"/>
      <c r="G21441" s="234"/>
      <c r="H21441" s="238"/>
      <c r="I21441" s="237"/>
    </row>
    <row r="21442" spans="1:9" s="232" customFormat="1" ht="17" customHeight="1">
      <c r="A21442" s="234"/>
      <c r="B21442" s="233"/>
      <c r="C21442" s="238"/>
      <c r="E21442" s="545"/>
      <c r="F21442" s="546"/>
      <c r="G21442" s="234"/>
      <c r="H21442" s="238"/>
      <c r="I21442" s="237"/>
    </row>
    <row r="21443" spans="1:9" s="232" customFormat="1" ht="17" customHeight="1">
      <c r="A21443" s="234"/>
      <c r="B21443" s="233"/>
      <c r="C21443" s="238"/>
      <c r="E21443" s="545"/>
      <c r="F21443" s="546"/>
      <c r="G21443" s="234"/>
      <c r="H21443" s="238"/>
      <c r="I21443" s="237"/>
    </row>
    <row r="21444" spans="1:9" s="232" customFormat="1" ht="17" customHeight="1">
      <c r="A21444" s="234"/>
      <c r="B21444" s="233"/>
      <c r="C21444" s="238"/>
      <c r="E21444" s="545"/>
      <c r="F21444" s="546"/>
      <c r="G21444" s="234"/>
      <c r="H21444" s="238"/>
      <c r="I21444" s="237"/>
    </row>
    <row r="21445" spans="1:9" s="232" customFormat="1" ht="17" customHeight="1">
      <c r="A21445" s="234"/>
      <c r="B21445" s="233"/>
      <c r="C21445" s="238"/>
      <c r="E21445" s="545"/>
      <c r="F21445" s="546"/>
      <c r="G21445" s="234"/>
      <c r="H21445" s="238"/>
      <c r="I21445" s="237"/>
    </row>
    <row r="21446" spans="1:9" s="232" customFormat="1" ht="17" customHeight="1">
      <c r="A21446" s="234"/>
      <c r="B21446" s="233"/>
      <c r="C21446" s="238"/>
      <c r="E21446" s="545"/>
      <c r="F21446" s="546"/>
      <c r="G21446" s="234"/>
      <c r="H21446" s="238"/>
      <c r="I21446" s="237"/>
    </row>
    <row r="21447" spans="1:9" s="232" customFormat="1" ht="17" customHeight="1">
      <c r="A21447" s="234"/>
      <c r="B21447" s="233"/>
      <c r="C21447" s="238"/>
      <c r="E21447" s="545"/>
      <c r="F21447" s="546"/>
      <c r="G21447" s="234"/>
      <c r="H21447" s="238"/>
      <c r="I21447" s="237"/>
    </row>
    <row r="21448" spans="1:9" s="232" customFormat="1" ht="17" customHeight="1">
      <c r="A21448" s="234"/>
      <c r="B21448" s="233"/>
      <c r="C21448" s="238"/>
      <c r="E21448" s="545"/>
      <c r="F21448" s="546"/>
      <c r="G21448" s="234"/>
      <c r="H21448" s="238"/>
      <c r="I21448" s="237"/>
    </row>
    <row r="21449" spans="1:9" s="232" customFormat="1" ht="17" customHeight="1">
      <c r="A21449" s="234"/>
      <c r="B21449" s="233"/>
      <c r="C21449" s="238"/>
      <c r="E21449" s="545"/>
      <c r="F21449" s="546"/>
      <c r="G21449" s="234"/>
      <c r="H21449" s="238"/>
      <c r="I21449" s="237"/>
    </row>
    <row r="21450" spans="1:9" s="232" customFormat="1" ht="17" customHeight="1">
      <c r="A21450" s="234"/>
      <c r="B21450" s="233"/>
      <c r="C21450" s="238"/>
      <c r="E21450" s="545"/>
      <c r="F21450" s="546"/>
      <c r="G21450" s="234"/>
      <c r="H21450" s="238"/>
      <c r="I21450" s="237"/>
    </row>
    <row r="21451" spans="1:9" s="232" customFormat="1" ht="17" customHeight="1">
      <c r="A21451" s="234"/>
      <c r="B21451" s="233"/>
      <c r="C21451" s="238"/>
      <c r="E21451" s="545"/>
      <c r="F21451" s="546"/>
      <c r="G21451" s="234"/>
      <c r="H21451" s="238"/>
      <c r="I21451" s="237"/>
    </row>
    <row r="21452" spans="1:9" s="232" customFormat="1" ht="17" customHeight="1">
      <c r="A21452" s="234"/>
      <c r="B21452" s="233"/>
      <c r="C21452" s="238"/>
      <c r="E21452" s="545"/>
      <c r="F21452" s="546"/>
      <c r="G21452" s="234"/>
      <c r="H21452" s="238"/>
      <c r="I21452" s="237"/>
    </row>
    <row r="21453" spans="1:9" s="232" customFormat="1" ht="17" customHeight="1">
      <c r="A21453" s="234"/>
      <c r="B21453" s="233"/>
      <c r="C21453" s="238"/>
      <c r="E21453" s="545"/>
      <c r="F21453" s="546"/>
      <c r="G21453" s="234"/>
      <c r="H21453" s="238"/>
      <c r="I21453" s="237"/>
    </row>
    <row r="21454" spans="1:9" s="232" customFormat="1" ht="17" customHeight="1">
      <c r="A21454" s="234"/>
      <c r="B21454" s="233"/>
      <c r="C21454" s="238"/>
      <c r="E21454" s="545"/>
      <c r="F21454" s="546"/>
      <c r="G21454" s="234"/>
      <c r="H21454" s="238"/>
      <c r="I21454" s="237"/>
    </row>
    <row r="21455" spans="1:9" s="232" customFormat="1" ht="17" customHeight="1">
      <c r="A21455" s="234"/>
      <c r="B21455" s="233"/>
      <c r="C21455" s="238"/>
      <c r="E21455" s="545"/>
      <c r="F21455" s="546"/>
      <c r="G21455" s="234"/>
      <c r="H21455" s="238"/>
      <c r="I21455" s="237"/>
    </row>
    <row r="21456" spans="1:9" s="232" customFormat="1" ht="17" customHeight="1">
      <c r="A21456" s="234"/>
      <c r="B21456" s="233"/>
      <c r="C21456" s="238"/>
      <c r="E21456" s="545"/>
      <c r="F21456" s="546"/>
      <c r="G21456" s="234"/>
      <c r="H21456" s="238"/>
      <c r="I21456" s="237"/>
    </row>
    <row r="21457" spans="1:9" s="232" customFormat="1" ht="17" customHeight="1">
      <c r="A21457" s="234"/>
      <c r="B21457" s="233"/>
      <c r="C21457" s="238"/>
      <c r="E21457" s="545"/>
      <c r="F21457" s="546"/>
      <c r="G21457" s="234"/>
      <c r="H21457" s="238"/>
      <c r="I21457" s="237"/>
    </row>
    <row r="21458" spans="1:9" s="232" customFormat="1" ht="17" customHeight="1">
      <c r="A21458" s="234"/>
      <c r="B21458" s="233"/>
      <c r="C21458" s="238"/>
      <c r="E21458" s="545"/>
      <c r="F21458" s="546"/>
      <c r="G21458" s="234"/>
      <c r="H21458" s="238"/>
      <c r="I21458" s="237"/>
    </row>
    <row r="21459" spans="1:9" s="232" customFormat="1" ht="17" customHeight="1">
      <c r="A21459" s="234"/>
      <c r="B21459" s="233"/>
      <c r="C21459" s="238"/>
      <c r="E21459" s="545"/>
      <c r="F21459" s="546"/>
      <c r="G21459" s="234"/>
      <c r="H21459" s="238"/>
      <c r="I21459" s="237"/>
    </row>
    <row r="21460" spans="1:9" s="232" customFormat="1" ht="17" customHeight="1">
      <c r="A21460" s="234"/>
      <c r="B21460" s="233"/>
      <c r="C21460" s="238"/>
      <c r="E21460" s="545"/>
      <c r="F21460" s="546"/>
      <c r="G21460" s="234"/>
      <c r="H21460" s="238"/>
      <c r="I21460" s="237"/>
    </row>
    <row r="21461" spans="1:9" s="232" customFormat="1" ht="17" customHeight="1">
      <c r="A21461" s="234"/>
      <c r="B21461" s="233"/>
      <c r="C21461" s="238"/>
      <c r="E21461" s="545"/>
      <c r="F21461" s="546"/>
      <c r="G21461" s="234"/>
      <c r="H21461" s="238"/>
      <c r="I21461" s="237"/>
    </row>
    <row r="21462" spans="1:9" s="232" customFormat="1" ht="17" customHeight="1">
      <c r="A21462" s="234"/>
      <c r="B21462" s="233"/>
      <c r="C21462" s="238"/>
      <c r="E21462" s="545"/>
      <c r="F21462" s="546"/>
      <c r="G21462" s="234"/>
      <c r="H21462" s="238"/>
      <c r="I21462" s="237"/>
    </row>
    <row r="21463" spans="1:9" s="232" customFormat="1" ht="17" customHeight="1">
      <c r="A21463" s="234"/>
      <c r="B21463" s="233"/>
      <c r="C21463" s="238"/>
      <c r="E21463" s="545"/>
      <c r="F21463" s="546"/>
      <c r="G21463" s="234"/>
      <c r="H21463" s="238"/>
      <c r="I21463" s="237"/>
    </row>
    <row r="21464" spans="1:9" s="232" customFormat="1" ht="17" customHeight="1">
      <c r="A21464" s="234"/>
      <c r="B21464" s="233"/>
      <c r="C21464" s="238"/>
      <c r="E21464" s="545"/>
      <c r="F21464" s="546"/>
      <c r="G21464" s="234"/>
      <c r="H21464" s="238"/>
      <c r="I21464" s="237"/>
    </row>
    <row r="21465" spans="1:9" s="232" customFormat="1" ht="17" customHeight="1">
      <c r="A21465" s="234"/>
      <c r="B21465" s="233"/>
      <c r="C21465" s="238"/>
      <c r="E21465" s="545"/>
      <c r="F21465" s="546"/>
      <c r="G21465" s="234"/>
      <c r="H21465" s="238"/>
      <c r="I21465" s="237"/>
    </row>
    <row r="21466" spans="1:9" s="232" customFormat="1" ht="17" customHeight="1">
      <c r="A21466" s="234"/>
      <c r="B21466" s="233"/>
      <c r="C21466" s="238"/>
      <c r="E21466" s="545"/>
      <c r="F21466" s="546"/>
      <c r="G21466" s="234"/>
      <c r="H21466" s="238"/>
      <c r="I21466" s="237"/>
    </row>
    <row r="21467" spans="1:9" s="232" customFormat="1" ht="17" customHeight="1">
      <c r="A21467" s="234"/>
      <c r="B21467" s="233"/>
      <c r="C21467" s="238"/>
      <c r="E21467" s="545"/>
      <c r="F21467" s="546"/>
      <c r="G21467" s="234"/>
      <c r="H21467" s="238"/>
      <c r="I21467" s="237"/>
    </row>
    <row r="21468" spans="1:9" s="232" customFormat="1" ht="17" customHeight="1">
      <c r="A21468" s="234"/>
      <c r="B21468" s="233"/>
      <c r="C21468" s="238"/>
      <c r="E21468" s="545"/>
      <c r="F21468" s="546"/>
      <c r="G21468" s="234"/>
      <c r="H21468" s="238"/>
      <c r="I21468" s="237"/>
    </row>
    <row r="21469" spans="1:9" s="232" customFormat="1" ht="17" customHeight="1">
      <c r="A21469" s="234"/>
      <c r="B21469" s="233"/>
      <c r="C21469" s="238"/>
      <c r="E21469" s="545"/>
      <c r="F21469" s="546"/>
      <c r="G21469" s="234"/>
      <c r="H21469" s="238"/>
      <c r="I21469" s="237"/>
    </row>
    <row r="21470" spans="1:9" s="232" customFormat="1" ht="17" customHeight="1">
      <c r="A21470" s="234"/>
      <c r="B21470" s="233"/>
      <c r="C21470" s="238"/>
      <c r="E21470" s="545"/>
      <c r="F21470" s="546"/>
      <c r="G21470" s="234"/>
      <c r="H21470" s="238"/>
      <c r="I21470" s="237"/>
    </row>
    <row r="21471" spans="1:9" s="232" customFormat="1" ht="17" customHeight="1">
      <c r="A21471" s="234"/>
      <c r="B21471" s="233"/>
      <c r="C21471" s="238"/>
      <c r="E21471" s="545"/>
      <c r="F21471" s="546"/>
      <c r="G21471" s="234"/>
      <c r="H21471" s="238"/>
      <c r="I21471" s="237"/>
    </row>
    <row r="21472" spans="1:9" s="232" customFormat="1" ht="17" customHeight="1">
      <c r="A21472" s="234"/>
      <c r="B21472" s="233"/>
      <c r="C21472" s="238"/>
      <c r="E21472" s="545"/>
      <c r="F21472" s="546"/>
      <c r="G21472" s="234"/>
      <c r="H21472" s="238"/>
      <c r="I21472" s="237"/>
    </row>
    <row r="21473" spans="1:9" s="232" customFormat="1" ht="17" customHeight="1">
      <c r="A21473" s="234"/>
      <c r="B21473" s="233"/>
      <c r="C21473" s="238"/>
      <c r="E21473" s="545"/>
      <c r="F21473" s="546"/>
      <c r="G21473" s="234"/>
      <c r="H21473" s="238"/>
      <c r="I21473" s="237"/>
    </row>
    <row r="21474" spans="1:9" s="232" customFormat="1" ht="17" customHeight="1">
      <c r="A21474" s="234"/>
      <c r="B21474" s="233"/>
      <c r="C21474" s="238"/>
      <c r="E21474" s="545"/>
      <c r="F21474" s="546"/>
      <c r="G21474" s="234"/>
      <c r="H21474" s="238"/>
      <c r="I21474" s="237"/>
    </row>
    <row r="21475" spans="1:9" s="232" customFormat="1" ht="17" customHeight="1">
      <c r="A21475" s="234"/>
      <c r="B21475" s="233"/>
      <c r="C21475" s="238"/>
      <c r="E21475" s="545"/>
      <c r="F21475" s="546"/>
      <c r="G21475" s="234"/>
      <c r="H21475" s="238"/>
      <c r="I21475" s="237"/>
    </row>
    <row r="21476" spans="1:9" s="232" customFormat="1" ht="17" customHeight="1">
      <c r="A21476" s="234"/>
      <c r="B21476" s="233"/>
      <c r="C21476" s="238"/>
      <c r="E21476" s="545"/>
      <c r="F21476" s="546"/>
      <c r="G21476" s="234"/>
      <c r="H21476" s="238"/>
      <c r="I21476" s="237"/>
    </row>
    <row r="21477" spans="1:9" s="232" customFormat="1" ht="17" customHeight="1">
      <c r="A21477" s="234"/>
      <c r="B21477" s="233"/>
      <c r="C21477" s="238"/>
      <c r="E21477" s="545"/>
      <c r="F21477" s="546"/>
      <c r="G21477" s="234"/>
      <c r="H21477" s="238"/>
      <c r="I21477" s="237"/>
    </row>
    <row r="21478" spans="1:9" s="232" customFormat="1" ht="17" customHeight="1">
      <c r="A21478" s="234"/>
      <c r="B21478" s="233"/>
      <c r="C21478" s="238"/>
      <c r="E21478" s="545"/>
      <c r="F21478" s="546"/>
      <c r="G21478" s="234"/>
      <c r="H21478" s="238"/>
      <c r="I21478" s="237"/>
    </row>
    <row r="21479" spans="1:9" s="232" customFormat="1" ht="17" customHeight="1">
      <c r="A21479" s="234"/>
      <c r="B21479" s="233"/>
      <c r="C21479" s="238"/>
      <c r="E21479" s="545"/>
      <c r="F21479" s="546"/>
      <c r="G21479" s="234"/>
      <c r="H21479" s="238"/>
      <c r="I21479" s="237"/>
    </row>
    <row r="21480" spans="1:9" s="232" customFormat="1" ht="17" customHeight="1">
      <c r="A21480" s="234"/>
      <c r="B21480" s="233"/>
      <c r="C21480" s="238"/>
      <c r="E21480" s="545"/>
      <c r="F21480" s="546"/>
      <c r="G21480" s="234"/>
      <c r="H21480" s="238"/>
      <c r="I21480" s="237"/>
    </row>
    <row r="21481" spans="1:9" s="232" customFormat="1" ht="17" customHeight="1">
      <c r="A21481" s="234"/>
      <c r="B21481" s="233"/>
      <c r="C21481" s="238"/>
      <c r="E21481" s="545"/>
      <c r="F21481" s="546"/>
      <c r="G21481" s="234"/>
      <c r="H21481" s="238"/>
      <c r="I21481" s="237"/>
    </row>
    <row r="21482" spans="1:9" s="232" customFormat="1" ht="17" customHeight="1">
      <c r="A21482" s="234"/>
      <c r="B21482" s="233"/>
      <c r="C21482" s="238"/>
      <c r="E21482" s="545"/>
      <c r="F21482" s="546"/>
      <c r="G21482" s="234"/>
      <c r="H21482" s="238"/>
      <c r="I21482" s="237"/>
    </row>
    <row r="21483" spans="1:9" s="232" customFormat="1" ht="17" customHeight="1">
      <c r="A21483" s="234"/>
      <c r="B21483" s="233"/>
      <c r="C21483" s="238"/>
      <c r="E21483" s="545"/>
      <c r="F21483" s="546"/>
      <c r="G21483" s="234"/>
      <c r="H21483" s="238"/>
      <c r="I21483" s="237"/>
    </row>
    <row r="21484" spans="1:9" s="232" customFormat="1" ht="17" customHeight="1">
      <c r="A21484" s="234"/>
      <c r="B21484" s="233"/>
      <c r="C21484" s="238"/>
      <c r="E21484" s="545"/>
      <c r="F21484" s="546"/>
      <c r="G21484" s="234"/>
      <c r="H21484" s="238"/>
      <c r="I21484" s="237"/>
    </row>
    <row r="21485" spans="1:9" s="232" customFormat="1" ht="17" customHeight="1">
      <c r="A21485" s="234"/>
      <c r="B21485" s="233"/>
      <c r="C21485" s="238"/>
      <c r="E21485" s="545"/>
      <c r="F21485" s="546"/>
      <c r="G21485" s="234"/>
      <c r="H21485" s="238"/>
      <c r="I21485" s="237"/>
    </row>
    <row r="21486" spans="1:9" s="232" customFormat="1" ht="17" customHeight="1">
      <c r="A21486" s="234"/>
      <c r="B21486" s="233"/>
      <c r="C21486" s="238"/>
      <c r="E21486" s="545"/>
      <c r="F21486" s="546"/>
      <c r="G21486" s="234"/>
      <c r="H21486" s="238"/>
      <c r="I21486" s="237"/>
    </row>
    <row r="21487" spans="1:9" s="232" customFormat="1" ht="17" customHeight="1">
      <c r="A21487" s="234"/>
      <c r="B21487" s="233"/>
      <c r="C21487" s="238"/>
      <c r="E21487" s="545"/>
      <c r="F21487" s="546"/>
      <c r="G21487" s="234"/>
      <c r="H21487" s="238"/>
      <c r="I21487" s="237"/>
    </row>
    <row r="21488" spans="1:9" s="232" customFormat="1" ht="17" customHeight="1">
      <c r="A21488" s="234"/>
      <c r="B21488" s="233"/>
      <c r="C21488" s="238"/>
      <c r="E21488" s="545"/>
      <c r="F21488" s="546"/>
      <c r="G21488" s="234"/>
      <c r="H21488" s="238"/>
      <c r="I21488" s="237"/>
    </row>
    <row r="21489" spans="1:9" s="232" customFormat="1" ht="17" customHeight="1">
      <c r="A21489" s="234"/>
      <c r="B21489" s="233"/>
      <c r="C21489" s="238"/>
      <c r="E21489" s="545"/>
      <c r="F21489" s="546"/>
      <c r="G21489" s="234"/>
      <c r="H21489" s="238"/>
      <c r="I21489" s="237"/>
    </row>
    <row r="21490" spans="1:9" s="232" customFormat="1" ht="17" customHeight="1">
      <c r="A21490" s="234"/>
      <c r="B21490" s="233"/>
      <c r="C21490" s="238"/>
      <c r="E21490" s="545"/>
      <c r="F21490" s="546"/>
      <c r="G21490" s="234"/>
      <c r="H21490" s="238"/>
      <c r="I21490" s="237"/>
    </row>
    <row r="21491" spans="1:9" s="232" customFormat="1" ht="17" customHeight="1">
      <c r="A21491" s="234"/>
      <c r="B21491" s="233"/>
      <c r="C21491" s="238"/>
      <c r="E21491" s="545"/>
      <c r="F21491" s="546"/>
      <c r="G21491" s="234"/>
      <c r="H21491" s="238"/>
      <c r="I21491" s="237"/>
    </row>
    <row r="21492" spans="1:9" s="232" customFormat="1" ht="17" customHeight="1">
      <c r="A21492" s="234"/>
      <c r="B21492" s="233"/>
      <c r="C21492" s="238"/>
      <c r="E21492" s="545"/>
      <c r="F21492" s="546"/>
      <c r="G21492" s="234"/>
      <c r="H21492" s="238"/>
      <c r="I21492" s="237"/>
    </row>
    <row r="21493" spans="1:9" s="232" customFormat="1" ht="17" customHeight="1">
      <c r="A21493" s="234"/>
      <c r="B21493" s="233"/>
      <c r="C21493" s="238"/>
      <c r="E21493" s="545"/>
      <c r="F21493" s="546"/>
      <c r="G21493" s="234"/>
      <c r="H21493" s="238"/>
      <c r="I21493" s="237"/>
    </row>
    <row r="21494" spans="1:9" s="232" customFormat="1" ht="17" customHeight="1">
      <c r="A21494" s="234"/>
      <c r="B21494" s="233"/>
      <c r="C21494" s="238"/>
      <c r="E21494" s="545"/>
      <c r="F21494" s="546"/>
      <c r="G21494" s="234"/>
      <c r="H21494" s="238"/>
      <c r="I21494" s="237"/>
    </row>
    <row r="21495" spans="1:9" s="232" customFormat="1" ht="17" customHeight="1">
      <c r="A21495" s="234"/>
      <c r="B21495" s="233"/>
      <c r="C21495" s="238"/>
      <c r="E21495" s="545"/>
      <c r="F21495" s="546"/>
      <c r="G21495" s="234"/>
      <c r="H21495" s="238"/>
      <c r="I21495" s="237"/>
    </row>
    <row r="21496" spans="1:9" s="232" customFormat="1" ht="17" customHeight="1">
      <c r="A21496" s="234"/>
      <c r="B21496" s="233"/>
      <c r="C21496" s="238"/>
      <c r="E21496" s="545"/>
      <c r="F21496" s="546"/>
      <c r="G21496" s="234"/>
      <c r="H21496" s="238"/>
      <c r="I21496" s="237"/>
    </row>
    <row r="21497" spans="1:9" s="232" customFormat="1" ht="17" customHeight="1">
      <c r="A21497" s="234"/>
      <c r="B21497" s="233"/>
      <c r="C21497" s="238"/>
      <c r="E21497" s="545"/>
      <c r="F21497" s="546"/>
      <c r="G21497" s="234"/>
      <c r="H21497" s="238"/>
      <c r="I21497" s="237"/>
    </row>
    <row r="21498" spans="1:9" s="232" customFormat="1" ht="17" customHeight="1">
      <c r="A21498" s="234"/>
      <c r="B21498" s="233"/>
      <c r="C21498" s="238"/>
      <c r="E21498" s="545"/>
      <c r="F21498" s="546"/>
      <c r="G21498" s="234"/>
      <c r="H21498" s="238"/>
      <c r="I21498" s="237"/>
    </row>
    <row r="21499" spans="1:9" s="232" customFormat="1" ht="17" customHeight="1">
      <c r="A21499" s="234"/>
      <c r="B21499" s="233"/>
      <c r="C21499" s="238"/>
      <c r="E21499" s="545"/>
      <c r="F21499" s="546"/>
      <c r="G21499" s="234"/>
      <c r="H21499" s="238"/>
      <c r="I21499" s="237"/>
    </row>
    <row r="21500" spans="1:9" s="232" customFormat="1" ht="17" customHeight="1">
      <c r="A21500" s="234"/>
      <c r="B21500" s="233"/>
      <c r="C21500" s="238"/>
      <c r="E21500" s="545"/>
      <c r="F21500" s="546"/>
      <c r="G21500" s="234"/>
      <c r="H21500" s="238"/>
      <c r="I21500" s="237"/>
    </row>
    <row r="21501" spans="1:9" s="232" customFormat="1" ht="17" customHeight="1">
      <c r="A21501" s="234"/>
      <c r="B21501" s="233"/>
      <c r="C21501" s="238"/>
      <c r="E21501" s="545"/>
      <c r="F21501" s="546"/>
      <c r="G21501" s="234"/>
      <c r="H21501" s="238"/>
      <c r="I21501" s="237"/>
    </row>
    <row r="21502" spans="1:9" s="232" customFormat="1" ht="17" customHeight="1">
      <c r="A21502" s="234"/>
      <c r="B21502" s="233"/>
      <c r="C21502" s="238"/>
      <c r="E21502" s="545"/>
      <c r="F21502" s="546"/>
      <c r="G21502" s="234"/>
      <c r="H21502" s="238"/>
      <c r="I21502" s="237"/>
    </row>
    <row r="21503" spans="1:9" s="232" customFormat="1" ht="17" customHeight="1">
      <c r="A21503" s="234"/>
      <c r="B21503" s="233"/>
      <c r="C21503" s="238"/>
      <c r="E21503" s="545"/>
      <c r="F21503" s="546"/>
      <c r="G21503" s="234"/>
      <c r="H21503" s="238"/>
      <c r="I21503" s="237"/>
    </row>
    <row r="21504" spans="1:9" s="232" customFormat="1" ht="17" customHeight="1">
      <c r="A21504" s="234"/>
      <c r="B21504" s="233"/>
      <c r="C21504" s="238"/>
      <c r="E21504" s="545"/>
      <c r="F21504" s="546"/>
      <c r="G21504" s="234"/>
      <c r="H21504" s="238"/>
      <c r="I21504" s="237"/>
    </row>
    <row r="21505" spans="1:9" s="232" customFormat="1" ht="17" customHeight="1">
      <c r="A21505" s="234"/>
      <c r="B21505" s="233"/>
      <c r="C21505" s="238"/>
      <c r="E21505" s="545"/>
      <c r="F21505" s="546"/>
      <c r="G21505" s="234"/>
      <c r="H21505" s="238"/>
      <c r="I21505" s="237"/>
    </row>
    <row r="21506" spans="1:9" s="232" customFormat="1" ht="17" customHeight="1">
      <c r="A21506" s="234"/>
      <c r="B21506" s="233"/>
      <c r="C21506" s="238"/>
      <c r="E21506" s="545"/>
      <c r="F21506" s="546"/>
      <c r="G21506" s="234"/>
      <c r="H21506" s="238"/>
      <c r="I21506" s="237"/>
    </row>
    <row r="21507" spans="1:9" s="232" customFormat="1" ht="17" customHeight="1">
      <c r="A21507" s="234"/>
      <c r="B21507" s="233"/>
      <c r="C21507" s="238"/>
      <c r="E21507" s="545"/>
      <c r="F21507" s="546"/>
      <c r="G21507" s="234"/>
      <c r="H21507" s="238"/>
      <c r="I21507" s="237"/>
    </row>
    <row r="21508" spans="1:9" s="232" customFormat="1" ht="17" customHeight="1">
      <c r="A21508" s="234"/>
      <c r="B21508" s="233"/>
      <c r="C21508" s="238"/>
      <c r="E21508" s="545"/>
      <c r="F21508" s="546"/>
      <c r="G21508" s="234"/>
      <c r="H21508" s="238"/>
      <c r="I21508" s="237"/>
    </row>
    <row r="21509" spans="1:9" s="232" customFormat="1" ht="17" customHeight="1">
      <c r="A21509" s="234"/>
      <c r="B21509" s="233"/>
      <c r="C21509" s="238"/>
      <c r="E21509" s="545"/>
      <c r="F21509" s="546"/>
      <c r="G21509" s="234"/>
      <c r="H21509" s="238"/>
      <c r="I21509" s="237"/>
    </row>
    <row r="21510" spans="1:9" s="232" customFormat="1" ht="17" customHeight="1">
      <c r="A21510" s="234"/>
      <c r="B21510" s="233"/>
      <c r="C21510" s="238"/>
      <c r="E21510" s="545"/>
      <c r="F21510" s="546"/>
      <c r="G21510" s="234"/>
      <c r="H21510" s="238"/>
      <c r="I21510" s="237"/>
    </row>
    <row r="21511" spans="1:9" s="232" customFormat="1" ht="17" customHeight="1">
      <c r="A21511" s="234"/>
      <c r="B21511" s="233"/>
      <c r="C21511" s="238"/>
      <c r="E21511" s="545"/>
      <c r="F21511" s="546"/>
      <c r="G21511" s="234"/>
      <c r="H21511" s="238"/>
      <c r="I21511" s="237"/>
    </row>
    <row r="21512" spans="1:9" s="232" customFormat="1" ht="17" customHeight="1">
      <c r="A21512" s="234"/>
      <c r="B21512" s="233"/>
      <c r="C21512" s="238"/>
      <c r="E21512" s="545"/>
      <c r="F21512" s="546"/>
      <c r="G21512" s="234"/>
      <c r="H21512" s="238"/>
      <c r="I21512" s="237"/>
    </row>
    <row r="21513" spans="1:9" s="232" customFormat="1" ht="17" customHeight="1">
      <c r="A21513" s="234"/>
      <c r="B21513" s="233"/>
      <c r="C21513" s="238"/>
      <c r="E21513" s="545"/>
      <c r="F21513" s="546"/>
      <c r="G21513" s="234"/>
      <c r="H21513" s="238"/>
      <c r="I21513" s="237"/>
    </row>
    <row r="21514" spans="1:9" s="232" customFormat="1" ht="17" customHeight="1">
      <c r="A21514" s="234"/>
      <c r="B21514" s="233"/>
      <c r="C21514" s="238"/>
      <c r="E21514" s="545"/>
      <c r="F21514" s="546"/>
      <c r="G21514" s="234"/>
      <c r="H21514" s="238"/>
      <c r="I21514" s="237"/>
    </row>
    <row r="21515" spans="1:9" s="232" customFormat="1" ht="17" customHeight="1">
      <c r="A21515" s="234"/>
      <c r="B21515" s="233"/>
      <c r="C21515" s="238"/>
      <c r="E21515" s="545"/>
      <c r="F21515" s="546"/>
      <c r="G21515" s="234"/>
      <c r="H21515" s="238"/>
      <c r="I21515" s="237"/>
    </row>
    <row r="21516" spans="1:9" s="232" customFormat="1" ht="17" customHeight="1">
      <c r="A21516" s="234"/>
      <c r="B21516" s="233"/>
      <c r="C21516" s="238"/>
      <c r="E21516" s="545"/>
      <c r="F21516" s="546"/>
      <c r="G21516" s="234"/>
      <c r="H21516" s="238"/>
      <c r="I21516" s="237"/>
    </row>
    <row r="21517" spans="1:9" s="232" customFormat="1" ht="17" customHeight="1">
      <c r="A21517" s="234"/>
      <c r="B21517" s="233"/>
      <c r="C21517" s="238"/>
      <c r="E21517" s="545"/>
      <c r="F21517" s="546"/>
      <c r="G21517" s="234"/>
      <c r="H21517" s="238"/>
      <c r="I21517" s="237"/>
    </row>
    <row r="21518" spans="1:9" s="232" customFormat="1" ht="17" customHeight="1">
      <c r="A21518" s="234"/>
      <c r="B21518" s="233"/>
      <c r="C21518" s="238"/>
      <c r="E21518" s="545"/>
      <c r="F21518" s="546"/>
      <c r="G21518" s="234"/>
      <c r="H21518" s="238"/>
      <c r="I21518" s="237"/>
    </row>
    <row r="21519" spans="1:9" s="232" customFormat="1" ht="17" customHeight="1">
      <c r="A21519" s="234"/>
      <c r="B21519" s="233"/>
      <c r="C21519" s="238"/>
      <c r="E21519" s="545"/>
      <c r="F21519" s="546"/>
      <c r="G21519" s="234"/>
      <c r="H21519" s="238"/>
      <c r="I21519" s="237"/>
    </row>
    <row r="21520" spans="1:9" s="232" customFormat="1" ht="17" customHeight="1">
      <c r="A21520" s="234"/>
      <c r="B21520" s="233"/>
      <c r="C21520" s="238"/>
      <c r="E21520" s="545"/>
      <c r="F21520" s="546"/>
      <c r="G21520" s="234"/>
      <c r="H21520" s="238"/>
      <c r="I21520" s="237"/>
    </row>
    <row r="21521" spans="1:9" s="232" customFormat="1" ht="17" customHeight="1">
      <c r="A21521" s="234"/>
      <c r="B21521" s="233"/>
      <c r="C21521" s="238"/>
      <c r="E21521" s="545"/>
      <c r="F21521" s="546"/>
      <c r="G21521" s="234"/>
      <c r="H21521" s="238"/>
      <c r="I21521" s="237"/>
    </row>
    <row r="21522" spans="1:9" s="232" customFormat="1" ht="17" customHeight="1">
      <c r="A21522" s="234"/>
      <c r="B21522" s="233"/>
      <c r="C21522" s="238"/>
      <c r="E21522" s="545"/>
      <c r="F21522" s="546"/>
      <c r="G21522" s="234"/>
      <c r="H21522" s="238"/>
      <c r="I21522" s="237"/>
    </row>
    <row r="21523" spans="1:9" s="232" customFormat="1" ht="17" customHeight="1">
      <c r="A21523" s="234"/>
      <c r="B21523" s="233"/>
      <c r="C21523" s="238"/>
      <c r="E21523" s="545"/>
      <c r="F21523" s="546"/>
      <c r="G21523" s="234"/>
      <c r="H21523" s="238"/>
      <c r="I21523" s="237"/>
    </row>
    <row r="21524" spans="1:9" s="232" customFormat="1" ht="17" customHeight="1">
      <c r="A21524" s="234"/>
      <c r="B21524" s="233"/>
      <c r="C21524" s="238"/>
      <c r="E21524" s="545"/>
      <c r="F21524" s="546"/>
      <c r="G21524" s="234"/>
      <c r="H21524" s="238"/>
      <c r="I21524" s="237"/>
    </row>
    <row r="21525" spans="1:9" s="232" customFormat="1" ht="17" customHeight="1">
      <c r="A21525" s="234"/>
      <c r="B21525" s="233"/>
      <c r="C21525" s="238"/>
      <c r="E21525" s="545"/>
      <c r="F21525" s="546"/>
      <c r="G21525" s="234"/>
      <c r="H21525" s="238"/>
      <c r="I21525" s="237"/>
    </row>
    <row r="21526" spans="1:9" s="232" customFormat="1" ht="17" customHeight="1">
      <c r="A21526" s="234"/>
      <c r="B21526" s="233"/>
      <c r="C21526" s="238"/>
      <c r="E21526" s="545"/>
      <c r="F21526" s="546"/>
      <c r="G21526" s="234"/>
      <c r="H21526" s="238"/>
      <c r="I21526" s="237"/>
    </row>
    <row r="21527" spans="1:9" s="232" customFormat="1" ht="17" customHeight="1">
      <c r="A21527" s="234"/>
      <c r="B21527" s="233"/>
      <c r="C21527" s="238"/>
      <c r="E21527" s="545"/>
      <c r="F21527" s="546"/>
      <c r="G21527" s="234"/>
      <c r="H21527" s="238"/>
      <c r="I21527" s="237"/>
    </row>
    <row r="21528" spans="1:9" s="232" customFormat="1" ht="17" customHeight="1">
      <c r="A21528" s="234"/>
      <c r="B21528" s="233"/>
      <c r="C21528" s="238"/>
      <c r="E21528" s="545"/>
      <c r="F21528" s="546"/>
      <c r="G21528" s="234"/>
      <c r="H21528" s="238"/>
      <c r="I21528" s="237"/>
    </row>
    <row r="21529" spans="1:9" s="232" customFormat="1" ht="17" customHeight="1">
      <c r="A21529" s="234"/>
      <c r="B21529" s="233"/>
      <c r="C21529" s="238"/>
      <c r="E21529" s="545"/>
      <c r="F21529" s="546"/>
      <c r="G21529" s="234"/>
      <c r="H21529" s="238"/>
      <c r="I21529" s="237"/>
    </row>
    <row r="21530" spans="1:9" s="232" customFormat="1" ht="17" customHeight="1">
      <c r="A21530" s="234"/>
      <c r="B21530" s="233"/>
      <c r="C21530" s="238"/>
      <c r="E21530" s="545"/>
      <c r="F21530" s="546"/>
      <c r="G21530" s="234"/>
      <c r="H21530" s="238"/>
      <c r="I21530" s="237"/>
    </row>
    <row r="21531" spans="1:9" s="232" customFormat="1" ht="17" customHeight="1">
      <c r="A21531" s="234"/>
      <c r="B21531" s="233"/>
      <c r="C21531" s="238"/>
      <c r="E21531" s="545"/>
      <c r="F21531" s="546"/>
      <c r="G21531" s="234"/>
      <c r="H21531" s="238"/>
      <c r="I21531" s="237"/>
    </row>
    <row r="21532" spans="1:9" s="232" customFormat="1" ht="17" customHeight="1">
      <c r="A21532" s="234"/>
      <c r="B21532" s="233"/>
      <c r="C21532" s="238"/>
      <c r="E21532" s="545"/>
      <c r="F21532" s="546"/>
      <c r="G21532" s="234"/>
      <c r="H21532" s="238"/>
      <c r="I21532" s="237"/>
    </row>
    <row r="21533" spans="1:9" s="232" customFormat="1" ht="17" customHeight="1">
      <c r="A21533" s="234"/>
      <c r="B21533" s="233"/>
      <c r="C21533" s="238"/>
      <c r="E21533" s="545"/>
      <c r="F21533" s="546"/>
      <c r="G21533" s="234"/>
      <c r="H21533" s="238"/>
      <c r="I21533" s="237"/>
    </row>
    <row r="21534" spans="1:9" s="232" customFormat="1" ht="17" customHeight="1">
      <c r="A21534" s="234"/>
      <c r="B21534" s="233"/>
      <c r="C21534" s="238"/>
      <c r="E21534" s="545"/>
      <c r="F21534" s="546"/>
      <c r="G21534" s="234"/>
      <c r="H21534" s="238"/>
      <c r="I21534" s="237"/>
    </row>
    <row r="21535" spans="1:9" s="232" customFormat="1" ht="17" customHeight="1">
      <c r="A21535" s="234"/>
      <c r="B21535" s="233"/>
      <c r="C21535" s="238"/>
      <c r="E21535" s="545"/>
      <c r="F21535" s="546"/>
      <c r="G21535" s="234"/>
      <c r="H21535" s="238"/>
      <c r="I21535" s="237"/>
    </row>
    <row r="21536" spans="1:9" s="232" customFormat="1" ht="17" customHeight="1">
      <c r="A21536" s="234"/>
      <c r="B21536" s="233"/>
      <c r="C21536" s="238"/>
      <c r="E21536" s="545"/>
      <c r="F21536" s="546"/>
      <c r="G21536" s="234"/>
      <c r="H21536" s="238"/>
      <c r="I21536" s="237"/>
    </row>
    <row r="21537" spans="1:9" s="232" customFormat="1" ht="17" customHeight="1">
      <c r="A21537" s="234"/>
      <c r="B21537" s="233"/>
      <c r="C21537" s="238"/>
      <c r="E21537" s="545"/>
      <c r="F21537" s="546"/>
      <c r="G21537" s="234"/>
      <c r="H21537" s="238"/>
      <c r="I21537" s="237"/>
    </row>
    <row r="21538" spans="1:9" s="232" customFormat="1" ht="17" customHeight="1">
      <c r="A21538" s="234"/>
      <c r="B21538" s="233"/>
      <c r="C21538" s="238"/>
      <c r="E21538" s="545"/>
      <c r="F21538" s="546"/>
      <c r="G21538" s="234"/>
      <c r="H21538" s="238"/>
      <c r="I21538" s="237"/>
    </row>
    <row r="21539" spans="1:9" s="232" customFormat="1" ht="17" customHeight="1">
      <c r="A21539" s="234"/>
      <c r="B21539" s="233"/>
      <c r="C21539" s="238"/>
      <c r="E21539" s="545"/>
      <c r="F21539" s="546"/>
      <c r="G21539" s="234"/>
      <c r="H21539" s="238"/>
      <c r="I21539" s="237"/>
    </row>
    <row r="21540" spans="1:9" s="232" customFormat="1" ht="17" customHeight="1">
      <c r="A21540" s="234"/>
      <c r="B21540" s="233"/>
      <c r="C21540" s="238"/>
      <c r="E21540" s="545"/>
      <c r="F21540" s="546"/>
      <c r="G21540" s="234"/>
      <c r="H21540" s="238"/>
      <c r="I21540" s="237"/>
    </row>
    <row r="21541" spans="1:9" s="232" customFormat="1" ht="17" customHeight="1">
      <c r="A21541" s="234"/>
      <c r="B21541" s="233"/>
      <c r="C21541" s="238"/>
      <c r="E21541" s="545"/>
      <c r="F21541" s="546"/>
      <c r="G21541" s="234"/>
      <c r="H21541" s="238"/>
      <c r="I21541" s="237"/>
    </row>
    <row r="21542" spans="1:9" s="232" customFormat="1" ht="17" customHeight="1">
      <c r="A21542" s="234"/>
      <c r="B21542" s="233"/>
      <c r="C21542" s="238"/>
      <c r="E21542" s="545"/>
      <c r="F21542" s="546"/>
      <c r="G21542" s="234"/>
      <c r="H21542" s="238"/>
      <c r="I21542" s="237"/>
    </row>
    <row r="21543" spans="1:9" s="232" customFormat="1" ht="17" customHeight="1">
      <c r="A21543" s="234"/>
      <c r="B21543" s="233"/>
      <c r="C21543" s="238"/>
      <c r="E21543" s="545"/>
      <c r="F21543" s="546"/>
      <c r="G21543" s="234"/>
      <c r="H21543" s="238"/>
      <c r="I21543" s="237"/>
    </row>
    <row r="21544" spans="1:9" s="232" customFormat="1" ht="17" customHeight="1">
      <c r="A21544" s="234"/>
      <c r="B21544" s="233"/>
      <c r="C21544" s="238"/>
      <c r="E21544" s="545"/>
      <c r="F21544" s="546"/>
      <c r="G21544" s="234"/>
      <c r="H21544" s="238"/>
      <c r="I21544" s="237"/>
    </row>
    <row r="21545" spans="1:9" s="232" customFormat="1" ht="17" customHeight="1">
      <c r="A21545" s="234"/>
      <c r="B21545" s="233"/>
      <c r="C21545" s="238"/>
      <c r="E21545" s="545"/>
      <c r="F21545" s="546"/>
      <c r="G21545" s="234"/>
      <c r="H21545" s="238"/>
      <c r="I21545" s="237"/>
    </row>
    <row r="21546" spans="1:9" s="232" customFormat="1" ht="17" customHeight="1">
      <c r="A21546" s="234"/>
      <c r="B21546" s="233"/>
      <c r="C21546" s="238"/>
      <c r="E21546" s="545"/>
      <c r="F21546" s="546"/>
      <c r="G21546" s="234"/>
      <c r="H21546" s="238"/>
      <c r="I21546" s="237"/>
    </row>
    <row r="21547" spans="1:9" s="232" customFormat="1" ht="17" customHeight="1">
      <c r="A21547" s="234"/>
      <c r="B21547" s="233"/>
      <c r="C21547" s="238"/>
      <c r="E21547" s="545"/>
      <c r="F21547" s="546"/>
      <c r="G21547" s="234"/>
      <c r="H21547" s="238"/>
      <c r="I21547" s="237"/>
    </row>
    <row r="21548" spans="1:9" s="232" customFormat="1" ht="17" customHeight="1">
      <c r="A21548" s="234"/>
      <c r="B21548" s="233"/>
      <c r="C21548" s="238"/>
      <c r="E21548" s="545"/>
      <c r="F21548" s="546"/>
      <c r="G21548" s="234"/>
      <c r="H21548" s="238"/>
      <c r="I21548" s="237"/>
    </row>
    <row r="21549" spans="1:9" s="232" customFormat="1" ht="17" customHeight="1">
      <c r="A21549" s="234"/>
      <c r="B21549" s="233"/>
      <c r="C21549" s="238"/>
      <c r="E21549" s="545"/>
      <c r="F21549" s="546"/>
      <c r="G21549" s="234"/>
      <c r="H21549" s="238"/>
      <c r="I21549" s="237"/>
    </row>
    <row r="21550" spans="1:9" s="232" customFormat="1" ht="17" customHeight="1">
      <c r="A21550" s="234"/>
      <c r="B21550" s="233"/>
      <c r="C21550" s="238"/>
      <c r="E21550" s="545"/>
      <c r="F21550" s="546"/>
      <c r="G21550" s="234"/>
      <c r="H21550" s="238"/>
      <c r="I21550" s="237"/>
    </row>
    <row r="21551" spans="1:9" s="232" customFormat="1" ht="17" customHeight="1">
      <c r="A21551" s="234"/>
      <c r="B21551" s="233"/>
      <c r="C21551" s="238"/>
      <c r="E21551" s="545"/>
      <c r="F21551" s="546"/>
      <c r="G21551" s="234"/>
      <c r="H21551" s="238"/>
      <c r="I21551" s="237"/>
    </row>
    <row r="21552" spans="1:9" s="232" customFormat="1" ht="17" customHeight="1">
      <c r="A21552" s="234"/>
      <c r="B21552" s="233"/>
      <c r="C21552" s="238"/>
      <c r="E21552" s="545"/>
      <c r="F21552" s="546"/>
      <c r="G21552" s="234"/>
      <c r="H21552" s="238"/>
      <c r="I21552" s="237"/>
    </row>
    <row r="21553" spans="1:9" s="232" customFormat="1" ht="17" customHeight="1">
      <c r="A21553" s="234"/>
      <c r="B21553" s="233"/>
      <c r="C21553" s="238"/>
      <c r="E21553" s="545"/>
      <c r="F21553" s="546"/>
      <c r="G21553" s="234"/>
      <c r="H21553" s="238"/>
      <c r="I21553" s="237"/>
    </row>
    <row r="21554" spans="1:9" s="232" customFormat="1" ht="17" customHeight="1">
      <c r="A21554" s="234"/>
      <c r="B21554" s="233"/>
      <c r="C21554" s="238"/>
      <c r="E21554" s="545"/>
      <c r="F21554" s="546"/>
      <c r="G21554" s="234"/>
      <c r="H21554" s="238"/>
      <c r="I21554" s="237"/>
    </row>
    <row r="21555" spans="1:9" s="232" customFormat="1" ht="17" customHeight="1">
      <c r="A21555" s="234"/>
      <c r="B21555" s="233"/>
      <c r="C21555" s="238"/>
      <c r="E21555" s="545"/>
      <c r="F21555" s="546"/>
      <c r="G21555" s="234"/>
      <c r="H21555" s="238"/>
      <c r="I21555" s="237"/>
    </row>
    <row r="21556" spans="1:9" s="232" customFormat="1" ht="17" customHeight="1">
      <c r="A21556" s="234"/>
      <c r="B21556" s="233"/>
      <c r="C21556" s="238"/>
      <c r="E21556" s="545"/>
      <c r="F21556" s="546"/>
      <c r="G21556" s="234"/>
      <c r="H21556" s="238"/>
      <c r="I21556" s="237"/>
    </row>
    <row r="21557" spans="1:9" s="232" customFormat="1" ht="17" customHeight="1">
      <c r="A21557" s="234"/>
      <c r="B21557" s="233"/>
      <c r="C21557" s="238"/>
      <c r="E21557" s="545"/>
      <c r="F21557" s="546"/>
      <c r="G21557" s="234"/>
      <c r="H21557" s="238"/>
      <c r="I21557" s="237"/>
    </row>
    <row r="21558" spans="1:9" s="232" customFormat="1" ht="17" customHeight="1">
      <c r="A21558" s="234"/>
      <c r="B21558" s="233"/>
      <c r="C21558" s="238"/>
      <c r="E21558" s="545"/>
      <c r="F21558" s="546"/>
      <c r="G21558" s="234"/>
      <c r="H21558" s="238"/>
      <c r="I21558" s="237"/>
    </row>
    <row r="21559" spans="1:9" s="232" customFormat="1" ht="17" customHeight="1">
      <c r="A21559" s="234"/>
      <c r="B21559" s="233"/>
      <c r="C21559" s="238"/>
      <c r="E21559" s="545"/>
      <c r="F21559" s="546"/>
      <c r="G21559" s="234"/>
      <c r="H21559" s="238"/>
      <c r="I21559" s="237"/>
    </row>
    <row r="21560" spans="1:9" s="232" customFormat="1" ht="17" customHeight="1">
      <c r="A21560" s="234"/>
      <c r="B21560" s="233"/>
      <c r="C21560" s="238"/>
      <c r="E21560" s="545"/>
      <c r="F21560" s="546"/>
      <c r="G21560" s="234"/>
      <c r="H21560" s="238"/>
      <c r="I21560" s="237"/>
    </row>
    <row r="21561" spans="1:9" s="232" customFormat="1" ht="17" customHeight="1">
      <c r="A21561" s="234"/>
      <c r="B21561" s="233"/>
      <c r="C21561" s="238"/>
      <c r="E21561" s="545"/>
      <c r="F21561" s="546"/>
      <c r="G21561" s="234"/>
      <c r="H21561" s="238"/>
      <c r="I21561" s="237"/>
    </row>
    <row r="21562" spans="1:9" s="232" customFormat="1" ht="17" customHeight="1">
      <c r="A21562" s="234"/>
      <c r="B21562" s="233"/>
      <c r="C21562" s="238"/>
      <c r="E21562" s="545"/>
      <c r="F21562" s="546"/>
      <c r="G21562" s="234"/>
      <c r="H21562" s="238"/>
      <c r="I21562" s="237"/>
    </row>
    <row r="21563" spans="1:9" s="232" customFormat="1" ht="17" customHeight="1">
      <c r="A21563" s="234"/>
      <c r="B21563" s="233"/>
      <c r="C21563" s="238"/>
      <c r="E21563" s="545"/>
      <c r="F21563" s="546"/>
      <c r="G21563" s="234"/>
      <c r="H21563" s="238"/>
      <c r="I21563" s="237"/>
    </row>
    <row r="21564" spans="1:9" s="232" customFormat="1" ht="17" customHeight="1">
      <c r="A21564" s="234"/>
      <c r="B21564" s="233"/>
      <c r="C21564" s="238"/>
      <c r="E21564" s="545"/>
      <c r="F21564" s="546"/>
      <c r="G21564" s="234"/>
      <c r="H21564" s="238"/>
      <c r="I21564" s="237"/>
    </row>
    <row r="21565" spans="1:9" s="232" customFormat="1" ht="17" customHeight="1">
      <c r="A21565" s="234"/>
      <c r="B21565" s="233"/>
      <c r="C21565" s="238"/>
      <c r="E21565" s="545"/>
      <c r="F21565" s="546"/>
      <c r="G21565" s="234"/>
      <c r="H21565" s="238"/>
      <c r="I21565" s="237"/>
    </row>
    <row r="21566" spans="1:9" s="232" customFormat="1" ht="17" customHeight="1">
      <c r="A21566" s="234"/>
      <c r="B21566" s="233"/>
      <c r="C21566" s="238"/>
      <c r="E21566" s="545"/>
      <c r="F21566" s="546"/>
      <c r="G21566" s="234"/>
      <c r="H21566" s="238"/>
      <c r="I21566" s="237"/>
    </row>
    <row r="21567" spans="1:9" s="232" customFormat="1" ht="17" customHeight="1">
      <c r="A21567" s="234"/>
      <c r="B21567" s="233"/>
      <c r="C21567" s="238"/>
      <c r="E21567" s="545"/>
      <c r="F21567" s="546"/>
      <c r="G21567" s="234"/>
      <c r="H21567" s="238"/>
      <c r="I21567" s="237"/>
    </row>
    <row r="21568" spans="1:9" s="232" customFormat="1" ht="17" customHeight="1">
      <c r="A21568" s="234"/>
      <c r="B21568" s="233"/>
      <c r="C21568" s="238"/>
      <c r="E21568" s="545"/>
      <c r="F21568" s="546"/>
      <c r="G21568" s="234"/>
      <c r="H21568" s="238"/>
      <c r="I21568" s="237"/>
    </row>
    <row r="21569" spans="1:9" s="232" customFormat="1" ht="17" customHeight="1">
      <c r="A21569" s="234"/>
      <c r="B21569" s="233"/>
      <c r="C21569" s="238"/>
      <c r="E21569" s="545"/>
      <c r="F21569" s="546"/>
      <c r="G21569" s="234"/>
      <c r="H21569" s="238"/>
      <c r="I21569" s="237"/>
    </row>
    <row r="21570" spans="1:9" s="232" customFormat="1" ht="17" customHeight="1">
      <c r="A21570" s="234"/>
      <c r="B21570" s="233"/>
      <c r="C21570" s="238"/>
      <c r="E21570" s="545"/>
      <c r="F21570" s="546"/>
      <c r="G21570" s="234"/>
      <c r="H21570" s="238"/>
      <c r="I21570" s="237"/>
    </row>
    <row r="21571" spans="1:9" s="232" customFormat="1" ht="17" customHeight="1">
      <c r="A21571" s="234"/>
      <c r="B21571" s="233"/>
      <c r="C21571" s="238"/>
      <c r="E21571" s="545"/>
      <c r="F21571" s="546"/>
      <c r="G21571" s="234"/>
      <c r="H21571" s="238"/>
      <c r="I21571" s="237"/>
    </row>
    <row r="21572" spans="1:9" s="232" customFormat="1" ht="17" customHeight="1">
      <c r="A21572" s="234"/>
      <c r="B21572" s="233"/>
      <c r="C21572" s="238"/>
      <c r="E21572" s="545"/>
      <c r="F21572" s="546"/>
      <c r="G21572" s="234"/>
      <c r="H21572" s="238"/>
      <c r="I21572" s="237"/>
    </row>
    <row r="21573" spans="1:9" s="232" customFormat="1" ht="17" customHeight="1">
      <c r="A21573" s="234"/>
      <c r="B21573" s="233"/>
      <c r="C21573" s="238"/>
      <c r="E21573" s="545"/>
      <c r="F21573" s="546"/>
      <c r="G21573" s="234"/>
      <c r="H21573" s="238"/>
      <c r="I21573" s="237"/>
    </row>
    <row r="21574" spans="1:9" s="232" customFormat="1" ht="17" customHeight="1">
      <c r="A21574" s="234"/>
      <c r="B21574" s="233"/>
      <c r="C21574" s="238"/>
      <c r="E21574" s="545"/>
      <c r="F21574" s="546"/>
      <c r="G21574" s="234"/>
      <c r="H21574" s="238"/>
      <c r="I21574" s="237"/>
    </row>
    <row r="21575" spans="1:9" s="232" customFormat="1" ht="17" customHeight="1">
      <c r="A21575" s="234"/>
      <c r="B21575" s="233"/>
      <c r="C21575" s="238"/>
      <c r="E21575" s="545"/>
      <c r="F21575" s="546"/>
      <c r="G21575" s="234"/>
      <c r="H21575" s="238"/>
      <c r="I21575" s="237"/>
    </row>
    <row r="21576" spans="1:9" s="232" customFormat="1" ht="17" customHeight="1">
      <c r="A21576" s="234"/>
      <c r="B21576" s="233"/>
      <c r="C21576" s="238"/>
      <c r="E21576" s="545"/>
      <c r="F21576" s="546"/>
      <c r="G21576" s="234"/>
      <c r="H21576" s="238"/>
      <c r="I21576" s="237"/>
    </row>
    <row r="21577" spans="1:9" s="232" customFormat="1" ht="17" customHeight="1">
      <c r="A21577" s="234"/>
      <c r="B21577" s="233"/>
      <c r="C21577" s="238"/>
      <c r="E21577" s="545"/>
      <c r="F21577" s="546"/>
      <c r="G21577" s="234"/>
      <c r="H21577" s="238"/>
      <c r="I21577" s="237"/>
    </row>
    <row r="21578" spans="1:9" s="232" customFormat="1" ht="17" customHeight="1">
      <c r="A21578" s="234"/>
      <c r="B21578" s="233"/>
      <c r="C21578" s="238"/>
      <c r="E21578" s="545"/>
      <c r="F21578" s="546"/>
      <c r="G21578" s="234"/>
      <c r="H21578" s="238"/>
      <c r="I21578" s="237"/>
    </row>
    <row r="21579" spans="1:9" s="232" customFormat="1" ht="17" customHeight="1">
      <c r="A21579" s="234"/>
      <c r="B21579" s="233"/>
      <c r="C21579" s="238"/>
      <c r="E21579" s="545"/>
      <c r="F21579" s="546"/>
      <c r="G21579" s="234"/>
      <c r="H21579" s="238"/>
      <c r="I21579" s="237"/>
    </row>
    <row r="21580" spans="1:9" s="232" customFormat="1" ht="17" customHeight="1">
      <c r="A21580" s="234"/>
      <c r="B21580" s="233"/>
      <c r="C21580" s="238"/>
      <c r="E21580" s="545"/>
      <c r="F21580" s="546"/>
      <c r="G21580" s="234"/>
      <c r="H21580" s="238"/>
      <c r="I21580" s="237"/>
    </row>
    <row r="21581" spans="1:9" s="232" customFormat="1" ht="17" customHeight="1">
      <c r="A21581" s="234"/>
      <c r="B21581" s="233"/>
      <c r="C21581" s="238"/>
      <c r="E21581" s="545"/>
      <c r="F21581" s="546"/>
      <c r="G21581" s="234"/>
      <c r="H21581" s="238"/>
      <c r="I21581" s="237"/>
    </row>
    <row r="21582" spans="1:9" s="232" customFormat="1" ht="17" customHeight="1">
      <c r="A21582" s="234"/>
      <c r="B21582" s="233"/>
      <c r="C21582" s="238"/>
      <c r="E21582" s="545"/>
      <c r="F21582" s="546"/>
      <c r="G21582" s="234"/>
      <c r="H21582" s="238"/>
      <c r="I21582" s="237"/>
    </row>
    <row r="21583" spans="1:9" s="232" customFormat="1" ht="17" customHeight="1">
      <c r="A21583" s="234"/>
      <c r="B21583" s="233"/>
      <c r="C21583" s="238"/>
      <c r="E21583" s="545"/>
      <c r="F21583" s="546"/>
      <c r="G21583" s="234"/>
      <c r="H21583" s="238"/>
      <c r="I21583" s="237"/>
    </row>
    <row r="21584" spans="1:9" s="232" customFormat="1" ht="17" customHeight="1">
      <c r="A21584" s="234"/>
      <c r="B21584" s="233"/>
      <c r="C21584" s="238"/>
      <c r="E21584" s="545"/>
      <c r="F21584" s="546"/>
      <c r="G21584" s="234"/>
      <c r="H21584" s="238"/>
      <c r="I21584" s="237"/>
    </row>
    <row r="21585" spans="1:9" s="232" customFormat="1" ht="17" customHeight="1">
      <c r="A21585" s="234"/>
      <c r="B21585" s="233"/>
      <c r="C21585" s="238"/>
      <c r="E21585" s="545"/>
      <c r="F21585" s="546"/>
      <c r="G21585" s="234"/>
      <c r="H21585" s="238"/>
      <c r="I21585" s="237"/>
    </row>
    <row r="21586" spans="1:9" s="232" customFormat="1" ht="17" customHeight="1">
      <c r="A21586" s="234"/>
      <c r="B21586" s="233"/>
      <c r="C21586" s="238"/>
      <c r="E21586" s="545"/>
      <c r="F21586" s="546"/>
      <c r="G21586" s="234"/>
      <c r="H21586" s="238"/>
      <c r="I21586" s="237"/>
    </row>
    <row r="21587" spans="1:9" s="232" customFormat="1" ht="17" customHeight="1">
      <c r="A21587" s="234"/>
      <c r="B21587" s="233"/>
      <c r="C21587" s="238"/>
      <c r="E21587" s="545"/>
      <c r="F21587" s="546"/>
      <c r="G21587" s="234"/>
      <c r="H21587" s="238"/>
      <c r="I21587" s="237"/>
    </row>
    <row r="21588" spans="1:9" s="232" customFormat="1" ht="17" customHeight="1">
      <c r="A21588" s="234"/>
      <c r="B21588" s="233"/>
      <c r="C21588" s="238"/>
      <c r="E21588" s="545"/>
      <c r="F21588" s="546"/>
      <c r="G21588" s="234"/>
      <c r="H21588" s="238"/>
      <c r="I21588" s="237"/>
    </row>
    <row r="21589" spans="1:9" s="232" customFormat="1" ht="17" customHeight="1">
      <c r="A21589" s="234"/>
      <c r="B21589" s="233"/>
      <c r="C21589" s="238"/>
      <c r="E21589" s="545"/>
      <c r="F21589" s="546"/>
      <c r="G21589" s="234"/>
      <c r="H21589" s="238"/>
      <c r="I21589" s="237"/>
    </row>
    <row r="21590" spans="1:9" s="232" customFormat="1" ht="17" customHeight="1">
      <c r="A21590" s="234"/>
      <c r="B21590" s="233"/>
      <c r="C21590" s="238"/>
      <c r="E21590" s="545"/>
      <c r="F21590" s="546"/>
      <c r="G21590" s="234"/>
      <c r="H21590" s="238"/>
      <c r="I21590" s="237"/>
    </row>
    <row r="21591" spans="1:9" s="232" customFormat="1" ht="17" customHeight="1">
      <c r="A21591" s="234"/>
      <c r="B21591" s="233"/>
      <c r="C21591" s="238"/>
      <c r="E21591" s="545"/>
      <c r="F21591" s="546"/>
      <c r="G21591" s="234"/>
      <c r="H21591" s="238"/>
      <c r="I21591" s="237"/>
    </row>
    <row r="21592" spans="1:9" s="232" customFormat="1" ht="17" customHeight="1">
      <c r="A21592" s="234"/>
      <c r="B21592" s="233"/>
      <c r="C21592" s="238"/>
      <c r="E21592" s="545"/>
      <c r="F21592" s="546"/>
      <c r="G21592" s="234"/>
      <c r="H21592" s="238"/>
      <c r="I21592" s="237"/>
    </row>
    <row r="21593" spans="1:9" s="232" customFormat="1" ht="17" customHeight="1">
      <c r="A21593" s="234"/>
      <c r="B21593" s="233"/>
      <c r="C21593" s="238"/>
      <c r="E21593" s="545"/>
      <c r="F21593" s="546"/>
      <c r="G21593" s="234"/>
      <c r="H21593" s="238"/>
      <c r="I21593" s="237"/>
    </row>
    <row r="21594" spans="1:9" s="232" customFormat="1" ht="17" customHeight="1">
      <c r="A21594" s="234"/>
      <c r="B21594" s="233"/>
      <c r="C21594" s="238"/>
      <c r="E21594" s="545"/>
      <c r="F21594" s="546"/>
      <c r="G21594" s="234"/>
      <c r="H21594" s="238"/>
      <c r="I21594" s="237"/>
    </row>
    <row r="21595" spans="1:9" s="232" customFormat="1" ht="17" customHeight="1">
      <c r="A21595" s="234"/>
      <c r="B21595" s="233"/>
      <c r="C21595" s="238"/>
      <c r="E21595" s="545"/>
      <c r="F21595" s="546"/>
      <c r="G21595" s="234"/>
      <c r="H21595" s="238"/>
      <c r="I21595" s="237"/>
    </row>
    <row r="21596" spans="1:9" s="232" customFormat="1" ht="17" customHeight="1">
      <c r="A21596" s="234"/>
      <c r="B21596" s="233"/>
      <c r="C21596" s="238"/>
      <c r="E21596" s="545"/>
      <c r="F21596" s="546"/>
      <c r="G21596" s="234"/>
      <c r="H21596" s="238"/>
      <c r="I21596" s="237"/>
    </row>
    <row r="21597" spans="1:9" s="232" customFormat="1" ht="17" customHeight="1">
      <c r="A21597" s="234"/>
      <c r="B21597" s="233"/>
      <c r="C21597" s="238"/>
      <c r="E21597" s="545"/>
      <c r="F21597" s="546"/>
      <c r="G21597" s="234"/>
      <c r="H21597" s="238"/>
      <c r="I21597" s="237"/>
    </row>
    <row r="21598" spans="1:9" s="232" customFormat="1" ht="17" customHeight="1">
      <c r="A21598" s="234"/>
      <c r="B21598" s="233"/>
      <c r="C21598" s="238"/>
      <c r="E21598" s="545"/>
      <c r="F21598" s="546"/>
      <c r="G21598" s="234"/>
      <c r="H21598" s="238"/>
      <c r="I21598" s="237"/>
    </row>
    <row r="21599" spans="1:9" s="232" customFormat="1" ht="17" customHeight="1">
      <c r="A21599" s="234"/>
      <c r="B21599" s="233"/>
      <c r="C21599" s="238"/>
      <c r="E21599" s="545"/>
      <c r="F21599" s="546"/>
      <c r="G21599" s="234"/>
      <c r="H21599" s="238"/>
      <c r="I21599" s="237"/>
    </row>
    <row r="21600" spans="1:9" s="232" customFormat="1" ht="17" customHeight="1">
      <c r="A21600" s="234"/>
      <c r="B21600" s="233"/>
      <c r="C21600" s="238"/>
      <c r="E21600" s="545"/>
      <c r="F21600" s="546"/>
      <c r="G21600" s="234"/>
      <c r="H21600" s="238"/>
      <c r="I21600" s="237"/>
    </row>
    <row r="21601" spans="1:9" s="232" customFormat="1" ht="17" customHeight="1">
      <c r="A21601" s="234"/>
      <c r="B21601" s="233"/>
      <c r="C21601" s="238"/>
      <c r="E21601" s="545"/>
      <c r="F21601" s="546"/>
      <c r="G21601" s="234"/>
      <c r="H21601" s="238"/>
      <c r="I21601" s="237"/>
    </row>
    <row r="21602" spans="1:9" s="232" customFormat="1" ht="17" customHeight="1">
      <c r="A21602" s="234"/>
      <c r="B21602" s="233"/>
      <c r="C21602" s="238"/>
      <c r="E21602" s="545"/>
      <c r="F21602" s="546"/>
      <c r="G21602" s="234"/>
      <c r="H21602" s="238"/>
      <c r="I21602" s="237"/>
    </row>
    <row r="21603" spans="1:9" s="232" customFormat="1" ht="17" customHeight="1">
      <c r="A21603" s="234"/>
      <c r="B21603" s="233"/>
      <c r="C21603" s="238"/>
      <c r="E21603" s="545"/>
      <c r="F21603" s="546"/>
      <c r="G21603" s="234"/>
      <c r="H21603" s="238"/>
      <c r="I21603" s="237"/>
    </row>
    <row r="21604" spans="1:9" s="232" customFormat="1" ht="17" customHeight="1">
      <c r="A21604" s="234"/>
      <c r="B21604" s="233"/>
      <c r="C21604" s="238"/>
      <c r="E21604" s="545"/>
      <c r="F21604" s="546"/>
      <c r="G21604" s="234"/>
      <c r="H21604" s="238"/>
      <c r="I21604" s="237"/>
    </row>
    <row r="21605" spans="1:9" s="232" customFormat="1" ht="17" customHeight="1">
      <c r="A21605" s="234"/>
      <c r="B21605" s="233"/>
      <c r="C21605" s="238"/>
      <c r="E21605" s="545"/>
      <c r="F21605" s="546"/>
      <c r="G21605" s="234"/>
      <c r="H21605" s="238"/>
      <c r="I21605" s="237"/>
    </row>
    <row r="21606" spans="1:9" s="232" customFormat="1" ht="17" customHeight="1">
      <c r="A21606" s="234"/>
      <c r="B21606" s="233"/>
      <c r="C21606" s="238"/>
      <c r="E21606" s="545"/>
      <c r="F21606" s="546"/>
      <c r="G21606" s="234"/>
      <c r="H21606" s="238"/>
      <c r="I21606" s="237"/>
    </row>
    <row r="21607" spans="1:9" s="232" customFormat="1" ht="17" customHeight="1">
      <c r="A21607" s="234"/>
      <c r="B21607" s="233"/>
      <c r="C21607" s="238"/>
      <c r="E21607" s="545"/>
      <c r="F21607" s="546"/>
      <c r="G21607" s="234"/>
      <c r="H21607" s="238"/>
      <c r="I21607" s="237"/>
    </row>
    <row r="21608" spans="1:9" s="232" customFormat="1" ht="17" customHeight="1">
      <c r="A21608" s="234"/>
      <c r="B21608" s="233"/>
      <c r="C21608" s="238"/>
      <c r="E21608" s="545"/>
      <c r="F21608" s="546"/>
      <c r="G21608" s="234"/>
      <c r="H21608" s="238"/>
      <c r="I21608" s="237"/>
    </row>
    <row r="21609" spans="1:9" s="232" customFormat="1" ht="17" customHeight="1">
      <c r="A21609" s="234"/>
      <c r="B21609" s="233"/>
      <c r="C21609" s="238"/>
      <c r="E21609" s="545"/>
      <c r="F21609" s="546"/>
      <c r="G21609" s="234"/>
      <c r="H21609" s="238"/>
      <c r="I21609" s="237"/>
    </row>
    <row r="21610" spans="1:9" s="232" customFormat="1" ht="17" customHeight="1">
      <c r="A21610" s="234"/>
      <c r="B21610" s="233"/>
      <c r="C21610" s="238"/>
      <c r="E21610" s="545"/>
      <c r="F21610" s="546"/>
      <c r="G21610" s="234"/>
      <c r="H21610" s="238"/>
      <c r="I21610" s="237"/>
    </row>
    <row r="21611" spans="1:9" s="232" customFormat="1" ht="17" customHeight="1">
      <c r="A21611" s="234"/>
      <c r="B21611" s="233"/>
      <c r="C21611" s="238"/>
      <c r="E21611" s="545"/>
      <c r="F21611" s="546"/>
      <c r="G21611" s="234"/>
      <c r="H21611" s="238"/>
      <c r="I21611" s="237"/>
    </row>
    <row r="21612" spans="1:9" s="232" customFormat="1" ht="17" customHeight="1">
      <c r="A21612" s="234"/>
      <c r="B21612" s="233"/>
      <c r="C21612" s="238"/>
      <c r="E21612" s="545"/>
      <c r="F21612" s="546"/>
      <c r="G21612" s="234"/>
      <c r="H21612" s="238"/>
      <c r="I21612" s="237"/>
    </row>
    <row r="21613" spans="1:9" s="232" customFormat="1" ht="17" customHeight="1">
      <c r="A21613" s="234"/>
      <c r="B21613" s="233"/>
      <c r="C21613" s="238"/>
      <c r="E21613" s="545"/>
      <c r="F21613" s="546"/>
      <c r="G21613" s="234"/>
      <c r="H21613" s="238"/>
      <c r="I21613" s="237"/>
    </row>
    <row r="21614" spans="1:9" s="232" customFormat="1" ht="17" customHeight="1">
      <c r="A21614" s="234"/>
      <c r="B21614" s="233"/>
      <c r="C21614" s="238"/>
      <c r="E21614" s="545"/>
      <c r="F21614" s="546"/>
      <c r="G21614" s="234"/>
      <c r="H21614" s="238"/>
      <c r="I21614" s="237"/>
    </row>
    <row r="21615" spans="1:9" s="232" customFormat="1" ht="17" customHeight="1">
      <c r="A21615" s="234"/>
      <c r="B21615" s="233"/>
      <c r="C21615" s="238"/>
      <c r="E21615" s="545"/>
      <c r="F21615" s="546"/>
      <c r="G21615" s="234"/>
      <c r="H21615" s="238"/>
      <c r="I21615" s="237"/>
    </row>
    <row r="21616" spans="1:9" s="232" customFormat="1" ht="17" customHeight="1">
      <c r="A21616" s="234"/>
      <c r="B21616" s="233"/>
      <c r="C21616" s="238"/>
      <c r="E21616" s="545"/>
      <c r="F21616" s="546"/>
      <c r="G21616" s="234"/>
      <c r="H21616" s="238"/>
      <c r="I21616" s="237"/>
    </row>
    <row r="21617" spans="1:9" s="232" customFormat="1" ht="17" customHeight="1">
      <c r="A21617" s="234"/>
      <c r="B21617" s="233"/>
      <c r="C21617" s="238"/>
      <c r="E21617" s="545"/>
      <c r="F21617" s="546"/>
      <c r="G21617" s="234"/>
      <c r="H21617" s="238"/>
      <c r="I21617" s="237"/>
    </row>
    <row r="21618" spans="1:9" s="232" customFormat="1" ht="17" customHeight="1">
      <c r="A21618" s="234"/>
      <c r="B21618" s="233"/>
      <c r="C21618" s="238"/>
      <c r="E21618" s="545"/>
      <c r="F21618" s="546"/>
      <c r="G21618" s="234"/>
      <c r="H21618" s="238"/>
      <c r="I21618" s="237"/>
    </row>
    <row r="21619" spans="1:9" s="232" customFormat="1" ht="17" customHeight="1">
      <c r="A21619" s="234"/>
      <c r="B21619" s="233"/>
      <c r="C21619" s="238"/>
      <c r="E21619" s="545"/>
      <c r="F21619" s="546"/>
      <c r="G21619" s="234"/>
      <c r="H21619" s="238"/>
      <c r="I21619" s="237"/>
    </row>
    <row r="21620" spans="1:9" s="232" customFormat="1" ht="17" customHeight="1">
      <c r="A21620" s="234"/>
      <c r="B21620" s="233"/>
      <c r="C21620" s="238"/>
      <c r="E21620" s="545"/>
      <c r="F21620" s="546"/>
      <c r="G21620" s="234"/>
      <c r="H21620" s="238"/>
      <c r="I21620" s="237"/>
    </row>
    <row r="21621" spans="1:9" s="232" customFormat="1" ht="17" customHeight="1">
      <c r="A21621" s="234"/>
      <c r="B21621" s="233"/>
      <c r="C21621" s="238"/>
      <c r="E21621" s="545"/>
      <c r="F21621" s="546"/>
      <c r="G21621" s="234"/>
      <c r="H21621" s="238"/>
      <c r="I21621" s="237"/>
    </row>
    <row r="21622" spans="1:9" s="232" customFormat="1" ht="17" customHeight="1">
      <c r="A21622" s="234"/>
      <c r="B21622" s="233"/>
      <c r="C21622" s="238"/>
      <c r="E21622" s="545"/>
      <c r="F21622" s="546"/>
      <c r="G21622" s="234"/>
      <c r="H21622" s="238"/>
      <c r="I21622" s="237"/>
    </row>
    <row r="21623" spans="1:9" s="232" customFormat="1" ht="17" customHeight="1">
      <c r="A21623" s="234"/>
      <c r="B21623" s="233"/>
      <c r="C21623" s="238"/>
      <c r="E21623" s="545"/>
      <c r="F21623" s="546"/>
      <c r="G21623" s="234"/>
      <c r="H21623" s="238"/>
      <c r="I21623" s="237"/>
    </row>
    <row r="21624" spans="1:9" s="232" customFormat="1" ht="17" customHeight="1">
      <c r="A21624" s="234"/>
      <c r="B21624" s="233"/>
      <c r="C21624" s="238"/>
      <c r="E21624" s="545"/>
      <c r="F21624" s="546"/>
      <c r="G21624" s="234"/>
      <c r="H21624" s="238"/>
      <c r="I21624" s="237"/>
    </row>
    <row r="21625" spans="1:9" s="232" customFormat="1" ht="17" customHeight="1">
      <c r="A21625" s="234"/>
      <c r="B21625" s="233"/>
      <c r="C21625" s="238"/>
      <c r="E21625" s="545"/>
      <c r="F21625" s="546"/>
      <c r="G21625" s="234"/>
      <c r="H21625" s="238"/>
      <c r="I21625" s="237"/>
    </row>
    <row r="21626" spans="1:9" s="232" customFormat="1" ht="17" customHeight="1">
      <c r="A21626" s="234"/>
      <c r="B21626" s="233"/>
      <c r="C21626" s="238"/>
      <c r="E21626" s="545"/>
      <c r="F21626" s="546"/>
      <c r="G21626" s="234"/>
      <c r="H21626" s="238"/>
      <c r="I21626" s="237"/>
    </row>
    <row r="21627" spans="1:9" s="232" customFormat="1" ht="17" customHeight="1">
      <c r="A21627" s="234"/>
      <c r="B21627" s="233"/>
      <c r="C21627" s="238"/>
      <c r="E21627" s="545"/>
      <c r="F21627" s="546"/>
      <c r="G21627" s="234"/>
      <c r="H21627" s="238"/>
      <c r="I21627" s="237"/>
    </row>
    <row r="21628" spans="1:9" s="232" customFormat="1" ht="17" customHeight="1">
      <c r="A21628" s="234"/>
      <c r="B21628" s="233"/>
      <c r="C21628" s="238"/>
      <c r="E21628" s="545"/>
      <c r="F21628" s="546"/>
      <c r="G21628" s="234"/>
      <c r="H21628" s="238"/>
      <c r="I21628" s="237"/>
    </row>
    <row r="21629" spans="1:9" s="232" customFormat="1" ht="17" customHeight="1">
      <c r="A21629" s="234"/>
      <c r="B21629" s="233"/>
      <c r="C21629" s="238"/>
      <c r="E21629" s="545"/>
      <c r="F21629" s="546"/>
      <c r="G21629" s="234"/>
      <c r="H21629" s="238"/>
      <c r="I21629" s="237"/>
    </row>
    <row r="21630" spans="1:9" s="232" customFormat="1" ht="17" customHeight="1">
      <c r="A21630" s="234"/>
      <c r="B21630" s="233"/>
      <c r="C21630" s="238"/>
      <c r="E21630" s="545"/>
      <c r="F21630" s="546"/>
      <c r="G21630" s="234"/>
      <c r="H21630" s="238"/>
      <c r="I21630" s="237"/>
    </row>
    <row r="21631" spans="1:9" s="232" customFormat="1" ht="17" customHeight="1">
      <c r="A21631" s="234"/>
      <c r="B21631" s="233"/>
      <c r="C21631" s="238"/>
      <c r="E21631" s="545"/>
      <c r="F21631" s="546"/>
      <c r="G21631" s="234"/>
      <c r="H21631" s="238"/>
      <c r="I21631" s="237"/>
    </row>
    <row r="21632" spans="1:9" s="232" customFormat="1" ht="17" customHeight="1">
      <c r="A21632" s="234"/>
      <c r="B21632" s="233"/>
      <c r="C21632" s="238"/>
      <c r="E21632" s="545"/>
      <c r="F21632" s="546"/>
      <c r="G21632" s="234"/>
      <c r="H21632" s="238"/>
      <c r="I21632" s="237"/>
    </row>
    <row r="21633" spans="1:9" s="232" customFormat="1" ht="17" customHeight="1">
      <c r="A21633" s="234"/>
      <c r="B21633" s="233"/>
      <c r="C21633" s="238"/>
      <c r="E21633" s="545"/>
      <c r="F21633" s="546"/>
      <c r="G21633" s="234"/>
      <c r="H21633" s="238"/>
      <c r="I21633" s="237"/>
    </row>
    <row r="21634" spans="1:9" s="232" customFormat="1" ht="17" customHeight="1">
      <c r="A21634" s="234"/>
      <c r="B21634" s="233"/>
      <c r="C21634" s="238"/>
      <c r="E21634" s="545"/>
      <c r="F21634" s="546"/>
      <c r="G21634" s="234"/>
      <c r="H21634" s="238"/>
      <c r="I21634" s="237"/>
    </row>
    <row r="21635" spans="1:9" s="232" customFormat="1" ht="17" customHeight="1">
      <c r="A21635" s="234"/>
      <c r="B21635" s="233"/>
      <c r="C21635" s="238"/>
      <c r="E21635" s="545"/>
      <c r="F21635" s="546"/>
      <c r="G21635" s="234"/>
      <c r="H21635" s="238"/>
      <c r="I21635" s="237"/>
    </row>
    <row r="21636" spans="1:9" s="232" customFormat="1" ht="17" customHeight="1">
      <c r="A21636" s="234"/>
      <c r="B21636" s="233"/>
      <c r="C21636" s="238"/>
      <c r="E21636" s="545"/>
      <c r="F21636" s="546"/>
      <c r="G21636" s="234"/>
      <c r="H21636" s="238"/>
      <c r="I21636" s="237"/>
    </row>
    <row r="21637" spans="1:9" s="232" customFormat="1" ht="17" customHeight="1">
      <c r="A21637" s="234"/>
      <c r="B21637" s="233"/>
      <c r="C21637" s="238"/>
      <c r="E21637" s="545"/>
      <c r="F21637" s="546"/>
      <c r="G21637" s="234"/>
      <c r="H21637" s="238"/>
      <c r="I21637" s="237"/>
    </row>
    <row r="21638" spans="1:9" s="232" customFormat="1" ht="17" customHeight="1">
      <c r="A21638" s="234"/>
      <c r="B21638" s="233"/>
      <c r="C21638" s="238"/>
      <c r="E21638" s="545"/>
      <c r="F21638" s="546"/>
      <c r="G21638" s="234"/>
      <c r="H21638" s="238"/>
      <c r="I21638" s="237"/>
    </row>
    <row r="21639" spans="1:9" s="232" customFormat="1" ht="17" customHeight="1">
      <c r="A21639" s="234"/>
      <c r="B21639" s="233"/>
      <c r="C21639" s="238"/>
      <c r="E21639" s="545"/>
      <c r="F21639" s="546"/>
      <c r="G21639" s="234"/>
      <c r="H21639" s="238"/>
      <c r="I21639" s="237"/>
    </row>
    <row r="21640" spans="1:9" s="232" customFormat="1" ht="17" customHeight="1">
      <c r="A21640" s="234"/>
      <c r="B21640" s="233"/>
      <c r="C21640" s="238"/>
      <c r="E21640" s="545"/>
      <c r="F21640" s="546"/>
      <c r="G21640" s="234"/>
      <c r="H21640" s="238"/>
      <c r="I21640" s="237"/>
    </row>
    <row r="21641" spans="1:9" s="232" customFormat="1" ht="17" customHeight="1">
      <c r="A21641" s="234"/>
      <c r="B21641" s="233"/>
      <c r="C21641" s="238"/>
      <c r="E21641" s="545"/>
      <c r="F21641" s="546"/>
      <c r="G21641" s="234"/>
      <c r="H21641" s="238"/>
      <c r="I21641" s="237"/>
    </row>
    <row r="21642" spans="1:9" s="232" customFormat="1" ht="17" customHeight="1">
      <c r="A21642" s="234"/>
      <c r="B21642" s="233"/>
      <c r="C21642" s="238"/>
      <c r="E21642" s="545"/>
      <c r="F21642" s="546"/>
      <c r="G21642" s="234"/>
      <c r="H21642" s="238"/>
      <c r="I21642" s="237"/>
    </row>
    <row r="21643" spans="1:9" s="232" customFormat="1" ht="17" customHeight="1">
      <c r="A21643" s="234"/>
      <c r="B21643" s="233"/>
      <c r="C21643" s="238"/>
      <c r="E21643" s="545"/>
      <c r="F21643" s="546"/>
      <c r="G21643" s="234"/>
      <c r="H21643" s="238"/>
      <c r="I21643" s="237"/>
    </row>
    <row r="21644" spans="1:9" s="232" customFormat="1" ht="17" customHeight="1">
      <c r="A21644" s="234"/>
      <c r="B21644" s="233"/>
      <c r="C21644" s="238"/>
      <c r="E21644" s="545"/>
      <c r="F21644" s="546"/>
      <c r="G21644" s="234"/>
      <c r="H21644" s="238"/>
      <c r="I21644" s="237"/>
    </row>
    <row r="21645" spans="1:9" s="232" customFormat="1" ht="17" customHeight="1">
      <c r="A21645" s="234"/>
      <c r="B21645" s="233"/>
      <c r="C21645" s="238"/>
      <c r="E21645" s="545"/>
      <c r="F21645" s="546"/>
      <c r="G21645" s="234"/>
      <c r="H21645" s="238"/>
      <c r="I21645" s="237"/>
    </row>
    <row r="21646" spans="1:9" s="232" customFormat="1" ht="17" customHeight="1">
      <c r="A21646" s="234"/>
      <c r="B21646" s="233"/>
      <c r="C21646" s="238"/>
      <c r="E21646" s="545"/>
      <c r="F21646" s="546"/>
      <c r="G21646" s="234"/>
      <c r="H21646" s="238"/>
      <c r="I21646" s="237"/>
    </row>
    <row r="21647" spans="1:9" s="232" customFormat="1" ht="17" customHeight="1">
      <c r="A21647" s="234"/>
      <c r="B21647" s="233"/>
      <c r="C21647" s="238"/>
      <c r="E21647" s="545"/>
      <c r="F21647" s="546"/>
      <c r="G21647" s="234"/>
      <c r="H21647" s="238"/>
      <c r="I21647" s="237"/>
    </row>
    <row r="21648" spans="1:9" s="232" customFormat="1" ht="17" customHeight="1">
      <c r="A21648" s="234"/>
      <c r="B21648" s="233"/>
      <c r="C21648" s="238"/>
      <c r="E21648" s="545"/>
      <c r="F21648" s="546"/>
      <c r="G21648" s="234"/>
      <c r="H21648" s="238"/>
      <c r="I21648" s="237"/>
    </row>
    <row r="21649" spans="1:9" s="232" customFormat="1" ht="17" customHeight="1">
      <c r="A21649" s="234"/>
      <c r="B21649" s="233"/>
      <c r="C21649" s="238"/>
      <c r="E21649" s="545"/>
      <c r="F21649" s="546"/>
      <c r="G21649" s="234"/>
      <c r="H21649" s="238"/>
      <c r="I21649" s="237"/>
    </row>
    <row r="21650" spans="1:9" s="232" customFormat="1" ht="17" customHeight="1">
      <c r="A21650" s="234"/>
      <c r="B21650" s="233"/>
      <c r="C21650" s="238"/>
      <c r="E21650" s="545"/>
      <c r="F21650" s="546"/>
      <c r="G21650" s="234"/>
      <c r="H21650" s="238"/>
      <c r="I21650" s="237"/>
    </row>
    <row r="21651" spans="1:9" s="232" customFormat="1" ht="17" customHeight="1">
      <c r="A21651" s="234"/>
      <c r="B21651" s="233"/>
      <c r="C21651" s="238"/>
      <c r="E21651" s="545"/>
      <c r="F21651" s="546"/>
      <c r="G21651" s="234"/>
      <c r="H21651" s="238"/>
      <c r="I21651" s="237"/>
    </row>
    <row r="21652" spans="1:9" s="232" customFormat="1" ht="17" customHeight="1">
      <c r="A21652" s="234"/>
      <c r="B21652" s="233"/>
      <c r="C21652" s="238"/>
      <c r="E21652" s="545"/>
      <c r="F21652" s="546"/>
      <c r="G21652" s="234"/>
      <c r="H21652" s="238"/>
      <c r="I21652" s="237"/>
    </row>
    <row r="21653" spans="1:9" s="232" customFormat="1" ht="17" customHeight="1">
      <c r="A21653" s="234"/>
      <c r="B21653" s="233"/>
      <c r="C21653" s="238"/>
      <c r="E21653" s="545"/>
      <c r="F21653" s="546"/>
      <c r="G21653" s="234"/>
      <c r="H21653" s="238"/>
      <c r="I21653" s="237"/>
    </row>
    <row r="21654" spans="1:9" s="232" customFormat="1" ht="17" customHeight="1">
      <c r="A21654" s="234"/>
      <c r="B21654" s="233"/>
      <c r="C21654" s="238"/>
      <c r="E21654" s="545"/>
      <c r="F21654" s="546"/>
      <c r="G21654" s="234"/>
      <c r="H21654" s="238"/>
      <c r="I21654" s="237"/>
    </row>
    <row r="21655" spans="1:9" s="232" customFormat="1" ht="17" customHeight="1">
      <c r="A21655" s="234"/>
      <c r="B21655" s="233"/>
      <c r="C21655" s="238"/>
      <c r="E21655" s="545"/>
      <c r="F21655" s="546"/>
      <c r="G21655" s="234"/>
      <c r="H21655" s="238"/>
      <c r="I21655" s="237"/>
    </row>
    <row r="21656" spans="1:9" s="232" customFormat="1" ht="17" customHeight="1">
      <c r="A21656" s="234"/>
      <c r="B21656" s="233"/>
      <c r="C21656" s="238"/>
      <c r="E21656" s="545"/>
      <c r="F21656" s="546"/>
      <c r="G21656" s="234"/>
      <c r="H21656" s="238"/>
      <c r="I21656" s="237"/>
    </row>
    <row r="21657" spans="1:9" s="232" customFormat="1" ht="17" customHeight="1">
      <c r="A21657" s="234"/>
      <c r="B21657" s="233"/>
      <c r="C21657" s="238"/>
      <c r="E21657" s="545"/>
      <c r="F21657" s="546"/>
      <c r="G21657" s="234"/>
      <c r="H21657" s="238"/>
      <c r="I21657" s="237"/>
    </row>
    <row r="21658" spans="1:9" s="232" customFormat="1" ht="17" customHeight="1">
      <c r="A21658" s="234"/>
      <c r="B21658" s="233"/>
      <c r="C21658" s="238"/>
      <c r="E21658" s="545"/>
      <c r="F21658" s="546"/>
      <c r="G21658" s="234"/>
      <c r="H21658" s="238"/>
      <c r="I21658" s="237"/>
    </row>
    <row r="21659" spans="1:9" s="232" customFormat="1" ht="17" customHeight="1">
      <c r="A21659" s="234"/>
      <c r="B21659" s="233"/>
      <c r="C21659" s="238"/>
      <c r="E21659" s="545"/>
      <c r="F21659" s="546"/>
      <c r="G21659" s="234"/>
      <c r="H21659" s="238"/>
      <c r="I21659" s="237"/>
    </row>
    <row r="21660" spans="1:9" s="232" customFormat="1" ht="17" customHeight="1">
      <c r="A21660" s="234"/>
      <c r="B21660" s="233"/>
      <c r="C21660" s="238"/>
      <c r="E21660" s="545"/>
      <c r="F21660" s="546"/>
      <c r="G21660" s="234"/>
      <c r="H21660" s="238"/>
      <c r="I21660" s="237"/>
    </row>
    <row r="21661" spans="1:9" s="232" customFormat="1" ht="17" customHeight="1">
      <c r="A21661" s="234"/>
      <c r="B21661" s="233"/>
      <c r="C21661" s="238"/>
      <c r="E21661" s="545"/>
      <c r="F21661" s="546"/>
      <c r="G21661" s="234"/>
      <c r="H21661" s="238"/>
      <c r="I21661" s="237"/>
    </row>
    <row r="21662" spans="1:9" s="232" customFormat="1" ht="17" customHeight="1">
      <c r="A21662" s="234"/>
      <c r="B21662" s="233"/>
      <c r="C21662" s="238"/>
      <c r="E21662" s="545"/>
      <c r="F21662" s="546"/>
      <c r="G21662" s="234"/>
      <c r="H21662" s="238"/>
      <c r="I21662" s="237"/>
    </row>
    <row r="21663" spans="1:9" s="232" customFormat="1" ht="17" customHeight="1">
      <c r="A21663" s="234"/>
      <c r="B21663" s="233"/>
      <c r="C21663" s="238"/>
      <c r="E21663" s="545"/>
      <c r="F21663" s="546"/>
      <c r="G21663" s="234"/>
      <c r="H21663" s="238"/>
      <c r="I21663" s="237"/>
    </row>
    <row r="21664" spans="1:9" s="232" customFormat="1" ht="17" customHeight="1">
      <c r="A21664" s="234"/>
      <c r="B21664" s="233"/>
      <c r="C21664" s="238"/>
      <c r="E21664" s="545"/>
      <c r="F21664" s="546"/>
      <c r="G21664" s="234"/>
      <c r="H21664" s="238"/>
      <c r="I21664" s="237"/>
    </row>
    <row r="21665" spans="1:9" s="232" customFormat="1" ht="17" customHeight="1">
      <c r="A21665" s="234"/>
      <c r="B21665" s="233"/>
      <c r="C21665" s="238"/>
      <c r="E21665" s="545"/>
      <c r="F21665" s="546"/>
      <c r="G21665" s="234"/>
      <c r="H21665" s="238"/>
      <c r="I21665" s="237"/>
    </row>
    <row r="21666" spans="1:9" s="232" customFormat="1" ht="17" customHeight="1">
      <c r="A21666" s="234"/>
      <c r="B21666" s="233"/>
      <c r="C21666" s="238"/>
      <c r="E21666" s="545"/>
      <c r="F21666" s="546"/>
      <c r="G21666" s="234"/>
      <c r="H21666" s="238"/>
      <c r="I21666" s="237"/>
    </row>
    <row r="21667" spans="1:9" s="232" customFormat="1" ht="17" customHeight="1">
      <c r="A21667" s="234"/>
      <c r="B21667" s="233"/>
      <c r="C21667" s="238"/>
      <c r="E21667" s="545"/>
      <c r="F21667" s="546"/>
      <c r="G21667" s="234"/>
      <c r="H21667" s="238"/>
      <c r="I21667" s="237"/>
    </row>
    <row r="21668" spans="1:9" s="232" customFormat="1" ht="17" customHeight="1">
      <c r="A21668" s="234"/>
      <c r="B21668" s="233"/>
      <c r="C21668" s="238"/>
      <c r="E21668" s="545"/>
      <c r="F21668" s="546"/>
      <c r="G21668" s="234"/>
      <c r="H21668" s="238"/>
      <c r="I21668" s="237"/>
    </row>
    <row r="21669" spans="1:9" s="232" customFormat="1" ht="17" customHeight="1">
      <c r="A21669" s="234"/>
      <c r="B21669" s="233"/>
      <c r="C21669" s="238"/>
      <c r="E21669" s="545"/>
      <c r="F21669" s="546"/>
      <c r="G21669" s="234"/>
      <c r="H21669" s="238"/>
      <c r="I21669" s="237"/>
    </row>
    <row r="21670" spans="1:9" s="232" customFormat="1" ht="17" customHeight="1">
      <c r="A21670" s="234"/>
      <c r="B21670" s="233"/>
      <c r="C21670" s="238"/>
      <c r="E21670" s="545"/>
      <c r="F21670" s="546"/>
      <c r="G21670" s="234"/>
      <c r="H21670" s="238"/>
      <c r="I21670" s="237"/>
    </row>
    <row r="21671" spans="1:9" s="232" customFormat="1" ht="17" customHeight="1">
      <c r="A21671" s="234"/>
      <c r="B21671" s="233"/>
      <c r="C21671" s="238"/>
      <c r="E21671" s="545"/>
      <c r="F21671" s="546"/>
      <c r="G21671" s="234"/>
      <c r="H21671" s="238"/>
      <c r="I21671" s="237"/>
    </row>
    <row r="21672" spans="1:9" s="232" customFormat="1" ht="17" customHeight="1">
      <c r="A21672" s="234"/>
      <c r="B21672" s="233"/>
      <c r="C21672" s="238"/>
      <c r="E21672" s="545"/>
      <c r="F21672" s="546"/>
      <c r="G21672" s="234"/>
      <c r="H21672" s="238"/>
      <c r="I21672" s="237"/>
    </row>
    <row r="21673" spans="1:9" s="232" customFormat="1" ht="17" customHeight="1">
      <c r="A21673" s="234"/>
      <c r="B21673" s="233"/>
      <c r="C21673" s="238"/>
      <c r="E21673" s="545"/>
      <c r="F21673" s="546"/>
      <c r="G21673" s="234"/>
      <c r="H21673" s="238"/>
      <c r="I21673" s="237"/>
    </row>
    <row r="21674" spans="1:9" s="232" customFormat="1" ht="17" customHeight="1">
      <c r="A21674" s="234"/>
      <c r="B21674" s="233"/>
      <c r="C21674" s="238"/>
      <c r="E21674" s="545"/>
      <c r="F21674" s="546"/>
      <c r="G21674" s="234"/>
      <c r="H21674" s="238"/>
      <c r="I21674" s="237"/>
    </row>
    <row r="21675" spans="1:9" s="232" customFormat="1" ht="17" customHeight="1">
      <c r="A21675" s="234"/>
      <c r="B21675" s="233"/>
      <c r="C21675" s="238"/>
      <c r="E21675" s="545"/>
      <c r="F21675" s="546"/>
      <c r="G21675" s="234"/>
      <c r="H21675" s="238"/>
      <c r="I21675" s="237"/>
    </row>
    <row r="21676" spans="1:9" s="232" customFormat="1" ht="17" customHeight="1">
      <c r="A21676" s="234"/>
      <c r="B21676" s="233"/>
      <c r="C21676" s="238"/>
      <c r="E21676" s="545"/>
      <c r="F21676" s="546"/>
      <c r="G21676" s="234"/>
      <c r="H21676" s="238"/>
      <c r="I21676" s="237"/>
    </row>
    <row r="21677" spans="1:9" s="232" customFormat="1" ht="17" customHeight="1">
      <c r="A21677" s="234"/>
      <c r="B21677" s="233"/>
      <c r="C21677" s="238"/>
      <c r="E21677" s="545"/>
      <c r="F21677" s="546"/>
      <c r="G21677" s="234"/>
      <c r="H21677" s="238"/>
      <c r="I21677" s="237"/>
    </row>
    <row r="21678" spans="1:9" s="232" customFormat="1" ht="17" customHeight="1">
      <c r="A21678" s="234"/>
      <c r="B21678" s="233"/>
      <c r="C21678" s="238"/>
      <c r="E21678" s="545"/>
      <c r="F21678" s="546"/>
      <c r="G21678" s="234"/>
      <c r="H21678" s="238"/>
      <c r="I21678" s="237"/>
    </row>
    <row r="21679" spans="1:9" s="232" customFormat="1" ht="17" customHeight="1">
      <c r="A21679" s="234"/>
      <c r="B21679" s="233"/>
      <c r="C21679" s="238"/>
      <c r="E21679" s="545"/>
      <c r="F21679" s="546"/>
      <c r="G21679" s="234"/>
      <c r="H21679" s="238"/>
      <c r="I21679" s="237"/>
    </row>
    <row r="21680" spans="1:9" s="232" customFormat="1" ht="17" customHeight="1">
      <c r="A21680" s="234"/>
      <c r="B21680" s="233"/>
      <c r="C21680" s="238"/>
      <c r="E21680" s="545"/>
      <c r="F21680" s="546"/>
      <c r="G21680" s="234"/>
      <c r="H21680" s="238"/>
      <c r="I21680" s="237"/>
    </row>
    <row r="21681" spans="1:9" s="232" customFormat="1" ht="17" customHeight="1">
      <c r="A21681" s="234"/>
      <c r="B21681" s="233"/>
      <c r="C21681" s="238"/>
      <c r="E21681" s="545"/>
      <c r="F21681" s="546"/>
      <c r="G21681" s="234"/>
      <c r="H21681" s="238"/>
      <c r="I21681" s="237"/>
    </row>
    <row r="21682" spans="1:9" s="232" customFormat="1" ht="17" customHeight="1">
      <c r="A21682" s="234"/>
      <c r="B21682" s="233"/>
      <c r="C21682" s="238"/>
      <c r="E21682" s="545"/>
      <c r="F21682" s="546"/>
      <c r="G21682" s="234"/>
      <c r="H21682" s="238"/>
      <c r="I21682" s="237"/>
    </row>
    <row r="21683" spans="1:9" s="232" customFormat="1" ht="17" customHeight="1">
      <c r="A21683" s="234"/>
      <c r="B21683" s="233"/>
      <c r="C21683" s="238"/>
      <c r="E21683" s="545"/>
      <c r="F21683" s="546"/>
      <c r="G21683" s="234"/>
      <c r="H21683" s="238"/>
      <c r="I21683" s="237"/>
    </row>
    <row r="21684" spans="1:9" s="232" customFormat="1" ht="17" customHeight="1">
      <c r="A21684" s="234"/>
      <c r="B21684" s="233"/>
      <c r="C21684" s="238"/>
      <c r="E21684" s="545"/>
      <c r="F21684" s="546"/>
      <c r="G21684" s="234"/>
      <c r="H21684" s="238"/>
      <c r="I21684" s="237"/>
    </row>
    <row r="21685" spans="1:9" s="232" customFormat="1" ht="17" customHeight="1">
      <c r="A21685" s="234"/>
      <c r="B21685" s="233"/>
      <c r="C21685" s="238"/>
      <c r="E21685" s="545"/>
      <c r="F21685" s="546"/>
      <c r="G21685" s="234"/>
      <c r="H21685" s="238"/>
      <c r="I21685" s="237"/>
    </row>
    <row r="21686" spans="1:9" s="232" customFormat="1" ht="17" customHeight="1">
      <c r="A21686" s="234"/>
      <c r="B21686" s="233"/>
      <c r="C21686" s="238"/>
      <c r="E21686" s="545"/>
      <c r="F21686" s="546"/>
      <c r="G21686" s="234"/>
      <c r="H21686" s="238"/>
      <c r="I21686" s="237"/>
    </row>
    <row r="21687" spans="1:9" s="232" customFormat="1" ht="17" customHeight="1">
      <c r="A21687" s="234"/>
      <c r="B21687" s="233"/>
      <c r="C21687" s="238"/>
      <c r="E21687" s="545"/>
      <c r="F21687" s="546"/>
      <c r="G21687" s="234"/>
      <c r="H21687" s="238"/>
      <c r="I21687" s="237"/>
    </row>
    <row r="21688" spans="1:9" s="232" customFormat="1" ht="17" customHeight="1">
      <c r="A21688" s="234"/>
      <c r="B21688" s="233"/>
      <c r="C21688" s="238"/>
      <c r="E21688" s="545"/>
      <c r="F21688" s="546"/>
      <c r="G21688" s="234"/>
      <c r="H21688" s="238"/>
      <c r="I21688" s="237"/>
    </row>
    <row r="21689" spans="1:9" s="232" customFormat="1" ht="17" customHeight="1">
      <c r="A21689" s="234"/>
      <c r="B21689" s="233"/>
      <c r="C21689" s="238"/>
      <c r="E21689" s="545"/>
      <c r="F21689" s="546"/>
      <c r="G21689" s="234"/>
      <c r="H21689" s="238"/>
      <c r="I21689" s="237"/>
    </row>
    <row r="21690" spans="1:9" s="232" customFormat="1" ht="17" customHeight="1">
      <c r="A21690" s="234"/>
      <c r="B21690" s="233"/>
      <c r="C21690" s="238"/>
      <c r="E21690" s="545"/>
      <c r="F21690" s="546"/>
      <c r="G21690" s="234"/>
      <c r="H21690" s="238"/>
      <c r="I21690" s="237"/>
    </row>
    <row r="21691" spans="1:9" s="232" customFormat="1" ht="17" customHeight="1">
      <c r="A21691" s="234"/>
      <c r="B21691" s="233"/>
      <c r="C21691" s="238"/>
      <c r="E21691" s="545"/>
      <c r="F21691" s="546"/>
      <c r="G21691" s="234"/>
      <c r="H21691" s="238"/>
      <c r="I21691" s="237"/>
    </row>
    <row r="21692" spans="1:9" s="232" customFormat="1" ht="17" customHeight="1">
      <c r="A21692" s="234"/>
      <c r="B21692" s="233"/>
      <c r="C21692" s="238"/>
      <c r="E21692" s="545"/>
      <c r="F21692" s="546"/>
      <c r="G21692" s="234"/>
      <c r="H21692" s="238"/>
      <c r="I21692" s="237"/>
    </row>
    <row r="21693" spans="1:9" s="232" customFormat="1" ht="17" customHeight="1">
      <c r="A21693" s="234"/>
      <c r="B21693" s="233"/>
      <c r="C21693" s="238"/>
      <c r="E21693" s="545"/>
      <c r="F21693" s="546"/>
      <c r="G21693" s="234"/>
      <c r="H21693" s="238"/>
      <c r="I21693" s="237"/>
    </row>
    <row r="21694" spans="1:9" s="232" customFormat="1" ht="17" customHeight="1">
      <c r="A21694" s="234"/>
      <c r="B21694" s="233"/>
      <c r="C21694" s="238"/>
      <c r="E21694" s="545"/>
      <c r="F21694" s="546"/>
      <c r="G21694" s="234"/>
      <c r="H21694" s="238"/>
      <c r="I21694" s="237"/>
    </row>
    <row r="21695" spans="1:9" s="232" customFormat="1" ht="17" customHeight="1">
      <c r="A21695" s="234"/>
      <c r="B21695" s="233"/>
      <c r="C21695" s="238"/>
      <c r="E21695" s="545"/>
      <c r="F21695" s="546"/>
      <c r="G21695" s="234"/>
      <c r="H21695" s="238"/>
      <c r="I21695" s="237"/>
    </row>
    <row r="21696" spans="1:9" s="232" customFormat="1" ht="17" customHeight="1">
      <c r="A21696" s="234"/>
      <c r="B21696" s="233"/>
      <c r="C21696" s="238"/>
      <c r="E21696" s="545"/>
      <c r="F21696" s="546"/>
      <c r="G21696" s="234"/>
      <c r="H21696" s="238"/>
      <c r="I21696" s="237"/>
    </row>
    <row r="21697" spans="1:9" s="232" customFormat="1" ht="17" customHeight="1">
      <c r="A21697" s="234"/>
      <c r="B21697" s="233"/>
      <c r="C21697" s="238"/>
      <c r="E21697" s="545"/>
      <c r="F21697" s="546"/>
      <c r="G21697" s="234"/>
      <c r="H21697" s="238"/>
      <c r="I21697" s="237"/>
    </row>
    <row r="21698" spans="1:9" s="232" customFormat="1" ht="17" customHeight="1">
      <c r="A21698" s="234"/>
      <c r="B21698" s="233"/>
      <c r="C21698" s="238"/>
      <c r="E21698" s="545"/>
      <c r="F21698" s="546"/>
      <c r="G21698" s="234"/>
      <c r="H21698" s="238"/>
      <c r="I21698" s="237"/>
    </row>
    <row r="21699" spans="1:9" s="232" customFormat="1" ht="17" customHeight="1">
      <c r="A21699" s="234"/>
      <c r="B21699" s="233"/>
      <c r="C21699" s="238"/>
      <c r="E21699" s="545"/>
      <c r="F21699" s="546"/>
      <c r="G21699" s="234"/>
      <c r="H21699" s="238"/>
      <c r="I21699" s="237"/>
    </row>
    <row r="21700" spans="1:9" s="232" customFormat="1" ht="17" customHeight="1">
      <c r="A21700" s="234"/>
      <c r="B21700" s="233"/>
      <c r="C21700" s="238"/>
      <c r="E21700" s="545"/>
      <c r="F21700" s="546"/>
      <c r="G21700" s="234"/>
      <c r="H21700" s="238"/>
      <c r="I21700" s="237"/>
    </row>
    <row r="21701" spans="1:9" s="232" customFormat="1" ht="17" customHeight="1">
      <c r="A21701" s="234"/>
      <c r="B21701" s="233"/>
      <c r="C21701" s="238"/>
      <c r="E21701" s="545"/>
      <c r="F21701" s="546"/>
      <c r="G21701" s="234"/>
      <c r="H21701" s="238"/>
      <c r="I21701" s="237"/>
    </row>
    <row r="21702" spans="1:9" s="232" customFormat="1" ht="17" customHeight="1">
      <c r="A21702" s="234"/>
      <c r="B21702" s="233"/>
      <c r="C21702" s="238"/>
      <c r="E21702" s="545"/>
      <c r="F21702" s="546"/>
      <c r="G21702" s="234"/>
      <c r="H21702" s="238"/>
      <c r="I21702" s="237"/>
    </row>
    <row r="21703" spans="1:9" s="232" customFormat="1" ht="17" customHeight="1">
      <c r="A21703" s="234"/>
      <c r="B21703" s="233"/>
      <c r="C21703" s="238"/>
      <c r="E21703" s="545"/>
      <c r="F21703" s="546"/>
      <c r="G21703" s="234"/>
      <c r="H21703" s="238"/>
      <c r="I21703" s="237"/>
    </row>
    <row r="21704" spans="1:9" s="232" customFormat="1" ht="17" customHeight="1">
      <c r="A21704" s="234"/>
      <c r="B21704" s="233"/>
      <c r="C21704" s="238"/>
      <c r="E21704" s="545"/>
      <c r="F21704" s="546"/>
      <c r="G21704" s="234"/>
      <c r="H21704" s="238"/>
      <c r="I21704" s="237"/>
    </row>
    <row r="21705" spans="1:9" s="232" customFormat="1" ht="17" customHeight="1">
      <c r="A21705" s="234"/>
      <c r="B21705" s="233"/>
      <c r="C21705" s="238"/>
      <c r="E21705" s="545"/>
      <c r="F21705" s="546"/>
      <c r="G21705" s="234"/>
      <c r="H21705" s="238"/>
      <c r="I21705" s="237"/>
    </row>
    <row r="21706" spans="1:9" s="232" customFormat="1" ht="17" customHeight="1">
      <c r="A21706" s="234"/>
      <c r="B21706" s="233"/>
      <c r="C21706" s="238"/>
      <c r="E21706" s="545"/>
      <c r="F21706" s="546"/>
      <c r="G21706" s="234"/>
      <c r="H21706" s="238"/>
      <c r="I21706" s="237"/>
    </row>
    <row r="21707" spans="1:9" s="232" customFormat="1" ht="17" customHeight="1">
      <c r="A21707" s="234"/>
      <c r="B21707" s="233"/>
      <c r="C21707" s="238"/>
      <c r="E21707" s="545"/>
      <c r="F21707" s="546"/>
      <c r="G21707" s="234"/>
      <c r="H21707" s="238"/>
      <c r="I21707" s="237"/>
    </row>
    <row r="21708" spans="1:9" s="232" customFormat="1" ht="17" customHeight="1">
      <c r="A21708" s="234"/>
      <c r="B21708" s="233"/>
      <c r="C21708" s="238"/>
      <c r="E21708" s="545"/>
      <c r="F21708" s="546"/>
      <c r="G21708" s="234"/>
      <c r="H21708" s="238"/>
      <c r="I21708" s="237"/>
    </row>
    <row r="21709" spans="1:9" s="232" customFormat="1" ht="17" customHeight="1">
      <c r="A21709" s="234"/>
      <c r="B21709" s="233"/>
      <c r="C21709" s="238"/>
      <c r="E21709" s="545"/>
      <c r="F21709" s="546"/>
      <c r="G21709" s="234"/>
      <c r="H21709" s="238"/>
      <c r="I21709" s="237"/>
    </row>
    <row r="21710" spans="1:9" s="232" customFormat="1" ht="17" customHeight="1">
      <c r="A21710" s="234"/>
      <c r="B21710" s="233"/>
      <c r="C21710" s="238"/>
      <c r="E21710" s="545"/>
      <c r="F21710" s="546"/>
      <c r="G21710" s="234"/>
      <c r="H21710" s="238"/>
      <c r="I21710" s="237"/>
    </row>
    <row r="21711" spans="1:9" s="232" customFormat="1" ht="17" customHeight="1">
      <c r="A21711" s="234"/>
      <c r="B21711" s="233"/>
      <c r="C21711" s="238"/>
      <c r="E21711" s="545"/>
      <c r="F21711" s="546"/>
      <c r="G21711" s="234"/>
      <c r="H21711" s="238"/>
      <c r="I21711" s="237"/>
    </row>
    <row r="21712" spans="1:9" s="232" customFormat="1" ht="17" customHeight="1">
      <c r="A21712" s="234"/>
      <c r="B21712" s="233"/>
      <c r="C21712" s="238"/>
      <c r="E21712" s="545"/>
      <c r="F21712" s="546"/>
      <c r="G21712" s="234"/>
      <c r="H21712" s="238"/>
      <c r="I21712" s="237"/>
    </row>
    <row r="21713" spans="1:9" s="232" customFormat="1" ht="17" customHeight="1">
      <c r="A21713" s="234"/>
      <c r="B21713" s="233"/>
      <c r="C21713" s="238"/>
      <c r="E21713" s="545"/>
      <c r="F21713" s="546"/>
      <c r="G21713" s="234"/>
      <c r="H21713" s="238"/>
      <c r="I21713" s="237"/>
    </row>
    <row r="21714" spans="1:9" s="232" customFormat="1" ht="17" customHeight="1">
      <c r="A21714" s="234"/>
      <c r="B21714" s="233"/>
      <c r="C21714" s="238"/>
      <c r="E21714" s="545"/>
      <c r="F21714" s="546"/>
      <c r="G21714" s="234"/>
      <c r="H21714" s="238"/>
      <c r="I21714" s="237"/>
    </row>
    <row r="21715" spans="1:9" s="232" customFormat="1" ht="17" customHeight="1">
      <c r="A21715" s="234"/>
      <c r="B21715" s="233"/>
      <c r="C21715" s="238"/>
      <c r="E21715" s="545"/>
      <c r="F21715" s="546"/>
      <c r="G21715" s="234"/>
      <c r="H21715" s="238"/>
      <c r="I21715" s="237"/>
    </row>
    <row r="21716" spans="1:9" s="232" customFormat="1" ht="17" customHeight="1">
      <c r="A21716" s="234"/>
      <c r="B21716" s="233"/>
      <c r="C21716" s="238"/>
      <c r="E21716" s="545"/>
      <c r="F21716" s="546"/>
      <c r="G21716" s="234"/>
      <c r="H21716" s="238"/>
      <c r="I21716" s="237"/>
    </row>
    <row r="21717" spans="1:9" s="232" customFormat="1" ht="17" customHeight="1">
      <c r="A21717" s="234"/>
      <c r="B21717" s="233"/>
      <c r="C21717" s="238"/>
      <c r="E21717" s="545"/>
      <c r="F21717" s="546"/>
      <c r="G21717" s="234"/>
      <c r="H21717" s="238"/>
      <c r="I21717" s="237"/>
    </row>
    <row r="21718" spans="1:9" s="232" customFormat="1" ht="17" customHeight="1">
      <c r="A21718" s="234"/>
      <c r="B21718" s="233"/>
      <c r="C21718" s="238"/>
      <c r="E21718" s="545"/>
      <c r="F21718" s="546"/>
      <c r="G21718" s="234"/>
      <c r="H21718" s="238"/>
      <c r="I21718" s="237"/>
    </row>
    <row r="21719" spans="1:9" s="232" customFormat="1" ht="17" customHeight="1">
      <c r="A21719" s="234"/>
      <c r="B21719" s="233"/>
      <c r="C21719" s="238"/>
      <c r="E21719" s="545"/>
      <c r="F21719" s="546"/>
      <c r="G21719" s="234"/>
      <c r="H21719" s="238"/>
      <c r="I21719" s="237"/>
    </row>
    <row r="21720" spans="1:9" s="232" customFormat="1" ht="17" customHeight="1">
      <c r="A21720" s="234"/>
      <c r="B21720" s="233"/>
      <c r="C21720" s="238"/>
      <c r="E21720" s="545"/>
      <c r="F21720" s="546"/>
      <c r="G21720" s="234"/>
      <c r="H21720" s="238"/>
      <c r="I21720" s="237"/>
    </row>
    <row r="21721" spans="1:9" s="232" customFormat="1" ht="17" customHeight="1">
      <c r="A21721" s="234"/>
      <c r="B21721" s="233"/>
      <c r="C21721" s="238"/>
      <c r="E21721" s="545"/>
      <c r="F21721" s="546"/>
      <c r="G21721" s="234"/>
      <c r="H21721" s="238"/>
      <c r="I21721" s="237"/>
    </row>
    <row r="21722" spans="1:9" s="232" customFormat="1" ht="17" customHeight="1">
      <c r="A21722" s="234"/>
      <c r="B21722" s="233"/>
      <c r="C21722" s="238"/>
      <c r="E21722" s="545"/>
      <c r="F21722" s="546"/>
      <c r="G21722" s="234"/>
      <c r="H21722" s="238"/>
      <c r="I21722" s="237"/>
    </row>
    <row r="21723" spans="1:9" s="232" customFormat="1" ht="17" customHeight="1">
      <c r="A21723" s="234"/>
      <c r="B21723" s="233"/>
      <c r="C21723" s="238"/>
      <c r="E21723" s="545"/>
      <c r="F21723" s="546"/>
      <c r="G21723" s="234"/>
      <c r="H21723" s="238"/>
      <c r="I21723" s="237"/>
    </row>
    <row r="21724" spans="1:9" s="232" customFormat="1" ht="17" customHeight="1">
      <c r="A21724" s="234"/>
      <c r="B21724" s="233"/>
      <c r="C21724" s="238"/>
      <c r="E21724" s="545"/>
      <c r="F21724" s="546"/>
      <c r="G21724" s="234"/>
      <c r="H21724" s="238"/>
      <c r="I21724" s="237"/>
    </row>
    <row r="21725" spans="1:9" s="232" customFormat="1" ht="17" customHeight="1">
      <c r="A21725" s="234"/>
      <c r="B21725" s="233"/>
      <c r="C21725" s="238"/>
      <c r="E21725" s="545"/>
      <c r="F21725" s="546"/>
      <c r="G21725" s="234"/>
      <c r="H21725" s="238"/>
      <c r="I21725" s="237"/>
    </row>
    <row r="21726" spans="1:9" s="232" customFormat="1" ht="17" customHeight="1">
      <c r="A21726" s="234"/>
      <c r="B21726" s="233"/>
      <c r="C21726" s="238"/>
      <c r="E21726" s="545"/>
      <c r="F21726" s="546"/>
      <c r="G21726" s="234"/>
      <c r="H21726" s="238"/>
      <c r="I21726" s="237"/>
    </row>
    <row r="21727" spans="1:9" s="232" customFormat="1" ht="17" customHeight="1">
      <c r="A21727" s="234"/>
      <c r="B21727" s="233"/>
      <c r="C21727" s="238"/>
      <c r="E21727" s="545"/>
      <c r="F21727" s="546"/>
      <c r="G21727" s="234"/>
      <c r="H21727" s="238"/>
      <c r="I21727" s="237"/>
    </row>
    <row r="21728" spans="1:9" s="232" customFormat="1" ht="17" customHeight="1">
      <c r="A21728" s="234"/>
      <c r="B21728" s="233"/>
      <c r="C21728" s="238"/>
      <c r="E21728" s="545"/>
      <c r="F21728" s="546"/>
      <c r="G21728" s="234"/>
      <c r="H21728" s="238"/>
      <c r="I21728" s="237"/>
    </row>
    <row r="21729" spans="1:9" s="232" customFormat="1" ht="17" customHeight="1">
      <c r="A21729" s="234"/>
      <c r="B21729" s="233"/>
      <c r="C21729" s="238"/>
      <c r="E21729" s="545"/>
      <c r="F21729" s="546"/>
      <c r="G21729" s="234"/>
      <c r="H21729" s="238"/>
      <c r="I21729" s="237"/>
    </row>
    <row r="21730" spans="1:9" s="232" customFormat="1" ht="17" customHeight="1">
      <c r="A21730" s="234"/>
      <c r="B21730" s="233"/>
      <c r="C21730" s="238"/>
      <c r="E21730" s="545"/>
      <c r="F21730" s="546"/>
      <c r="G21730" s="234"/>
      <c r="H21730" s="238"/>
      <c r="I21730" s="237"/>
    </row>
    <row r="21731" spans="1:9" s="232" customFormat="1" ht="17" customHeight="1">
      <c r="A21731" s="234"/>
      <c r="B21731" s="233"/>
      <c r="C21731" s="238"/>
      <c r="E21731" s="545"/>
      <c r="F21731" s="546"/>
      <c r="G21731" s="234"/>
      <c r="H21731" s="238"/>
      <c r="I21731" s="237"/>
    </row>
    <row r="21732" spans="1:9" s="232" customFormat="1" ht="17" customHeight="1">
      <c r="A21732" s="234"/>
      <c r="B21732" s="233"/>
      <c r="C21732" s="238"/>
      <c r="E21732" s="545"/>
      <c r="F21732" s="546"/>
      <c r="G21732" s="234"/>
      <c r="H21732" s="238"/>
      <c r="I21732" s="237"/>
    </row>
    <row r="21733" spans="1:9" s="232" customFormat="1" ht="17" customHeight="1">
      <c r="A21733" s="234"/>
      <c r="B21733" s="233"/>
      <c r="C21733" s="238"/>
      <c r="E21733" s="545"/>
      <c r="F21733" s="546"/>
      <c r="G21733" s="234"/>
      <c r="H21733" s="238"/>
      <c r="I21733" s="237"/>
    </row>
    <row r="21734" spans="1:9" s="232" customFormat="1" ht="17" customHeight="1">
      <c r="A21734" s="234"/>
      <c r="B21734" s="233"/>
      <c r="C21734" s="238"/>
      <c r="E21734" s="545"/>
      <c r="F21734" s="546"/>
      <c r="G21734" s="234"/>
      <c r="H21734" s="238"/>
      <c r="I21734" s="237"/>
    </row>
    <row r="21735" spans="1:9" s="232" customFormat="1" ht="17" customHeight="1">
      <c r="A21735" s="234"/>
      <c r="B21735" s="233"/>
      <c r="C21735" s="238"/>
      <c r="E21735" s="545"/>
      <c r="F21735" s="546"/>
      <c r="G21735" s="234"/>
      <c r="H21735" s="238"/>
      <c r="I21735" s="237"/>
    </row>
    <row r="21736" spans="1:9" s="232" customFormat="1" ht="17" customHeight="1">
      <c r="A21736" s="234"/>
      <c r="B21736" s="233"/>
      <c r="C21736" s="238"/>
      <c r="E21736" s="545"/>
      <c r="F21736" s="546"/>
      <c r="G21736" s="234"/>
      <c r="H21736" s="238"/>
      <c r="I21736" s="237"/>
    </row>
    <row r="21737" spans="1:9" s="232" customFormat="1" ht="17" customHeight="1">
      <c r="A21737" s="234"/>
      <c r="B21737" s="233"/>
      <c r="C21737" s="238"/>
      <c r="E21737" s="545"/>
      <c r="F21737" s="546"/>
      <c r="G21737" s="234"/>
      <c r="H21737" s="238"/>
      <c r="I21737" s="237"/>
    </row>
    <row r="21738" spans="1:9" s="232" customFormat="1" ht="17" customHeight="1">
      <c r="A21738" s="234"/>
      <c r="B21738" s="233"/>
      <c r="C21738" s="238"/>
      <c r="E21738" s="545"/>
      <c r="F21738" s="546"/>
      <c r="G21738" s="234"/>
      <c r="H21738" s="238"/>
      <c r="I21738" s="237"/>
    </row>
    <row r="21739" spans="1:9" s="232" customFormat="1" ht="17" customHeight="1">
      <c r="A21739" s="234"/>
      <c r="B21739" s="233"/>
      <c r="C21739" s="238"/>
      <c r="E21739" s="545"/>
      <c r="F21739" s="546"/>
      <c r="G21739" s="234"/>
      <c r="H21739" s="238"/>
      <c r="I21739" s="237"/>
    </row>
    <row r="21740" spans="1:9" s="232" customFormat="1" ht="17" customHeight="1">
      <c r="A21740" s="234"/>
      <c r="B21740" s="233"/>
      <c r="C21740" s="238"/>
      <c r="E21740" s="545"/>
      <c r="F21740" s="546"/>
      <c r="G21740" s="234"/>
      <c r="H21740" s="238"/>
      <c r="I21740" s="237"/>
    </row>
    <row r="21741" spans="1:9" s="232" customFormat="1" ht="17" customHeight="1">
      <c r="A21741" s="234"/>
      <c r="B21741" s="233"/>
      <c r="C21741" s="238"/>
      <c r="E21741" s="545"/>
      <c r="F21741" s="546"/>
      <c r="G21741" s="234"/>
      <c r="H21741" s="238"/>
      <c r="I21741" s="237"/>
    </row>
    <row r="21742" spans="1:9" s="232" customFormat="1" ht="17" customHeight="1">
      <c r="A21742" s="234"/>
      <c r="B21742" s="233"/>
      <c r="C21742" s="238"/>
      <c r="E21742" s="545"/>
      <c r="F21742" s="546"/>
      <c r="G21742" s="234"/>
      <c r="H21742" s="238"/>
      <c r="I21742" s="237"/>
    </row>
    <row r="21743" spans="1:9" s="232" customFormat="1" ht="17" customHeight="1">
      <c r="A21743" s="234"/>
      <c r="B21743" s="233"/>
      <c r="C21743" s="238"/>
      <c r="E21743" s="545"/>
      <c r="F21743" s="546"/>
      <c r="G21743" s="234"/>
      <c r="H21743" s="238"/>
      <c r="I21743" s="237"/>
    </row>
    <row r="21744" spans="1:9" s="232" customFormat="1" ht="17" customHeight="1">
      <c r="A21744" s="234"/>
      <c r="B21744" s="233"/>
      <c r="C21744" s="238"/>
      <c r="E21744" s="545"/>
      <c r="F21744" s="546"/>
      <c r="G21744" s="234"/>
      <c r="H21744" s="238"/>
      <c r="I21744" s="237"/>
    </row>
    <row r="21745" spans="1:9" s="232" customFormat="1" ht="17" customHeight="1">
      <c r="A21745" s="234"/>
      <c r="B21745" s="233"/>
      <c r="C21745" s="238"/>
      <c r="E21745" s="545"/>
      <c r="F21745" s="546"/>
      <c r="G21745" s="234"/>
      <c r="H21745" s="238"/>
      <c r="I21745" s="237"/>
    </row>
    <row r="21746" spans="1:9" s="232" customFormat="1" ht="17" customHeight="1">
      <c r="A21746" s="234"/>
      <c r="B21746" s="233"/>
      <c r="C21746" s="238"/>
      <c r="E21746" s="545"/>
      <c r="F21746" s="546"/>
      <c r="G21746" s="234"/>
      <c r="H21746" s="238"/>
      <c r="I21746" s="237"/>
    </row>
    <row r="21747" spans="1:9" s="232" customFormat="1" ht="17" customHeight="1">
      <c r="A21747" s="234"/>
      <c r="B21747" s="233"/>
      <c r="C21747" s="238"/>
      <c r="E21747" s="545"/>
      <c r="F21747" s="546"/>
      <c r="G21747" s="234"/>
      <c r="H21747" s="238"/>
      <c r="I21747" s="237"/>
    </row>
    <row r="21748" spans="1:9" s="232" customFormat="1" ht="17" customHeight="1">
      <c r="A21748" s="234"/>
      <c r="B21748" s="233"/>
      <c r="C21748" s="238"/>
      <c r="E21748" s="545"/>
      <c r="F21748" s="546"/>
      <c r="G21748" s="234"/>
      <c r="H21748" s="238"/>
      <c r="I21748" s="237"/>
    </row>
    <row r="21749" spans="1:9" s="232" customFormat="1" ht="17" customHeight="1">
      <c r="A21749" s="234"/>
      <c r="B21749" s="233"/>
      <c r="C21749" s="238"/>
      <c r="E21749" s="545"/>
      <c r="F21749" s="546"/>
      <c r="G21749" s="234"/>
      <c r="H21749" s="238"/>
      <c r="I21749" s="237"/>
    </row>
    <row r="21750" spans="1:9" s="232" customFormat="1" ht="17" customHeight="1">
      <c r="A21750" s="234"/>
      <c r="B21750" s="233"/>
      <c r="C21750" s="238"/>
      <c r="E21750" s="545"/>
      <c r="F21750" s="546"/>
      <c r="G21750" s="234"/>
      <c r="H21750" s="238"/>
      <c r="I21750" s="237"/>
    </row>
    <row r="21751" spans="1:9" s="232" customFormat="1" ht="17" customHeight="1">
      <c r="A21751" s="234"/>
      <c r="B21751" s="233"/>
      <c r="C21751" s="238"/>
      <c r="E21751" s="545"/>
      <c r="F21751" s="546"/>
      <c r="G21751" s="234"/>
      <c r="H21751" s="238"/>
      <c r="I21751" s="237"/>
    </row>
    <row r="21752" spans="1:9" s="232" customFormat="1" ht="17" customHeight="1">
      <c r="A21752" s="234"/>
      <c r="B21752" s="233"/>
      <c r="C21752" s="238"/>
      <c r="E21752" s="545"/>
      <c r="F21752" s="546"/>
      <c r="G21752" s="234"/>
      <c r="H21752" s="238"/>
      <c r="I21752" s="237"/>
    </row>
    <row r="21753" spans="1:9" s="232" customFormat="1" ht="17" customHeight="1">
      <c r="A21753" s="234"/>
      <c r="B21753" s="233"/>
      <c r="C21753" s="238"/>
      <c r="E21753" s="545"/>
      <c r="F21753" s="546"/>
      <c r="G21753" s="234"/>
      <c r="H21753" s="238"/>
      <c r="I21753" s="237"/>
    </row>
    <row r="21754" spans="1:9" s="232" customFormat="1" ht="17" customHeight="1">
      <c r="A21754" s="234"/>
      <c r="B21754" s="233"/>
      <c r="C21754" s="238"/>
      <c r="E21754" s="545"/>
      <c r="F21754" s="546"/>
      <c r="G21754" s="234"/>
      <c r="H21754" s="238"/>
      <c r="I21754" s="237"/>
    </row>
    <row r="21755" spans="1:9" s="232" customFormat="1" ht="17" customHeight="1">
      <c r="A21755" s="234"/>
      <c r="B21755" s="233"/>
      <c r="C21755" s="238"/>
      <c r="E21755" s="545"/>
      <c r="F21755" s="546"/>
      <c r="G21755" s="234"/>
      <c r="H21755" s="238"/>
      <c r="I21755" s="237"/>
    </row>
    <row r="21756" spans="1:9" s="232" customFormat="1" ht="17" customHeight="1">
      <c r="A21756" s="234"/>
      <c r="B21756" s="233"/>
      <c r="C21756" s="238"/>
      <c r="E21756" s="545"/>
      <c r="F21756" s="546"/>
      <c r="G21756" s="234"/>
      <c r="H21756" s="238"/>
      <c r="I21756" s="237"/>
    </row>
    <row r="21757" spans="1:9" s="232" customFormat="1" ht="17" customHeight="1">
      <c r="A21757" s="234"/>
      <c r="B21757" s="233"/>
      <c r="C21757" s="238"/>
      <c r="E21757" s="545"/>
      <c r="F21757" s="546"/>
      <c r="G21757" s="234"/>
      <c r="H21757" s="238"/>
      <c r="I21757" s="237"/>
    </row>
    <row r="21758" spans="1:9" s="232" customFormat="1" ht="17" customHeight="1">
      <c r="A21758" s="234"/>
      <c r="B21758" s="233"/>
      <c r="C21758" s="238"/>
      <c r="E21758" s="545"/>
      <c r="F21758" s="546"/>
      <c r="G21758" s="234"/>
      <c r="H21758" s="238"/>
      <c r="I21758" s="237"/>
    </row>
    <row r="21759" spans="1:9" s="232" customFormat="1" ht="17" customHeight="1">
      <c r="A21759" s="234"/>
      <c r="B21759" s="233"/>
      <c r="C21759" s="238"/>
      <c r="E21759" s="545"/>
      <c r="F21759" s="546"/>
      <c r="G21759" s="234"/>
      <c r="H21759" s="238"/>
      <c r="I21759" s="237"/>
    </row>
    <row r="21760" spans="1:9" s="232" customFormat="1" ht="17" customHeight="1">
      <c r="A21760" s="234"/>
      <c r="B21760" s="233"/>
      <c r="C21760" s="238"/>
      <c r="E21760" s="545"/>
      <c r="F21760" s="546"/>
      <c r="G21760" s="234"/>
      <c r="H21760" s="238"/>
      <c r="I21760" s="237"/>
    </row>
    <row r="21761" spans="1:9" s="232" customFormat="1" ht="17" customHeight="1">
      <c r="A21761" s="234"/>
      <c r="B21761" s="233"/>
      <c r="C21761" s="238"/>
      <c r="E21761" s="545"/>
      <c r="F21761" s="546"/>
      <c r="G21761" s="234"/>
      <c r="H21761" s="238"/>
      <c r="I21761" s="237"/>
    </row>
    <row r="21762" spans="1:9" s="232" customFormat="1" ht="17" customHeight="1">
      <c r="A21762" s="234"/>
      <c r="B21762" s="233"/>
      <c r="C21762" s="238"/>
      <c r="E21762" s="545"/>
      <c r="F21762" s="546"/>
      <c r="G21762" s="234"/>
      <c r="H21762" s="238"/>
      <c r="I21762" s="237"/>
    </row>
    <row r="21763" spans="1:9" s="232" customFormat="1" ht="17" customHeight="1">
      <c r="A21763" s="234"/>
      <c r="B21763" s="233"/>
      <c r="C21763" s="238"/>
      <c r="E21763" s="545"/>
      <c r="F21763" s="546"/>
      <c r="G21763" s="234"/>
      <c r="H21763" s="238"/>
      <c r="I21763" s="237"/>
    </row>
    <row r="21764" spans="1:9" s="232" customFormat="1" ht="17" customHeight="1">
      <c r="A21764" s="234"/>
      <c r="B21764" s="233"/>
      <c r="C21764" s="238"/>
      <c r="E21764" s="545"/>
      <c r="F21764" s="546"/>
      <c r="G21764" s="234"/>
      <c r="H21764" s="238"/>
      <c r="I21764" s="237"/>
    </row>
    <row r="21765" spans="1:9" s="232" customFormat="1" ht="17" customHeight="1">
      <c r="A21765" s="234"/>
      <c r="B21765" s="233"/>
      <c r="C21765" s="238"/>
      <c r="E21765" s="545"/>
      <c r="F21765" s="546"/>
      <c r="G21765" s="234"/>
      <c r="H21765" s="238"/>
      <c r="I21765" s="237"/>
    </row>
    <row r="21766" spans="1:9" s="232" customFormat="1" ht="17" customHeight="1">
      <c r="A21766" s="234"/>
      <c r="B21766" s="233"/>
      <c r="C21766" s="238"/>
      <c r="E21766" s="545"/>
      <c r="F21766" s="546"/>
      <c r="G21766" s="234"/>
      <c r="H21766" s="238"/>
      <c r="I21766" s="237"/>
    </row>
    <row r="21767" spans="1:9" s="232" customFormat="1" ht="17" customHeight="1">
      <c r="A21767" s="234"/>
      <c r="B21767" s="233"/>
      <c r="C21767" s="238"/>
      <c r="E21767" s="545"/>
      <c r="F21767" s="546"/>
      <c r="G21767" s="234"/>
      <c r="H21767" s="238"/>
      <c r="I21767" s="237"/>
    </row>
    <row r="21768" spans="1:9" s="232" customFormat="1" ht="17" customHeight="1">
      <c r="A21768" s="234"/>
      <c r="B21768" s="233"/>
      <c r="C21768" s="238"/>
      <c r="E21768" s="545"/>
      <c r="F21768" s="546"/>
      <c r="G21768" s="234"/>
      <c r="H21768" s="238"/>
      <c r="I21768" s="237"/>
    </row>
    <row r="21769" spans="1:9" s="232" customFormat="1" ht="17" customHeight="1">
      <c r="A21769" s="234"/>
      <c r="B21769" s="233"/>
      <c r="C21769" s="238"/>
      <c r="E21769" s="545"/>
      <c r="F21769" s="546"/>
      <c r="G21769" s="234"/>
      <c r="H21769" s="238"/>
      <c r="I21769" s="237"/>
    </row>
    <row r="21770" spans="1:9" s="232" customFormat="1" ht="17" customHeight="1">
      <c r="A21770" s="234"/>
      <c r="B21770" s="233"/>
      <c r="C21770" s="238"/>
      <c r="E21770" s="545"/>
      <c r="F21770" s="546"/>
      <c r="G21770" s="234"/>
      <c r="H21770" s="238"/>
      <c r="I21770" s="237"/>
    </row>
    <row r="21771" spans="1:9" s="232" customFormat="1" ht="17" customHeight="1">
      <c r="A21771" s="234"/>
      <c r="B21771" s="233"/>
      <c r="C21771" s="238"/>
      <c r="E21771" s="545"/>
      <c r="F21771" s="546"/>
      <c r="G21771" s="234"/>
      <c r="H21771" s="238"/>
      <c r="I21771" s="237"/>
    </row>
    <row r="21772" spans="1:9" s="232" customFormat="1" ht="17" customHeight="1">
      <c r="A21772" s="234"/>
      <c r="B21772" s="233"/>
      <c r="C21772" s="238"/>
      <c r="E21772" s="545"/>
      <c r="F21772" s="546"/>
      <c r="G21772" s="234"/>
      <c r="H21772" s="238"/>
      <c r="I21772" s="237"/>
    </row>
    <row r="21773" spans="1:9" s="232" customFormat="1" ht="17" customHeight="1">
      <c r="A21773" s="234"/>
      <c r="B21773" s="233"/>
      <c r="C21773" s="238"/>
      <c r="E21773" s="545"/>
      <c r="F21773" s="546"/>
      <c r="G21773" s="234"/>
      <c r="H21773" s="238"/>
      <c r="I21773" s="237"/>
    </row>
    <row r="21774" spans="1:9" s="232" customFormat="1" ht="17" customHeight="1">
      <c r="A21774" s="234"/>
      <c r="B21774" s="233"/>
      <c r="C21774" s="238"/>
      <c r="E21774" s="545"/>
      <c r="F21774" s="546"/>
      <c r="G21774" s="234"/>
      <c r="H21774" s="238"/>
      <c r="I21774" s="237"/>
    </row>
    <row r="21775" spans="1:9" s="232" customFormat="1" ht="17" customHeight="1">
      <c r="A21775" s="234"/>
      <c r="B21775" s="233"/>
      <c r="C21775" s="238"/>
      <c r="E21775" s="545"/>
      <c r="F21775" s="546"/>
      <c r="G21775" s="234"/>
      <c r="H21775" s="238"/>
      <c r="I21775" s="237"/>
    </row>
    <row r="21776" spans="1:9" s="232" customFormat="1" ht="17" customHeight="1">
      <c r="A21776" s="234"/>
      <c r="B21776" s="233"/>
      <c r="C21776" s="238"/>
      <c r="E21776" s="545"/>
      <c r="F21776" s="546"/>
      <c r="G21776" s="234"/>
      <c r="H21776" s="238"/>
      <c r="I21776" s="237"/>
    </row>
    <row r="21777" spans="1:9" s="232" customFormat="1" ht="17" customHeight="1">
      <c r="A21777" s="234"/>
      <c r="B21777" s="233"/>
      <c r="C21777" s="238"/>
      <c r="E21777" s="545"/>
      <c r="F21777" s="546"/>
      <c r="G21777" s="234"/>
      <c r="H21777" s="238"/>
      <c r="I21777" s="237"/>
    </row>
    <row r="21778" spans="1:9" s="232" customFormat="1" ht="17" customHeight="1">
      <c r="A21778" s="234"/>
      <c r="B21778" s="233"/>
      <c r="C21778" s="238"/>
      <c r="E21778" s="545"/>
      <c r="F21778" s="546"/>
      <c r="G21778" s="234"/>
      <c r="H21778" s="238"/>
      <c r="I21778" s="237"/>
    </row>
    <row r="21779" spans="1:9" s="232" customFormat="1" ht="17" customHeight="1">
      <c r="A21779" s="234"/>
      <c r="B21779" s="233"/>
      <c r="C21779" s="238"/>
      <c r="E21779" s="545"/>
      <c r="F21779" s="546"/>
      <c r="G21779" s="234"/>
      <c r="H21779" s="238"/>
      <c r="I21779" s="237"/>
    </row>
    <row r="21780" spans="1:9" s="232" customFormat="1" ht="17" customHeight="1">
      <c r="A21780" s="234"/>
      <c r="B21780" s="233"/>
      <c r="C21780" s="238"/>
      <c r="E21780" s="545"/>
      <c r="F21780" s="546"/>
      <c r="G21780" s="234"/>
      <c r="H21780" s="238"/>
      <c r="I21780" s="237"/>
    </row>
    <row r="21781" spans="1:9" s="232" customFormat="1" ht="17" customHeight="1">
      <c r="A21781" s="234"/>
      <c r="B21781" s="233"/>
      <c r="C21781" s="238"/>
      <c r="E21781" s="545"/>
      <c r="F21781" s="546"/>
      <c r="G21781" s="234"/>
      <c r="H21781" s="238"/>
      <c r="I21781" s="237"/>
    </row>
    <row r="21782" spans="1:9" s="232" customFormat="1" ht="17" customHeight="1">
      <c r="A21782" s="234"/>
      <c r="B21782" s="233"/>
      <c r="C21782" s="238"/>
      <c r="E21782" s="545"/>
      <c r="F21782" s="546"/>
      <c r="G21782" s="234"/>
      <c r="H21782" s="238"/>
      <c r="I21782" s="237"/>
    </row>
    <row r="21783" spans="1:9" s="232" customFormat="1" ht="17" customHeight="1">
      <c r="A21783" s="234"/>
      <c r="B21783" s="233"/>
      <c r="C21783" s="238"/>
      <c r="E21783" s="545"/>
      <c r="F21783" s="546"/>
      <c r="G21783" s="234"/>
      <c r="H21783" s="238"/>
      <c r="I21783" s="237"/>
    </row>
    <row r="21784" spans="1:9" s="232" customFormat="1" ht="17" customHeight="1">
      <c r="A21784" s="234"/>
      <c r="B21784" s="233"/>
      <c r="C21784" s="238"/>
      <c r="E21784" s="545"/>
      <c r="F21784" s="546"/>
      <c r="G21784" s="234"/>
      <c r="H21784" s="238"/>
      <c r="I21784" s="237"/>
    </row>
    <row r="21785" spans="1:9" s="232" customFormat="1" ht="17" customHeight="1">
      <c r="A21785" s="234"/>
      <c r="B21785" s="233"/>
      <c r="C21785" s="238"/>
      <c r="E21785" s="545"/>
      <c r="F21785" s="546"/>
      <c r="G21785" s="234"/>
      <c r="H21785" s="238"/>
      <c r="I21785" s="237"/>
    </row>
    <row r="21786" spans="1:9" s="232" customFormat="1" ht="17" customHeight="1">
      <c r="A21786" s="234"/>
      <c r="B21786" s="233"/>
      <c r="C21786" s="238"/>
      <c r="E21786" s="545"/>
      <c r="F21786" s="546"/>
      <c r="G21786" s="234"/>
      <c r="H21786" s="238"/>
      <c r="I21786" s="237"/>
    </row>
    <row r="21787" spans="1:9" s="232" customFormat="1" ht="17" customHeight="1">
      <c r="A21787" s="234"/>
      <c r="B21787" s="233"/>
      <c r="C21787" s="238"/>
      <c r="E21787" s="545"/>
      <c r="F21787" s="546"/>
      <c r="G21787" s="234"/>
      <c r="H21787" s="238"/>
      <c r="I21787" s="237"/>
    </row>
    <row r="21788" spans="1:9" s="232" customFormat="1" ht="17" customHeight="1">
      <c r="A21788" s="234"/>
      <c r="B21788" s="233"/>
      <c r="C21788" s="238"/>
      <c r="E21788" s="545"/>
      <c r="F21788" s="546"/>
      <c r="G21788" s="234"/>
      <c r="H21788" s="238"/>
      <c r="I21788" s="237"/>
    </row>
    <row r="21789" spans="1:9" s="232" customFormat="1" ht="17" customHeight="1">
      <c r="A21789" s="234"/>
      <c r="B21789" s="233"/>
      <c r="C21789" s="238"/>
      <c r="E21789" s="545"/>
      <c r="F21789" s="546"/>
      <c r="G21789" s="234"/>
      <c r="H21789" s="238"/>
      <c r="I21789" s="237"/>
    </row>
    <row r="21790" spans="1:9" s="232" customFormat="1" ht="17" customHeight="1">
      <c r="A21790" s="234"/>
      <c r="B21790" s="233"/>
      <c r="C21790" s="238"/>
      <c r="E21790" s="545"/>
      <c r="F21790" s="546"/>
      <c r="G21790" s="234"/>
      <c r="H21790" s="238"/>
      <c r="I21790" s="237"/>
    </row>
    <row r="21791" spans="1:9" s="232" customFormat="1" ht="17" customHeight="1">
      <c r="A21791" s="234"/>
      <c r="B21791" s="233"/>
      <c r="C21791" s="238"/>
      <c r="E21791" s="545"/>
      <c r="F21791" s="546"/>
      <c r="G21791" s="234"/>
      <c r="H21791" s="238"/>
      <c r="I21791" s="237"/>
    </row>
    <row r="21792" spans="1:9" s="232" customFormat="1" ht="17" customHeight="1">
      <c r="A21792" s="234"/>
      <c r="B21792" s="233"/>
      <c r="C21792" s="238"/>
      <c r="E21792" s="545"/>
      <c r="F21792" s="546"/>
      <c r="G21792" s="234"/>
      <c r="H21792" s="238"/>
      <c r="I21792" s="237"/>
    </row>
    <row r="21793" spans="1:9" s="232" customFormat="1" ht="17" customHeight="1">
      <c r="A21793" s="234"/>
      <c r="B21793" s="233"/>
      <c r="C21793" s="238"/>
      <c r="E21793" s="545"/>
      <c r="F21793" s="546"/>
      <c r="G21793" s="234"/>
      <c r="H21793" s="238"/>
      <c r="I21793" s="237"/>
    </row>
    <row r="21794" spans="1:9" s="232" customFormat="1" ht="17" customHeight="1">
      <c r="A21794" s="234"/>
      <c r="B21794" s="233"/>
      <c r="C21794" s="238"/>
      <c r="E21794" s="545"/>
      <c r="F21794" s="546"/>
      <c r="G21794" s="234"/>
      <c r="H21794" s="238"/>
      <c r="I21794" s="237"/>
    </row>
    <row r="21795" spans="1:9" s="232" customFormat="1" ht="17" customHeight="1">
      <c r="A21795" s="234"/>
      <c r="B21795" s="233"/>
      <c r="C21795" s="238"/>
      <c r="E21795" s="545"/>
      <c r="F21795" s="546"/>
      <c r="G21795" s="234"/>
      <c r="H21795" s="238"/>
      <c r="I21795" s="237"/>
    </row>
    <row r="21796" spans="1:9" s="232" customFormat="1" ht="17" customHeight="1">
      <c r="A21796" s="234"/>
      <c r="B21796" s="233"/>
      <c r="C21796" s="238"/>
      <c r="E21796" s="545"/>
      <c r="F21796" s="546"/>
      <c r="G21796" s="234"/>
      <c r="H21796" s="238"/>
      <c r="I21796" s="237"/>
    </row>
    <row r="21797" spans="1:9" s="232" customFormat="1" ht="17" customHeight="1">
      <c r="A21797" s="234"/>
      <c r="B21797" s="233"/>
      <c r="C21797" s="238"/>
      <c r="E21797" s="545"/>
      <c r="F21797" s="546"/>
      <c r="G21797" s="234"/>
      <c r="H21797" s="238"/>
      <c r="I21797" s="237"/>
    </row>
    <row r="21798" spans="1:9" s="232" customFormat="1" ht="17" customHeight="1">
      <c r="A21798" s="234"/>
      <c r="B21798" s="233"/>
      <c r="C21798" s="238"/>
      <c r="E21798" s="545"/>
      <c r="F21798" s="546"/>
      <c r="G21798" s="234"/>
      <c r="H21798" s="238"/>
      <c r="I21798" s="237"/>
    </row>
    <row r="21799" spans="1:9" s="232" customFormat="1" ht="17" customHeight="1">
      <c r="A21799" s="234"/>
      <c r="B21799" s="233"/>
      <c r="C21799" s="238"/>
      <c r="E21799" s="545"/>
      <c r="F21799" s="546"/>
      <c r="G21799" s="234"/>
      <c r="H21799" s="238"/>
      <c r="I21799" s="237"/>
    </row>
    <row r="21800" spans="1:9" s="232" customFormat="1" ht="17" customHeight="1">
      <c r="A21800" s="234"/>
      <c r="B21800" s="233"/>
      <c r="C21800" s="238"/>
      <c r="E21800" s="545"/>
      <c r="F21800" s="546"/>
      <c r="G21800" s="234"/>
      <c r="H21800" s="238"/>
      <c r="I21800" s="237"/>
    </row>
    <row r="21801" spans="1:9" s="232" customFormat="1" ht="17" customHeight="1">
      <c r="A21801" s="234"/>
      <c r="B21801" s="233"/>
      <c r="C21801" s="238"/>
      <c r="E21801" s="545"/>
      <c r="F21801" s="546"/>
      <c r="G21801" s="234"/>
      <c r="H21801" s="238"/>
      <c r="I21801" s="237"/>
    </row>
    <row r="21802" spans="1:9" s="232" customFormat="1" ht="17" customHeight="1">
      <c r="A21802" s="234"/>
      <c r="B21802" s="233"/>
      <c r="C21802" s="238"/>
      <c r="E21802" s="545"/>
      <c r="F21802" s="546"/>
      <c r="G21802" s="234"/>
      <c r="H21802" s="238"/>
      <c r="I21802" s="237"/>
    </row>
    <row r="21803" spans="1:9" s="232" customFormat="1" ht="17" customHeight="1">
      <c r="A21803" s="234"/>
      <c r="B21803" s="233"/>
      <c r="C21803" s="238"/>
      <c r="E21803" s="545"/>
      <c r="F21803" s="546"/>
      <c r="G21803" s="234"/>
      <c r="H21803" s="238"/>
      <c r="I21803" s="237"/>
    </row>
    <row r="21804" spans="1:9" s="232" customFormat="1" ht="17" customHeight="1">
      <c r="A21804" s="234"/>
      <c r="B21804" s="233"/>
      <c r="C21804" s="238"/>
      <c r="E21804" s="545"/>
      <c r="F21804" s="546"/>
      <c r="G21804" s="234"/>
      <c r="H21804" s="238"/>
      <c r="I21804" s="237"/>
    </row>
    <row r="21805" spans="1:9" s="232" customFormat="1" ht="17" customHeight="1">
      <c r="A21805" s="234"/>
      <c r="B21805" s="233"/>
      <c r="C21805" s="238"/>
      <c r="E21805" s="545"/>
      <c r="F21805" s="546"/>
      <c r="G21805" s="234"/>
      <c r="H21805" s="238"/>
      <c r="I21805" s="237"/>
    </row>
    <row r="21806" spans="1:9" s="232" customFormat="1" ht="17" customHeight="1">
      <c r="A21806" s="234"/>
      <c r="B21806" s="233"/>
      <c r="C21806" s="238"/>
      <c r="E21806" s="545"/>
      <c r="F21806" s="546"/>
      <c r="G21806" s="234"/>
      <c r="H21806" s="238"/>
      <c r="I21806" s="237"/>
    </row>
    <row r="21807" spans="1:9" s="232" customFormat="1" ht="17" customHeight="1">
      <c r="A21807" s="234"/>
      <c r="B21807" s="233"/>
      <c r="C21807" s="238"/>
      <c r="E21807" s="545"/>
      <c r="F21807" s="546"/>
      <c r="G21807" s="234"/>
      <c r="H21807" s="238"/>
      <c r="I21807" s="237"/>
    </row>
    <row r="21808" spans="1:9" s="232" customFormat="1" ht="17" customHeight="1">
      <c r="A21808" s="234"/>
      <c r="B21808" s="233"/>
      <c r="C21808" s="238"/>
      <c r="E21808" s="545"/>
      <c r="F21808" s="546"/>
      <c r="G21808" s="234"/>
      <c r="H21808" s="238"/>
      <c r="I21808" s="237"/>
    </row>
    <row r="21809" spans="1:9" s="232" customFormat="1" ht="17" customHeight="1">
      <c r="A21809" s="234"/>
      <c r="B21809" s="233"/>
      <c r="C21809" s="238"/>
      <c r="E21809" s="545"/>
      <c r="F21809" s="546"/>
      <c r="G21809" s="234"/>
      <c r="H21809" s="238"/>
      <c r="I21809" s="237"/>
    </row>
    <row r="21810" spans="1:9" s="232" customFormat="1" ht="17" customHeight="1">
      <c r="A21810" s="234"/>
      <c r="B21810" s="233"/>
      <c r="C21810" s="238"/>
      <c r="E21810" s="545"/>
      <c r="F21810" s="546"/>
      <c r="G21810" s="234"/>
      <c r="H21810" s="238"/>
      <c r="I21810" s="237"/>
    </row>
    <row r="21811" spans="1:9" s="232" customFormat="1" ht="17" customHeight="1">
      <c r="A21811" s="234"/>
      <c r="B21811" s="233"/>
      <c r="C21811" s="238"/>
      <c r="E21811" s="545"/>
      <c r="F21811" s="546"/>
      <c r="G21811" s="234"/>
      <c r="H21811" s="238"/>
      <c r="I21811" s="237"/>
    </row>
    <row r="21812" spans="1:9" s="232" customFormat="1" ht="17" customHeight="1">
      <c r="A21812" s="234"/>
      <c r="B21812" s="233"/>
      <c r="C21812" s="238"/>
      <c r="E21812" s="545"/>
      <c r="F21812" s="546"/>
      <c r="G21812" s="234"/>
      <c r="H21812" s="238"/>
      <c r="I21812" s="237"/>
    </row>
    <row r="21813" spans="1:9" s="232" customFormat="1" ht="17" customHeight="1">
      <c r="A21813" s="234"/>
      <c r="B21813" s="233"/>
      <c r="C21813" s="238"/>
      <c r="E21813" s="545"/>
      <c r="F21813" s="546"/>
      <c r="G21813" s="234"/>
      <c r="H21813" s="238"/>
      <c r="I21813" s="237"/>
    </row>
    <row r="21814" spans="1:9" s="232" customFormat="1" ht="17" customHeight="1">
      <c r="A21814" s="234"/>
      <c r="B21814" s="233"/>
      <c r="C21814" s="238"/>
      <c r="E21814" s="545"/>
      <c r="F21814" s="546"/>
      <c r="G21814" s="234"/>
      <c r="H21814" s="238"/>
      <c r="I21814" s="237"/>
    </row>
    <row r="21815" spans="1:9" s="232" customFormat="1" ht="17" customHeight="1">
      <c r="A21815" s="234"/>
      <c r="B21815" s="233"/>
      <c r="C21815" s="238"/>
      <c r="E21815" s="545"/>
      <c r="F21815" s="546"/>
      <c r="G21815" s="234"/>
      <c r="H21815" s="238"/>
      <c r="I21815" s="237"/>
    </row>
    <row r="21816" spans="1:9" s="232" customFormat="1" ht="17" customHeight="1">
      <c r="A21816" s="234"/>
      <c r="B21816" s="233"/>
      <c r="C21816" s="238"/>
      <c r="E21816" s="545"/>
      <c r="F21816" s="546"/>
      <c r="G21816" s="234"/>
      <c r="H21816" s="238"/>
      <c r="I21816" s="237"/>
    </row>
    <row r="21817" spans="1:9" s="232" customFormat="1" ht="17" customHeight="1">
      <c r="A21817" s="234"/>
      <c r="B21817" s="233"/>
      <c r="C21817" s="238"/>
      <c r="E21817" s="545"/>
      <c r="F21817" s="546"/>
      <c r="G21817" s="234"/>
      <c r="H21817" s="238"/>
      <c r="I21817" s="237"/>
    </row>
    <row r="21818" spans="1:9" s="232" customFormat="1" ht="17" customHeight="1">
      <c r="A21818" s="234"/>
      <c r="B21818" s="233"/>
      <c r="C21818" s="238"/>
      <c r="E21818" s="545"/>
      <c r="F21818" s="546"/>
      <c r="G21818" s="234"/>
      <c r="H21818" s="238"/>
      <c r="I21818" s="237"/>
    </row>
    <row r="21819" spans="1:9" s="232" customFormat="1" ht="17" customHeight="1">
      <c r="A21819" s="234"/>
      <c r="B21819" s="233"/>
      <c r="C21819" s="238"/>
      <c r="E21819" s="545"/>
      <c r="F21819" s="546"/>
      <c r="G21819" s="234"/>
      <c r="H21819" s="238"/>
      <c r="I21819" s="237"/>
    </row>
    <row r="21820" spans="1:9" s="232" customFormat="1" ht="17" customHeight="1">
      <c r="A21820" s="234"/>
      <c r="B21820" s="233"/>
      <c r="C21820" s="238"/>
      <c r="E21820" s="545"/>
      <c r="F21820" s="546"/>
      <c r="G21820" s="234"/>
      <c r="H21820" s="238"/>
      <c r="I21820" s="237"/>
    </row>
    <row r="21821" spans="1:9" s="232" customFormat="1" ht="17" customHeight="1">
      <c r="A21821" s="234"/>
      <c r="B21821" s="233"/>
      <c r="C21821" s="238"/>
      <c r="E21821" s="545"/>
      <c r="F21821" s="546"/>
      <c r="G21821" s="234"/>
      <c r="H21821" s="238"/>
      <c r="I21821" s="237"/>
    </row>
    <row r="21822" spans="1:9" s="232" customFormat="1" ht="17" customHeight="1">
      <c r="A21822" s="234"/>
      <c r="B21822" s="233"/>
      <c r="C21822" s="238"/>
      <c r="E21822" s="545"/>
      <c r="F21822" s="546"/>
      <c r="G21822" s="234"/>
      <c r="H21822" s="238"/>
      <c r="I21822" s="237"/>
    </row>
    <row r="21823" spans="1:9" s="232" customFormat="1" ht="17" customHeight="1">
      <c r="A21823" s="234"/>
      <c r="B21823" s="233"/>
      <c r="C21823" s="238"/>
      <c r="E21823" s="545"/>
      <c r="F21823" s="546"/>
      <c r="G21823" s="234"/>
      <c r="H21823" s="238"/>
      <c r="I21823" s="237"/>
    </row>
    <row r="21824" spans="1:9" s="232" customFormat="1" ht="17" customHeight="1">
      <c r="A21824" s="234"/>
      <c r="B21824" s="233"/>
      <c r="C21824" s="238"/>
      <c r="E21824" s="545"/>
      <c r="F21824" s="546"/>
      <c r="G21824" s="234"/>
      <c r="H21824" s="238"/>
      <c r="I21824" s="237"/>
    </row>
    <row r="21825" spans="1:9" s="232" customFormat="1" ht="17" customHeight="1">
      <c r="A21825" s="234"/>
      <c r="B21825" s="233"/>
      <c r="C21825" s="238"/>
      <c r="E21825" s="545"/>
      <c r="F21825" s="546"/>
      <c r="G21825" s="234"/>
      <c r="H21825" s="238"/>
      <c r="I21825" s="237"/>
    </row>
    <row r="21826" spans="1:9" s="232" customFormat="1" ht="17" customHeight="1">
      <c r="A21826" s="234"/>
      <c r="B21826" s="233"/>
      <c r="C21826" s="238"/>
      <c r="E21826" s="545"/>
      <c r="F21826" s="546"/>
      <c r="G21826" s="234"/>
      <c r="H21826" s="238"/>
      <c r="I21826" s="237"/>
    </row>
    <row r="21827" spans="1:9" s="232" customFormat="1" ht="17" customHeight="1">
      <c r="A21827" s="234"/>
      <c r="B21827" s="233"/>
      <c r="C21827" s="238"/>
      <c r="E21827" s="545"/>
      <c r="F21827" s="546"/>
      <c r="G21827" s="234"/>
      <c r="H21827" s="238"/>
      <c r="I21827" s="237"/>
    </row>
    <row r="21828" spans="1:9" s="232" customFormat="1" ht="17" customHeight="1">
      <c r="A21828" s="234"/>
      <c r="B21828" s="233"/>
      <c r="C21828" s="238"/>
      <c r="E21828" s="545"/>
      <c r="F21828" s="546"/>
      <c r="G21828" s="234"/>
      <c r="H21828" s="238"/>
      <c r="I21828" s="237"/>
    </row>
    <row r="21829" spans="1:9" s="232" customFormat="1" ht="17" customHeight="1">
      <c r="A21829" s="234"/>
      <c r="B21829" s="233"/>
      <c r="C21829" s="238"/>
      <c r="E21829" s="545"/>
      <c r="F21829" s="546"/>
      <c r="G21829" s="234"/>
      <c r="H21829" s="238"/>
      <c r="I21829" s="237"/>
    </row>
    <row r="21830" spans="1:9" s="232" customFormat="1" ht="17" customHeight="1">
      <c r="A21830" s="234"/>
      <c r="B21830" s="233"/>
      <c r="C21830" s="238"/>
      <c r="E21830" s="545"/>
      <c r="F21830" s="546"/>
      <c r="G21830" s="234"/>
      <c r="H21830" s="238"/>
      <c r="I21830" s="237"/>
    </row>
    <row r="21831" spans="1:9" s="232" customFormat="1" ht="17" customHeight="1">
      <c r="A21831" s="234"/>
      <c r="B21831" s="233"/>
      <c r="C21831" s="238"/>
      <c r="E21831" s="545"/>
      <c r="F21831" s="546"/>
      <c r="G21831" s="234"/>
      <c r="H21831" s="238"/>
      <c r="I21831" s="237"/>
    </row>
    <row r="21832" spans="1:9" s="232" customFormat="1" ht="17" customHeight="1">
      <c r="A21832" s="234"/>
      <c r="B21832" s="233"/>
      <c r="C21832" s="238"/>
      <c r="E21832" s="545"/>
      <c r="F21832" s="546"/>
      <c r="G21832" s="234"/>
      <c r="H21832" s="238"/>
      <c r="I21832" s="237"/>
    </row>
    <row r="21833" spans="1:9" s="232" customFormat="1" ht="17" customHeight="1">
      <c r="A21833" s="234"/>
      <c r="B21833" s="233"/>
      <c r="C21833" s="238"/>
      <c r="E21833" s="545"/>
      <c r="F21833" s="546"/>
      <c r="G21833" s="234"/>
      <c r="H21833" s="238"/>
      <c r="I21833" s="237"/>
    </row>
    <row r="21834" spans="1:9" s="232" customFormat="1" ht="17" customHeight="1">
      <c r="A21834" s="234"/>
      <c r="B21834" s="233"/>
      <c r="C21834" s="238"/>
      <c r="E21834" s="545"/>
      <c r="F21834" s="546"/>
      <c r="G21834" s="234"/>
      <c r="H21834" s="238"/>
      <c r="I21834" s="237"/>
    </row>
    <row r="21835" spans="1:9" s="232" customFormat="1" ht="17" customHeight="1">
      <c r="A21835" s="234"/>
      <c r="B21835" s="233"/>
      <c r="C21835" s="238"/>
      <c r="E21835" s="545"/>
      <c r="F21835" s="546"/>
      <c r="G21835" s="234"/>
      <c r="H21835" s="238"/>
      <c r="I21835" s="237"/>
    </row>
    <row r="21836" spans="1:9" s="232" customFormat="1" ht="17" customHeight="1">
      <c r="A21836" s="234"/>
      <c r="B21836" s="233"/>
      <c r="C21836" s="238"/>
      <c r="E21836" s="545"/>
      <c r="F21836" s="546"/>
      <c r="G21836" s="234"/>
      <c r="H21836" s="238"/>
      <c r="I21836" s="237"/>
    </row>
    <row r="21837" spans="1:9" s="232" customFormat="1" ht="17" customHeight="1">
      <c r="A21837" s="234"/>
      <c r="B21837" s="233"/>
      <c r="C21837" s="238"/>
      <c r="E21837" s="545"/>
      <c r="F21837" s="546"/>
      <c r="G21837" s="234"/>
      <c r="H21837" s="238"/>
      <c r="I21837" s="237"/>
    </row>
    <row r="21838" spans="1:9" s="232" customFormat="1" ht="17" customHeight="1">
      <c r="A21838" s="234"/>
      <c r="B21838" s="233"/>
      <c r="C21838" s="238"/>
      <c r="E21838" s="545"/>
      <c r="F21838" s="546"/>
      <c r="G21838" s="234"/>
      <c r="H21838" s="238"/>
      <c r="I21838" s="237"/>
    </row>
    <row r="21839" spans="1:9" s="232" customFormat="1" ht="17" customHeight="1">
      <c r="A21839" s="234"/>
      <c r="B21839" s="233"/>
      <c r="C21839" s="238"/>
      <c r="E21839" s="545"/>
      <c r="F21839" s="546"/>
      <c r="G21839" s="234"/>
      <c r="H21839" s="238"/>
      <c r="I21839" s="237"/>
    </row>
    <row r="21840" spans="1:9" s="232" customFormat="1" ht="17" customHeight="1">
      <c r="A21840" s="234"/>
      <c r="B21840" s="233"/>
      <c r="C21840" s="238"/>
      <c r="E21840" s="545"/>
      <c r="F21840" s="546"/>
      <c r="G21840" s="234"/>
      <c r="H21840" s="238"/>
      <c r="I21840" s="237"/>
    </row>
    <row r="21841" spans="1:9" s="232" customFormat="1" ht="17" customHeight="1">
      <c r="A21841" s="234"/>
      <c r="B21841" s="233"/>
      <c r="C21841" s="238"/>
      <c r="E21841" s="545"/>
      <c r="F21841" s="546"/>
      <c r="G21841" s="234"/>
      <c r="H21841" s="238"/>
      <c r="I21841" s="237"/>
    </row>
    <row r="21842" spans="1:9" s="232" customFormat="1" ht="17" customHeight="1">
      <c r="A21842" s="234"/>
      <c r="B21842" s="233"/>
      <c r="C21842" s="238"/>
      <c r="E21842" s="545"/>
      <c r="F21842" s="546"/>
      <c r="G21842" s="234"/>
      <c r="H21842" s="238"/>
      <c r="I21842" s="237"/>
    </row>
    <row r="21843" spans="1:9" s="232" customFormat="1" ht="17" customHeight="1">
      <c r="A21843" s="234"/>
      <c r="B21843" s="233"/>
      <c r="C21843" s="238"/>
      <c r="E21843" s="545"/>
      <c r="F21843" s="546"/>
      <c r="G21843" s="234"/>
      <c r="H21843" s="238"/>
      <c r="I21843" s="237"/>
    </row>
    <row r="21844" spans="1:9" s="232" customFormat="1" ht="17" customHeight="1">
      <c r="A21844" s="234"/>
      <c r="B21844" s="233"/>
      <c r="C21844" s="238"/>
      <c r="E21844" s="545"/>
      <c r="F21844" s="546"/>
      <c r="G21844" s="234"/>
      <c r="H21844" s="238"/>
      <c r="I21844" s="237"/>
    </row>
    <row r="21845" spans="1:9" s="232" customFormat="1" ht="17" customHeight="1">
      <c r="A21845" s="234"/>
      <c r="B21845" s="233"/>
      <c r="C21845" s="238"/>
      <c r="E21845" s="545"/>
      <c r="F21845" s="546"/>
      <c r="G21845" s="234"/>
      <c r="H21845" s="238"/>
      <c r="I21845" s="237"/>
    </row>
    <row r="21846" spans="1:9" s="232" customFormat="1" ht="17" customHeight="1">
      <c r="A21846" s="234"/>
      <c r="B21846" s="233"/>
      <c r="C21846" s="238"/>
      <c r="E21846" s="545"/>
      <c r="F21846" s="546"/>
      <c r="G21846" s="234"/>
      <c r="H21846" s="238"/>
      <c r="I21846" s="237"/>
    </row>
    <row r="21847" spans="1:9" s="232" customFormat="1" ht="17" customHeight="1">
      <c r="A21847" s="234"/>
      <c r="B21847" s="233"/>
      <c r="C21847" s="238"/>
      <c r="E21847" s="545"/>
      <c r="F21847" s="546"/>
      <c r="G21847" s="234"/>
      <c r="H21847" s="238"/>
      <c r="I21847" s="237"/>
    </row>
    <row r="21848" spans="1:9" s="232" customFormat="1" ht="17" customHeight="1">
      <c r="A21848" s="234"/>
      <c r="B21848" s="233"/>
      <c r="C21848" s="238"/>
      <c r="E21848" s="545"/>
      <c r="F21848" s="546"/>
      <c r="G21848" s="234"/>
      <c r="H21848" s="238"/>
      <c r="I21848" s="237"/>
    </row>
    <row r="21849" spans="1:9" s="232" customFormat="1" ht="17" customHeight="1">
      <c r="A21849" s="234"/>
      <c r="B21849" s="233"/>
      <c r="C21849" s="238"/>
      <c r="E21849" s="545"/>
      <c r="F21849" s="546"/>
      <c r="G21849" s="234"/>
      <c r="H21849" s="238"/>
      <c r="I21849" s="237"/>
    </row>
    <row r="21850" spans="1:9" s="232" customFormat="1" ht="17" customHeight="1">
      <c r="A21850" s="234"/>
      <c r="B21850" s="233"/>
      <c r="C21850" s="238"/>
      <c r="E21850" s="545"/>
      <c r="F21850" s="546"/>
      <c r="G21850" s="234"/>
      <c r="H21850" s="238"/>
      <c r="I21850" s="237"/>
    </row>
    <row r="21851" spans="1:9" s="232" customFormat="1" ht="17" customHeight="1">
      <c r="A21851" s="234"/>
      <c r="B21851" s="233"/>
      <c r="C21851" s="238"/>
      <c r="E21851" s="545"/>
      <c r="F21851" s="546"/>
      <c r="G21851" s="234"/>
      <c r="H21851" s="238"/>
      <c r="I21851" s="237"/>
    </row>
    <row r="21852" spans="1:9" s="232" customFormat="1" ht="17" customHeight="1">
      <c r="A21852" s="234"/>
      <c r="B21852" s="233"/>
      <c r="C21852" s="238"/>
      <c r="E21852" s="545"/>
      <c r="F21852" s="546"/>
      <c r="G21852" s="234"/>
      <c r="H21852" s="238"/>
      <c r="I21852" s="237"/>
    </row>
    <row r="21853" spans="1:9" s="232" customFormat="1" ht="17" customHeight="1">
      <c r="A21853" s="234"/>
      <c r="B21853" s="233"/>
      <c r="C21853" s="238"/>
      <c r="E21853" s="545"/>
      <c r="F21853" s="546"/>
      <c r="G21853" s="234"/>
      <c r="H21853" s="238"/>
      <c r="I21853" s="237"/>
    </row>
    <row r="21854" spans="1:9" s="232" customFormat="1" ht="17" customHeight="1">
      <c r="A21854" s="234"/>
      <c r="B21854" s="233"/>
      <c r="C21854" s="238"/>
      <c r="E21854" s="545"/>
      <c r="F21854" s="546"/>
      <c r="G21854" s="234"/>
      <c r="H21854" s="238"/>
      <c r="I21854" s="237"/>
    </row>
    <row r="21855" spans="1:9" s="232" customFormat="1" ht="17" customHeight="1">
      <c r="A21855" s="234"/>
      <c r="B21855" s="233"/>
      <c r="C21855" s="238"/>
      <c r="E21855" s="545"/>
      <c r="F21855" s="546"/>
      <c r="G21855" s="234"/>
      <c r="H21855" s="238"/>
      <c r="I21855" s="237"/>
    </row>
    <row r="21856" spans="1:9" s="232" customFormat="1" ht="17" customHeight="1">
      <c r="A21856" s="234"/>
      <c r="B21856" s="233"/>
      <c r="C21856" s="238"/>
      <c r="E21856" s="545"/>
      <c r="F21856" s="546"/>
      <c r="G21856" s="234"/>
      <c r="H21856" s="238"/>
      <c r="I21856" s="237"/>
    </row>
    <row r="21857" spans="1:9" s="232" customFormat="1" ht="17" customHeight="1">
      <c r="A21857" s="234"/>
      <c r="B21857" s="233"/>
      <c r="C21857" s="238"/>
      <c r="E21857" s="545"/>
      <c r="F21857" s="546"/>
      <c r="G21857" s="234"/>
      <c r="H21857" s="238"/>
      <c r="I21857" s="237"/>
    </row>
    <row r="21858" spans="1:9" s="232" customFormat="1" ht="17" customHeight="1">
      <c r="A21858" s="234"/>
      <c r="B21858" s="233"/>
      <c r="C21858" s="238"/>
      <c r="E21858" s="545"/>
      <c r="F21858" s="546"/>
      <c r="G21858" s="234"/>
      <c r="H21858" s="238"/>
      <c r="I21858" s="237"/>
    </row>
    <row r="21859" spans="1:9" s="232" customFormat="1" ht="17" customHeight="1">
      <c r="A21859" s="234"/>
      <c r="B21859" s="233"/>
      <c r="C21859" s="238"/>
      <c r="E21859" s="545"/>
      <c r="F21859" s="546"/>
      <c r="G21859" s="234"/>
      <c r="H21859" s="238"/>
      <c r="I21859" s="237"/>
    </row>
    <row r="21860" spans="1:9" s="232" customFormat="1" ht="17" customHeight="1">
      <c r="A21860" s="234"/>
      <c r="B21860" s="233"/>
      <c r="C21860" s="238"/>
      <c r="E21860" s="545"/>
      <c r="F21860" s="546"/>
      <c r="G21860" s="234"/>
      <c r="H21860" s="238"/>
      <c r="I21860" s="237"/>
    </row>
    <row r="21861" spans="1:9" s="232" customFormat="1" ht="17" customHeight="1">
      <c r="A21861" s="234"/>
      <c r="B21861" s="233"/>
      <c r="C21861" s="238"/>
      <c r="E21861" s="545"/>
      <c r="F21861" s="546"/>
      <c r="G21861" s="234"/>
      <c r="H21861" s="238"/>
      <c r="I21861" s="237"/>
    </row>
    <row r="21862" spans="1:9" s="232" customFormat="1" ht="17" customHeight="1">
      <c r="A21862" s="234"/>
      <c r="B21862" s="233"/>
      <c r="C21862" s="238"/>
      <c r="E21862" s="545"/>
      <c r="F21862" s="546"/>
      <c r="G21862" s="234"/>
      <c r="H21862" s="238"/>
      <c r="I21862" s="237"/>
    </row>
    <row r="21863" spans="1:9" s="232" customFormat="1" ht="17" customHeight="1">
      <c r="A21863" s="234"/>
      <c r="B21863" s="233"/>
      <c r="C21863" s="238"/>
      <c r="E21863" s="545"/>
      <c r="F21863" s="546"/>
      <c r="G21863" s="234"/>
      <c r="H21863" s="238"/>
      <c r="I21863" s="237"/>
    </row>
    <row r="21864" spans="1:9" s="232" customFormat="1" ht="17" customHeight="1">
      <c r="A21864" s="234"/>
      <c r="B21864" s="233"/>
      <c r="C21864" s="238"/>
      <c r="E21864" s="545"/>
      <c r="F21864" s="546"/>
      <c r="G21864" s="234"/>
      <c r="H21864" s="238"/>
      <c r="I21864" s="237"/>
    </row>
    <row r="21865" spans="1:9" s="232" customFormat="1" ht="17" customHeight="1">
      <c r="A21865" s="234"/>
      <c r="B21865" s="233"/>
      <c r="C21865" s="238"/>
      <c r="E21865" s="545"/>
      <c r="F21865" s="546"/>
      <c r="G21865" s="234"/>
      <c r="H21865" s="238"/>
      <c r="I21865" s="237"/>
    </row>
    <row r="21866" spans="1:9" s="232" customFormat="1" ht="17" customHeight="1">
      <c r="A21866" s="234"/>
      <c r="B21866" s="233"/>
      <c r="C21866" s="238"/>
      <c r="E21866" s="545"/>
      <c r="F21866" s="546"/>
      <c r="G21866" s="234"/>
      <c r="H21866" s="238"/>
      <c r="I21866" s="237"/>
    </row>
    <row r="21867" spans="1:9" s="232" customFormat="1" ht="17" customHeight="1">
      <c r="A21867" s="234"/>
      <c r="B21867" s="233"/>
      <c r="C21867" s="238"/>
      <c r="E21867" s="545"/>
      <c r="F21867" s="546"/>
      <c r="G21867" s="234"/>
      <c r="H21867" s="238"/>
      <c r="I21867" s="237"/>
    </row>
    <row r="21868" spans="1:9" s="232" customFormat="1" ht="17" customHeight="1">
      <c r="A21868" s="234"/>
      <c r="B21868" s="233"/>
      <c r="C21868" s="238"/>
      <c r="E21868" s="545"/>
      <c r="F21868" s="546"/>
      <c r="G21868" s="234"/>
      <c r="H21868" s="238"/>
      <c r="I21868" s="237"/>
    </row>
    <row r="21869" spans="1:9" s="232" customFormat="1" ht="17" customHeight="1">
      <c r="A21869" s="234"/>
      <c r="B21869" s="233"/>
      <c r="C21869" s="238"/>
      <c r="E21869" s="545"/>
      <c r="F21869" s="546"/>
      <c r="G21869" s="234"/>
      <c r="H21869" s="238"/>
      <c r="I21869" s="237"/>
    </row>
    <row r="21870" spans="1:9" s="232" customFormat="1" ht="17" customHeight="1">
      <c r="A21870" s="234"/>
      <c r="B21870" s="233"/>
      <c r="C21870" s="238"/>
      <c r="E21870" s="545"/>
      <c r="F21870" s="546"/>
      <c r="G21870" s="234"/>
      <c r="H21870" s="238"/>
      <c r="I21870" s="237"/>
    </row>
    <row r="21871" spans="1:9" s="232" customFormat="1" ht="17" customHeight="1">
      <c r="A21871" s="234"/>
      <c r="B21871" s="233"/>
      <c r="C21871" s="238"/>
      <c r="E21871" s="545"/>
      <c r="F21871" s="546"/>
      <c r="G21871" s="234"/>
      <c r="H21871" s="238"/>
      <c r="I21871" s="237"/>
    </row>
    <row r="21872" spans="1:9" s="232" customFormat="1" ht="17" customHeight="1">
      <c r="A21872" s="234"/>
      <c r="B21872" s="233"/>
      <c r="C21872" s="238"/>
      <c r="E21872" s="545"/>
      <c r="F21872" s="546"/>
      <c r="G21872" s="234"/>
      <c r="H21872" s="238"/>
      <c r="I21872" s="237"/>
    </row>
    <row r="21873" spans="1:9" s="232" customFormat="1" ht="17" customHeight="1">
      <c r="A21873" s="234"/>
      <c r="B21873" s="233"/>
      <c r="C21873" s="238"/>
      <c r="E21873" s="545"/>
      <c r="F21873" s="546"/>
      <c r="G21873" s="234"/>
      <c r="H21873" s="238"/>
      <c r="I21873" s="237"/>
    </row>
    <row r="21874" spans="1:9" s="232" customFormat="1" ht="17" customHeight="1">
      <c r="A21874" s="234"/>
      <c r="B21874" s="233"/>
      <c r="C21874" s="238"/>
      <c r="E21874" s="545"/>
      <c r="F21874" s="546"/>
      <c r="G21874" s="234"/>
      <c r="H21874" s="238"/>
      <c r="I21874" s="237"/>
    </row>
    <row r="21875" spans="1:9" s="232" customFormat="1" ht="17" customHeight="1">
      <c r="A21875" s="234"/>
      <c r="B21875" s="233"/>
      <c r="C21875" s="238"/>
      <c r="E21875" s="545"/>
      <c r="F21875" s="546"/>
      <c r="G21875" s="234"/>
      <c r="H21875" s="238"/>
      <c r="I21875" s="237"/>
    </row>
    <row r="21876" spans="1:9" s="232" customFormat="1" ht="17" customHeight="1">
      <c r="A21876" s="234"/>
      <c r="B21876" s="233"/>
      <c r="C21876" s="238"/>
      <c r="E21876" s="545"/>
      <c r="F21876" s="546"/>
      <c r="G21876" s="234"/>
      <c r="H21876" s="238"/>
      <c r="I21876" s="237"/>
    </row>
    <row r="21877" spans="1:9" s="232" customFormat="1" ht="17" customHeight="1">
      <c r="A21877" s="234"/>
      <c r="B21877" s="233"/>
      <c r="C21877" s="238"/>
      <c r="E21877" s="545"/>
      <c r="F21877" s="546"/>
      <c r="G21877" s="234"/>
      <c r="H21877" s="238"/>
      <c r="I21877" s="237"/>
    </row>
    <row r="21878" spans="1:9" s="232" customFormat="1" ht="17" customHeight="1">
      <c r="A21878" s="234"/>
      <c r="B21878" s="233"/>
      <c r="C21878" s="238"/>
      <c r="E21878" s="545"/>
      <c r="F21878" s="546"/>
      <c r="G21878" s="234"/>
      <c r="H21878" s="238"/>
      <c r="I21878" s="237"/>
    </row>
    <row r="21879" spans="1:9" s="232" customFormat="1" ht="17" customHeight="1">
      <c r="A21879" s="234"/>
      <c r="B21879" s="233"/>
      <c r="C21879" s="238"/>
      <c r="E21879" s="545"/>
      <c r="F21879" s="546"/>
      <c r="G21879" s="234"/>
      <c r="H21879" s="238"/>
      <c r="I21879" s="237"/>
    </row>
    <row r="21880" spans="1:9" s="232" customFormat="1" ht="17" customHeight="1">
      <c r="A21880" s="234"/>
      <c r="B21880" s="233"/>
      <c r="C21880" s="238"/>
      <c r="E21880" s="545"/>
      <c r="F21880" s="546"/>
      <c r="G21880" s="234"/>
      <c r="H21880" s="238"/>
      <c r="I21880" s="237"/>
    </row>
    <row r="21881" spans="1:9" s="232" customFormat="1" ht="17" customHeight="1">
      <c r="A21881" s="234"/>
      <c r="B21881" s="233"/>
      <c r="C21881" s="238"/>
      <c r="E21881" s="545"/>
      <c r="F21881" s="546"/>
      <c r="G21881" s="234"/>
      <c r="H21881" s="238"/>
      <c r="I21881" s="237"/>
    </row>
    <row r="21882" spans="1:9" s="232" customFormat="1" ht="17" customHeight="1">
      <c r="A21882" s="234"/>
      <c r="B21882" s="233"/>
      <c r="C21882" s="238"/>
      <c r="E21882" s="545"/>
      <c r="F21882" s="546"/>
      <c r="G21882" s="234"/>
      <c r="H21882" s="238"/>
      <c r="I21882" s="237"/>
    </row>
    <row r="21883" spans="1:9" s="232" customFormat="1" ht="17" customHeight="1">
      <c r="A21883" s="234"/>
      <c r="B21883" s="233"/>
      <c r="C21883" s="238"/>
      <c r="E21883" s="545"/>
      <c r="F21883" s="546"/>
      <c r="G21883" s="234"/>
      <c r="H21883" s="238"/>
      <c r="I21883" s="237"/>
    </row>
    <row r="21884" spans="1:9" s="232" customFormat="1" ht="17" customHeight="1">
      <c r="A21884" s="234"/>
      <c r="B21884" s="233"/>
      <c r="C21884" s="238"/>
      <c r="E21884" s="545"/>
      <c r="F21884" s="546"/>
      <c r="G21884" s="234"/>
      <c r="H21884" s="238"/>
      <c r="I21884" s="237"/>
    </row>
    <row r="21885" spans="1:9" s="232" customFormat="1" ht="17" customHeight="1">
      <c r="A21885" s="234"/>
      <c r="B21885" s="233"/>
      <c r="C21885" s="238"/>
      <c r="E21885" s="545"/>
      <c r="F21885" s="546"/>
      <c r="G21885" s="234"/>
      <c r="H21885" s="238"/>
      <c r="I21885" s="237"/>
    </row>
    <row r="21886" spans="1:9" s="232" customFormat="1" ht="17" customHeight="1">
      <c r="A21886" s="234"/>
      <c r="B21886" s="233"/>
      <c r="C21886" s="238"/>
      <c r="E21886" s="545"/>
      <c r="F21886" s="546"/>
      <c r="G21886" s="234"/>
      <c r="H21886" s="238"/>
      <c r="I21886" s="237"/>
    </row>
    <row r="21887" spans="1:9" s="232" customFormat="1" ht="17" customHeight="1">
      <c r="A21887" s="234"/>
      <c r="B21887" s="233"/>
      <c r="C21887" s="238"/>
      <c r="E21887" s="545"/>
      <c r="F21887" s="546"/>
      <c r="G21887" s="234"/>
      <c r="H21887" s="238"/>
      <c r="I21887" s="237"/>
    </row>
    <row r="21888" spans="1:9" s="232" customFormat="1" ht="17" customHeight="1">
      <c r="A21888" s="234"/>
      <c r="B21888" s="233"/>
      <c r="C21888" s="238"/>
      <c r="E21888" s="545"/>
      <c r="F21888" s="546"/>
      <c r="G21888" s="234"/>
      <c r="H21888" s="238"/>
      <c r="I21888" s="237"/>
    </row>
    <row r="21889" spans="1:9" s="232" customFormat="1" ht="17" customHeight="1">
      <c r="A21889" s="234"/>
      <c r="B21889" s="233"/>
      <c r="C21889" s="238"/>
      <c r="E21889" s="545"/>
      <c r="F21889" s="546"/>
      <c r="G21889" s="234"/>
      <c r="H21889" s="238"/>
      <c r="I21889" s="237"/>
    </row>
    <row r="21890" spans="1:9" s="232" customFormat="1" ht="17" customHeight="1">
      <c r="A21890" s="234"/>
      <c r="B21890" s="233"/>
      <c r="C21890" s="238"/>
      <c r="E21890" s="545"/>
      <c r="F21890" s="546"/>
      <c r="G21890" s="234"/>
      <c r="H21890" s="238"/>
      <c r="I21890" s="237"/>
    </row>
    <row r="21891" spans="1:9" s="232" customFormat="1" ht="17" customHeight="1">
      <c r="A21891" s="234"/>
      <c r="B21891" s="233"/>
      <c r="C21891" s="238"/>
      <c r="E21891" s="545"/>
      <c r="F21891" s="546"/>
      <c r="G21891" s="234"/>
      <c r="H21891" s="238"/>
      <c r="I21891" s="237"/>
    </row>
    <row r="21892" spans="1:9" s="232" customFormat="1" ht="17" customHeight="1">
      <c r="A21892" s="234"/>
      <c r="B21892" s="233"/>
      <c r="C21892" s="238"/>
      <c r="E21892" s="545"/>
      <c r="F21892" s="546"/>
      <c r="G21892" s="234"/>
      <c r="H21892" s="238"/>
      <c r="I21892" s="237"/>
    </row>
    <row r="21893" spans="1:9" s="232" customFormat="1" ht="17" customHeight="1">
      <c r="A21893" s="234"/>
      <c r="B21893" s="233"/>
      <c r="C21893" s="238"/>
      <c r="E21893" s="545"/>
      <c r="F21893" s="546"/>
      <c r="G21893" s="234"/>
      <c r="H21893" s="238"/>
      <c r="I21893" s="237"/>
    </row>
    <row r="21894" spans="1:9" s="232" customFormat="1" ht="17" customHeight="1">
      <c r="A21894" s="234"/>
      <c r="B21894" s="233"/>
      <c r="C21894" s="238"/>
      <c r="E21894" s="545"/>
      <c r="F21894" s="546"/>
      <c r="G21894" s="234"/>
      <c r="H21894" s="238"/>
      <c r="I21894" s="237"/>
    </row>
    <row r="21895" spans="1:9" s="232" customFormat="1" ht="17" customHeight="1">
      <c r="A21895" s="234"/>
      <c r="B21895" s="233"/>
      <c r="C21895" s="238"/>
      <c r="E21895" s="545"/>
      <c r="F21895" s="546"/>
      <c r="G21895" s="234"/>
      <c r="H21895" s="238"/>
      <c r="I21895" s="237"/>
    </row>
    <row r="21896" spans="1:9" s="232" customFormat="1" ht="17" customHeight="1">
      <c r="A21896" s="234"/>
      <c r="B21896" s="233"/>
      <c r="C21896" s="238"/>
      <c r="E21896" s="545"/>
      <c r="F21896" s="546"/>
      <c r="G21896" s="234"/>
      <c r="H21896" s="238"/>
      <c r="I21896" s="237"/>
    </row>
    <row r="21897" spans="1:9" s="232" customFormat="1" ht="17" customHeight="1">
      <c r="A21897" s="234"/>
      <c r="B21897" s="233"/>
      <c r="C21897" s="238"/>
      <c r="E21897" s="545"/>
      <c r="F21897" s="546"/>
      <c r="G21897" s="234"/>
      <c r="H21897" s="238"/>
      <c r="I21897" s="237"/>
    </row>
    <row r="21898" spans="1:9" s="232" customFormat="1" ht="17" customHeight="1">
      <c r="A21898" s="234"/>
      <c r="B21898" s="233"/>
      <c r="C21898" s="238"/>
      <c r="E21898" s="545"/>
      <c r="F21898" s="546"/>
      <c r="G21898" s="234"/>
      <c r="H21898" s="238"/>
      <c r="I21898" s="237"/>
    </row>
    <row r="21899" spans="1:9" s="232" customFormat="1" ht="17" customHeight="1">
      <c r="A21899" s="234"/>
      <c r="B21899" s="233"/>
      <c r="C21899" s="238"/>
      <c r="E21899" s="545"/>
      <c r="F21899" s="546"/>
      <c r="G21899" s="234"/>
      <c r="H21899" s="238"/>
      <c r="I21899" s="237"/>
    </row>
    <row r="21900" spans="1:9" s="232" customFormat="1" ht="17" customHeight="1">
      <c r="A21900" s="234"/>
      <c r="B21900" s="233"/>
      <c r="C21900" s="238"/>
      <c r="E21900" s="545"/>
      <c r="F21900" s="546"/>
      <c r="G21900" s="234"/>
      <c r="H21900" s="238"/>
      <c r="I21900" s="237"/>
    </row>
    <row r="21901" spans="1:9" s="232" customFormat="1" ht="17" customHeight="1">
      <c r="A21901" s="234"/>
      <c r="B21901" s="233"/>
      <c r="C21901" s="238"/>
      <c r="E21901" s="545"/>
      <c r="F21901" s="546"/>
      <c r="G21901" s="234"/>
      <c r="H21901" s="238"/>
      <c r="I21901" s="237"/>
    </row>
    <row r="21902" spans="1:9" s="232" customFormat="1" ht="17" customHeight="1">
      <c r="A21902" s="234"/>
      <c r="B21902" s="233"/>
      <c r="C21902" s="238"/>
      <c r="E21902" s="545"/>
      <c r="F21902" s="546"/>
      <c r="G21902" s="234"/>
      <c r="H21902" s="238"/>
      <c r="I21902" s="237"/>
    </row>
    <row r="21903" spans="1:9" s="232" customFormat="1" ht="17" customHeight="1">
      <c r="A21903" s="234"/>
      <c r="B21903" s="233"/>
      <c r="C21903" s="238"/>
      <c r="E21903" s="545"/>
      <c r="F21903" s="546"/>
      <c r="G21903" s="234"/>
      <c r="H21903" s="238"/>
      <c r="I21903" s="237"/>
    </row>
    <row r="21904" spans="1:9" s="232" customFormat="1" ht="17" customHeight="1">
      <c r="A21904" s="234"/>
      <c r="B21904" s="233"/>
      <c r="C21904" s="238"/>
      <c r="E21904" s="545"/>
      <c r="F21904" s="546"/>
      <c r="G21904" s="234"/>
      <c r="H21904" s="238"/>
      <c r="I21904" s="237"/>
    </row>
    <row r="21905" spans="1:9" s="232" customFormat="1" ht="17" customHeight="1">
      <c r="A21905" s="234"/>
      <c r="B21905" s="233"/>
      <c r="C21905" s="238"/>
      <c r="E21905" s="545"/>
      <c r="F21905" s="546"/>
      <c r="G21905" s="234"/>
      <c r="H21905" s="238"/>
      <c r="I21905" s="237"/>
    </row>
    <row r="21906" spans="1:9" s="232" customFormat="1" ht="17" customHeight="1">
      <c r="A21906" s="234"/>
      <c r="B21906" s="233"/>
      <c r="C21906" s="238"/>
      <c r="E21906" s="545"/>
      <c r="F21906" s="546"/>
      <c r="G21906" s="234"/>
      <c r="H21906" s="238"/>
      <c r="I21906" s="237"/>
    </row>
    <row r="21907" spans="1:9" s="232" customFormat="1" ht="17" customHeight="1">
      <c r="A21907" s="234"/>
      <c r="B21907" s="233"/>
      <c r="C21907" s="238"/>
      <c r="E21907" s="545"/>
      <c r="F21907" s="546"/>
      <c r="G21907" s="234"/>
      <c r="H21907" s="238"/>
      <c r="I21907" s="237"/>
    </row>
    <row r="21908" spans="1:9" s="232" customFormat="1" ht="17" customHeight="1">
      <c r="A21908" s="234"/>
      <c r="B21908" s="233"/>
      <c r="C21908" s="238"/>
      <c r="E21908" s="545"/>
      <c r="F21908" s="546"/>
      <c r="G21908" s="234"/>
      <c r="H21908" s="238"/>
      <c r="I21908" s="237"/>
    </row>
    <row r="21909" spans="1:9" s="232" customFormat="1" ht="17" customHeight="1">
      <c r="A21909" s="234"/>
      <c r="B21909" s="233"/>
      <c r="C21909" s="238"/>
      <c r="E21909" s="545"/>
      <c r="F21909" s="546"/>
      <c r="G21909" s="234"/>
      <c r="H21909" s="238"/>
      <c r="I21909" s="237"/>
    </row>
    <row r="21910" spans="1:9" s="232" customFormat="1" ht="17" customHeight="1">
      <c r="A21910" s="234"/>
      <c r="B21910" s="233"/>
      <c r="C21910" s="238"/>
      <c r="E21910" s="545"/>
      <c r="F21910" s="546"/>
      <c r="G21910" s="234"/>
      <c r="H21910" s="238"/>
      <c r="I21910" s="237"/>
    </row>
    <row r="21911" spans="1:9" s="232" customFormat="1" ht="17" customHeight="1">
      <c r="A21911" s="234"/>
      <c r="B21911" s="233"/>
      <c r="C21911" s="238"/>
      <c r="E21911" s="545"/>
      <c r="F21911" s="546"/>
      <c r="G21911" s="234"/>
      <c r="H21911" s="238"/>
      <c r="I21911" s="237"/>
    </row>
    <row r="21912" spans="1:9" s="232" customFormat="1" ht="17" customHeight="1">
      <c r="A21912" s="234"/>
      <c r="B21912" s="233"/>
      <c r="C21912" s="238"/>
      <c r="E21912" s="545"/>
      <c r="F21912" s="546"/>
      <c r="G21912" s="234"/>
      <c r="H21912" s="238"/>
      <c r="I21912" s="237"/>
    </row>
    <row r="21913" spans="1:9" s="232" customFormat="1" ht="17" customHeight="1">
      <c r="A21913" s="234"/>
      <c r="B21913" s="233"/>
      <c r="C21913" s="238"/>
      <c r="E21913" s="545"/>
      <c r="F21913" s="546"/>
      <c r="G21913" s="234"/>
      <c r="H21913" s="238"/>
      <c r="I21913" s="237"/>
    </row>
    <row r="21914" spans="1:9" s="232" customFormat="1" ht="17" customHeight="1">
      <c r="A21914" s="234"/>
      <c r="B21914" s="233"/>
      <c r="C21914" s="238"/>
      <c r="E21914" s="545"/>
      <c r="F21914" s="546"/>
      <c r="G21914" s="234"/>
      <c r="H21914" s="238"/>
      <c r="I21914" s="237"/>
    </row>
    <row r="21915" spans="1:9" s="232" customFormat="1" ht="17" customHeight="1">
      <c r="A21915" s="234"/>
      <c r="B21915" s="233"/>
      <c r="C21915" s="238"/>
      <c r="E21915" s="545"/>
      <c r="F21915" s="546"/>
      <c r="G21915" s="234"/>
      <c r="H21915" s="238"/>
      <c r="I21915" s="237"/>
    </row>
    <row r="21916" spans="1:9" s="232" customFormat="1" ht="17" customHeight="1">
      <c r="A21916" s="234"/>
      <c r="B21916" s="233"/>
      <c r="C21916" s="238"/>
      <c r="E21916" s="545"/>
      <c r="F21916" s="546"/>
      <c r="G21916" s="234"/>
      <c r="H21916" s="238"/>
      <c r="I21916" s="237"/>
    </row>
    <row r="21917" spans="1:9" s="232" customFormat="1" ht="17" customHeight="1">
      <c r="A21917" s="234"/>
      <c r="B21917" s="233"/>
      <c r="C21917" s="238"/>
      <c r="E21917" s="545"/>
      <c r="F21917" s="546"/>
      <c r="G21917" s="234"/>
      <c r="H21917" s="238"/>
      <c r="I21917" s="237"/>
    </row>
    <row r="21918" spans="1:9" s="232" customFormat="1" ht="17" customHeight="1">
      <c r="A21918" s="234"/>
      <c r="B21918" s="233"/>
      <c r="C21918" s="238"/>
      <c r="E21918" s="545"/>
      <c r="F21918" s="546"/>
      <c r="G21918" s="234"/>
      <c r="H21918" s="238"/>
      <c r="I21918" s="237"/>
    </row>
    <row r="21919" spans="1:9" s="232" customFormat="1" ht="17" customHeight="1">
      <c r="A21919" s="234"/>
      <c r="B21919" s="233"/>
      <c r="C21919" s="238"/>
      <c r="E21919" s="545"/>
      <c r="F21919" s="546"/>
      <c r="G21919" s="234"/>
      <c r="H21919" s="238"/>
      <c r="I21919" s="237"/>
    </row>
    <row r="21920" spans="1:9" s="232" customFormat="1" ht="17" customHeight="1">
      <c r="A21920" s="234"/>
      <c r="B21920" s="233"/>
      <c r="C21920" s="238"/>
      <c r="E21920" s="545"/>
      <c r="F21920" s="546"/>
      <c r="G21920" s="234"/>
      <c r="H21920" s="238"/>
      <c r="I21920" s="237"/>
    </row>
    <row r="21921" spans="1:9" s="232" customFormat="1" ht="17" customHeight="1">
      <c r="A21921" s="234"/>
      <c r="B21921" s="233"/>
      <c r="C21921" s="238"/>
      <c r="E21921" s="545"/>
      <c r="F21921" s="546"/>
      <c r="G21921" s="234"/>
      <c r="H21921" s="238"/>
      <c r="I21921" s="237"/>
    </row>
    <row r="21922" spans="1:9" s="232" customFormat="1" ht="17" customHeight="1">
      <c r="A21922" s="234"/>
      <c r="B21922" s="233"/>
      <c r="C21922" s="238"/>
      <c r="E21922" s="545"/>
      <c r="F21922" s="546"/>
      <c r="G21922" s="234"/>
      <c r="H21922" s="238"/>
      <c r="I21922" s="237"/>
    </row>
    <row r="21923" spans="1:9" s="232" customFormat="1" ht="17" customHeight="1">
      <c r="A21923" s="234"/>
      <c r="B21923" s="233"/>
      <c r="C21923" s="238"/>
      <c r="E21923" s="545"/>
      <c r="F21923" s="546"/>
      <c r="G21923" s="234"/>
      <c r="H21923" s="238"/>
      <c r="I21923" s="237"/>
    </row>
    <row r="21924" spans="1:9" s="232" customFormat="1" ht="17" customHeight="1">
      <c r="A21924" s="234"/>
      <c r="B21924" s="233"/>
      <c r="C21924" s="238"/>
      <c r="E21924" s="545"/>
      <c r="F21924" s="546"/>
      <c r="G21924" s="234"/>
      <c r="H21924" s="238"/>
      <c r="I21924" s="237"/>
    </row>
    <row r="21925" spans="1:9" s="232" customFormat="1" ht="17" customHeight="1">
      <c r="A21925" s="234"/>
      <c r="B21925" s="233"/>
      <c r="C21925" s="238"/>
      <c r="E21925" s="545"/>
      <c r="F21925" s="546"/>
      <c r="G21925" s="234"/>
      <c r="H21925" s="238"/>
      <c r="I21925" s="237"/>
    </row>
    <row r="21926" spans="1:9" s="232" customFormat="1" ht="17" customHeight="1">
      <c r="A21926" s="234"/>
      <c r="B21926" s="233"/>
      <c r="C21926" s="238"/>
      <c r="E21926" s="545"/>
      <c r="F21926" s="546"/>
      <c r="G21926" s="234"/>
      <c r="H21926" s="238"/>
      <c r="I21926" s="237"/>
    </row>
    <row r="21927" spans="1:9" s="232" customFormat="1" ht="17" customHeight="1">
      <c r="A21927" s="234"/>
      <c r="B21927" s="233"/>
      <c r="C21927" s="238"/>
      <c r="E21927" s="545"/>
      <c r="F21927" s="546"/>
      <c r="G21927" s="234"/>
      <c r="H21927" s="238"/>
      <c r="I21927" s="237"/>
    </row>
    <row r="21928" spans="1:9" s="232" customFormat="1" ht="17" customHeight="1">
      <c r="A21928" s="234"/>
      <c r="B21928" s="233"/>
      <c r="C21928" s="238"/>
      <c r="E21928" s="545"/>
      <c r="F21928" s="546"/>
      <c r="G21928" s="234"/>
      <c r="H21928" s="238"/>
      <c r="I21928" s="237"/>
    </row>
    <row r="21929" spans="1:9" s="232" customFormat="1" ht="17" customHeight="1">
      <c r="A21929" s="234"/>
      <c r="B21929" s="233"/>
      <c r="C21929" s="238"/>
      <c r="E21929" s="545"/>
      <c r="F21929" s="546"/>
      <c r="G21929" s="234"/>
      <c r="H21929" s="238"/>
      <c r="I21929" s="237"/>
    </row>
    <row r="21930" spans="1:9" s="232" customFormat="1" ht="17" customHeight="1">
      <c r="A21930" s="234"/>
      <c r="B21930" s="233"/>
      <c r="C21930" s="238"/>
      <c r="E21930" s="545"/>
      <c r="F21930" s="546"/>
      <c r="G21930" s="234"/>
      <c r="H21930" s="238"/>
      <c r="I21930" s="237"/>
    </row>
    <row r="21931" spans="1:9" s="232" customFormat="1" ht="17" customHeight="1">
      <c r="A21931" s="234"/>
      <c r="B21931" s="233"/>
      <c r="C21931" s="238"/>
      <c r="E21931" s="545"/>
      <c r="F21931" s="546"/>
      <c r="G21931" s="234"/>
      <c r="H21931" s="238"/>
      <c r="I21931" s="237"/>
    </row>
    <row r="21932" spans="1:9" s="232" customFormat="1" ht="17" customHeight="1">
      <c r="A21932" s="234"/>
      <c r="B21932" s="233"/>
      <c r="C21932" s="238"/>
      <c r="E21932" s="545"/>
      <c r="F21932" s="546"/>
      <c r="G21932" s="234"/>
      <c r="H21932" s="238"/>
      <c r="I21932" s="237"/>
    </row>
    <row r="21933" spans="1:9" s="232" customFormat="1" ht="17" customHeight="1">
      <c r="A21933" s="234"/>
      <c r="B21933" s="233"/>
      <c r="C21933" s="238"/>
      <c r="E21933" s="545"/>
      <c r="F21933" s="546"/>
      <c r="G21933" s="234"/>
      <c r="H21933" s="238"/>
      <c r="I21933" s="237"/>
    </row>
    <row r="21934" spans="1:9" s="232" customFormat="1" ht="17" customHeight="1">
      <c r="A21934" s="234"/>
      <c r="B21934" s="233"/>
      <c r="C21934" s="238"/>
      <c r="E21934" s="545"/>
      <c r="F21934" s="546"/>
      <c r="G21934" s="234"/>
      <c r="H21934" s="238"/>
      <c r="I21934" s="237"/>
    </row>
    <row r="21935" spans="1:9" s="232" customFormat="1" ht="17" customHeight="1">
      <c r="A21935" s="234"/>
      <c r="B21935" s="233"/>
      <c r="C21935" s="238"/>
      <c r="E21935" s="545"/>
      <c r="F21935" s="546"/>
      <c r="G21935" s="234"/>
      <c r="H21935" s="238"/>
      <c r="I21935" s="237"/>
    </row>
    <row r="21936" spans="1:9" s="232" customFormat="1" ht="17" customHeight="1">
      <c r="A21936" s="234"/>
      <c r="B21936" s="233"/>
      <c r="C21936" s="238"/>
      <c r="E21936" s="545"/>
      <c r="F21936" s="546"/>
      <c r="G21936" s="234"/>
      <c r="H21936" s="238"/>
      <c r="I21936" s="237"/>
    </row>
    <row r="21937" spans="1:9" s="232" customFormat="1" ht="17" customHeight="1">
      <c r="A21937" s="234"/>
      <c r="B21937" s="233"/>
      <c r="C21937" s="238"/>
      <c r="E21937" s="545"/>
      <c r="F21937" s="546"/>
      <c r="G21937" s="234"/>
      <c r="H21937" s="238"/>
      <c r="I21937" s="237"/>
    </row>
    <row r="21938" spans="1:9" s="232" customFormat="1" ht="17" customHeight="1">
      <c r="A21938" s="234"/>
      <c r="B21938" s="233"/>
      <c r="C21938" s="238"/>
      <c r="E21938" s="545"/>
      <c r="F21938" s="546"/>
      <c r="G21938" s="234"/>
      <c r="H21938" s="238"/>
      <c r="I21938" s="237"/>
    </row>
    <row r="21939" spans="1:9" s="232" customFormat="1" ht="17" customHeight="1">
      <c r="A21939" s="234"/>
      <c r="B21939" s="233"/>
      <c r="C21939" s="238"/>
      <c r="E21939" s="545"/>
      <c r="F21939" s="546"/>
      <c r="G21939" s="234"/>
      <c r="H21939" s="238"/>
      <c r="I21939" s="237"/>
    </row>
    <row r="21940" spans="1:9" s="232" customFormat="1" ht="17" customHeight="1">
      <c r="A21940" s="234"/>
      <c r="B21940" s="233"/>
      <c r="C21940" s="238"/>
      <c r="E21940" s="545"/>
      <c r="F21940" s="546"/>
      <c r="G21940" s="234"/>
      <c r="H21940" s="238"/>
      <c r="I21940" s="237"/>
    </row>
    <row r="21941" spans="1:9" s="232" customFormat="1" ht="17" customHeight="1">
      <c r="A21941" s="234"/>
      <c r="B21941" s="233"/>
      <c r="C21941" s="238"/>
      <c r="E21941" s="545"/>
      <c r="F21941" s="546"/>
      <c r="G21941" s="234"/>
      <c r="H21941" s="238"/>
      <c r="I21941" s="237"/>
    </row>
    <row r="21942" spans="1:9" s="232" customFormat="1" ht="17" customHeight="1">
      <c r="A21942" s="234"/>
      <c r="B21942" s="233"/>
      <c r="C21942" s="238"/>
      <c r="E21942" s="545"/>
      <c r="F21942" s="546"/>
      <c r="G21942" s="234"/>
      <c r="H21942" s="238"/>
      <c r="I21942" s="237"/>
    </row>
    <row r="21943" spans="1:9" s="232" customFormat="1" ht="17" customHeight="1">
      <c r="A21943" s="234"/>
      <c r="B21943" s="233"/>
      <c r="C21943" s="238"/>
      <c r="E21943" s="545"/>
      <c r="F21943" s="546"/>
      <c r="G21943" s="234"/>
      <c r="H21943" s="238"/>
      <c r="I21943" s="237"/>
    </row>
    <row r="21944" spans="1:9" s="232" customFormat="1" ht="17" customHeight="1">
      <c r="A21944" s="234"/>
      <c r="B21944" s="233"/>
      <c r="C21944" s="238"/>
      <c r="E21944" s="545"/>
      <c r="F21944" s="546"/>
      <c r="G21944" s="234"/>
      <c r="H21944" s="238"/>
      <c r="I21944" s="237"/>
    </row>
    <row r="21945" spans="1:9" s="232" customFormat="1" ht="17" customHeight="1">
      <c r="A21945" s="234"/>
      <c r="B21945" s="233"/>
      <c r="C21945" s="238"/>
      <c r="E21945" s="545"/>
      <c r="F21945" s="546"/>
      <c r="G21945" s="234"/>
      <c r="H21945" s="238"/>
      <c r="I21945" s="237"/>
    </row>
    <row r="21946" spans="1:9" s="232" customFormat="1" ht="17" customHeight="1">
      <c r="A21946" s="234"/>
      <c r="B21946" s="233"/>
      <c r="C21946" s="238"/>
      <c r="E21946" s="545"/>
      <c r="F21946" s="546"/>
      <c r="G21946" s="234"/>
      <c r="H21946" s="238"/>
      <c r="I21946" s="237"/>
    </row>
    <row r="21947" spans="1:9" s="232" customFormat="1" ht="17" customHeight="1">
      <c r="A21947" s="234"/>
      <c r="B21947" s="233"/>
      <c r="C21947" s="238"/>
      <c r="E21947" s="545"/>
      <c r="F21947" s="546"/>
      <c r="G21947" s="234"/>
      <c r="H21947" s="238"/>
      <c r="I21947" s="237"/>
    </row>
    <row r="21948" spans="1:9" s="232" customFormat="1" ht="17" customHeight="1">
      <c r="A21948" s="234"/>
      <c r="B21948" s="233"/>
      <c r="C21948" s="238"/>
      <c r="E21948" s="545"/>
      <c r="F21948" s="546"/>
      <c r="G21948" s="234"/>
      <c r="H21948" s="238"/>
      <c r="I21948" s="237"/>
    </row>
    <row r="21949" spans="1:9" s="232" customFormat="1" ht="17" customHeight="1">
      <c r="A21949" s="234"/>
      <c r="B21949" s="233"/>
      <c r="C21949" s="238"/>
      <c r="E21949" s="545"/>
      <c r="F21949" s="546"/>
      <c r="G21949" s="234"/>
      <c r="H21949" s="238"/>
      <c r="I21949" s="237"/>
    </row>
    <row r="21950" spans="1:9" s="232" customFormat="1" ht="17" customHeight="1">
      <c r="A21950" s="234"/>
      <c r="B21950" s="233"/>
      <c r="C21950" s="238"/>
      <c r="E21950" s="545"/>
      <c r="F21950" s="546"/>
      <c r="G21950" s="234"/>
      <c r="H21950" s="238"/>
      <c r="I21950" s="237"/>
    </row>
    <row r="21951" spans="1:9" s="232" customFormat="1" ht="17" customHeight="1">
      <c r="A21951" s="234"/>
      <c r="B21951" s="233"/>
      <c r="C21951" s="238"/>
      <c r="E21951" s="545"/>
      <c r="F21951" s="546"/>
      <c r="G21951" s="234"/>
      <c r="H21951" s="238"/>
      <c r="I21951" s="237"/>
    </row>
    <row r="21952" spans="1:9" s="232" customFormat="1" ht="17" customHeight="1">
      <c r="A21952" s="234"/>
      <c r="B21952" s="233"/>
      <c r="C21952" s="238"/>
      <c r="E21952" s="545"/>
      <c r="F21952" s="546"/>
      <c r="G21952" s="234"/>
      <c r="H21952" s="238"/>
      <c r="I21952" s="237"/>
    </row>
    <row r="21953" spans="1:9" s="232" customFormat="1" ht="17" customHeight="1">
      <c r="A21953" s="234"/>
      <c r="B21953" s="233"/>
      <c r="C21953" s="238"/>
      <c r="E21953" s="545"/>
      <c r="F21953" s="546"/>
      <c r="G21953" s="234"/>
      <c r="H21953" s="238"/>
      <c r="I21953" s="237"/>
    </row>
    <row r="21954" spans="1:9" s="232" customFormat="1" ht="17" customHeight="1">
      <c r="A21954" s="234"/>
      <c r="B21954" s="233"/>
      <c r="C21954" s="238"/>
      <c r="E21954" s="545"/>
      <c r="F21954" s="546"/>
      <c r="G21954" s="234"/>
      <c r="H21954" s="238"/>
      <c r="I21954" s="237"/>
    </row>
    <row r="21955" spans="1:9" s="232" customFormat="1" ht="17" customHeight="1">
      <c r="A21955" s="234"/>
      <c r="B21955" s="233"/>
      <c r="C21955" s="238"/>
      <c r="E21955" s="545"/>
      <c r="F21955" s="546"/>
      <c r="G21955" s="234"/>
      <c r="H21955" s="238"/>
      <c r="I21955" s="237"/>
    </row>
    <row r="21956" spans="1:9" s="232" customFormat="1" ht="17" customHeight="1">
      <c r="A21956" s="234"/>
      <c r="B21956" s="233"/>
      <c r="C21956" s="238"/>
      <c r="E21956" s="545"/>
      <c r="F21956" s="546"/>
      <c r="G21956" s="234"/>
      <c r="H21956" s="238"/>
      <c r="I21956" s="237"/>
    </row>
    <row r="21957" spans="1:9" s="232" customFormat="1" ht="17" customHeight="1">
      <c r="A21957" s="234"/>
      <c r="B21957" s="233"/>
      <c r="C21957" s="238"/>
      <c r="E21957" s="545"/>
      <c r="F21957" s="546"/>
      <c r="G21957" s="234"/>
      <c r="H21957" s="238"/>
      <c r="I21957" s="237"/>
    </row>
    <row r="21958" spans="1:9" s="232" customFormat="1" ht="17" customHeight="1">
      <c r="A21958" s="234"/>
      <c r="B21958" s="233"/>
      <c r="C21958" s="238"/>
      <c r="E21958" s="545"/>
      <c r="F21958" s="546"/>
      <c r="G21958" s="234"/>
      <c r="H21958" s="238"/>
      <c r="I21958" s="237"/>
    </row>
    <row r="21959" spans="1:9" s="232" customFormat="1" ht="17" customHeight="1">
      <c r="A21959" s="234"/>
      <c r="B21959" s="233"/>
      <c r="C21959" s="238"/>
      <c r="E21959" s="545"/>
      <c r="F21959" s="546"/>
      <c r="G21959" s="234"/>
      <c r="H21959" s="238"/>
      <c r="I21959" s="237"/>
    </row>
    <row r="21960" spans="1:9" s="232" customFormat="1" ht="17" customHeight="1">
      <c r="A21960" s="234"/>
      <c r="B21960" s="233"/>
      <c r="C21960" s="238"/>
      <c r="E21960" s="545"/>
      <c r="F21960" s="546"/>
      <c r="G21960" s="234"/>
      <c r="H21960" s="238"/>
      <c r="I21960" s="237"/>
    </row>
    <row r="21961" spans="1:9" s="232" customFormat="1" ht="17" customHeight="1">
      <c r="A21961" s="234"/>
      <c r="B21961" s="233"/>
      <c r="C21961" s="238"/>
      <c r="E21961" s="545"/>
      <c r="F21961" s="546"/>
      <c r="G21961" s="234"/>
      <c r="H21961" s="238"/>
      <c r="I21961" s="237"/>
    </row>
    <row r="21962" spans="1:9" s="232" customFormat="1" ht="17" customHeight="1">
      <c r="A21962" s="234"/>
      <c r="B21962" s="233"/>
      <c r="C21962" s="238"/>
      <c r="E21962" s="545"/>
      <c r="F21962" s="546"/>
      <c r="G21962" s="234"/>
      <c r="H21962" s="238"/>
      <c r="I21962" s="237"/>
    </row>
    <row r="21963" spans="1:9" s="232" customFormat="1" ht="17" customHeight="1">
      <c r="A21963" s="234"/>
      <c r="B21963" s="233"/>
      <c r="C21963" s="238"/>
      <c r="E21963" s="545"/>
      <c r="F21963" s="546"/>
      <c r="G21963" s="234"/>
      <c r="H21963" s="238"/>
      <c r="I21963" s="237"/>
    </row>
    <row r="21964" spans="1:9" s="232" customFormat="1" ht="17" customHeight="1">
      <c r="A21964" s="234"/>
      <c r="B21964" s="233"/>
      <c r="C21964" s="238"/>
      <c r="E21964" s="545"/>
      <c r="F21964" s="546"/>
      <c r="G21964" s="234"/>
      <c r="H21964" s="238"/>
      <c r="I21964" s="237"/>
    </row>
    <row r="21965" spans="1:9" s="232" customFormat="1" ht="17" customHeight="1">
      <c r="A21965" s="234"/>
      <c r="B21965" s="233"/>
      <c r="C21965" s="238"/>
      <c r="E21965" s="545"/>
      <c r="F21965" s="546"/>
      <c r="G21965" s="234"/>
      <c r="H21965" s="238"/>
      <c r="I21965" s="237"/>
    </row>
    <row r="21966" spans="1:9" s="232" customFormat="1" ht="17" customHeight="1">
      <c r="A21966" s="234"/>
      <c r="B21966" s="233"/>
      <c r="C21966" s="238"/>
      <c r="E21966" s="545"/>
      <c r="F21966" s="546"/>
      <c r="G21966" s="234"/>
      <c r="H21966" s="238"/>
      <c r="I21966" s="237"/>
    </row>
    <row r="21967" spans="1:9" s="232" customFormat="1" ht="17" customHeight="1">
      <c r="A21967" s="234"/>
      <c r="B21967" s="233"/>
      <c r="C21967" s="238"/>
      <c r="E21967" s="545"/>
      <c r="F21967" s="546"/>
      <c r="G21967" s="234"/>
      <c r="H21967" s="238"/>
      <c r="I21967" s="237"/>
    </row>
    <row r="21968" spans="1:9" s="232" customFormat="1" ht="17" customHeight="1">
      <c r="A21968" s="234"/>
      <c r="B21968" s="233"/>
      <c r="C21968" s="238"/>
      <c r="E21968" s="545"/>
      <c r="F21968" s="546"/>
      <c r="G21968" s="234"/>
      <c r="H21968" s="238"/>
      <c r="I21968" s="237"/>
    </row>
    <row r="21969" spans="1:9" s="232" customFormat="1" ht="17" customHeight="1">
      <c r="A21969" s="234"/>
      <c r="B21969" s="233"/>
      <c r="C21969" s="238"/>
      <c r="E21969" s="545"/>
      <c r="F21969" s="546"/>
      <c r="G21969" s="234"/>
      <c r="H21969" s="238"/>
      <c r="I21969" s="237"/>
    </row>
    <row r="21970" spans="1:9" s="232" customFormat="1" ht="17" customHeight="1">
      <c r="A21970" s="234"/>
      <c r="B21970" s="233"/>
      <c r="C21970" s="238"/>
      <c r="E21970" s="545"/>
      <c r="F21970" s="546"/>
      <c r="G21970" s="234"/>
      <c r="H21970" s="238"/>
      <c r="I21970" s="237"/>
    </row>
    <row r="21971" spans="1:9" s="232" customFormat="1" ht="17" customHeight="1">
      <c r="A21971" s="234"/>
      <c r="B21971" s="233"/>
      <c r="C21971" s="238"/>
      <c r="E21971" s="545"/>
      <c r="F21971" s="546"/>
      <c r="G21971" s="234"/>
      <c r="H21971" s="238"/>
      <c r="I21971" s="237"/>
    </row>
    <row r="21972" spans="1:9" s="232" customFormat="1" ht="17" customHeight="1">
      <c r="A21972" s="234"/>
      <c r="B21972" s="233"/>
      <c r="C21972" s="238"/>
      <c r="E21972" s="545"/>
      <c r="F21972" s="546"/>
      <c r="G21972" s="234"/>
      <c r="H21972" s="238"/>
      <c r="I21972" s="237"/>
    </row>
    <row r="21973" spans="1:9" s="232" customFormat="1" ht="17" customHeight="1">
      <c r="A21973" s="234"/>
      <c r="B21973" s="233"/>
      <c r="C21973" s="238"/>
      <c r="E21973" s="545"/>
      <c r="F21973" s="546"/>
      <c r="G21973" s="234"/>
      <c r="H21973" s="238"/>
      <c r="I21973" s="237"/>
    </row>
    <row r="21974" spans="1:9" s="232" customFormat="1" ht="17" customHeight="1">
      <c r="A21974" s="234"/>
      <c r="B21974" s="233"/>
      <c r="C21974" s="238"/>
      <c r="E21974" s="545"/>
      <c r="F21974" s="546"/>
      <c r="G21974" s="234"/>
      <c r="H21974" s="238"/>
      <c r="I21974" s="237"/>
    </row>
    <row r="21975" spans="1:9" s="232" customFormat="1" ht="17" customHeight="1">
      <c r="A21975" s="234"/>
      <c r="B21975" s="233"/>
      <c r="C21975" s="238"/>
      <c r="E21975" s="545"/>
      <c r="F21975" s="546"/>
      <c r="G21975" s="234"/>
      <c r="H21975" s="238"/>
      <c r="I21975" s="237"/>
    </row>
    <row r="21976" spans="1:9" s="232" customFormat="1" ht="17" customHeight="1">
      <c r="A21976" s="234"/>
      <c r="B21976" s="233"/>
      <c r="C21976" s="238"/>
      <c r="E21976" s="545"/>
      <c r="F21976" s="546"/>
      <c r="G21976" s="234"/>
      <c r="H21976" s="238"/>
      <c r="I21976" s="237"/>
    </row>
    <row r="21977" spans="1:9" s="232" customFormat="1" ht="17" customHeight="1">
      <c r="A21977" s="234"/>
      <c r="B21977" s="233"/>
      <c r="C21977" s="238"/>
      <c r="E21977" s="545"/>
      <c r="F21977" s="546"/>
      <c r="G21977" s="234"/>
      <c r="H21977" s="238"/>
      <c r="I21977" s="237"/>
    </row>
    <row r="21978" spans="1:9" s="232" customFormat="1" ht="17" customHeight="1">
      <c r="A21978" s="234"/>
      <c r="B21978" s="233"/>
      <c r="C21978" s="238"/>
      <c r="E21978" s="545"/>
      <c r="F21978" s="546"/>
      <c r="G21978" s="234"/>
      <c r="H21978" s="238"/>
      <c r="I21978" s="237"/>
    </row>
    <row r="21979" spans="1:9" s="232" customFormat="1" ht="17" customHeight="1">
      <c r="A21979" s="234"/>
      <c r="B21979" s="233"/>
      <c r="C21979" s="238"/>
      <c r="E21979" s="545"/>
      <c r="F21979" s="546"/>
      <c r="G21979" s="234"/>
      <c r="H21979" s="238"/>
      <c r="I21979" s="237"/>
    </row>
    <row r="21980" spans="1:9" s="232" customFormat="1" ht="17" customHeight="1">
      <c r="A21980" s="234"/>
      <c r="B21980" s="233"/>
      <c r="C21980" s="238"/>
      <c r="E21980" s="545"/>
      <c r="F21980" s="546"/>
      <c r="G21980" s="234"/>
      <c r="H21980" s="238"/>
      <c r="I21980" s="237"/>
    </row>
    <row r="21981" spans="1:9" s="232" customFormat="1" ht="17" customHeight="1">
      <c r="A21981" s="234"/>
      <c r="B21981" s="233"/>
      <c r="C21981" s="238"/>
      <c r="E21981" s="545"/>
      <c r="F21981" s="546"/>
      <c r="G21981" s="234"/>
      <c r="H21981" s="238"/>
      <c r="I21981" s="237"/>
    </row>
    <row r="21982" spans="1:9" s="232" customFormat="1" ht="17" customHeight="1">
      <c r="A21982" s="234"/>
      <c r="B21982" s="233"/>
      <c r="C21982" s="238"/>
      <c r="E21982" s="545"/>
      <c r="F21982" s="546"/>
      <c r="G21982" s="234"/>
      <c r="H21982" s="238"/>
      <c r="I21982" s="237"/>
    </row>
    <row r="21983" spans="1:9" s="232" customFormat="1" ht="17" customHeight="1">
      <c r="A21983" s="234"/>
      <c r="B21983" s="233"/>
      <c r="C21983" s="238"/>
      <c r="E21983" s="545"/>
      <c r="F21983" s="546"/>
      <c r="G21983" s="234"/>
      <c r="H21983" s="238"/>
      <c r="I21983" s="237"/>
    </row>
    <row r="21984" spans="1:9" s="232" customFormat="1" ht="17" customHeight="1">
      <c r="A21984" s="234"/>
      <c r="B21984" s="233"/>
      <c r="C21984" s="238"/>
      <c r="E21984" s="545"/>
      <c r="F21984" s="546"/>
      <c r="G21984" s="234"/>
      <c r="H21984" s="238"/>
      <c r="I21984" s="237"/>
    </row>
    <row r="21985" spans="1:9" s="232" customFormat="1" ht="17" customHeight="1">
      <c r="A21985" s="234"/>
      <c r="B21985" s="233"/>
      <c r="C21985" s="238"/>
      <c r="E21985" s="545"/>
      <c r="F21985" s="546"/>
      <c r="G21985" s="234"/>
      <c r="H21985" s="238"/>
      <c r="I21985" s="237"/>
    </row>
    <row r="21986" spans="1:9" s="232" customFormat="1" ht="17" customHeight="1">
      <c r="A21986" s="234"/>
      <c r="B21986" s="233"/>
      <c r="C21986" s="238"/>
      <c r="E21986" s="545"/>
      <c r="F21986" s="546"/>
      <c r="G21986" s="234"/>
      <c r="H21986" s="238"/>
      <c r="I21986" s="237"/>
    </row>
    <row r="21987" spans="1:9" s="232" customFormat="1" ht="17" customHeight="1">
      <c r="A21987" s="234"/>
      <c r="B21987" s="233"/>
      <c r="C21987" s="238"/>
      <c r="E21987" s="545"/>
      <c r="F21987" s="546"/>
      <c r="G21987" s="234"/>
      <c r="H21987" s="238"/>
      <c r="I21987" s="237"/>
    </row>
    <row r="21988" spans="1:9" s="232" customFormat="1" ht="17" customHeight="1">
      <c r="A21988" s="234"/>
      <c r="B21988" s="233"/>
      <c r="C21988" s="238"/>
      <c r="E21988" s="545"/>
      <c r="F21988" s="546"/>
      <c r="G21988" s="234"/>
      <c r="H21988" s="238"/>
      <c r="I21988" s="237"/>
    </row>
    <row r="21989" spans="1:9" s="232" customFormat="1" ht="17" customHeight="1">
      <c r="A21989" s="234"/>
      <c r="B21989" s="233"/>
      <c r="C21989" s="238"/>
      <c r="E21989" s="545"/>
      <c r="F21989" s="546"/>
      <c r="G21989" s="234"/>
      <c r="H21989" s="238"/>
      <c r="I21989" s="237"/>
    </row>
    <row r="21990" spans="1:9" s="232" customFormat="1" ht="17" customHeight="1">
      <c r="A21990" s="234"/>
      <c r="B21990" s="233"/>
      <c r="C21990" s="238"/>
      <c r="E21990" s="545"/>
      <c r="F21990" s="546"/>
      <c r="G21990" s="234"/>
      <c r="H21990" s="238"/>
      <c r="I21990" s="237"/>
    </row>
    <row r="21991" spans="1:9" s="232" customFormat="1" ht="17" customHeight="1">
      <c r="A21991" s="234"/>
      <c r="B21991" s="233"/>
      <c r="C21991" s="238"/>
      <c r="E21991" s="545"/>
      <c r="F21991" s="546"/>
      <c r="G21991" s="234"/>
      <c r="H21991" s="238"/>
      <c r="I21991" s="237"/>
    </row>
    <row r="21992" spans="1:9" s="232" customFormat="1" ht="17" customHeight="1">
      <c r="A21992" s="234"/>
      <c r="B21992" s="233"/>
      <c r="C21992" s="238"/>
      <c r="E21992" s="545"/>
      <c r="F21992" s="546"/>
      <c r="G21992" s="234"/>
      <c r="H21992" s="238"/>
      <c r="I21992" s="237"/>
    </row>
    <row r="21993" spans="1:9" s="232" customFormat="1" ht="17" customHeight="1">
      <c r="A21993" s="234"/>
      <c r="B21993" s="233"/>
      <c r="C21993" s="238"/>
      <c r="E21993" s="545"/>
      <c r="F21993" s="546"/>
      <c r="G21993" s="234"/>
      <c r="H21993" s="238"/>
      <c r="I21993" s="237"/>
    </row>
    <row r="21994" spans="1:9" s="232" customFormat="1" ht="17" customHeight="1">
      <c r="A21994" s="234"/>
      <c r="B21994" s="233"/>
      <c r="C21994" s="238"/>
      <c r="E21994" s="545"/>
      <c r="F21994" s="546"/>
      <c r="G21994" s="234"/>
      <c r="H21994" s="238"/>
      <c r="I21994" s="237"/>
    </row>
    <row r="21995" spans="1:9" s="232" customFormat="1" ht="17" customHeight="1">
      <c r="A21995" s="234"/>
      <c r="B21995" s="233"/>
      <c r="C21995" s="238"/>
      <c r="E21995" s="545"/>
      <c r="F21995" s="546"/>
      <c r="G21995" s="234"/>
      <c r="H21995" s="238"/>
      <c r="I21995" s="237"/>
    </row>
    <row r="21996" spans="1:9" s="232" customFormat="1" ht="17" customHeight="1">
      <c r="A21996" s="234"/>
      <c r="B21996" s="233"/>
      <c r="C21996" s="238"/>
      <c r="E21996" s="545"/>
      <c r="F21996" s="546"/>
      <c r="G21996" s="234"/>
      <c r="H21996" s="238"/>
      <c r="I21996" s="237"/>
    </row>
    <row r="21997" spans="1:9" s="232" customFormat="1" ht="17" customHeight="1">
      <c r="A21997" s="234"/>
      <c r="B21997" s="233"/>
      <c r="C21997" s="238"/>
      <c r="E21997" s="545"/>
      <c r="F21997" s="546"/>
      <c r="G21997" s="234"/>
      <c r="H21997" s="238"/>
      <c r="I21997" s="237"/>
    </row>
    <row r="21998" spans="1:9" s="232" customFormat="1" ht="17" customHeight="1">
      <c r="A21998" s="234"/>
      <c r="B21998" s="233"/>
      <c r="C21998" s="238"/>
      <c r="E21998" s="545"/>
      <c r="F21998" s="546"/>
      <c r="G21998" s="234"/>
      <c r="H21998" s="238"/>
      <c r="I21998" s="237"/>
    </row>
    <row r="21999" spans="1:9" s="232" customFormat="1" ht="17" customHeight="1">
      <c r="A21999" s="234"/>
      <c r="B21999" s="233"/>
      <c r="C21999" s="238"/>
      <c r="E21999" s="545"/>
      <c r="F21999" s="546"/>
      <c r="G21999" s="234"/>
      <c r="H21999" s="238"/>
      <c r="I21999" s="237"/>
    </row>
    <row r="22000" spans="1:9" s="232" customFormat="1" ht="17" customHeight="1">
      <c r="A22000" s="234"/>
      <c r="B22000" s="233"/>
      <c r="C22000" s="238"/>
      <c r="E22000" s="545"/>
      <c r="F22000" s="546"/>
      <c r="G22000" s="234"/>
      <c r="H22000" s="238"/>
      <c r="I22000" s="237"/>
    </row>
    <row r="22001" spans="1:9" s="232" customFormat="1" ht="17" customHeight="1">
      <c r="A22001" s="234"/>
      <c r="B22001" s="233"/>
      <c r="C22001" s="238"/>
      <c r="E22001" s="545"/>
      <c r="F22001" s="546"/>
      <c r="G22001" s="234"/>
      <c r="H22001" s="238"/>
      <c r="I22001" s="237"/>
    </row>
    <row r="22002" spans="1:9" s="232" customFormat="1" ht="17" customHeight="1">
      <c r="A22002" s="234"/>
      <c r="B22002" s="233"/>
      <c r="C22002" s="238"/>
      <c r="E22002" s="545"/>
      <c r="F22002" s="546"/>
      <c r="G22002" s="234"/>
      <c r="H22002" s="238"/>
      <c r="I22002" s="237"/>
    </row>
    <row r="22003" spans="1:9" s="232" customFormat="1" ht="17" customHeight="1">
      <c r="A22003" s="234"/>
      <c r="B22003" s="233"/>
      <c r="C22003" s="238"/>
      <c r="E22003" s="545"/>
      <c r="F22003" s="546"/>
      <c r="G22003" s="234"/>
      <c r="H22003" s="238"/>
      <c r="I22003" s="237"/>
    </row>
    <row r="22004" spans="1:9" s="232" customFormat="1" ht="17" customHeight="1">
      <c r="A22004" s="234"/>
      <c r="B22004" s="233"/>
      <c r="C22004" s="238"/>
      <c r="E22004" s="545"/>
      <c r="F22004" s="546"/>
      <c r="G22004" s="234"/>
      <c r="H22004" s="238"/>
      <c r="I22004" s="237"/>
    </row>
    <row r="22005" spans="1:9" s="232" customFormat="1" ht="17" customHeight="1">
      <c r="A22005" s="234"/>
      <c r="B22005" s="233"/>
      <c r="C22005" s="238"/>
      <c r="E22005" s="545"/>
      <c r="F22005" s="546"/>
      <c r="G22005" s="234"/>
      <c r="H22005" s="238"/>
      <c r="I22005" s="237"/>
    </row>
    <row r="22006" spans="1:9" s="232" customFormat="1" ht="17" customHeight="1">
      <c r="A22006" s="234"/>
      <c r="B22006" s="233"/>
      <c r="C22006" s="238"/>
      <c r="E22006" s="545"/>
      <c r="F22006" s="546"/>
      <c r="G22006" s="234"/>
      <c r="H22006" s="238"/>
      <c r="I22006" s="237"/>
    </row>
    <row r="22007" spans="1:9" s="232" customFormat="1" ht="17" customHeight="1">
      <c r="A22007" s="234"/>
      <c r="B22007" s="233"/>
      <c r="C22007" s="238"/>
      <c r="E22007" s="545"/>
      <c r="F22007" s="546"/>
      <c r="G22007" s="234"/>
      <c r="H22007" s="238"/>
      <c r="I22007" s="237"/>
    </row>
    <row r="22008" spans="1:9" s="232" customFormat="1" ht="17" customHeight="1">
      <c r="A22008" s="234"/>
      <c r="B22008" s="233"/>
      <c r="C22008" s="238"/>
      <c r="E22008" s="545"/>
      <c r="F22008" s="546"/>
      <c r="G22008" s="234"/>
      <c r="H22008" s="238"/>
      <c r="I22008" s="237"/>
    </row>
    <row r="22009" spans="1:9" s="232" customFormat="1" ht="17" customHeight="1">
      <c r="A22009" s="234"/>
      <c r="B22009" s="233"/>
      <c r="C22009" s="238"/>
      <c r="E22009" s="545"/>
      <c r="F22009" s="546"/>
      <c r="G22009" s="234"/>
      <c r="H22009" s="238"/>
      <c r="I22009" s="237"/>
    </row>
    <row r="22010" spans="1:9" s="232" customFormat="1" ht="17" customHeight="1">
      <c r="A22010" s="234"/>
      <c r="B22010" s="233"/>
      <c r="C22010" s="238"/>
      <c r="E22010" s="545"/>
      <c r="F22010" s="546"/>
      <c r="G22010" s="234"/>
      <c r="H22010" s="238"/>
      <c r="I22010" s="237"/>
    </row>
    <row r="22011" spans="1:9" s="232" customFormat="1" ht="17" customHeight="1">
      <c r="A22011" s="234"/>
      <c r="B22011" s="233"/>
      <c r="C22011" s="238"/>
      <c r="E22011" s="545"/>
      <c r="F22011" s="546"/>
      <c r="G22011" s="234"/>
      <c r="H22011" s="238"/>
      <c r="I22011" s="237"/>
    </row>
    <row r="22012" spans="1:9" s="232" customFormat="1" ht="17" customHeight="1">
      <c r="A22012" s="234"/>
      <c r="B22012" s="233"/>
      <c r="C22012" s="238"/>
      <c r="E22012" s="545"/>
      <c r="F22012" s="546"/>
      <c r="G22012" s="234"/>
      <c r="H22012" s="238"/>
      <c r="I22012" s="237"/>
    </row>
    <row r="22013" spans="1:9" s="232" customFormat="1" ht="17" customHeight="1">
      <c r="A22013" s="234"/>
      <c r="B22013" s="233"/>
      <c r="C22013" s="238"/>
      <c r="E22013" s="545"/>
      <c r="F22013" s="546"/>
      <c r="G22013" s="234"/>
      <c r="H22013" s="238"/>
      <c r="I22013" s="237"/>
    </row>
    <row r="22014" spans="1:9" s="232" customFormat="1" ht="17" customHeight="1">
      <c r="A22014" s="234"/>
      <c r="B22014" s="233"/>
      <c r="C22014" s="238"/>
      <c r="E22014" s="545"/>
      <c r="F22014" s="546"/>
      <c r="G22014" s="234"/>
      <c r="H22014" s="238"/>
      <c r="I22014" s="237"/>
    </row>
    <row r="22015" spans="1:9" s="232" customFormat="1" ht="17" customHeight="1">
      <c r="A22015" s="234"/>
      <c r="B22015" s="233"/>
      <c r="C22015" s="238"/>
      <c r="E22015" s="545"/>
      <c r="F22015" s="546"/>
      <c r="G22015" s="234"/>
      <c r="H22015" s="238"/>
      <c r="I22015" s="237"/>
    </row>
    <row r="22016" spans="1:9" s="232" customFormat="1" ht="17" customHeight="1">
      <c r="A22016" s="234"/>
      <c r="B22016" s="233"/>
      <c r="C22016" s="238"/>
      <c r="E22016" s="545"/>
      <c r="F22016" s="546"/>
      <c r="G22016" s="234"/>
      <c r="H22016" s="238"/>
      <c r="I22016" s="237"/>
    </row>
    <row r="22017" spans="1:9" s="232" customFormat="1" ht="17" customHeight="1">
      <c r="A22017" s="234"/>
      <c r="B22017" s="233"/>
      <c r="C22017" s="238"/>
      <c r="E22017" s="545"/>
      <c r="F22017" s="546"/>
      <c r="G22017" s="234"/>
      <c r="H22017" s="238"/>
      <c r="I22017" s="237"/>
    </row>
    <row r="22018" spans="1:9" s="232" customFormat="1" ht="17" customHeight="1">
      <c r="A22018" s="234"/>
      <c r="B22018" s="233"/>
      <c r="C22018" s="238"/>
      <c r="E22018" s="545"/>
      <c r="F22018" s="546"/>
      <c r="G22018" s="234"/>
      <c r="H22018" s="238"/>
      <c r="I22018" s="237"/>
    </row>
    <row r="22019" spans="1:9" s="232" customFormat="1" ht="17" customHeight="1">
      <c r="A22019" s="234"/>
      <c r="B22019" s="233"/>
      <c r="C22019" s="238"/>
      <c r="E22019" s="545"/>
      <c r="F22019" s="546"/>
      <c r="G22019" s="234"/>
      <c r="H22019" s="238"/>
      <c r="I22019" s="237"/>
    </row>
    <row r="22020" spans="1:9" s="232" customFormat="1" ht="17" customHeight="1">
      <c r="A22020" s="234"/>
      <c r="B22020" s="233"/>
      <c r="C22020" s="238"/>
      <c r="E22020" s="545"/>
      <c r="F22020" s="546"/>
      <c r="G22020" s="234"/>
      <c r="H22020" s="238"/>
      <c r="I22020" s="237"/>
    </row>
    <row r="22021" spans="1:9" s="232" customFormat="1" ht="17" customHeight="1">
      <c r="A22021" s="234"/>
      <c r="B22021" s="233"/>
      <c r="C22021" s="238"/>
      <c r="E22021" s="545"/>
      <c r="F22021" s="546"/>
      <c r="G22021" s="234"/>
      <c r="H22021" s="238"/>
      <c r="I22021" s="237"/>
    </row>
    <row r="22022" spans="1:9" s="232" customFormat="1" ht="17" customHeight="1">
      <c r="A22022" s="234"/>
      <c r="B22022" s="233"/>
      <c r="C22022" s="238"/>
      <c r="E22022" s="545"/>
      <c r="F22022" s="546"/>
      <c r="G22022" s="234"/>
      <c r="H22022" s="238"/>
      <c r="I22022" s="237"/>
    </row>
    <row r="22023" spans="1:9" s="232" customFormat="1" ht="17" customHeight="1">
      <c r="A22023" s="234"/>
      <c r="B22023" s="233"/>
      <c r="C22023" s="238"/>
      <c r="E22023" s="545"/>
      <c r="F22023" s="546"/>
      <c r="G22023" s="234"/>
      <c r="H22023" s="238"/>
      <c r="I22023" s="237"/>
    </row>
    <row r="22024" spans="1:9" s="232" customFormat="1" ht="17" customHeight="1">
      <c r="A22024" s="234"/>
      <c r="B22024" s="233"/>
      <c r="C22024" s="238"/>
      <c r="E22024" s="545"/>
      <c r="F22024" s="546"/>
      <c r="G22024" s="234"/>
      <c r="H22024" s="238"/>
      <c r="I22024" s="237"/>
    </row>
    <row r="22025" spans="1:9" s="232" customFormat="1" ht="17" customHeight="1">
      <c r="A22025" s="234"/>
      <c r="B22025" s="233"/>
      <c r="C22025" s="238"/>
      <c r="E22025" s="545"/>
      <c r="F22025" s="546"/>
      <c r="G22025" s="234"/>
      <c r="H22025" s="238"/>
      <c r="I22025" s="237"/>
    </row>
    <row r="22026" spans="1:9" s="232" customFormat="1" ht="17" customHeight="1">
      <c r="A22026" s="234"/>
      <c r="B22026" s="233"/>
      <c r="C22026" s="238"/>
      <c r="E22026" s="545"/>
      <c r="F22026" s="546"/>
      <c r="G22026" s="234"/>
      <c r="H22026" s="238"/>
      <c r="I22026" s="237"/>
    </row>
    <row r="22027" spans="1:9" s="232" customFormat="1" ht="17" customHeight="1">
      <c r="A22027" s="234"/>
      <c r="B22027" s="233"/>
      <c r="C22027" s="238"/>
      <c r="E22027" s="545"/>
      <c r="F22027" s="546"/>
      <c r="G22027" s="234"/>
      <c r="H22027" s="238"/>
      <c r="I22027" s="237"/>
    </row>
    <row r="22028" spans="1:9" s="232" customFormat="1" ht="17" customHeight="1">
      <c r="A22028" s="234"/>
      <c r="B22028" s="233"/>
      <c r="C22028" s="238"/>
      <c r="E22028" s="545"/>
      <c r="F22028" s="546"/>
      <c r="G22028" s="234"/>
      <c r="H22028" s="238"/>
      <c r="I22028" s="237"/>
    </row>
    <row r="22029" spans="1:9" s="232" customFormat="1" ht="17" customHeight="1">
      <c r="A22029" s="234"/>
      <c r="B22029" s="233"/>
      <c r="C22029" s="238"/>
      <c r="E22029" s="545"/>
      <c r="F22029" s="546"/>
      <c r="G22029" s="234"/>
      <c r="H22029" s="238"/>
      <c r="I22029" s="237"/>
    </row>
    <row r="22030" spans="1:9" s="232" customFormat="1" ht="17" customHeight="1">
      <c r="A22030" s="234"/>
      <c r="B22030" s="233"/>
      <c r="C22030" s="238"/>
      <c r="E22030" s="545"/>
      <c r="F22030" s="546"/>
      <c r="G22030" s="234"/>
      <c r="H22030" s="238"/>
      <c r="I22030" s="237"/>
    </row>
    <row r="22031" spans="1:9" s="232" customFormat="1" ht="17" customHeight="1">
      <c r="A22031" s="234"/>
      <c r="B22031" s="233"/>
      <c r="C22031" s="238"/>
      <c r="E22031" s="545"/>
      <c r="F22031" s="546"/>
      <c r="G22031" s="234"/>
      <c r="H22031" s="238"/>
      <c r="I22031" s="237"/>
    </row>
    <row r="22032" spans="1:9" s="232" customFormat="1" ht="17" customHeight="1">
      <c r="A22032" s="234"/>
      <c r="B22032" s="233"/>
      <c r="C22032" s="238"/>
      <c r="E22032" s="545"/>
      <c r="F22032" s="546"/>
      <c r="G22032" s="234"/>
      <c r="H22032" s="238"/>
      <c r="I22032" s="237"/>
    </row>
    <row r="22033" spans="1:9" s="232" customFormat="1" ht="17" customHeight="1">
      <c r="A22033" s="234"/>
      <c r="B22033" s="233"/>
      <c r="C22033" s="238"/>
      <c r="E22033" s="545"/>
      <c r="F22033" s="546"/>
      <c r="G22033" s="234"/>
      <c r="H22033" s="238"/>
      <c r="I22033" s="237"/>
    </row>
    <row r="22034" spans="1:9" s="232" customFormat="1" ht="17" customHeight="1">
      <c r="A22034" s="234"/>
      <c r="B22034" s="233"/>
      <c r="C22034" s="238"/>
      <c r="E22034" s="545"/>
      <c r="F22034" s="546"/>
      <c r="G22034" s="234"/>
      <c r="H22034" s="238"/>
      <c r="I22034" s="237"/>
    </row>
    <row r="22035" spans="1:9" s="232" customFormat="1" ht="17" customHeight="1">
      <c r="A22035" s="234"/>
      <c r="B22035" s="233"/>
      <c r="C22035" s="238"/>
      <c r="E22035" s="545"/>
      <c r="F22035" s="546"/>
      <c r="G22035" s="234"/>
      <c r="H22035" s="238"/>
      <c r="I22035" s="237"/>
    </row>
    <row r="22036" spans="1:9" s="232" customFormat="1" ht="17" customHeight="1">
      <c r="A22036" s="234"/>
      <c r="B22036" s="233"/>
      <c r="C22036" s="238"/>
      <c r="E22036" s="545"/>
      <c r="F22036" s="546"/>
      <c r="G22036" s="234"/>
      <c r="H22036" s="238"/>
      <c r="I22036" s="237"/>
    </row>
    <row r="22037" spans="1:9" s="232" customFormat="1" ht="17" customHeight="1">
      <c r="A22037" s="234"/>
      <c r="B22037" s="233"/>
      <c r="C22037" s="238"/>
      <c r="E22037" s="545"/>
      <c r="F22037" s="546"/>
      <c r="G22037" s="234"/>
      <c r="H22037" s="238"/>
      <c r="I22037" s="237"/>
    </row>
    <row r="22038" spans="1:9" s="232" customFormat="1" ht="17" customHeight="1">
      <c r="A22038" s="234"/>
      <c r="B22038" s="233"/>
      <c r="C22038" s="238"/>
      <c r="E22038" s="545"/>
      <c r="F22038" s="546"/>
      <c r="G22038" s="234"/>
      <c r="H22038" s="238"/>
      <c r="I22038" s="237"/>
    </row>
    <row r="22039" spans="1:9" s="232" customFormat="1" ht="17" customHeight="1">
      <c r="A22039" s="234"/>
      <c r="B22039" s="233"/>
      <c r="C22039" s="238"/>
      <c r="E22039" s="545"/>
      <c r="F22039" s="546"/>
      <c r="G22039" s="234"/>
      <c r="H22039" s="238"/>
      <c r="I22039" s="237"/>
    </row>
    <row r="22040" spans="1:9" s="232" customFormat="1" ht="17" customHeight="1">
      <c r="A22040" s="234"/>
      <c r="B22040" s="233"/>
      <c r="C22040" s="238"/>
      <c r="E22040" s="545"/>
      <c r="F22040" s="546"/>
      <c r="G22040" s="234"/>
      <c r="H22040" s="238"/>
      <c r="I22040" s="237"/>
    </row>
    <row r="22041" spans="1:9" s="232" customFormat="1" ht="17" customHeight="1">
      <c r="A22041" s="234"/>
      <c r="B22041" s="233"/>
      <c r="C22041" s="238"/>
      <c r="E22041" s="545"/>
      <c r="F22041" s="546"/>
      <c r="G22041" s="234"/>
      <c r="H22041" s="238"/>
      <c r="I22041" s="237"/>
    </row>
    <row r="22042" spans="1:9" s="232" customFormat="1" ht="17" customHeight="1">
      <c r="A22042" s="234"/>
      <c r="B22042" s="233"/>
      <c r="C22042" s="238"/>
      <c r="E22042" s="545"/>
      <c r="F22042" s="546"/>
      <c r="G22042" s="234"/>
      <c r="H22042" s="238"/>
      <c r="I22042" s="237"/>
    </row>
    <row r="22043" spans="1:9" s="232" customFormat="1" ht="17" customHeight="1">
      <c r="A22043" s="234"/>
      <c r="B22043" s="233"/>
      <c r="C22043" s="238"/>
      <c r="E22043" s="545"/>
      <c r="F22043" s="546"/>
      <c r="G22043" s="234"/>
      <c r="H22043" s="238"/>
      <c r="I22043" s="237"/>
    </row>
    <row r="22044" spans="1:9" s="232" customFormat="1" ht="17" customHeight="1">
      <c r="A22044" s="234"/>
      <c r="B22044" s="233"/>
      <c r="C22044" s="238"/>
      <c r="E22044" s="545"/>
      <c r="F22044" s="546"/>
      <c r="G22044" s="234"/>
      <c r="H22044" s="238"/>
      <c r="I22044" s="237"/>
    </row>
    <row r="22045" spans="1:9" s="232" customFormat="1" ht="17" customHeight="1">
      <c r="A22045" s="234"/>
      <c r="B22045" s="233"/>
      <c r="C22045" s="238"/>
      <c r="E22045" s="545"/>
      <c r="F22045" s="546"/>
      <c r="G22045" s="234"/>
      <c r="H22045" s="238"/>
      <c r="I22045" s="237"/>
    </row>
    <row r="22046" spans="1:9" s="232" customFormat="1" ht="17" customHeight="1">
      <c r="A22046" s="234"/>
      <c r="B22046" s="233"/>
      <c r="C22046" s="238"/>
      <c r="E22046" s="545"/>
      <c r="F22046" s="546"/>
      <c r="G22046" s="234"/>
      <c r="H22046" s="238"/>
      <c r="I22046" s="237"/>
    </row>
    <row r="22047" spans="1:9" s="232" customFormat="1" ht="17" customHeight="1">
      <c r="A22047" s="234"/>
      <c r="B22047" s="233"/>
      <c r="C22047" s="238"/>
      <c r="E22047" s="545"/>
      <c r="F22047" s="546"/>
      <c r="G22047" s="234"/>
      <c r="H22047" s="238"/>
      <c r="I22047" s="237"/>
    </row>
    <row r="22048" spans="1:9" s="232" customFormat="1" ht="17" customHeight="1">
      <c r="A22048" s="234"/>
      <c r="B22048" s="233"/>
      <c r="C22048" s="238"/>
      <c r="E22048" s="545"/>
      <c r="F22048" s="546"/>
      <c r="G22048" s="234"/>
      <c r="H22048" s="238"/>
      <c r="I22048" s="237"/>
    </row>
    <row r="22049" spans="1:9" s="232" customFormat="1" ht="17" customHeight="1">
      <c r="A22049" s="234"/>
      <c r="B22049" s="233"/>
      <c r="C22049" s="238"/>
      <c r="E22049" s="545"/>
      <c r="F22049" s="546"/>
      <c r="G22049" s="234"/>
      <c r="H22049" s="238"/>
      <c r="I22049" s="237"/>
    </row>
    <row r="22050" spans="1:9" s="232" customFormat="1" ht="17" customHeight="1">
      <c r="A22050" s="234"/>
      <c r="B22050" s="233"/>
      <c r="C22050" s="238"/>
      <c r="E22050" s="545"/>
      <c r="F22050" s="546"/>
      <c r="G22050" s="234"/>
      <c r="H22050" s="238"/>
      <c r="I22050" s="237"/>
    </row>
    <row r="22051" spans="1:9" s="232" customFormat="1" ht="17" customHeight="1">
      <c r="A22051" s="234"/>
      <c r="B22051" s="233"/>
      <c r="C22051" s="238"/>
      <c r="E22051" s="545"/>
      <c r="F22051" s="546"/>
      <c r="G22051" s="234"/>
      <c r="H22051" s="238"/>
      <c r="I22051" s="237"/>
    </row>
    <row r="22052" spans="1:9" s="232" customFormat="1" ht="17" customHeight="1">
      <c r="A22052" s="234"/>
      <c r="B22052" s="233"/>
      <c r="C22052" s="238"/>
      <c r="E22052" s="545"/>
      <c r="F22052" s="546"/>
      <c r="G22052" s="234"/>
      <c r="H22052" s="238"/>
      <c r="I22052" s="237"/>
    </row>
    <row r="22053" spans="1:9" s="232" customFormat="1" ht="17" customHeight="1">
      <c r="A22053" s="234"/>
      <c r="B22053" s="233"/>
      <c r="C22053" s="238"/>
      <c r="E22053" s="545"/>
      <c r="F22053" s="546"/>
      <c r="G22053" s="234"/>
      <c r="H22053" s="238"/>
      <c r="I22053" s="237"/>
    </row>
    <row r="22054" spans="1:9" s="232" customFormat="1" ht="17" customHeight="1">
      <c r="A22054" s="234"/>
      <c r="B22054" s="233"/>
      <c r="C22054" s="238"/>
      <c r="E22054" s="545"/>
      <c r="F22054" s="546"/>
      <c r="G22054" s="234"/>
      <c r="H22054" s="238"/>
      <c r="I22054" s="237"/>
    </row>
    <row r="22055" spans="1:9" s="232" customFormat="1" ht="17" customHeight="1">
      <c r="A22055" s="234"/>
      <c r="B22055" s="233"/>
      <c r="C22055" s="238"/>
      <c r="E22055" s="545"/>
      <c r="F22055" s="546"/>
      <c r="G22055" s="234"/>
      <c r="H22055" s="238"/>
      <c r="I22055" s="237"/>
    </row>
    <row r="22056" spans="1:9" s="232" customFormat="1" ht="17" customHeight="1">
      <c r="A22056" s="234"/>
      <c r="B22056" s="233"/>
      <c r="C22056" s="238"/>
      <c r="E22056" s="545"/>
      <c r="F22056" s="546"/>
      <c r="G22056" s="234"/>
      <c r="H22056" s="238"/>
      <c r="I22056" s="237"/>
    </row>
    <row r="22057" spans="1:9" s="232" customFormat="1" ht="17" customHeight="1">
      <c r="A22057" s="234"/>
      <c r="B22057" s="233"/>
      <c r="C22057" s="238"/>
      <c r="E22057" s="545"/>
      <c r="F22057" s="546"/>
      <c r="G22057" s="234"/>
      <c r="H22057" s="238"/>
      <c r="I22057" s="237"/>
    </row>
    <row r="22058" spans="1:9" s="232" customFormat="1" ht="17" customHeight="1">
      <c r="A22058" s="234"/>
      <c r="B22058" s="233"/>
      <c r="C22058" s="238"/>
      <c r="E22058" s="545"/>
      <c r="F22058" s="546"/>
      <c r="G22058" s="234"/>
      <c r="H22058" s="238"/>
      <c r="I22058" s="237"/>
    </row>
    <row r="22059" spans="1:9" s="232" customFormat="1" ht="17" customHeight="1">
      <c r="A22059" s="234"/>
      <c r="B22059" s="233"/>
      <c r="C22059" s="238"/>
      <c r="E22059" s="545"/>
      <c r="F22059" s="546"/>
      <c r="G22059" s="234"/>
      <c r="H22059" s="238"/>
      <c r="I22059" s="237"/>
    </row>
    <row r="22060" spans="1:9" s="232" customFormat="1" ht="17" customHeight="1">
      <c r="A22060" s="234"/>
      <c r="B22060" s="233"/>
      <c r="C22060" s="238"/>
      <c r="E22060" s="545"/>
      <c r="F22060" s="546"/>
      <c r="G22060" s="234"/>
      <c r="H22060" s="238"/>
      <c r="I22060" s="237"/>
    </row>
    <row r="22061" spans="1:9" s="232" customFormat="1" ht="17" customHeight="1">
      <c r="A22061" s="234"/>
      <c r="B22061" s="233"/>
      <c r="C22061" s="238"/>
      <c r="E22061" s="545"/>
      <c r="F22061" s="546"/>
      <c r="G22061" s="234"/>
      <c r="H22061" s="238"/>
      <c r="I22061" s="237"/>
    </row>
    <row r="22062" spans="1:9" s="232" customFormat="1" ht="17" customHeight="1">
      <c r="A22062" s="234"/>
      <c r="B22062" s="233"/>
      <c r="C22062" s="238"/>
      <c r="E22062" s="545"/>
      <c r="F22062" s="546"/>
      <c r="G22062" s="234"/>
      <c r="H22062" s="238"/>
      <c r="I22062" s="237"/>
    </row>
    <row r="22063" spans="1:9" s="232" customFormat="1" ht="17" customHeight="1">
      <c r="A22063" s="234"/>
      <c r="B22063" s="233"/>
      <c r="C22063" s="238"/>
      <c r="E22063" s="545"/>
      <c r="F22063" s="546"/>
      <c r="G22063" s="234"/>
      <c r="H22063" s="238"/>
      <c r="I22063" s="237"/>
    </row>
    <row r="22064" spans="1:9" s="232" customFormat="1" ht="17" customHeight="1">
      <c r="A22064" s="234"/>
      <c r="B22064" s="233"/>
      <c r="C22064" s="238"/>
      <c r="E22064" s="545"/>
      <c r="F22064" s="546"/>
      <c r="G22064" s="234"/>
      <c r="H22064" s="238"/>
      <c r="I22064" s="237"/>
    </row>
    <row r="22065" spans="1:9" s="232" customFormat="1" ht="17" customHeight="1">
      <c r="A22065" s="234"/>
      <c r="B22065" s="233"/>
      <c r="C22065" s="238"/>
      <c r="E22065" s="545"/>
      <c r="F22065" s="546"/>
      <c r="G22065" s="234"/>
      <c r="H22065" s="238"/>
      <c r="I22065" s="237"/>
    </row>
    <row r="22066" spans="1:9" s="232" customFormat="1" ht="17" customHeight="1">
      <c r="A22066" s="234"/>
      <c r="B22066" s="233"/>
      <c r="C22066" s="238"/>
      <c r="E22066" s="545"/>
      <c r="F22066" s="546"/>
      <c r="G22066" s="234"/>
      <c r="H22066" s="238"/>
      <c r="I22066" s="237"/>
    </row>
    <row r="22067" spans="1:9" s="232" customFormat="1" ht="17" customHeight="1">
      <c r="A22067" s="234"/>
      <c r="B22067" s="233"/>
      <c r="C22067" s="238"/>
      <c r="E22067" s="545"/>
      <c r="F22067" s="546"/>
      <c r="G22067" s="234"/>
      <c r="H22067" s="238"/>
      <c r="I22067" s="237"/>
    </row>
    <row r="22068" spans="1:9" s="232" customFormat="1" ht="17" customHeight="1">
      <c r="A22068" s="234"/>
      <c r="B22068" s="233"/>
      <c r="C22068" s="238"/>
      <c r="E22068" s="545"/>
      <c r="F22068" s="546"/>
      <c r="G22068" s="234"/>
      <c r="H22068" s="238"/>
      <c r="I22068" s="237"/>
    </row>
    <row r="22069" spans="1:9" s="232" customFormat="1" ht="17" customHeight="1">
      <c r="A22069" s="234"/>
      <c r="B22069" s="233"/>
      <c r="C22069" s="238"/>
      <c r="E22069" s="545"/>
      <c r="F22069" s="546"/>
      <c r="G22069" s="234"/>
      <c r="H22069" s="238"/>
      <c r="I22069" s="237"/>
    </row>
    <row r="22070" spans="1:9" s="232" customFormat="1" ht="17" customHeight="1">
      <c r="A22070" s="234"/>
      <c r="B22070" s="233"/>
      <c r="C22070" s="238"/>
      <c r="E22070" s="545"/>
      <c r="F22070" s="546"/>
      <c r="G22070" s="234"/>
      <c r="H22070" s="238"/>
      <c r="I22070" s="237"/>
    </row>
    <row r="22071" spans="1:9" s="232" customFormat="1" ht="17" customHeight="1">
      <c r="A22071" s="234"/>
      <c r="B22071" s="233"/>
      <c r="C22071" s="238"/>
      <c r="E22071" s="545"/>
      <c r="F22071" s="546"/>
      <c r="G22071" s="234"/>
      <c r="H22071" s="238"/>
      <c r="I22071" s="237"/>
    </row>
    <row r="22072" spans="1:9" s="232" customFormat="1" ht="17" customHeight="1">
      <c r="A22072" s="234"/>
      <c r="B22072" s="233"/>
      <c r="C22072" s="238"/>
      <c r="E22072" s="545"/>
      <c r="F22072" s="546"/>
      <c r="G22072" s="234"/>
      <c r="H22072" s="238"/>
      <c r="I22072" s="237"/>
    </row>
    <row r="22073" spans="1:9" s="232" customFormat="1" ht="17" customHeight="1">
      <c r="A22073" s="234"/>
      <c r="B22073" s="233"/>
      <c r="C22073" s="238"/>
      <c r="E22073" s="545"/>
      <c r="F22073" s="546"/>
      <c r="G22073" s="234"/>
      <c r="H22073" s="238"/>
      <c r="I22073" s="237"/>
    </row>
    <row r="22074" spans="1:9" s="232" customFormat="1" ht="17" customHeight="1">
      <c r="A22074" s="234"/>
      <c r="B22074" s="233"/>
      <c r="C22074" s="238"/>
      <c r="E22074" s="545"/>
      <c r="F22074" s="546"/>
      <c r="G22074" s="234"/>
      <c r="H22074" s="238"/>
      <c r="I22074" s="237"/>
    </row>
    <row r="22075" spans="1:9" s="232" customFormat="1" ht="17" customHeight="1">
      <c r="A22075" s="234"/>
      <c r="B22075" s="233"/>
      <c r="C22075" s="238"/>
      <c r="E22075" s="545"/>
      <c r="F22075" s="546"/>
      <c r="G22075" s="234"/>
      <c r="H22075" s="238"/>
      <c r="I22075" s="237"/>
    </row>
    <row r="22076" spans="1:9" s="232" customFormat="1" ht="17" customHeight="1">
      <c r="A22076" s="234"/>
      <c r="B22076" s="233"/>
      <c r="C22076" s="238"/>
      <c r="E22076" s="545"/>
      <c r="F22076" s="546"/>
      <c r="G22076" s="234"/>
      <c r="H22076" s="238"/>
      <c r="I22076" s="237"/>
    </row>
    <row r="22077" spans="1:9" s="232" customFormat="1" ht="17" customHeight="1">
      <c r="A22077" s="234"/>
      <c r="B22077" s="233"/>
      <c r="C22077" s="238"/>
      <c r="E22077" s="545"/>
      <c r="F22077" s="546"/>
      <c r="G22077" s="234"/>
      <c r="H22077" s="238"/>
      <c r="I22077" s="237"/>
    </row>
    <row r="22078" spans="1:9" s="232" customFormat="1" ht="17" customHeight="1">
      <c r="A22078" s="234"/>
      <c r="B22078" s="233"/>
      <c r="C22078" s="238"/>
      <c r="E22078" s="545"/>
      <c r="F22078" s="546"/>
      <c r="G22078" s="234"/>
      <c r="H22078" s="238"/>
      <c r="I22078" s="237"/>
    </row>
    <row r="22079" spans="1:9" s="232" customFormat="1" ht="17" customHeight="1">
      <c r="A22079" s="234"/>
      <c r="B22079" s="233"/>
      <c r="C22079" s="238"/>
      <c r="E22079" s="545"/>
      <c r="F22079" s="546"/>
      <c r="G22079" s="234"/>
      <c r="H22079" s="238"/>
      <c r="I22079" s="237"/>
    </row>
    <row r="22080" spans="1:9" s="232" customFormat="1" ht="17" customHeight="1">
      <c r="A22080" s="234"/>
      <c r="B22080" s="233"/>
      <c r="C22080" s="238"/>
      <c r="E22080" s="545"/>
      <c r="F22080" s="546"/>
      <c r="G22080" s="234"/>
      <c r="H22080" s="238"/>
      <c r="I22080" s="237"/>
    </row>
    <row r="22081" spans="1:9" s="232" customFormat="1" ht="17" customHeight="1">
      <c r="A22081" s="234"/>
      <c r="B22081" s="233"/>
      <c r="C22081" s="238"/>
      <c r="E22081" s="545"/>
      <c r="F22081" s="546"/>
      <c r="G22081" s="234"/>
      <c r="H22081" s="238"/>
      <c r="I22081" s="237"/>
    </row>
    <row r="22082" spans="1:9" s="232" customFormat="1" ht="17" customHeight="1">
      <c r="A22082" s="234"/>
      <c r="B22082" s="233"/>
      <c r="C22082" s="238"/>
      <c r="E22082" s="545"/>
      <c r="F22082" s="546"/>
      <c r="G22082" s="234"/>
      <c r="H22082" s="238"/>
      <c r="I22082" s="237"/>
    </row>
    <row r="22083" spans="1:9" s="232" customFormat="1" ht="17" customHeight="1">
      <c r="A22083" s="234"/>
      <c r="B22083" s="233"/>
      <c r="C22083" s="238"/>
      <c r="E22083" s="545"/>
      <c r="F22083" s="546"/>
      <c r="G22083" s="234"/>
      <c r="H22083" s="238"/>
      <c r="I22083" s="237"/>
    </row>
    <row r="22084" spans="1:9" s="232" customFormat="1" ht="17" customHeight="1">
      <c r="A22084" s="234"/>
      <c r="B22084" s="233"/>
      <c r="C22084" s="238"/>
      <c r="E22084" s="545"/>
      <c r="F22084" s="546"/>
      <c r="G22084" s="234"/>
      <c r="H22084" s="238"/>
      <c r="I22084" s="237"/>
    </row>
    <row r="22085" spans="1:9" s="232" customFormat="1" ht="17" customHeight="1">
      <c r="A22085" s="234"/>
      <c r="B22085" s="233"/>
      <c r="C22085" s="238"/>
      <c r="E22085" s="545"/>
      <c r="F22085" s="546"/>
      <c r="G22085" s="234"/>
      <c r="H22085" s="238"/>
      <c r="I22085" s="237"/>
    </row>
    <row r="22086" spans="1:9" s="232" customFormat="1" ht="17" customHeight="1">
      <c r="A22086" s="234"/>
      <c r="B22086" s="233"/>
      <c r="C22086" s="238"/>
      <c r="E22086" s="545"/>
      <c r="F22086" s="546"/>
      <c r="G22086" s="234"/>
      <c r="H22086" s="238"/>
      <c r="I22086" s="237"/>
    </row>
    <row r="22087" spans="1:9" s="232" customFormat="1" ht="17" customHeight="1">
      <c r="A22087" s="234"/>
      <c r="B22087" s="233"/>
      <c r="C22087" s="238"/>
      <c r="E22087" s="545"/>
      <c r="F22087" s="546"/>
      <c r="G22087" s="234"/>
      <c r="H22087" s="238"/>
      <c r="I22087" s="237"/>
    </row>
    <row r="22088" spans="1:9" s="232" customFormat="1" ht="17" customHeight="1">
      <c r="A22088" s="234"/>
      <c r="B22088" s="233"/>
      <c r="C22088" s="238"/>
      <c r="E22088" s="545"/>
      <c r="F22088" s="546"/>
      <c r="G22088" s="234"/>
      <c r="H22088" s="238"/>
      <c r="I22088" s="237"/>
    </row>
    <row r="22089" spans="1:9" s="232" customFormat="1" ht="17" customHeight="1">
      <c r="A22089" s="234"/>
      <c r="B22089" s="233"/>
      <c r="C22089" s="238"/>
      <c r="E22089" s="545"/>
      <c r="F22089" s="546"/>
      <c r="G22089" s="234"/>
      <c r="H22089" s="238"/>
      <c r="I22089" s="237"/>
    </row>
    <row r="22090" spans="1:9" s="232" customFormat="1" ht="17" customHeight="1">
      <c r="A22090" s="234"/>
      <c r="B22090" s="233"/>
      <c r="C22090" s="238"/>
      <c r="E22090" s="545"/>
      <c r="F22090" s="546"/>
      <c r="G22090" s="234"/>
      <c r="H22090" s="238"/>
      <c r="I22090" s="237"/>
    </row>
    <row r="22091" spans="1:9" s="232" customFormat="1" ht="17" customHeight="1">
      <c r="A22091" s="234"/>
      <c r="B22091" s="233"/>
      <c r="C22091" s="238"/>
      <c r="E22091" s="545"/>
      <c r="F22091" s="546"/>
      <c r="G22091" s="234"/>
      <c r="H22091" s="238"/>
      <c r="I22091" s="237"/>
    </row>
    <row r="22092" spans="1:9" s="232" customFormat="1" ht="17" customHeight="1">
      <c r="A22092" s="234"/>
      <c r="B22092" s="233"/>
      <c r="C22092" s="238"/>
      <c r="E22092" s="545"/>
      <c r="F22092" s="546"/>
      <c r="G22092" s="234"/>
      <c r="H22092" s="238"/>
      <c r="I22092" s="237"/>
    </row>
    <row r="22093" spans="1:9" s="232" customFormat="1" ht="17" customHeight="1">
      <c r="A22093" s="234"/>
      <c r="B22093" s="233"/>
      <c r="C22093" s="238"/>
      <c r="E22093" s="545"/>
      <c r="F22093" s="546"/>
      <c r="G22093" s="234"/>
      <c r="H22093" s="238"/>
      <c r="I22093" s="237"/>
    </row>
    <row r="22094" spans="1:9" s="232" customFormat="1" ht="17" customHeight="1">
      <c r="A22094" s="234"/>
      <c r="B22094" s="233"/>
      <c r="C22094" s="238"/>
      <c r="E22094" s="545"/>
      <c r="F22094" s="546"/>
      <c r="G22094" s="234"/>
      <c r="H22094" s="238"/>
      <c r="I22094" s="237"/>
    </row>
    <row r="22095" spans="1:9" s="232" customFormat="1" ht="17" customHeight="1">
      <c r="A22095" s="234"/>
      <c r="B22095" s="233"/>
      <c r="C22095" s="238"/>
      <c r="E22095" s="545"/>
      <c r="F22095" s="546"/>
      <c r="G22095" s="234"/>
      <c r="H22095" s="238"/>
      <c r="I22095" s="237"/>
    </row>
    <row r="22096" spans="1:9" s="232" customFormat="1" ht="17" customHeight="1">
      <c r="A22096" s="234"/>
      <c r="B22096" s="233"/>
      <c r="C22096" s="238"/>
      <c r="E22096" s="545"/>
      <c r="F22096" s="546"/>
      <c r="G22096" s="234"/>
      <c r="H22096" s="238"/>
      <c r="I22096" s="237"/>
    </row>
    <row r="22097" spans="1:9" s="232" customFormat="1" ht="17" customHeight="1">
      <c r="A22097" s="234"/>
      <c r="B22097" s="233"/>
      <c r="C22097" s="238"/>
      <c r="E22097" s="545"/>
      <c r="F22097" s="546"/>
      <c r="G22097" s="234"/>
      <c r="H22097" s="238"/>
      <c r="I22097" s="237"/>
    </row>
    <row r="22098" spans="1:9" s="232" customFormat="1" ht="17" customHeight="1">
      <c r="A22098" s="234"/>
      <c r="B22098" s="233"/>
      <c r="C22098" s="238"/>
      <c r="E22098" s="545"/>
      <c r="F22098" s="546"/>
      <c r="G22098" s="234"/>
      <c r="H22098" s="238"/>
      <c r="I22098" s="237"/>
    </row>
    <row r="22099" spans="1:9" s="232" customFormat="1" ht="17" customHeight="1">
      <c r="A22099" s="234"/>
      <c r="B22099" s="233"/>
      <c r="C22099" s="238"/>
      <c r="E22099" s="545"/>
      <c r="F22099" s="546"/>
      <c r="G22099" s="234"/>
      <c r="H22099" s="238"/>
      <c r="I22099" s="237"/>
    </row>
    <row r="22100" spans="1:9" s="232" customFormat="1" ht="17" customHeight="1">
      <c r="A22100" s="234"/>
      <c r="B22100" s="233"/>
      <c r="C22100" s="238"/>
      <c r="E22100" s="545"/>
      <c r="F22100" s="546"/>
      <c r="G22100" s="234"/>
      <c r="H22100" s="238"/>
      <c r="I22100" s="237"/>
    </row>
    <row r="22101" spans="1:9" s="232" customFormat="1" ht="17" customHeight="1">
      <c r="A22101" s="234"/>
      <c r="B22101" s="233"/>
      <c r="C22101" s="238"/>
      <c r="E22101" s="545"/>
      <c r="F22101" s="546"/>
      <c r="G22101" s="234"/>
      <c r="H22101" s="238"/>
      <c r="I22101" s="237"/>
    </row>
    <row r="22102" spans="1:9" s="232" customFormat="1" ht="17" customHeight="1">
      <c r="A22102" s="234"/>
      <c r="B22102" s="233"/>
      <c r="C22102" s="238"/>
      <c r="E22102" s="545"/>
      <c r="F22102" s="546"/>
      <c r="G22102" s="234"/>
      <c r="H22102" s="238"/>
      <c r="I22102" s="237"/>
    </row>
    <row r="22103" spans="1:9" s="232" customFormat="1" ht="17" customHeight="1">
      <c r="A22103" s="234"/>
      <c r="B22103" s="233"/>
      <c r="C22103" s="238"/>
      <c r="E22103" s="545"/>
      <c r="F22103" s="546"/>
      <c r="G22103" s="234"/>
      <c r="H22103" s="238"/>
      <c r="I22103" s="237"/>
    </row>
    <row r="22104" spans="1:9" s="232" customFormat="1" ht="17" customHeight="1">
      <c r="A22104" s="234"/>
      <c r="B22104" s="233"/>
      <c r="C22104" s="238"/>
      <c r="E22104" s="545"/>
      <c r="F22104" s="546"/>
      <c r="G22104" s="234"/>
      <c r="H22104" s="238"/>
      <c r="I22104" s="237"/>
    </row>
    <row r="22105" spans="1:9" s="232" customFormat="1" ht="17" customHeight="1">
      <c r="A22105" s="234"/>
      <c r="B22105" s="233"/>
      <c r="C22105" s="238"/>
      <c r="E22105" s="545"/>
      <c r="F22105" s="546"/>
      <c r="G22105" s="234"/>
      <c r="H22105" s="238"/>
      <c r="I22105" s="237"/>
    </row>
    <row r="22106" spans="1:9" s="232" customFormat="1" ht="17" customHeight="1">
      <c r="A22106" s="234"/>
      <c r="B22106" s="233"/>
      <c r="C22106" s="238"/>
      <c r="E22106" s="545"/>
      <c r="F22106" s="546"/>
      <c r="G22106" s="234"/>
      <c r="H22106" s="238"/>
      <c r="I22106" s="237"/>
    </row>
    <row r="22107" spans="1:9" s="232" customFormat="1" ht="17" customHeight="1">
      <c r="A22107" s="234"/>
      <c r="B22107" s="233"/>
      <c r="C22107" s="238"/>
      <c r="E22107" s="545"/>
      <c r="F22107" s="546"/>
      <c r="G22107" s="234"/>
      <c r="H22107" s="238"/>
      <c r="I22107" s="237"/>
    </row>
    <row r="22108" spans="1:9" s="232" customFormat="1" ht="17" customHeight="1">
      <c r="A22108" s="234"/>
      <c r="B22108" s="233"/>
      <c r="C22108" s="238"/>
      <c r="E22108" s="545"/>
      <c r="F22108" s="546"/>
      <c r="G22108" s="234"/>
      <c r="H22108" s="238"/>
      <c r="I22108" s="237"/>
    </row>
    <row r="22109" spans="1:9" s="232" customFormat="1" ht="17" customHeight="1">
      <c r="A22109" s="234"/>
      <c r="B22109" s="233"/>
      <c r="C22109" s="238"/>
      <c r="E22109" s="545"/>
      <c r="F22109" s="546"/>
      <c r="G22109" s="234"/>
      <c r="H22109" s="238"/>
      <c r="I22109" s="237"/>
    </row>
    <row r="22110" spans="1:9" s="232" customFormat="1" ht="17" customHeight="1">
      <c r="A22110" s="234"/>
      <c r="B22110" s="233"/>
      <c r="C22110" s="238"/>
      <c r="E22110" s="545"/>
      <c r="F22110" s="546"/>
      <c r="G22110" s="234"/>
      <c r="H22110" s="238"/>
      <c r="I22110" s="237"/>
    </row>
    <row r="22111" spans="1:9" s="232" customFormat="1" ht="17" customHeight="1">
      <c r="A22111" s="234"/>
      <c r="B22111" s="233"/>
      <c r="C22111" s="238"/>
      <c r="E22111" s="545"/>
      <c r="F22111" s="546"/>
      <c r="G22111" s="234"/>
      <c r="H22111" s="238"/>
      <c r="I22111" s="237"/>
    </row>
    <row r="22112" spans="1:9" s="232" customFormat="1" ht="17" customHeight="1">
      <c r="A22112" s="234"/>
      <c r="B22112" s="233"/>
      <c r="C22112" s="238"/>
      <c r="E22112" s="545"/>
      <c r="F22112" s="546"/>
      <c r="G22112" s="234"/>
      <c r="H22112" s="238"/>
      <c r="I22112" s="237"/>
    </row>
    <row r="22113" spans="1:9" s="232" customFormat="1" ht="17" customHeight="1">
      <c r="A22113" s="234"/>
      <c r="B22113" s="233"/>
      <c r="C22113" s="238"/>
      <c r="E22113" s="545"/>
      <c r="F22113" s="546"/>
      <c r="G22113" s="234"/>
      <c r="H22113" s="238"/>
      <c r="I22113" s="237"/>
    </row>
    <row r="22114" spans="1:9" s="232" customFormat="1" ht="17" customHeight="1">
      <c r="A22114" s="234"/>
      <c r="B22114" s="233"/>
      <c r="C22114" s="238"/>
      <c r="E22114" s="545"/>
      <c r="F22114" s="546"/>
      <c r="G22114" s="234"/>
      <c r="H22114" s="238"/>
      <c r="I22114" s="237"/>
    </row>
    <row r="22115" spans="1:9" s="232" customFormat="1" ht="17" customHeight="1">
      <c r="A22115" s="234"/>
      <c r="B22115" s="233"/>
      <c r="C22115" s="238"/>
      <c r="E22115" s="545"/>
      <c r="F22115" s="546"/>
      <c r="G22115" s="234"/>
      <c r="H22115" s="238"/>
      <c r="I22115" s="237"/>
    </row>
    <row r="22116" spans="1:9" s="232" customFormat="1" ht="17" customHeight="1">
      <c r="A22116" s="234"/>
      <c r="B22116" s="233"/>
      <c r="C22116" s="238"/>
      <c r="E22116" s="545"/>
      <c r="F22116" s="546"/>
      <c r="G22116" s="234"/>
      <c r="H22116" s="238"/>
      <c r="I22116" s="237"/>
    </row>
    <row r="22117" spans="1:9" s="232" customFormat="1" ht="17" customHeight="1">
      <c r="A22117" s="234"/>
      <c r="B22117" s="233"/>
      <c r="C22117" s="238"/>
      <c r="E22117" s="545"/>
      <c r="F22117" s="546"/>
      <c r="G22117" s="234"/>
      <c r="H22117" s="238"/>
      <c r="I22117" s="237"/>
    </row>
    <row r="22118" spans="1:9" s="232" customFormat="1" ht="17" customHeight="1">
      <c r="A22118" s="234"/>
      <c r="B22118" s="233"/>
      <c r="C22118" s="238"/>
      <c r="E22118" s="545"/>
      <c r="F22118" s="546"/>
      <c r="G22118" s="234"/>
      <c r="H22118" s="238"/>
      <c r="I22118" s="237"/>
    </row>
    <row r="22119" spans="1:9" s="232" customFormat="1" ht="17" customHeight="1">
      <c r="A22119" s="234"/>
      <c r="B22119" s="233"/>
      <c r="C22119" s="238"/>
      <c r="E22119" s="545"/>
      <c r="F22119" s="546"/>
      <c r="G22119" s="234"/>
      <c r="H22119" s="238"/>
      <c r="I22119" s="237"/>
    </row>
    <row r="22120" spans="1:9" s="232" customFormat="1" ht="17" customHeight="1">
      <c r="A22120" s="234"/>
      <c r="B22120" s="233"/>
      <c r="C22120" s="238"/>
      <c r="E22120" s="545"/>
      <c r="F22120" s="546"/>
      <c r="G22120" s="234"/>
      <c r="H22120" s="238"/>
      <c r="I22120" s="237"/>
    </row>
    <row r="22121" spans="1:9" s="232" customFormat="1" ht="17" customHeight="1">
      <c r="A22121" s="234"/>
      <c r="B22121" s="233"/>
      <c r="C22121" s="238"/>
      <c r="E22121" s="545"/>
      <c r="F22121" s="546"/>
      <c r="G22121" s="234"/>
      <c r="H22121" s="238"/>
      <c r="I22121" s="237"/>
    </row>
    <row r="22122" spans="1:9" s="232" customFormat="1" ht="17" customHeight="1">
      <c r="A22122" s="234"/>
      <c r="B22122" s="233"/>
      <c r="C22122" s="238"/>
      <c r="E22122" s="545"/>
      <c r="F22122" s="546"/>
      <c r="G22122" s="234"/>
      <c r="H22122" s="238"/>
      <c r="I22122" s="237"/>
    </row>
    <row r="22123" spans="1:9" s="232" customFormat="1" ht="17" customHeight="1">
      <c r="A22123" s="234"/>
      <c r="B22123" s="233"/>
      <c r="C22123" s="238"/>
      <c r="E22123" s="545"/>
      <c r="F22123" s="546"/>
      <c r="G22123" s="234"/>
      <c r="H22123" s="238"/>
      <c r="I22123" s="237"/>
    </row>
    <row r="22124" spans="1:9" s="232" customFormat="1" ht="17" customHeight="1">
      <c r="A22124" s="234"/>
      <c r="B22124" s="233"/>
      <c r="C22124" s="238"/>
      <c r="E22124" s="545"/>
      <c r="F22124" s="546"/>
      <c r="G22124" s="234"/>
      <c r="H22124" s="238"/>
      <c r="I22124" s="237"/>
    </row>
    <row r="22125" spans="1:9" s="232" customFormat="1" ht="17" customHeight="1">
      <c r="A22125" s="234"/>
      <c r="B22125" s="233"/>
      <c r="C22125" s="238"/>
      <c r="E22125" s="545"/>
      <c r="F22125" s="546"/>
      <c r="G22125" s="234"/>
      <c r="H22125" s="238"/>
      <c r="I22125" s="237"/>
    </row>
    <row r="22126" spans="1:9" s="232" customFormat="1" ht="17" customHeight="1">
      <c r="A22126" s="234"/>
      <c r="B22126" s="233"/>
      <c r="C22126" s="238"/>
      <c r="E22126" s="545"/>
      <c r="F22126" s="546"/>
      <c r="G22126" s="234"/>
      <c r="H22126" s="238"/>
      <c r="I22126" s="237"/>
    </row>
    <row r="22127" spans="1:9" s="232" customFormat="1" ht="17" customHeight="1">
      <c r="A22127" s="234"/>
      <c r="B22127" s="233"/>
      <c r="C22127" s="238"/>
      <c r="E22127" s="545"/>
      <c r="F22127" s="546"/>
      <c r="G22127" s="234"/>
      <c r="H22127" s="238"/>
      <c r="I22127" s="237"/>
    </row>
    <row r="22128" spans="1:9" s="232" customFormat="1" ht="17" customHeight="1">
      <c r="A22128" s="234"/>
      <c r="B22128" s="233"/>
      <c r="C22128" s="238"/>
      <c r="E22128" s="545"/>
      <c r="F22128" s="546"/>
      <c r="G22128" s="234"/>
      <c r="H22128" s="238"/>
      <c r="I22128" s="237"/>
    </row>
    <row r="22129" spans="1:9" s="232" customFormat="1" ht="17" customHeight="1">
      <c r="A22129" s="234"/>
      <c r="B22129" s="233"/>
      <c r="C22129" s="238"/>
      <c r="E22129" s="545"/>
      <c r="F22129" s="546"/>
      <c r="G22129" s="234"/>
      <c r="H22129" s="238"/>
      <c r="I22129" s="237"/>
    </row>
    <row r="22130" spans="1:9" s="232" customFormat="1" ht="17" customHeight="1">
      <c r="A22130" s="234"/>
      <c r="B22130" s="233"/>
      <c r="C22130" s="238"/>
      <c r="E22130" s="545"/>
      <c r="F22130" s="546"/>
      <c r="G22130" s="234"/>
      <c r="H22130" s="238"/>
      <c r="I22130" s="237"/>
    </row>
    <row r="22131" spans="1:9" s="232" customFormat="1" ht="17" customHeight="1">
      <c r="A22131" s="234"/>
      <c r="B22131" s="233"/>
      <c r="C22131" s="238"/>
      <c r="E22131" s="545"/>
      <c r="F22131" s="546"/>
      <c r="G22131" s="234"/>
      <c r="H22131" s="238"/>
      <c r="I22131" s="237"/>
    </row>
    <row r="22132" spans="1:9" s="232" customFormat="1" ht="17" customHeight="1">
      <c r="A22132" s="234"/>
      <c r="B22132" s="233"/>
      <c r="C22132" s="238"/>
      <c r="E22132" s="545"/>
      <c r="F22132" s="546"/>
      <c r="G22132" s="234"/>
      <c r="H22132" s="238"/>
      <c r="I22132" s="237"/>
    </row>
    <row r="22133" spans="1:9" s="232" customFormat="1" ht="17" customHeight="1">
      <c r="A22133" s="234"/>
      <c r="B22133" s="233"/>
      <c r="C22133" s="238"/>
      <c r="E22133" s="545"/>
      <c r="F22133" s="546"/>
      <c r="G22133" s="234"/>
      <c r="H22133" s="238"/>
      <c r="I22133" s="237"/>
    </row>
    <row r="22134" spans="1:9" s="232" customFormat="1" ht="17" customHeight="1">
      <c r="A22134" s="234"/>
      <c r="B22134" s="233"/>
      <c r="C22134" s="238"/>
      <c r="E22134" s="545"/>
      <c r="F22134" s="546"/>
      <c r="G22134" s="234"/>
      <c r="H22134" s="238"/>
      <c r="I22134" s="237"/>
    </row>
    <row r="22135" spans="1:9" s="232" customFormat="1" ht="17" customHeight="1">
      <c r="A22135" s="234"/>
      <c r="B22135" s="233"/>
      <c r="C22135" s="238"/>
      <c r="E22135" s="545"/>
      <c r="F22135" s="546"/>
      <c r="G22135" s="234"/>
      <c r="H22135" s="238"/>
      <c r="I22135" s="237"/>
    </row>
    <row r="22136" spans="1:9" s="232" customFormat="1" ht="17" customHeight="1">
      <c r="A22136" s="234"/>
      <c r="B22136" s="233"/>
      <c r="C22136" s="238"/>
      <c r="E22136" s="545"/>
      <c r="F22136" s="546"/>
      <c r="G22136" s="234"/>
      <c r="H22136" s="238"/>
      <c r="I22136" s="237"/>
    </row>
    <row r="22137" spans="1:9" s="232" customFormat="1" ht="17" customHeight="1">
      <c r="A22137" s="234"/>
      <c r="B22137" s="233"/>
      <c r="C22137" s="238"/>
      <c r="E22137" s="545"/>
      <c r="F22137" s="546"/>
      <c r="G22137" s="234"/>
      <c r="H22137" s="238"/>
      <c r="I22137" s="237"/>
    </row>
    <row r="22138" spans="1:9" s="232" customFormat="1" ht="17" customHeight="1">
      <c r="A22138" s="234"/>
      <c r="B22138" s="233"/>
      <c r="C22138" s="238"/>
      <c r="E22138" s="545"/>
      <c r="F22138" s="546"/>
      <c r="G22138" s="234"/>
      <c r="H22138" s="238"/>
      <c r="I22138" s="237"/>
    </row>
    <row r="22139" spans="1:9" s="232" customFormat="1" ht="17" customHeight="1">
      <c r="A22139" s="234"/>
      <c r="B22139" s="233"/>
      <c r="C22139" s="238"/>
      <c r="E22139" s="545"/>
      <c r="F22139" s="546"/>
      <c r="G22139" s="234"/>
      <c r="H22139" s="238"/>
      <c r="I22139" s="237"/>
    </row>
    <row r="22140" spans="1:9" s="232" customFormat="1" ht="17" customHeight="1">
      <c r="A22140" s="234"/>
      <c r="B22140" s="233"/>
      <c r="C22140" s="238"/>
      <c r="E22140" s="545"/>
      <c r="F22140" s="546"/>
      <c r="G22140" s="234"/>
      <c r="H22140" s="238"/>
      <c r="I22140" s="237"/>
    </row>
    <row r="22141" spans="1:9" s="232" customFormat="1" ht="17" customHeight="1">
      <c r="A22141" s="234"/>
      <c r="B22141" s="233"/>
      <c r="C22141" s="238"/>
      <c r="E22141" s="545"/>
      <c r="F22141" s="546"/>
      <c r="G22141" s="234"/>
      <c r="H22141" s="238"/>
      <c r="I22141" s="237"/>
    </row>
    <row r="22142" spans="1:9" s="232" customFormat="1" ht="17" customHeight="1">
      <c r="A22142" s="234"/>
      <c r="B22142" s="233"/>
      <c r="C22142" s="238"/>
      <c r="E22142" s="545"/>
      <c r="F22142" s="546"/>
      <c r="G22142" s="234"/>
      <c r="H22142" s="238"/>
      <c r="I22142" s="237"/>
    </row>
    <row r="22143" spans="1:9" s="232" customFormat="1" ht="17" customHeight="1">
      <c r="A22143" s="234"/>
      <c r="B22143" s="233"/>
      <c r="C22143" s="238"/>
      <c r="E22143" s="545"/>
      <c r="F22143" s="546"/>
      <c r="G22143" s="234"/>
      <c r="H22143" s="238"/>
      <c r="I22143" s="237"/>
    </row>
    <row r="22144" spans="1:9" s="232" customFormat="1" ht="17" customHeight="1">
      <c r="A22144" s="234"/>
      <c r="B22144" s="233"/>
      <c r="C22144" s="238"/>
      <c r="E22144" s="545"/>
      <c r="F22144" s="546"/>
      <c r="G22144" s="234"/>
      <c r="H22144" s="238"/>
      <c r="I22144" s="237"/>
    </row>
    <row r="22145" spans="1:9" s="232" customFormat="1" ht="17" customHeight="1">
      <c r="A22145" s="234"/>
      <c r="B22145" s="233"/>
      <c r="C22145" s="238"/>
      <c r="E22145" s="545"/>
      <c r="F22145" s="546"/>
      <c r="G22145" s="234"/>
      <c r="H22145" s="238"/>
      <c r="I22145" s="237"/>
    </row>
    <row r="22146" spans="1:9" s="232" customFormat="1" ht="17" customHeight="1">
      <c r="A22146" s="234"/>
      <c r="B22146" s="233"/>
      <c r="C22146" s="238"/>
      <c r="E22146" s="545"/>
      <c r="F22146" s="546"/>
      <c r="G22146" s="234"/>
      <c r="H22146" s="238"/>
      <c r="I22146" s="237"/>
    </row>
    <row r="22147" spans="1:9" s="232" customFormat="1" ht="17" customHeight="1">
      <c r="A22147" s="234"/>
      <c r="B22147" s="233"/>
      <c r="C22147" s="238"/>
      <c r="E22147" s="545"/>
      <c r="F22147" s="546"/>
      <c r="G22147" s="234"/>
      <c r="H22147" s="238"/>
      <c r="I22147" s="237"/>
    </row>
    <row r="22148" spans="1:9" s="232" customFormat="1" ht="17" customHeight="1">
      <c r="A22148" s="234"/>
      <c r="B22148" s="233"/>
      <c r="C22148" s="238"/>
      <c r="E22148" s="545"/>
      <c r="F22148" s="546"/>
      <c r="G22148" s="234"/>
      <c r="H22148" s="238"/>
      <c r="I22148" s="237"/>
    </row>
    <row r="22149" spans="1:9" s="232" customFormat="1" ht="17" customHeight="1">
      <c r="A22149" s="234"/>
      <c r="B22149" s="233"/>
      <c r="C22149" s="238"/>
      <c r="E22149" s="545"/>
      <c r="F22149" s="546"/>
      <c r="G22149" s="234"/>
      <c r="H22149" s="238"/>
      <c r="I22149" s="237"/>
    </row>
    <row r="22150" spans="1:9" s="232" customFormat="1" ht="17" customHeight="1">
      <c r="A22150" s="234"/>
      <c r="B22150" s="233"/>
      <c r="C22150" s="238"/>
      <c r="E22150" s="545"/>
      <c r="F22150" s="546"/>
      <c r="G22150" s="234"/>
      <c r="H22150" s="238"/>
      <c r="I22150" s="237"/>
    </row>
    <row r="22151" spans="1:9" s="232" customFormat="1" ht="17" customHeight="1">
      <c r="A22151" s="234"/>
      <c r="B22151" s="233"/>
      <c r="C22151" s="238"/>
      <c r="E22151" s="545"/>
      <c r="F22151" s="546"/>
      <c r="G22151" s="234"/>
      <c r="H22151" s="238"/>
      <c r="I22151" s="237"/>
    </row>
    <row r="22152" spans="1:9" s="232" customFormat="1" ht="17" customHeight="1">
      <c r="A22152" s="234"/>
      <c r="B22152" s="233"/>
      <c r="C22152" s="238"/>
      <c r="E22152" s="545"/>
      <c r="F22152" s="546"/>
      <c r="G22152" s="234"/>
      <c r="H22152" s="238"/>
      <c r="I22152" s="237"/>
    </row>
    <row r="22153" spans="1:9" s="232" customFormat="1" ht="17" customHeight="1">
      <c r="A22153" s="234"/>
      <c r="B22153" s="233"/>
      <c r="C22153" s="238"/>
      <c r="E22153" s="545"/>
      <c r="F22153" s="546"/>
      <c r="G22153" s="234"/>
      <c r="H22153" s="238"/>
      <c r="I22153" s="237"/>
    </row>
    <row r="22154" spans="1:9" s="232" customFormat="1" ht="17" customHeight="1">
      <c r="A22154" s="234"/>
      <c r="B22154" s="233"/>
      <c r="C22154" s="238"/>
      <c r="E22154" s="545"/>
      <c r="F22154" s="546"/>
      <c r="G22154" s="234"/>
      <c r="H22154" s="238"/>
      <c r="I22154" s="237"/>
    </row>
    <row r="22155" spans="1:9" s="232" customFormat="1" ht="17" customHeight="1">
      <c r="A22155" s="234"/>
      <c r="B22155" s="233"/>
      <c r="C22155" s="238"/>
      <c r="E22155" s="545"/>
      <c r="F22155" s="546"/>
      <c r="G22155" s="234"/>
      <c r="H22155" s="238"/>
      <c r="I22155" s="237"/>
    </row>
    <row r="22156" spans="1:9" s="232" customFormat="1" ht="17" customHeight="1">
      <c r="A22156" s="234"/>
      <c r="B22156" s="233"/>
      <c r="C22156" s="238"/>
      <c r="E22156" s="545"/>
      <c r="F22156" s="546"/>
      <c r="G22156" s="234"/>
      <c r="H22156" s="238"/>
      <c r="I22156" s="237"/>
    </row>
    <row r="22157" spans="1:9" s="232" customFormat="1" ht="17" customHeight="1">
      <c r="A22157" s="234"/>
      <c r="B22157" s="233"/>
      <c r="C22157" s="238"/>
      <c r="E22157" s="545"/>
      <c r="F22157" s="546"/>
      <c r="G22157" s="234"/>
      <c r="H22157" s="238"/>
      <c r="I22157" s="237"/>
    </row>
    <row r="22158" spans="1:9" s="232" customFormat="1" ht="17" customHeight="1">
      <c r="A22158" s="234"/>
      <c r="B22158" s="233"/>
      <c r="C22158" s="238"/>
      <c r="E22158" s="545"/>
      <c r="F22158" s="546"/>
      <c r="G22158" s="234"/>
      <c r="H22158" s="238"/>
      <c r="I22158" s="237"/>
    </row>
    <row r="22159" spans="1:9" s="232" customFormat="1" ht="17" customHeight="1">
      <c r="A22159" s="234"/>
      <c r="B22159" s="233"/>
      <c r="C22159" s="238"/>
      <c r="E22159" s="545"/>
      <c r="F22159" s="546"/>
      <c r="G22159" s="234"/>
      <c r="H22159" s="238"/>
      <c r="I22159" s="237"/>
    </row>
    <row r="22160" spans="1:9" s="232" customFormat="1" ht="17" customHeight="1">
      <c r="A22160" s="234"/>
      <c r="B22160" s="233"/>
      <c r="C22160" s="238"/>
      <c r="E22160" s="545"/>
      <c r="F22160" s="546"/>
      <c r="G22160" s="234"/>
      <c r="H22160" s="238"/>
      <c r="I22160" s="237"/>
    </row>
    <row r="22161" spans="1:9" s="232" customFormat="1" ht="17" customHeight="1">
      <c r="A22161" s="234"/>
      <c r="B22161" s="233"/>
      <c r="C22161" s="238"/>
      <c r="E22161" s="545"/>
      <c r="F22161" s="546"/>
      <c r="G22161" s="234"/>
      <c r="H22161" s="238"/>
      <c r="I22161" s="237"/>
    </row>
    <row r="22162" spans="1:9" s="232" customFormat="1" ht="17" customHeight="1">
      <c r="A22162" s="234"/>
      <c r="B22162" s="233"/>
      <c r="C22162" s="238"/>
      <c r="E22162" s="545"/>
      <c r="F22162" s="546"/>
      <c r="G22162" s="234"/>
      <c r="H22162" s="238"/>
      <c r="I22162" s="237"/>
    </row>
    <row r="22163" spans="1:9" s="232" customFormat="1" ht="17" customHeight="1">
      <c r="A22163" s="234"/>
      <c r="B22163" s="233"/>
      <c r="C22163" s="238"/>
      <c r="E22163" s="545"/>
      <c r="F22163" s="546"/>
      <c r="G22163" s="234"/>
      <c r="H22163" s="238"/>
      <c r="I22163" s="237"/>
    </row>
    <row r="22164" spans="1:9" s="232" customFormat="1" ht="17" customHeight="1">
      <c r="A22164" s="234"/>
      <c r="B22164" s="233"/>
      <c r="C22164" s="238"/>
      <c r="E22164" s="545"/>
      <c r="F22164" s="546"/>
      <c r="G22164" s="234"/>
      <c r="H22164" s="238"/>
      <c r="I22164" s="237"/>
    </row>
    <row r="22165" spans="1:9" s="232" customFormat="1" ht="17" customHeight="1">
      <c r="A22165" s="234"/>
      <c r="B22165" s="233"/>
      <c r="C22165" s="238"/>
      <c r="E22165" s="545"/>
      <c r="F22165" s="546"/>
      <c r="G22165" s="234"/>
      <c r="H22165" s="238"/>
      <c r="I22165" s="237"/>
    </row>
    <row r="22166" spans="1:9" s="232" customFormat="1" ht="17" customHeight="1">
      <c r="A22166" s="234"/>
      <c r="B22166" s="233"/>
      <c r="C22166" s="238"/>
      <c r="E22166" s="545"/>
      <c r="F22166" s="546"/>
      <c r="G22166" s="234"/>
      <c r="H22166" s="238"/>
      <c r="I22166" s="237"/>
    </row>
    <row r="22167" spans="1:9" s="232" customFormat="1" ht="17" customHeight="1">
      <c r="A22167" s="234"/>
      <c r="B22167" s="233"/>
      <c r="C22167" s="238"/>
      <c r="E22167" s="545"/>
      <c r="F22167" s="546"/>
      <c r="G22167" s="234"/>
      <c r="H22167" s="238"/>
      <c r="I22167" s="237"/>
    </row>
    <row r="22168" spans="1:9" s="232" customFormat="1" ht="17" customHeight="1">
      <c r="A22168" s="234"/>
      <c r="B22168" s="233"/>
      <c r="C22168" s="238"/>
      <c r="E22168" s="545"/>
      <c r="F22168" s="546"/>
      <c r="G22168" s="234"/>
      <c r="H22168" s="238"/>
      <c r="I22168" s="237"/>
    </row>
    <row r="22169" spans="1:9" s="232" customFormat="1" ht="17" customHeight="1">
      <c r="A22169" s="234"/>
      <c r="B22169" s="233"/>
      <c r="C22169" s="238"/>
      <c r="E22169" s="545"/>
      <c r="F22169" s="546"/>
      <c r="G22169" s="234"/>
      <c r="H22169" s="238"/>
      <c r="I22169" s="237"/>
    </row>
    <row r="22170" spans="1:9" s="232" customFormat="1" ht="17" customHeight="1">
      <c r="A22170" s="234"/>
      <c r="B22170" s="233"/>
      <c r="C22170" s="238"/>
      <c r="E22170" s="545"/>
      <c r="F22170" s="546"/>
      <c r="G22170" s="234"/>
      <c r="H22170" s="238"/>
      <c r="I22170" s="237"/>
    </row>
    <row r="22171" spans="1:9" s="232" customFormat="1" ht="17" customHeight="1">
      <c r="A22171" s="234"/>
      <c r="B22171" s="233"/>
      <c r="C22171" s="238"/>
      <c r="E22171" s="545"/>
      <c r="F22171" s="546"/>
      <c r="G22171" s="234"/>
      <c r="H22171" s="238"/>
      <c r="I22171" s="237"/>
    </row>
    <row r="22172" spans="1:9" s="232" customFormat="1" ht="17" customHeight="1">
      <c r="A22172" s="234"/>
      <c r="B22172" s="233"/>
      <c r="C22172" s="238"/>
      <c r="E22172" s="545"/>
      <c r="F22172" s="546"/>
      <c r="G22172" s="234"/>
      <c r="H22172" s="238"/>
      <c r="I22172" s="237"/>
    </row>
    <row r="22173" spans="1:9" s="232" customFormat="1" ht="17" customHeight="1">
      <c r="A22173" s="234"/>
      <c r="B22173" s="233"/>
      <c r="C22173" s="238"/>
      <c r="E22173" s="545"/>
      <c r="F22173" s="546"/>
      <c r="G22173" s="234"/>
      <c r="H22173" s="238"/>
      <c r="I22173" s="237"/>
    </row>
    <row r="22174" spans="1:9" s="232" customFormat="1" ht="17" customHeight="1">
      <c r="A22174" s="234"/>
      <c r="B22174" s="233"/>
      <c r="C22174" s="238"/>
      <c r="E22174" s="545"/>
      <c r="F22174" s="546"/>
      <c r="G22174" s="234"/>
      <c r="H22174" s="238"/>
      <c r="I22174" s="237"/>
    </row>
    <row r="22175" spans="1:9" s="232" customFormat="1" ht="17" customHeight="1">
      <c r="A22175" s="234"/>
      <c r="B22175" s="233"/>
      <c r="C22175" s="238"/>
      <c r="E22175" s="545"/>
      <c r="F22175" s="546"/>
      <c r="G22175" s="234"/>
      <c r="H22175" s="238"/>
      <c r="I22175" s="237"/>
    </row>
    <row r="22176" spans="1:9" s="232" customFormat="1" ht="17" customHeight="1">
      <c r="A22176" s="234"/>
      <c r="B22176" s="233"/>
      <c r="C22176" s="238"/>
      <c r="E22176" s="545"/>
      <c r="F22176" s="546"/>
      <c r="G22176" s="234"/>
      <c r="H22176" s="238"/>
      <c r="I22176" s="237"/>
    </row>
    <row r="22177" spans="1:9" s="232" customFormat="1" ht="17" customHeight="1">
      <c r="A22177" s="234"/>
      <c r="B22177" s="233"/>
      <c r="C22177" s="238"/>
      <c r="E22177" s="545"/>
      <c r="F22177" s="546"/>
      <c r="G22177" s="234"/>
      <c r="H22177" s="238"/>
      <c r="I22177" s="237"/>
    </row>
    <row r="22178" spans="1:9" s="232" customFormat="1" ht="17" customHeight="1">
      <c r="A22178" s="234"/>
      <c r="B22178" s="233"/>
      <c r="C22178" s="238"/>
      <c r="E22178" s="545"/>
      <c r="F22178" s="546"/>
      <c r="G22178" s="234"/>
      <c r="H22178" s="238"/>
      <c r="I22178" s="237"/>
    </row>
    <row r="22179" spans="1:9" s="232" customFormat="1" ht="17" customHeight="1">
      <c r="A22179" s="234"/>
      <c r="B22179" s="233"/>
      <c r="C22179" s="238"/>
      <c r="E22179" s="545"/>
      <c r="F22179" s="546"/>
      <c r="G22179" s="234"/>
      <c r="H22179" s="238"/>
      <c r="I22179" s="237"/>
    </row>
    <row r="22180" spans="1:9" s="232" customFormat="1" ht="17" customHeight="1">
      <c r="A22180" s="234"/>
      <c r="B22180" s="233"/>
      <c r="C22180" s="238"/>
      <c r="E22180" s="545"/>
      <c r="F22180" s="546"/>
      <c r="G22180" s="234"/>
      <c r="H22180" s="238"/>
      <c r="I22180" s="237"/>
    </row>
    <row r="22181" spans="1:9" s="232" customFormat="1" ht="17" customHeight="1">
      <c r="A22181" s="234"/>
      <c r="B22181" s="233"/>
      <c r="C22181" s="238"/>
      <c r="E22181" s="545"/>
      <c r="F22181" s="546"/>
      <c r="G22181" s="234"/>
      <c r="H22181" s="238"/>
      <c r="I22181" s="237"/>
    </row>
    <row r="22182" spans="1:9" s="232" customFormat="1" ht="17" customHeight="1">
      <c r="A22182" s="234"/>
      <c r="B22182" s="233"/>
      <c r="C22182" s="238"/>
      <c r="E22182" s="545"/>
      <c r="F22182" s="546"/>
      <c r="G22182" s="234"/>
      <c r="H22182" s="238"/>
      <c r="I22182" s="237"/>
    </row>
    <row r="22183" spans="1:9" s="232" customFormat="1" ht="17" customHeight="1">
      <c r="A22183" s="234"/>
      <c r="B22183" s="233"/>
      <c r="C22183" s="238"/>
      <c r="E22183" s="545"/>
      <c r="F22183" s="546"/>
      <c r="G22183" s="234"/>
      <c r="H22183" s="238"/>
      <c r="I22183" s="237"/>
    </row>
    <row r="22184" spans="1:9" s="232" customFormat="1" ht="17" customHeight="1">
      <c r="A22184" s="234"/>
      <c r="B22184" s="233"/>
      <c r="C22184" s="238"/>
      <c r="E22184" s="545"/>
      <c r="F22184" s="546"/>
      <c r="G22184" s="234"/>
      <c r="H22184" s="238"/>
      <c r="I22184" s="237"/>
    </row>
    <row r="22185" spans="1:9" s="232" customFormat="1" ht="17" customHeight="1">
      <c r="A22185" s="234"/>
      <c r="B22185" s="233"/>
      <c r="C22185" s="238"/>
      <c r="E22185" s="545"/>
      <c r="F22185" s="546"/>
      <c r="G22185" s="234"/>
      <c r="H22185" s="238"/>
      <c r="I22185" s="237"/>
    </row>
    <row r="22186" spans="1:9" s="232" customFormat="1" ht="17" customHeight="1">
      <c r="A22186" s="234"/>
      <c r="B22186" s="233"/>
      <c r="C22186" s="238"/>
      <c r="E22186" s="545"/>
      <c r="F22186" s="546"/>
      <c r="G22186" s="234"/>
      <c r="H22186" s="238"/>
      <c r="I22186" s="237"/>
    </row>
    <row r="22187" spans="1:9" s="232" customFormat="1" ht="17" customHeight="1">
      <c r="A22187" s="234"/>
      <c r="B22187" s="233"/>
      <c r="C22187" s="238"/>
      <c r="E22187" s="545"/>
      <c r="F22187" s="546"/>
      <c r="G22187" s="234"/>
      <c r="H22187" s="238"/>
      <c r="I22187" s="237"/>
    </row>
    <row r="22188" spans="1:9" s="232" customFormat="1" ht="17" customHeight="1">
      <c r="A22188" s="234"/>
      <c r="B22188" s="233"/>
      <c r="C22188" s="238"/>
      <c r="E22188" s="545"/>
      <c r="F22188" s="546"/>
      <c r="G22188" s="234"/>
      <c r="H22188" s="238"/>
      <c r="I22188" s="237"/>
    </row>
    <row r="22189" spans="1:9" s="232" customFormat="1" ht="17" customHeight="1">
      <c r="A22189" s="234"/>
      <c r="B22189" s="233"/>
      <c r="C22189" s="238"/>
      <c r="E22189" s="545"/>
      <c r="F22189" s="546"/>
      <c r="G22189" s="234"/>
      <c r="H22189" s="238"/>
      <c r="I22189" s="237"/>
    </row>
    <row r="22190" spans="1:9" s="232" customFormat="1" ht="17" customHeight="1">
      <c r="A22190" s="234"/>
      <c r="B22190" s="233"/>
      <c r="C22190" s="238"/>
      <c r="E22190" s="545"/>
      <c r="F22190" s="546"/>
      <c r="G22190" s="234"/>
      <c r="H22190" s="238"/>
      <c r="I22190" s="237"/>
    </row>
    <row r="22191" spans="1:9" s="232" customFormat="1" ht="17" customHeight="1">
      <c r="A22191" s="234"/>
      <c r="B22191" s="233"/>
      <c r="C22191" s="238"/>
      <c r="E22191" s="545"/>
      <c r="F22191" s="546"/>
      <c r="G22191" s="234"/>
      <c r="H22191" s="238"/>
      <c r="I22191" s="237"/>
    </row>
    <row r="22192" spans="1:9" s="232" customFormat="1" ht="17" customHeight="1">
      <c r="A22192" s="234"/>
      <c r="B22192" s="233"/>
      <c r="C22192" s="238"/>
      <c r="E22192" s="545"/>
      <c r="F22192" s="546"/>
      <c r="G22192" s="234"/>
      <c r="H22192" s="238"/>
      <c r="I22192" s="237"/>
    </row>
    <row r="22193" spans="1:9" s="232" customFormat="1" ht="17" customHeight="1">
      <c r="A22193" s="234"/>
      <c r="B22193" s="233"/>
      <c r="C22193" s="238"/>
      <c r="E22193" s="545"/>
      <c r="F22193" s="546"/>
      <c r="G22193" s="234"/>
      <c r="H22193" s="238"/>
      <c r="I22193" s="237"/>
    </row>
    <row r="22194" spans="1:9" s="232" customFormat="1" ht="17" customHeight="1">
      <c r="A22194" s="234"/>
      <c r="B22194" s="233"/>
      <c r="C22194" s="238"/>
      <c r="E22194" s="545"/>
      <c r="F22194" s="546"/>
      <c r="G22194" s="234"/>
      <c r="H22194" s="238"/>
      <c r="I22194" s="237"/>
    </row>
    <row r="22195" spans="1:9" s="232" customFormat="1" ht="17" customHeight="1">
      <c r="A22195" s="234"/>
      <c r="B22195" s="233"/>
      <c r="C22195" s="238"/>
      <c r="E22195" s="545"/>
      <c r="F22195" s="546"/>
      <c r="G22195" s="234"/>
      <c r="H22195" s="238"/>
      <c r="I22195" s="237"/>
    </row>
    <row r="22196" spans="1:9" s="232" customFormat="1" ht="17" customHeight="1">
      <c r="A22196" s="234"/>
      <c r="B22196" s="233"/>
      <c r="C22196" s="238"/>
      <c r="E22196" s="545"/>
      <c r="F22196" s="546"/>
      <c r="G22196" s="234"/>
      <c r="H22196" s="238"/>
      <c r="I22196" s="237"/>
    </row>
    <row r="22197" spans="1:9" s="232" customFormat="1" ht="17" customHeight="1">
      <c r="A22197" s="234"/>
      <c r="B22197" s="233"/>
      <c r="C22197" s="238"/>
      <c r="E22197" s="545"/>
      <c r="F22197" s="546"/>
      <c r="G22197" s="234"/>
      <c r="H22197" s="238"/>
      <c r="I22197" s="237"/>
    </row>
    <row r="22198" spans="1:9" s="232" customFormat="1" ht="17" customHeight="1">
      <c r="A22198" s="234"/>
      <c r="B22198" s="233"/>
      <c r="C22198" s="238"/>
      <c r="E22198" s="545"/>
      <c r="F22198" s="546"/>
      <c r="G22198" s="234"/>
      <c r="H22198" s="238"/>
      <c r="I22198" s="237"/>
    </row>
    <row r="22199" spans="1:9" s="232" customFormat="1" ht="17" customHeight="1">
      <c r="A22199" s="234"/>
      <c r="B22199" s="233"/>
      <c r="C22199" s="238"/>
      <c r="E22199" s="545"/>
      <c r="F22199" s="546"/>
      <c r="G22199" s="234"/>
      <c r="H22199" s="238"/>
      <c r="I22199" s="237"/>
    </row>
    <row r="22200" spans="1:9" s="232" customFormat="1" ht="17" customHeight="1">
      <c r="A22200" s="234"/>
      <c r="B22200" s="233"/>
      <c r="C22200" s="238"/>
      <c r="E22200" s="545"/>
      <c r="F22200" s="546"/>
      <c r="G22200" s="234"/>
      <c r="H22200" s="238"/>
      <c r="I22200" s="237"/>
    </row>
    <row r="22201" spans="1:9" s="232" customFormat="1" ht="17" customHeight="1">
      <c r="A22201" s="234"/>
      <c r="B22201" s="233"/>
      <c r="C22201" s="238"/>
      <c r="E22201" s="545"/>
      <c r="F22201" s="546"/>
      <c r="G22201" s="234"/>
      <c r="H22201" s="238"/>
      <c r="I22201" s="237"/>
    </row>
    <row r="22202" spans="1:9" s="232" customFormat="1" ht="17" customHeight="1">
      <c r="A22202" s="234"/>
      <c r="B22202" s="233"/>
      <c r="C22202" s="238"/>
      <c r="E22202" s="545"/>
      <c r="F22202" s="546"/>
      <c r="G22202" s="234"/>
      <c r="H22202" s="238"/>
      <c r="I22202" s="237"/>
    </row>
    <row r="22203" spans="1:9" s="232" customFormat="1" ht="17" customHeight="1">
      <c r="A22203" s="234"/>
      <c r="B22203" s="233"/>
      <c r="C22203" s="238"/>
      <c r="E22203" s="545"/>
      <c r="F22203" s="546"/>
      <c r="G22203" s="234"/>
      <c r="H22203" s="238"/>
      <c r="I22203" s="237"/>
    </row>
    <row r="22204" spans="1:9" s="232" customFormat="1" ht="17" customHeight="1">
      <c r="A22204" s="234"/>
      <c r="B22204" s="233"/>
      <c r="C22204" s="238"/>
      <c r="E22204" s="545"/>
      <c r="F22204" s="546"/>
      <c r="G22204" s="234"/>
      <c r="H22204" s="238"/>
      <c r="I22204" s="237"/>
    </row>
    <row r="22205" spans="1:9" s="232" customFormat="1" ht="17" customHeight="1">
      <c r="A22205" s="234"/>
      <c r="B22205" s="233"/>
      <c r="C22205" s="238"/>
      <c r="E22205" s="545"/>
      <c r="F22205" s="546"/>
      <c r="G22205" s="234"/>
      <c r="H22205" s="238"/>
      <c r="I22205" s="237"/>
    </row>
    <row r="22206" spans="1:9" s="232" customFormat="1" ht="17" customHeight="1">
      <c r="A22206" s="234"/>
      <c r="B22206" s="233"/>
      <c r="C22206" s="238"/>
      <c r="E22206" s="545"/>
      <c r="F22206" s="546"/>
      <c r="G22206" s="234"/>
      <c r="H22206" s="238"/>
      <c r="I22206" s="237"/>
    </row>
    <row r="22207" spans="1:9" s="232" customFormat="1" ht="17" customHeight="1">
      <c r="A22207" s="234"/>
      <c r="B22207" s="233"/>
      <c r="C22207" s="238"/>
      <c r="E22207" s="545"/>
      <c r="F22207" s="546"/>
      <c r="G22207" s="234"/>
      <c r="H22207" s="238"/>
      <c r="I22207" s="237"/>
    </row>
    <row r="22208" spans="1:9" s="232" customFormat="1" ht="17" customHeight="1">
      <c r="A22208" s="234"/>
      <c r="B22208" s="233"/>
      <c r="C22208" s="238"/>
      <c r="E22208" s="545"/>
      <c r="F22208" s="546"/>
      <c r="G22208" s="234"/>
      <c r="H22208" s="238"/>
      <c r="I22208" s="237"/>
    </row>
    <row r="22209" spans="1:9" s="232" customFormat="1" ht="17" customHeight="1">
      <c r="A22209" s="234"/>
      <c r="B22209" s="233"/>
      <c r="C22209" s="238"/>
      <c r="E22209" s="545"/>
      <c r="F22209" s="546"/>
      <c r="G22209" s="234"/>
      <c r="H22209" s="238"/>
      <c r="I22209" s="237"/>
    </row>
    <row r="22210" spans="1:9" s="232" customFormat="1" ht="17" customHeight="1">
      <c r="A22210" s="234"/>
      <c r="B22210" s="233"/>
      <c r="C22210" s="238"/>
      <c r="E22210" s="545"/>
      <c r="F22210" s="546"/>
      <c r="G22210" s="234"/>
      <c r="H22210" s="238"/>
      <c r="I22210" s="237"/>
    </row>
    <row r="22211" spans="1:9" s="232" customFormat="1" ht="17" customHeight="1">
      <c r="A22211" s="234"/>
      <c r="B22211" s="233"/>
      <c r="C22211" s="238"/>
      <c r="E22211" s="545"/>
      <c r="F22211" s="546"/>
      <c r="G22211" s="234"/>
      <c r="H22211" s="238"/>
      <c r="I22211" s="237"/>
    </row>
    <row r="22212" spans="1:9" s="232" customFormat="1" ht="17" customHeight="1">
      <c r="A22212" s="234"/>
      <c r="B22212" s="233"/>
      <c r="C22212" s="238"/>
      <c r="E22212" s="545"/>
      <c r="F22212" s="546"/>
      <c r="G22212" s="234"/>
      <c r="H22212" s="238"/>
      <c r="I22212" s="237"/>
    </row>
    <row r="22213" spans="1:9" s="232" customFormat="1" ht="17" customHeight="1">
      <c r="A22213" s="234"/>
      <c r="B22213" s="233"/>
      <c r="C22213" s="238"/>
      <c r="E22213" s="545"/>
      <c r="F22213" s="546"/>
      <c r="G22213" s="234"/>
      <c r="H22213" s="238"/>
      <c r="I22213" s="237"/>
    </row>
    <row r="22214" spans="1:9" s="232" customFormat="1" ht="17" customHeight="1">
      <c r="A22214" s="234"/>
      <c r="B22214" s="233"/>
      <c r="C22214" s="238"/>
      <c r="E22214" s="545"/>
      <c r="F22214" s="546"/>
      <c r="G22214" s="234"/>
      <c r="H22214" s="238"/>
      <c r="I22214" s="237"/>
    </row>
    <row r="22215" spans="1:9" s="232" customFormat="1" ht="17" customHeight="1">
      <c r="A22215" s="234"/>
      <c r="B22215" s="233"/>
      <c r="C22215" s="238"/>
      <c r="E22215" s="545"/>
      <c r="F22215" s="546"/>
      <c r="G22215" s="234"/>
      <c r="H22215" s="238"/>
      <c r="I22215" s="237"/>
    </row>
    <row r="22216" spans="1:9" s="232" customFormat="1" ht="17" customHeight="1">
      <c r="A22216" s="234"/>
      <c r="B22216" s="233"/>
      <c r="C22216" s="238"/>
      <c r="E22216" s="545"/>
      <c r="F22216" s="546"/>
      <c r="G22216" s="234"/>
      <c r="H22216" s="238"/>
      <c r="I22216" s="237"/>
    </row>
    <row r="22217" spans="1:9" s="232" customFormat="1" ht="17" customHeight="1">
      <c r="A22217" s="234"/>
      <c r="B22217" s="233"/>
      <c r="C22217" s="238"/>
      <c r="E22217" s="545"/>
      <c r="F22217" s="546"/>
      <c r="G22217" s="234"/>
      <c r="H22217" s="238"/>
      <c r="I22217" s="237"/>
    </row>
    <row r="22218" spans="1:9" s="232" customFormat="1" ht="17" customHeight="1">
      <c r="A22218" s="234"/>
      <c r="B22218" s="233"/>
      <c r="C22218" s="238"/>
      <c r="E22218" s="545"/>
      <c r="F22218" s="546"/>
      <c r="G22218" s="234"/>
      <c r="H22218" s="238"/>
      <c r="I22218" s="237"/>
    </row>
    <row r="22219" spans="1:9" s="232" customFormat="1" ht="17" customHeight="1">
      <c r="A22219" s="234"/>
      <c r="B22219" s="233"/>
      <c r="C22219" s="238"/>
      <c r="E22219" s="545"/>
      <c r="F22219" s="546"/>
      <c r="G22219" s="234"/>
      <c r="H22219" s="238"/>
      <c r="I22219" s="237"/>
    </row>
    <row r="22220" spans="1:9" s="232" customFormat="1" ht="17" customHeight="1">
      <c r="A22220" s="234"/>
      <c r="B22220" s="233"/>
      <c r="C22220" s="238"/>
      <c r="E22220" s="545"/>
      <c r="F22220" s="546"/>
      <c r="G22220" s="234"/>
      <c r="H22220" s="238"/>
      <c r="I22220" s="237"/>
    </row>
    <row r="22221" spans="1:9" s="232" customFormat="1" ht="17" customHeight="1">
      <c r="A22221" s="234"/>
      <c r="B22221" s="233"/>
      <c r="C22221" s="238"/>
      <c r="E22221" s="545"/>
      <c r="F22221" s="546"/>
      <c r="G22221" s="234"/>
      <c r="H22221" s="238"/>
      <c r="I22221" s="237"/>
    </row>
    <row r="22222" spans="1:9" s="232" customFormat="1" ht="17" customHeight="1">
      <c r="A22222" s="234"/>
      <c r="B22222" s="233"/>
      <c r="C22222" s="238"/>
      <c r="E22222" s="545"/>
      <c r="F22222" s="546"/>
      <c r="G22222" s="234"/>
      <c r="H22222" s="238"/>
      <c r="I22222" s="237"/>
    </row>
    <row r="22223" spans="1:9" s="232" customFormat="1" ht="17" customHeight="1">
      <c r="A22223" s="234"/>
      <c r="B22223" s="233"/>
      <c r="C22223" s="238"/>
      <c r="E22223" s="545"/>
      <c r="F22223" s="546"/>
      <c r="G22223" s="234"/>
      <c r="H22223" s="238"/>
      <c r="I22223" s="237"/>
    </row>
    <row r="22224" spans="1:9" s="232" customFormat="1" ht="17" customHeight="1">
      <c r="A22224" s="234"/>
      <c r="B22224" s="233"/>
      <c r="C22224" s="238"/>
      <c r="E22224" s="545"/>
      <c r="F22224" s="546"/>
      <c r="G22224" s="234"/>
      <c r="H22224" s="238"/>
      <c r="I22224" s="237"/>
    </row>
    <row r="22225" spans="1:9" s="232" customFormat="1" ht="17" customHeight="1">
      <c r="A22225" s="234"/>
      <c r="B22225" s="233"/>
      <c r="C22225" s="238"/>
      <c r="E22225" s="545"/>
      <c r="F22225" s="546"/>
      <c r="G22225" s="234"/>
      <c r="H22225" s="238"/>
      <c r="I22225" s="237"/>
    </row>
    <row r="22226" spans="1:9" s="232" customFormat="1" ht="17" customHeight="1">
      <c r="A22226" s="234"/>
      <c r="B22226" s="233"/>
      <c r="C22226" s="238"/>
      <c r="E22226" s="545"/>
      <c r="F22226" s="546"/>
      <c r="G22226" s="234"/>
      <c r="H22226" s="238"/>
      <c r="I22226" s="237"/>
    </row>
    <row r="22227" spans="1:9" s="232" customFormat="1" ht="17" customHeight="1">
      <c r="A22227" s="234"/>
      <c r="B22227" s="233"/>
      <c r="C22227" s="238"/>
      <c r="E22227" s="545"/>
      <c r="F22227" s="546"/>
      <c r="G22227" s="234"/>
      <c r="H22227" s="238"/>
      <c r="I22227" s="237"/>
    </row>
    <row r="22228" spans="1:9" s="232" customFormat="1" ht="17" customHeight="1">
      <c r="A22228" s="234"/>
      <c r="B22228" s="233"/>
      <c r="C22228" s="238"/>
      <c r="E22228" s="545"/>
      <c r="F22228" s="546"/>
      <c r="G22228" s="234"/>
      <c r="H22228" s="238"/>
      <c r="I22228" s="237"/>
    </row>
    <row r="22229" spans="1:9" s="232" customFormat="1" ht="17" customHeight="1">
      <c r="A22229" s="234"/>
      <c r="B22229" s="233"/>
      <c r="C22229" s="238"/>
      <c r="E22229" s="545"/>
      <c r="F22229" s="546"/>
      <c r="G22229" s="234"/>
      <c r="H22229" s="238"/>
      <c r="I22229" s="237"/>
    </row>
    <row r="22230" spans="1:9" s="232" customFormat="1" ht="17" customHeight="1">
      <c r="A22230" s="234"/>
      <c r="B22230" s="233"/>
      <c r="C22230" s="238"/>
      <c r="E22230" s="545"/>
      <c r="F22230" s="546"/>
      <c r="G22230" s="234"/>
      <c r="H22230" s="238"/>
      <c r="I22230" s="237"/>
    </row>
    <row r="22231" spans="1:9" s="232" customFormat="1" ht="17" customHeight="1">
      <c r="A22231" s="234"/>
      <c r="B22231" s="233"/>
      <c r="C22231" s="238"/>
      <c r="E22231" s="545"/>
      <c r="F22231" s="546"/>
      <c r="G22231" s="234"/>
      <c r="H22231" s="238"/>
      <c r="I22231" s="237"/>
    </row>
    <row r="22232" spans="1:9" s="232" customFormat="1" ht="17" customHeight="1">
      <c r="A22232" s="234"/>
      <c r="B22232" s="233"/>
      <c r="C22232" s="238"/>
      <c r="E22232" s="545"/>
      <c r="F22232" s="546"/>
      <c r="G22232" s="234"/>
      <c r="H22232" s="238"/>
      <c r="I22232" s="237"/>
    </row>
    <row r="22233" spans="1:9" s="232" customFormat="1" ht="17" customHeight="1">
      <c r="A22233" s="234"/>
      <c r="B22233" s="233"/>
      <c r="C22233" s="238"/>
      <c r="E22233" s="545"/>
      <c r="F22233" s="546"/>
      <c r="G22233" s="234"/>
      <c r="H22233" s="238"/>
      <c r="I22233" s="237"/>
    </row>
    <row r="22234" spans="1:9" s="232" customFormat="1" ht="17" customHeight="1">
      <c r="A22234" s="234"/>
      <c r="B22234" s="233"/>
      <c r="C22234" s="238"/>
      <c r="E22234" s="545"/>
      <c r="F22234" s="546"/>
      <c r="G22234" s="234"/>
      <c r="H22234" s="238"/>
      <c r="I22234" s="237"/>
    </row>
    <row r="22235" spans="1:9" s="232" customFormat="1" ht="17" customHeight="1">
      <c r="A22235" s="234"/>
      <c r="B22235" s="233"/>
      <c r="C22235" s="238"/>
      <c r="E22235" s="545"/>
      <c r="F22235" s="546"/>
      <c r="G22235" s="234"/>
      <c r="H22235" s="238"/>
      <c r="I22235" s="237"/>
    </row>
    <row r="22236" spans="1:9" s="232" customFormat="1" ht="17" customHeight="1">
      <c r="A22236" s="234"/>
      <c r="B22236" s="233"/>
      <c r="C22236" s="238"/>
      <c r="E22236" s="545"/>
      <c r="F22236" s="546"/>
      <c r="G22236" s="234"/>
      <c r="H22236" s="238"/>
      <c r="I22236" s="237"/>
    </row>
    <row r="22237" spans="1:9" s="232" customFormat="1" ht="17" customHeight="1">
      <c r="A22237" s="234"/>
      <c r="B22237" s="233"/>
      <c r="C22237" s="238"/>
      <c r="E22237" s="545"/>
      <c r="F22237" s="546"/>
      <c r="G22237" s="234"/>
      <c r="H22237" s="238"/>
      <c r="I22237" s="237"/>
    </row>
    <row r="22238" spans="1:9" s="232" customFormat="1" ht="17" customHeight="1">
      <c r="A22238" s="234"/>
      <c r="B22238" s="233"/>
      <c r="C22238" s="238"/>
      <c r="E22238" s="545"/>
      <c r="F22238" s="546"/>
      <c r="G22238" s="234"/>
      <c r="H22238" s="238"/>
      <c r="I22238" s="237"/>
    </row>
    <row r="22239" spans="1:9" s="232" customFormat="1" ht="17" customHeight="1">
      <c r="A22239" s="234"/>
      <c r="B22239" s="233"/>
      <c r="C22239" s="238"/>
      <c r="E22239" s="545"/>
      <c r="F22239" s="546"/>
      <c r="G22239" s="234"/>
      <c r="H22239" s="238"/>
      <c r="I22239" s="237"/>
    </row>
    <row r="22240" spans="1:9" s="232" customFormat="1" ht="17" customHeight="1">
      <c r="A22240" s="234"/>
      <c r="B22240" s="233"/>
      <c r="C22240" s="238"/>
      <c r="E22240" s="545"/>
      <c r="F22240" s="546"/>
      <c r="G22240" s="234"/>
      <c r="H22240" s="238"/>
      <c r="I22240" s="237"/>
    </row>
    <row r="22241" spans="1:9" s="232" customFormat="1" ht="17" customHeight="1">
      <c r="A22241" s="234"/>
      <c r="B22241" s="233"/>
      <c r="C22241" s="238"/>
      <c r="E22241" s="545"/>
      <c r="F22241" s="546"/>
      <c r="G22241" s="234"/>
      <c r="H22241" s="238"/>
      <c r="I22241" s="237"/>
    </row>
    <row r="22242" spans="1:9" s="232" customFormat="1" ht="17" customHeight="1">
      <c r="A22242" s="234"/>
      <c r="B22242" s="233"/>
      <c r="C22242" s="238"/>
      <c r="E22242" s="545"/>
      <c r="F22242" s="546"/>
      <c r="G22242" s="234"/>
      <c r="H22242" s="238"/>
      <c r="I22242" s="237"/>
    </row>
    <row r="22243" spans="1:9" s="232" customFormat="1" ht="17" customHeight="1">
      <c r="A22243" s="234"/>
      <c r="B22243" s="233"/>
      <c r="C22243" s="238"/>
      <c r="E22243" s="545"/>
      <c r="F22243" s="546"/>
      <c r="G22243" s="234"/>
      <c r="H22243" s="238"/>
      <c r="I22243" s="237"/>
    </row>
    <row r="22244" spans="1:9" s="232" customFormat="1" ht="17" customHeight="1">
      <c r="A22244" s="234"/>
      <c r="B22244" s="233"/>
      <c r="C22244" s="238"/>
      <c r="E22244" s="545"/>
      <c r="F22244" s="546"/>
      <c r="G22244" s="234"/>
      <c r="H22244" s="238"/>
      <c r="I22244" s="237"/>
    </row>
    <row r="22245" spans="1:9" s="232" customFormat="1" ht="17" customHeight="1">
      <c r="A22245" s="234"/>
      <c r="B22245" s="233"/>
      <c r="C22245" s="238"/>
      <c r="E22245" s="545"/>
      <c r="F22245" s="546"/>
      <c r="G22245" s="234"/>
      <c r="H22245" s="238"/>
      <c r="I22245" s="237"/>
    </row>
    <row r="22246" spans="1:9" s="232" customFormat="1" ht="17" customHeight="1">
      <c r="A22246" s="234"/>
      <c r="B22246" s="233"/>
      <c r="C22246" s="238"/>
      <c r="E22246" s="545"/>
      <c r="F22246" s="546"/>
      <c r="G22246" s="234"/>
      <c r="H22246" s="238"/>
      <c r="I22246" s="237"/>
    </row>
    <row r="22247" spans="1:9" s="232" customFormat="1" ht="17" customHeight="1">
      <c r="A22247" s="234"/>
      <c r="B22247" s="233"/>
      <c r="C22247" s="238"/>
      <c r="E22247" s="545"/>
      <c r="F22247" s="546"/>
      <c r="G22247" s="234"/>
      <c r="H22247" s="238"/>
      <c r="I22247" s="237"/>
    </row>
    <row r="22248" spans="1:9" s="232" customFormat="1" ht="17" customHeight="1">
      <c r="A22248" s="234"/>
      <c r="B22248" s="233"/>
      <c r="C22248" s="238"/>
      <c r="E22248" s="545"/>
      <c r="F22248" s="546"/>
      <c r="G22248" s="234"/>
      <c r="H22248" s="238"/>
      <c r="I22248" s="237"/>
    </row>
    <row r="22249" spans="1:9" s="232" customFormat="1" ht="17" customHeight="1">
      <c r="A22249" s="234"/>
      <c r="B22249" s="233"/>
      <c r="C22249" s="238"/>
      <c r="E22249" s="545"/>
      <c r="F22249" s="546"/>
      <c r="G22249" s="234"/>
      <c r="H22249" s="238"/>
      <c r="I22249" s="237"/>
    </row>
    <row r="22250" spans="1:9" s="232" customFormat="1" ht="17" customHeight="1">
      <c r="A22250" s="234"/>
      <c r="B22250" s="233"/>
      <c r="C22250" s="238"/>
      <c r="E22250" s="545"/>
      <c r="F22250" s="546"/>
      <c r="G22250" s="234"/>
      <c r="H22250" s="238"/>
      <c r="I22250" s="237"/>
    </row>
    <row r="22251" spans="1:9" s="232" customFormat="1" ht="17" customHeight="1">
      <c r="A22251" s="234"/>
      <c r="B22251" s="233"/>
      <c r="C22251" s="238"/>
      <c r="E22251" s="545"/>
      <c r="F22251" s="546"/>
      <c r="G22251" s="234"/>
      <c r="H22251" s="238"/>
      <c r="I22251" s="237"/>
    </row>
    <row r="22252" spans="1:9" s="232" customFormat="1" ht="17" customHeight="1">
      <c r="A22252" s="234"/>
      <c r="B22252" s="233"/>
      <c r="C22252" s="238"/>
      <c r="E22252" s="545"/>
      <c r="F22252" s="546"/>
      <c r="G22252" s="234"/>
      <c r="H22252" s="238"/>
      <c r="I22252" s="237"/>
    </row>
    <row r="22253" spans="1:9" s="232" customFormat="1" ht="17" customHeight="1">
      <c r="A22253" s="234"/>
      <c r="B22253" s="233"/>
      <c r="C22253" s="238"/>
      <c r="E22253" s="545"/>
      <c r="F22253" s="546"/>
      <c r="G22253" s="234"/>
      <c r="H22253" s="238"/>
      <c r="I22253" s="237"/>
    </row>
    <row r="22254" spans="1:9" s="232" customFormat="1" ht="17" customHeight="1">
      <c r="A22254" s="234"/>
      <c r="B22254" s="233"/>
      <c r="C22254" s="238"/>
      <c r="E22254" s="545"/>
      <c r="F22254" s="546"/>
      <c r="G22254" s="234"/>
      <c r="H22254" s="238"/>
      <c r="I22254" s="237"/>
    </row>
    <row r="22255" spans="1:9" s="232" customFormat="1" ht="17" customHeight="1">
      <c r="A22255" s="234"/>
      <c r="B22255" s="233"/>
      <c r="C22255" s="238"/>
      <c r="E22255" s="545"/>
      <c r="F22255" s="546"/>
      <c r="G22255" s="234"/>
      <c r="H22255" s="238"/>
      <c r="I22255" s="237"/>
    </row>
    <row r="22256" spans="1:9" s="232" customFormat="1" ht="17" customHeight="1">
      <c r="A22256" s="234"/>
      <c r="B22256" s="233"/>
      <c r="C22256" s="238"/>
      <c r="E22256" s="545"/>
      <c r="F22256" s="546"/>
      <c r="G22256" s="234"/>
      <c r="H22256" s="238"/>
      <c r="I22256" s="237"/>
    </row>
    <row r="22257" spans="1:9" s="232" customFormat="1" ht="17" customHeight="1">
      <c r="A22257" s="234"/>
      <c r="B22257" s="233"/>
      <c r="C22257" s="238"/>
      <c r="E22257" s="545"/>
      <c r="F22257" s="546"/>
      <c r="G22257" s="234"/>
      <c r="H22257" s="238"/>
      <c r="I22257" s="237"/>
    </row>
    <row r="22258" spans="1:9" s="232" customFormat="1" ht="17" customHeight="1">
      <c r="A22258" s="234"/>
      <c r="B22258" s="233"/>
      <c r="C22258" s="238"/>
      <c r="E22258" s="545"/>
      <c r="F22258" s="546"/>
      <c r="G22258" s="234"/>
      <c r="H22258" s="238"/>
      <c r="I22258" s="237"/>
    </row>
    <row r="22259" spans="1:9" s="232" customFormat="1" ht="17" customHeight="1">
      <c r="A22259" s="234"/>
      <c r="B22259" s="233"/>
      <c r="C22259" s="238"/>
      <c r="E22259" s="545"/>
      <c r="F22259" s="546"/>
      <c r="G22259" s="234"/>
      <c r="H22259" s="238"/>
      <c r="I22259" s="237"/>
    </row>
    <row r="22260" spans="1:9" s="232" customFormat="1" ht="17" customHeight="1">
      <c r="A22260" s="234"/>
      <c r="B22260" s="233"/>
      <c r="C22260" s="238"/>
      <c r="E22260" s="545"/>
      <c r="F22260" s="546"/>
      <c r="G22260" s="234"/>
      <c r="H22260" s="238"/>
      <c r="I22260" s="237"/>
    </row>
    <row r="22261" spans="1:9" s="232" customFormat="1" ht="17" customHeight="1">
      <c r="A22261" s="234"/>
      <c r="B22261" s="233"/>
      <c r="C22261" s="238"/>
      <c r="E22261" s="545"/>
      <c r="F22261" s="546"/>
      <c r="G22261" s="234"/>
      <c r="H22261" s="238"/>
      <c r="I22261" s="237"/>
    </row>
    <row r="22262" spans="1:9" s="232" customFormat="1" ht="17" customHeight="1">
      <c r="A22262" s="234"/>
      <c r="B22262" s="233"/>
      <c r="C22262" s="238"/>
      <c r="E22262" s="545"/>
      <c r="F22262" s="546"/>
      <c r="G22262" s="234"/>
      <c r="H22262" s="238"/>
      <c r="I22262" s="237"/>
    </row>
    <row r="22263" spans="1:9" s="232" customFormat="1" ht="17" customHeight="1">
      <c r="A22263" s="234"/>
      <c r="B22263" s="233"/>
      <c r="C22263" s="238"/>
      <c r="E22263" s="545"/>
      <c r="F22263" s="546"/>
      <c r="G22263" s="234"/>
      <c r="H22263" s="238"/>
      <c r="I22263" s="237"/>
    </row>
    <row r="22264" spans="1:9" s="232" customFormat="1" ht="17" customHeight="1">
      <c r="A22264" s="234"/>
      <c r="B22264" s="233"/>
      <c r="C22264" s="238"/>
      <c r="E22264" s="545"/>
      <c r="F22264" s="546"/>
      <c r="G22264" s="234"/>
      <c r="H22264" s="238"/>
      <c r="I22264" s="237"/>
    </row>
    <row r="22265" spans="1:9" s="232" customFormat="1" ht="17" customHeight="1">
      <c r="A22265" s="234"/>
      <c r="B22265" s="233"/>
      <c r="C22265" s="238"/>
      <c r="E22265" s="545"/>
      <c r="F22265" s="546"/>
      <c r="G22265" s="234"/>
      <c r="H22265" s="238"/>
      <c r="I22265" s="237"/>
    </row>
    <row r="22266" spans="1:9" s="232" customFormat="1" ht="17" customHeight="1">
      <c r="A22266" s="234"/>
      <c r="B22266" s="233"/>
      <c r="C22266" s="238"/>
      <c r="E22266" s="545"/>
      <c r="F22266" s="546"/>
      <c r="G22266" s="234"/>
      <c r="H22266" s="238"/>
      <c r="I22266" s="237"/>
    </row>
    <row r="22267" spans="1:9" s="232" customFormat="1" ht="17" customHeight="1">
      <c r="A22267" s="234"/>
      <c r="B22267" s="233"/>
      <c r="C22267" s="238"/>
      <c r="E22267" s="545"/>
      <c r="F22267" s="546"/>
      <c r="G22267" s="234"/>
      <c r="H22267" s="238"/>
      <c r="I22267" s="237"/>
    </row>
    <row r="22268" spans="1:9" s="232" customFormat="1" ht="17" customHeight="1">
      <c r="A22268" s="234"/>
      <c r="B22268" s="233"/>
      <c r="C22268" s="238"/>
      <c r="E22268" s="545"/>
      <c r="F22268" s="546"/>
      <c r="G22268" s="234"/>
      <c r="H22268" s="238"/>
      <c r="I22268" s="237"/>
    </row>
    <row r="22269" spans="1:9" s="232" customFormat="1" ht="17" customHeight="1">
      <c r="A22269" s="234"/>
      <c r="B22269" s="233"/>
      <c r="C22269" s="238"/>
      <c r="E22269" s="545"/>
      <c r="F22269" s="546"/>
      <c r="G22269" s="234"/>
      <c r="H22269" s="238"/>
      <c r="I22269" s="237"/>
    </row>
    <row r="22270" spans="1:9" s="232" customFormat="1" ht="17" customHeight="1">
      <c r="A22270" s="234"/>
      <c r="B22270" s="233"/>
      <c r="C22270" s="238"/>
      <c r="E22270" s="545"/>
      <c r="F22270" s="546"/>
      <c r="G22270" s="234"/>
      <c r="H22270" s="238"/>
      <c r="I22270" s="237"/>
    </row>
    <row r="22271" spans="1:9" s="232" customFormat="1" ht="17" customHeight="1">
      <c r="A22271" s="234"/>
      <c r="B22271" s="233"/>
      <c r="C22271" s="238"/>
      <c r="E22271" s="545"/>
      <c r="F22271" s="546"/>
      <c r="G22271" s="234"/>
      <c r="H22271" s="238"/>
      <c r="I22271" s="237"/>
    </row>
    <row r="22272" spans="1:9" s="232" customFormat="1" ht="17" customHeight="1">
      <c r="A22272" s="234"/>
      <c r="B22272" s="233"/>
      <c r="C22272" s="238"/>
      <c r="E22272" s="545"/>
      <c r="F22272" s="546"/>
      <c r="G22272" s="234"/>
      <c r="H22272" s="238"/>
      <c r="I22272" s="237"/>
    </row>
    <row r="22273" spans="1:9" s="232" customFormat="1" ht="17" customHeight="1">
      <c r="A22273" s="234"/>
      <c r="B22273" s="233"/>
      <c r="C22273" s="238"/>
      <c r="E22273" s="545"/>
      <c r="F22273" s="546"/>
      <c r="G22273" s="234"/>
      <c r="H22273" s="238"/>
      <c r="I22273" s="237"/>
    </row>
    <row r="22274" spans="1:9" s="232" customFormat="1" ht="17" customHeight="1">
      <c r="A22274" s="234"/>
      <c r="B22274" s="233"/>
      <c r="C22274" s="238"/>
      <c r="E22274" s="545"/>
      <c r="F22274" s="546"/>
      <c r="G22274" s="234"/>
      <c r="H22274" s="238"/>
      <c r="I22274" s="237"/>
    </row>
    <row r="22275" spans="1:9" s="232" customFormat="1" ht="17" customHeight="1">
      <c r="A22275" s="234"/>
      <c r="B22275" s="233"/>
      <c r="C22275" s="238"/>
      <c r="E22275" s="545"/>
      <c r="F22275" s="546"/>
      <c r="G22275" s="234"/>
      <c r="H22275" s="238"/>
      <c r="I22275" s="237"/>
    </row>
    <row r="22276" spans="1:9" s="232" customFormat="1" ht="17" customHeight="1">
      <c r="A22276" s="234"/>
      <c r="B22276" s="233"/>
      <c r="C22276" s="238"/>
      <c r="E22276" s="545"/>
      <c r="F22276" s="546"/>
      <c r="G22276" s="234"/>
      <c r="H22276" s="238"/>
      <c r="I22276" s="237"/>
    </row>
    <row r="22277" spans="1:9" s="232" customFormat="1" ht="17" customHeight="1">
      <c r="A22277" s="234"/>
      <c r="B22277" s="233"/>
      <c r="C22277" s="238"/>
      <c r="E22277" s="545"/>
      <c r="F22277" s="546"/>
      <c r="G22277" s="234"/>
      <c r="H22277" s="238"/>
      <c r="I22277" s="237"/>
    </row>
    <row r="22278" spans="1:9" s="232" customFormat="1" ht="17" customHeight="1">
      <c r="A22278" s="234"/>
      <c r="B22278" s="233"/>
      <c r="C22278" s="238"/>
      <c r="E22278" s="545"/>
      <c r="F22278" s="546"/>
      <c r="G22278" s="234"/>
      <c r="H22278" s="238"/>
      <c r="I22278" s="237"/>
    </row>
    <row r="22279" spans="1:9" s="232" customFormat="1" ht="17" customHeight="1">
      <c r="A22279" s="234"/>
      <c r="B22279" s="233"/>
      <c r="C22279" s="238"/>
      <c r="E22279" s="545"/>
      <c r="F22279" s="546"/>
      <c r="G22279" s="234"/>
      <c r="H22279" s="238"/>
      <c r="I22279" s="237"/>
    </row>
    <row r="22280" spans="1:9" s="232" customFormat="1" ht="17" customHeight="1">
      <c r="A22280" s="234"/>
      <c r="B22280" s="233"/>
      <c r="C22280" s="238"/>
      <c r="E22280" s="545"/>
      <c r="F22280" s="546"/>
      <c r="G22280" s="234"/>
      <c r="H22280" s="238"/>
      <c r="I22280" s="237"/>
    </row>
    <row r="22281" spans="1:9" s="232" customFormat="1" ht="17" customHeight="1">
      <c r="A22281" s="234"/>
      <c r="B22281" s="233"/>
      <c r="C22281" s="238"/>
      <c r="E22281" s="545"/>
      <c r="F22281" s="546"/>
      <c r="G22281" s="234"/>
      <c r="H22281" s="238"/>
      <c r="I22281" s="237"/>
    </row>
    <row r="22282" spans="1:9" s="232" customFormat="1" ht="17" customHeight="1">
      <c r="A22282" s="234"/>
      <c r="B22282" s="233"/>
      <c r="C22282" s="238"/>
      <c r="E22282" s="545"/>
      <c r="F22282" s="546"/>
      <c r="G22282" s="234"/>
      <c r="H22282" s="238"/>
      <c r="I22282" s="237"/>
    </row>
    <row r="22283" spans="1:9" s="232" customFormat="1" ht="17" customHeight="1">
      <c r="A22283" s="234"/>
      <c r="B22283" s="233"/>
      <c r="C22283" s="238"/>
      <c r="E22283" s="545"/>
      <c r="F22283" s="546"/>
      <c r="G22283" s="234"/>
      <c r="H22283" s="238"/>
      <c r="I22283" s="237"/>
    </row>
    <row r="22284" spans="1:9" s="232" customFormat="1" ht="17" customHeight="1">
      <c r="A22284" s="234"/>
      <c r="B22284" s="233"/>
      <c r="C22284" s="238"/>
      <c r="E22284" s="545"/>
      <c r="F22284" s="546"/>
      <c r="G22284" s="234"/>
      <c r="H22284" s="238"/>
      <c r="I22284" s="237"/>
    </row>
    <row r="22285" spans="1:9" s="232" customFormat="1" ht="17" customHeight="1">
      <c r="A22285" s="234"/>
      <c r="B22285" s="233"/>
      <c r="C22285" s="238"/>
      <c r="E22285" s="545"/>
      <c r="F22285" s="546"/>
      <c r="G22285" s="234"/>
      <c r="H22285" s="238"/>
      <c r="I22285" s="237"/>
    </row>
    <row r="22286" spans="1:9" s="232" customFormat="1" ht="17" customHeight="1">
      <c r="A22286" s="234"/>
      <c r="B22286" s="233"/>
      <c r="C22286" s="238"/>
      <c r="E22286" s="545"/>
      <c r="F22286" s="546"/>
      <c r="G22286" s="234"/>
      <c r="H22286" s="238"/>
      <c r="I22286" s="237"/>
    </row>
    <row r="22287" spans="1:9" s="232" customFormat="1" ht="17" customHeight="1">
      <c r="A22287" s="234"/>
      <c r="B22287" s="233"/>
      <c r="C22287" s="238"/>
      <c r="E22287" s="545"/>
      <c r="F22287" s="546"/>
      <c r="G22287" s="234"/>
      <c r="H22287" s="238"/>
      <c r="I22287" s="237"/>
    </row>
    <row r="22288" spans="1:9" s="232" customFormat="1" ht="17" customHeight="1">
      <c r="A22288" s="234"/>
      <c r="B22288" s="233"/>
      <c r="C22288" s="238"/>
      <c r="E22288" s="545"/>
      <c r="F22288" s="546"/>
      <c r="G22288" s="234"/>
      <c r="H22288" s="238"/>
      <c r="I22288" s="237"/>
    </row>
    <row r="22289" spans="1:9" s="232" customFormat="1" ht="17" customHeight="1">
      <c r="A22289" s="234"/>
      <c r="B22289" s="233"/>
      <c r="C22289" s="238"/>
      <c r="E22289" s="545"/>
      <c r="F22289" s="546"/>
      <c r="G22289" s="234"/>
      <c r="H22289" s="238"/>
      <c r="I22289" s="237"/>
    </row>
    <row r="22290" spans="1:9" s="232" customFormat="1" ht="17" customHeight="1">
      <c r="A22290" s="234"/>
      <c r="B22290" s="233"/>
      <c r="C22290" s="238"/>
      <c r="E22290" s="545"/>
      <c r="F22290" s="546"/>
      <c r="G22290" s="234"/>
      <c r="H22290" s="238"/>
      <c r="I22290" s="237"/>
    </row>
    <row r="22291" spans="1:9" s="232" customFormat="1" ht="17" customHeight="1">
      <c r="A22291" s="234"/>
      <c r="B22291" s="233"/>
      <c r="C22291" s="238"/>
      <c r="E22291" s="545"/>
      <c r="F22291" s="546"/>
      <c r="G22291" s="234"/>
      <c r="H22291" s="238"/>
      <c r="I22291" s="237"/>
    </row>
    <row r="22292" spans="1:9" s="232" customFormat="1" ht="17" customHeight="1">
      <c r="A22292" s="234"/>
      <c r="B22292" s="233"/>
      <c r="C22292" s="238"/>
      <c r="E22292" s="545"/>
      <c r="F22292" s="546"/>
      <c r="G22292" s="234"/>
      <c r="H22292" s="238"/>
      <c r="I22292" s="237"/>
    </row>
    <row r="22293" spans="1:9" s="232" customFormat="1" ht="17" customHeight="1">
      <c r="A22293" s="234"/>
      <c r="B22293" s="233"/>
      <c r="C22293" s="238"/>
      <c r="E22293" s="545"/>
      <c r="F22293" s="546"/>
      <c r="G22293" s="234"/>
      <c r="H22293" s="238"/>
      <c r="I22293" s="237"/>
    </row>
    <row r="22294" spans="1:9" s="232" customFormat="1" ht="17" customHeight="1">
      <c r="A22294" s="234"/>
      <c r="B22294" s="233"/>
      <c r="C22294" s="238"/>
      <c r="E22294" s="545"/>
      <c r="F22294" s="546"/>
      <c r="G22294" s="234"/>
      <c r="H22294" s="238"/>
      <c r="I22294" s="237"/>
    </row>
    <row r="22295" spans="1:9" s="232" customFormat="1" ht="17" customHeight="1">
      <c r="A22295" s="234"/>
      <c r="B22295" s="233"/>
      <c r="C22295" s="238"/>
      <c r="E22295" s="545"/>
      <c r="F22295" s="546"/>
      <c r="G22295" s="234"/>
      <c r="H22295" s="238"/>
      <c r="I22295" s="237"/>
    </row>
    <row r="22296" spans="1:9" s="232" customFormat="1" ht="17" customHeight="1">
      <c r="A22296" s="234"/>
      <c r="B22296" s="233"/>
      <c r="C22296" s="238"/>
      <c r="E22296" s="545"/>
      <c r="F22296" s="546"/>
      <c r="G22296" s="234"/>
      <c r="H22296" s="238"/>
      <c r="I22296" s="237"/>
    </row>
    <row r="22297" spans="1:9" s="232" customFormat="1" ht="17" customHeight="1">
      <c r="A22297" s="234"/>
      <c r="B22297" s="233"/>
      <c r="C22297" s="238"/>
      <c r="E22297" s="545"/>
      <c r="F22297" s="546"/>
      <c r="G22297" s="234"/>
      <c r="H22297" s="238"/>
      <c r="I22297" s="237"/>
    </row>
    <row r="22298" spans="1:9" s="232" customFormat="1" ht="17" customHeight="1">
      <c r="A22298" s="234"/>
      <c r="B22298" s="233"/>
      <c r="C22298" s="238"/>
      <c r="E22298" s="545"/>
      <c r="F22298" s="546"/>
      <c r="G22298" s="234"/>
      <c r="H22298" s="238"/>
      <c r="I22298" s="237"/>
    </row>
    <row r="22299" spans="1:9" s="232" customFormat="1" ht="17" customHeight="1">
      <c r="A22299" s="234"/>
      <c r="B22299" s="233"/>
      <c r="C22299" s="238"/>
      <c r="E22299" s="545"/>
      <c r="F22299" s="546"/>
      <c r="G22299" s="234"/>
      <c r="H22299" s="238"/>
      <c r="I22299" s="237"/>
    </row>
    <row r="22300" spans="1:9" s="232" customFormat="1" ht="17" customHeight="1">
      <c r="A22300" s="234"/>
      <c r="B22300" s="233"/>
      <c r="C22300" s="238"/>
      <c r="E22300" s="545"/>
      <c r="F22300" s="546"/>
      <c r="G22300" s="234"/>
      <c r="H22300" s="238"/>
      <c r="I22300" s="237"/>
    </row>
    <row r="22301" spans="1:9" s="232" customFormat="1" ht="17" customHeight="1">
      <c r="A22301" s="234"/>
      <c r="B22301" s="233"/>
      <c r="C22301" s="238"/>
      <c r="E22301" s="545"/>
      <c r="F22301" s="546"/>
      <c r="G22301" s="234"/>
      <c r="H22301" s="238"/>
      <c r="I22301" s="237"/>
    </row>
    <row r="22302" spans="1:9" s="232" customFormat="1" ht="17" customHeight="1">
      <c r="A22302" s="234"/>
      <c r="B22302" s="233"/>
      <c r="C22302" s="238"/>
      <c r="E22302" s="545"/>
      <c r="F22302" s="546"/>
      <c r="G22302" s="234"/>
      <c r="H22302" s="238"/>
      <c r="I22302" s="237"/>
    </row>
    <row r="22303" spans="1:9" s="232" customFormat="1" ht="17" customHeight="1">
      <c r="A22303" s="234"/>
      <c r="B22303" s="233"/>
      <c r="C22303" s="238"/>
      <c r="E22303" s="545"/>
      <c r="F22303" s="546"/>
      <c r="G22303" s="234"/>
      <c r="H22303" s="238"/>
      <c r="I22303" s="237"/>
    </row>
    <row r="22304" spans="1:9" s="232" customFormat="1" ht="17" customHeight="1">
      <c r="A22304" s="234"/>
      <c r="B22304" s="233"/>
      <c r="C22304" s="238"/>
      <c r="E22304" s="545"/>
      <c r="F22304" s="546"/>
      <c r="G22304" s="234"/>
      <c r="H22304" s="238"/>
      <c r="I22304" s="237"/>
    </row>
    <row r="22305" spans="1:9" s="232" customFormat="1" ht="17" customHeight="1">
      <c r="A22305" s="234"/>
      <c r="B22305" s="233"/>
      <c r="C22305" s="238"/>
      <c r="E22305" s="545"/>
      <c r="F22305" s="546"/>
      <c r="G22305" s="234"/>
      <c r="H22305" s="238"/>
      <c r="I22305" s="237"/>
    </row>
    <row r="22306" spans="1:9" s="232" customFormat="1" ht="17" customHeight="1">
      <c r="A22306" s="234"/>
      <c r="B22306" s="233"/>
      <c r="C22306" s="238"/>
      <c r="E22306" s="545"/>
      <c r="F22306" s="546"/>
      <c r="G22306" s="234"/>
      <c r="H22306" s="238"/>
      <c r="I22306" s="237"/>
    </row>
    <row r="22307" spans="1:9" s="232" customFormat="1" ht="17" customHeight="1">
      <c r="A22307" s="234"/>
      <c r="B22307" s="233"/>
      <c r="C22307" s="238"/>
      <c r="E22307" s="545"/>
      <c r="F22307" s="546"/>
      <c r="G22307" s="234"/>
      <c r="H22307" s="238"/>
      <c r="I22307" s="237"/>
    </row>
    <row r="22308" spans="1:9" s="232" customFormat="1" ht="17" customHeight="1">
      <c r="A22308" s="234"/>
      <c r="B22308" s="233"/>
      <c r="C22308" s="238"/>
      <c r="E22308" s="545"/>
      <c r="F22308" s="546"/>
      <c r="G22308" s="234"/>
      <c r="H22308" s="238"/>
      <c r="I22308" s="237"/>
    </row>
    <row r="22309" spans="1:9" s="232" customFormat="1" ht="17" customHeight="1">
      <c r="A22309" s="234"/>
      <c r="B22309" s="233"/>
      <c r="C22309" s="238"/>
      <c r="E22309" s="545"/>
      <c r="F22309" s="546"/>
      <c r="G22309" s="234"/>
      <c r="H22309" s="238"/>
      <c r="I22309" s="237"/>
    </row>
    <row r="22310" spans="1:9" s="232" customFormat="1" ht="17" customHeight="1">
      <c r="A22310" s="234"/>
      <c r="B22310" s="233"/>
      <c r="C22310" s="238"/>
      <c r="E22310" s="545"/>
      <c r="F22310" s="546"/>
      <c r="G22310" s="234"/>
      <c r="H22310" s="238"/>
      <c r="I22310" s="237"/>
    </row>
    <row r="22311" spans="1:9" s="232" customFormat="1" ht="17" customHeight="1">
      <c r="A22311" s="234"/>
      <c r="B22311" s="233"/>
      <c r="C22311" s="238"/>
      <c r="E22311" s="545"/>
      <c r="F22311" s="546"/>
      <c r="G22311" s="234"/>
      <c r="H22311" s="238"/>
      <c r="I22311" s="237"/>
    </row>
    <row r="22312" spans="1:9" s="232" customFormat="1" ht="17" customHeight="1">
      <c r="A22312" s="234"/>
      <c r="B22312" s="233"/>
      <c r="C22312" s="238"/>
      <c r="E22312" s="545"/>
      <c r="F22312" s="546"/>
      <c r="G22312" s="234"/>
      <c r="H22312" s="238"/>
      <c r="I22312" s="237"/>
    </row>
    <row r="22313" spans="1:9" s="232" customFormat="1" ht="17" customHeight="1">
      <c r="A22313" s="234"/>
      <c r="B22313" s="233"/>
      <c r="C22313" s="238"/>
      <c r="E22313" s="545"/>
      <c r="F22313" s="546"/>
      <c r="G22313" s="234"/>
      <c r="H22313" s="238"/>
      <c r="I22313" s="237"/>
    </row>
    <row r="22314" spans="1:9" s="232" customFormat="1" ht="17" customHeight="1">
      <c r="A22314" s="234"/>
      <c r="B22314" s="233"/>
      <c r="C22314" s="238"/>
      <c r="E22314" s="545"/>
      <c r="F22314" s="546"/>
      <c r="G22314" s="234"/>
      <c r="H22314" s="238"/>
      <c r="I22314" s="237"/>
    </row>
    <row r="22315" spans="1:9" s="232" customFormat="1" ht="17" customHeight="1">
      <c r="A22315" s="234"/>
      <c r="B22315" s="233"/>
      <c r="C22315" s="238"/>
      <c r="E22315" s="545"/>
      <c r="F22315" s="546"/>
      <c r="G22315" s="234"/>
      <c r="H22315" s="238"/>
      <c r="I22315" s="237"/>
    </row>
    <row r="22316" spans="1:9" s="232" customFormat="1" ht="17" customHeight="1">
      <c r="A22316" s="234"/>
      <c r="B22316" s="233"/>
      <c r="C22316" s="238"/>
      <c r="E22316" s="545"/>
      <c r="F22316" s="546"/>
      <c r="G22316" s="234"/>
      <c r="H22316" s="238"/>
      <c r="I22316" s="237"/>
    </row>
    <row r="22317" spans="1:9" s="232" customFormat="1" ht="17" customHeight="1">
      <c r="A22317" s="234"/>
      <c r="B22317" s="233"/>
      <c r="C22317" s="238"/>
      <c r="E22317" s="545"/>
      <c r="F22317" s="546"/>
      <c r="G22317" s="234"/>
      <c r="H22317" s="238"/>
      <c r="I22317" s="237"/>
    </row>
    <row r="22318" spans="1:9" s="232" customFormat="1" ht="17" customHeight="1">
      <c r="A22318" s="234"/>
      <c r="B22318" s="233"/>
      <c r="C22318" s="238"/>
      <c r="E22318" s="545"/>
      <c r="F22318" s="546"/>
      <c r="G22318" s="234"/>
      <c r="H22318" s="238"/>
      <c r="I22318" s="237"/>
    </row>
    <row r="22319" spans="1:9" s="232" customFormat="1" ht="17" customHeight="1">
      <c r="A22319" s="234"/>
      <c r="B22319" s="233"/>
      <c r="C22319" s="238"/>
      <c r="E22319" s="545"/>
      <c r="F22319" s="546"/>
      <c r="G22319" s="234"/>
      <c r="H22319" s="238"/>
      <c r="I22319" s="237"/>
    </row>
    <row r="22320" spans="1:9" s="232" customFormat="1" ht="17" customHeight="1">
      <c r="A22320" s="234"/>
      <c r="B22320" s="233"/>
      <c r="C22320" s="238"/>
      <c r="E22320" s="545"/>
      <c r="F22320" s="546"/>
      <c r="G22320" s="234"/>
      <c r="H22320" s="238"/>
      <c r="I22320" s="237"/>
    </row>
    <row r="22321" spans="1:9" s="232" customFormat="1" ht="17" customHeight="1">
      <c r="A22321" s="234"/>
      <c r="B22321" s="233"/>
      <c r="C22321" s="238"/>
      <c r="E22321" s="545"/>
      <c r="F22321" s="546"/>
      <c r="G22321" s="234"/>
      <c r="H22321" s="238"/>
      <c r="I22321" s="237"/>
    </row>
    <row r="22322" spans="1:9" s="232" customFormat="1" ht="17" customHeight="1">
      <c r="A22322" s="234"/>
      <c r="B22322" s="233"/>
      <c r="C22322" s="238"/>
      <c r="E22322" s="545"/>
      <c r="F22322" s="546"/>
      <c r="G22322" s="234"/>
      <c r="H22322" s="238"/>
      <c r="I22322" s="237"/>
    </row>
    <row r="22323" spans="1:9" s="232" customFormat="1" ht="17" customHeight="1">
      <c r="A22323" s="234"/>
      <c r="B22323" s="233"/>
      <c r="C22323" s="238"/>
      <c r="E22323" s="545"/>
      <c r="F22323" s="546"/>
      <c r="G22323" s="234"/>
      <c r="H22323" s="238"/>
      <c r="I22323" s="237"/>
    </row>
    <row r="22324" spans="1:9" s="232" customFormat="1" ht="17" customHeight="1">
      <c r="A22324" s="234"/>
      <c r="B22324" s="233"/>
      <c r="C22324" s="238"/>
      <c r="E22324" s="545"/>
      <c r="F22324" s="546"/>
      <c r="G22324" s="234"/>
      <c r="H22324" s="238"/>
      <c r="I22324" s="237"/>
    </row>
    <row r="22325" spans="1:9" s="232" customFormat="1" ht="17" customHeight="1">
      <c r="A22325" s="234"/>
      <c r="B22325" s="233"/>
      <c r="C22325" s="238"/>
      <c r="E22325" s="545"/>
      <c r="F22325" s="546"/>
      <c r="G22325" s="234"/>
      <c r="H22325" s="238"/>
      <c r="I22325" s="237"/>
    </row>
    <row r="22326" spans="1:9" s="232" customFormat="1" ht="17" customHeight="1">
      <c r="A22326" s="234"/>
      <c r="B22326" s="233"/>
      <c r="C22326" s="238"/>
      <c r="E22326" s="545"/>
      <c r="F22326" s="546"/>
      <c r="G22326" s="234"/>
      <c r="H22326" s="238"/>
      <c r="I22326" s="237"/>
    </row>
    <row r="22327" spans="1:9" s="232" customFormat="1" ht="17" customHeight="1">
      <c r="A22327" s="234"/>
      <c r="B22327" s="233"/>
      <c r="C22327" s="238"/>
      <c r="E22327" s="545"/>
      <c r="F22327" s="546"/>
      <c r="G22327" s="234"/>
      <c r="H22327" s="238"/>
      <c r="I22327" s="237"/>
    </row>
    <row r="22328" spans="1:9" s="232" customFormat="1" ht="17" customHeight="1">
      <c r="A22328" s="234"/>
      <c r="B22328" s="233"/>
      <c r="C22328" s="238"/>
      <c r="E22328" s="545"/>
      <c r="F22328" s="546"/>
      <c r="G22328" s="234"/>
      <c r="H22328" s="238"/>
      <c r="I22328" s="237"/>
    </row>
    <row r="22329" spans="1:9" s="232" customFormat="1" ht="17" customHeight="1">
      <c r="A22329" s="234"/>
      <c r="B22329" s="233"/>
      <c r="C22329" s="238"/>
      <c r="E22329" s="545"/>
      <c r="F22329" s="546"/>
      <c r="G22329" s="234"/>
      <c r="H22329" s="238"/>
      <c r="I22329" s="237"/>
    </row>
    <row r="22330" spans="1:9" s="232" customFormat="1" ht="17" customHeight="1">
      <c r="A22330" s="234"/>
      <c r="B22330" s="233"/>
      <c r="C22330" s="238"/>
      <c r="E22330" s="545"/>
      <c r="F22330" s="546"/>
      <c r="G22330" s="234"/>
      <c r="H22330" s="238"/>
      <c r="I22330" s="237"/>
    </row>
    <row r="22331" spans="1:9" s="232" customFormat="1" ht="17" customHeight="1">
      <c r="A22331" s="234"/>
      <c r="B22331" s="233"/>
      <c r="C22331" s="238"/>
      <c r="E22331" s="545"/>
      <c r="F22331" s="546"/>
      <c r="G22331" s="234"/>
      <c r="H22331" s="238"/>
      <c r="I22331" s="237"/>
    </row>
    <row r="22332" spans="1:9" s="232" customFormat="1" ht="17" customHeight="1">
      <c r="A22332" s="234"/>
      <c r="B22332" s="233"/>
      <c r="C22332" s="238"/>
      <c r="E22332" s="545"/>
      <c r="F22332" s="546"/>
      <c r="G22332" s="234"/>
      <c r="H22332" s="238"/>
      <c r="I22332" s="237"/>
    </row>
    <row r="22333" spans="1:9" s="232" customFormat="1" ht="17" customHeight="1">
      <c r="A22333" s="234"/>
      <c r="B22333" s="233"/>
      <c r="C22333" s="238"/>
      <c r="E22333" s="545"/>
      <c r="F22333" s="546"/>
      <c r="G22333" s="234"/>
      <c r="H22333" s="238"/>
      <c r="I22333" s="237"/>
    </row>
    <row r="22334" spans="1:9" s="232" customFormat="1" ht="17" customHeight="1">
      <c r="A22334" s="234"/>
      <c r="B22334" s="233"/>
      <c r="C22334" s="238"/>
      <c r="E22334" s="545"/>
      <c r="F22334" s="546"/>
      <c r="G22334" s="234"/>
      <c r="H22334" s="238"/>
      <c r="I22334" s="237"/>
    </row>
    <row r="22335" spans="1:9" s="232" customFormat="1" ht="17" customHeight="1">
      <c r="A22335" s="234"/>
      <c r="B22335" s="233"/>
      <c r="C22335" s="238"/>
      <c r="E22335" s="545"/>
      <c r="F22335" s="546"/>
      <c r="G22335" s="234"/>
      <c r="H22335" s="238"/>
      <c r="I22335" s="237"/>
    </row>
    <row r="22336" spans="1:9" s="232" customFormat="1" ht="17" customHeight="1">
      <c r="A22336" s="234"/>
      <c r="B22336" s="233"/>
      <c r="C22336" s="238"/>
      <c r="E22336" s="545"/>
      <c r="F22336" s="546"/>
      <c r="G22336" s="234"/>
      <c r="H22336" s="238"/>
      <c r="I22336" s="237"/>
    </row>
    <row r="22337" spans="1:9" s="232" customFormat="1" ht="17" customHeight="1">
      <c r="A22337" s="234"/>
      <c r="B22337" s="233"/>
      <c r="C22337" s="238"/>
      <c r="E22337" s="545"/>
      <c r="F22337" s="546"/>
      <c r="G22337" s="234"/>
      <c r="H22337" s="238"/>
      <c r="I22337" s="237"/>
    </row>
    <row r="22338" spans="1:9" s="232" customFormat="1" ht="17" customHeight="1">
      <c r="A22338" s="234"/>
      <c r="B22338" s="233"/>
      <c r="C22338" s="238"/>
      <c r="E22338" s="545"/>
      <c r="F22338" s="546"/>
      <c r="G22338" s="234"/>
      <c r="H22338" s="238"/>
      <c r="I22338" s="237"/>
    </row>
    <row r="22339" spans="1:9" s="232" customFormat="1" ht="17" customHeight="1">
      <c r="A22339" s="234"/>
      <c r="B22339" s="233"/>
      <c r="C22339" s="238"/>
      <c r="E22339" s="545"/>
      <c r="F22339" s="546"/>
      <c r="G22339" s="234"/>
      <c r="H22339" s="238"/>
      <c r="I22339" s="237"/>
    </row>
    <row r="22340" spans="1:9" s="232" customFormat="1" ht="17" customHeight="1">
      <c r="A22340" s="234"/>
      <c r="B22340" s="233"/>
      <c r="C22340" s="238"/>
      <c r="E22340" s="545"/>
      <c r="F22340" s="546"/>
      <c r="G22340" s="234"/>
      <c r="H22340" s="238"/>
      <c r="I22340" s="237"/>
    </row>
    <row r="22341" spans="1:9" s="232" customFormat="1" ht="17" customHeight="1">
      <c r="A22341" s="234"/>
      <c r="B22341" s="233"/>
      <c r="C22341" s="238"/>
      <c r="E22341" s="545"/>
      <c r="F22341" s="546"/>
      <c r="G22341" s="234"/>
      <c r="H22341" s="238"/>
      <c r="I22341" s="237"/>
    </row>
    <row r="22342" spans="1:9" s="232" customFormat="1" ht="17" customHeight="1">
      <c r="A22342" s="234"/>
      <c r="B22342" s="233"/>
      <c r="C22342" s="238"/>
      <c r="E22342" s="545"/>
      <c r="F22342" s="546"/>
      <c r="G22342" s="234"/>
      <c r="H22342" s="238"/>
      <c r="I22342" s="237"/>
    </row>
    <row r="22343" spans="1:9" s="232" customFormat="1" ht="17" customHeight="1">
      <c r="A22343" s="234"/>
      <c r="B22343" s="233"/>
      <c r="C22343" s="238"/>
      <c r="E22343" s="545"/>
      <c r="F22343" s="546"/>
      <c r="G22343" s="234"/>
      <c r="H22343" s="238"/>
      <c r="I22343" s="237"/>
    </row>
    <row r="22344" spans="1:9" s="232" customFormat="1" ht="17" customHeight="1">
      <c r="A22344" s="234"/>
      <c r="B22344" s="233"/>
      <c r="C22344" s="238"/>
      <c r="E22344" s="545"/>
      <c r="F22344" s="546"/>
      <c r="G22344" s="234"/>
      <c r="H22344" s="238"/>
      <c r="I22344" s="237"/>
    </row>
    <row r="22345" spans="1:9" s="232" customFormat="1" ht="17" customHeight="1">
      <c r="A22345" s="234"/>
      <c r="B22345" s="233"/>
      <c r="C22345" s="238"/>
      <c r="E22345" s="545"/>
      <c r="F22345" s="546"/>
      <c r="G22345" s="234"/>
      <c r="H22345" s="238"/>
      <c r="I22345" s="237"/>
    </row>
    <row r="22346" spans="1:9" s="232" customFormat="1" ht="17" customHeight="1">
      <c r="A22346" s="234"/>
      <c r="B22346" s="233"/>
      <c r="C22346" s="238"/>
      <c r="E22346" s="545"/>
      <c r="F22346" s="546"/>
      <c r="G22346" s="234"/>
      <c r="H22346" s="238"/>
      <c r="I22346" s="237"/>
    </row>
    <row r="22347" spans="1:9" s="232" customFormat="1" ht="17" customHeight="1">
      <c r="A22347" s="234"/>
      <c r="B22347" s="233"/>
      <c r="C22347" s="238"/>
      <c r="E22347" s="545"/>
      <c r="F22347" s="546"/>
      <c r="G22347" s="234"/>
      <c r="H22347" s="238"/>
      <c r="I22347" s="237"/>
    </row>
    <row r="22348" spans="1:9" s="232" customFormat="1" ht="17" customHeight="1">
      <c r="A22348" s="234"/>
      <c r="B22348" s="233"/>
      <c r="C22348" s="238"/>
      <c r="E22348" s="545"/>
      <c r="F22348" s="546"/>
      <c r="G22348" s="234"/>
      <c r="H22348" s="238"/>
      <c r="I22348" s="237"/>
    </row>
    <row r="22349" spans="1:9" s="232" customFormat="1" ht="17" customHeight="1">
      <c r="A22349" s="234"/>
      <c r="B22349" s="233"/>
      <c r="C22349" s="238"/>
      <c r="E22349" s="545"/>
      <c r="F22349" s="546"/>
      <c r="G22349" s="234"/>
      <c r="H22349" s="238"/>
      <c r="I22349" s="237"/>
    </row>
    <row r="22350" spans="1:9" s="232" customFormat="1" ht="17" customHeight="1">
      <c r="A22350" s="234"/>
      <c r="B22350" s="233"/>
      <c r="C22350" s="238"/>
      <c r="E22350" s="545"/>
      <c r="F22350" s="546"/>
      <c r="G22350" s="234"/>
      <c r="H22350" s="238"/>
      <c r="I22350" s="237"/>
    </row>
    <row r="22351" spans="1:9" s="232" customFormat="1" ht="17" customHeight="1">
      <c r="A22351" s="234"/>
      <c r="B22351" s="233"/>
      <c r="C22351" s="238"/>
      <c r="E22351" s="545"/>
      <c r="F22351" s="546"/>
      <c r="G22351" s="234"/>
      <c r="H22351" s="238"/>
      <c r="I22351" s="237"/>
    </row>
    <row r="22352" spans="1:9" s="232" customFormat="1" ht="17" customHeight="1">
      <c r="A22352" s="234"/>
      <c r="B22352" s="233"/>
      <c r="C22352" s="238"/>
      <c r="E22352" s="545"/>
      <c r="F22352" s="546"/>
      <c r="G22352" s="234"/>
      <c r="H22352" s="238"/>
      <c r="I22352" s="237"/>
    </row>
    <row r="22353" spans="1:9" s="232" customFormat="1" ht="17" customHeight="1">
      <c r="A22353" s="234"/>
      <c r="B22353" s="233"/>
      <c r="C22353" s="238"/>
      <c r="E22353" s="545"/>
      <c r="F22353" s="546"/>
      <c r="G22353" s="234"/>
      <c r="H22353" s="238"/>
      <c r="I22353" s="237"/>
    </row>
    <row r="22354" spans="1:9" s="232" customFormat="1" ht="17" customHeight="1">
      <c r="A22354" s="234"/>
      <c r="B22354" s="233"/>
      <c r="C22354" s="238"/>
      <c r="E22354" s="545"/>
      <c r="F22354" s="546"/>
      <c r="G22354" s="234"/>
      <c r="H22354" s="238"/>
      <c r="I22354" s="237"/>
    </row>
    <row r="22355" spans="1:9" s="232" customFormat="1" ht="17" customHeight="1">
      <c r="A22355" s="234"/>
      <c r="B22355" s="233"/>
      <c r="C22355" s="238"/>
      <c r="E22355" s="545"/>
      <c r="F22355" s="546"/>
      <c r="G22355" s="234"/>
      <c r="H22355" s="238"/>
      <c r="I22355" s="237"/>
    </row>
    <row r="22356" spans="1:9" s="232" customFormat="1" ht="17" customHeight="1">
      <c r="A22356" s="234"/>
      <c r="B22356" s="233"/>
      <c r="C22356" s="238"/>
      <c r="E22356" s="545"/>
      <c r="F22356" s="546"/>
      <c r="G22356" s="234"/>
      <c r="H22356" s="238"/>
      <c r="I22356" s="237"/>
    </row>
    <row r="22357" spans="1:9" s="232" customFormat="1" ht="17" customHeight="1">
      <c r="A22357" s="234"/>
      <c r="B22357" s="233"/>
      <c r="C22357" s="238"/>
      <c r="E22357" s="545"/>
      <c r="F22357" s="546"/>
      <c r="G22357" s="234"/>
      <c r="H22357" s="238"/>
      <c r="I22357" s="237"/>
    </row>
    <row r="22358" spans="1:9" s="232" customFormat="1" ht="17" customHeight="1">
      <c r="A22358" s="234"/>
      <c r="B22358" s="233"/>
      <c r="C22358" s="238"/>
      <c r="E22358" s="545"/>
      <c r="F22358" s="546"/>
      <c r="G22358" s="234"/>
      <c r="H22358" s="238"/>
      <c r="I22358" s="237"/>
    </row>
    <row r="22359" spans="1:9" s="232" customFormat="1" ht="17" customHeight="1">
      <c r="A22359" s="234"/>
      <c r="B22359" s="233"/>
      <c r="C22359" s="238"/>
      <c r="E22359" s="545"/>
      <c r="F22359" s="546"/>
      <c r="G22359" s="234"/>
      <c r="H22359" s="238"/>
      <c r="I22359" s="237"/>
    </row>
    <row r="22360" spans="1:9" s="232" customFormat="1" ht="17" customHeight="1">
      <c r="A22360" s="234"/>
      <c r="B22360" s="233"/>
      <c r="C22360" s="238"/>
      <c r="E22360" s="545"/>
      <c r="F22360" s="546"/>
      <c r="G22360" s="234"/>
      <c r="H22360" s="238"/>
      <c r="I22360" s="237"/>
    </row>
    <row r="22361" spans="1:9" s="232" customFormat="1" ht="17" customHeight="1">
      <c r="A22361" s="234"/>
      <c r="B22361" s="233"/>
      <c r="C22361" s="238"/>
      <c r="E22361" s="545"/>
      <c r="F22361" s="546"/>
      <c r="G22361" s="234"/>
      <c r="H22361" s="238"/>
      <c r="I22361" s="237"/>
    </row>
    <row r="22362" spans="1:9" s="232" customFormat="1" ht="17" customHeight="1">
      <c r="A22362" s="234"/>
      <c r="B22362" s="233"/>
      <c r="C22362" s="238"/>
      <c r="E22362" s="545"/>
      <c r="F22362" s="546"/>
      <c r="G22362" s="234"/>
      <c r="H22362" s="238"/>
      <c r="I22362" s="237"/>
    </row>
    <row r="22363" spans="1:9" s="232" customFormat="1" ht="17" customHeight="1">
      <c r="A22363" s="234"/>
      <c r="B22363" s="233"/>
      <c r="C22363" s="238"/>
      <c r="E22363" s="545"/>
      <c r="F22363" s="546"/>
      <c r="G22363" s="234"/>
      <c r="H22363" s="238"/>
      <c r="I22363" s="237"/>
    </row>
    <row r="22364" spans="1:9" s="232" customFormat="1" ht="17" customHeight="1">
      <c r="A22364" s="234"/>
      <c r="B22364" s="233"/>
      <c r="C22364" s="238"/>
      <c r="E22364" s="545"/>
      <c r="F22364" s="546"/>
      <c r="G22364" s="234"/>
      <c r="H22364" s="238"/>
      <c r="I22364" s="237"/>
    </row>
    <row r="22365" spans="1:9" s="232" customFormat="1" ht="17" customHeight="1">
      <c r="A22365" s="234"/>
      <c r="B22365" s="233"/>
      <c r="C22365" s="238"/>
      <c r="E22365" s="545"/>
      <c r="F22365" s="546"/>
      <c r="G22365" s="234"/>
      <c r="H22365" s="238"/>
      <c r="I22365" s="237"/>
    </row>
    <row r="22366" spans="1:9" s="232" customFormat="1" ht="17" customHeight="1">
      <c r="A22366" s="234"/>
      <c r="B22366" s="233"/>
      <c r="C22366" s="238"/>
      <c r="E22366" s="545"/>
      <c r="F22366" s="546"/>
      <c r="G22366" s="234"/>
      <c r="H22366" s="238"/>
      <c r="I22366" s="237"/>
    </row>
    <row r="22367" spans="1:9" s="232" customFormat="1" ht="17" customHeight="1">
      <c r="A22367" s="234"/>
      <c r="B22367" s="233"/>
      <c r="C22367" s="238"/>
      <c r="E22367" s="545"/>
      <c r="F22367" s="546"/>
      <c r="G22367" s="234"/>
      <c r="H22367" s="238"/>
      <c r="I22367" s="237"/>
    </row>
    <row r="22368" spans="1:9" s="232" customFormat="1" ht="17" customHeight="1">
      <c r="A22368" s="234"/>
      <c r="B22368" s="233"/>
      <c r="C22368" s="238"/>
      <c r="E22368" s="545"/>
      <c r="F22368" s="546"/>
      <c r="G22368" s="234"/>
      <c r="H22368" s="238"/>
      <c r="I22368" s="237"/>
    </row>
    <row r="22369" spans="1:9" s="232" customFormat="1" ht="17" customHeight="1">
      <c r="A22369" s="234"/>
      <c r="B22369" s="233"/>
      <c r="C22369" s="238"/>
      <c r="E22369" s="545"/>
      <c r="F22369" s="546"/>
      <c r="G22369" s="234"/>
      <c r="H22369" s="238"/>
      <c r="I22369" s="237"/>
    </row>
    <row r="22370" spans="1:9" s="232" customFormat="1" ht="17" customHeight="1">
      <c r="A22370" s="234"/>
      <c r="B22370" s="233"/>
      <c r="C22370" s="238"/>
      <c r="E22370" s="545"/>
      <c r="F22370" s="546"/>
      <c r="G22370" s="234"/>
      <c r="H22370" s="238"/>
      <c r="I22370" s="237"/>
    </row>
    <row r="22371" spans="1:9" s="232" customFormat="1" ht="17" customHeight="1">
      <c r="A22371" s="234"/>
      <c r="B22371" s="233"/>
      <c r="C22371" s="238"/>
      <c r="E22371" s="545"/>
      <c r="F22371" s="546"/>
      <c r="G22371" s="234"/>
      <c r="H22371" s="238"/>
      <c r="I22371" s="237"/>
    </row>
    <row r="22372" spans="1:9" s="232" customFormat="1" ht="17" customHeight="1">
      <c r="A22372" s="234"/>
      <c r="B22372" s="233"/>
      <c r="C22372" s="238"/>
      <c r="E22372" s="545"/>
      <c r="F22372" s="546"/>
      <c r="G22372" s="234"/>
      <c r="H22372" s="238"/>
      <c r="I22372" s="237"/>
    </row>
    <row r="22373" spans="1:9" s="232" customFormat="1" ht="17" customHeight="1">
      <c r="A22373" s="234"/>
      <c r="B22373" s="233"/>
      <c r="C22373" s="238"/>
      <c r="E22373" s="545"/>
      <c r="F22373" s="546"/>
      <c r="G22373" s="234"/>
      <c r="H22373" s="238"/>
      <c r="I22373" s="237"/>
    </row>
    <row r="22374" spans="1:9" s="232" customFormat="1" ht="17" customHeight="1">
      <c r="A22374" s="234"/>
      <c r="B22374" s="233"/>
      <c r="C22374" s="238"/>
      <c r="E22374" s="545"/>
      <c r="F22374" s="546"/>
      <c r="G22374" s="234"/>
      <c r="H22374" s="238"/>
      <c r="I22374" s="237"/>
    </row>
    <row r="22375" spans="1:9" s="232" customFormat="1" ht="17" customHeight="1">
      <c r="A22375" s="234"/>
      <c r="B22375" s="233"/>
      <c r="C22375" s="238"/>
      <c r="E22375" s="545"/>
      <c r="F22375" s="546"/>
      <c r="G22375" s="234"/>
      <c r="H22375" s="238"/>
      <c r="I22375" s="237"/>
    </row>
    <row r="22376" spans="1:9" s="232" customFormat="1" ht="17" customHeight="1">
      <c r="A22376" s="234"/>
      <c r="B22376" s="233"/>
      <c r="C22376" s="238"/>
      <c r="E22376" s="545"/>
      <c r="F22376" s="546"/>
      <c r="G22376" s="234"/>
      <c r="H22376" s="238"/>
      <c r="I22376" s="237"/>
    </row>
    <row r="22377" spans="1:9" s="232" customFormat="1" ht="17" customHeight="1">
      <c r="A22377" s="234"/>
      <c r="B22377" s="233"/>
      <c r="C22377" s="238"/>
      <c r="E22377" s="545"/>
      <c r="F22377" s="546"/>
      <c r="G22377" s="234"/>
      <c r="H22377" s="238"/>
      <c r="I22377" s="237"/>
    </row>
    <row r="22378" spans="1:9" s="232" customFormat="1" ht="17" customHeight="1">
      <c r="A22378" s="234"/>
      <c r="B22378" s="233"/>
      <c r="C22378" s="238"/>
      <c r="E22378" s="545"/>
      <c r="F22378" s="546"/>
      <c r="G22378" s="234"/>
      <c r="H22378" s="238"/>
      <c r="I22378" s="237"/>
    </row>
    <row r="22379" spans="1:9" s="232" customFormat="1" ht="17" customHeight="1">
      <c r="A22379" s="234"/>
      <c r="B22379" s="233"/>
      <c r="C22379" s="238"/>
      <c r="E22379" s="545"/>
      <c r="F22379" s="546"/>
      <c r="G22379" s="234"/>
      <c r="H22379" s="238"/>
      <c r="I22379" s="237"/>
    </row>
    <row r="22380" spans="1:9" s="232" customFormat="1" ht="17" customHeight="1">
      <c r="A22380" s="234"/>
      <c r="B22380" s="233"/>
      <c r="C22380" s="238"/>
      <c r="E22380" s="545"/>
      <c r="F22380" s="546"/>
      <c r="G22380" s="234"/>
      <c r="H22380" s="238"/>
      <c r="I22380" s="237"/>
    </row>
    <row r="22381" spans="1:9" s="232" customFormat="1" ht="17" customHeight="1">
      <c r="A22381" s="234"/>
      <c r="B22381" s="233"/>
      <c r="C22381" s="238"/>
      <c r="E22381" s="545"/>
      <c r="F22381" s="546"/>
      <c r="G22381" s="234"/>
      <c r="H22381" s="238"/>
      <c r="I22381" s="237"/>
    </row>
    <row r="22382" spans="1:9" s="232" customFormat="1" ht="17" customHeight="1">
      <c r="A22382" s="234"/>
      <c r="B22382" s="233"/>
      <c r="C22382" s="238"/>
      <c r="E22382" s="545"/>
      <c r="F22382" s="546"/>
      <c r="G22382" s="234"/>
      <c r="H22382" s="238"/>
      <c r="I22382" s="237"/>
    </row>
    <row r="22383" spans="1:9" s="232" customFormat="1" ht="17" customHeight="1">
      <c r="A22383" s="234"/>
      <c r="B22383" s="233"/>
      <c r="C22383" s="238"/>
      <c r="E22383" s="545"/>
      <c r="F22383" s="546"/>
      <c r="G22383" s="234"/>
      <c r="H22383" s="238"/>
      <c r="I22383" s="237"/>
    </row>
    <row r="22384" spans="1:9" s="232" customFormat="1" ht="17" customHeight="1">
      <c r="A22384" s="234"/>
      <c r="B22384" s="233"/>
      <c r="C22384" s="238"/>
      <c r="E22384" s="545"/>
      <c r="F22384" s="546"/>
      <c r="G22384" s="234"/>
      <c r="H22384" s="238"/>
      <c r="I22384" s="237"/>
    </row>
    <row r="22385" spans="1:9" s="232" customFormat="1" ht="17" customHeight="1">
      <c r="A22385" s="234"/>
      <c r="B22385" s="233"/>
      <c r="C22385" s="238"/>
      <c r="E22385" s="545"/>
      <c r="F22385" s="546"/>
      <c r="G22385" s="234"/>
      <c r="H22385" s="238"/>
      <c r="I22385" s="237"/>
    </row>
    <row r="22386" spans="1:9" s="232" customFormat="1" ht="17" customHeight="1">
      <c r="A22386" s="234"/>
      <c r="B22386" s="233"/>
      <c r="C22386" s="238"/>
      <c r="E22386" s="545"/>
      <c r="F22386" s="546"/>
      <c r="G22386" s="234"/>
      <c r="H22386" s="238"/>
      <c r="I22386" s="237"/>
    </row>
    <row r="22387" spans="1:9" s="232" customFormat="1" ht="17" customHeight="1">
      <c r="A22387" s="234"/>
      <c r="B22387" s="233"/>
      <c r="C22387" s="238"/>
      <c r="E22387" s="545"/>
      <c r="F22387" s="546"/>
      <c r="G22387" s="234"/>
      <c r="H22387" s="238"/>
      <c r="I22387" s="237"/>
    </row>
    <row r="22388" spans="1:9" s="232" customFormat="1" ht="17" customHeight="1">
      <c r="A22388" s="234"/>
      <c r="B22388" s="233"/>
      <c r="C22388" s="238"/>
      <c r="E22388" s="545"/>
      <c r="F22388" s="546"/>
      <c r="G22388" s="234"/>
      <c r="H22388" s="238"/>
      <c r="I22388" s="237"/>
    </row>
    <row r="22389" spans="1:9" s="232" customFormat="1" ht="17" customHeight="1">
      <c r="A22389" s="234"/>
      <c r="B22389" s="233"/>
      <c r="C22389" s="238"/>
      <c r="E22389" s="545"/>
      <c r="F22389" s="546"/>
      <c r="G22389" s="234"/>
      <c r="H22389" s="238"/>
      <c r="I22389" s="237"/>
    </row>
    <row r="22390" spans="1:9" s="232" customFormat="1" ht="17" customHeight="1">
      <c r="A22390" s="234"/>
      <c r="B22390" s="233"/>
      <c r="C22390" s="238"/>
      <c r="E22390" s="545"/>
      <c r="F22390" s="546"/>
      <c r="G22390" s="234"/>
      <c r="H22390" s="238"/>
      <c r="I22390" s="237"/>
    </row>
    <row r="22391" spans="1:9" s="232" customFormat="1" ht="17" customHeight="1">
      <c r="A22391" s="234"/>
      <c r="B22391" s="233"/>
      <c r="C22391" s="238"/>
      <c r="E22391" s="545"/>
      <c r="F22391" s="546"/>
      <c r="G22391" s="234"/>
      <c r="H22391" s="238"/>
      <c r="I22391" s="237"/>
    </row>
    <row r="22392" spans="1:9" s="232" customFormat="1" ht="17" customHeight="1">
      <c r="A22392" s="234"/>
      <c r="B22392" s="233"/>
      <c r="C22392" s="238"/>
      <c r="E22392" s="545"/>
      <c r="F22392" s="546"/>
      <c r="G22392" s="234"/>
      <c r="H22392" s="238"/>
      <c r="I22392" s="237"/>
    </row>
    <row r="22393" spans="1:9" s="232" customFormat="1" ht="17" customHeight="1">
      <c r="A22393" s="234"/>
      <c r="B22393" s="233"/>
      <c r="C22393" s="238"/>
      <c r="E22393" s="545"/>
      <c r="F22393" s="546"/>
      <c r="G22393" s="234"/>
      <c r="H22393" s="238"/>
      <c r="I22393" s="237"/>
    </row>
    <row r="22394" spans="1:9" s="232" customFormat="1" ht="17" customHeight="1">
      <c r="A22394" s="234"/>
      <c r="B22394" s="233"/>
      <c r="C22394" s="238"/>
      <c r="E22394" s="545"/>
      <c r="F22394" s="546"/>
      <c r="G22394" s="234"/>
      <c r="H22394" s="238"/>
      <c r="I22394" s="237"/>
    </row>
    <row r="22395" spans="1:9" s="232" customFormat="1" ht="17" customHeight="1">
      <c r="A22395" s="234"/>
      <c r="B22395" s="233"/>
      <c r="C22395" s="238"/>
      <c r="E22395" s="545"/>
      <c r="F22395" s="546"/>
      <c r="G22395" s="234"/>
      <c r="H22395" s="238"/>
      <c r="I22395" s="237"/>
    </row>
    <row r="22396" spans="1:9" s="232" customFormat="1" ht="17" customHeight="1">
      <c r="A22396" s="234"/>
      <c r="B22396" s="233"/>
      <c r="C22396" s="238"/>
      <c r="E22396" s="545"/>
      <c r="F22396" s="546"/>
      <c r="G22396" s="234"/>
      <c r="H22396" s="238"/>
      <c r="I22396" s="237"/>
    </row>
    <row r="22397" spans="1:9" s="232" customFormat="1" ht="17" customHeight="1">
      <c r="A22397" s="234"/>
      <c r="B22397" s="233"/>
      <c r="C22397" s="238"/>
      <c r="E22397" s="545"/>
      <c r="F22397" s="546"/>
      <c r="G22397" s="234"/>
      <c r="H22397" s="238"/>
      <c r="I22397" s="237"/>
    </row>
    <row r="22398" spans="1:9" s="232" customFormat="1" ht="17" customHeight="1">
      <c r="A22398" s="234"/>
      <c r="B22398" s="233"/>
      <c r="C22398" s="238"/>
      <c r="E22398" s="545"/>
      <c r="F22398" s="546"/>
      <c r="G22398" s="234"/>
      <c r="H22398" s="238"/>
      <c r="I22398" s="237"/>
    </row>
    <row r="22399" spans="1:9" s="232" customFormat="1" ht="17" customHeight="1">
      <c r="A22399" s="234"/>
      <c r="B22399" s="233"/>
      <c r="C22399" s="238"/>
      <c r="E22399" s="545"/>
      <c r="F22399" s="546"/>
      <c r="G22399" s="234"/>
      <c r="H22399" s="238"/>
      <c r="I22399" s="237"/>
    </row>
    <row r="22400" spans="1:9" s="232" customFormat="1" ht="17" customHeight="1">
      <c r="A22400" s="234"/>
      <c r="B22400" s="233"/>
      <c r="C22400" s="238"/>
      <c r="E22400" s="545"/>
      <c r="F22400" s="546"/>
      <c r="G22400" s="234"/>
      <c r="H22400" s="238"/>
      <c r="I22400" s="237"/>
    </row>
    <row r="22401" spans="1:9" s="232" customFormat="1" ht="17" customHeight="1">
      <c r="A22401" s="234"/>
      <c r="B22401" s="233"/>
      <c r="C22401" s="238"/>
      <c r="E22401" s="545"/>
      <c r="F22401" s="546"/>
      <c r="G22401" s="234"/>
      <c r="H22401" s="238"/>
      <c r="I22401" s="237"/>
    </row>
    <row r="22402" spans="1:9" s="232" customFormat="1" ht="17" customHeight="1">
      <c r="A22402" s="234"/>
      <c r="B22402" s="233"/>
      <c r="C22402" s="238"/>
      <c r="E22402" s="545"/>
      <c r="F22402" s="546"/>
      <c r="G22402" s="234"/>
      <c r="H22402" s="238"/>
      <c r="I22402" s="237"/>
    </row>
    <row r="22403" spans="1:9" s="232" customFormat="1" ht="17" customHeight="1">
      <c r="A22403" s="234"/>
      <c r="B22403" s="233"/>
      <c r="C22403" s="238"/>
      <c r="E22403" s="545"/>
      <c r="F22403" s="546"/>
      <c r="G22403" s="234"/>
      <c r="H22403" s="238"/>
      <c r="I22403" s="237"/>
    </row>
    <row r="22404" spans="1:9" s="232" customFormat="1" ht="17" customHeight="1">
      <c r="A22404" s="234"/>
      <c r="B22404" s="233"/>
      <c r="C22404" s="238"/>
      <c r="E22404" s="545"/>
      <c r="F22404" s="546"/>
      <c r="G22404" s="234"/>
      <c r="H22404" s="238"/>
      <c r="I22404" s="237"/>
    </row>
    <row r="22405" spans="1:9" s="232" customFormat="1" ht="17" customHeight="1">
      <c r="A22405" s="234"/>
      <c r="B22405" s="233"/>
      <c r="C22405" s="238"/>
      <c r="E22405" s="545"/>
      <c r="F22405" s="546"/>
      <c r="G22405" s="234"/>
      <c r="H22405" s="238"/>
      <c r="I22405" s="237"/>
    </row>
    <row r="22406" spans="1:9" s="232" customFormat="1" ht="17" customHeight="1">
      <c r="A22406" s="234"/>
      <c r="B22406" s="233"/>
      <c r="C22406" s="238"/>
      <c r="E22406" s="545"/>
      <c r="F22406" s="546"/>
      <c r="G22406" s="234"/>
      <c r="H22406" s="238"/>
      <c r="I22406" s="237"/>
    </row>
    <row r="22407" spans="1:9" s="232" customFormat="1" ht="17" customHeight="1">
      <c r="A22407" s="234"/>
      <c r="B22407" s="233"/>
      <c r="C22407" s="238"/>
      <c r="E22407" s="545"/>
      <c r="F22407" s="546"/>
      <c r="G22407" s="234"/>
      <c r="H22407" s="238"/>
      <c r="I22407" s="237"/>
    </row>
    <row r="22408" spans="1:9" s="232" customFormat="1" ht="17" customHeight="1">
      <c r="A22408" s="234"/>
      <c r="B22408" s="233"/>
      <c r="C22408" s="238"/>
      <c r="E22408" s="545"/>
      <c r="F22408" s="546"/>
      <c r="G22408" s="234"/>
      <c r="H22408" s="238"/>
      <c r="I22408" s="237"/>
    </row>
    <row r="22409" spans="1:9" s="232" customFormat="1" ht="17" customHeight="1">
      <c r="A22409" s="234"/>
      <c r="B22409" s="233"/>
      <c r="C22409" s="238"/>
      <c r="E22409" s="545"/>
      <c r="F22409" s="546"/>
      <c r="G22409" s="234"/>
      <c r="H22409" s="238"/>
      <c r="I22409" s="237"/>
    </row>
    <row r="22410" spans="1:9" s="232" customFormat="1" ht="17" customHeight="1">
      <c r="A22410" s="234"/>
      <c r="B22410" s="233"/>
      <c r="C22410" s="238"/>
      <c r="E22410" s="545"/>
      <c r="F22410" s="546"/>
      <c r="G22410" s="234"/>
      <c r="H22410" s="238"/>
      <c r="I22410" s="237"/>
    </row>
    <row r="22411" spans="1:9" s="232" customFormat="1" ht="17" customHeight="1">
      <c r="A22411" s="234"/>
      <c r="B22411" s="233"/>
      <c r="C22411" s="238"/>
      <c r="E22411" s="545"/>
      <c r="F22411" s="546"/>
      <c r="G22411" s="234"/>
      <c r="H22411" s="238"/>
      <c r="I22411" s="237"/>
    </row>
    <row r="22412" spans="1:9" s="232" customFormat="1" ht="17" customHeight="1">
      <c r="A22412" s="234"/>
      <c r="B22412" s="233"/>
      <c r="C22412" s="238"/>
      <c r="E22412" s="545"/>
      <c r="F22412" s="546"/>
      <c r="G22412" s="234"/>
      <c r="H22412" s="238"/>
      <c r="I22412" s="237"/>
    </row>
    <row r="22413" spans="1:9" s="232" customFormat="1" ht="17" customHeight="1">
      <c r="A22413" s="234"/>
      <c r="B22413" s="233"/>
      <c r="C22413" s="238"/>
      <c r="E22413" s="545"/>
      <c r="F22413" s="546"/>
      <c r="G22413" s="234"/>
      <c r="H22413" s="238"/>
      <c r="I22413" s="237"/>
    </row>
    <row r="22414" spans="1:9" s="232" customFormat="1" ht="17" customHeight="1">
      <c r="A22414" s="234"/>
      <c r="B22414" s="233"/>
      <c r="C22414" s="238"/>
      <c r="E22414" s="545"/>
      <c r="F22414" s="546"/>
      <c r="G22414" s="234"/>
      <c r="H22414" s="238"/>
      <c r="I22414" s="237"/>
    </row>
    <row r="22415" spans="1:9" s="232" customFormat="1" ht="17" customHeight="1">
      <c r="A22415" s="234"/>
      <c r="B22415" s="233"/>
      <c r="C22415" s="238"/>
      <c r="E22415" s="545"/>
      <c r="F22415" s="546"/>
      <c r="G22415" s="234"/>
      <c r="H22415" s="238"/>
      <c r="I22415" s="237"/>
    </row>
    <row r="22416" spans="1:9" s="232" customFormat="1" ht="17" customHeight="1">
      <c r="A22416" s="234"/>
      <c r="B22416" s="233"/>
      <c r="C22416" s="238"/>
      <c r="E22416" s="545"/>
      <c r="F22416" s="546"/>
      <c r="G22416" s="234"/>
      <c r="H22416" s="238"/>
      <c r="I22416" s="237"/>
    </row>
    <row r="22417" spans="1:9" s="232" customFormat="1" ht="17" customHeight="1">
      <c r="A22417" s="234"/>
      <c r="B22417" s="233"/>
      <c r="C22417" s="238"/>
      <c r="E22417" s="545"/>
      <c r="F22417" s="546"/>
      <c r="G22417" s="234"/>
      <c r="H22417" s="238"/>
      <c r="I22417" s="237"/>
    </row>
    <row r="22418" spans="1:9" s="232" customFormat="1" ht="17" customHeight="1">
      <c r="A22418" s="234"/>
      <c r="B22418" s="233"/>
      <c r="C22418" s="238"/>
      <c r="E22418" s="545"/>
      <c r="F22418" s="546"/>
      <c r="G22418" s="234"/>
      <c r="H22418" s="238"/>
      <c r="I22418" s="237"/>
    </row>
    <row r="22419" spans="1:9" s="232" customFormat="1" ht="17" customHeight="1">
      <c r="A22419" s="234"/>
      <c r="B22419" s="233"/>
      <c r="C22419" s="238"/>
      <c r="E22419" s="545"/>
      <c r="F22419" s="546"/>
      <c r="G22419" s="234"/>
      <c r="H22419" s="238"/>
      <c r="I22419" s="237"/>
    </row>
    <row r="22420" spans="1:9" s="232" customFormat="1" ht="17" customHeight="1">
      <c r="A22420" s="234"/>
      <c r="B22420" s="233"/>
      <c r="C22420" s="238"/>
      <c r="E22420" s="545"/>
      <c r="F22420" s="546"/>
      <c r="G22420" s="234"/>
      <c r="H22420" s="238"/>
      <c r="I22420" s="237"/>
    </row>
    <row r="22421" spans="1:9" s="232" customFormat="1" ht="17" customHeight="1">
      <c r="A22421" s="234"/>
      <c r="B22421" s="233"/>
      <c r="C22421" s="238"/>
      <c r="E22421" s="545"/>
      <c r="F22421" s="546"/>
      <c r="G22421" s="234"/>
      <c r="H22421" s="238"/>
      <c r="I22421" s="237"/>
    </row>
    <row r="22422" spans="1:9" s="232" customFormat="1" ht="17" customHeight="1">
      <c r="A22422" s="234"/>
      <c r="B22422" s="233"/>
      <c r="C22422" s="238"/>
      <c r="E22422" s="545"/>
      <c r="F22422" s="546"/>
      <c r="G22422" s="234"/>
      <c r="H22422" s="238"/>
      <c r="I22422" s="237"/>
    </row>
    <row r="22423" spans="1:9" s="232" customFormat="1" ht="17" customHeight="1">
      <c r="A22423" s="234"/>
      <c r="B22423" s="233"/>
      <c r="C22423" s="238"/>
      <c r="E22423" s="545"/>
      <c r="F22423" s="546"/>
      <c r="G22423" s="234"/>
      <c r="H22423" s="238"/>
      <c r="I22423" s="237"/>
    </row>
    <row r="22424" spans="1:9" s="232" customFormat="1" ht="17" customHeight="1">
      <c r="A22424" s="234"/>
      <c r="B22424" s="233"/>
      <c r="C22424" s="238"/>
      <c r="E22424" s="545"/>
      <c r="F22424" s="546"/>
      <c r="G22424" s="234"/>
      <c r="H22424" s="238"/>
      <c r="I22424" s="237"/>
    </row>
    <row r="22425" spans="1:9" s="232" customFormat="1" ht="17" customHeight="1">
      <c r="A22425" s="234"/>
      <c r="B22425" s="233"/>
      <c r="C22425" s="238"/>
      <c r="E22425" s="545"/>
      <c r="F22425" s="546"/>
      <c r="G22425" s="234"/>
      <c r="H22425" s="238"/>
      <c r="I22425" s="237"/>
    </row>
    <row r="22426" spans="1:9" s="232" customFormat="1" ht="17" customHeight="1">
      <c r="A22426" s="234"/>
      <c r="B22426" s="233"/>
      <c r="C22426" s="238"/>
      <c r="E22426" s="545"/>
      <c r="F22426" s="546"/>
      <c r="G22426" s="234"/>
      <c r="H22426" s="238"/>
      <c r="I22426" s="237"/>
    </row>
    <row r="22427" spans="1:9" s="232" customFormat="1" ht="17" customHeight="1">
      <c r="A22427" s="234"/>
      <c r="B22427" s="233"/>
      <c r="C22427" s="238"/>
      <c r="E22427" s="545"/>
      <c r="F22427" s="546"/>
      <c r="G22427" s="234"/>
      <c r="H22427" s="238"/>
      <c r="I22427" s="237"/>
    </row>
    <row r="22428" spans="1:9" s="232" customFormat="1" ht="17" customHeight="1">
      <c r="A22428" s="234"/>
      <c r="B22428" s="233"/>
      <c r="C22428" s="238"/>
      <c r="E22428" s="545"/>
      <c r="F22428" s="546"/>
      <c r="G22428" s="234"/>
      <c r="H22428" s="238"/>
      <c r="I22428" s="237"/>
    </row>
    <row r="22429" spans="1:9" s="232" customFormat="1" ht="17" customHeight="1">
      <c r="A22429" s="234"/>
      <c r="B22429" s="233"/>
      <c r="C22429" s="238"/>
      <c r="E22429" s="545"/>
      <c r="F22429" s="546"/>
      <c r="G22429" s="234"/>
      <c r="H22429" s="238"/>
      <c r="I22429" s="237"/>
    </row>
    <row r="22430" spans="1:9" s="232" customFormat="1" ht="17" customHeight="1">
      <c r="A22430" s="234"/>
      <c r="B22430" s="233"/>
      <c r="C22430" s="238"/>
      <c r="E22430" s="545"/>
      <c r="F22430" s="546"/>
      <c r="G22430" s="234"/>
      <c r="H22430" s="238"/>
      <c r="I22430" s="237"/>
    </row>
    <row r="22431" spans="1:9" s="232" customFormat="1" ht="17" customHeight="1">
      <c r="A22431" s="234"/>
      <c r="B22431" s="233"/>
      <c r="C22431" s="238"/>
      <c r="E22431" s="545"/>
      <c r="F22431" s="546"/>
      <c r="G22431" s="234"/>
      <c r="H22431" s="238"/>
      <c r="I22431" s="237"/>
    </row>
    <row r="22432" spans="1:9" s="232" customFormat="1" ht="17" customHeight="1">
      <c r="A22432" s="234"/>
      <c r="B22432" s="233"/>
      <c r="C22432" s="238"/>
      <c r="E22432" s="545"/>
      <c r="F22432" s="546"/>
      <c r="G22432" s="234"/>
      <c r="H22432" s="238"/>
      <c r="I22432" s="237"/>
    </row>
    <row r="22433" spans="1:9" s="232" customFormat="1" ht="17" customHeight="1">
      <c r="A22433" s="234"/>
      <c r="B22433" s="233"/>
      <c r="C22433" s="238"/>
      <c r="E22433" s="545"/>
      <c r="F22433" s="546"/>
      <c r="G22433" s="234"/>
      <c r="H22433" s="238"/>
      <c r="I22433" s="237"/>
    </row>
    <row r="22434" spans="1:9" s="232" customFormat="1" ht="17" customHeight="1">
      <c r="A22434" s="234"/>
      <c r="B22434" s="233"/>
      <c r="C22434" s="238"/>
      <c r="E22434" s="545"/>
      <c r="F22434" s="546"/>
      <c r="G22434" s="234"/>
      <c r="H22434" s="238"/>
      <c r="I22434" s="237"/>
    </row>
    <row r="22435" spans="1:9" s="232" customFormat="1" ht="17" customHeight="1">
      <c r="A22435" s="234"/>
      <c r="B22435" s="233"/>
      <c r="C22435" s="238"/>
      <c r="E22435" s="545"/>
      <c r="F22435" s="546"/>
      <c r="G22435" s="234"/>
      <c r="H22435" s="238"/>
      <c r="I22435" s="237"/>
    </row>
    <row r="22436" spans="1:9" s="232" customFormat="1" ht="17" customHeight="1">
      <c r="A22436" s="234"/>
      <c r="B22436" s="233"/>
      <c r="C22436" s="238"/>
      <c r="E22436" s="545"/>
      <c r="F22436" s="546"/>
      <c r="G22436" s="234"/>
      <c r="H22436" s="238"/>
      <c r="I22436" s="237"/>
    </row>
    <row r="22437" spans="1:9" s="232" customFormat="1" ht="17" customHeight="1">
      <c r="A22437" s="234"/>
      <c r="B22437" s="233"/>
      <c r="C22437" s="238"/>
      <c r="E22437" s="545"/>
      <c r="F22437" s="546"/>
      <c r="G22437" s="234"/>
      <c r="H22437" s="238"/>
      <c r="I22437" s="237"/>
    </row>
    <row r="22438" spans="1:9" s="232" customFormat="1" ht="17" customHeight="1">
      <c r="A22438" s="234"/>
      <c r="B22438" s="233"/>
      <c r="C22438" s="238"/>
      <c r="E22438" s="545"/>
      <c r="F22438" s="546"/>
      <c r="G22438" s="234"/>
      <c r="H22438" s="238"/>
      <c r="I22438" s="237"/>
    </row>
    <row r="22439" spans="1:9" s="232" customFormat="1" ht="17" customHeight="1">
      <c r="A22439" s="234"/>
      <c r="B22439" s="233"/>
      <c r="C22439" s="238"/>
      <c r="E22439" s="545"/>
      <c r="F22439" s="546"/>
      <c r="G22439" s="234"/>
      <c r="H22439" s="238"/>
      <c r="I22439" s="237"/>
    </row>
    <row r="22440" spans="1:9" s="232" customFormat="1" ht="17" customHeight="1">
      <c r="A22440" s="234"/>
      <c r="B22440" s="233"/>
      <c r="C22440" s="238"/>
      <c r="E22440" s="545"/>
      <c r="F22440" s="546"/>
      <c r="G22440" s="234"/>
      <c r="H22440" s="238"/>
      <c r="I22440" s="237"/>
    </row>
    <row r="22441" spans="1:9" s="232" customFormat="1" ht="17" customHeight="1">
      <c r="A22441" s="234"/>
      <c r="B22441" s="233"/>
      <c r="C22441" s="238"/>
      <c r="E22441" s="545"/>
      <c r="F22441" s="546"/>
      <c r="G22441" s="234"/>
      <c r="H22441" s="238"/>
      <c r="I22441" s="237"/>
    </row>
    <row r="22442" spans="1:9" s="232" customFormat="1" ht="17" customHeight="1">
      <c r="A22442" s="234"/>
      <c r="B22442" s="233"/>
      <c r="C22442" s="238"/>
      <c r="E22442" s="545"/>
      <c r="F22442" s="546"/>
      <c r="G22442" s="234"/>
      <c r="H22442" s="238"/>
      <c r="I22442" s="237"/>
    </row>
    <row r="22443" spans="1:9" s="232" customFormat="1" ht="17" customHeight="1">
      <c r="A22443" s="234"/>
      <c r="B22443" s="233"/>
      <c r="C22443" s="238"/>
      <c r="E22443" s="545"/>
      <c r="F22443" s="546"/>
      <c r="G22443" s="234"/>
      <c r="H22443" s="238"/>
      <c r="I22443" s="237"/>
    </row>
    <row r="22444" spans="1:9" s="232" customFormat="1" ht="17" customHeight="1">
      <c r="A22444" s="234"/>
      <c r="B22444" s="233"/>
      <c r="C22444" s="238"/>
      <c r="E22444" s="545"/>
      <c r="F22444" s="546"/>
      <c r="G22444" s="234"/>
      <c r="H22444" s="238"/>
      <c r="I22444" s="237"/>
    </row>
    <row r="22445" spans="1:9" s="232" customFormat="1" ht="17" customHeight="1">
      <c r="A22445" s="234"/>
      <c r="B22445" s="233"/>
      <c r="C22445" s="238"/>
      <c r="E22445" s="545"/>
      <c r="F22445" s="546"/>
      <c r="G22445" s="234"/>
      <c r="H22445" s="238"/>
      <c r="I22445" s="237"/>
    </row>
    <row r="22446" spans="1:9" s="232" customFormat="1" ht="17" customHeight="1">
      <c r="A22446" s="234"/>
      <c r="B22446" s="233"/>
      <c r="C22446" s="238"/>
      <c r="E22446" s="545"/>
      <c r="F22446" s="546"/>
      <c r="G22446" s="234"/>
      <c r="H22446" s="238"/>
      <c r="I22446" s="237"/>
    </row>
    <row r="22447" spans="1:9" s="232" customFormat="1" ht="17" customHeight="1">
      <c r="A22447" s="234"/>
      <c r="B22447" s="233"/>
      <c r="C22447" s="238"/>
      <c r="E22447" s="545"/>
      <c r="F22447" s="546"/>
      <c r="G22447" s="234"/>
      <c r="H22447" s="238"/>
      <c r="I22447" s="237"/>
    </row>
    <row r="22448" spans="1:9" s="232" customFormat="1" ht="17" customHeight="1">
      <c r="A22448" s="234"/>
      <c r="B22448" s="233"/>
      <c r="C22448" s="238"/>
      <c r="E22448" s="545"/>
      <c r="F22448" s="546"/>
      <c r="G22448" s="234"/>
      <c r="H22448" s="238"/>
      <c r="I22448" s="237"/>
    </row>
    <row r="22449" spans="1:9" s="232" customFormat="1" ht="17" customHeight="1">
      <c r="A22449" s="234"/>
      <c r="B22449" s="233"/>
      <c r="C22449" s="238"/>
      <c r="E22449" s="545"/>
      <c r="F22449" s="546"/>
      <c r="G22449" s="234"/>
      <c r="H22449" s="238"/>
      <c r="I22449" s="237"/>
    </row>
    <row r="22450" spans="1:9" s="232" customFormat="1" ht="17" customHeight="1">
      <c r="A22450" s="234"/>
      <c r="B22450" s="233"/>
      <c r="C22450" s="238"/>
      <c r="E22450" s="545"/>
      <c r="F22450" s="546"/>
      <c r="G22450" s="234"/>
      <c r="H22450" s="238"/>
      <c r="I22450" s="237"/>
    </row>
    <row r="22451" spans="1:9" s="232" customFormat="1" ht="17" customHeight="1">
      <c r="A22451" s="234"/>
      <c r="B22451" s="233"/>
      <c r="C22451" s="238"/>
      <c r="E22451" s="545"/>
      <c r="F22451" s="546"/>
      <c r="G22451" s="234"/>
      <c r="H22451" s="238"/>
      <c r="I22451" s="237"/>
    </row>
    <row r="22452" spans="1:9" s="232" customFormat="1" ht="17" customHeight="1">
      <c r="A22452" s="234"/>
      <c r="B22452" s="233"/>
      <c r="C22452" s="238"/>
      <c r="E22452" s="545"/>
      <c r="F22452" s="546"/>
      <c r="G22452" s="234"/>
      <c r="H22452" s="238"/>
      <c r="I22452" s="237"/>
    </row>
    <row r="22453" spans="1:9" s="232" customFormat="1" ht="17" customHeight="1">
      <c r="A22453" s="234"/>
      <c r="B22453" s="233"/>
      <c r="C22453" s="238"/>
      <c r="E22453" s="545"/>
      <c r="F22453" s="546"/>
      <c r="G22453" s="234"/>
      <c r="H22453" s="238"/>
      <c r="I22453" s="237"/>
    </row>
    <row r="22454" spans="1:9" s="232" customFormat="1" ht="17" customHeight="1">
      <c r="A22454" s="234"/>
      <c r="B22454" s="233"/>
      <c r="C22454" s="238"/>
      <c r="E22454" s="545"/>
      <c r="F22454" s="546"/>
      <c r="G22454" s="234"/>
      <c r="H22454" s="238"/>
      <c r="I22454" s="237"/>
    </row>
    <row r="22455" spans="1:9" s="232" customFormat="1" ht="17" customHeight="1">
      <c r="A22455" s="234"/>
      <c r="B22455" s="233"/>
      <c r="C22455" s="238"/>
      <c r="E22455" s="545"/>
      <c r="F22455" s="546"/>
      <c r="G22455" s="234"/>
      <c r="H22455" s="238"/>
      <c r="I22455" s="237"/>
    </row>
    <row r="22456" spans="1:9" s="232" customFormat="1" ht="17" customHeight="1">
      <c r="A22456" s="234"/>
      <c r="B22456" s="233"/>
      <c r="C22456" s="238"/>
      <c r="E22456" s="545"/>
      <c r="F22456" s="546"/>
      <c r="G22456" s="234"/>
      <c r="H22456" s="238"/>
      <c r="I22456" s="237"/>
    </row>
    <row r="22457" spans="1:9" s="232" customFormat="1" ht="17" customHeight="1">
      <c r="A22457" s="234"/>
      <c r="B22457" s="233"/>
      <c r="C22457" s="238"/>
      <c r="E22457" s="545"/>
      <c r="F22457" s="546"/>
      <c r="G22457" s="234"/>
      <c r="H22457" s="238"/>
      <c r="I22457" s="237"/>
    </row>
    <row r="22458" spans="1:9" s="232" customFormat="1" ht="17" customHeight="1">
      <c r="A22458" s="234"/>
      <c r="B22458" s="233"/>
      <c r="C22458" s="238"/>
      <c r="E22458" s="545"/>
      <c r="F22458" s="546"/>
      <c r="G22458" s="234"/>
      <c r="H22458" s="238"/>
      <c r="I22458" s="237"/>
    </row>
    <row r="22459" spans="1:9" s="232" customFormat="1" ht="17" customHeight="1">
      <c r="A22459" s="234"/>
      <c r="B22459" s="233"/>
      <c r="C22459" s="238"/>
      <c r="E22459" s="545"/>
      <c r="F22459" s="546"/>
      <c r="G22459" s="234"/>
      <c r="H22459" s="238"/>
      <c r="I22459" s="237"/>
    </row>
    <row r="22460" spans="1:9" s="232" customFormat="1" ht="17" customHeight="1">
      <c r="A22460" s="234"/>
      <c r="B22460" s="233"/>
      <c r="C22460" s="238"/>
      <c r="E22460" s="545"/>
      <c r="F22460" s="546"/>
      <c r="G22460" s="234"/>
      <c r="H22460" s="238"/>
      <c r="I22460" s="237"/>
    </row>
    <row r="22461" spans="1:9" s="232" customFormat="1" ht="17" customHeight="1">
      <c r="A22461" s="234"/>
      <c r="B22461" s="233"/>
      <c r="C22461" s="238"/>
      <c r="E22461" s="545"/>
      <c r="F22461" s="546"/>
      <c r="G22461" s="234"/>
      <c r="H22461" s="238"/>
      <c r="I22461" s="237"/>
    </row>
    <row r="22462" spans="1:9" s="232" customFormat="1" ht="17" customHeight="1">
      <c r="A22462" s="234"/>
      <c r="B22462" s="233"/>
      <c r="C22462" s="238"/>
      <c r="E22462" s="545"/>
      <c r="F22462" s="546"/>
      <c r="G22462" s="234"/>
      <c r="H22462" s="238"/>
      <c r="I22462" s="237"/>
    </row>
    <row r="22463" spans="1:9" s="232" customFormat="1" ht="17" customHeight="1">
      <c r="A22463" s="234"/>
      <c r="B22463" s="233"/>
      <c r="C22463" s="238"/>
      <c r="E22463" s="545"/>
      <c r="F22463" s="546"/>
      <c r="G22463" s="234"/>
      <c r="H22463" s="238"/>
      <c r="I22463" s="237"/>
    </row>
    <row r="22464" spans="1:9" s="232" customFormat="1" ht="17" customHeight="1">
      <c r="A22464" s="234"/>
      <c r="B22464" s="233"/>
      <c r="C22464" s="238"/>
      <c r="E22464" s="545"/>
      <c r="F22464" s="546"/>
      <c r="G22464" s="234"/>
      <c r="H22464" s="238"/>
      <c r="I22464" s="237"/>
    </row>
    <row r="22465" spans="1:9" s="232" customFormat="1" ht="17" customHeight="1">
      <c r="A22465" s="234"/>
      <c r="B22465" s="233"/>
      <c r="C22465" s="238"/>
      <c r="E22465" s="545"/>
      <c r="F22465" s="546"/>
      <c r="G22465" s="234"/>
      <c r="H22465" s="238"/>
      <c r="I22465" s="237"/>
    </row>
    <row r="22466" spans="1:9" s="232" customFormat="1" ht="17" customHeight="1">
      <c r="A22466" s="234"/>
      <c r="B22466" s="233"/>
      <c r="C22466" s="238"/>
      <c r="E22466" s="545"/>
      <c r="F22466" s="546"/>
      <c r="G22466" s="234"/>
      <c r="H22466" s="238"/>
      <c r="I22466" s="237"/>
    </row>
    <row r="22467" spans="1:9" s="232" customFormat="1" ht="17" customHeight="1">
      <c r="A22467" s="234"/>
      <c r="B22467" s="233"/>
      <c r="C22467" s="238"/>
      <c r="E22467" s="545"/>
      <c r="F22467" s="546"/>
      <c r="G22467" s="234"/>
      <c r="H22467" s="238"/>
      <c r="I22467" s="237"/>
    </row>
    <row r="22468" spans="1:9" s="232" customFormat="1" ht="17" customHeight="1">
      <c r="A22468" s="234"/>
      <c r="B22468" s="233"/>
      <c r="C22468" s="238"/>
      <c r="E22468" s="545"/>
      <c r="F22468" s="546"/>
      <c r="G22468" s="234"/>
      <c r="H22468" s="238"/>
      <c r="I22468" s="237"/>
    </row>
    <row r="22469" spans="1:9" s="232" customFormat="1" ht="17" customHeight="1">
      <c r="A22469" s="234"/>
      <c r="B22469" s="233"/>
      <c r="C22469" s="238"/>
      <c r="E22469" s="545"/>
      <c r="F22469" s="546"/>
      <c r="G22469" s="234"/>
      <c r="H22469" s="238"/>
      <c r="I22469" s="237"/>
    </row>
    <row r="22470" spans="1:9" s="232" customFormat="1" ht="17" customHeight="1">
      <c r="A22470" s="234"/>
      <c r="B22470" s="233"/>
      <c r="C22470" s="238"/>
      <c r="E22470" s="545"/>
      <c r="F22470" s="546"/>
      <c r="G22470" s="234"/>
      <c r="H22470" s="238"/>
      <c r="I22470" s="237"/>
    </row>
    <row r="22471" spans="1:9" s="232" customFormat="1" ht="17" customHeight="1">
      <c r="A22471" s="234"/>
      <c r="B22471" s="233"/>
      <c r="C22471" s="238"/>
      <c r="E22471" s="545"/>
      <c r="F22471" s="546"/>
      <c r="G22471" s="234"/>
      <c r="H22471" s="238"/>
      <c r="I22471" s="237"/>
    </row>
    <row r="22472" spans="1:9" s="232" customFormat="1" ht="17" customHeight="1">
      <c r="A22472" s="234"/>
      <c r="B22472" s="233"/>
      <c r="C22472" s="238"/>
      <c r="E22472" s="545"/>
      <c r="F22472" s="546"/>
      <c r="G22472" s="234"/>
      <c r="H22472" s="238"/>
      <c r="I22472" s="237"/>
    </row>
    <row r="22473" spans="1:9" s="232" customFormat="1" ht="17" customHeight="1">
      <c r="A22473" s="234"/>
      <c r="B22473" s="233"/>
      <c r="C22473" s="238"/>
      <c r="E22473" s="545"/>
      <c r="F22473" s="546"/>
      <c r="G22473" s="234"/>
      <c r="H22473" s="238"/>
      <c r="I22473" s="237"/>
    </row>
    <row r="22474" spans="1:9" s="232" customFormat="1" ht="17" customHeight="1">
      <c r="A22474" s="234"/>
      <c r="B22474" s="233"/>
      <c r="C22474" s="238"/>
      <c r="E22474" s="545"/>
      <c r="F22474" s="546"/>
      <c r="G22474" s="234"/>
      <c r="H22474" s="238"/>
      <c r="I22474" s="237"/>
    </row>
    <row r="22475" spans="1:9" s="232" customFormat="1" ht="17" customHeight="1">
      <c r="A22475" s="234"/>
      <c r="B22475" s="233"/>
      <c r="C22475" s="238"/>
      <c r="E22475" s="545"/>
      <c r="F22475" s="546"/>
      <c r="G22475" s="234"/>
      <c r="H22475" s="238"/>
      <c r="I22475" s="237"/>
    </row>
    <row r="22476" spans="1:9" s="232" customFormat="1" ht="17" customHeight="1">
      <c r="A22476" s="234"/>
      <c r="B22476" s="233"/>
      <c r="C22476" s="238"/>
      <c r="E22476" s="545"/>
      <c r="F22476" s="546"/>
      <c r="G22476" s="234"/>
      <c r="H22476" s="238"/>
      <c r="I22476" s="237"/>
    </row>
    <row r="22477" spans="1:9" s="232" customFormat="1" ht="17" customHeight="1">
      <c r="A22477" s="234"/>
      <c r="B22477" s="233"/>
      <c r="C22477" s="238"/>
      <c r="E22477" s="545"/>
      <c r="F22477" s="546"/>
      <c r="G22477" s="234"/>
      <c r="H22477" s="238"/>
      <c r="I22477" s="237"/>
    </row>
    <row r="22478" spans="1:9" s="232" customFormat="1" ht="17" customHeight="1">
      <c r="A22478" s="234"/>
      <c r="B22478" s="233"/>
      <c r="C22478" s="238"/>
      <c r="E22478" s="545"/>
      <c r="F22478" s="546"/>
      <c r="G22478" s="234"/>
      <c r="H22478" s="238"/>
      <c r="I22478" s="237"/>
    </row>
    <row r="22479" spans="1:9" s="232" customFormat="1" ht="17" customHeight="1">
      <c r="A22479" s="234"/>
      <c r="B22479" s="233"/>
      <c r="C22479" s="238"/>
      <c r="E22479" s="545"/>
      <c r="F22479" s="546"/>
      <c r="G22479" s="234"/>
      <c r="H22479" s="238"/>
      <c r="I22479" s="237"/>
    </row>
    <row r="22480" spans="1:9" s="232" customFormat="1" ht="17" customHeight="1">
      <c r="A22480" s="234"/>
      <c r="B22480" s="233"/>
      <c r="C22480" s="238"/>
      <c r="E22480" s="545"/>
      <c r="F22480" s="546"/>
      <c r="G22480" s="234"/>
      <c r="H22480" s="238"/>
      <c r="I22480" s="237"/>
    </row>
    <row r="22481" spans="1:9" s="232" customFormat="1" ht="17" customHeight="1">
      <c r="A22481" s="234"/>
      <c r="B22481" s="233"/>
      <c r="C22481" s="238"/>
      <c r="E22481" s="545"/>
      <c r="F22481" s="546"/>
      <c r="G22481" s="234"/>
      <c r="H22481" s="238"/>
      <c r="I22481" s="237"/>
    </row>
    <row r="22482" spans="1:9" s="232" customFormat="1" ht="17" customHeight="1">
      <c r="A22482" s="234"/>
      <c r="B22482" s="233"/>
      <c r="C22482" s="238"/>
      <c r="E22482" s="545"/>
      <c r="F22482" s="546"/>
      <c r="G22482" s="234"/>
      <c r="H22482" s="238"/>
      <c r="I22482" s="237"/>
    </row>
    <row r="22483" spans="1:9" s="232" customFormat="1" ht="17" customHeight="1">
      <c r="A22483" s="234"/>
      <c r="B22483" s="233"/>
      <c r="C22483" s="238"/>
      <c r="E22483" s="545"/>
      <c r="F22483" s="546"/>
      <c r="G22483" s="234"/>
      <c r="H22483" s="238"/>
      <c r="I22483" s="237"/>
    </row>
    <row r="22484" spans="1:9" s="232" customFormat="1" ht="17" customHeight="1">
      <c r="A22484" s="234"/>
      <c r="B22484" s="233"/>
      <c r="C22484" s="238"/>
      <c r="E22484" s="545"/>
      <c r="F22484" s="546"/>
      <c r="G22484" s="234"/>
      <c r="H22484" s="238"/>
      <c r="I22484" s="237"/>
    </row>
    <row r="22485" spans="1:9" s="232" customFormat="1" ht="17" customHeight="1">
      <c r="A22485" s="234"/>
      <c r="B22485" s="233"/>
      <c r="C22485" s="238"/>
      <c r="E22485" s="545"/>
      <c r="F22485" s="546"/>
      <c r="G22485" s="234"/>
      <c r="H22485" s="238"/>
      <c r="I22485" s="237"/>
    </row>
    <row r="22486" spans="1:9" s="232" customFormat="1" ht="17" customHeight="1">
      <c r="A22486" s="234"/>
      <c r="B22486" s="233"/>
      <c r="C22486" s="238"/>
      <c r="E22486" s="545"/>
      <c r="F22486" s="546"/>
      <c r="G22486" s="234"/>
      <c r="H22486" s="238"/>
      <c r="I22486" s="237"/>
    </row>
    <row r="22487" spans="1:9" s="232" customFormat="1" ht="17" customHeight="1">
      <c r="A22487" s="234"/>
      <c r="B22487" s="233"/>
      <c r="C22487" s="238"/>
      <c r="E22487" s="545"/>
      <c r="F22487" s="546"/>
      <c r="G22487" s="234"/>
      <c r="H22487" s="238"/>
      <c r="I22487" s="237"/>
    </row>
    <row r="22488" spans="1:9" s="232" customFormat="1" ht="17" customHeight="1">
      <c r="A22488" s="234"/>
      <c r="B22488" s="233"/>
      <c r="C22488" s="238"/>
      <c r="E22488" s="545"/>
      <c r="F22488" s="546"/>
      <c r="G22488" s="234"/>
      <c r="H22488" s="238"/>
      <c r="I22488" s="237"/>
    </row>
    <row r="22489" spans="1:9" s="232" customFormat="1" ht="17" customHeight="1">
      <c r="A22489" s="234"/>
      <c r="B22489" s="233"/>
      <c r="C22489" s="238"/>
      <c r="E22489" s="545"/>
      <c r="F22489" s="546"/>
      <c r="G22489" s="234"/>
      <c r="H22489" s="238"/>
      <c r="I22489" s="237"/>
    </row>
    <row r="22490" spans="1:9" s="232" customFormat="1" ht="17" customHeight="1">
      <c r="A22490" s="234"/>
      <c r="B22490" s="233"/>
      <c r="C22490" s="238"/>
      <c r="E22490" s="545"/>
      <c r="F22490" s="546"/>
      <c r="G22490" s="234"/>
      <c r="H22490" s="238"/>
      <c r="I22490" s="237"/>
    </row>
    <row r="22491" spans="1:9" s="232" customFormat="1" ht="17" customHeight="1">
      <c r="A22491" s="234"/>
      <c r="B22491" s="233"/>
      <c r="C22491" s="238"/>
      <c r="E22491" s="545"/>
      <c r="F22491" s="546"/>
      <c r="G22491" s="234"/>
      <c r="H22491" s="238"/>
      <c r="I22491" s="237"/>
    </row>
    <row r="22492" spans="1:9" s="232" customFormat="1" ht="17" customHeight="1">
      <c r="A22492" s="234"/>
      <c r="B22492" s="233"/>
      <c r="C22492" s="238"/>
      <c r="E22492" s="545"/>
      <c r="F22492" s="546"/>
      <c r="G22492" s="234"/>
      <c r="H22492" s="238"/>
      <c r="I22492" s="237"/>
    </row>
    <row r="22493" spans="1:9" s="232" customFormat="1" ht="17" customHeight="1">
      <c r="A22493" s="234"/>
      <c r="B22493" s="233"/>
      <c r="C22493" s="238"/>
      <c r="E22493" s="545"/>
      <c r="F22493" s="546"/>
      <c r="G22493" s="234"/>
      <c r="H22493" s="238"/>
      <c r="I22493" s="237"/>
    </row>
    <row r="22494" spans="1:9" s="232" customFormat="1" ht="17" customHeight="1">
      <c r="A22494" s="234"/>
      <c r="B22494" s="233"/>
      <c r="C22494" s="238"/>
      <c r="E22494" s="545"/>
      <c r="F22494" s="546"/>
      <c r="G22494" s="234"/>
      <c r="H22494" s="238"/>
      <c r="I22494" s="237"/>
    </row>
    <row r="22495" spans="1:9" s="232" customFormat="1" ht="17" customHeight="1">
      <c r="A22495" s="234"/>
      <c r="B22495" s="233"/>
      <c r="C22495" s="238"/>
      <c r="E22495" s="545"/>
      <c r="F22495" s="546"/>
      <c r="G22495" s="234"/>
      <c r="H22495" s="238"/>
      <c r="I22495" s="237"/>
    </row>
    <row r="22496" spans="1:9" s="232" customFormat="1" ht="17" customHeight="1">
      <c r="A22496" s="234"/>
      <c r="B22496" s="233"/>
      <c r="C22496" s="238"/>
      <c r="E22496" s="545"/>
      <c r="F22496" s="546"/>
      <c r="G22496" s="234"/>
      <c r="H22496" s="238"/>
      <c r="I22496" s="237"/>
    </row>
    <row r="22497" spans="1:9" s="232" customFormat="1" ht="17" customHeight="1">
      <c r="A22497" s="234"/>
      <c r="B22497" s="233"/>
      <c r="C22497" s="238"/>
      <c r="E22497" s="545"/>
      <c r="F22497" s="546"/>
      <c r="G22497" s="234"/>
      <c r="H22497" s="238"/>
      <c r="I22497" s="237"/>
    </row>
    <row r="22498" spans="1:9" s="232" customFormat="1" ht="17" customHeight="1">
      <c r="A22498" s="234"/>
      <c r="B22498" s="233"/>
      <c r="C22498" s="238"/>
      <c r="E22498" s="545"/>
      <c r="F22498" s="546"/>
      <c r="G22498" s="234"/>
      <c r="H22498" s="238"/>
      <c r="I22498" s="237"/>
    </row>
    <row r="22499" spans="1:9" s="232" customFormat="1" ht="17" customHeight="1">
      <c r="A22499" s="234"/>
      <c r="B22499" s="233"/>
      <c r="C22499" s="238"/>
      <c r="E22499" s="545"/>
      <c r="F22499" s="546"/>
      <c r="G22499" s="234"/>
      <c r="H22499" s="238"/>
      <c r="I22499" s="237"/>
    </row>
    <row r="22500" spans="1:9" s="232" customFormat="1" ht="17" customHeight="1">
      <c r="A22500" s="234"/>
      <c r="B22500" s="233"/>
      <c r="C22500" s="238"/>
      <c r="E22500" s="545"/>
      <c r="F22500" s="546"/>
      <c r="G22500" s="234"/>
      <c r="H22500" s="238"/>
      <c r="I22500" s="237"/>
    </row>
    <row r="22501" spans="1:9" s="232" customFormat="1" ht="17" customHeight="1">
      <c r="A22501" s="234"/>
      <c r="B22501" s="233"/>
      <c r="C22501" s="238"/>
      <c r="E22501" s="545"/>
      <c r="F22501" s="546"/>
      <c r="G22501" s="234"/>
      <c r="H22501" s="238"/>
      <c r="I22501" s="237"/>
    </row>
    <row r="22502" spans="1:9" s="232" customFormat="1" ht="17" customHeight="1">
      <c r="A22502" s="234"/>
      <c r="B22502" s="233"/>
      <c r="C22502" s="238"/>
      <c r="E22502" s="545"/>
      <c r="F22502" s="546"/>
      <c r="G22502" s="234"/>
      <c r="H22502" s="238"/>
      <c r="I22502" s="237"/>
    </row>
    <row r="22503" spans="1:9" s="232" customFormat="1" ht="17" customHeight="1">
      <c r="A22503" s="234"/>
      <c r="B22503" s="233"/>
      <c r="C22503" s="238"/>
      <c r="E22503" s="545"/>
      <c r="F22503" s="546"/>
      <c r="G22503" s="234"/>
      <c r="H22503" s="238"/>
      <c r="I22503" s="237"/>
    </row>
    <row r="22504" spans="1:9" s="232" customFormat="1" ht="17" customHeight="1">
      <c r="A22504" s="234"/>
      <c r="B22504" s="233"/>
      <c r="C22504" s="238"/>
      <c r="E22504" s="545"/>
      <c r="F22504" s="546"/>
      <c r="G22504" s="234"/>
      <c r="H22504" s="238"/>
      <c r="I22504" s="237"/>
    </row>
    <row r="22505" spans="1:9" s="232" customFormat="1" ht="17" customHeight="1">
      <c r="A22505" s="234"/>
      <c r="B22505" s="233"/>
      <c r="C22505" s="238"/>
      <c r="E22505" s="545"/>
      <c r="F22505" s="546"/>
      <c r="G22505" s="234"/>
      <c r="H22505" s="238"/>
      <c r="I22505" s="237"/>
    </row>
    <row r="22506" spans="1:9" s="232" customFormat="1" ht="17" customHeight="1">
      <c r="A22506" s="234"/>
      <c r="B22506" s="233"/>
      <c r="C22506" s="238"/>
      <c r="E22506" s="545"/>
      <c r="F22506" s="546"/>
      <c r="G22506" s="234"/>
      <c r="H22506" s="238"/>
      <c r="I22506" s="237"/>
    </row>
    <row r="22507" spans="1:9" s="232" customFormat="1" ht="17" customHeight="1">
      <c r="A22507" s="234"/>
      <c r="B22507" s="233"/>
      <c r="C22507" s="238"/>
      <c r="E22507" s="545"/>
      <c r="F22507" s="546"/>
      <c r="G22507" s="234"/>
      <c r="H22507" s="238"/>
      <c r="I22507" s="237"/>
    </row>
    <row r="22508" spans="1:9" s="232" customFormat="1" ht="17" customHeight="1">
      <c r="A22508" s="234"/>
      <c r="B22508" s="233"/>
      <c r="C22508" s="238"/>
      <c r="E22508" s="545"/>
      <c r="F22508" s="546"/>
      <c r="G22508" s="234"/>
      <c r="H22508" s="238"/>
      <c r="I22508" s="237"/>
    </row>
    <row r="22509" spans="1:9" s="232" customFormat="1" ht="17" customHeight="1">
      <c r="A22509" s="234"/>
      <c r="B22509" s="233"/>
      <c r="C22509" s="238"/>
      <c r="E22509" s="545"/>
      <c r="F22509" s="546"/>
      <c r="G22509" s="234"/>
      <c r="H22509" s="238"/>
      <c r="I22509" s="237"/>
    </row>
    <row r="22510" spans="1:9" s="232" customFormat="1" ht="17" customHeight="1">
      <c r="A22510" s="234"/>
      <c r="B22510" s="233"/>
      <c r="C22510" s="238"/>
      <c r="E22510" s="545"/>
      <c r="F22510" s="546"/>
      <c r="G22510" s="234"/>
      <c r="H22510" s="238"/>
      <c r="I22510" s="237"/>
    </row>
    <row r="22511" spans="1:9" s="232" customFormat="1" ht="17" customHeight="1">
      <c r="A22511" s="234"/>
      <c r="B22511" s="233"/>
      <c r="C22511" s="238"/>
      <c r="E22511" s="545"/>
      <c r="F22511" s="546"/>
      <c r="G22511" s="234"/>
      <c r="H22511" s="238"/>
      <c r="I22511" s="237"/>
    </row>
    <row r="22512" spans="1:9" s="232" customFormat="1" ht="17" customHeight="1">
      <c r="A22512" s="234"/>
      <c r="B22512" s="233"/>
      <c r="C22512" s="238"/>
      <c r="E22512" s="545"/>
      <c r="F22512" s="546"/>
      <c r="G22512" s="234"/>
      <c r="H22512" s="238"/>
      <c r="I22512" s="237"/>
    </row>
    <row r="22513" spans="1:9" s="232" customFormat="1" ht="17" customHeight="1">
      <c r="A22513" s="234"/>
      <c r="B22513" s="233"/>
      <c r="C22513" s="238"/>
      <c r="E22513" s="545"/>
      <c r="F22513" s="546"/>
      <c r="G22513" s="234"/>
      <c r="H22513" s="238"/>
      <c r="I22513" s="237"/>
    </row>
    <row r="22514" spans="1:9" s="232" customFormat="1" ht="17" customHeight="1">
      <c r="A22514" s="234"/>
      <c r="B22514" s="233"/>
      <c r="C22514" s="238"/>
      <c r="E22514" s="545"/>
      <c r="F22514" s="546"/>
      <c r="G22514" s="234"/>
      <c r="H22514" s="238"/>
      <c r="I22514" s="237"/>
    </row>
    <row r="22515" spans="1:9" s="232" customFormat="1" ht="17" customHeight="1">
      <c r="A22515" s="234"/>
      <c r="B22515" s="233"/>
      <c r="C22515" s="238"/>
      <c r="E22515" s="545"/>
      <c r="F22515" s="546"/>
      <c r="G22515" s="234"/>
      <c r="H22515" s="238"/>
      <c r="I22515" s="237"/>
    </row>
    <row r="22516" spans="1:9" s="232" customFormat="1" ht="17" customHeight="1">
      <c r="A22516" s="234"/>
      <c r="B22516" s="233"/>
      <c r="C22516" s="238"/>
      <c r="E22516" s="545"/>
      <c r="F22516" s="546"/>
      <c r="G22516" s="234"/>
      <c r="H22516" s="238"/>
      <c r="I22516" s="237"/>
    </row>
    <row r="22517" spans="1:9" s="232" customFormat="1" ht="17" customHeight="1">
      <c r="A22517" s="234"/>
      <c r="B22517" s="233"/>
      <c r="C22517" s="238"/>
      <c r="E22517" s="545"/>
      <c r="F22517" s="546"/>
      <c r="G22517" s="234"/>
      <c r="H22517" s="238"/>
      <c r="I22517" s="237"/>
    </row>
    <row r="22518" spans="1:9" s="232" customFormat="1" ht="17" customHeight="1">
      <c r="A22518" s="234"/>
      <c r="B22518" s="233"/>
      <c r="C22518" s="238"/>
      <c r="E22518" s="545"/>
      <c r="F22518" s="546"/>
      <c r="G22518" s="234"/>
      <c r="H22518" s="238"/>
      <c r="I22518" s="237"/>
    </row>
    <row r="22519" spans="1:9" s="232" customFormat="1" ht="17" customHeight="1">
      <c r="A22519" s="234"/>
      <c r="B22519" s="233"/>
      <c r="C22519" s="238"/>
      <c r="E22519" s="545"/>
      <c r="F22519" s="546"/>
      <c r="G22519" s="234"/>
      <c r="H22519" s="238"/>
      <c r="I22519" s="237"/>
    </row>
    <row r="22520" spans="1:9" s="232" customFormat="1" ht="17" customHeight="1">
      <c r="A22520" s="234"/>
      <c r="B22520" s="233"/>
      <c r="C22520" s="238"/>
      <c r="E22520" s="545"/>
      <c r="F22520" s="546"/>
      <c r="G22520" s="234"/>
      <c r="H22520" s="238"/>
      <c r="I22520" s="237"/>
    </row>
    <row r="22521" spans="1:9" s="232" customFormat="1" ht="17" customHeight="1">
      <c r="A22521" s="234"/>
      <c r="B22521" s="233"/>
      <c r="C22521" s="238"/>
      <c r="E22521" s="545"/>
      <c r="F22521" s="546"/>
      <c r="G22521" s="234"/>
      <c r="H22521" s="238"/>
      <c r="I22521" s="237"/>
    </row>
    <row r="22522" spans="1:9" s="232" customFormat="1" ht="17" customHeight="1">
      <c r="A22522" s="234"/>
      <c r="B22522" s="233"/>
      <c r="C22522" s="238"/>
      <c r="E22522" s="545"/>
      <c r="F22522" s="546"/>
      <c r="G22522" s="234"/>
      <c r="H22522" s="238"/>
      <c r="I22522" s="237"/>
    </row>
    <row r="22523" spans="1:9" s="232" customFormat="1" ht="17" customHeight="1">
      <c r="A22523" s="234"/>
      <c r="B22523" s="233"/>
      <c r="C22523" s="238"/>
      <c r="E22523" s="545"/>
      <c r="F22523" s="546"/>
      <c r="G22523" s="234"/>
      <c r="H22523" s="238"/>
      <c r="I22523" s="237"/>
    </row>
    <row r="22524" spans="1:9" s="232" customFormat="1" ht="17" customHeight="1">
      <c r="A22524" s="234"/>
      <c r="B22524" s="233"/>
      <c r="C22524" s="238"/>
      <c r="E22524" s="545"/>
      <c r="F22524" s="546"/>
      <c r="G22524" s="234"/>
      <c r="H22524" s="238"/>
      <c r="I22524" s="237"/>
    </row>
    <row r="22525" spans="1:9" s="232" customFormat="1" ht="17" customHeight="1">
      <c r="A22525" s="234"/>
      <c r="B22525" s="233"/>
      <c r="C22525" s="238"/>
      <c r="E22525" s="545"/>
      <c r="F22525" s="546"/>
      <c r="G22525" s="234"/>
      <c r="H22525" s="238"/>
      <c r="I22525" s="237"/>
    </row>
    <row r="22526" spans="1:9" s="232" customFormat="1" ht="17" customHeight="1">
      <c r="A22526" s="234"/>
      <c r="B22526" s="233"/>
      <c r="C22526" s="238"/>
      <c r="E22526" s="545"/>
      <c r="F22526" s="546"/>
      <c r="G22526" s="234"/>
      <c r="H22526" s="238"/>
      <c r="I22526" s="237"/>
    </row>
    <row r="22527" spans="1:9" s="232" customFormat="1" ht="17" customHeight="1">
      <c r="A22527" s="234"/>
      <c r="B22527" s="233"/>
      <c r="C22527" s="238"/>
      <c r="E22527" s="545"/>
      <c r="F22527" s="546"/>
      <c r="G22527" s="234"/>
      <c r="H22527" s="238"/>
      <c r="I22527" s="237"/>
    </row>
    <row r="22528" spans="1:9" s="232" customFormat="1" ht="17" customHeight="1">
      <c r="A22528" s="234"/>
      <c r="B22528" s="233"/>
      <c r="C22528" s="238"/>
      <c r="E22528" s="545"/>
      <c r="F22528" s="546"/>
      <c r="G22528" s="234"/>
      <c r="H22528" s="238"/>
      <c r="I22528" s="237"/>
    </row>
    <row r="22529" spans="1:9" s="232" customFormat="1" ht="17" customHeight="1">
      <c r="A22529" s="234"/>
      <c r="B22529" s="233"/>
      <c r="C22529" s="238"/>
      <c r="E22529" s="545"/>
      <c r="F22529" s="546"/>
      <c r="G22529" s="234"/>
      <c r="H22529" s="238"/>
      <c r="I22529" s="237"/>
    </row>
    <row r="22530" spans="1:9" s="232" customFormat="1" ht="17" customHeight="1">
      <c r="A22530" s="234"/>
      <c r="B22530" s="233"/>
      <c r="C22530" s="238"/>
      <c r="E22530" s="545"/>
      <c r="F22530" s="546"/>
      <c r="G22530" s="234"/>
      <c r="H22530" s="238"/>
      <c r="I22530" s="237"/>
    </row>
    <row r="22531" spans="1:9" s="232" customFormat="1" ht="17" customHeight="1">
      <c r="A22531" s="234"/>
      <c r="B22531" s="233"/>
      <c r="C22531" s="238"/>
      <c r="E22531" s="545"/>
      <c r="F22531" s="546"/>
      <c r="G22531" s="234"/>
      <c r="H22531" s="238"/>
      <c r="I22531" s="237"/>
    </row>
    <row r="22532" spans="1:9" s="232" customFormat="1" ht="17" customHeight="1">
      <c r="A22532" s="234"/>
      <c r="B22532" s="233"/>
      <c r="C22532" s="238"/>
      <c r="E22532" s="545"/>
      <c r="F22532" s="546"/>
      <c r="G22532" s="234"/>
      <c r="H22532" s="238"/>
      <c r="I22532" s="237"/>
    </row>
    <row r="22533" spans="1:9" s="232" customFormat="1" ht="17" customHeight="1">
      <c r="A22533" s="234"/>
      <c r="B22533" s="233"/>
      <c r="C22533" s="238"/>
      <c r="E22533" s="545"/>
      <c r="F22533" s="546"/>
      <c r="G22533" s="234"/>
      <c r="H22533" s="238"/>
      <c r="I22533" s="237"/>
    </row>
    <row r="22534" spans="1:9" s="232" customFormat="1" ht="17" customHeight="1">
      <c r="A22534" s="234"/>
      <c r="B22534" s="233"/>
      <c r="C22534" s="238"/>
      <c r="E22534" s="545"/>
      <c r="F22534" s="546"/>
      <c r="G22534" s="234"/>
      <c r="H22534" s="238"/>
      <c r="I22534" s="237"/>
    </row>
    <row r="22535" spans="1:9" s="232" customFormat="1" ht="17" customHeight="1">
      <c r="A22535" s="234"/>
      <c r="B22535" s="233"/>
      <c r="C22535" s="238"/>
      <c r="E22535" s="545"/>
      <c r="F22535" s="546"/>
      <c r="G22535" s="234"/>
      <c r="H22535" s="238"/>
      <c r="I22535" s="237"/>
    </row>
    <row r="22536" spans="1:9" s="232" customFormat="1" ht="17" customHeight="1">
      <c r="A22536" s="234"/>
      <c r="B22536" s="233"/>
      <c r="C22536" s="238"/>
      <c r="E22536" s="545"/>
      <c r="F22536" s="546"/>
      <c r="G22536" s="234"/>
      <c r="H22536" s="238"/>
      <c r="I22536" s="237"/>
    </row>
    <row r="22537" spans="1:9" s="232" customFormat="1" ht="17" customHeight="1">
      <c r="A22537" s="234"/>
      <c r="B22537" s="233"/>
      <c r="C22537" s="238"/>
      <c r="E22537" s="545"/>
      <c r="F22537" s="546"/>
      <c r="G22537" s="234"/>
      <c r="H22537" s="238"/>
      <c r="I22537" s="237"/>
    </row>
    <row r="22538" spans="1:9" s="232" customFormat="1" ht="17" customHeight="1">
      <c r="A22538" s="234"/>
      <c r="B22538" s="233"/>
      <c r="C22538" s="238"/>
      <c r="E22538" s="545"/>
      <c r="F22538" s="546"/>
      <c r="G22538" s="234"/>
      <c r="H22538" s="238"/>
      <c r="I22538" s="237"/>
    </row>
    <row r="22539" spans="1:9" s="232" customFormat="1" ht="17" customHeight="1">
      <c r="A22539" s="234"/>
      <c r="B22539" s="233"/>
      <c r="C22539" s="238"/>
      <c r="E22539" s="545"/>
      <c r="F22539" s="546"/>
      <c r="G22539" s="234"/>
      <c r="H22539" s="238"/>
      <c r="I22539" s="237"/>
    </row>
    <row r="22540" spans="1:9" s="232" customFormat="1" ht="17" customHeight="1">
      <c r="A22540" s="234"/>
      <c r="B22540" s="233"/>
      <c r="C22540" s="238"/>
      <c r="E22540" s="545"/>
      <c r="F22540" s="546"/>
      <c r="G22540" s="234"/>
      <c r="H22540" s="238"/>
      <c r="I22540" s="237"/>
    </row>
    <row r="22541" spans="1:9" s="232" customFormat="1" ht="17" customHeight="1">
      <c r="A22541" s="234"/>
      <c r="B22541" s="233"/>
      <c r="C22541" s="238"/>
      <c r="E22541" s="545"/>
      <c r="F22541" s="546"/>
      <c r="G22541" s="234"/>
      <c r="H22541" s="238"/>
      <c r="I22541" s="237"/>
    </row>
    <row r="22542" spans="1:9" s="232" customFormat="1" ht="17" customHeight="1">
      <c r="A22542" s="234"/>
      <c r="B22542" s="233"/>
      <c r="C22542" s="238"/>
      <c r="E22542" s="545"/>
      <c r="F22542" s="546"/>
      <c r="G22542" s="234"/>
      <c r="H22542" s="238"/>
      <c r="I22542" s="237"/>
    </row>
    <row r="22543" spans="1:9" s="232" customFormat="1" ht="17" customHeight="1">
      <c r="A22543" s="234"/>
      <c r="B22543" s="233"/>
      <c r="C22543" s="238"/>
      <c r="E22543" s="545"/>
      <c r="F22543" s="546"/>
      <c r="G22543" s="234"/>
      <c r="H22543" s="238"/>
      <c r="I22543" s="237"/>
    </row>
    <row r="22544" spans="1:9" s="232" customFormat="1" ht="17" customHeight="1">
      <c r="A22544" s="234"/>
      <c r="B22544" s="233"/>
      <c r="C22544" s="238"/>
      <c r="E22544" s="545"/>
      <c r="F22544" s="546"/>
      <c r="G22544" s="234"/>
      <c r="H22544" s="238"/>
      <c r="I22544" s="237"/>
    </row>
    <row r="22545" spans="1:9" s="232" customFormat="1" ht="17" customHeight="1">
      <c r="A22545" s="234"/>
      <c r="B22545" s="233"/>
      <c r="C22545" s="238"/>
      <c r="E22545" s="545"/>
      <c r="F22545" s="546"/>
      <c r="G22545" s="234"/>
      <c r="H22545" s="238"/>
      <c r="I22545" s="237"/>
    </row>
    <row r="22546" spans="1:9" s="232" customFormat="1" ht="17" customHeight="1">
      <c r="A22546" s="234"/>
      <c r="B22546" s="233"/>
      <c r="C22546" s="238"/>
      <c r="E22546" s="545"/>
      <c r="F22546" s="546"/>
      <c r="G22546" s="234"/>
      <c r="H22546" s="238"/>
      <c r="I22546" s="237"/>
    </row>
    <row r="22547" spans="1:9" s="232" customFormat="1" ht="17" customHeight="1">
      <c r="A22547" s="234"/>
      <c r="B22547" s="233"/>
      <c r="C22547" s="238"/>
      <c r="E22547" s="545"/>
      <c r="F22547" s="546"/>
      <c r="G22547" s="234"/>
      <c r="H22547" s="238"/>
      <c r="I22547" s="237"/>
    </row>
    <row r="22548" spans="1:9" s="232" customFormat="1" ht="17" customHeight="1">
      <c r="A22548" s="234"/>
      <c r="B22548" s="233"/>
      <c r="C22548" s="238"/>
      <c r="E22548" s="545"/>
      <c r="F22548" s="546"/>
      <c r="G22548" s="234"/>
      <c r="H22548" s="238"/>
      <c r="I22548" s="237"/>
    </row>
    <row r="22549" spans="1:9" s="232" customFormat="1" ht="17" customHeight="1">
      <c r="A22549" s="234"/>
      <c r="B22549" s="233"/>
      <c r="C22549" s="238"/>
      <c r="E22549" s="545"/>
      <c r="F22549" s="546"/>
      <c r="G22549" s="234"/>
      <c r="H22549" s="238"/>
      <c r="I22549" s="237"/>
    </row>
    <row r="22550" spans="1:9" s="232" customFormat="1" ht="17" customHeight="1">
      <c r="A22550" s="234"/>
      <c r="B22550" s="233"/>
      <c r="C22550" s="238"/>
      <c r="E22550" s="545"/>
      <c r="F22550" s="546"/>
      <c r="G22550" s="234"/>
      <c r="H22550" s="238"/>
      <c r="I22550" s="237"/>
    </row>
    <row r="22551" spans="1:9" s="232" customFormat="1" ht="17" customHeight="1">
      <c r="A22551" s="234"/>
      <c r="B22551" s="233"/>
      <c r="C22551" s="238"/>
      <c r="E22551" s="545"/>
      <c r="F22551" s="546"/>
      <c r="G22551" s="234"/>
      <c r="H22551" s="238"/>
      <c r="I22551" s="237"/>
    </row>
    <row r="22552" spans="1:9" s="232" customFormat="1" ht="17" customHeight="1">
      <c r="A22552" s="234"/>
      <c r="B22552" s="233"/>
      <c r="C22552" s="238"/>
      <c r="E22552" s="545"/>
      <c r="F22552" s="546"/>
      <c r="G22552" s="234"/>
      <c r="H22552" s="238"/>
      <c r="I22552" s="237"/>
    </row>
    <row r="22553" spans="1:9" s="232" customFormat="1" ht="17" customHeight="1">
      <c r="A22553" s="234"/>
      <c r="B22553" s="233"/>
      <c r="C22553" s="238"/>
      <c r="E22553" s="545"/>
      <c r="F22553" s="546"/>
      <c r="G22553" s="234"/>
      <c r="H22553" s="238"/>
      <c r="I22553" s="237"/>
    </row>
    <row r="22554" spans="1:9" s="232" customFormat="1" ht="17" customHeight="1">
      <c r="A22554" s="234"/>
      <c r="B22554" s="233"/>
      <c r="C22554" s="238"/>
      <c r="E22554" s="545"/>
      <c r="F22554" s="546"/>
      <c r="G22554" s="234"/>
      <c r="H22554" s="238"/>
      <c r="I22554" s="237"/>
    </row>
    <row r="22555" spans="1:9" s="232" customFormat="1" ht="17" customHeight="1">
      <c r="A22555" s="234"/>
      <c r="B22555" s="233"/>
      <c r="C22555" s="238"/>
      <c r="E22555" s="545"/>
      <c r="F22555" s="546"/>
      <c r="G22555" s="234"/>
      <c r="H22555" s="238"/>
      <c r="I22555" s="237"/>
    </row>
    <row r="22556" spans="1:9" s="232" customFormat="1" ht="17" customHeight="1">
      <c r="A22556" s="234"/>
      <c r="B22556" s="233"/>
      <c r="C22556" s="238"/>
      <c r="E22556" s="545"/>
      <c r="F22556" s="546"/>
      <c r="G22556" s="234"/>
      <c r="H22556" s="238"/>
      <c r="I22556" s="237"/>
    </row>
    <row r="22557" spans="1:9" s="232" customFormat="1" ht="17" customHeight="1">
      <c r="A22557" s="234"/>
      <c r="B22557" s="233"/>
      <c r="C22557" s="238"/>
      <c r="E22557" s="545"/>
      <c r="F22557" s="546"/>
      <c r="G22557" s="234"/>
      <c r="H22557" s="238"/>
      <c r="I22557" s="237"/>
    </row>
    <row r="22558" spans="1:9" s="232" customFormat="1" ht="17" customHeight="1">
      <c r="A22558" s="234"/>
      <c r="B22558" s="233"/>
      <c r="C22558" s="238"/>
      <c r="E22558" s="545"/>
      <c r="F22558" s="546"/>
      <c r="G22558" s="234"/>
      <c r="H22558" s="238"/>
      <c r="I22558" s="237"/>
    </row>
    <row r="22559" spans="1:9" s="232" customFormat="1" ht="17" customHeight="1">
      <c r="A22559" s="234"/>
      <c r="B22559" s="233"/>
      <c r="C22559" s="238"/>
      <c r="E22559" s="545"/>
      <c r="F22559" s="546"/>
      <c r="G22559" s="234"/>
      <c r="H22559" s="238"/>
      <c r="I22559" s="237"/>
    </row>
    <row r="22560" spans="1:9" s="232" customFormat="1" ht="17" customHeight="1">
      <c r="A22560" s="234"/>
      <c r="B22560" s="233"/>
      <c r="C22560" s="238"/>
      <c r="E22560" s="545"/>
      <c r="F22560" s="546"/>
      <c r="G22560" s="234"/>
      <c r="H22560" s="238"/>
      <c r="I22560" s="237"/>
    </row>
    <row r="22561" spans="1:9" s="232" customFormat="1" ht="17" customHeight="1">
      <c r="A22561" s="234"/>
      <c r="B22561" s="233"/>
      <c r="C22561" s="238"/>
      <c r="E22561" s="545"/>
      <c r="F22561" s="546"/>
      <c r="G22561" s="234"/>
      <c r="H22561" s="238"/>
      <c r="I22561" s="237"/>
    </row>
    <row r="22562" spans="1:9" s="232" customFormat="1" ht="17" customHeight="1">
      <c r="A22562" s="234"/>
      <c r="B22562" s="233"/>
      <c r="C22562" s="238"/>
      <c r="E22562" s="545"/>
      <c r="F22562" s="546"/>
      <c r="G22562" s="234"/>
      <c r="H22562" s="238"/>
      <c r="I22562" s="237"/>
    </row>
    <row r="22563" spans="1:9" s="232" customFormat="1" ht="17" customHeight="1">
      <c r="A22563" s="234"/>
      <c r="B22563" s="233"/>
      <c r="C22563" s="238"/>
      <c r="E22563" s="545"/>
      <c r="F22563" s="546"/>
      <c r="G22563" s="234"/>
      <c r="H22563" s="238"/>
      <c r="I22563" s="237"/>
    </row>
    <row r="22564" spans="1:9" s="232" customFormat="1" ht="17" customHeight="1">
      <c r="A22564" s="234"/>
      <c r="B22564" s="233"/>
      <c r="C22564" s="238"/>
      <c r="E22564" s="545"/>
      <c r="F22564" s="546"/>
      <c r="G22564" s="234"/>
      <c r="H22564" s="238"/>
      <c r="I22564" s="237"/>
    </row>
    <row r="22565" spans="1:9" s="232" customFormat="1" ht="17" customHeight="1">
      <c r="A22565" s="234"/>
      <c r="B22565" s="233"/>
      <c r="C22565" s="238"/>
      <c r="E22565" s="545"/>
      <c r="F22565" s="546"/>
      <c r="G22565" s="234"/>
      <c r="H22565" s="238"/>
      <c r="I22565" s="237"/>
    </row>
    <row r="22566" spans="1:9" s="232" customFormat="1" ht="17" customHeight="1">
      <c r="A22566" s="234"/>
      <c r="B22566" s="233"/>
      <c r="C22566" s="238"/>
      <c r="E22566" s="545"/>
      <c r="F22566" s="546"/>
      <c r="G22566" s="234"/>
      <c r="H22566" s="238"/>
      <c r="I22566" s="237"/>
    </row>
    <row r="22567" spans="1:9" s="232" customFormat="1" ht="17" customHeight="1">
      <c r="A22567" s="234"/>
      <c r="B22567" s="233"/>
      <c r="C22567" s="238"/>
      <c r="E22567" s="545"/>
      <c r="F22567" s="546"/>
      <c r="G22567" s="234"/>
      <c r="H22567" s="238"/>
      <c r="I22567" s="237"/>
    </row>
    <row r="22568" spans="1:9" s="232" customFormat="1" ht="17" customHeight="1">
      <c r="A22568" s="234"/>
      <c r="B22568" s="233"/>
      <c r="C22568" s="238"/>
      <c r="E22568" s="545"/>
      <c r="F22568" s="546"/>
      <c r="G22568" s="234"/>
      <c r="H22568" s="238"/>
      <c r="I22568" s="237"/>
    </row>
    <row r="22569" spans="1:9" s="232" customFormat="1" ht="17" customHeight="1">
      <c r="A22569" s="234"/>
      <c r="B22569" s="233"/>
      <c r="C22569" s="238"/>
      <c r="E22569" s="545"/>
      <c r="F22569" s="546"/>
      <c r="G22569" s="234"/>
      <c r="H22569" s="238"/>
      <c r="I22569" s="237"/>
    </row>
    <row r="22570" spans="1:9" s="232" customFormat="1" ht="17" customHeight="1">
      <c r="A22570" s="234"/>
      <c r="B22570" s="233"/>
      <c r="C22570" s="238"/>
      <c r="E22570" s="545"/>
      <c r="F22570" s="546"/>
      <c r="G22570" s="234"/>
      <c r="H22570" s="238"/>
      <c r="I22570" s="237"/>
    </row>
    <row r="22571" spans="1:9" s="232" customFormat="1" ht="17" customHeight="1">
      <c r="A22571" s="234"/>
      <c r="B22571" s="233"/>
      <c r="C22571" s="238"/>
      <c r="E22571" s="545"/>
      <c r="F22571" s="546"/>
      <c r="G22571" s="234"/>
      <c r="H22571" s="238"/>
      <c r="I22571" s="237"/>
    </row>
    <row r="22572" spans="1:9" s="232" customFormat="1" ht="17" customHeight="1">
      <c r="A22572" s="234"/>
      <c r="B22572" s="233"/>
      <c r="C22572" s="238"/>
      <c r="E22572" s="545"/>
      <c r="F22572" s="546"/>
      <c r="G22572" s="234"/>
      <c r="H22572" s="238"/>
      <c r="I22572" s="237"/>
    </row>
    <row r="22573" spans="1:9" s="232" customFormat="1" ht="17" customHeight="1">
      <c r="A22573" s="234"/>
      <c r="B22573" s="233"/>
      <c r="C22573" s="238"/>
      <c r="E22573" s="545"/>
      <c r="F22573" s="546"/>
      <c r="G22573" s="234"/>
      <c r="H22573" s="238"/>
      <c r="I22573" s="237"/>
    </row>
    <row r="22574" spans="1:9" s="232" customFormat="1" ht="17" customHeight="1">
      <c r="A22574" s="234"/>
      <c r="B22574" s="233"/>
      <c r="C22574" s="238"/>
      <c r="E22574" s="545"/>
      <c r="F22574" s="546"/>
      <c r="G22574" s="234"/>
      <c r="H22574" s="238"/>
      <c r="I22574" s="237"/>
    </row>
    <row r="22575" spans="1:9" s="232" customFormat="1" ht="17" customHeight="1">
      <c r="A22575" s="234"/>
      <c r="B22575" s="233"/>
      <c r="C22575" s="238"/>
      <c r="E22575" s="545"/>
      <c r="F22575" s="546"/>
      <c r="G22575" s="234"/>
      <c r="H22575" s="238"/>
      <c r="I22575" s="237"/>
    </row>
    <row r="22576" spans="1:9" s="232" customFormat="1" ht="17" customHeight="1">
      <c r="A22576" s="234"/>
      <c r="B22576" s="233"/>
      <c r="C22576" s="238"/>
      <c r="E22576" s="545"/>
      <c r="F22576" s="546"/>
      <c r="G22576" s="234"/>
      <c r="H22576" s="238"/>
      <c r="I22576" s="237"/>
    </row>
    <row r="22577" spans="1:9" s="232" customFormat="1" ht="17" customHeight="1">
      <c r="A22577" s="234"/>
      <c r="B22577" s="233"/>
      <c r="C22577" s="238"/>
      <c r="E22577" s="545"/>
      <c r="F22577" s="546"/>
      <c r="G22577" s="234"/>
      <c r="H22577" s="238"/>
      <c r="I22577" s="237"/>
    </row>
    <row r="22578" spans="1:9" s="232" customFormat="1" ht="17" customHeight="1">
      <c r="A22578" s="234"/>
      <c r="B22578" s="233"/>
      <c r="C22578" s="238"/>
      <c r="E22578" s="545"/>
      <c r="F22578" s="546"/>
      <c r="G22578" s="234"/>
      <c r="H22578" s="238"/>
      <c r="I22578" s="237"/>
    </row>
    <row r="22579" spans="1:9" s="232" customFormat="1" ht="17" customHeight="1">
      <c r="A22579" s="234"/>
      <c r="B22579" s="233"/>
      <c r="C22579" s="238"/>
      <c r="E22579" s="545"/>
      <c r="F22579" s="546"/>
      <c r="G22579" s="234"/>
      <c r="H22579" s="238"/>
      <c r="I22579" s="237"/>
    </row>
    <row r="22580" spans="1:9" s="232" customFormat="1" ht="17" customHeight="1">
      <c r="A22580" s="234"/>
      <c r="B22580" s="233"/>
      <c r="C22580" s="238"/>
      <c r="E22580" s="545"/>
      <c r="F22580" s="546"/>
      <c r="G22580" s="234"/>
      <c r="H22580" s="238"/>
      <c r="I22580" s="237"/>
    </row>
    <row r="22581" spans="1:9" s="232" customFormat="1" ht="17" customHeight="1">
      <c r="A22581" s="234"/>
      <c r="B22581" s="233"/>
      <c r="C22581" s="238"/>
      <c r="E22581" s="545"/>
      <c r="F22581" s="546"/>
      <c r="G22581" s="234"/>
      <c r="H22581" s="238"/>
      <c r="I22581" s="237"/>
    </row>
    <row r="22582" spans="1:9" s="232" customFormat="1" ht="17" customHeight="1">
      <c r="A22582" s="234"/>
      <c r="B22582" s="233"/>
      <c r="C22582" s="238"/>
      <c r="E22582" s="545"/>
      <c r="F22582" s="546"/>
      <c r="G22582" s="234"/>
      <c r="H22582" s="238"/>
      <c r="I22582" s="237"/>
    </row>
    <row r="22583" spans="1:9" s="232" customFormat="1" ht="17" customHeight="1">
      <c r="A22583" s="234"/>
      <c r="B22583" s="233"/>
      <c r="C22583" s="238"/>
      <c r="E22583" s="545"/>
      <c r="F22583" s="546"/>
      <c r="G22583" s="234"/>
      <c r="H22583" s="238"/>
      <c r="I22583" s="237"/>
    </row>
    <row r="22584" spans="1:9" s="232" customFormat="1" ht="17" customHeight="1">
      <c r="A22584" s="234"/>
      <c r="B22584" s="233"/>
      <c r="C22584" s="238"/>
      <c r="E22584" s="545"/>
      <c r="F22584" s="546"/>
      <c r="G22584" s="234"/>
      <c r="H22584" s="238"/>
      <c r="I22584" s="237"/>
    </row>
    <row r="22585" spans="1:9" s="232" customFormat="1" ht="17" customHeight="1">
      <c r="A22585" s="234"/>
      <c r="B22585" s="233"/>
      <c r="C22585" s="238"/>
      <c r="E22585" s="545"/>
      <c r="F22585" s="546"/>
      <c r="G22585" s="234"/>
      <c r="H22585" s="238"/>
      <c r="I22585" s="237"/>
    </row>
    <row r="22586" spans="1:9" s="232" customFormat="1" ht="17" customHeight="1">
      <c r="A22586" s="234"/>
      <c r="B22586" s="233"/>
      <c r="C22586" s="238"/>
      <c r="E22586" s="545"/>
      <c r="F22586" s="546"/>
      <c r="G22586" s="234"/>
      <c r="H22586" s="238"/>
      <c r="I22586" s="237"/>
    </row>
    <row r="22587" spans="1:9" s="232" customFormat="1" ht="17" customHeight="1">
      <c r="A22587" s="234"/>
      <c r="B22587" s="233"/>
      <c r="C22587" s="238"/>
      <c r="E22587" s="545"/>
      <c r="F22587" s="546"/>
      <c r="G22587" s="234"/>
      <c r="H22587" s="238"/>
      <c r="I22587" s="237"/>
    </row>
    <row r="22588" spans="1:9" s="232" customFormat="1" ht="17" customHeight="1">
      <c r="A22588" s="234"/>
      <c r="B22588" s="233"/>
      <c r="C22588" s="238"/>
      <c r="E22588" s="545"/>
      <c r="F22588" s="546"/>
      <c r="G22588" s="234"/>
      <c r="H22588" s="238"/>
      <c r="I22588" s="237"/>
    </row>
    <row r="22589" spans="1:9" s="232" customFormat="1" ht="17" customHeight="1">
      <c r="A22589" s="234"/>
      <c r="B22589" s="233"/>
      <c r="C22589" s="238"/>
      <c r="E22589" s="545"/>
      <c r="F22589" s="546"/>
      <c r="G22589" s="234"/>
      <c r="H22589" s="238"/>
      <c r="I22589" s="237"/>
    </row>
    <row r="22590" spans="1:9" s="232" customFormat="1" ht="17" customHeight="1">
      <c r="A22590" s="234"/>
      <c r="B22590" s="233"/>
      <c r="C22590" s="238"/>
      <c r="E22590" s="545"/>
      <c r="F22590" s="546"/>
      <c r="G22590" s="234"/>
      <c r="H22590" s="238"/>
      <c r="I22590" s="237"/>
    </row>
    <row r="22591" spans="1:9" s="232" customFormat="1" ht="17" customHeight="1">
      <c r="A22591" s="234"/>
      <c r="B22591" s="233"/>
      <c r="C22591" s="238"/>
      <c r="E22591" s="545"/>
      <c r="F22591" s="546"/>
      <c r="G22591" s="234"/>
      <c r="H22591" s="238"/>
      <c r="I22591" s="237"/>
    </row>
    <row r="22592" spans="1:9" s="232" customFormat="1" ht="17" customHeight="1">
      <c r="A22592" s="234"/>
      <c r="B22592" s="233"/>
      <c r="C22592" s="238"/>
      <c r="E22592" s="545"/>
      <c r="F22592" s="546"/>
      <c r="G22592" s="234"/>
      <c r="H22592" s="238"/>
      <c r="I22592" s="237"/>
    </row>
    <row r="22593" spans="1:9" s="232" customFormat="1" ht="17" customHeight="1">
      <c r="A22593" s="234"/>
      <c r="B22593" s="233"/>
      <c r="C22593" s="238"/>
      <c r="E22593" s="545"/>
      <c r="F22593" s="546"/>
      <c r="G22593" s="234"/>
      <c r="H22593" s="238"/>
      <c r="I22593" s="237"/>
    </row>
    <row r="22594" spans="1:9" s="232" customFormat="1" ht="17" customHeight="1">
      <c r="A22594" s="234"/>
      <c r="B22594" s="233"/>
      <c r="C22594" s="238"/>
      <c r="E22594" s="545"/>
      <c r="F22594" s="546"/>
      <c r="G22594" s="234"/>
      <c r="H22594" s="238"/>
      <c r="I22594" s="237"/>
    </row>
    <row r="22595" spans="1:9" s="232" customFormat="1" ht="17" customHeight="1">
      <c r="A22595" s="234"/>
      <c r="B22595" s="233"/>
      <c r="C22595" s="238"/>
      <c r="E22595" s="545"/>
      <c r="F22595" s="546"/>
      <c r="G22595" s="234"/>
      <c r="H22595" s="238"/>
      <c r="I22595" s="237"/>
    </row>
    <row r="22596" spans="1:9" s="232" customFormat="1" ht="17" customHeight="1">
      <c r="A22596" s="234"/>
      <c r="B22596" s="233"/>
      <c r="C22596" s="238"/>
      <c r="E22596" s="545"/>
      <c r="F22596" s="546"/>
      <c r="G22596" s="234"/>
      <c r="H22596" s="238"/>
      <c r="I22596" s="237"/>
    </row>
    <row r="22597" spans="1:9" s="232" customFormat="1" ht="17" customHeight="1">
      <c r="A22597" s="234"/>
      <c r="B22597" s="233"/>
      <c r="C22597" s="238"/>
      <c r="E22597" s="545"/>
      <c r="F22597" s="546"/>
      <c r="G22597" s="234"/>
      <c r="H22597" s="238"/>
      <c r="I22597" s="237"/>
    </row>
    <row r="22598" spans="1:9" s="232" customFormat="1" ht="17" customHeight="1">
      <c r="A22598" s="234"/>
      <c r="B22598" s="233"/>
      <c r="C22598" s="238"/>
      <c r="E22598" s="545"/>
      <c r="F22598" s="546"/>
      <c r="G22598" s="234"/>
      <c r="H22598" s="238"/>
      <c r="I22598" s="237"/>
    </row>
    <row r="22599" spans="1:9" s="232" customFormat="1" ht="17" customHeight="1">
      <c r="A22599" s="234"/>
      <c r="B22599" s="233"/>
      <c r="C22599" s="238"/>
      <c r="E22599" s="545"/>
      <c r="F22599" s="546"/>
      <c r="G22599" s="234"/>
      <c r="H22599" s="238"/>
      <c r="I22599" s="237"/>
    </row>
    <row r="22600" spans="1:9" s="232" customFormat="1" ht="17" customHeight="1">
      <c r="A22600" s="234"/>
      <c r="B22600" s="233"/>
      <c r="C22600" s="238"/>
      <c r="E22600" s="545"/>
      <c r="F22600" s="546"/>
      <c r="G22600" s="234"/>
      <c r="H22600" s="238"/>
      <c r="I22600" s="237"/>
    </row>
    <row r="22601" spans="1:9" s="232" customFormat="1" ht="17" customHeight="1">
      <c r="A22601" s="234"/>
      <c r="B22601" s="233"/>
      <c r="C22601" s="238"/>
      <c r="E22601" s="545"/>
      <c r="F22601" s="546"/>
      <c r="G22601" s="234"/>
      <c r="H22601" s="238"/>
      <c r="I22601" s="237"/>
    </row>
    <row r="22602" spans="1:9" s="232" customFormat="1" ht="17" customHeight="1">
      <c r="A22602" s="234"/>
      <c r="B22602" s="233"/>
      <c r="C22602" s="238"/>
      <c r="E22602" s="545"/>
      <c r="F22602" s="546"/>
      <c r="G22602" s="234"/>
      <c r="H22602" s="238"/>
      <c r="I22602" s="237"/>
    </row>
    <row r="22603" spans="1:9" s="232" customFormat="1" ht="17" customHeight="1">
      <c r="A22603" s="234"/>
      <c r="B22603" s="233"/>
      <c r="C22603" s="238"/>
      <c r="E22603" s="545"/>
      <c r="F22603" s="546"/>
      <c r="G22603" s="234"/>
      <c r="H22603" s="238"/>
      <c r="I22603" s="237"/>
    </row>
    <row r="22604" spans="1:9" s="232" customFormat="1" ht="17" customHeight="1">
      <c r="A22604" s="234"/>
      <c r="B22604" s="233"/>
      <c r="C22604" s="238"/>
      <c r="E22604" s="545"/>
      <c r="F22604" s="546"/>
      <c r="G22604" s="234"/>
      <c r="H22604" s="238"/>
      <c r="I22604" s="237"/>
    </row>
    <row r="22605" spans="1:9" s="232" customFormat="1" ht="17" customHeight="1">
      <c r="A22605" s="234"/>
      <c r="B22605" s="233"/>
      <c r="C22605" s="238"/>
      <c r="E22605" s="545"/>
      <c r="F22605" s="546"/>
      <c r="G22605" s="234"/>
      <c r="H22605" s="238"/>
      <c r="I22605" s="237"/>
    </row>
    <row r="22606" spans="1:9" s="232" customFormat="1" ht="17" customHeight="1">
      <c r="A22606" s="234"/>
      <c r="B22606" s="233"/>
      <c r="C22606" s="238"/>
      <c r="E22606" s="545"/>
      <c r="F22606" s="546"/>
      <c r="G22606" s="234"/>
      <c r="H22606" s="238"/>
      <c r="I22606" s="237"/>
    </row>
    <row r="22607" spans="1:9" s="232" customFormat="1" ht="17" customHeight="1">
      <c r="A22607" s="234"/>
      <c r="B22607" s="233"/>
      <c r="C22607" s="238"/>
      <c r="E22607" s="545"/>
      <c r="F22607" s="546"/>
      <c r="G22607" s="234"/>
      <c r="H22607" s="238"/>
      <c r="I22607" s="237"/>
    </row>
    <row r="22608" spans="1:9" s="232" customFormat="1" ht="17" customHeight="1">
      <c r="A22608" s="234"/>
      <c r="B22608" s="233"/>
      <c r="C22608" s="238"/>
      <c r="E22608" s="545"/>
      <c r="F22608" s="546"/>
      <c r="G22608" s="234"/>
      <c r="H22608" s="238"/>
      <c r="I22608" s="237"/>
    </row>
    <row r="22609" spans="1:9" s="232" customFormat="1" ht="17" customHeight="1">
      <c r="A22609" s="234"/>
      <c r="B22609" s="233"/>
      <c r="C22609" s="238"/>
      <c r="E22609" s="545"/>
      <c r="F22609" s="546"/>
      <c r="G22609" s="234"/>
      <c r="H22609" s="238"/>
      <c r="I22609" s="237"/>
    </row>
    <row r="22610" spans="1:9" s="232" customFormat="1" ht="17" customHeight="1">
      <c r="A22610" s="234"/>
      <c r="B22610" s="233"/>
      <c r="C22610" s="238"/>
      <c r="E22610" s="545"/>
      <c r="F22610" s="546"/>
      <c r="G22610" s="234"/>
      <c r="H22610" s="238"/>
      <c r="I22610" s="237"/>
    </row>
    <row r="22611" spans="1:9" s="232" customFormat="1" ht="17" customHeight="1">
      <c r="A22611" s="234"/>
      <c r="B22611" s="233"/>
      <c r="C22611" s="238"/>
      <c r="E22611" s="545"/>
      <c r="F22611" s="546"/>
      <c r="G22611" s="234"/>
      <c r="H22611" s="238"/>
      <c r="I22611" s="237"/>
    </row>
    <row r="22612" spans="1:9" s="232" customFormat="1" ht="17" customHeight="1">
      <c r="A22612" s="234"/>
      <c r="B22612" s="233"/>
      <c r="C22612" s="238"/>
      <c r="E22612" s="545"/>
      <c r="F22612" s="546"/>
      <c r="G22612" s="234"/>
      <c r="H22612" s="238"/>
      <c r="I22612" s="237"/>
    </row>
    <row r="22613" spans="1:9" s="232" customFormat="1" ht="17" customHeight="1">
      <c r="A22613" s="234"/>
      <c r="B22613" s="233"/>
      <c r="C22613" s="238"/>
      <c r="E22613" s="545"/>
      <c r="F22613" s="546"/>
      <c r="G22613" s="234"/>
      <c r="H22613" s="238"/>
      <c r="I22613" s="237"/>
    </row>
    <row r="22614" spans="1:9" s="232" customFormat="1" ht="17" customHeight="1">
      <c r="A22614" s="234"/>
      <c r="B22614" s="233"/>
      <c r="C22614" s="238"/>
      <c r="E22614" s="545"/>
      <c r="F22614" s="546"/>
      <c r="G22614" s="234"/>
      <c r="H22614" s="238"/>
      <c r="I22614" s="237"/>
    </row>
    <row r="22615" spans="1:9" s="232" customFormat="1" ht="17" customHeight="1">
      <c r="A22615" s="234"/>
      <c r="B22615" s="233"/>
      <c r="C22615" s="238"/>
      <c r="E22615" s="545"/>
      <c r="F22615" s="546"/>
      <c r="G22615" s="234"/>
      <c r="H22615" s="238"/>
      <c r="I22615" s="237"/>
    </row>
    <row r="22616" spans="1:9" s="232" customFormat="1" ht="17" customHeight="1">
      <c r="A22616" s="234"/>
      <c r="B22616" s="233"/>
      <c r="C22616" s="238"/>
      <c r="E22616" s="545"/>
      <c r="F22616" s="546"/>
      <c r="G22616" s="234"/>
      <c r="H22616" s="238"/>
      <c r="I22616" s="237"/>
    </row>
    <row r="22617" spans="1:9" s="232" customFormat="1" ht="17" customHeight="1">
      <c r="A22617" s="234"/>
      <c r="B22617" s="233"/>
      <c r="C22617" s="238"/>
      <c r="E22617" s="545"/>
      <c r="F22617" s="546"/>
      <c r="G22617" s="234"/>
      <c r="H22617" s="238"/>
      <c r="I22617" s="237"/>
    </row>
    <row r="22618" spans="1:9" s="232" customFormat="1" ht="17" customHeight="1">
      <c r="A22618" s="234"/>
      <c r="B22618" s="233"/>
      <c r="C22618" s="238"/>
      <c r="E22618" s="545"/>
      <c r="F22618" s="546"/>
      <c r="G22618" s="234"/>
      <c r="H22618" s="238"/>
      <c r="I22618" s="237"/>
    </row>
    <row r="22619" spans="1:9" s="232" customFormat="1" ht="17" customHeight="1">
      <c r="A22619" s="234"/>
      <c r="B22619" s="233"/>
      <c r="C22619" s="238"/>
      <c r="E22619" s="545"/>
      <c r="F22619" s="546"/>
      <c r="G22619" s="234"/>
      <c r="H22619" s="238"/>
      <c r="I22619" s="237"/>
    </row>
    <row r="22620" spans="1:9" s="232" customFormat="1" ht="17" customHeight="1">
      <c r="A22620" s="234"/>
      <c r="B22620" s="233"/>
      <c r="C22620" s="238"/>
      <c r="E22620" s="545"/>
      <c r="F22620" s="546"/>
      <c r="G22620" s="234"/>
      <c r="H22620" s="238"/>
      <c r="I22620" s="237"/>
    </row>
    <row r="22621" spans="1:9" s="232" customFormat="1" ht="17" customHeight="1">
      <c r="A22621" s="234"/>
      <c r="B22621" s="233"/>
      <c r="C22621" s="238"/>
      <c r="E22621" s="545"/>
      <c r="F22621" s="546"/>
      <c r="G22621" s="234"/>
      <c r="H22621" s="238"/>
      <c r="I22621" s="237"/>
    </row>
    <row r="22622" spans="1:9" s="232" customFormat="1" ht="17" customHeight="1">
      <c r="A22622" s="234"/>
      <c r="B22622" s="233"/>
      <c r="C22622" s="238"/>
      <c r="E22622" s="545"/>
      <c r="F22622" s="546"/>
      <c r="G22622" s="234"/>
      <c r="H22622" s="238"/>
      <c r="I22622" s="237"/>
    </row>
    <row r="22623" spans="1:9" s="232" customFormat="1" ht="17" customHeight="1">
      <c r="A22623" s="234"/>
      <c r="B22623" s="233"/>
      <c r="C22623" s="238"/>
      <c r="E22623" s="545"/>
      <c r="F22623" s="546"/>
      <c r="G22623" s="234"/>
      <c r="H22623" s="238"/>
      <c r="I22623" s="237"/>
    </row>
    <row r="22624" spans="1:9" s="232" customFormat="1" ht="17" customHeight="1">
      <c r="A22624" s="234"/>
      <c r="B22624" s="233"/>
      <c r="C22624" s="238"/>
      <c r="E22624" s="545"/>
      <c r="F22624" s="546"/>
      <c r="G22624" s="234"/>
      <c r="H22624" s="238"/>
      <c r="I22624" s="237"/>
    </row>
    <row r="22625" spans="1:9" s="232" customFormat="1" ht="17" customHeight="1">
      <c r="A22625" s="234"/>
      <c r="B22625" s="233"/>
      <c r="C22625" s="238"/>
      <c r="E22625" s="545"/>
      <c r="F22625" s="546"/>
      <c r="G22625" s="234"/>
      <c r="H22625" s="238"/>
      <c r="I22625" s="237"/>
    </row>
    <row r="22626" spans="1:9" s="232" customFormat="1" ht="17" customHeight="1">
      <c r="A22626" s="234"/>
      <c r="B22626" s="233"/>
      <c r="C22626" s="238"/>
      <c r="E22626" s="545"/>
      <c r="F22626" s="546"/>
      <c r="G22626" s="234"/>
      <c r="H22626" s="238"/>
      <c r="I22626" s="237"/>
    </row>
    <row r="22627" spans="1:9" s="232" customFormat="1" ht="17" customHeight="1">
      <c r="A22627" s="234"/>
      <c r="B22627" s="233"/>
      <c r="C22627" s="238"/>
      <c r="E22627" s="545"/>
      <c r="F22627" s="546"/>
      <c r="G22627" s="234"/>
      <c r="H22627" s="238"/>
      <c r="I22627" s="237"/>
    </row>
    <row r="22628" spans="1:9" s="232" customFormat="1" ht="17" customHeight="1">
      <c r="A22628" s="234"/>
      <c r="B22628" s="233"/>
      <c r="C22628" s="238"/>
      <c r="E22628" s="545"/>
      <c r="F22628" s="546"/>
      <c r="G22628" s="234"/>
      <c r="H22628" s="238"/>
      <c r="I22628" s="237"/>
    </row>
    <row r="22629" spans="1:9" s="232" customFormat="1" ht="17" customHeight="1">
      <c r="A22629" s="234"/>
      <c r="B22629" s="233"/>
      <c r="C22629" s="238"/>
      <c r="E22629" s="545"/>
      <c r="F22629" s="546"/>
      <c r="G22629" s="234"/>
      <c r="H22629" s="238"/>
      <c r="I22629" s="237"/>
    </row>
    <row r="22630" spans="1:9" s="232" customFormat="1" ht="17" customHeight="1">
      <c r="A22630" s="234"/>
      <c r="B22630" s="233"/>
      <c r="C22630" s="238"/>
      <c r="E22630" s="545"/>
      <c r="F22630" s="546"/>
      <c r="G22630" s="234"/>
      <c r="H22630" s="238"/>
      <c r="I22630" s="237"/>
    </row>
    <row r="22631" spans="1:9" s="232" customFormat="1" ht="17" customHeight="1">
      <c r="A22631" s="234"/>
      <c r="B22631" s="233"/>
      <c r="C22631" s="238"/>
      <c r="E22631" s="545"/>
      <c r="F22631" s="546"/>
      <c r="G22631" s="234"/>
      <c r="H22631" s="238"/>
      <c r="I22631" s="237"/>
    </row>
    <row r="22632" spans="1:9" s="232" customFormat="1" ht="17" customHeight="1">
      <c r="A22632" s="234"/>
      <c r="B22632" s="233"/>
      <c r="C22632" s="238"/>
      <c r="E22632" s="545"/>
      <c r="F22632" s="546"/>
      <c r="G22632" s="234"/>
      <c r="H22632" s="238"/>
      <c r="I22632" s="237"/>
    </row>
    <row r="22633" spans="1:9" s="232" customFormat="1" ht="17" customHeight="1">
      <c r="A22633" s="234"/>
      <c r="B22633" s="233"/>
      <c r="C22633" s="238"/>
      <c r="E22633" s="545"/>
      <c r="F22633" s="546"/>
      <c r="G22633" s="234"/>
      <c r="H22633" s="238"/>
      <c r="I22633" s="237"/>
    </row>
    <row r="22634" spans="1:9" s="232" customFormat="1" ht="17" customHeight="1">
      <c r="A22634" s="234"/>
      <c r="B22634" s="233"/>
      <c r="C22634" s="238"/>
      <c r="E22634" s="545"/>
      <c r="F22634" s="546"/>
      <c r="G22634" s="234"/>
      <c r="H22634" s="238"/>
      <c r="I22634" s="237"/>
    </row>
    <row r="22635" spans="1:9" s="232" customFormat="1" ht="17" customHeight="1">
      <c r="A22635" s="234"/>
      <c r="B22635" s="233"/>
      <c r="C22635" s="238"/>
      <c r="E22635" s="545"/>
      <c r="F22635" s="546"/>
      <c r="G22635" s="234"/>
      <c r="H22635" s="238"/>
      <c r="I22635" s="237"/>
    </row>
    <row r="22636" spans="1:9" s="232" customFormat="1" ht="17" customHeight="1">
      <c r="A22636" s="234"/>
      <c r="B22636" s="233"/>
      <c r="C22636" s="238"/>
      <c r="E22636" s="545"/>
      <c r="F22636" s="546"/>
      <c r="G22636" s="234"/>
      <c r="H22636" s="238"/>
      <c r="I22636" s="237"/>
    </row>
    <row r="22637" spans="1:9" s="232" customFormat="1" ht="17" customHeight="1">
      <c r="A22637" s="234"/>
      <c r="B22637" s="233"/>
      <c r="C22637" s="238"/>
      <c r="E22637" s="545"/>
      <c r="F22637" s="546"/>
      <c r="G22637" s="234"/>
      <c r="H22637" s="238"/>
      <c r="I22637" s="237"/>
    </row>
    <row r="22638" spans="1:9" s="232" customFormat="1" ht="17" customHeight="1">
      <c r="A22638" s="234"/>
      <c r="B22638" s="233"/>
      <c r="C22638" s="238"/>
      <c r="E22638" s="545"/>
      <c r="F22638" s="546"/>
      <c r="G22638" s="234"/>
      <c r="H22638" s="238"/>
      <c r="I22638" s="237"/>
    </row>
    <row r="22639" spans="1:9" s="232" customFormat="1" ht="17" customHeight="1">
      <c r="A22639" s="234"/>
      <c r="B22639" s="233"/>
      <c r="C22639" s="238"/>
      <c r="E22639" s="545"/>
      <c r="F22639" s="546"/>
      <c r="G22639" s="234"/>
      <c r="H22639" s="238"/>
      <c r="I22639" s="237"/>
    </row>
    <row r="22640" spans="1:9" s="232" customFormat="1" ht="17" customHeight="1">
      <c r="A22640" s="234"/>
      <c r="B22640" s="233"/>
      <c r="C22640" s="238"/>
      <c r="E22640" s="545"/>
      <c r="F22640" s="546"/>
      <c r="G22640" s="234"/>
      <c r="H22640" s="238"/>
      <c r="I22640" s="237"/>
    </row>
    <row r="22641" spans="1:9" s="232" customFormat="1" ht="17" customHeight="1">
      <c r="A22641" s="234"/>
      <c r="B22641" s="233"/>
      <c r="C22641" s="238"/>
      <c r="E22641" s="545"/>
      <c r="F22641" s="546"/>
      <c r="G22641" s="234"/>
      <c r="H22641" s="238"/>
      <c r="I22641" s="237"/>
    </row>
    <row r="22642" spans="1:9" s="232" customFormat="1" ht="17" customHeight="1">
      <c r="A22642" s="234"/>
      <c r="B22642" s="233"/>
      <c r="C22642" s="238"/>
      <c r="E22642" s="545"/>
      <c r="F22642" s="546"/>
      <c r="G22642" s="234"/>
      <c r="H22642" s="238"/>
      <c r="I22642" s="237"/>
    </row>
    <row r="22643" spans="1:9" s="232" customFormat="1" ht="17" customHeight="1">
      <c r="A22643" s="234"/>
      <c r="B22643" s="233"/>
      <c r="C22643" s="238"/>
      <c r="E22643" s="545"/>
      <c r="F22643" s="546"/>
      <c r="G22643" s="234"/>
      <c r="H22643" s="238"/>
      <c r="I22643" s="237"/>
    </row>
    <row r="22644" spans="1:9" s="232" customFormat="1" ht="17" customHeight="1">
      <c r="A22644" s="234"/>
      <c r="B22644" s="233"/>
      <c r="C22644" s="238"/>
      <c r="E22644" s="545"/>
      <c r="F22644" s="546"/>
      <c r="G22644" s="234"/>
      <c r="H22644" s="238"/>
      <c r="I22644" s="237"/>
    </row>
    <row r="22645" spans="1:9" s="232" customFormat="1" ht="17" customHeight="1">
      <c r="A22645" s="234"/>
      <c r="B22645" s="233"/>
      <c r="C22645" s="238"/>
      <c r="E22645" s="545"/>
      <c r="F22645" s="546"/>
      <c r="G22645" s="234"/>
      <c r="H22645" s="238"/>
      <c r="I22645" s="237"/>
    </row>
    <row r="22646" spans="1:9" s="232" customFormat="1" ht="17" customHeight="1">
      <c r="A22646" s="234"/>
      <c r="B22646" s="233"/>
      <c r="C22646" s="238"/>
      <c r="E22646" s="545"/>
      <c r="F22646" s="546"/>
      <c r="G22646" s="234"/>
      <c r="H22646" s="238"/>
      <c r="I22646" s="237"/>
    </row>
    <row r="22647" spans="1:9" s="232" customFormat="1" ht="17" customHeight="1">
      <c r="A22647" s="234"/>
      <c r="B22647" s="233"/>
      <c r="C22647" s="238"/>
      <c r="E22647" s="545"/>
      <c r="F22647" s="546"/>
      <c r="G22647" s="234"/>
      <c r="H22647" s="238"/>
      <c r="I22647" s="237"/>
    </row>
    <row r="22648" spans="1:9" s="232" customFormat="1" ht="17" customHeight="1">
      <c r="A22648" s="234"/>
      <c r="B22648" s="233"/>
      <c r="C22648" s="238"/>
      <c r="E22648" s="545"/>
      <c r="F22648" s="546"/>
      <c r="G22648" s="234"/>
      <c r="H22648" s="238"/>
      <c r="I22648" s="237"/>
    </row>
    <row r="22649" spans="1:9" s="232" customFormat="1" ht="17" customHeight="1">
      <c r="A22649" s="234"/>
      <c r="B22649" s="233"/>
      <c r="C22649" s="238"/>
      <c r="E22649" s="545"/>
      <c r="F22649" s="546"/>
      <c r="G22649" s="234"/>
      <c r="H22649" s="238"/>
      <c r="I22649" s="237"/>
    </row>
    <row r="22650" spans="1:9" s="232" customFormat="1" ht="17" customHeight="1">
      <c r="A22650" s="234"/>
      <c r="B22650" s="233"/>
      <c r="C22650" s="238"/>
      <c r="E22650" s="545"/>
      <c r="F22650" s="546"/>
      <c r="G22650" s="234"/>
      <c r="H22650" s="238"/>
      <c r="I22650" s="237"/>
    </row>
    <row r="22651" spans="1:9" s="232" customFormat="1" ht="17" customHeight="1">
      <c r="A22651" s="234"/>
      <c r="B22651" s="233"/>
      <c r="C22651" s="238"/>
      <c r="E22651" s="545"/>
      <c r="F22651" s="546"/>
      <c r="G22651" s="234"/>
      <c r="H22651" s="238"/>
      <c r="I22651" s="237"/>
    </row>
    <row r="22652" spans="1:9" s="232" customFormat="1" ht="17" customHeight="1">
      <c r="A22652" s="234"/>
      <c r="B22652" s="233"/>
      <c r="C22652" s="238"/>
      <c r="E22652" s="545"/>
      <c r="F22652" s="546"/>
      <c r="G22652" s="234"/>
      <c r="H22652" s="238"/>
      <c r="I22652" s="237"/>
    </row>
    <row r="22653" spans="1:9" s="232" customFormat="1" ht="17" customHeight="1">
      <c r="A22653" s="234"/>
      <c r="B22653" s="233"/>
      <c r="C22653" s="238"/>
      <c r="E22653" s="545"/>
      <c r="F22653" s="546"/>
      <c r="G22653" s="234"/>
      <c r="H22653" s="238"/>
      <c r="I22653" s="237"/>
    </row>
    <row r="22654" spans="1:9" s="232" customFormat="1" ht="17" customHeight="1">
      <c r="A22654" s="234"/>
      <c r="B22654" s="233"/>
      <c r="C22654" s="238"/>
      <c r="E22654" s="545"/>
      <c r="F22654" s="546"/>
      <c r="G22654" s="234"/>
      <c r="H22654" s="238"/>
      <c r="I22654" s="237"/>
    </row>
    <row r="22655" spans="1:9" s="232" customFormat="1" ht="17" customHeight="1">
      <c r="A22655" s="234"/>
      <c r="B22655" s="233"/>
      <c r="C22655" s="238"/>
      <c r="E22655" s="545"/>
      <c r="F22655" s="546"/>
      <c r="G22655" s="234"/>
      <c r="H22655" s="238"/>
      <c r="I22655" s="237"/>
    </row>
    <row r="22656" spans="1:9" s="232" customFormat="1" ht="17" customHeight="1">
      <c r="A22656" s="234"/>
      <c r="B22656" s="233"/>
      <c r="C22656" s="238"/>
      <c r="E22656" s="545"/>
      <c r="F22656" s="546"/>
      <c r="G22656" s="234"/>
      <c r="H22656" s="238"/>
      <c r="I22656" s="237"/>
    </row>
    <row r="22657" spans="1:9" s="232" customFormat="1" ht="17" customHeight="1">
      <c r="A22657" s="234"/>
      <c r="B22657" s="233"/>
      <c r="C22657" s="238"/>
      <c r="E22657" s="545"/>
      <c r="F22657" s="546"/>
      <c r="G22657" s="234"/>
      <c r="H22657" s="238"/>
      <c r="I22657" s="237"/>
    </row>
    <row r="22658" spans="1:9" s="232" customFormat="1" ht="17" customHeight="1">
      <c r="A22658" s="234"/>
      <c r="B22658" s="233"/>
      <c r="C22658" s="238"/>
      <c r="E22658" s="545"/>
      <c r="F22658" s="546"/>
      <c r="G22658" s="234"/>
      <c r="H22658" s="238"/>
      <c r="I22658" s="237"/>
    </row>
    <row r="22659" spans="1:9" s="232" customFormat="1" ht="17" customHeight="1">
      <c r="A22659" s="234"/>
      <c r="B22659" s="233"/>
      <c r="C22659" s="238"/>
      <c r="E22659" s="545"/>
      <c r="F22659" s="546"/>
      <c r="G22659" s="234"/>
      <c r="H22659" s="238"/>
      <c r="I22659" s="237"/>
    </row>
    <row r="22660" spans="1:9" s="232" customFormat="1" ht="17" customHeight="1">
      <c r="A22660" s="234"/>
      <c r="B22660" s="233"/>
      <c r="C22660" s="238"/>
      <c r="E22660" s="545"/>
      <c r="F22660" s="546"/>
      <c r="G22660" s="234"/>
      <c r="H22660" s="238"/>
      <c r="I22660" s="237"/>
    </row>
    <row r="22661" spans="1:9" s="232" customFormat="1" ht="17" customHeight="1">
      <c r="A22661" s="234"/>
      <c r="B22661" s="233"/>
      <c r="C22661" s="238"/>
      <c r="E22661" s="545"/>
      <c r="F22661" s="546"/>
      <c r="G22661" s="234"/>
      <c r="H22661" s="238"/>
      <c r="I22661" s="237"/>
    </row>
    <row r="22662" spans="1:9" s="232" customFormat="1" ht="17" customHeight="1">
      <c r="A22662" s="234"/>
      <c r="B22662" s="233"/>
      <c r="C22662" s="238"/>
      <c r="E22662" s="545"/>
      <c r="F22662" s="546"/>
      <c r="G22662" s="234"/>
      <c r="H22662" s="238"/>
      <c r="I22662" s="237"/>
    </row>
    <row r="22663" spans="1:9" s="232" customFormat="1" ht="17" customHeight="1">
      <c r="A22663" s="234"/>
      <c r="B22663" s="233"/>
      <c r="C22663" s="238"/>
      <c r="E22663" s="545"/>
      <c r="F22663" s="546"/>
      <c r="G22663" s="234"/>
      <c r="H22663" s="238"/>
      <c r="I22663" s="237"/>
    </row>
    <row r="22664" spans="1:9" s="232" customFormat="1" ht="17" customHeight="1">
      <c r="A22664" s="234"/>
      <c r="B22664" s="233"/>
      <c r="C22664" s="238"/>
      <c r="E22664" s="545"/>
      <c r="F22664" s="546"/>
      <c r="G22664" s="234"/>
      <c r="H22664" s="238"/>
      <c r="I22664" s="237"/>
    </row>
    <row r="22665" spans="1:9" s="232" customFormat="1" ht="17" customHeight="1">
      <c r="A22665" s="234"/>
      <c r="B22665" s="233"/>
      <c r="C22665" s="238"/>
      <c r="E22665" s="545"/>
      <c r="F22665" s="546"/>
      <c r="G22665" s="234"/>
      <c r="H22665" s="238"/>
      <c r="I22665" s="237"/>
    </row>
    <row r="22666" spans="1:9" s="232" customFormat="1" ht="17" customHeight="1">
      <c r="A22666" s="234"/>
      <c r="B22666" s="233"/>
      <c r="C22666" s="238"/>
      <c r="E22666" s="545"/>
      <c r="F22666" s="546"/>
      <c r="G22666" s="234"/>
      <c r="H22666" s="238"/>
      <c r="I22666" s="237"/>
    </row>
    <row r="22667" spans="1:9" s="232" customFormat="1" ht="17" customHeight="1">
      <c r="A22667" s="234"/>
      <c r="B22667" s="233"/>
      <c r="C22667" s="238"/>
      <c r="E22667" s="545"/>
      <c r="F22667" s="546"/>
      <c r="G22667" s="234"/>
      <c r="H22667" s="238"/>
      <c r="I22667" s="237"/>
    </row>
    <row r="22668" spans="1:9" s="232" customFormat="1" ht="17" customHeight="1">
      <c r="A22668" s="234"/>
      <c r="B22668" s="233"/>
      <c r="C22668" s="238"/>
      <c r="E22668" s="545"/>
      <c r="F22668" s="546"/>
      <c r="G22668" s="234"/>
      <c r="H22668" s="238"/>
      <c r="I22668" s="237"/>
    </row>
    <row r="22669" spans="1:9" s="232" customFormat="1" ht="17" customHeight="1">
      <c r="A22669" s="234"/>
      <c r="B22669" s="233"/>
      <c r="C22669" s="238"/>
      <c r="E22669" s="545"/>
      <c r="F22669" s="546"/>
      <c r="G22669" s="234"/>
      <c r="H22669" s="238"/>
      <c r="I22669" s="237"/>
    </row>
    <row r="22670" spans="1:9" s="232" customFormat="1" ht="17" customHeight="1">
      <c r="A22670" s="234"/>
      <c r="B22670" s="233"/>
      <c r="C22670" s="238"/>
      <c r="E22670" s="545"/>
      <c r="F22670" s="546"/>
      <c r="G22670" s="234"/>
      <c r="H22670" s="238"/>
      <c r="I22670" s="237"/>
    </row>
    <row r="22671" spans="1:9" s="232" customFormat="1" ht="17" customHeight="1">
      <c r="A22671" s="234"/>
      <c r="B22671" s="233"/>
      <c r="C22671" s="238"/>
      <c r="E22671" s="545"/>
      <c r="F22671" s="546"/>
      <c r="G22671" s="234"/>
      <c r="H22671" s="238"/>
      <c r="I22671" s="237"/>
    </row>
    <row r="22672" spans="1:9" s="232" customFormat="1" ht="17" customHeight="1">
      <c r="A22672" s="234"/>
      <c r="B22672" s="233"/>
      <c r="C22672" s="238"/>
      <c r="E22672" s="545"/>
      <c r="F22672" s="546"/>
      <c r="G22672" s="234"/>
      <c r="H22672" s="238"/>
      <c r="I22672" s="237"/>
    </row>
    <row r="22673" spans="1:9" s="232" customFormat="1" ht="17" customHeight="1">
      <c r="A22673" s="234"/>
      <c r="B22673" s="233"/>
      <c r="C22673" s="238"/>
      <c r="E22673" s="545"/>
      <c r="F22673" s="546"/>
      <c r="G22673" s="234"/>
      <c r="H22673" s="238"/>
      <c r="I22673" s="237"/>
    </row>
    <row r="22674" spans="1:9" s="232" customFormat="1" ht="17" customHeight="1">
      <c r="A22674" s="234"/>
      <c r="B22674" s="233"/>
      <c r="C22674" s="238"/>
      <c r="E22674" s="545"/>
      <c r="F22674" s="546"/>
      <c r="G22674" s="234"/>
      <c r="H22674" s="238"/>
      <c r="I22674" s="237"/>
    </row>
    <row r="22675" spans="1:9" s="232" customFormat="1" ht="17" customHeight="1">
      <c r="A22675" s="234"/>
      <c r="B22675" s="233"/>
      <c r="C22675" s="238"/>
      <c r="E22675" s="545"/>
      <c r="F22675" s="546"/>
      <c r="G22675" s="234"/>
      <c r="H22675" s="238"/>
      <c r="I22675" s="237"/>
    </row>
    <row r="22676" spans="1:9" s="232" customFormat="1" ht="17" customHeight="1">
      <c r="A22676" s="234"/>
      <c r="B22676" s="233"/>
      <c r="C22676" s="238"/>
      <c r="E22676" s="545"/>
      <c r="F22676" s="546"/>
      <c r="G22676" s="234"/>
      <c r="H22676" s="238"/>
      <c r="I22676" s="237"/>
    </row>
    <row r="22677" spans="1:9" s="232" customFormat="1" ht="17" customHeight="1">
      <c r="A22677" s="234"/>
      <c r="B22677" s="233"/>
      <c r="C22677" s="238"/>
      <c r="E22677" s="545"/>
      <c r="F22677" s="546"/>
      <c r="G22677" s="234"/>
      <c r="H22677" s="238"/>
      <c r="I22677" s="237"/>
    </row>
    <row r="22678" spans="1:9" s="232" customFormat="1" ht="17" customHeight="1">
      <c r="A22678" s="234"/>
      <c r="B22678" s="233"/>
      <c r="C22678" s="238"/>
      <c r="E22678" s="545"/>
      <c r="F22678" s="546"/>
      <c r="G22678" s="234"/>
      <c r="H22678" s="238"/>
      <c r="I22678" s="237"/>
    </row>
    <row r="22679" spans="1:9" s="232" customFormat="1" ht="17" customHeight="1">
      <c r="A22679" s="234"/>
      <c r="B22679" s="233"/>
      <c r="C22679" s="238"/>
      <c r="E22679" s="545"/>
      <c r="F22679" s="546"/>
      <c r="G22679" s="234"/>
      <c r="H22679" s="238"/>
      <c r="I22679" s="237"/>
    </row>
    <row r="22680" spans="1:9" s="232" customFormat="1" ht="17" customHeight="1">
      <c r="A22680" s="234"/>
      <c r="B22680" s="233"/>
      <c r="C22680" s="238"/>
      <c r="E22680" s="545"/>
      <c r="F22680" s="546"/>
      <c r="G22680" s="234"/>
      <c r="H22680" s="238"/>
      <c r="I22680" s="237"/>
    </row>
    <row r="22681" spans="1:9" s="232" customFormat="1" ht="17" customHeight="1">
      <c r="A22681" s="234"/>
      <c r="B22681" s="233"/>
      <c r="C22681" s="238"/>
      <c r="E22681" s="545"/>
      <c r="F22681" s="546"/>
      <c r="G22681" s="234"/>
      <c r="H22681" s="238"/>
      <c r="I22681" s="237"/>
    </row>
    <row r="22682" spans="1:9" s="232" customFormat="1" ht="17" customHeight="1">
      <c r="A22682" s="234"/>
      <c r="B22682" s="233"/>
      <c r="C22682" s="238"/>
      <c r="E22682" s="545"/>
      <c r="F22682" s="546"/>
      <c r="G22682" s="234"/>
      <c r="H22682" s="238"/>
      <c r="I22682" s="237"/>
    </row>
    <row r="22683" spans="1:9" s="232" customFormat="1" ht="17" customHeight="1">
      <c r="A22683" s="234"/>
      <c r="B22683" s="233"/>
      <c r="C22683" s="238"/>
      <c r="E22683" s="545"/>
      <c r="F22683" s="546"/>
      <c r="G22683" s="234"/>
      <c r="H22683" s="238"/>
      <c r="I22683" s="237"/>
    </row>
    <row r="22684" spans="1:9" s="232" customFormat="1" ht="17" customHeight="1">
      <c r="A22684" s="234"/>
      <c r="B22684" s="233"/>
      <c r="C22684" s="238"/>
      <c r="E22684" s="545"/>
      <c r="F22684" s="546"/>
      <c r="G22684" s="234"/>
      <c r="H22684" s="238"/>
      <c r="I22684" s="237"/>
    </row>
    <row r="22685" spans="1:9" s="232" customFormat="1" ht="17" customHeight="1">
      <c r="A22685" s="234"/>
      <c r="B22685" s="233"/>
      <c r="C22685" s="238"/>
      <c r="E22685" s="545"/>
      <c r="F22685" s="546"/>
      <c r="G22685" s="234"/>
      <c r="H22685" s="238"/>
      <c r="I22685" s="237"/>
    </row>
    <row r="22686" spans="1:9" s="232" customFormat="1" ht="17" customHeight="1">
      <c r="A22686" s="234"/>
      <c r="B22686" s="233"/>
      <c r="C22686" s="238"/>
      <c r="E22686" s="545"/>
      <c r="F22686" s="546"/>
      <c r="G22686" s="234"/>
      <c r="H22686" s="238"/>
      <c r="I22686" s="237"/>
    </row>
    <row r="22687" spans="1:9" s="232" customFormat="1" ht="17" customHeight="1">
      <c r="A22687" s="234"/>
      <c r="B22687" s="233"/>
      <c r="C22687" s="238"/>
      <c r="E22687" s="545"/>
      <c r="F22687" s="546"/>
      <c r="G22687" s="234"/>
      <c r="H22687" s="238"/>
      <c r="I22687" s="237"/>
    </row>
    <row r="22688" spans="1:9" s="232" customFormat="1" ht="17" customHeight="1">
      <c r="A22688" s="234"/>
      <c r="B22688" s="233"/>
      <c r="C22688" s="238"/>
      <c r="E22688" s="545"/>
      <c r="F22688" s="546"/>
      <c r="G22688" s="234"/>
      <c r="H22688" s="238"/>
      <c r="I22688" s="237"/>
    </row>
    <row r="22689" spans="1:9" s="232" customFormat="1" ht="17" customHeight="1">
      <c r="A22689" s="234"/>
      <c r="B22689" s="233"/>
      <c r="C22689" s="238"/>
      <c r="E22689" s="545"/>
      <c r="F22689" s="546"/>
      <c r="G22689" s="234"/>
      <c r="H22689" s="238"/>
      <c r="I22689" s="237"/>
    </row>
    <row r="22690" spans="1:9" s="232" customFormat="1" ht="17" customHeight="1">
      <c r="A22690" s="234"/>
      <c r="B22690" s="233"/>
      <c r="C22690" s="238"/>
      <c r="E22690" s="545"/>
      <c r="F22690" s="546"/>
      <c r="G22690" s="234"/>
      <c r="H22690" s="238"/>
      <c r="I22690" s="237"/>
    </row>
    <row r="22691" spans="1:9" s="232" customFormat="1" ht="17" customHeight="1">
      <c r="A22691" s="234"/>
      <c r="B22691" s="233"/>
      <c r="C22691" s="238"/>
      <c r="E22691" s="545"/>
      <c r="F22691" s="546"/>
      <c r="G22691" s="234"/>
      <c r="H22691" s="238"/>
      <c r="I22691" s="237"/>
    </row>
    <row r="22692" spans="1:9" s="232" customFormat="1" ht="17" customHeight="1">
      <c r="A22692" s="234"/>
      <c r="B22692" s="233"/>
      <c r="C22692" s="238"/>
      <c r="E22692" s="545"/>
      <c r="F22692" s="546"/>
      <c r="G22692" s="234"/>
      <c r="H22692" s="238"/>
      <c r="I22692" s="237"/>
    </row>
    <row r="22693" spans="1:9" s="232" customFormat="1" ht="17" customHeight="1">
      <c r="A22693" s="234"/>
      <c r="B22693" s="233"/>
      <c r="C22693" s="238"/>
      <c r="E22693" s="545"/>
      <c r="F22693" s="546"/>
      <c r="G22693" s="234"/>
      <c r="H22693" s="238"/>
      <c r="I22693" s="237"/>
    </row>
    <row r="22694" spans="1:9" s="232" customFormat="1" ht="17" customHeight="1">
      <c r="A22694" s="234"/>
      <c r="B22694" s="233"/>
      <c r="C22694" s="238"/>
      <c r="E22694" s="545"/>
      <c r="F22694" s="546"/>
      <c r="G22694" s="234"/>
      <c r="H22694" s="238"/>
      <c r="I22694" s="237"/>
    </row>
    <row r="22695" spans="1:9" s="232" customFormat="1" ht="17" customHeight="1">
      <c r="A22695" s="234"/>
      <c r="B22695" s="233"/>
      <c r="C22695" s="238"/>
      <c r="E22695" s="545"/>
      <c r="F22695" s="546"/>
      <c r="G22695" s="234"/>
      <c r="H22695" s="238"/>
      <c r="I22695" s="237"/>
    </row>
    <row r="22696" spans="1:9" s="232" customFormat="1" ht="17" customHeight="1">
      <c r="A22696" s="234"/>
      <c r="B22696" s="233"/>
      <c r="C22696" s="238"/>
      <c r="E22696" s="545"/>
      <c r="F22696" s="546"/>
      <c r="G22696" s="234"/>
      <c r="H22696" s="238"/>
      <c r="I22696" s="237"/>
    </row>
    <row r="22697" spans="1:9" s="232" customFormat="1" ht="17" customHeight="1">
      <c r="A22697" s="234"/>
      <c r="B22697" s="233"/>
      <c r="C22697" s="238"/>
      <c r="E22697" s="545"/>
      <c r="F22697" s="546"/>
      <c r="G22697" s="234"/>
      <c r="H22697" s="238"/>
      <c r="I22697" s="237"/>
    </row>
    <row r="22698" spans="1:9" s="232" customFormat="1" ht="17" customHeight="1">
      <c r="A22698" s="234"/>
      <c r="B22698" s="233"/>
      <c r="C22698" s="238"/>
      <c r="E22698" s="545"/>
      <c r="F22698" s="546"/>
      <c r="G22698" s="234"/>
      <c r="H22698" s="238"/>
      <c r="I22698" s="237"/>
    </row>
    <row r="22699" spans="1:9" s="232" customFormat="1" ht="17" customHeight="1">
      <c r="A22699" s="234"/>
      <c r="B22699" s="233"/>
      <c r="C22699" s="238"/>
      <c r="E22699" s="545"/>
      <c r="F22699" s="546"/>
      <c r="G22699" s="234"/>
      <c r="H22699" s="238"/>
      <c r="I22699" s="237"/>
    </row>
    <row r="22700" spans="1:9" s="232" customFormat="1" ht="17" customHeight="1">
      <c r="A22700" s="234"/>
      <c r="B22700" s="233"/>
      <c r="C22700" s="238"/>
      <c r="E22700" s="545"/>
      <c r="F22700" s="546"/>
      <c r="G22700" s="234"/>
      <c r="H22700" s="238"/>
      <c r="I22700" s="237"/>
    </row>
    <row r="22701" spans="1:9" s="232" customFormat="1" ht="17" customHeight="1">
      <c r="A22701" s="234"/>
      <c r="B22701" s="233"/>
      <c r="C22701" s="238"/>
      <c r="E22701" s="545"/>
      <c r="F22701" s="546"/>
      <c r="G22701" s="234"/>
      <c r="H22701" s="238"/>
      <c r="I22701" s="237"/>
    </row>
    <row r="22702" spans="1:9" s="232" customFormat="1" ht="17" customHeight="1">
      <c r="A22702" s="234"/>
      <c r="B22702" s="233"/>
      <c r="C22702" s="238"/>
      <c r="E22702" s="545"/>
      <c r="F22702" s="546"/>
      <c r="G22702" s="234"/>
      <c r="H22702" s="238"/>
      <c r="I22702" s="237"/>
    </row>
    <row r="22703" spans="1:9" s="232" customFormat="1" ht="17" customHeight="1">
      <c r="A22703" s="234"/>
      <c r="B22703" s="233"/>
      <c r="C22703" s="238"/>
      <c r="E22703" s="545"/>
      <c r="F22703" s="546"/>
      <c r="G22703" s="234"/>
      <c r="H22703" s="238"/>
      <c r="I22703" s="237"/>
    </row>
    <row r="22704" spans="1:9" s="232" customFormat="1" ht="17" customHeight="1">
      <c r="A22704" s="234"/>
      <c r="B22704" s="233"/>
      <c r="C22704" s="238"/>
      <c r="E22704" s="545"/>
      <c r="F22704" s="546"/>
      <c r="G22704" s="234"/>
      <c r="H22704" s="238"/>
      <c r="I22704" s="237"/>
    </row>
    <row r="22705" spans="1:9" s="232" customFormat="1" ht="17" customHeight="1">
      <c r="A22705" s="234"/>
      <c r="B22705" s="233"/>
      <c r="C22705" s="238"/>
      <c r="E22705" s="545"/>
      <c r="F22705" s="546"/>
      <c r="G22705" s="234"/>
      <c r="H22705" s="238"/>
      <c r="I22705" s="237"/>
    </row>
    <row r="22706" spans="1:9" s="232" customFormat="1" ht="17" customHeight="1">
      <c r="A22706" s="234"/>
      <c r="B22706" s="233"/>
      <c r="C22706" s="238"/>
      <c r="E22706" s="545"/>
      <c r="F22706" s="546"/>
      <c r="G22706" s="234"/>
      <c r="H22706" s="238"/>
      <c r="I22706" s="237"/>
    </row>
    <row r="22707" spans="1:9" s="232" customFormat="1" ht="17" customHeight="1">
      <c r="A22707" s="234"/>
      <c r="B22707" s="233"/>
      <c r="C22707" s="238"/>
      <c r="E22707" s="545"/>
      <c r="F22707" s="546"/>
      <c r="G22707" s="234"/>
      <c r="H22707" s="238"/>
      <c r="I22707" s="237"/>
    </row>
    <row r="22708" spans="1:9" s="232" customFormat="1" ht="17" customHeight="1">
      <c r="A22708" s="234"/>
      <c r="B22708" s="233"/>
      <c r="C22708" s="238"/>
      <c r="E22708" s="545"/>
      <c r="F22708" s="546"/>
      <c r="G22708" s="234"/>
      <c r="H22708" s="238"/>
      <c r="I22708" s="237"/>
    </row>
    <row r="22709" spans="1:9" s="232" customFormat="1" ht="17" customHeight="1">
      <c r="A22709" s="234"/>
      <c r="B22709" s="233"/>
      <c r="C22709" s="238"/>
      <c r="E22709" s="545"/>
      <c r="F22709" s="546"/>
      <c r="G22709" s="234"/>
      <c r="H22709" s="238"/>
      <c r="I22709" s="237"/>
    </row>
    <row r="22710" spans="1:9" s="232" customFormat="1" ht="17" customHeight="1">
      <c r="A22710" s="234"/>
      <c r="B22710" s="233"/>
      <c r="C22710" s="238"/>
      <c r="E22710" s="545"/>
      <c r="F22710" s="546"/>
      <c r="G22710" s="234"/>
      <c r="H22710" s="238"/>
      <c r="I22710" s="237"/>
    </row>
    <row r="22711" spans="1:9" s="232" customFormat="1" ht="17" customHeight="1">
      <c r="A22711" s="234"/>
      <c r="B22711" s="233"/>
      <c r="C22711" s="238"/>
      <c r="E22711" s="545"/>
      <c r="F22711" s="546"/>
      <c r="G22711" s="234"/>
      <c r="H22711" s="238"/>
      <c r="I22711" s="237"/>
    </row>
    <row r="22712" spans="1:9" s="232" customFormat="1" ht="17" customHeight="1">
      <c r="A22712" s="234"/>
      <c r="B22712" s="233"/>
      <c r="C22712" s="238"/>
      <c r="E22712" s="545"/>
      <c r="F22712" s="546"/>
      <c r="G22712" s="234"/>
      <c r="H22712" s="238"/>
      <c r="I22712" s="237"/>
    </row>
    <row r="22713" spans="1:9" s="232" customFormat="1" ht="17" customHeight="1">
      <c r="A22713" s="234"/>
      <c r="B22713" s="233"/>
      <c r="C22713" s="238"/>
      <c r="E22713" s="545"/>
      <c r="F22713" s="546"/>
      <c r="G22713" s="234"/>
      <c r="H22713" s="238"/>
      <c r="I22713" s="237"/>
    </row>
    <row r="22714" spans="1:9" s="232" customFormat="1" ht="17" customHeight="1">
      <c r="A22714" s="234"/>
      <c r="B22714" s="233"/>
      <c r="C22714" s="238"/>
      <c r="E22714" s="545"/>
      <c r="F22714" s="546"/>
      <c r="G22714" s="234"/>
      <c r="H22714" s="238"/>
      <c r="I22714" s="237"/>
    </row>
    <row r="22715" spans="1:9" s="232" customFormat="1" ht="17" customHeight="1">
      <c r="A22715" s="234"/>
      <c r="B22715" s="233"/>
      <c r="C22715" s="238"/>
      <c r="E22715" s="545"/>
      <c r="F22715" s="546"/>
      <c r="G22715" s="234"/>
      <c r="H22715" s="238"/>
      <c r="I22715" s="237"/>
    </row>
    <row r="22716" spans="1:9" s="232" customFormat="1" ht="17" customHeight="1">
      <c r="A22716" s="234"/>
      <c r="B22716" s="233"/>
      <c r="C22716" s="238"/>
      <c r="E22716" s="545"/>
      <c r="F22716" s="546"/>
      <c r="G22716" s="234"/>
      <c r="H22716" s="238"/>
      <c r="I22716" s="237"/>
    </row>
    <row r="22717" spans="1:9" s="232" customFormat="1" ht="17" customHeight="1">
      <c r="A22717" s="234"/>
      <c r="B22717" s="233"/>
      <c r="C22717" s="238"/>
      <c r="E22717" s="545"/>
      <c r="F22717" s="546"/>
      <c r="G22717" s="234"/>
      <c r="H22717" s="238"/>
      <c r="I22717" s="237"/>
    </row>
    <row r="22718" spans="1:9" s="232" customFormat="1" ht="17" customHeight="1">
      <c r="A22718" s="234"/>
      <c r="B22718" s="233"/>
      <c r="C22718" s="238"/>
      <c r="E22718" s="545"/>
      <c r="F22718" s="546"/>
      <c r="G22718" s="234"/>
      <c r="H22718" s="238"/>
      <c r="I22718" s="237"/>
    </row>
    <row r="22719" spans="1:9" s="232" customFormat="1" ht="17" customHeight="1">
      <c r="A22719" s="234"/>
      <c r="B22719" s="233"/>
      <c r="C22719" s="238"/>
      <c r="E22719" s="545"/>
      <c r="F22719" s="546"/>
      <c r="G22719" s="234"/>
      <c r="H22719" s="238"/>
      <c r="I22719" s="237"/>
    </row>
    <row r="22720" spans="1:9" s="232" customFormat="1" ht="17" customHeight="1">
      <c r="A22720" s="234"/>
      <c r="B22720" s="233"/>
      <c r="C22720" s="238"/>
      <c r="E22720" s="545"/>
      <c r="F22720" s="546"/>
      <c r="G22720" s="234"/>
      <c r="H22720" s="238"/>
      <c r="I22720" s="237"/>
    </row>
    <row r="22721" spans="1:9" s="232" customFormat="1" ht="17" customHeight="1">
      <c r="A22721" s="234"/>
      <c r="B22721" s="233"/>
      <c r="C22721" s="238"/>
      <c r="E22721" s="545"/>
      <c r="F22721" s="546"/>
      <c r="G22721" s="234"/>
      <c r="H22721" s="238"/>
      <c r="I22721" s="237"/>
    </row>
    <row r="22722" spans="1:9" s="232" customFormat="1" ht="17" customHeight="1">
      <c r="A22722" s="234"/>
      <c r="B22722" s="233"/>
      <c r="C22722" s="238"/>
      <c r="E22722" s="545"/>
      <c r="F22722" s="546"/>
      <c r="G22722" s="234"/>
      <c r="H22722" s="238"/>
      <c r="I22722" s="237"/>
    </row>
    <row r="22723" spans="1:9" s="232" customFormat="1" ht="17" customHeight="1">
      <c r="A22723" s="234"/>
      <c r="B22723" s="233"/>
      <c r="C22723" s="238"/>
      <c r="E22723" s="545"/>
      <c r="F22723" s="546"/>
      <c r="G22723" s="234"/>
      <c r="H22723" s="238"/>
      <c r="I22723" s="237"/>
    </row>
    <row r="22724" spans="1:9" s="232" customFormat="1" ht="17" customHeight="1">
      <c r="A22724" s="234"/>
      <c r="B22724" s="233"/>
      <c r="C22724" s="238"/>
      <c r="E22724" s="545"/>
      <c r="F22724" s="546"/>
      <c r="G22724" s="234"/>
      <c r="H22724" s="238"/>
      <c r="I22724" s="237"/>
    </row>
    <row r="22725" spans="1:9" s="232" customFormat="1" ht="17" customHeight="1">
      <c r="A22725" s="234"/>
      <c r="B22725" s="233"/>
      <c r="C22725" s="238"/>
      <c r="E22725" s="545"/>
      <c r="F22725" s="546"/>
      <c r="G22725" s="234"/>
      <c r="H22725" s="238"/>
      <c r="I22725" s="237"/>
    </row>
    <row r="22726" spans="1:9" s="232" customFormat="1" ht="17" customHeight="1">
      <c r="A22726" s="234"/>
      <c r="B22726" s="233"/>
      <c r="C22726" s="238"/>
      <c r="E22726" s="545"/>
      <c r="F22726" s="546"/>
      <c r="G22726" s="234"/>
      <c r="H22726" s="238"/>
      <c r="I22726" s="237"/>
    </row>
    <row r="22727" spans="1:9" s="232" customFormat="1" ht="17" customHeight="1">
      <c r="A22727" s="234"/>
      <c r="B22727" s="233"/>
      <c r="C22727" s="238"/>
      <c r="E22727" s="545"/>
      <c r="F22727" s="546"/>
      <c r="G22727" s="234"/>
      <c r="H22727" s="238"/>
      <c r="I22727" s="237"/>
    </row>
    <row r="22728" spans="1:9" s="232" customFormat="1" ht="17" customHeight="1">
      <c r="A22728" s="234"/>
      <c r="B22728" s="233"/>
      <c r="C22728" s="238"/>
      <c r="E22728" s="545"/>
      <c r="F22728" s="546"/>
      <c r="G22728" s="234"/>
      <c r="H22728" s="238"/>
      <c r="I22728" s="237"/>
    </row>
    <row r="22729" spans="1:9" s="232" customFormat="1" ht="17" customHeight="1">
      <c r="A22729" s="234"/>
      <c r="B22729" s="233"/>
      <c r="C22729" s="238"/>
      <c r="E22729" s="545"/>
      <c r="F22729" s="546"/>
      <c r="G22729" s="234"/>
      <c r="H22729" s="238"/>
      <c r="I22729" s="237"/>
    </row>
    <row r="22730" spans="1:9" s="232" customFormat="1" ht="17" customHeight="1">
      <c r="A22730" s="234"/>
      <c r="B22730" s="233"/>
      <c r="C22730" s="238"/>
      <c r="E22730" s="545"/>
      <c r="F22730" s="546"/>
      <c r="G22730" s="234"/>
      <c r="H22730" s="238"/>
      <c r="I22730" s="237"/>
    </row>
    <row r="22731" spans="1:9" s="232" customFormat="1" ht="17" customHeight="1">
      <c r="A22731" s="234"/>
      <c r="B22731" s="233"/>
      <c r="C22731" s="238"/>
      <c r="E22731" s="545"/>
      <c r="F22731" s="546"/>
      <c r="G22731" s="234"/>
      <c r="H22731" s="238"/>
      <c r="I22731" s="237"/>
    </row>
    <row r="22732" spans="1:9" s="232" customFormat="1" ht="17" customHeight="1">
      <c r="A22732" s="234"/>
      <c r="B22732" s="233"/>
      <c r="C22732" s="238"/>
      <c r="E22732" s="545"/>
      <c r="F22732" s="546"/>
      <c r="G22732" s="234"/>
      <c r="H22732" s="238"/>
      <c r="I22732" s="237"/>
    </row>
    <row r="22733" spans="1:9" s="232" customFormat="1" ht="17" customHeight="1">
      <c r="A22733" s="234"/>
      <c r="B22733" s="233"/>
      <c r="C22733" s="238"/>
      <c r="E22733" s="545"/>
      <c r="F22733" s="546"/>
      <c r="G22733" s="234"/>
      <c r="H22733" s="238"/>
      <c r="I22733" s="237"/>
    </row>
    <row r="22734" spans="1:9" s="232" customFormat="1" ht="17" customHeight="1">
      <c r="A22734" s="234"/>
      <c r="B22734" s="233"/>
      <c r="C22734" s="238"/>
      <c r="E22734" s="545"/>
      <c r="F22734" s="546"/>
      <c r="G22734" s="234"/>
      <c r="H22734" s="238"/>
      <c r="I22734" s="237"/>
    </row>
    <row r="22735" spans="1:9" s="232" customFormat="1" ht="17" customHeight="1">
      <c r="A22735" s="234"/>
      <c r="B22735" s="233"/>
      <c r="C22735" s="238"/>
      <c r="E22735" s="545"/>
      <c r="F22735" s="546"/>
      <c r="G22735" s="234"/>
      <c r="H22735" s="238"/>
      <c r="I22735" s="237"/>
    </row>
    <row r="22736" spans="1:9" s="232" customFormat="1" ht="17" customHeight="1">
      <c r="A22736" s="234"/>
      <c r="B22736" s="233"/>
      <c r="C22736" s="238"/>
      <c r="E22736" s="545"/>
      <c r="F22736" s="546"/>
      <c r="G22736" s="234"/>
      <c r="H22736" s="238"/>
      <c r="I22736" s="237"/>
    </row>
    <row r="22737" spans="1:9" s="232" customFormat="1" ht="17" customHeight="1">
      <c r="A22737" s="234"/>
      <c r="B22737" s="233"/>
      <c r="C22737" s="238"/>
      <c r="E22737" s="545"/>
      <c r="F22737" s="546"/>
      <c r="G22737" s="234"/>
      <c r="H22737" s="238"/>
      <c r="I22737" s="237"/>
    </row>
    <row r="22738" spans="1:9" s="232" customFormat="1" ht="17" customHeight="1">
      <c r="A22738" s="234"/>
      <c r="B22738" s="233"/>
      <c r="C22738" s="238"/>
      <c r="E22738" s="545"/>
      <c r="F22738" s="546"/>
      <c r="G22738" s="234"/>
      <c r="H22738" s="238"/>
      <c r="I22738" s="237"/>
    </row>
    <row r="22739" spans="1:9" s="232" customFormat="1" ht="17" customHeight="1">
      <c r="A22739" s="234"/>
      <c r="B22739" s="233"/>
      <c r="C22739" s="238"/>
      <c r="E22739" s="545"/>
      <c r="F22739" s="546"/>
      <c r="G22739" s="234"/>
      <c r="H22739" s="238"/>
      <c r="I22739" s="237"/>
    </row>
    <row r="22740" spans="1:9" s="232" customFormat="1" ht="17" customHeight="1">
      <c r="A22740" s="234"/>
      <c r="B22740" s="233"/>
      <c r="C22740" s="238"/>
      <c r="E22740" s="545"/>
      <c r="F22740" s="546"/>
      <c r="G22740" s="234"/>
      <c r="H22740" s="238"/>
      <c r="I22740" s="237"/>
    </row>
    <row r="22741" spans="1:9" s="232" customFormat="1" ht="17" customHeight="1">
      <c r="A22741" s="234"/>
      <c r="B22741" s="233"/>
      <c r="C22741" s="238"/>
      <c r="E22741" s="545"/>
      <c r="F22741" s="546"/>
      <c r="G22741" s="234"/>
      <c r="H22741" s="238"/>
      <c r="I22741" s="237"/>
    </row>
    <row r="22742" spans="1:9" s="232" customFormat="1" ht="17" customHeight="1">
      <c r="A22742" s="234"/>
      <c r="B22742" s="233"/>
      <c r="C22742" s="238"/>
      <c r="E22742" s="545"/>
      <c r="F22742" s="546"/>
      <c r="G22742" s="234"/>
      <c r="H22742" s="238"/>
      <c r="I22742" s="237"/>
    </row>
    <row r="22743" spans="1:9" s="232" customFormat="1" ht="17" customHeight="1">
      <c r="A22743" s="234"/>
      <c r="B22743" s="233"/>
      <c r="C22743" s="238"/>
      <c r="E22743" s="545"/>
      <c r="F22743" s="546"/>
      <c r="G22743" s="234"/>
      <c r="H22743" s="238"/>
      <c r="I22743" s="237"/>
    </row>
    <row r="22744" spans="1:9" s="232" customFormat="1" ht="17" customHeight="1">
      <c r="A22744" s="234"/>
      <c r="B22744" s="233"/>
      <c r="C22744" s="238"/>
      <c r="E22744" s="545"/>
      <c r="F22744" s="546"/>
      <c r="G22744" s="234"/>
      <c r="H22744" s="238"/>
      <c r="I22744" s="237"/>
    </row>
    <row r="22745" spans="1:9" s="232" customFormat="1" ht="17" customHeight="1">
      <c r="A22745" s="234"/>
      <c r="B22745" s="233"/>
      <c r="C22745" s="238"/>
      <c r="E22745" s="545"/>
      <c r="F22745" s="546"/>
      <c r="G22745" s="234"/>
      <c r="H22745" s="238"/>
      <c r="I22745" s="237"/>
    </row>
    <row r="22746" spans="1:9" s="232" customFormat="1" ht="17" customHeight="1">
      <c r="A22746" s="234"/>
      <c r="B22746" s="233"/>
      <c r="C22746" s="238"/>
      <c r="E22746" s="545"/>
      <c r="F22746" s="546"/>
      <c r="G22746" s="234"/>
      <c r="H22746" s="238"/>
      <c r="I22746" s="237"/>
    </row>
    <row r="22747" spans="1:9" s="232" customFormat="1" ht="17" customHeight="1">
      <c r="A22747" s="234"/>
      <c r="B22747" s="233"/>
      <c r="C22747" s="238"/>
      <c r="E22747" s="545"/>
      <c r="F22747" s="546"/>
      <c r="G22747" s="234"/>
      <c r="H22747" s="238"/>
      <c r="I22747" s="237"/>
    </row>
    <row r="22748" spans="1:9" s="232" customFormat="1" ht="17" customHeight="1">
      <c r="A22748" s="234"/>
      <c r="B22748" s="233"/>
      <c r="C22748" s="238"/>
      <c r="E22748" s="545"/>
      <c r="F22748" s="546"/>
      <c r="G22748" s="234"/>
      <c r="H22748" s="238"/>
      <c r="I22748" s="237"/>
    </row>
    <row r="22749" spans="1:9" s="232" customFormat="1" ht="17" customHeight="1">
      <c r="A22749" s="234"/>
      <c r="B22749" s="233"/>
      <c r="C22749" s="238"/>
      <c r="E22749" s="545"/>
      <c r="F22749" s="546"/>
      <c r="G22749" s="234"/>
      <c r="H22749" s="238"/>
      <c r="I22749" s="237"/>
    </row>
    <row r="22750" spans="1:9" s="232" customFormat="1" ht="17" customHeight="1">
      <c r="A22750" s="234"/>
      <c r="B22750" s="233"/>
      <c r="C22750" s="238"/>
      <c r="E22750" s="545"/>
      <c r="F22750" s="546"/>
      <c r="G22750" s="234"/>
      <c r="H22750" s="238"/>
      <c r="I22750" s="237"/>
    </row>
    <row r="22751" spans="1:9" s="232" customFormat="1" ht="17" customHeight="1">
      <c r="A22751" s="234"/>
      <c r="B22751" s="233"/>
      <c r="C22751" s="238"/>
      <c r="E22751" s="545"/>
      <c r="F22751" s="546"/>
      <c r="G22751" s="234"/>
      <c r="H22751" s="238"/>
      <c r="I22751" s="237"/>
    </row>
    <row r="22752" spans="1:9" s="232" customFormat="1" ht="17" customHeight="1">
      <c r="A22752" s="234"/>
      <c r="B22752" s="233"/>
      <c r="C22752" s="238"/>
      <c r="E22752" s="545"/>
      <c r="F22752" s="546"/>
      <c r="G22752" s="234"/>
      <c r="H22752" s="238"/>
      <c r="I22752" s="237"/>
    </row>
    <row r="22753" spans="1:9" s="232" customFormat="1" ht="17" customHeight="1">
      <c r="A22753" s="234"/>
      <c r="B22753" s="233"/>
      <c r="C22753" s="238"/>
      <c r="E22753" s="545"/>
      <c r="F22753" s="546"/>
      <c r="G22753" s="234"/>
      <c r="H22753" s="238"/>
      <c r="I22753" s="237"/>
    </row>
    <row r="22754" spans="1:9" s="232" customFormat="1" ht="17" customHeight="1">
      <c r="A22754" s="234"/>
      <c r="B22754" s="233"/>
      <c r="C22754" s="238"/>
      <c r="E22754" s="545"/>
      <c r="F22754" s="546"/>
      <c r="G22754" s="234"/>
      <c r="H22754" s="238"/>
      <c r="I22754" s="237"/>
    </row>
    <row r="22755" spans="1:9" s="232" customFormat="1" ht="17" customHeight="1">
      <c r="A22755" s="234"/>
      <c r="B22755" s="233"/>
      <c r="C22755" s="238"/>
      <c r="E22755" s="545"/>
      <c r="F22755" s="546"/>
      <c r="G22755" s="234"/>
      <c r="H22755" s="238"/>
      <c r="I22755" s="237"/>
    </row>
    <row r="22756" spans="1:9" s="232" customFormat="1" ht="17" customHeight="1">
      <c r="A22756" s="234"/>
      <c r="B22756" s="233"/>
      <c r="C22756" s="238"/>
      <c r="E22756" s="545"/>
      <c r="F22756" s="546"/>
      <c r="G22756" s="234"/>
      <c r="H22756" s="238"/>
      <c r="I22756" s="237"/>
    </row>
    <row r="22757" spans="1:9" s="232" customFormat="1" ht="17" customHeight="1">
      <c r="A22757" s="234"/>
      <c r="B22757" s="233"/>
      <c r="C22757" s="238"/>
      <c r="E22757" s="545"/>
      <c r="F22757" s="546"/>
      <c r="G22757" s="234"/>
      <c r="H22757" s="238"/>
      <c r="I22757" s="237"/>
    </row>
    <row r="22758" spans="1:9" s="232" customFormat="1" ht="17" customHeight="1">
      <c r="A22758" s="234"/>
      <c r="B22758" s="233"/>
      <c r="C22758" s="238"/>
      <c r="E22758" s="545"/>
      <c r="F22758" s="546"/>
      <c r="G22758" s="234"/>
      <c r="H22758" s="238"/>
      <c r="I22758" s="237"/>
    </row>
    <row r="22759" spans="1:9" s="232" customFormat="1" ht="17" customHeight="1">
      <c r="A22759" s="234"/>
      <c r="B22759" s="233"/>
      <c r="C22759" s="238"/>
      <c r="E22759" s="545"/>
      <c r="F22759" s="546"/>
      <c r="G22759" s="234"/>
      <c r="H22759" s="238"/>
      <c r="I22759" s="237"/>
    </row>
    <row r="22760" spans="1:9" s="232" customFormat="1" ht="17" customHeight="1">
      <c r="A22760" s="234"/>
      <c r="B22760" s="233"/>
      <c r="C22760" s="238"/>
      <c r="E22760" s="545"/>
      <c r="F22760" s="546"/>
      <c r="G22760" s="234"/>
      <c r="H22760" s="238"/>
      <c r="I22760" s="237"/>
    </row>
    <row r="22761" spans="1:9" s="232" customFormat="1" ht="17" customHeight="1">
      <c r="A22761" s="234"/>
      <c r="B22761" s="233"/>
      <c r="C22761" s="238"/>
      <c r="E22761" s="545"/>
      <c r="F22761" s="546"/>
      <c r="G22761" s="234"/>
      <c r="H22761" s="238"/>
      <c r="I22761" s="237"/>
    </row>
    <row r="22762" spans="1:9" s="232" customFormat="1" ht="17" customHeight="1">
      <c r="A22762" s="234"/>
      <c r="B22762" s="233"/>
      <c r="C22762" s="238"/>
      <c r="E22762" s="545"/>
      <c r="F22762" s="546"/>
      <c r="G22762" s="234"/>
      <c r="H22762" s="238"/>
      <c r="I22762" s="237"/>
    </row>
    <row r="22763" spans="1:9" s="232" customFormat="1" ht="17" customHeight="1">
      <c r="A22763" s="234"/>
      <c r="B22763" s="233"/>
      <c r="C22763" s="238"/>
      <c r="E22763" s="545"/>
      <c r="F22763" s="546"/>
      <c r="G22763" s="234"/>
      <c r="H22763" s="238"/>
      <c r="I22763" s="237"/>
    </row>
    <row r="22764" spans="1:9" s="232" customFormat="1" ht="17" customHeight="1">
      <c r="A22764" s="234"/>
      <c r="B22764" s="233"/>
      <c r="C22764" s="238"/>
      <c r="E22764" s="545"/>
      <c r="F22764" s="546"/>
      <c r="G22764" s="234"/>
      <c r="H22764" s="238"/>
      <c r="I22764" s="237"/>
    </row>
    <row r="22765" spans="1:9" s="232" customFormat="1" ht="17" customHeight="1">
      <c r="A22765" s="234"/>
      <c r="B22765" s="233"/>
      <c r="C22765" s="238"/>
      <c r="E22765" s="545"/>
      <c r="F22765" s="546"/>
      <c r="G22765" s="234"/>
      <c r="H22765" s="238"/>
      <c r="I22765" s="237"/>
    </row>
    <row r="22766" spans="1:9" s="232" customFormat="1" ht="17" customHeight="1">
      <c r="A22766" s="234"/>
      <c r="B22766" s="233"/>
      <c r="C22766" s="238"/>
      <c r="E22766" s="545"/>
      <c r="F22766" s="546"/>
      <c r="G22766" s="234"/>
      <c r="H22766" s="238"/>
      <c r="I22766" s="237"/>
    </row>
    <row r="22767" spans="1:9" s="232" customFormat="1" ht="17" customHeight="1">
      <c r="A22767" s="234"/>
      <c r="B22767" s="233"/>
      <c r="C22767" s="238"/>
      <c r="E22767" s="545"/>
      <c r="F22767" s="546"/>
      <c r="G22767" s="234"/>
      <c r="H22767" s="238"/>
      <c r="I22767" s="237"/>
    </row>
    <row r="22768" spans="1:9" s="232" customFormat="1" ht="17" customHeight="1">
      <c r="A22768" s="234"/>
      <c r="B22768" s="233"/>
      <c r="C22768" s="238"/>
      <c r="E22768" s="545"/>
      <c r="F22768" s="546"/>
      <c r="G22768" s="234"/>
      <c r="H22768" s="238"/>
      <c r="I22768" s="237"/>
    </row>
    <row r="22769" spans="1:9" s="232" customFormat="1" ht="17" customHeight="1">
      <c r="A22769" s="234"/>
      <c r="B22769" s="233"/>
      <c r="C22769" s="238"/>
      <c r="E22769" s="545"/>
      <c r="F22769" s="546"/>
      <c r="G22769" s="234"/>
      <c r="H22769" s="238"/>
      <c r="I22769" s="237"/>
    </row>
    <row r="22770" spans="1:9" s="232" customFormat="1" ht="17" customHeight="1">
      <c r="A22770" s="234"/>
      <c r="B22770" s="233"/>
      <c r="C22770" s="238"/>
      <c r="E22770" s="545"/>
      <c r="F22770" s="546"/>
      <c r="G22770" s="234"/>
      <c r="H22770" s="238"/>
      <c r="I22770" s="237"/>
    </row>
    <row r="22771" spans="1:9" s="232" customFormat="1" ht="17" customHeight="1">
      <c r="A22771" s="234"/>
      <c r="B22771" s="233"/>
      <c r="C22771" s="238"/>
      <c r="E22771" s="545"/>
      <c r="F22771" s="546"/>
      <c r="G22771" s="234"/>
      <c r="H22771" s="238"/>
      <c r="I22771" s="237"/>
    </row>
    <row r="22772" spans="1:9" s="232" customFormat="1" ht="17" customHeight="1">
      <c r="A22772" s="234"/>
      <c r="B22772" s="233"/>
      <c r="C22772" s="238"/>
      <c r="E22772" s="545"/>
      <c r="F22772" s="546"/>
      <c r="G22772" s="234"/>
      <c r="H22772" s="238"/>
      <c r="I22772" s="237"/>
    </row>
    <row r="22773" spans="1:9" s="232" customFormat="1" ht="17" customHeight="1">
      <c r="A22773" s="234"/>
      <c r="B22773" s="233"/>
      <c r="C22773" s="238"/>
      <c r="E22773" s="545"/>
      <c r="F22773" s="546"/>
      <c r="G22773" s="234"/>
      <c r="H22773" s="238"/>
      <c r="I22773" s="237"/>
    </row>
    <row r="22774" spans="1:9" s="232" customFormat="1" ht="17" customHeight="1">
      <c r="A22774" s="234"/>
      <c r="B22774" s="233"/>
      <c r="C22774" s="238"/>
      <c r="E22774" s="545"/>
      <c r="F22774" s="546"/>
      <c r="G22774" s="234"/>
      <c r="H22774" s="238"/>
      <c r="I22774" s="237"/>
    </row>
    <row r="22775" spans="1:9" s="232" customFormat="1" ht="17" customHeight="1">
      <c r="A22775" s="234"/>
      <c r="B22775" s="233"/>
      <c r="C22775" s="238"/>
      <c r="E22775" s="545"/>
      <c r="F22775" s="546"/>
      <c r="G22775" s="234"/>
      <c r="H22775" s="238"/>
      <c r="I22775" s="237"/>
    </row>
    <row r="22776" spans="1:9" s="232" customFormat="1" ht="17" customHeight="1">
      <c r="A22776" s="234"/>
      <c r="B22776" s="233"/>
      <c r="C22776" s="238"/>
      <c r="E22776" s="545"/>
      <c r="F22776" s="546"/>
      <c r="G22776" s="234"/>
      <c r="H22776" s="238"/>
      <c r="I22776" s="237"/>
    </row>
    <row r="22777" spans="1:9" s="232" customFormat="1" ht="17" customHeight="1">
      <c r="A22777" s="234"/>
      <c r="B22777" s="233"/>
      <c r="C22777" s="238"/>
      <c r="E22777" s="545"/>
      <c r="F22777" s="546"/>
      <c r="G22777" s="234"/>
      <c r="H22777" s="238"/>
      <c r="I22777" s="237"/>
    </row>
    <row r="22778" spans="1:9" s="232" customFormat="1" ht="17" customHeight="1">
      <c r="A22778" s="234"/>
      <c r="B22778" s="233"/>
      <c r="C22778" s="238"/>
      <c r="E22778" s="545"/>
      <c r="F22778" s="546"/>
      <c r="G22778" s="234"/>
      <c r="H22778" s="238"/>
      <c r="I22778" s="237"/>
    </row>
    <row r="22779" spans="1:9" s="232" customFormat="1" ht="17" customHeight="1">
      <c r="A22779" s="234"/>
      <c r="B22779" s="233"/>
      <c r="C22779" s="238"/>
      <c r="E22779" s="545"/>
      <c r="F22779" s="546"/>
      <c r="G22779" s="234"/>
      <c r="H22779" s="238"/>
      <c r="I22779" s="237"/>
    </row>
    <row r="22780" spans="1:9" s="232" customFormat="1" ht="17" customHeight="1">
      <c r="A22780" s="234"/>
      <c r="B22780" s="233"/>
      <c r="C22780" s="238"/>
      <c r="E22780" s="545"/>
      <c r="F22780" s="546"/>
      <c r="G22780" s="234"/>
      <c r="H22780" s="238"/>
      <c r="I22780" s="237"/>
    </row>
    <row r="22781" spans="1:9" s="232" customFormat="1" ht="17" customHeight="1">
      <c r="A22781" s="234"/>
      <c r="B22781" s="233"/>
      <c r="C22781" s="238"/>
      <c r="E22781" s="545"/>
      <c r="F22781" s="546"/>
      <c r="G22781" s="234"/>
      <c r="H22781" s="238"/>
      <c r="I22781" s="237"/>
    </row>
    <row r="22782" spans="1:9" s="232" customFormat="1" ht="17" customHeight="1">
      <c r="A22782" s="234"/>
      <c r="B22782" s="233"/>
      <c r="C22782" s="238"/>
      <c r="E22782" s="545"/>
      <c r="F22782" s="546"/>
      <c r="G22782" s="234"/>
      <c r="H22782" s="238"/>
      <c r="I22782" s="237"/>
    </row>
    <row r="22783" spans="1:9" s="232" customFormat="1" ht="17" customHeight="1">
      <c r="A22783" s="234"/>
      <c r="B22783" s="233"/>
      <c r="C22783" s="238"/>
      <c r="E22783" s="545"/>
      <c r="F22783" s="546"/>
      <c r="G22783" s="234"/>
      <c r="H22783" s="238"/>
      <c r="I22783" s="237"/>
    </row>
    <row r="22784" spans="1:9" s="232" customFormat="1" ht="17" customHeight="1">
      <c r="A22784" s="234"/>
      <c r="B22784" s="233"/>
      <c r="C22784" s="238"/>
      <c r="E22784" s="545"/>
      <c r="F22784" s="546"/>
      <c r="G22784" s="234"/>
      <c r="H22784" s="238"/>
      <c r="I22784" s="237"/>
    </row>
    <row r="22785" spans="1:9" s="232" customFormat="1" ht="17" customHeight="1">
      <c r="A22785" s="234"/>
      <c r="B22785" s="233"/>
      <c r="C22785" s="238"/>
      <c r="E22785" s="545"/>
      <c r="F22785" s="546"/>
      <c r="G22785" s="234"/>
      <c r="H22785" s="238"/>
      <c r="I22785" s="237"/>
    </row>
    <row r="22786" spans="1:9" s="232" customFormat="1" ht="17" customHeight="1">
      <c r="A22786" s="234"/>
      <c r="B22786" s="233"/>
      <c r="C22786" s="238"/>
      <c r="E22786" s="545"/>
      <c r="F22786" s="546"/>
      <c r="G22786" s="234"/>
      <c r="H22786" s="238"/>
      <c r="I22786" s="237"/>
    </row>
    <row r="22787" spans="1:9" s="232" customFormat="1" ht="17" customHeight="1">
      <c r="A22787" s="234"/>
      <c r="B22787" s="233"/>
      <c r="C22787" s="238"/>
      <c r="E22787" s="545"/>
      <c r="F22787" s="546"/>
      <c r="G22787" s="234"/>
      <c r="H22787" s="238"/>
      <c r="I22787" s="237"/>
    </row>
    <row r="22788" spans="1:9" s="232" customFormat="1" ht="17" customHeight="1">
      <c r="A22788" s="234"/>
      <c r="B22788" s="233"/>
      <c r="C22788" s="238"/>
      <c r="E22788" s="545"/>
      <c r="F22788" s="546"/>
      <c r="G22788" s="234"/>
      <c r="H22788" s="238"/>
      <c r="I22788" s="237"/>
    </row>
    <row r="22789" spans="1:9" s="232" customFormat="1" ht="17" customHeight="1">
      <c r="A22789" s="234"/>
      <c r="B22789" s="233"/>
      <c r="C22789" s="238"/>
      <c r="E22789" s="545"/>
      <c r="F22789" s="546"/>
      <c r="G22789" s="234"/>
      <c r="H22789" s="238"/>
      <c r="I22789" s="237"/>
    </row>
    <row r="22790" spans="1:9" s="232" customFormat="1" ht="17" customHeight="1">
      <c r="A22790" s="234"/>
      <c r="B22790" s="233"/>
      <c r="C22790" s="238"/>
      <c r="E22790" s="545"/>
      <c r="F22790" s="546"/>
      <c r="G22790" s="234"/>
      <c r="H22790" s="238"/>
      <c r="I22790" s="237"/>
    </row>
    <row r="22791" spans="1:9" s="232" customFormat="1" ht="17" customHeight="1">
      <c r="A22791" s="234"/>
      <c r="B22791" s="233"/>
      <c r="C22791" s="238"/>
      <c r="E22791" s="545"/>
      <c r="F22791" s="546"/>
      <c r="G22791" s="234"/>
      <c r="H22791" s="238"/>
      <c r="I22791" s="237"/>
    </row>
    <row r="22792" spans="1:9" s="232" customFormat="1" ht="17" customHeight="1">
      <c r="A22792" s="234"/>
      <c r="B22792" s="233"/>
      <c r="C22792" s="238"/>
      <c r="E22792" s="545"/>
      <c r="F22792" s="546"/>
      <c r="G22792" s="234"/>
      <c r="H22792" s="238"/>
      <c r="I22792" s="237"/>
    </row>
    <row r="22793" spans="1:9" s="232" customFormat="1" ht="17" customHeight="1">
      <c r="A22793" s="234"/>
      <c r="B22793" s="233"/>
      <c r="C22793" s="238"/>
      <c r="E22793" s="545"/>
      <c r="F22793" s="546"/>
      <c r="G22793" s="234"/>
      <c r="H22793" s="238"/>
      <c r="I22793" s="237"/>
    </row>
    <row r="22794" spans="1:9" s="232" customFormat="1" ht="17" customHeight="1">
      <c r="A22794" s="234"/>
      <c r="B22794" s="233"/>
      <c r="C22794" s="238"/>
      <c r="E22794" s="545"/>
      <c r="F22794" s="546"/>
      <c r="G22794" s="234"/>
      <c r="H22794" s="238"/>
      <c r="I22794" s="237"/>
    </row>
    <row r="22795" spans="1:9" s="232" customFormat="1" ht="17" customHeight="1">
      <c r="A22795" s="234"/>
      <c r="B22795" s="233"/>
      <c r="C22795" s="238"/>
      <c r="E22795" s="545"/>
      <c r="F22795" s="546"/>
      <c r="G22795" s="234"/>
      <c r="H22795" s="238"/>
      <c r="I22795" s="237"/>
    </row>
    <row r="22796" spans="1:9" s="232" customFormat="1" ht="17" customHeight="1">
      <c r="A22796" s="234"/>
      <c r="B22796" s="233"/>
      <c r="C22796" s="238"/>
      <c r="E22796" s="545"/>
      <c r="F22796" s="546"/>
      <c r="G22796" s="234"/>
      <c r="H22796" s="238"/>
      <c r="I22796" s="237"/>
    </row>
    <row r="22797" spans="1:9" s="232" customFormat="1" ht="17" customHeight="1">
      <c r="A22797" s="234"/>
      <c r="B22797" s="233"/>
      <c r="C22797" s="238"/>
      <c r="E22797" s="545"/>
      <c r="F22797" s="546"/>
      <c r="G22797" s="234"/>
      <c r="H22797" s="238"/>
      <c r="I22797" s="237"/>
    </row>
    <row r="22798" spans="1:9" s="232" customFormat="1" ht="17" customHeight="1">
      <c r="A22798" s="234"/>
      <c r="B22798" s="233"/>
      <c r="C22798" s="238"/>
      <c r="E22798" s="545"/>
      <c r="F22798" s="546"/>
      <c r="G22798" s="234"/>
      <c r="H22798" s="238"/>
      <c r="I22798" s="237"/>
    </row>
    <row r="22799" spans="1:9" s="232" customFormat="1" ht="17" customHeight="1">
      <c r="A22799" s="234"/>
      <c r="B22799" s="233"/>
      <c r="C22799" s="238"/>
      <c r="E22799" s="545"/>
      <c r="F22799" s="546"/>
      <c r="G22799" s="234"/>
      <c r="H22799" s="238"/>
      <c r="I22799" s="237"/>
    </row>
    <row r="22800" spans="1:9" s="232" customFormat="1" ht="17" customHeight="1">
      <c r="A22800" s="234"/>
      <c r="B22800" s="233"/>
      <c r="C22800" s="238"/>
      <c r="E22800" s="545"/>
      <c r="F22800" s="546"/>
      <c r="G22800" s="234"/>
      <c r="H22800" s="238"/>
      <c r="I22800" s="237"/>
    </row>
    <row r="22801" spans="1:9" s="232" customFormat="1" ht="17" customHeight="1">
      <c r="A22801" s="234"/>
      <c r="B22801" s="233"/>
      <c r="C22801" s="238"/>
      <c r="E22801" s="545"/>
      <c r="F22801" s="546"/>
      <c r="G22801" s="234"/>
      <c r="H22801" s="238"/>
      <c r="I22801" s="237"/>
    </row>
    <row r="22802" spans="1:9" s="232" customFormat="1" ht="17" customHeight="1">
      <c r="A22802" s="234"/>
      <c r="B22802" s="233"/>
      <c r="C22802" s="238"/>
      <c r="E22802" s="545"/>
      <c r="F22802" s="546"/>
      <c r="G22802" s="234"/>
      <c r="H22802" s="238"/>
      <c r="I22802" s="237"/>
    </row>
    <row r="22803" spans="1:9" s="232" customFormat="1" ht="17" customHeight="1">
      <c r="A22803" s="234"/>
      <c r="B22803" s="233"/>
      <c r="C22803" s="238"/>
      <c r="E22803" s="545"/>
      <c r="F22803" s="546"/>
      <c r="G22803" s="234"/>
      <c r="H22803" s="238"/>
      <c r="I22803" s="237"/>
    </row>
    <row r="22804" spans="1:9" s="232" customFormat="1" ht="17" customHeight="1">
      <c r="A22804" s="234"/>
      <c r="B22804" s="233"/>
      <c r="C22804" s="238"/>
      <c r="E22804" s="545"/>
      <c r="F22804" s="546"/>
      <c r="G22804" s="234"/>
      <c r="H22804" s="238"/>
      <c r="I22804" s="237"/>
    </row>
    <row r="22805" spans="1:9" s="232" customFormat="1" ht="17" customHeight="1">
      <c r="A22805" s="234"/>
      <c r="B22805" s="233"/>
      <c r="C22805" s="238"/>
      <c r="E22805" s="545"/>
      <c r="F22805" s="546"/>
      <c r="G22805" s="234"/>
      <c r="H22805" s="238"/>
      <c r="I22805" s="237"/>
    </row>
    <row r="22806" spans="1:9" s="232" customFormat="1" ht="17" customHeight="1">
      <c r="A22806" s="234"/>
      <c r="B22806" s="233"/>
      <c r="C22806" s="238"/>
      <c r="E22806" s="545"/>
      <c r="F22806" s="546"/>
      <c r="G22806" s="234"/>
      <c r="H22806" s="238"/>
      <c r="I22806" s="237"/>
    </row>
    <row r="22807" spans="1:9" s="232" customFormat="1" ht="17" customHeight="1">
      <c r="A22807" s="234"/>
      <c r="B22807" s="233"/>
      <c r="C22807" s="238"/>
      <c r="E22807" s="545"/>
      <c r="F22807" s="546"/>
      <c r="G22807" s="234"/>
      <c r="H22807" s="238"/>
      <c r="I22807" s="237"/>
    </row>
    <row r="22808" spans="1:9" s="232" customFormat="1" ht="17" customHeight="1">
      <c r="A22808" s="234"/>
      <c r="B22808" s="233"/>
      <c r="C22808" s="238"/>
      <c r="E22808" s="545"/>
      <c r="F22808" s="546"/>
      <c r="G22808" s="234"/>
      <c r="H22808" s="238"/>
      <c r="I22808" s="237"/>
    </row>
    <row r="22809" spans="1:9" s="232" customFormat="1" ht="17" customHeight="1">
      <c r="A22809" s="234"/>
      <c r="B22809" s="233"/>
      <c r="C22809" s="238"/>
      <c r="E22809" s="545"/>
      <c r="F22809" s="546"/>
      <c r="G22809" s="234"/>
      <c r="H22809" s="238"/>
      <c r="I22809" s="237"/>
    </row>
    <row r="22810" spans="1:9" s="232" customFormat="1" ht="17" customHeight="1">
      <c r="A22810" s="234"/>
      <c r="B22810" s="233"/>
      <c r="C22810" s="238"/>
      <c r="E22810" s="545"/>
      <c r="F22810" s="546"/>
      <c r="G22810" s="234"/>
      <c r="H22810" s="238"/>
      <c r="I22810" s="237"/>
    </row>
    <row r="22811" spans="1:9" s="232" customFormat="1" ht="17" customHeight="1">
      <c r="A22811" s="234"/>
      <c r="B22811" s="233"/>
      <c r="C22811" s="238"/>
      <c r="E22811" s="545"/>
      <c r="F22811" s="546"/>
      <c r="G22811" s="234"/>
      <c r="H22811" s="238"/>
      <c r="I22811" s="237"/>
    </row>
    <row r="22812" spans="1:9" s="232" customFormat="1" ht="17" customHeight="1">
      <c r="A22812" s="234"/>
      <c r="B22812" s="233"/>
      <c r="C22812" s="238"/>
      <c r="E22812" s="545"/>
      <c r="F22812" s="546"/>
      <c r="G22812" s="234"/>
      <c r="H22812" s="238"/>
      <c r="I22812" s="237"/>
    </row>
    <row r="22813" spans="1:9" s="232" customFormat="1" ht="17" customHeight="1">
      <c r="A22813" s="234"/>
      <c r="B22813" s="233"/>
      <c r="C22813" s="238"/>
      <c r="E22813" s="545"/>
      <c r="F22813" s="546"/>
      <c r="G22813" s="234"/>
      <c r="H22813" s="238"/>
      <c r="I22813" s="237"/>
    </row>
    <row r="22814" spans="1:9" s="232" customFormat="1" ht="17" customHeight="1">
      <c r="A22814" s="234"/>
      <c r="B22814" s="233"/>
      <c r="C22814" s="238"/>
      <c r="E22814" s="545"/>
      <c r="F22814" s="546"/>
      <c r="G22814" s="234"/>
      <c r="H22814" s="238"/>
      <c r="I22814" s="237"/>
    </row>
    <row r="22815" spans="1:9" s="232" customFormat="1" ht="17" customHeight="1">
      <c r="A22815" s="234"/>
      <c r="B22815" s="233"/>
      <c r="C22815" s="238"/>
      <c r="E22815" s="545"/>
      <c r="F22815" s="546"/>
      <c r="G22815" s="234"/>
      <c r="H22815" s="238"/>
      <c r="I22815" s="237"/>
    </row>
    <row r="22816" spans="1:9" s="232" customFormat="1" ht="17" customHeight="1">
      <c r="A22816" s="234"/>
      <c r="B22816" s="233"/>
      <c r="C22816" s="238"/>
      <c r="E22816" s="545"/>
      <c r="F22816" s="546"/>
      <c r="G22816" s="234"/>
      <c r="H22816" s="238"/>
      <c r="I22816" s="237"/>
    </row>
    <row r="22817" spans="1:9" s="232" customFormat="1" ht="17" customHeight="1">
      <c r="A22817" s="234"/>
      <c r="B22817" s="233"/>
      <c r="C22817" s="238"/>
      <c r="E22817" s="545"/>
      <c r="F22817" s="546"/>
      <c r="G22817" s="234"/>
      <c r="H22817" s="238"/>
      <c r="I22817" s="237"/>
    </row>
    <row r="22818" spans="1:9" s="232" customFormat="1" ht="17" customHeight="1">
      <c r="A22818" s="234"/>
      <c r="B22818" s="233"/>
      <c r="C22818" s="238"/>
      <c r="E22818" s="545"/>
      <c r="F22818" s="546"/>
      <c r="G22818" s="234"/>
      <c r="H22818" s="238"/>
      <c r="I22818" s="237"/>
    </row>
    <row r="22819" spans="1:9" s="232" customFormat="1" ht="17" customHeight="1">
      <c r="A22819" s="234"/>
      <c r="B22819" s="233"/>
      <c r="C22819" s="238"/>
      <c r="E22819" s="545"/>
      <c r="F22819" s="546"/>
      <c r="G22819" s="234"/>
      <c r="H22819" s="238"/>
      <c r="I22819" s="237"/>
    </row>
    <row r="22820" spans="1:9" s="232" customFormat="1" ht="17" customHeight="1">
      <c r="A22820" s="234"/>
      <c r="B22820" s="233"/>
      <c r="C22820" s="238"/>
      <c r="E22820" s="545"/>
      <c r="F22820" s="546"/>
      <c r="G22820" s="234"/>
      <c r="H22820" s="238"/>
      <c r="I22820" s="237"/>
    </row>
    <row r="22821" spans="1:9" s="232" customFormat="1" ht="17" customHeight="1">
      <c r="A22821" s="234"/>
      <c r="B22821" s="233"/>
      <c r="C22821" s="238"/>
      <c r="E22821" s="545"/>
      <c r="F22821" s="546"/>
      <c r="G22821" s="234"/>
      <c r="H22821" s="238"/>
      <c r="I22821" s="237"/>
    </row>
    <row r="22822" spans="1:9" s="232" customFormat="1" ht="17" customHeight="1">
      <c r="A22822" s="234"/>
      <c r="B22822" s="233"/>
      <c r="C22822" s="238"/>
      <c r="E22822" s="545"/>
      <c r="F22822" s="546"/>
      <c r="G22822" s="234"/>
      <c r="H22822" s="238"/>
      <c r="I22822" s="237"/>
    </row>
    <row r="22823" spans="1:9" s="232" customFormat="1" ht="17" customHeight="1">
      <c r="A22823" s="234"/>
      <c r="B22823" s="233"/>
      <c r="C22823" s="238"/>
      <c r="E22823" s="545"/>
      <c r="F22823" s="546"/>
      <c r="G22823" s="234"/>
      <c r="H22823" s="238"/>
      <c r="I22823" s="237"/>
    </row>
    <row r="22824" spans="1:9" s="232" customFormat="1" ht="17" customHeight="1">
      <c r="A22824" s="234"/>
      <c r="B22824" s="233"/>
      <c r="C22824" s="238"/>
      <c r="E22824" s="545"/>
      <c r="F22824" s="546"/>
      <c r="G22824" s="234"/>
      <c r="H22824" s="238"/>
      <c r="I22824" s="237"/>
    </row>
    <row r="22825" spans="1:9" s="232" customFormat="1" ht="17" customHeight="1">
      <c r="A22825" s="234"/>
      <c r="B22825" s="233"/>
      <c r="C22825" s="238"/>
      <c r="E22825" s="545"/>
      <c r="F22825" s="546"/>
      <c r="G22825" s="234"/>
      <c r="H22825" s="238"/>
      <c r="I22825" s="237"/>
    </row>
    <row r="22826" spans="1:9" s="232" customFormat="1" ht="17" customHeight="1">
      <c r="A22826" s="234"/>
      <c r="B22826" s="233"/>
      <c r="C22826" s="238"/>
      <c r="E22826" s="545"/>
      <c r="F22826" s="546"/>
      <c r="G22826" s="234"/>
      <c r="H22826" s="238"/>
      <c r="I22826" s="237"/>
    </row>
    <row r="22827" spans="1:9" s="232" customFormat="1" ht="17" customHeight="1">
      <c r="A22827" s="234"/>
      <c r="B22827" s="233"/>
      <c r="C22827" s="238"/>
      <c r="E22827" s="545"/>
      <c r="F22827" s="546"/>
      <c r="G22827" s="234"/>
      <c r="H22827" s="238"/>
      <c r="I22827" s="237"/>
    </row>
    <row r="22828" spans="1:9" s="232" customFormat="1" ht="17" customHeight="1">
      <c r="A22828" s="234"/>
      <c r="B22828" s="233"/>
      <c r="C22828" s="238"/>
      <c r="E22828" s="545"/>
      <c r="F22828" s="546"/>
      <c r="G22828" s="234"/>
      <c r="H22828" s="238"/>
      <c r="I22828" s="237"/>
    </row>
    <row r="22829" spans="1:9" s="232" customFormat="1" ht="17" customHeight="1">
      <c r="A22829" s="234"/>
      <c r="B22829" s="233"/>
      <c r="C22829" s="238"/>
      <c r="E22829" s="545"/>
      <c r="F22829" s="546"/>
      <c r="G22829" s="234"/>
      <c r="H22829" s="238"/>
      <c r="I22829" s="237"/>
    </row>
    <row r="22830" spans="1:9" s="232" customFormat="1" ht="17" customHeight="1">
      <c r="A22830" s="234"/>
      <c r="B22830" s="233"/>
      <c r="C22830" s="238"/>
      <c r="E22830" s="545"/>
      <c r="F22830" s="546"/>
      <c r="G22830" s="234"/>
      <c r="H22830" s="238"/>
      <c r="I22830" s="237"/>
    </row>
    <row r="22831" spans="1:9" s="232" customFormat="1" ht="17" customHeight="1">
      <c r="A22831" s="234"/>
      <c r="B22831" s="233"/>
      <c r="C22831" s="238"/>
      <c r="E22831" s="545"/>
      <c r="F22831" s="546"/>
      <c r="G22831" s="234"/>
      <c r="H22831" s="238"/>
      <c r="I22831" s="237"/>
    </row>
    <row r="22832" spans="1:9" s="232" customFormat="1" ht="17" customHeight="1">
      <c r="A22832" s="234"/>
      <c r="B22832" s="233"/>
      <c r="C22832" s="238"/>
      <c r="E22832" s="545"/>
      <c r="F22832" s="546"/>
      <c r="G22832" s="234"/>
      <c r="H22832" s="238"/>
      <c r="I22832" s="237"/>
    </row>
    <row r="22833" spans="1:9" s="232" customFormat="1" ht="17" customHeight="1">
      <c r="A22833" s="234"/>
      <c r="B22833" s="233"/>
      <c r="C22833" s="238"/>
      <c r="E22833" s="545"/>
      <c r="F22833" s="546"/>
      <c r="G22833" s="234"/>
      <c r="H22833" s="238"/>
      <c r="I22833" s="237"/>
    </row>
    <row r="22834" spans="1:9" s="232" customFormat="1" ht="17" customHeight="1">
      <c r="A22834" s="234"/>
      <c r="B22834" s="233"/>
      <c r="C22834" s="238"/>
      <c r="E22834" s="545"/>
      <c r="F22834" s="546"/>
      <c r="G22834" s="234"/>
      <c r="H22834" s="238"/>
      <c r="I22834" s="237"/>
    </row>
    <row r="22835" spans="1:9" s="232" customFormat="1" ht="17" customHeight="1">
      <c r="A22835" s="234"/>
      <c r="B22835" s="233"/>
      <c r="C22835" s="238"/>
      <c r="E22835" s="545"/>
      <c r="F22835" s="546"/>
      <c r="G22835" s="234"/>
      <c r="H22835" s="238"/>
      <c r="I22835" s="237"/>
    </row>
    <row r="22836" spans="1:9" s="232" customFormat="1" ht="17" customHeight="1">
      <c r="A22836" s="234"/>
      <c r="B22836" s="233"/>
      <c r="C22836" s="238"/>
      <c r="E22836" s="545"/>
      <c r="F22836" s="546"/>
      <c r="G22836" s="234"/>
      <c r="H22836" s="238"/>
      <c r="I22836" s="237"/>
    </row>
    <row r="22837" spans="1:9" s="232" customFormat="1" ht="17" customHeight="1">
      <c r="A22837" s="234"/>
      <c r="B22837" s="233"/>
      <c r="C22837" s="238"/>
      <c r="E22837" s="545"/>
      <c r="F22837" s="546"/>
      <c r="G22837" s="234"/>
      <c r="H22837" s="238"/>
      <c r="I22837" s="237"/>
    </row>
    <row r="22838" spans="1:9" s="232" customFormat="1" ht="17" customHeight="1">
      <c r="A22838" s="234"/>
      <c r="B22838" s="233"/>
      <c r="C22838" s="238"/>
      <c r="E22838" s="545"/>
      <c r="F22838" s="546"/>
      <c r="G22838" s="234"/>
      <c r="H22838" s="238"/>
      <c r="I22838" s="237"/>
    </row>
    <row r="22839" spans="1:9" s="232" customFormat="1" ht="17" customHeight="1">
      <c r="A22839" s="234"/>
      <c r="B22839" s="233"/>
      <c r="C22839" s="238"/>
      <c r="E22839" s="545"/>
      <c r="F22839" s="546"/>
      <c r="G22839" s="234"/>
      <c r="H22839" s="238"/>
      <c r="I22839" s="237"/>
    </row>
    <row r="22840" spans="1:9" s="232" customFormat="1" ht="17" customHeight="1">
      <c r="A22840" s="234"/>
      <c r="B22840" s="233"/>
      <c r="C22840" s="238"/>
      <c r="E22840" s="545"/>
      <c r="F22840" s="546"/>
      <c r="G22840" s="234"/>
      <c r="H22840" s="238"/>
      <c r="I22840" s="237"/>
    </row>
    <row r="22841" spans="1:9" s="232" customFormat="1" ht="17" customHeight="1">
      <c r="A22841" s="234"/>
      <c r="B22841" s="233"/>
      <c r="C22841" s="238"/>
      <c r="E22841" s="545"/>
      <c r="F22841" s="546"/>
      <c r="G22841" s="234"/>
      <c r="H22841" s="238"/>
      <c r="I22841" s="237"/>
    </row>
    <row r="22842" spans="1:9" s="232" customFormat="1" ht="17" customHeight="1">
      <c r="A22842" s="234"/>
      <c r="B22842" s="233"/>
      <c r="C22842" s="238"/>
      <c r="E22842" s="545"/>
      <c r="F22842" s="546"/>
      <c r="G22842" s="234"/>
      <c r="H22842" s="238"/>
      <c r="I22842" s="237"/>
    </row>
    <row r="22843" spans="1:9" s="232" customFormat="1" ht="17" customHeight="1">
      <c r="A22843" s="234"/>
      <c r="B22843" s="233"/>
      <c r="C22843" s="238"/>
      <c r="E22843" s="545"/>
      <c r="F22843" s="546"/>
      <c r="G22843" s="234"/>
      <c r="H22843" s="238"/>
      <c r="I22843" s="237"/>
    </row>
    <row r="22844" spans="1:9" s="232" customFormat="1" ht="17" customHeight="1">
      <c r="A22844" s="234"/>
      <c r="B22844" s="233"/>
      <c r="C22844" s="238"/>
      <c r="E22844" s="545"/>
      <c r="F22844" s="546"/>
      <c r="G22844" s="234"/>
      <c r="H22844" s="238"/>
      <c r="I22844" s="237"/>
    </row>
    <row r="22845" spans="1:9" s="232" customFormat="1" ht="17" customHeight="1">
      <c r="A22845" s="234"/>
      <c r="B22845" s="233"/>
      <c r="C22845" s="238"/>
      <c r="E22845" s="545"/>
      <c r="F22845" s="546"/>
      <c r="G22845" s="234"/>
      <c r="H22845" s="238"/>
      <c r="I22845" s="237"/>
    </row>
    <row r="22846" spans="1:9" s="232" customFormat="1" ht="17" customHeight="1">
      <c r="A22846" s="234"/>
      <c r="B22846" s="233"/>
      <c r="C22846" s="238"/>
      <c r="E22846" s="545"/>
      <c r="F22846" s="546"/>
      <c r="G22846" s="234"/>
      <c r="H22846" s="238"/>
      <c r="I22846" s="237"/>
    </row>
    <row r="22847" spans="1:9" s="232" customFormat="1" ht="17" customHeight="1">
      <c r="A22847" s="234"/>
      <c r="B22847" s="233"/>
      <c r="C22847" s="238"/>
      <c r="E22847" s="545"/>
      <c r="F22847" s="546"/>
      <c r="G22847" s="234"/>
      <c r="H22847" s="238"/>
      <c r="I22847" s="237"/>
    </row>
    <row r="22848" spans="1:9" s="232" customFormat="1" ht="17" customHeight="1">
      <c r="A22848" s="234"/>
      <c r="B22848" s="233"/>
      <c r="C22848" s="238"/>
      <c r="E22848" s="545"/>
      <c r="F22848" s="546"/>
      <c r="G22848" s="234"/>
      <c r="H22848" s="238"/>
      <c r="I22848" s="237"/>
    </row>
    <row r="22849" spans="1:9" s="232" customFormat="1" ht="17" customHeight="1">
      <c r="A22849" s="234"/>
      <c r="B22849" s="233"/>
      <c r="C22849" s="238"/>
      <c r="E22849" s="545"/>
      <c r="F22849" s="546"/>
      <c r="G22849" s="234"/>
      <c r="H22849" s="238"/>
      <c r="I22849" s="237"/>
    </row>
    <row r="22850" spans="1:9" s="232" customFormat="1" ht="17" customHeight="1">
      <c r="A22850" s="234"/>
      <c r="B22850" s="233"/>
      <c r="C22850" s="238"/>
      <c r="E22850" s="545"/>
      <c r="F22850" s="546"/>
      <c r="G22850" s="234"/>
      <c r="H22850" s="238"/>
      <c r="I22850" s="237"/>
    </row>
    <row r="22851" spans="1:9" s="232" customFormat="1" ht="17" customHeight="1">
      <c r="A22851" s="234"/>
      <c r="B22851" s="233"/>
      <c r="C22851" s="238"/>
      <c r="E22851" s="545"/>
      <c r="F22851" s="546"/>
      <c r="G22851" s="234"/>
      <c r="H22851" s="238"/>
      <c r="I22851" s="237"/>
    </row>
    <row r="22852" spans="1:9" s="232" customFormat="1" ht="17" customHeight="1">
      <c r="A22852" s="234"/>
      <c r="B22852" s="233"/>
      <c r="C22852" s="238"/>
      <c r="E22852" s="545"/>
      <c r="F22852" s="546"/>
      <c r="G22852" s="234"/>
      <c r="H22852" s="238"/>
      <c r="I22852" s="237"/>
    </row>
    <row r="22853" spans="1:9" s="232" customFormat="1" ht="17" customHeight="1">
      <c r="A22853" s="234"/>
      <c r="B22853" s="233"/>
      <c r="C22853" s="238"/>
      <c r="E22853" s="545"/>
      <c r="F22853" s="546"/>
      <c r="G22853" s="234"/>
      <c r="H22853" s="238"/>
      <c r="I22853" s="237"/>
    </row>
    <row r="22854" spans="1:9" s="232" customFormat="1" ht="17" customHeight="1">
      <c r="A22854" s="234"/>
      <c r="B22854" s="233"/>
      <c r="C22854" s="238"/>
      <c r="E22854" s="545"/>
      <c r="F22854" s="546"/>
      <c r="G22854" s="234"/>
      <c r="H22854" s="238"/>
      <c r="I22854" s="237"/>
    </row>
    <row r="22855" spans="1:9" s="232" customFormat="1" ht="17" customHeight="1">
      <c r="A22855" s="234"/>
      <c r="B22855" s="233"/>
      <c r="C22855" s="238"/>
      <c r="E22855" s="545"/>
      <c r="F22855" s="546"/>
      <c r="G22855" s="234"/>
      <c r="H22855" s="238"/>
      <c r="I22855" s="237"/>
    </row>
    <row r="22856" spans="1:9" s="232" customFormat="1" ht="17" customHeight="1">
      <c r="A22856" s="234"/>
      <c r="B22856" s="233"/>
      <c r="C22856" s="238"/>
      <c r="E22856" s="545"/>
      <c r="F22856" s="546"/>
      <c r="G22856" s="234"/>
      <c r="H22856" s="238"/>
      <c r="I22856" s="237"/>
    </row>
    <row r="22857" spans="1:9" s="232" customFormat="1" ht="17" customHeight="1">
      <c r="A22857" s="234"/>
      <c r="B22857" s="233"/>
      <c r="C22857" s="238"/>
      <c r="E22857" s="545"/>
      <c r="F22857" s="546"/>
      <c r="G22857" s="234"/>
      <c r="H22857" s="238"/>
      <c r="I22857" s="237"/>
    </row>
    <row r="22858" spans="1:9" s="232" customFormat="1" ht="17" customHeight="1">
      <c r="A22858" s="234"/>
      <c r="B22858" s="233"/>
      <c r="C22858" s="238"/>
      <c r="E22858" s="545"/>
      <c r="F22858" s="546"/>
      <c r="G22858" s="234"/>
      <c r="H22858" s="238"/>
      <c r="I22858" s="237"/>
    </row>
    <row r="22859" spans="1:9" s="232" customFormat="1" ht="17" customHeight="1">
      <c r="A22859" s="234"/>
      <c r="B22859" s="233"/>
      <c r="C22859" s="238"/>
      <c r="E22859" s="545"/>
      <c r="F22859" s="546"/>
      <c r="G22859" s="234"/>
      <c r="H22859" s="238"/>
      <c r="I22859" s="237"/>
    </row>
    <row r="22860" spans="1:9" s="232" customFormat="1" ht="17" customHeight="1">
      <c r="A22860" s="234"/>
      <c r="B22860" s="233"/>
      <c r="C22860" s="238"/>
      <c r="E22860" s="545"/>
      <c r="F22860" s="546"/>
      <c r="G22860" s="234"/>
      <c r="H22860" s="238"/>
      <c r="I22860" s="237"/>
    </row>
    <row r="22861" spans="1:9" s="232" customFormat="1" ht="17" customHeight="1">
      <c r="A22861" s="234"/>
      <c r="B22861" s="233"/>
      <c r="C22861" s="238"/>
      <c r="E22861" s="545"/>
      <c r="F22861" s="546"/>
      <c r="G22861" s="234"/>
      <c r="H22861" s="238"/>
      <c r="I22861" s="237"/>
    </row>
    <row r="22862" spans="1:9" s="232" customFormat="1" ht="17" customHeight="1">
      <c r="A22862" s="234"/>
      <c r="B22862" s="233"/>
      <c r="C22862" s="238"/>
      <c r="E22862" s="545"/>
      <c r="F22862" s="546"/>
      <c r="G22862" s="234"/>
      <c r="H22862" s="238"/>
      <c r="I22862" s="237"/>
    </row>
    <row r="22863" spans="1:9" s="232" customFormat="1" ht="17" customHeight="1">
      <c r="A22863" s="234"/>
      <c r="B22863" s="233"/>
      <c r="C22863" s="238"/>
      <c r="E22863" s="545"/>
      <c r="F22863" s="546"/>
      <c r="G22863" s="234"/>
      <c r="H22863" s="238"/>
      <c r="I22863" s="237"/>
    </row>
    <row r="22864" spans="1:9" s="232" customFormat="1" ht="17" customHeight="1">
      <c r="A22864" s="234"/>
      <c r="B22864" s="233"/>
      <c r="C22864" s="238"/>
      <c r="E22864" s="545"/>
      <c r="F22864" s="546"/>
      <c r="G22864" s="234"/>
      <c r="H22864" s="238"/>
      <c r="I22864" s="237"/>
    </row>
    <row r="22865" spans="1:9" s="232" customFormat="1" ht="17" customHeight="1">
      <c r="A22865" s="234"/>
      <c r="B22865" s="233"/>
      <c r="C22865" s="238"/>
      <c r="E22865" s="545"/>
      <c r="F22865" s="546"/>
      <c r="G22865" s="234"/>
      <c r="H22865" s="238"/>
      <c r="I22865" s="237"/>
    </row>
    <row r="22866" spans="1:9" s="232" customFormat="1" ht="17" customHeight="1">
      <c r="A22866" s="234"/>
      <c r="B22866" s="233"/>
      <c r="C22866" s="238"/>
      <c r="E22866" s="545"/>
      <c r="F22866" s="546"/>
      <c r="G22866" s="234"/>
      <c r="H22866" s="238"/>
      <c r="I22866" s="237"/>
    </row>
    <row r="22867" spans="1:9" s="232" customFormat="1" ht="17" customHeight="1">
      <c r="A22867" s="234"/>
      <c r="B22867" s="233"/>
      <c r="C22867" s="238"/>
      <c r="E22867" s="545"/>
      <c r="F22867" s="546"/>
      <c r="G22867" s="234"/>
      <c r="H22867" s="238"/>
      <c r="I22867" s="237"/>
    </row>
    <row r="22868" spans="1:9" s="232" customFormat="1" ht="17" customHeight="1">
      <c r="A22868" s="234"/>
      <c r="B22868" s="233"/>
      <c r="C22868" s="238"/>
      <c r="E22868" s="545"/>
      <c r="F22868" s="546"/>
      <c r="G22868" s="234"/>
      <c r="H22868" s="238"/>
      <c r="I22868" s="237"/>
    </row>
    <row r="22869" spans="1:9" s="232" customFormat="1" ht="17" customHeight="1">
      <c r="A22869" s="234"/>
      <c r="B22869" s="233"/>
      <c r="C22869" s="238"/>
      <c r="E22869" s="545"/>
      <c r="F22869" s="546"/>
      <c r="G22869" s="234"/>
      <c r="H22869" s="238"/>
      <c r="I22869" s="237"/>
    </row>
    <row r="22870" spans="1:9" s="232" customFormat="1" ht="17" customHeight="1">
      <c r="A22870" s="234"/>
      <c r="B22870" s="233"/>
      <c r="C22870" s="238"/>
      <c r="E22870" s="545"/>
      <c r="F22870" s="546"/>
      <c r="G22870" s="234"/>
      <c r="H22870" s="238"/>
      <c r="I22870" s="237"/>
    </row>
    <row r="22871" spans="1:9" s="232" customFormat="1" ht="17" customHeight="1">
      <c r="A22871" s="234"/>
      <c r="B22871" s="233"/>
      <c r="C22871" s="238"/>
      <c r="E22871" s="545"/>
      <c r="F22871" s="546"/>
      <c r="G22871" s="234"/>
      <c r="H22871" s="238"/>
      <c r="I22871" s="237"/>
    </row>
    <row r="22872" spans="1:9" s="232" customFormat="1" ht="17" customHeight="1">
      <c r="A22872" s="234"/>
      <c r="B22872" s="233"/>
      <c r="C22872" s="238"/>
      <c r="E22872" s="545"/>
      <c r="F22872" s="546"/>
      <c r="G22872" s="234"/>
      <c r="H22872" s="238"/>
      <c r="I22872" s="237"/>
    </row>
    <row r="22873" spans="1:9" s="232" customFormat="1" ht="17" customHeight="1">
      <c r="A22873" s="234"/>
      <c r="B22873" s="233"/>
      <c r="C22873" s="238"/>
      <c r="E22873" s="545"/>
      <c r="F22873" s="546"/>
      <c r="G22873" s="234"/>
      <c r="H22873" s="238"/>
      <c r="I22873" s="237"/>
    </row>
    <row r="22874" spans="1:9" s="232" customFormat="1" ht="17" customHeight="1">
      <c r="A22874" s="234"/>
      <c r="B22874" s="233"/>
      <c r="C22874" s="238"/>
      <c r="E22874" s="545"/>
      <c r="F22874" s="546"/>
      <c r="G22874" s="234"/>
      <c r="H22874" s="238"/>
      <c r="I22874" s="237"/>
    </row>
    <row r="22875" spans="1:9" s="232" customFormat="1" ht="17" customHeight="1">
      <c r="A22875" s="234"/>
      <c r="B22875" s="233"/>
      <c r="C22875" s="238"/>
      <c r="E22875" s="545"/>
      <c r="F22875" s="546"/>
      <c r="G22875" s="234"/>
      <c r="H22875" s="238"/>
      <c r="I22875" s="237"/>
    </row>
    <row r="22876" spans="1:9" s="232" customFormat="1" ht="17" customHeight="1">
      <c r="A22876" s="234"/>
      <c r="B22876" s="233"/>
      <c r="C22876" s="238"/>
      <c r="E22876" s="545"/>
      <c r="F22876" s="546"/>
      <c r="G22876" s="234"/>
      <c r="H22876" s="238"/>
      <c r="I22876" s="237"/>
    </row>
    <row r="22877" spans="1:9" s="232" customFormat="1" ht="17" customHeight="1">
      <c r="A22877" s="234"/>
      <c r="B22877" s="233"/>
      <c r="C22877" s="238"/>
      <c r="E22877" s="545"/>
      <c r="F22877" s="546"/>
      <c r="G22877" s="234"/>
      <c r="H22877" s="238"/>
      <c r="I22877" s="237"/>
    </row>
    <row r="22878" spans="1:9" s="232" customFormat="1" ht="17" customHeight="1">
      <c r="A22878" s="234"/>
      <c r="B22878" s="233"/>
      <c r="C22878" s="238"/>
      <c r="E22878" s="545"/>
      <c r="F22878" s="546"/>
      <c r="G22878" s="234"/>
      <c r="H22878" s="238"/>
      <c r="I22878" s="237"/>
    </row>
    <row r="22879" spans="1:9" s="232" customFormat="1" ht="17" customHeight="1">
      <c r="A22879" s="234"/>
      <c r="B22879" s="233"/>
      <c r="C22879" s="238"/>
      <c r="E22879" s="545"/>
      <c r="F22879" s="546"/>
      <c r="G22879" s="234"/>
      <c r="H22879" s="238"/>
      <c r="I22879" s="237"/>
    </row>
    <row r="22880" spans="1:9" s="232" customFormat="1" ht="17" customHeight="1">
      <c r="A22880" s="234"/>
      <c r="B22880" s="233"/>
      <c r="C22880" s="238"/>
      <c r="E22880" s="545"/>
      <c r="F22880" s="546"/>
      <c r="G22880" s="234"/>
      <c r="H22880" s="238"/>
      <c r="I22880" s="237"/>
    </row>
    <row r="22881" spans="1:9" s="232" customFormat="1" ht="17" customHeight="1">
      <c r="A22881" s="234"/>
      <c r="B22881" s="233"/>
      <c r="C22881" s="238"/>
      <c r="E22881" s="545"/>
      <c r="F22881" s="546"/>
      <c r="G22881" s="234"/>
      <c r="H22881" s="238"/>
      <c r="I22881" s="237"/>
    </row>
    <row r="22882" spans="1:9" s="232" customFormat="1" ht="17" customHeight="1">
      <c r="A22882" s="234"/>
      <c r="B22882" s="233"/>
      <c r="C22882" s="238"/>
      <c r="E22882" s="545"/>
      <c r="F22882" s="546"/>
      <c r="G22882" s="234"/>
      <c r="H22882" s="238"/>
      <c r="I22882" s="237"/>
    </row>
    <row r="22883" spans="1:9" s="232" customFormat="1" ht="17" customHeight="1">
      <c r="A22883" s="234"/>
      <c r="B22883" s="233"/>
      <c r="C22883" s="238"/>
      <c r="E22883" s="545"/>
      <c r="F22883" s="546"/>
      <c r="G22883" s="234"/>
      <c r="H22883" s="238"/>
      <c r="I22883" s="237"/>
    </row>
    <row r="22884" spans="1:9" s="232" customFormat="1" ht="17" customHeight="1">
      <c r="A22884" s="234"/>
      <c r="B22884" s="233"/>
      <c r="C22884" s="238"/>
      <c r="E22884" s="545"/>
      <c r="F22884" s="546"/>
      <c r="G22884" s="234"/>
      <c r="H22884" s="238"/>
      <c r="I22884" s="237"/>
    </row>
    <row r="22885" spans="1:9" s="232" customFormat="1" ht="17" customHeight="1">
      <c r="A22885" s="234"/>
      <c r="B22885" s="233"/>
      <c r="C22885" s="238"/>
      <c r="E22885" s="545"/>
      <c r="F22885" s="546"/>
      <c r="G22885" s="234"/>
      <c r="H22885" s="238"/>
      <c r="I22885" s="237"/>
    </row>
    <row r="22886" spans="1:9" s="232" customFormat="1" ht="17" customHeight="1">
      <c r="A22886" s="234"/>
      <c r="B22886" s="233"/>
      <c r="C22886" s="238"/>
      <c r="E22886" s="545"/>
      <c r="F22886" s="546"/>
      <c r="G22886" s="234"/>
      <c r="H22886" s="238"/>
      <c r="I22886" s="237"/>
    </row>
    <row r="22887" spans="1:9" s="232" customFormat="1" ht="17" customHeight="1">
      <c r="A22887" s="234"/>
      <c r="B22887" s="233"/>
      <c r="C22887" s="238"/>
      <c r="E22887" s="545"/>
      <c r="F22887" s="546"/>
      <c r="G22887" s="234"/>
      <c r="H22887" s="238"/>
      <c r="I22887" s="237"/>
    </row>
    <row r="22888" spans="1:9" s="232" customFormat="1" ht="17" customHeight="1">
      <c r="A22888" s="234"/>
      <c r="B22888" s="233"/>
      <c r="C22888" s="238"/>
      <c r="E22888" s="545"/>
      <c r="F22888" s="546"/>
      <c r="G22888" s="234"/>
      <c r="H22888" s="238"/>
      <c r="I22888" s="237"/>
    </row>
    <row r="22889" spans="1:9" s="232" customFormat="1" ht="17" customHeight="1">
      <c r="A22889" s="234"/>
      <c r="B22889" s="233"/>
      <c r="C22889" s="238"/>
      <c r="E22889" s="545"/>
      <c r="F22889" s="546"/>
      <c r="G22889" s="234"/>
      <c r="H22889" s="238"/>
      <c r="I22889" s="237"/>
    </row>
    <row r="22890" spans="1:9" s="232" customFormat="1" ht="17" customHeight="1">
      <c r="A22890" s="234"/>
      <c r="B22890" s="233"/>
      <c r="C22890" s="238"/>
      <c r="E22890" s="545"/>
      <c r="F22890" s="546"/>
      <c r="G22890" s="234"/>
      <c r="H22890" s="238"/>
      <c r="I22890" s="237"/>
    </row>
    <row r="22891" spans="1:9" s="232" customFormat="1" ht="17" customHeight="1">
      <c r="A22891" s="234"/>
      <c r="B22891" s="233"/>
      <c r="C22891" s="238"/>
      <c r="E22891" s="545"/>
      <c r="F22891" s="546"/>
      <c r="G22891" s="234"/>
      <c r="H22891" s="238"/>
      <c r="I22891" s="237"/>
    </row>
    <row r="22892" spans="1:9" s="232" customFormat="1" ht="17" customHeight="1">
      <c r="A22892" s="234"/>
      <c r="B22892" s="233"/>
      <c r="C22892" s="238"/>
      <c r="E22892" s="545"/>
      <c r="F22892" s="546"/>
      <c r="G22892" s="234"/>
      <c r="H22892" s="238"/>
      <c r="I22892" s="237"/>
    </row>
    <row r="22893" spans="1:9" s="232" customFormat="1" ht="17" customHeight="1">
      <c r="A22893" s="234"/>
      <c r="B22893" s="233"/>
      <c r="C22893" s="238"/>
      <c r="E22893" s="545"/>
      <c r="F22893" s="546"/>
      <c r="G22893" s="234"/>
      <c r="H22893" s="238"/>
      <c r="I22893" s="237"/>
    </row>
    <row r="22894" spans="1:9" s="232" customFormat="1" ht="17" customHeight="1">
      <c r="A22894" s="234"/>
      <c r="B22894" s="233"/>
      <c r="C22894" s="238"/>
      <c r="E22894" s="545"/>
      <c r="F22894" s="546"/>
      <c r="G22894" s="234"/>
      <c r="H22894" s="238"/>
      <c r="I22894" s="237"/>
    </row>
    <row r="22895" spans="1:9" s="232" customFormat="1" ht="17" customHeight="1">
      <c r="A22895" s="234"/>
      <c r="B22895" s="233"/>
      <c r="C22895" s="238"/>
      <c r="E22895" s="545"/>
      <c r="F22895" s="546"/>
      <c r="G22895" s="234"/>
      <c r="H22895" s="238"/>
      <c r="I22895" s="237"/>
    </row>
    <row r="22896" spans="1:9" s="232" customFormat="1" ht="17" customHeight="1">
      <c r="A22896" s="234"/>
      <c r="B22896" s="233"/>
      <c r="C22896" s="238"/>
      <c r="E22896" s="545"/>
      <c r="F22896" s="546"/>
      <c r="G22896" s="234"/>
      <c r="H22896" s="238"/>
      <c r="I22896" s="237"/>
    </row>
    <row r="22897" spans="1:9" s="232" customFormat="1" ht="17" customHeight="1">
      <c r="A22897" s="234"/>
      <c r="B22897" s="233"/>
      <c r="C22897" s="238"/>
      <c r="E22897" s="545"/>
      <c r="F22897" s="546"/>
      <c r="G22897" s="234"/>
      <c r="H22897" s="238"/>
      <c r="I22897" s="237"/>
    </row>
    <row r="22898" spans="1:9" s="232" customFormat="1" ht="17" customHeight="1">
      <c r="A22898" s="234"/>
      <c r="B22898" s="233"/>
      <c r="C22898" s="238"/>
      <c r="E22898" s="545"/>
      <c r="F22898" s="546"/>
      <c r="G22898" s="234"/>
      <c r="H22898" s="238"/>
      <c r="I22898" s="237"/>
    </row>
    <row r="22899" spans="1:9" s="232" customFormat="1" ht="17" customHeight="1">
      <c r="A22899" s="234"/>
      <c r="B22899" s="233"/>
      <c r="C22899" s="238"/>
      <c r="E22899" s="545"/>
      <c r="F22899" s="546"/>
      <c r="G22899" s="234"/>
      <c r="H22899" s="238"/>
      <c r="I22899" s="237"/>
    </row>
    <row r="22900" spans="1:9" s="232" customFormat="1" ht="17" customHeight="1">
      <c r="A22900" s="234"/>
      <c r="B22900" s="233"/>
      <c r="C22900" s="238"/>
      <c r="E22900" s="545"/>
      <c r="F22900" s="546"/>
      <c r="G22900" s="234"/>
      <c r="H22900" s="238"/>
      <c r="I22900" s="237"/>
    </row>
    <row r="22901" spans="1:9" s="232" customFormat="1" ht="17" customHeight="1">
      <c r="A22901" s="234"/>
      <c r="B22901" s="233"/>
      <c r="C22901" s="238"/>
      <c r="E22901" s="545"/>
      <c r="F22901" s="546"/>
      <c r="G22901" s="234"/>
      <c r="H22901" s="238"/>
      <c r="I22901" s="237"/>
    </row>
    <row r="22902" spans="1:9" s="232" customFormat="1" ht="17" customHeight="1">
      <c r="A22902" s="234"/>
      <c r="B22902" s="233"/>
      <c r="C22902" s="238"/>
      <c r="E22902" s="545"/>
      <c r="F22902" s="546"/>
      <c r="G22902" s="234"/>
      <c r="H22902" s="238"/>
      <c r="I22902" s="237"/>
    </row>
    <row r="22903" spans="1:9" s="232" customFormat="1" ht="17" customHeight="1">
      <c r="A22903" s="234"/>
      <c r="B22903" s="233"/>
      <c r="C22903" s="238"/>
      <c r="E22903" s="545"/>
      <c r="F22903" s="546"/>
      <c r="G22903" s="234"/>
      <c r="H22903" s="238"/>
      <c r="I22903" s="237"/>
    </row>
    <row r="22904" spans="1:9" s="232" customFormat="1" ht="17" customHeight="1">
      <c r="A22904" s="234"/>
      <c r="B22904" s="233"/>
      <c r="C22904" s="238"/>
      <c r="E22904" s="545"/>
      <c r="F22904" s="546"/>
      <c r="G22904" s="234"/>
      <c r="H22904" s="238"/>
      <c r="I22904" s="237"/>
    </row>
    <row r="22905" spans="1:9" s="232" customFormat="1" ht="17" customHeight="1">
      <c r="A22905" s="234"/>
      <c r="B22905" s="233"/>
      <c r="C22905" s="238"/>
      <c r="E22905" s="545"/>
      <c r="F22905" s="546"/>
      <c r="G22905" s="234"/>
      <c r="H22905" s="238"/>
      <c r="I22905" s="237"/>
    </row>
    <row r="22906" spans="1:9" s="232" customFormat="1" ht="17" customHeight="1">
      <c r="A22906" s="234"/>
      <c r="B22906" s="233"/>
      <c r="C22906" s="238"/>
      <c r="E22906" s="545"/>
      <c r="F22906" s="546"/>
      <c r="G22906" s="234"/>
      <c r="H22906" s="238"/>
      <c r="I22906" s="237"/>
    </row>
    <row r="22907" spans="1:9" s="232" customFormat="1" ht="17" customHeight="1">
      <c r="A22907" s="234"/>
      <c r="B22907" s="233"/>
      <c r="C22907" s="238"/>
      <c r="E22907" s="545"/>
      <c r="F22907" s="546"/>
      <c r="G22907" s="234"/>
      <c r="H22907" s="238"/>
      <c r="I22907" s="237"/>
    </row>
    <row r="22908" spans="1:9" s="232" customFormat="1" ht="17" customHeight="1">
      <c r="A22908" s="234"/>
      <c r="B22908" s="233"/>
      <c r="C22908" s="238"/>
      <c r="E22908" s="545"/>
      <c r="F22908" s="546"/>
      <c r="G22908" s="234"/>
      <c r="H22908" s="238"/>
      <c r="I22908" s="237"/>
    </row>
    <row r="22909" spans="1:9" s="232" customFormat="1" ht="17" customHeight="1">
      <c r="A22909" s="234"/>
      <c r="B22909" s="233"/>
      <c r="C22909" s="238"/>
      <c r="E22909" s="545"/>
      <c r="F22909" s="546"/>
      <c r="G22909" s="234"/>
      <c r="H22909" s="238"/>
      <c r="I22909" s="237"/>
    </row>
    <row r="22910" spans="1:9" s="232" customFormat="1" ht="17" customHeight="1">
      <c r="A22910" s="234"/>
      <c r="B22910" s="233"/>
      <c r="C22910" s="238"/>
      <c r="E22910" s="545"/>
      <c r="F22910" s="546"/>
      <c r="G22910" s="234"/>
      <c r="H22910" s="238"/>
      <c r="I22910" s="237"/>
    </row>
    <row r="22911" spans="1:9" s="232" customFormat="1" ht="17" customHeight="1">
      <c r="A22911" s="234"/>
      <c r="B22911" s="233"/>
      <c r="C22911" s="238"/>
      <c r="E22911" s="545"/>
      <c r="F22911" s="546"/>
      <c r="G22911" s="234"/>
      <c r="H22911" s="238"/>
      <c r="I22911" s="237"/>
    </row>
    <row r="22912" spans="1:9" s="232" customFormat="1" ht="17" customHeight="1">
      <c r="A22912" s="234"/>
      <c r="B22912" s="233"/>
      <c r="C22912" s="238"/>
      <c r="E22912" s="545"/>
      <c r="F22912" s="546"/>
      <c r="G22912" s="234"/>
      <c r="H22912" s="238"/>
      <c r="I22912" s="237"/>
    </row>
    <row r="22913" spans="1:9" s="232" customFormat="1" ht="17" customHeight="1">
      <c r="A22913" s="234"/>
      <c r="B22913" s="233"/>
      <c r="C22913" s="238"/>
      <c r="E22913" s="545"/>
      <c r="F22913" s="546"/>
      <c r="G22913" s="234"/>
      <c r="H22913" s="238"/>
      <c r="I22913" s="237"/>
    </row>
    <row r="22914" spans="1:9" s="232" customFormat="1" ht="17" customHeight="1">
      <c r="A22914" s="234"/>
      <c r="B22914" s="233"/>
      <c r="C22914" s="238"/>
      <c r="E22914" s="545"/>
      <c r="F22914" s="546"/>
      <c r="G22914" s="234"/>
      <c r="H22914" s="238"/>
      <c r="I22914" s="237"/>
    </row>
    <row r="22915" spans="1:9" s="232" customFormat="1" ht="17" customHeight="1">
      <c r="A22915" s="234"/>
      <c r="B22915" s="233"/>
      <c r="C22915" s="238"/>
      <c r="E22915" s="545"/>
      <c r="F22915" s="546"/>
      <c r="G22915" s="234"/>
      <c r="H22915" s="238"/>
      <c r="I22915" s="237"/>
    </row>
    <row r="22916" spans="1:9" s="232" customFormat="1" ht="17" customHeight="1">
      <c r="A22916" s="234"/>
      <c r="B22916" s="233"/>
      <c r="C22916" s="238"/>
      <c r="E22916" s="545"/>
      <c r="F22916" s="546"/>
      <c r="G22916" s="234"/>
      <c r="H22916" s="238"/>
      <c r="I22916" s="237"/>
    </row>
    <row r="22917" spans="1:9" s="232" customFormat="1" ht="17" customHeight="1">
      <c r="A22917" s="234"/>
      <c r="B22917" s="233"/>
      <c r="C22917" s="238"/>
      <c r="E22917" s="545"/>
      <c r="F22917" s="546"/>
      <c r="G22917" s="234"/>
      <c r="H22917" s="238"/>
      <c r="I22917" s="237"/>
    </row>
    <row r="22918" spans="1:9" s="232" customFormat="1" ht="17" customHeight="1">
      <c r="A22918" s="234"/>
      <c r="B22918" s="233"/>
      <c r="C22918" s="238"/>
      <c r="E22918" s="545"/>
      <c r="F22918" s="546"/>
      <c r="G22918" s="234"/>
      <c r="H22918" s="238"/>
      <c r="I22918" s="237"/>
    </row>
    <row r="22919" spans="1:9" s="232" customFormat="1" ht="17" customHeight="1">
      <c r="A22919" s="234"/>
      <c r="B22919" s="233"/>
      <c r="C22919" s="238"/>
      <c r="E22919" s="545"/>
      <c r="F22919" s="546"/>
      <c r="G22919" s="234"/>
      <c r="H22919" s="238"/>
      <c r="I22919" s="237"/>
    </row>
    <row r="22920" spans="1:9" s="232" customFormat="1" ht="17" customHeight="1">
      <c r="A22920" s="234"/>
      <c r="B22920" s="233"/>
      <c r="C22920" s="238"/>
      <c r="E22920" s="545"/>
      <c r="F22920" s="546"/>
      <c r="G22920" s="234"/>
      <c r="H22920" s="238"/>
      <c r="I22920" s="237"/>
    </row>
    <row r="22921" spans="1:9" s="232" customFormat="1" ht="17" customHeight="1">
      <c r="A22921" s="234"/>
      <c r="B22921" s="233"/>
      <c r="C22921" s="238"/>
      <c r="E22921" s="545"/>
      <c r="F22921" s="546"/>
      <c r="G22921" s="234"/>
      <c r="H22921" s="238"/>
      <c r="I22921" s="237"/>
    </row>
    <row r="22922" spans="1:9" s="232" customFormat="1" ht="17" customHeight="1">
      <c r="A22922" s="234"/>
      <c r="B22922" s="233"/>
      <c r="C22922" s="238"/>
      <c r="E22922" s="545"/>
      <c r="F22922" s="546"/>
      <c r="G22922" s="234"/>
      <c r="H22922" s="238"/>
      <c r="I22922" s="237"/>
    </row>
    <row r="22923" spans="1:9" s="232" customFormat="1" ht="17" customHeight="1">
      <c r="A22923" s="234"/>
      <c r="B22923" s="233"/>
      <c r="C22923" s="238"/>
      <c r="E22923" s="545"/>
      <c r="F22923" s="546"/>
      <c r="G22923" s="234"/>
      <c r="H22923" s="238"/>
      <c r="I22923" s="237"/>
    </row>
    <row r="22924" spans="1:9" s="232" customFormat="1" ht="17" customHeight="1">
      <c r="A22924" s="234"/>
      <c r="B22924" s="233"/>
      <c r="C22924" s="238"/>
      <c r="E22924" s="545"/>
      <c r="F22924" s="546"/>
      <c r="G22924" s="234"/>
      <c r="H22924" s="238"/>
      <c r="I22924" s="237"/>
    </row>
    <row r="22925" spans="1:9" s="232" customFormat="1" ht="17" customHeight="1">
      <c r="A22925" s="234"/>
      <c r="B22925" s="233"/>
      <c r="C22925" s="238"/>
      <c r="E22925" s="545"/>
      <c r="F22925" s="546"/>
      <c r="G22925" s="234"/>
      <c r="H22925" s="238"/>
      <c r="I22925" s="237"/>
    </row>
    <row r="22926" spans="1:9" s="232" customFormat="1" ht="17" customHeight="1">
      <c r="A22926" s="234"/>
      <c r="B22926" s="233"/>
      <c r="C22926" s="238"/>
      <c r="E22926" s="545"/>
      <c r="F22926" s="546"/>
      <c r="G22926" s="234"/>
      <c r="H22926" s="238"/>
      <c r="I22926" s="237"/>
    </row>
    <row r="22927" spans="1:9" s="232" customFormat="1" ht="17" customHeight="1">
      <c r="A22927" s="234"/>
      <c r="B22927" s="233"/>
      <c r="C22927" s="238"/>
      <c r="E22927" s="545"/>
      <c r="F22927" s="546"/>
      <c r="G22927" s="234"/>
      <c r="H22927" s="238"/>
      <c r="I22927" s="237"/>
    </row>
    <row r="22928" spans="1:9" s="232" customFormat="1" ht="17" customHeight="1">
      <c r="A22928" s="234"/>
      <c r="B22928" s="233"/>
      <c r="C22928" s="238"/>
      <c r="E22928" s="545"/>
      <c r="F22928" s="546"/>
      <c r="G22928" s="234"/>
      <c r="H22928" s="238"/>
      <c r="I22928" s="237"/>
    </row>
    <row r="22929" spans="1:9" s="232" customFormat="1" ht="17" customHeight="1">
      <c r="A22929" s="234"/>
      <c r="B22929" s="233"/>
      <c r="C22929" s="238"/>
      <c r="E22929" s="545"/>
      <c r="F22929" s="546"/>
      <c r="G22929" s="234"/>
      <c r="H22929" s="238"/>
      <c r="I22929" s="237"/>
    </row>
    <row r="22930" spans="1:9" s="232" customFormat="1" ht="17" customHeight="1">
      <c r="A22930" s="234"/>
      <c r="B22930" s="233"/>
      <c r="C22930" s="238"/>
      <c r="E22930" s="545"/>
      <c r="F22930" s="546"/>
      <c r="G22930" s="234"/>
      <c r="H22930" s="238"/>
      <c r="I22930" s="237"/>
    </row>
    <row r="22931" spans="1:9" s="232" customFormat="1" ht="17" customHeight="1">
      <c r="A22931" s="234"/>
      <c r="B22931" s="233"/>
      <c r="C22931" s="238"/>
      <c r="E22931" s="545"/>
      <c r="F22931" s="546"/>
      <c r="G22931" s="234"/>
      <c r="H22931" s="238"/>
      <c r="I22931" s="237"/>
    </row>
    <row r="22932" spans="1:9" s="232" customFormat="1" ht="17" customHeight="1">
      <c r="A22932" s="234"/>
      <c r="B22932" s="233"/>
      <c r="C22932" s="238"/>
      <c r="E22932" s="545"/>
      <c r="F22932" s="546"/>
      <c r="G22932" s="234"/>
      <c r="H22932" s="238"/>
      <c r="I22932" s="237"/>
    </row>
    <row r="22933" spans="1:9" s="232" customFormat="1" ht="17" customHeight="1">
      <c r="A22933" s="234"/>
      <c r="B22933" s="233"/>
      <c r="C22933" s="238"/>
      <c r="E22933" s="545"/>
      <c r="F22933" s="546"/>
      <c r="G22933" s="234"/>
      <c r="H22933" s="238"/>
      <c r="I22933" s="237"/>
    </row>
    <row r="22934" spans="1:9" s="232" customFormat="1" ht="17" customHeight="1">
      <c r="A22934" s="234"/>
      <c r="B22934" s="233"/>
      <c r="C22934" s="238"/>
      <c r="E22934" s="545"/>
      <c r="F22934" s="546"/>
      <c r="G22934" s="234"/>
      <c r="H22934" s="238"/>
      <c r="I22934" s="237"/>
    </row>
    <row r="22935" spans="1:9" s="232" customFormat="1" ht="17" customHeight="1">
      <c r="A22935" s="234"/>
      <c r="B22935" s="233"/>
      <c r="C22935" s="238"/>
      <c r="E22935" s="545"/>
      <c r="F22935" s="546"/>
      <c r="G22935" s="234"/>
      <c r="H22935" s="238"/>
      <c r="I22935" s="237"/>
    </row>
    <row r="22936" spans="1:9" s="232" customFormat="1" ht="17" customHeight="1">
      <c r="A22936" s="234"/>
      <c r="B22936" s="233"/>
      <c r="C22936" s="238"/>
      <c r="E22936" s="545"/>
      <c r="F22936" s="546"/>
      <c r="G22936" s="234"/>
      <c r="H22936" s="238"/>
      <c r="I22936" s="237"/>
    </row>
    <row r="22937" spans="1:9" s="232" customFormat="1" ht="17" customHeight="1">
      <c r="A22937" s="234"/>
      <c r="B22937" s="233"/>
      <c r="C22937" s="238"/>
      <c r="E22937" s="545"/>
      <c r="F22937" s="546"/>
      <c r="G22937" s="234"/>
      <c r="H22937" s="238"/>
      <c r="I22937" s="237"/>
    </row>
    <row r="22938" spans="1:9" s="232" customFormat="1" ht="17" customHeight="1">
      <c r="A22938" s="234"/>
      <c r="B22938" s="233"/>
      <c r="C22938" s="238"/>
      <c r="E22938" s="545"/>
      <c r="F22938" s="546"/>
      <c r="G22938" s="234"/>
      <c r="H22938" s="238"/>
      <c r="I22938" s="237"/>
    </row>
    <row r="22939" spans="1:9" s="232" customFormat="1" ht="17" customHeight="1">
      <c r="A22939" s="234"/>
      <c r="B22939" s="233"/>
      <c r="C22939" s="238"/>
      <c r="E22939" s="545"/>
      <c r="F22939" s="546"/>
      <c r="G22939" s="234"/>
      <c r="H22939" s="238"/>
      <c r="I22939" s="237"/>
    </row>
    <row r="22940" spans="1:9" s="232" customFormat="1" ht="17" customHeight="1">
      <c r="A22940" s="234"/>
      <c r="B22940" s="233"/>
      <c r="C22940" s="238"/>
      <c r="E22940" s="545"/>
      <c r="F22940" s="546"/>
      <c r="G22940" s="234"/>
      <c r="H22940" s="238"/>
      <c r="I22940" s="237"/>
    </row>
    <row r="22941" spans="1:9" s="232" customFormat="1" ht="17" customHeight="1">
      <c r="A22941" s="234"/>
      <c r="B22941" s="233"/>
      <c r="C22941" s="238"/>
      <c r="E22941" s="545"/>
      <c r="F22941" s="546"/>
      <c r="G22941" s="234"/>
      <c r="H22941" s="238"/>
      <c r="I22941" s="237"/>
    </row>
    <row r="22942" spans="1:9" s="232" customFormat="1" ht="17" customHeight="1">
      <c r="A22942" s="234"/>
      <c r="B22942" s="233"/>
      <c r="C22942" s="238"/>
      <c r="E22942" s="545"/>
      <c r="F22942" s="546"/>
      <c r="G22942" s="234"/>
      <c r="H22942" s="238"/>
      <c r="I22942" s="237"/>
    </row>
    <row r="22943" spans="1:9" s="232" customFormat="1" ht="17" customHeight="1">
      <c r="A22943" s="234"/>
      <c r="B22943" s="233"/>
      <c r="C22943" s="238"/>
      <c r="E22943" s="545"/>
      <c r="F22943" s="546"/>
      <c r="G22943" s="234"/>
      <c r="H22943" s="238"/>
      <c r="I22943" s="237"/>
    </row>
    <row r="22944" spans="1:9" s="232" customFormat="1" ht="17" customHeight="1">
      <c r="A22944" s="234"/>
      <c r="B22944" s="233"/>
      <c r="C22944" s="238"/>
      <c r="E22944" s="545"/>
      <c r="F22944" s="546"/>
      <c r="G22944" s="234"/>
      <c r="H22944" s="238"/>
      <c r="I22944" s="237"/>
    </row>
    <row r="22945" spans="1:9" s="232" customFormat="1" ht="17" customHeight="1">
      <c r="A22945" s="234"/>
      <c r="B22945" s="233"/>
      <c r="C22945" s="238"/>
      <c r="E22945" s="545"/>
      <c r="F22945" s="546"/>
      <c r="G22945" s="234"/>
      <c r="H22945" s="238"/>
      <c r="I22945" s="237"/>
    </row>
    <row r="22946" spans="1:9" s="232" customFormat="1" ht="17" customHeight="1">
      <c r="A22946" s="234"/>
      <c r="B22946" s="233"/>
      <c r="C22946" s="238"/>
      <c r="E22946" s="545"/>
      <c r="F22946" s="546"/>
      <c r="G22946" s="234"/>
      <c r="H22946" s="238"/>
      <c r="I22946" s="237"/>
    </row>
    <row r="22947" spans="1:9" s="232" customFormat="1" ht="17" customHeight="1">
      <c r="A22947" s="234"/>
      <c r="B22947" s="233"/>
      <c r="C22947" s="238"/>
      <c r="E22947" s="545"/>
      <c r="F22947" s="546"/>
      <c r="G22947" s="234"/>
      <c r="H22947" s="238"/>
      <c r="I22947" s="237"/>
    </row>
    <row r="22948" spans="1:9" s="232" customFormat="1" ht="17" customHeight="1">
      <c r="A22948" s="234"/>
      <c r="B22948" s="233"/>
      <c r="C22948" s="238"/>
      <c r="E22948" s="545"/>
      <c r="F22948" s="546"/>
      <c r="G22948" s="234"/>
      <c r="H22948" s="238"/>
      <c r="I22948" s="237"/>
    </row>
    <row r="22949" spans="1:9" s="232" customFormat="1" ht="17" customHeight="1">
      <c r="A22949" s="234"/>
      <c r="B22949" s="233"/>
      <c r="C22949" s="238"/>
      <c r="E22949" s="545"/>
      <c r="F22949" s="546"/>
      <c r="G22949" s="234"/>
      <c r="H22949" s="238"/>
      <c r="I22949" s="237"/>
    </row>
    <row r="22950" spans="1:9" s="232" customFormat="1" ht="17" customHeight="1">
      <c r="A22950" s="234"/>
      <c r="B22950" s="233"/>
      <c r="C22950" s="238"/>
      <c r="E22950" s="545"/>
      <c r="F22950" s="546"/>
      <c r="G22950" s="234"/>
      <c r="H22950" s="238"/>
      <c r="I22950" s="237"/>
    </row>
    <row r="22951" spans="1:9" s="232" customFormat="1" ht="17" customHeight="1">
      <c r="A22951" s="234"/>
      <c r="B22951" s="233"/>
      <c r="C22951" s="238"/>
      <c r="E22951" s="545"/>
      <c r="F22951" s="546"/>
      <c r="G22951" s="234"/>
      <c r="H22951" s="238"/>
      <c r="I22951" s="237"/>
    </row>
    <row r="22952" spans="1:9" s="232" customFormat="1" ht="17" customHeight="1">
      <c r="A22952" s="234"/>
      <c r="B22952" s="233"/>
      <c r="C22952" s="238"/>
      <c r="E22952" s="545"/>
      <c r="F22952" s="546"/>
      <c r="G22952" s="234"/>
      <c r="H22952" s="238"/>
      <c r="I22952" s="237"/>
    </row>
    <row r="22953" spans="1:9" s="232" customFormat="1" ht="17" customHeight="1">
      <c r="A22953" s="234"/>
      <c r="B22953" s="233"/>
      <c r="C22953" s="238"/>
      <c r="E22953" s="545"/>
      <c r="F22953" s="546"/>
      <c r="G22953" s="234"/>
      <c r="H22953" s="238"/>
      <c r="I22953" s="237"/>
    </row>
    <row r="22954" spans="1:9" s="232" customFormat="1" ht="17" customHeight="1">
      <c r="A22954" s="234"/>
      <c r="B22954" s="233"/>
      <c r="C22954" s="238"/>
      <c r="E22954" s="545"/>
      <c r="F22954" s="546"/>
      <c r="G22954" s="234"/>
      <c r="H22954" s="238"/>
      <c r="I22954" s="237"/>
    </row>
    <row r="22955" spans="1:9" s="232" customFormat="1" ht="17" customHeight="1">
      <c r="A22955" s="234"/>
      <c r="B22955" s="233"/>
      <c r="C22955" s="238"/>
      <c r="E22955" s="545"/>
      <c r="F22955" s="546"/>
      <c r="G22955" s="234"/>
      <c r="H22955" s="238"/>
      <c r="I22955" s="237"/>
    </row>
    <row r="22956" spans="1:9" s="232" customFormat="1" ht="17" customHeight="1">
      <c r="A22956" s="234"/>
      <c r="B22956" s="233"/>
      <c r="C22956" s="238"/>
      <c r="E22956" s="545"/>
      <c r="F22956" s="546"/>
      <c r="G22956" s="234"/>
      <c r="H22956" s="238"/>
      <c r="I22956" s="237"/>
    </row>
    <row r="22957" spans="1:9" s="232" customFormat="1" ht="17" customHeight="1">
      <c r="A22957" s="234"/>
      <c r="B22957" s="233"/>
      <c r="C22957" s="238"/>
      <c r="E22957" s="545"/>
      <c r="F22957" s="546"/>
      <c r="G22957" s="234"/>
      <c r="H22957" s="238"/>
      <c r="I22957" s="237"/>
    </row>
    <row r="22958" spans="1:9" s="232" customFormat="1" ht="17" customHeight="1">
      <c r="A22958" s="234"/>
      <c r="B22958" s="233"/>
      <c r="C22958" s="238"/>
      <c r="E22958" s="545"/>
      <c r="F22958" s="546"/>
      <c r="G22958" s="234"/>
      <c r="H22958" s="238"/>
      <c r="I22958" s="237"/>
    </row>
    <row r="22959" spans="1:9" s="232" customFormat="1" ht="17" customHeight="1">
      <c r="A22959" s="234"/>
      <c r="B22959" s="233"/>
      <c r="C22959" s="238"/>
      <c r="E22959" s="545"/>
      <c r="F22959" s="546"/>
      <c r="G22959" s="234"/>
      <c r="H22959" s="238"/>
      <c r="I22959" s="237"/>
    </row>
    <row r="22960" spans="1:9" s="232" customFormat="1" ht="17" customHeight="1">
      <c r="A22960" s="234"/>
      <c r="B22960" s="233"/>
      <c r="C22960" s="238"/>
      <c r="E22960" s="545"/>
      <c r="F22960" s="546"/>
      <c r="G22960" s="234"/>
      <c r="H22960" s="238"/>
      <c r="I22960" s="237"/>
    </row>
    <row r="22961" spans="1:9" s="232" customFormat="1" ht="17" customHeight="1">
      <c r="A22961" s="234"/>
      <c r="B22961" s="233"/>
      <c r="C22961" s="238"/>
      <c r="E22961" s="545"/>
      <c r="F22961" s="546"/>
      <c r="G22961" s="234"/>
      <c r="H22961" s="238"/>
      <c r="I22961" s="237"/>
    </row>
    <row r="22962" spans="1:9" s="232" customFormat="1" ht="17" customHeight="1">
      <c r="A22962" s="234"/>
      <c r="B22962" s="233"/>
      <c r="C22962" s="238"/>
      <c r="E22962" s="545"/>
      <c r="F22962" s="546"/>
      <c r="G22962" s="234"/>
      <c r="H22962" s="238"/>
      <c r="I22962" s="237"/>
    </row>
    <row r="22963" spans="1:9" s="232" customFormat="1" ht="17" customHeight="1">
      <c r="A22963" s="234"/>
      <c r="B22963" s="233"/>
      <c r="C22963" s="238"/>
      <c r="E22963" s="545"/>
      <c r="F22963" s="546"/>
      <c r="G22963" s="234"/>
      <c r="H22963" s="238"/>
      <c r="I22963" s="237"/>
    </row>
    <row r="22964" spans="1:9" s="232" customFormat="1" ht="17" customHeight="1">
      <c r="A22964" s="234"/>
      <c r="B22964" s="233"/>
      <c r="C22964" s="238"/>
      <c r="E22964" s="545"/>
      <c r="F22964" s="546"/>
      <c r="G22964" s="234"/>
      <c r="H22964" s="238"/>
      <c r="I22964" s="237"/>
    </row>
    <row r="22965" spans="1:9" s="232" customFormat="1" ht="17" customHeight="1">
      <c r="A22965" s="234"/>
      <c r="B22965" s="233"/>
      <c r="C22965" s="238"/>
      <c r="E22965" s="545"/>
      <c r="F22965" s="546"/>
      <c r="G22965" s="234"/>
      <c r="H22965" s="238"/>
      <c r="I22965" s="237"/>
    </row>
    <row r="22966" spans="1:9" s="232" customFormat="1" ht="17" customHeight="1">
      <c r="A22966" s="234"/>
      <c r="B22966" s="233"/>
      <c r="C22966" s="238"/>
      <c r="E22966" s="545"/>
      <c r="F22966" s="546"/>
      <c r="G22966" s="234"/>
      <c r="H22966" s="238"/>
      <c r="I22966" s="237"/>
    </row>
    <row r="22967" spans="1:9" s="232" customFormat="1" ht="17" customHeight="1">
      <c r="A22967" s="234"/>
      <c r="B22967" s="233"/>
      <c r="C22967" s="238"/>
      <c r="E22967" s="545"/>
      <c r="F22967" s="546"/>
      <c r="G22967" s="234"/>
      <c r="H22967" s="238"/>
      <c r="I22967" s="237"/>
    </row>
    <row r="22968" spans="1:9" s="232" customFormat="1" ht="17" customHeight="1">
      <c r="A22968" s="234"/>
      <c r="B22968" s="233"/>
      <c r="C22968" s="238"/>
      <c r="E22968" s="545"/>
      <c r="F22968" s="546"/>
      <c r="G22968" s="234"/>
      <c r="H22968" s="238"/>
      <c r="I22968" s="237"/>
    </row>
    <row r="22969" spans="1:9" s="232" customFormat="1" ht="17" customHeight="1">
      <c r="A22969" s="234"/>
      <c r="B22969" s="233"/>
      <c r="C22969" s="238"/>
      <c r="E22969" s="545"/>
      <c r="F22969" s="546"/>
      <c r="G22969" s="234"/>
      <c r="H22969" s="238"/>
      <c r="I22969" s="237"/>
    </row>
    <row r="22970" spans="1:9" s="232" customFormat="1" ht="17" customHeight="1">
      <c r="A22970" s="234"/>
      <c r="B22970" s="233"/>
      <c r="C22970" s="238"/>
      <c r="E22970" s="545"/>
      <c r="F22970" s="546"/>
      <c r="G22970" s="234"/>
      <c r="H22970" s="238"/>
      <c r="I22970" s="237"/>
    </row>
    <row r="22971" spans="1:9" s="232" customFormat="1" ht="17" customHeight="1">
      <c r="A22971" s="234"/>
      <c r="B22971" s="233"/>
      <c r="C22971" s="238"/>
      <c r="E22971" s="545"/>
      <c r="F22971" s="546"/>
      <c r="G22971" s="234"/>
      <c r="H22971" s="238"/>
      <c r="I22971" s="237"/>
    </row>
    <row r="22972" spans="1:9" s="232" customFormat="1" ht="17" customHeight="1">
      <c r="A22972" s="234"/>
      <c r="B22972" s="233"/>
      <c r="C22972" s="238"/>
      <c r="E22972" s="545"/>
      <c r="F22972" s="546"/>
      <c r="G22972" s="234"/>
      <c r="H22972" s="238"/>
      <c r="I22972" s="237"/>
    </row>
    <row r="22973" spans="1:9" s="232" customFormat="1" ht="17" customHeight="1">
      <c r="A22973" s="234"/>
      <c r="B22973" s="233"/>
      <c r="C22973" s="238"/>
      <c r="E22973" s="545"/>
      <c r="F22973" s="546"/>
      <c r="G22973" s="234"/>
      <c r="H22973" s="238"/>
      <c r="I22973" s="237"/>
    </row>
    <row r="22974" spans="1:9" s="232" customFormat="1" ht="17" customHeight="1">
      <c r="A22974" s="234"/>
      <c r="B22974" s="233"/>
      <c r="C22974" s="238"/>
      <c r="E22974" s="545"/>
      <c r="F22974" s="546"/>
      <c r="G22974" s="234"/>
      <c r="H22974" s="238"/>
      <c r="I22974" s="237"/>
    </row>
    <row r="22975" spans="1:9" s="232" customFormat="1" ht="17" customHeight="1">
      <c r="A22975" s="234"/>
      <c r="B22975" s="233"/>
      <c r="C22975" s="238"/>
      <c r="E22975" s="545"/>
      <c r="F22975" s="546"/>
      <c r="G22975" s="234"/>
      <c r="H22975" s="238"/>
      <c r="I22975" s="237"/>
    </row>
    <row r="22976" spans="1:9" s="232" customFormat="1" ht="17" customHeight="1">
      <c r="A22976" s="234"/>
      <c r="B22976" s="233"/>
      <c r="C22976" s="238"/>
      <c r="E22976" s="545"/>
      <c r="F22976" s="546"/>
      <c r="G22976" s="234"/>
      <c r="H22976" s="238"/>
      <c r="I22976" s="237"/>
    </row>
    <row r="22977" spans="1:9" s="232" customFormat="1" ht="17" customHeight="1">
      <c r="A22977" s="234"/>
      <c r="B22977" s="233"/>
      <c r="C22977" s="238"/>
      <c r="E22977" s="545"/>
      <c r="F22977" s="546"/>
      <c r="G22977" s="234"/>
      <c r="H22977" s="238"/>
      <c r="I22977" s="237"/>
    </row>
    <row r="22978" spans="1:9" s="232" customFormat="1" ht="17" customHeight="1">
      <c r="A22978" s="234"/>
      <c r="B22978" s="233"/>
      <c r="C22978" s="238"/>
      <c r="E22978" s="545"/>
      <c r="F22978" s="546"/>
      <c r="G22978" s="234"/>
      <c r="H22978" s="238"/>
      <c r="I22978" s="237"/>
    </row>
    <row r="22979" spans="1:9" s="232" customFormat="1" ht="17" customHeight="1">
      <c r="A22979" s="234"/>
      <c r="B22979" s="233"/>
      <c r="C22979" s="238"/>
      <c r="E22979" s="545"/>
      <c r="F22979" s="546"/>
      <c r="G22979" s="234"/>
      <c r="H22979" s="238"/>
      <c r="I22979" s="237"/>
    </row>
    <row r="22980" spans="1:9" s="232" customFormat="1" ht="17" customHeight="1">
      <c r="A22980" s="234"/>
      <c r="B22980" s="233"/>
      <c r="C22980" s="238"/>
      <c r="E22980" s="545"/>
      <c r="F22980" s="546"/>
      <c r="G22980" s="234"/>
      <c r="H22980" s="238"/>
      <c r="I22980" s="237"/>
    </row>
    <row r="22981" spans="1:9" s="232" customFormat="1" ht="17" customHeight="1">
      <c r="A22981" s="234"/>
      <c r="B22981" s="233"/>
      <c r="C22981" s="238"/>
      <c r="E22981" s="545"/>
      <c r="F22981" s="546"/>
      <c r="G22981" s="234"/>
      <c r="H22981" s="238"/>
      <c r="I22981" s="237"/>
    </row>
    <row r="22982" spans="1:9" s="232" customFormat="1" ht="17" customHeight="1">
      <c r="A22982" s="234"/>
      <c r="B22982" s="233"/>
      <c r="C22982" s="238"/>
      <c r="E22982" s="545"/>
      <c r="F22982" s="546"/>
      <c r="G22982" s="234"/>
      <c r="H22982" s="238"/>
      <c r="I22982" s="237"/>
    </row>
    <row r="22983" spans="1:9" s="232" customFormat="1" ht="17" customHeight="1">
      <c r="A22983" s="234"/>
      <c r="B22983" s="233"/>
      <c r="C22983" s="238"/>
      <c r="E22983" s="545"/>
      <c r="F22983" s="546"/>
      <c r="G22983" s="234"/>
      <c r="H22983" s="238"/>
      <c r="I22983" s="237"/>
    </row>
    <row r="22984" spans="1:9" s="232" customFormat="1" ht="17" customHeight="1">
      <c r="A22984" s="234"/>
      <c r="B22984" s="233"/>
      <c r="C22984" s="238"/>
      <c r="E22984" s="545"/>
      <c r="F22984" s="546"/>
      <c r="G22984" s="234"/>
      <c r="H22984" s="238"/>
      <c r="I22984" s="237"/>
    </row>
    <row r="22985" spans="1:9" s="232" customFormat="1" ht="17" customHeight="1">
      <c r="A22985" s="234"/>
      <c r="B22985" s="233"/>
      <c r="C22985" s="238"/>
      <c r="E22985" s="545"/>
      <c r="F22985" s="546"/>
      <c r="G22985" s="234"/>
      <c r="H22985" s="238"/>
      <c r="I22985" s="237"/>
    </row>
    <row r="22986" spans="1:9" s="232" customFormat="1" ht="17" customHeight="1">
      <c r="A22986" s="234"/>
      <c r="B22986" s="233"/>
      <c r="C22986" s="238"/>
      <c r="E22986" s="545"/>
      <c r="F22986" s="546"/>
      <c r="G22986" s="234"/>
      <c r="H22986" s="238"/>
      <c r="I22986" s="237"/>
    </row>
    <row r="22987" spans="1:9" s="232" customFormat="1" ht="17" customHeight="1">
      <c r="A22987" s="234"/>
      <c r="B22987" s="233"/>
      <c r="C22987" s="238"/>
      <c r="E22987" s="545"/>
      <c r="F22987" s="546"/>
      <c r="G22987" s="234"/>
      <c r="H22987" s="238"/>
      <c r="I22987" s="237"/>
    </row>
    <row r="22988" spans="1:9" s="232" customFormat="1" ht="17" customHeight="1">
      <c r="A22988" s="234"/>
      <c r="B22988" s="233"/>
      <c r="C22988" s="238"/>
      <c r="E22988" s="545"/>
      <c r="F22988" s="546"/>
      <c r="G22988" s="234"/>
      <c r="H22988" s="238"/>
      <c r="I22988" s="237"/>
    </row>
    <row r="22989" spans="1:9" s="232" customFormat="1" ht="17" customHeight="1">
      <c r="A22989" s="234"/>
      <c r="B22989" s="233"/>
      <c r="C22989" s="238"/>
      <c r="E22989" s="545"/>
      <c r="F22989" s="546"/>
      <c r="G22989" s="234"/>
      <c r="H22989" s="238"/>
      <c r="I22989" s="237"/>
    </row>
    <row r="22990" spans="1:9" s="232" customFormat="1" ht="17" customHeight="1">
      <c r="A22990" s="234"/>
      <c r="B22990" s="233"/>
      <c r="C22990" s="238"/>
      <c r="E22990" s="545"/>
      <c r="F22990" s="546"/>
      <c r="G22990" s="234"/>
      <c r="H22990" s="238"/>
      <c r="I22990" s="237"/>
    </row>
    <row r="22991" spans="1:9" s="232" customFormat="1" ht="17" customHeight="1">
      <c r="A22991" s="234"/>
      <c r="B22991" s="233"/>
      <c r="C22991" s="238"/>
      <c r="E22991" s="545"/>
      <c r="F22991" s="546"/>
      <c r="G22991" s="234"/>
      <c r="H22991" s="238"/>
      <c r="I22991" s="237"/>
    </row>
    <row r="22992" spans="1:9" s="232" customFormat="1" ht="17" customHeight="1">
      <c r="A22992" s="234"/>
      <c r="B22992" s="233"/>
      <c r="C22992" s="238"/>
      <c r="E22992" s="545"/>
      <c r="F22992" s="546"/>
      <c r="G22992" s="234"/>
      <c r="H22992" s="238"/>
      <c r="I22992" s="237"/>
    </row>
    <row r="22993" spans="1:9" s="232" customFormat="1" ht="17" customHeight="1">
      <c r="A22993" s="234"/>
      <c r="B22993" s="233"/>
      <c r="C22993" s="238"/>
      <c r="E22993" s="545"/>
      <c r="F22993" s="546"/>
      <c r="G22993" s="234"/>
      <c r="H22993" s="238"/>
      <c r="I22993" s="237"/>
    </row>
    <row r="22994" spans="1:9" s="232" customFormat="1" ht="17" customHeight="1">
      <c r="A22994" s="234"/>
      <c r="B22994" s="233"/>
      <c r="C22994" s="238"/>
      <c r="E22994" s="545"/>
      <c r="F22994" s="546"/>
      <c r="G22994" s="234"/>
      <c r="H22994" s="238"/>
      <c r="I22994" s="237"/>
    </row>
    <row r="22995" spans="1:9" s="232" customFormat="1" ht="17" customHeight="1">
      <c r="A22995" s="234"/>
      <c r="B22995" s="233"/>
      <c r="C22995" s="238"/>
      <c r="E22995" s="545"/>
      <c r="F22995" s="546"/>
      <c r="G22995" s="234"/>
      <c r="H22995" s="238"/>
      <c r="I22995" s="237"/>
    </row>
    <row r="22996" spans="1:9" s="232" customFormat="1" ht="17" customHeight="1">
      <c r="A22996" s="234"/>
      <c r="B22996" s="233"/>
      <c r="C22996" s="238"/>
      <c r="E22996" s="545"/>
      <c r="F22996" s="546"/>
      <c r="G22996" s="234"/>
      <c r="H22996" s="238"/>
      <c r="I22996" s="237"/>
    </row>
    <row r="22997" spans="1:9" s="232" customFormat="1" ht="17" customHeight="1">
      <c r="A22997" s="234"/>
      <c r="B22997" s="233"/>
      <c r="C22997" s="238"/>
      <c r="E22997" s="545"/>
      <c r="F22997" s="546"/>
      <c r="G22997" s="234"/>
      <c r="H22997" s="238"/>
      <c r="I22997" s="237"/>
    </row>
    <row r="22998" spans="1:9" s="232" customFormat="1" ht="17" customHeight="1">
      <c r="A22998" s="234"/>
      <c r="B22998" s="233"/>
      <c r="C22998" s="238"/>
      <c r="E22998" s="545"/>
      <c r="F22998" s="546"/>
      <c r="G22998" s="234"/>
      <c r="H22998" s="238"/>
      <c r="I22998" s="237"/>
    </row>
    <row r="22999" spans="1:9" s="232" customFormat="1" ht="17" customHeight="1">
      <c r="A22999" s="234"/>
      <c r="B22999" s="233"/>
      <c r="C22999" s="238"/>
      <c r="E22999" s="545"/>
      <c r="F22999" s="546"/>
      <c r="G22999" s="234"/>
      <c r="H22999" s="238"/>
      <c r="I22999" s="237"/>
    </row>
    <row r="23000" spans="1:9" s="232" customFormat="1" ht="17" customHeight="1">
      <c r="A23000" s="234"/>
      <c r="B23000" s="233"/>
      <c r="C23000" s="238"/>
      <c r="E23000" s="545"/>
      <c r="F23000" s="546"/>
      <c r="G23000" s="234"/>
      <c r="H23000" s="238"/>
      <c r="I23000" s="237"/>
    </row>
    <row r="23001" spans="1:9" s="232" customFormat="1" ht="17" customHeight="1">
      <c r="A23001" s="234"/>
      <c r="B23001" s="233"/>
      <c r="C23001" s="238"/>
      <c r="E23001" s="545"/>
      <c r="F23001" s="546"/>
      <c r="G23001" s="234"/>
      <c r="H23001" s="238"/>
      <c r="I23001" s="237"/>
    </row>
    <row r="23002" spans="1:9" s="232" customFormat="1" ht="17" customHeight="1">
      <c r="A23002" s="234"/>
      <c r="B23002" s="233"/>
      <c r="C23002" s="238"/>
      <c r="E23002" s="545"/>
      <c r="F23002" s="546"/>
      <c r="G23002" s="234"/>
      <c r="H23002" s="238"/>
      <c r="I23002" s="237"/>
    </row>
    <row r="23003" spans="1:9" s="232" customFormat="1" ht="17" customHeight="1">
      <c r="A23003" s="234"/>
      <c r="B23003" s="233"/>
      <c r="C23003" s="238"/>
      <c r="E23003" s="545"/>
      <c r="F23003" s="546"/>
      <c r="G23003" s="234"/>
      <c r="H23003" s="238"/>
      <c r="I23003" s="237"/>
    </row>
    <row r="23004" spans="1:9" s="232" customFormat="1" ht="17" customHeight="1">
      <c r="A23004" s="234"/>
      <c r="B23004" s="233"/>
      <c r="C23004" s="238"/>
      <c r="E23004" s="545"/>
      <c r="F23004" s="546"/>
      <c r="G23004" s="234"/>
      <c r="H23004" s="238"/>
      <c r="I23004" s="237"/>
    </row>
    <row r="23005" spans="1:9" s="232" customFormat="1" ht="17" customHeight="1">
      <c r="A23005" s="234"/>
      <c r="B23005" s="233"/>
      <c r="C23005" s="238"/>
      <c r="E23005" s="545"/>
      <c r="F23005" s="546"/>
      <c r="G23005" s="234"/>
      <c r="H23005" s="238"/>
      <c r="I23005" s="237"/>
    </row>
    <row r="23006" spans="1:9" s="232" customFormat="1" ht="17" customHeight="1">
      <c r="A23006" s="234"/>
      <c r="B23006" s="233"/>
      <c r="C23006" s="238"/>
      <c r="E23006" s="545"/>
      <c r="F23006" s="546"/>
      <c r="G23006" s="234"/>
      <c r="H23006" s="238"/>
      <c r="I23006" s="237"/>
    </row>
    <row r="23007" spans="1:9" s="232" customFormat="1" ht="17" customHeight="1">
      <c r="A23007" s="234"/>
      <c r="B23007" s="233"/>
      <c r="C23007" s="238"/>
      <c r="E23007" s="545"/>
      <c r="F23007" s="546"/>
      <c r="G23007" s="234"/>
      <c r="H23007" s="238"/>
      <c r="I23007" s="237"/>
    </row>
    <row r="23008" spans="1:9" s="232" customFormat="1" ht="17" customHeight="1">
      <c r="A23008" s="234"/>
      <c r="B23008" s="233"/>
      <c r="C23008" s="238"/>
      <c r="E23008" s="545"/>
      <c r="F23008" s="546"/>
      <c r="G23008" s="234"/>
      <c r="H23008" s="238"/>
      <c r="I23008" s="237"/>
    </row>
    <row r="23009" spans="1:9" s="232" customFormat="1" ht="17" customHeight="1">
      <c r="A23009" s="234"/>
      <c r="B23009" s="233"/>
      <c r="C23009" s="238"/>
      <c r="E23009" s="545"/>
      <c r="F23009" s="546"/>
      <c r="G23009" s="234"/>
      <c r="H23009" s="238"/>
      <c r="I23009" s="237"/>
    </row>
    <row r="23010" spans="1:9" s="232" customFormat="1" ht="17" customHeight="1">
      <c r="A23010" s="234"/>
      <c r="B23010" s="233"/>
      <c r="C23010" s="238"/>
      <c r="E23010" s="545"/>
      <c r="F23010" s="546"/>
      <c r="G23010" s="234"/>
      <c r="H23010" s="238"/>
      <c r="I23010" s="237"/>
    </row>
    <row r="23011" spans="1:9" s="232" customFormat="1" ht="17" customHeight="1">
      <c r="A23011" s="234"/>
      <c r="B23011" s="233"/>
      <c r="C23011" s="238"/>
      <c r="E23011" s="545"/>
      <c r="F23011" s="546"/>
      <c r="G23011" s="234"/>
      <c r="H23011" s="238"/>
      <c r="I23011" s="237"/>
    </row>
    <row r="23012" spans="1:9" s="232" customFormat="1" ht="17" customHeight="1">
      <c r="A23012" s="234"/>
      <c r="B23012" s="233"/>
      <c r="C23012" s="238"/>
      <c r="E23012" s="545"/>
      <c r="F23012" s="546"/>
      <c r="G23012" s="234"/>
      <c r="H23012" s="238"/>
      <c r="I23012" s="237"/>
    </row>
    <row r="23013" spans="1:9" s="232" customFormat="1" ht="17" customHeight="1">
      <c r="A23013" s="234"/>
      <c r="B23013" s="233"/>
      <c r="C23013" s="238"/>
      <c r="E23013" s="545"/>
      <c r="F23013" s="546"/>
      <c r="G23013" s="234"/>
      <c r="H23013" s="238"/>
      <c r="I23013" s="237"/>
    </row>
    <row r="23014" spans="1:9" s="232" customFormat="1" ht="17" customHeight="1">
      <c r="A23014" s="234"/>
      <c r="B23014" s="233"/>
      <c r="C23014" s="238"/>
      <c r="E23014" s="545"/>
      <c r="F23014" s="546"/>
      <c r="G23014" s="234"/>
      <c r="H23014" s="238"/>
      <c r="I23014" s="237"/>
    </row>
    <row r="23015" spans="1:9" s="232" customFormat="1" ht="17" customHeight="1">
      <c r="A23015" s="234"/>
      <c r="B23015" s="233"/>
      <c r="C23015" s="238"/>
      <c r="E23015" s="545"/>
      <c r="F23015" s="546"/>
      <c r="G23015" s="234"/>
      <c r="H23015" s="238"/>
      <c r="I23015" s="237"/>
    </row>
    <row r="23016" spans="1:9" s="232" customFormat="1" ht="17" customHeight="1">
      <c r="A23016" s="234"/>
      <c r="B23016" s="233"/>
      <c r="C23016" s="238"/>
      <c r="E23016" s="545"/>
      <c r="F23016" s="546"/>
      <c r="G23016" s="234"/>
      <c r="H23016" s="238"/>
      <c r="I23016" s="237"/>
    </row>
    <row r="23017" spans="1:9" s="232" customFormat="1" ht="17" customHeight="1">
      <c r="A23017" s="234"/>
      <c r="B23017" s="233"/>
      <c r="C23017" s="238"/>
      <c r="E23017" s="545"/>
      <c r="F23017" s="546"/>
      <c r="G23017" s="234"/>
      <c r="H23017" s="238"/>
      <c r="I23017" s="237"/>
    </row>
    <row r="23018" spans="1:9" s="232" customFormat="1" ht="17" customHeight="1">
      <c r="A23018" s="234"/>
      <c r="B23018" s="233"/>
      <c r="C23018" s="238"/>
      <c r="E23018" s="545"/>
      <c r="F23018" s="546"/>
      <c r="G23018" s="234"/>
      <c r="H23018" s="238"/>
      <c r="I23018" s="237"/>
    </row>
    <row r="23019" spans="1:9" s="232" customFormat="1" ht="17" customHeight="1">
      <c r="A23019" s="234"/>
      <c r="B23019" s="233"/>
      <c r="C23019" s="238"/>
      <c r="E23019" s="545"/>
      <c r="F23019" s="546"/>
      <c r="G23019" s="234"/>
      <c r="H23019" s="238"/>
      <c r="I23019" s="237"/>
    </row>
    <row r="23020" spans="1:9" s="232" customFormat="1" ht="17" customHeight="1">
      <c r="A23020" s="234"/>
      <c r="B23020" s="233"/>
      <c r="C23020" s="238"/>
      <c r="E23020" s="545"/>
      <c r="F23020" s="546"/>
      <c r="G23020" s="234"/>
      <c r="H23020" s="238"/>
      <c r="I23020" s="237"/>
    </row>
    <row r="23021" spans="1:9" s="232" customFormat="1" ht="17" customHeight="1">
      <c r="A23021" s="234"/>
      <c r="B23021" s="233"/>
      <c r="C23021" s="238"/>
      <c r="E23021" s="545"/>
      <c r="F23021" s="546"/>
      <c r="G23021" s="234"/>
      <c r="H23021" s="238"/>
      <c r="I23021" s="237"/>
    </row>
    <row r="23022" spans="1:9" s="232" customFormat="1" ht="17" customHeight="1">
      <c r="A23022" s="234"/>
      <c r="B23022" s="233"/>
      <c r="C23022" s="238"/>
      <c r="E23022" s="545"/>
      <c r="F23022" s="546"/>
      <c r="G23022" s="234"/>
      <c r="H23022" s="238"/>
      <c r="I23022" s="237"/>
    </row>
    <row r="23023" spans="1:9" s="232" customFormat="1" ht="17" customHeight="1">
      <c r="A23023" s="234"/>
      <c r="B23023" s="233"/>
      <c r="C23023" s="238"/>
      <c r="E23023" s="545"/>
      <c r="F23023" s="546"/>
      <c r="G23023" s="234"/>
      <c r="H23023" s="238"/>
      <c r="I23023" s="237"/>
    </row>
    <row r="23024" spans="1:9" s="232" customFormat="1" ht="17" customHeight="1">
      <c r="A23024" s="234"/>
      <c r="B23024" s="233"/>
      <c r="C23024" s="238"/>
      <c r="E23024" s="545"/>
      <c r="F23024" s="546"/>
      <c r="G23024" s="234"/>
      <c r="H23024" s="238"/>
      <c r="I23024" s="237"/>
    </row>
    <row r="23025" spans="1:9" s="232" customFormat="1" ht="17" customHeight="1">
      <c r="A23025" s="234"/>
      <c r="B23025" s="233"/>
      <c r="C23025" s="238"/>
      <c r="E23025" s="545"/>
      <c r="F23025" s="546"/>
      <c r="G23025" s="234"/>
      <c r="H23025" s="238"/>
      <c r="I23025" s="237"/>
    </row>
    <row r="23026" spans="1:9" s="232" customFormat="1" ht="17" customHeight="1">
      <c r="A23026" s="234"/>
      <c r="B23026" s="233"/>
      <c r="C23026" s="238"/>
      <c r="E23026" s="545"/>
      <c r="F23026" s="546"/>
      <c r="G23026" s="234"/>
      <c r="H23026" s="238"/>
      <c r="I23026" s="237"/>
    </row>
    <row r="23027" spans="1:9" s="232" customFormat="1" ht="17" customHeight="1">
      <c r="A23027" s="234"/>
      <c r="B23027" s="233"/>
      <c r="C23027" s="238"/>
      <c r="E23027" s="545"/>
      <c r="F23027" s="546"/>
      <c r="G23027" s="234"/>
      <c r="H23027" s="238"/>
      <c r="I23027" s="237"/>
    </row>
    <row r="23028" spans="1:9" s="232" customFormat="1" ht="17" customHeight="1">
      <c r="A23028" s="234"/>
      <c r="B23028" s="233"/>
      <c r="C23028" s="238"/>
      <c r="E23028" s="545"/>
      <c r="F23028" s="546"/>
      <c r="G23028" s="234"/>
      <c r="H23028" s="238"/>
      <c r="I23028" s="237"/>
    </row>
    <row r="23029" spans="1:9" s="232" customFormat="1" ht="17" customHeight="1">
      <c r="A23029" s="234"/>
      <c r="B23029" s="233"/>
      <c r="C23029" s="238"/>
      <c r="E23029" s="545"/>
      <c r="F23029" s="546"/>
      <c r="G23029" s="234"/>
      <c r="H23029" s="238"/>
      <c r="I23029" s="237"/>
    </row>
    <row r="23030" spans="1:9" s="232" customFormat="1" ht="17" customHeight="1">
      <c r="A23030" s="234"/>
      <c r="B23030" s="233"/>
      <c r="C23030" s="238"/>
      <c r="E23030" s="545"/>
      <c r="F23030" s="546"/>
      <c r="G23030" s="234"/>
      <c r="H23030" s="238"/>
      <c r="I23030" s="237"/>
    </row>
    <row r="23031" spans="1:9" s="232" customFormat="1" ht="17" customHeight="1">
      <c r="A23031" s="234"/>
      <c r="B23031" s="233"/>
      <c r="C23031" s="238"/>
      <c r="E23031" s="545"/>
      <c r="F23031" s="546"/>
      <c r="G23031" s="234"/>
      <c r="H23031" s="238"/>
      <c r="I23031" s="237"/>
    </row>
    <row r="23032" spans="1:9" s="232" customFormat="1" ht="17" customHeight="1">
      <c r="A23032" s="234"/>
      <c r="B23032" s="233"/>
      <c r="C23032" s="238"/>
      <c r="E23032" s="545"/>
      <c r="F23032" s="546"/>
      <c r="G23032" s="234"/>
      <c r="H23032" s="238"/>
      <c r="I23032" s="237"/>
    </row>
    <row r="23033" spans="1:9" s="232" customFormat="1" ht="17" customHeight="1">
      <c r="A23033" s="234"/>
      <c r="B23033" s="233"/>
      <c r="C23033" s="238"/>
      <c r="E23033" s="545"/>
      <c r="F23033" s="546"/>
      <c r="G23033" s="234"/>
      <c r="H23033" s="238"/>
      <c r="I23033" s="237"/>
    </row>
    <row r="23034" spans="1:9" s="232" customFormat="1" ht="17" customHeight="1">
      <c r="A23034" s="234"/>
      <c r="B23034" s="233"/>
      <c r="C23034" s="238"/>
      <c r="E23034" s="545"/>
      <c r="F23034" s="546"/>
      <c r="G23034" s="234"/>
      <c r="H23034" s="238"/>
      <c r="I23034" s="237"/>
    </row>
    <row r="23035" spans="1:9" s="232" customFormat="1" ht="17" customHeight="1">
      <c r="A23035" s="234"/>
      <c r="B23035" s="233"/>
      <c r="C23035" s="238"/>
      <c r="E23035" s="545"/>
      <c r="F23035" s="546"/>
      <c r="G23035" s="234"/>
      <c r="H23035" s="238"/>
      <c r="I23035" s="237"/>
    </row>
    <row r="23036" spans="1:9" s="232" customFormat="1" ht="17" customHeight="1">
      <c r="A23036" s="234"/>
      <c r="B23036" s="233"/>
      <c r="C23036" s="238"/>
      <c r="E23036" s="545"/>
      <c r="F23036" s="546"/>
      <c r="G23036" s="234"/>
      <c r="H23036" s="238"/>
      <c r="I23036" s="237"/>
    </row>
    <row r="23037" spans="1:9" s="232" customFormat="1" ht="17" customHeight="1">
      <c r="A23037" s="234"/>
      <c r="B23037" s="233"/>
      <c r="C23037" s="238"/>
      <c r="E23037" s="545"/>
      <c r="F23037" s="546"/>
      <c r="G23037" s="234"/>
      <c r="H23037" s="238"/>
      <c r="I23037" s="237"/>
    </row>
    <row r="23038" spans="1:9" s="232" customFormat="1" ht="17" customHeight="1">
      <c r="A23038" s="234"/>
      <c r="B23038" s="233"/>
      <c r="C23038" s="238"/>
      <c r="E23038" s="545"/>
      <c r="F23038" s="546"/>
      <c r="G23038" s="234"/>
      <c r="H23038" s="238"/>
      <c r="I23038" s="237"/>
    </row>
    <row r="23039" spans="1:9" s="232" customFormat="1" ht="17" customHeight="1">
      <c r="A23039" s="234"/>
      <c r="B23039" s="233"/>
      <c r="C23039" s="238"/>
      <c r="E23039" s="545"/>
      <c r="F23039" s="546"/>
      <c r="G23039" s="234"/>
      <c r="H23039" s="238"/>
      <c r="I23039" s="237"/>
    </row>
    <row r="23040" spans="1:9" s="232" customFormat="1" ht="17" customHeight="1">
      <c r="A23040" s="234"/>
      <c r="B23040" s="233"/>
      <c r="C23040" s="238"/>
      <c r="E23040" s="545"/>
      <c r="F23040" s="546"/>
      <c r="G23040" s="234"/>
      <c r="H23040" s="238"/>
      <c r="I23040" s="237"/>
    </row>
    <row r="23041" spans="1:9" s="232" customFormat="1" ht="17" customHeight="1">
      <c r="A23041" s="234"/>
      <c r="B23041" s="233"/>
      <c r="C23041" s="238"/>
      <c r="E23041" s="545"/>
      <c r="F23041" s="546"/>
      <c r="G23041" s="234"/>
      <c r="H23041" s="238"/>
      <c r="I23041" s="237"/>
    </row>
    <row r="23042" spans="1:9" s="232" customFormat="1" ht="17" customHeight="1">
      <c r="A23042" s="234"/>
      <c r="B23042" s="233"/>
      <c r="C23042" s="238"/>
      <c r="E23042" s="545"/>
      <c r="F23042" s="546"/>
      <c r="G23042" s="234"/>
      <c r="H23042" s="238"/>
      <c r="I23042" s="237"/>
    </row>
    <row r="23043" spans="1:9" s="232" customFormat="1" ht="17" customHeight="1">
      <c r="A23043" s="234"/>
      <c r="B23043" s="233"/>
      <c r="C23043" s="238"/>
      <c r="E23043" s="545"/>
      <c r="F23043" s="546"/>
      <c r="G23043" s="234"/>
      <c r="H23043" s="238"/>
      <c r="I23043" s="237"/>
    </row>
    <row r="23044" spans="1:9" s="232" customFormat="1" ht="17" customHeight="1">
      <c r="A23044" s="234"/>
      <c r="B23044" s="233"/>
      <c r="C23044" s="238"/>
      <c r="E23044" s="545"/>
      <c r="F23044" s="546"/>
      <c r="G23044" s="234"/>
      <c r="H23044" s="238"/>
      <c r="I23044" s="237"/>
    </row>
    <row r="23045" spans="1:9" s="232" customFormat="1" ht="17" customHeight="1">
      <c r="A23045" s="234"/>
      <c r="B23045" s="233"/>
      <c r="C23045" s="238"/>
      <c r="E23045" s="545"/>
      <c r="F23045" s="546"/>
      <c r="G23045" s="234"/>
      <c r="H23045" s="238"/>
      <c r="I23045" s="237"/>
    </row>
    <row r="23046" spans="1:9" s="232" customFormat="1" ht="17" customHeight="1">
      <c r="A23046" s="234"/>
      <c r="B23046" s="233"/>
      <c r="C23046" s="238"/>
      <c r="E23046" s="545"/>
      <c r="F23046" s="546"/>
      <c r="G23046" s="234"/>
      <c r="H23046" s="238"/>
      <c r="I23046" s="237"/>
    </row>
    <row r="23047" spans="1:9" s="232" customFormat="1" ht="17" customHeight="1">
      <c r="A23047" s="234"/>
      <c r="B23047" s="233"/>
      <c r="C23047" s="238"/>
      <c r="E23047" s="545"/>
      <c r="F23047" s="546"/>
      <c r="G23047" s="234"/>
      <c r="H23047" s="238"/>
      <c r="I23047" s="237"/>
    </row>
    <row r="23048" spans="1:9" s="232" customFormat="1" ht="17" customHeight="1">
      <c r="A23048" s="234"/>
      <c r="B23048" s="233"/>
      <c r="C23048" s="238"/>
      <c r="E23048" s="545"/>
      <c r="F23048" s="546"/>
      <c r="G23048" s="234"/>
      <c r="H23048" s="238"/>
      <c r="I23048" s="237"/>
    </row>
    <row r="23049" spans="1:9" s="232" customFormat="1" ht="17" customHeight="1">
      <c r="A23049" s="234"/>
      <c r="B23049" s="233"/>
      <c r="C23049" s="238"/>
      <c r="E23049" s="545"/>
      <c r="F23049" s="546"/>
      <c r="G23049" s="234"/>
      <c r="H23049" s="238"/>
      <c r="I23049" s="237"/>
    </row>
    <row r="23050" spans="1:9" s="232" customFormat="1" ht="17" customHeight="1">
      <c r="A23050" s="234"/>
      <c r="B23050" s="233"/>
      <c r="C23050" s="238"/>
      <c r="E23050" s="545"/>
      <c r="F23050" s="546"/>
      <c r="G23050" s="234"/>
      <c r="H23050" s="238"/>
      <c r="I23050" s="237"/>
    </row>
    <row r="23051" spans="1:9" s="232" customFormat="1" ht="17" customHeight="1">
      <c r="A23051" s="234"/>
      <c r="B23051" s="233"/>
      <c r="C23051" s="238"/>
      <c r="E23051" s="545"/>
      <c r="F23051" s="546"/>
      <c r="G23051" s="234"/>
      <c r="H23051" s="238"/>
      <c r="I23051" s="237"/>
    </row>
    <row r="23052" spans="1:9" s="232" customFormat="1" ht="17" customHeight="1">
      <c r="A23052" s="234"/>
      <c r="B23052" s="233"/>
      <c r="C23052" s="238"/>
      <c r="E23052" s="545"/>
      <c r="F23052" s="546"/>
      <c r="G23052" s="234"/>
      <c r="H23052" s="238"/>
      <c r="I23052" s="237"/>
    </row>
    <row r="23053" spans="1:9" s="232" customFormat="1" ht="17" customHeight="1">
      <c r="A23053" s="234"/>
      <c r="B23053" s="233"/>
      <c r="C23053" s="238"/>
      <c r="E23053" s="545"/>
      <c r="F23053" s="546"/>
      <c r="G23053" s="234"/>
      <c r="H23053" s="238"/>
      <c r="I23053" s="237"/>
    </row>
    <row r="23054" spans="1:9" s="232" customFormat="1" ht="17" customHeight="1">
      <c r="A23054" s="234"/>
      <c r="B23054" s="233"/>
      <c r="C23054" s="238"/>
      <c r="E23054" s="545"/>
      <c r="F23054" s="546"/>
      <c r="G23054" s="234"/>
      <c r="H23054" s="238"/>
      <c r="I23054" s="237"/>
    </row>
    <row r="23055" spans="1:9" s="232" customFormat="1" ht="17" customHeight="1">
      <c r="A23055" s="234"/>
      <c r="B23055" s="233"/>
      <c r="C23055" s="238"/>
      <c r="E23055" s="545"/>
      <c r="F23055" s="546"/>
      <c r="G23055" s="234"/>
      <c r="H23055" s="238"/>
      <c r="I23055" s="237"/>
    </row>
    <row r="23056" spans="1:9" s="232" customFormat="1" ht="17" customHeight="1">
      <c r="A23056" s="234"/>
      <c r="B23056" s="233"/>
      <c r="C23056" s="238"/>
      <c r="E23056" s="545"/>
      <c r="F23056" s="546"/>
      <c r="G23056" s="234"/>
      <c r="H23056" s="238"/>
      <c r="I23056" s="237"/>
    </row>
    <row r="23057" spans="1:9" s="232" customFormat="1" ht="17" customHeight="1">
      <c r="A23057" s="234"/>
      <c r="B23057" s="233"/>
      <c r="C23057" s="238"/>
      <c r="E23057" s="545"/>
      <c r="F23057" s="546"/>
      <c r="G23057" s="234"/>
      <c r="H23057" s="238"/>
      <c r="I23057" s="237"/>
    </row>
    <row r="23058" spans="1:9" s="232" customFormat="1" ht="17" customHeight="1">
      <c r="A23058" s="234"/>
      <c r="B23058" s="233"/>
      <c r="C23058" s="238"/>
      <c r="E23058" s="545"/>
      <c r="F23058" s="546"/>
      <c r="G23058" s="234"/>
      <c r="H23058" s="238"/>
      <c r="I23058" s="237"/>
    </row>
    <row r="23059" spans="1:9" s="232" customFormat="1" ht="17" customHeight="1">
      <c r="A23059" s="234"/>
      <c r="B23059" s="233"/>
      <c r="C23059" s="238"/>
      <c r="E23059" s="545"/>
      <c r="F23059" s="546"/>
      <c r="G23059" s="234"/>
      <c r="H23059" s="238"/>
      <c r="I23059" s="237"/>
    </row>
    <row r="23060" spans="1:9" s="232" customFormat="1" ht="17" customHeight="1">
      <c r="A23060" s="234"/>
      <c r="B23060" s="233"/>
      <c r="C23060" s="238"/>
      <c r="E23060" s="545"/>
      <c r="F23060" s="546"/>
      <c r="G23060" s="234"/>
      <c r="H23060" s="238"/>
      <c r="I23060" s="237"/>
    </row>
    <row r="23061" spans="1:9" s="232" customFormat="1" ht="17" customHeight="1">
      <c r="A23061" s="234"/>
      <c r="B23061" s="233"/>
      <c r="C23061" s="238"/>
      <c r="E23061" s="545"/>
      <c r="F23061" s="546"/>
      <c r="G23061" s="234"/>
      <c r="H23061" s="238"/>
      <c r="I23061" s="237"/>
    </row>
    <row r="23062" spans="1:9" s="232" customFormat="1" ht="17" customHeight="1">
      <c r="A23062" s="234"/>
      <c r="B23062" s="233"/>
      <c r="C23062" s="238"/>
      <c r="E23062" s="545"/>
      <c r="F23062" s="546"/>
      <c r="G23062" s="234"/>
      <c r="H23062" s="238"/>
      <c r="I23062" s="237"/>
    </row>
    <row r="23063" spans="1:9" s="232" customFormat="1" ht="17" customHeight="1">
      <c r="A23063" s="234"/>
      <c r="B23063" s="233"/>
      <c r="C23063" s="238"/>
      <c r="E23063" s="545"/>
      <c r="F23063" s="546"/>
      <c r="G23063" s="234"/>
      <c r="H23063" s="238"/>
      <c r="I23063" s="237"/>
    </row>
    <row r="23064" spans="1:9" s="232" customFormat="1" ht="17" customHeight="1">
      <c r="A23064" s="234"/>
      <c r="B23064" s="233"/>
      <c r="C23064" s="238"/>
      <c r="E23064" s="545"/>
      <c r="F23064" s="546"/>
      <c r="G23064" s="234"/>
      <c r="H23064" s="238"/>
      <c r="I23064" s="237"/>
    </row>
    <row r="23065" spans="1:9" s="232" customFormat="1" ht="17" customHeight="1">
      <c r="A23065" s="234"/>
      <c r="B23065" s="233"/>
      <c r="C23065" s="238"/>
      <c r="E23065" s="545"/>
      <c r="F23065" s="546"/>
      <c r="G23065" s="234"/>
      <c r="H23065" s="238"/>
      <c r="I23065" s="237"/>
    </row>
    <row r="23066" spans="1:9" s="232" customFormat="1" ht="17" customHeight="1">
      <c r="A23066" s="234"/>
      <c r="B23066" s="233"/>
      <c r="C23066" s="238"/>
      <c r="E23066" s="545"/>
      <c r="F23066" s="546"/>
      <c r="G23066" s="234"/>
      <c r="H23066" s="238"/>
      <c r="I23066" s="237"/>
    </row>
    <row r="23067" spans="1:9" s="232" customFormat="1" ht="17" customHeight="1">
      <c r="A23067" s="234"/>
      <c r="B23067" s="233"/>
      <c r="C23067" s="238"/>
      <c r="E23067" s="545"/>
      <c r="F23067" s="546"/>
      <c r="G23067" s="234"/>
      <c r="H23067" s="238"/>
      <c r="I23067" s="237"/>
    </row>
    <row r="23068" spans="1:9" s="232" customFormat="1" ht="17" customHeight="1">
      <c r="A23068" s="234"/>
      <c r="B23068" s="233"/>
      <c r="C23068" s="238"/>
      <c r="E23068" s="545"/>
      <c r="F23068" s="546"/>
      <c r="G23068" s="234"/>
      <c r="H23068" s="238"/>
      <c r="I23068" s="237"/>
    </row>
    <row r="23069" spans="1:9" s="232" customFormat="1" ht="17" customHeight="1">
      <c r="A23069" s="234"/>
      <c r="B23069" s="233"/>
      <c r="C23069" s="238"/>
      <c r="E23069" s="545"/>
      <c r="F23069" s="546"/>
      <c r="G23069" s="234"/>
      <c r="H23069" s="238"/>
      <c r="I23069" s="237"/>
    </row>
    <row r="23070" spans="1:9" s="232" customFormat="1" ht="17" customHeight="1">
      <c r="A23070" s="234"/>
      <c r="B23070" s="233"/>
      <c r="C23070" s="238"/>
      <c r="E23070" s="545"/>
      <c r="F23070" s="546"/>
      <c r="G23070" s="234"/>
      <c r="H23070" s="238"/>
      <c r="I23070" s="237"/>
    </row>
    <row r="23071" spans="1:9" s="232" customFormat="1" ht="17" customHeight="1">
      <c r="A23071" s="234"/>
      <c r="B23071" s="233"/>
      <c r="C23071" s="238"/>
      <c r="E23071" s="545"/>
      <c r="F23071" s="546"/>
      <c r="G23071" s="234"/>
      <c r="H23071" s="238"/>
      <c r="I23071" s="237"/>
    </row>
    <row r="23072" spans="1:9" s="232" customFormat="1" ht="17" customHeight="1">
      <c r="A23072" s="234"/>
      <c r="B23072" s="233"/>
      <c r="C23072" s="238"/>
      <c r="E23072" s="545"/>
      <c r="F23072" s="546"/>
      <c r="G23072" s="234"/>
      <c r="H23072" s="238"/>
      <c r="I23072" s="237"/>
    </row>
    <row r="23073" spans="1:9" s="232" customFormat="1" ht="17" customHeight="1">
      <c r="A23073" s="234"/>
      <c r="B23073" s="233"/>
      <c r="C23073" s="238"/>
      <c r="E23073" s="545"/>
      <c r="F23073" s="546"/>
      <c r="G23073" s="234"/>
      <c r="H23073" s="238"/>
      <c r="I23073" s="237"/>
    </row>
    <row r="23074" spans="1:9" s="232" customFormat="1" ht="17" customHeight="1">
      <c r="A23074" s="234"/>
      <c r="B23074" s="233"/>
      <c r="C23074" s="238"/>
      <c r="E23074" s="545"/>
      <c r="F23074" s="546"/>
      <c r="G23074" s="234"/>
      <c r="H23074" s="238"/>
      <c r="I23074" s="237"/>
    </row>
    <row r="23075" spans="1:9" s="232" customFormat="1" ht="17" customHeight="1">
      <c r="A23075" s="234"/>
      <c r="B23075" s="233"/>
      <c r="C23075" s="238"/>
      <c r="E23075" s="545"/>
      <c r="F23075" s="546"/>
      <c r="G23075" s="234"/>
      <c r="H23075" s="238"/>
      <c r="I23075" s="237"/>
    </row>
    <row r="23076" spans="1:9" s="232" customFormat="1" ht="17" customHeight="1">
      <c r="A23076" s="234"/>
      <c r="B23076" s="233"/>
      <c r="C23076" s="238"/>
      <c r="E23076" s="545"/>
      <c r="F23076" s="546"/>
      <c r="G23076" s="234"/>
      <c r="H23076" s="238"/>
      <c r="I23076" s="237"/>
    </row>
    <row r="23077" spans="1:9" s="232" customFormat="1" ht="17" customHeight="1">
      <c r="A23077" s="234"/>
      <c r="B23077" s="233"/>
      <c r="C23077" s="238"/>
      <c r="E23077" s="545"/>
      <c r="F23077" s="546"/>
      <c r="G23077" s="234"/>
      <c r="H23077" s="238"/>
      <c r="I23077" s="237"/>
    </row>
    <row r="23078" spans="1:9" s="232" customFormat="1" ht="17" customHeight="1">
      <c r="A23078" s="234"/>
      <c r="B23078" s="233"/>
      <c r="C23078" s="238"/>
      <c r="E23078" s="545"/>
      <c r="F23078" s="546"/>
      <c r="G23078" s="234"/>
      <c r="H23078" s="238"/>
      <c r="I23078" s="237"/>
    </row>
    <row r="23079" spans="1:9" s="232" customFormat="1" ht="17" customHeight="1">
      <c r="A23079" s="234"/>
      <c r="B23079" s="233"/>
      <c r="C23079" s="238"/>
      <c r="E23079" s="545"/>
      <c r="F23079" s="546"/>
      <c r="G23079" s="234"/>
      <c r="H23079" s="238"/>
      <c r="I23079" s="237"/>
    </row>
    <row r="23080" spans="1:9" s="232" customFormat="1" ht="17" customHeight="1">
      <c r="A23080" s="234"/>
      <c r="B23080" s="233"/>
      <c r="C23080" s="238"/>
      <c r="E23080" s="545"/>
      <c r="F23080" s="546"/>
      <c r="G23080" s="234"/>
      <c r="H23080" s="238"/>
      <c r="I23080" s="237"/>
    </row>
    <row r="23081" spans="1:9" s="232" customFormat="1" ht="17" customHeight="1">
      <c r="A23081" s="234"/>
      <c r="B23081" s="233"/>
      <c r="C23081" s="238"/>
      <c r="E23081" s="545"/>
      <c r="F23081" s="546"/>
      <c r="G23081" s="234"/>
      <c r="H23081" s="238"/>
      <c r="I23081" s="237"/>
    </row>
    <row r="23082" spans="1:9" s="232" customFormat="1" ht="17" customHeight="1">
      <c r="A23082" s="234"/>
      <c r="B23082" s="233"/>
      <c r="C23082" s="238"/>
      <c r="E23082" s="545"/>
      <c r="F23082" s="546"/>
      <c r="G23082" s="234"/>
      <c r="H23082" s="238"/>
      <c r="I23082" s="237"/>
    </row>
    <row r="23083" spans="1:9" s="232" customFormat="1" ht="17" customHeight="1">
      <c r="A23083" s="234"/>
      <c r="B23083" s="233"/>
      <c r="C23083" s="238"/>
      <c r="E23083" s="545"/>
      <c r="F23083" s="546"/>
      <c r="G23083" s="234"/>
      <c r="H23083" s="238"/>
      <c r="I23083" s="237"/>
    </row>
    <row r="23084" spans="1:9" s="232" customFormat="1" ht="17" customHeight="1">
      <c r="A23084" s="234"/>
      <c r="B23084" s="233"/>
      <c r="C23084" s="238"/>
      <c r="E23084" s="545"/>
      <c r="F23084" s="546"/>
      <c r="G23084" s="234"/>
      <c r="H23084" s="238"/>
      <c r="I23084" s="237"/>
    </row>
    <row r="23085" spans="1:9" s="232" customFormat="1" ht="17" customHeight="1">
      <c r="A23085" s="234"/>
      <c r="B23085" s="233"/>
      <c r="C23085" s="238"/>
      <c r="E23085" s="545"/>
      <c r="F23085" s="546"/>
      <c r="G23085" s="234"/>
      <c r="H23085" s="238"/>
      <c r="I23085" s="237"/>
    </row>
    <row r="23086" spans="1:9" s="232" customFormat="1" ht="17" customHeight="1">
      <c r="A23086" s="234"/>
      <c r="B23086" s="233"/>
      <c r="C23086" s="238"/>
      <c r="E23086" s="545"/>
      <c r="F23086" s="546"/>
      <c r="G23086" s="234"/>
      <c r="H23086" s="238"/>
      <c r="I23086" s="237"/>
    </row>
    <row r="23087" spans="1:9" s="232" customFormat="1" ht="17" customHeight="1">
      <c r="A23087" s="234"/>
      <c r="B23087" s="233"/>
      <c r="C23087" s="238"/>
      <c r="E23087" s="545"/>
      <c r="F23087" s="546"/>
      <c r="G23087" s="234"/>
      <c r="H23087" s="238"/>
      <c r="I23087" s="237"/>
    </row>
    <row r="23088" spans="1:9" s="232" customFormat="1" ht="17" customHeight="1">
      <c r="A23088" s="234"/>
      <c r="B23088" s="233"/>
      <c r="C23088" s="238"/>
      <c r="E23088" s="545"/>
      <c r="F23088" s="546"/>
      <c r="G23088" s="234"/>
      <c r="H23088" s="238"/>
      <c r="I23088" s="237"/>
    </row>
    <row r="23089" spans="1:9" s="232" customFormat="1" ht="17" customHeight="1">
      <c r="A23089" s="234"/>
      <c r="B23089" s="233"/>
      <c r="C23089" s="238"/>
      <c r="E23089" s="545"/>
      <c r="F23089" s="546"/>
      <c r="G23089" s="234"/>
      <c r="H23089" s="238"/>
      <c r="I23089" s="237"/>
    </row>
    <row r="23090" spans="1:9" s="232" customFormat="1" ht="17" customHeight="1">
      <c r="A23090" s="234"/>
      <c r="B23090" s="233"/>
      <c r="C23090" s="238"/>
      <c r="E23090" s="545"/>
      <c r="F23090" s="546"/>
      <c r="G23090" s="234"/>
      <c r="H23090" s="238"/>
      <c r="I23090" s="237"/>
    </row>
    <row r="23091" spans="1:9" s="232" customFormat="1" ht="17" customHeight="1">
      <c r="A23091" s="234"/>
      <c r="B23091" s="233"/>
      <c r="C23091" s="238"/>
      <c r="E23091" s="545"/>
      <c r="F23091" s="546"/>
      <c r="G23091" s="234"/>
      <c r="H23091" s="238"/>
      <c r="I23091" s="237"/>
    </row>
    <row r="23092" spans="1:9" s="232" customFormat="1" ht="17" customHeight="1">
      <c r="A23092" s="234"/>
      <c r="B23092" s="233"/>
      <c r="C23092" s="238"/>
      <c r="E23092" s="545"/>
      <c r="F23092" s="546"/>
      <c r="G23092" s="234"/>
      <c r="H23092" s="238"/>
      <c r="I23092" s="237"/>
    </row>
    <row r="23093" spans="1:9" s="232" customFormat="1" ht="17" customHeight="1">
      <c r="A23093" s="234"/>
      <c r="B23093" s="233"/>
      <c r="C23093" s="238"/>
      <c r="E23093" s="545"/>
      <c r="F23093" s="546"/>
      <c r="G23093" s="234"/>
      <c r="H23093" s="238"/>
      <c r="I23093" s="237"/>
    </row>
    <row r="23094" spans="1:9" s="232" customFormat="1" ht="17" customHeight="1">
      <c r="A23094" s="234"/>
      <c r="B23094" s="233"/>
      <c r="C23094" s="238"/>
      <c r="E23094" s="545"/>
      <c r="F23094" s="546"/>
      <c r="G23094" s="234"/>
      <c r="H23094" s="238"/>
      <c r="I23094" s="237"/>
    </row>
    <row r="23095" spans="1:9" s="232" customFormat="1" ht="17" customHeight="1">
      <c r="A23095" s="234"/>
      <c r="B23095" s="233"/>
      <c r="C23095" s="238"/>
      <c r="E23095" s="545"/>
      <c r="F23095" s="546"/>
      <c r="G23095" s="234"/>
      <c r="H23095" s="238"/>
      <c r="I23095" s="237"/>
    </row>
    <row r="23096" spans="1:9" s="232" customFormat="1" ht="17" customHeight="1">
      <c r="A23096" s="234"/>
      <c r="B23096" s="233"/>
      <c r="C23096" s="238"/>
      <c r="E23096" s="545"/>
      <c r="F23096" s="546"/>
      <c r="G23096" s="234"/>
      <c r="H23096" s="238"/>
      <c r="I23096" s="237"/>
    </row>
    <row r="23097" spans="1:9" s="232" customFormat="1" ht="17" customHeight="1">
      <c r="A23097" s="234"/>
      <c r="B23097" s="233"/>
      <c r="C23097" s="238"/>
      <c r="E23097" s="545"/>
      <c r="F23097" s="546"/>
      <c r="G23097" s="234"/>
      <c r="H23097" s="238"/>
      <c r="I23097" s="237"/>
    </row>
    <row r="23098" spans="1:9" s="232" customFormat="1" ht="17" customHeight="1">
      <c r="A23098" s="234"/>
      <c r="B23098" s="233"/>
      <c r="C23098" s="238"/>
      <c r="E23098" s="545"/>
      <c r="F23098" s="546"/>
      <c r="G23098" s="234"/>
      <c r="H23098" s="238"/>
      <c r="I23098" s="237"/>
    </row>
    <row r="23099" spans="1:9" s="232" customFormat="1" ht="17" customHeight="1">
      <c r="A23099" s="234"/>
      <c r="B23099" s="233"/>
      <c r="C23099" s="238"/>
      <c r="E23099" s="545"/>
      <c r="F23099" s="546"/>
      <c r="G23099" s="234"/>
      <c r="H23099" s="238"/>
      <c r="I23099" s="237"/>
    </row>
    <row r="23100" spans="1:9" s="232" customFormat="1" ht="17" customHeight="1">
      <c r="A23100" s="234"/>
      <c r="B23100" s="233"/>
      <c r="C23100" s="238"/>
      <c r="E23100" s="545"/>
      <c r="F23100" s="546"/>
      <c r="G23100" s="234"/>
      <c r="H23100" s="238"/>
      <c r="I23100" s="237"/>
    </row>
    <row r="23101" spans="1:9" s="232" customFormat="1" ht="17" customHeight="1">
      <c r="A23101" s="234"/>
      <c r="B23101" s="233"/>
      <c r="C23101" s="238"/>
      <c r="E23101" s="545"/>
      <c r="F23101" s="546"/>
      <c r="G23101" s="234"/>
      <c r="H23101" s="238"/>
      <c r="I23101" s="237"/>
    </row>
    <row r="23102" spans="1:9" s="232" customFormat="1" ht="17" customHeight="1">
      <c r="A23102" s="234"/>
      <c r="B23102" s="233"/>
      <c r="C23102" s="238"/>
      <c r="E23102" s="545"/>
      <c r="F23102" s="546"/>
      <c r="G23102" s="234"/>
      <c r="H23102" s="238"/>
      <c r="I23102" s="237"/>
    </row>
    <row r="23103" spans="1:9" s="232" customFormat="1" ht="17" customHeight="1">
      <c r="A23103" s="234"/>
      <c r="B23103" s="233"/>
      <c r="C23103" s="238"/>
      <c r="E23103" s="545"/>
      <c r="F23103" s="546"/>
      <c r="G23103" s="234"/>
      <c r="H23103" s="238"/>
      <c r="I23103" s="237"/>
    </row>
    <row r="23104" spans="1:9" s="232" customFormat="1" ht="17" customHeight="1">
      <c r="A23104" s="234"/>
      <c r="B23104" s="233"/>
      <c r="C23104" s="238"/>
      <c r="E23104" s="545"/>
      <c r="F23104" s="546"/>
      <c r="G23104" s="234"/>
      <c r="H23104" s="238"/>
      <c r="I23104" s="237"/>
    </row>
    <row r="23105" spans="1:9" s="232" customFormat="1" ht="17" customHeight="1">
      <c r="A23105" s="234"/>
      <c r="B23105" s="233"/>
      <c r="C23105" s="238"/>
      <c r="E23105" s="545"/>
      <c r="F23105" s="546"/>
      <c r="G23105" s="234"/>
      <c r="H23105" s="238"/>
      <c r="I23105" s="237"/>
    </row>
    <row r="23106" spans="1:9" s="232" customFormat="1" ht="17" customHeight="1">
      <c r="A23106" s="234"/>
      <c r="B23106" s="233"/>
      <c r="C23106" s="238"/>
      <c r="E23106" s="545"/>
      <c r="F23106" s="546"/>
      <c r="G23106" s="234"/>
      <c r="H23106" s="238"/>
      <c r="I23106" s="237"/>
    </row>
    <row r="23107" spans="1:9" s="232" customFormat="1" ht="17" customHeight="1">
      <c r="A23107" s="234"/>
      <c r="B23107" s="233"/>
      <c r="C23107" s="238"/>
      <c r="E23107" s="545"/>
      <c r="F23107" s="546"/>
      <c r="G23107" s="234"/>
      <c r="H23107" s="238"/>
      <c r="I23107" s="237"/>
    </row>
    <row r="23108" spans="1:9" s="232" customFormat="1" ht="17" customHeight="1">
      <c r="A23108" s="234"/>
      <c r="B23108" s="233"/>
      <c r="C23108" s="238"/>
      <c r="E23108" s="545"/>
      <c r="F23108" s="546"/>
      <c r="G23108" s="234"/>
      <c r="H23108" s="238"/>
      <c r="I23108" s="237"/>
    </row>
    <row r="23109" spans="1:9" s="232" customFormat="1" ht="17" customHeight="1">
      <c r="A23109" s="234"/>
      <c r="B23109" s="233"/>
      <c r="C23109" s="238"/>
      <c r="E23109" s="545"/>
      <c r="F23109" s="546"/>
      <c r="G23109" s="234"/>
      <c r="H23109" s="238"/>
      <c r="I23109" s="237"/>
    </row>
    <row r="23110" spans="1:9" s="232" customFormat="1" ht="17" customHeight="1">
      <c r="A23110" s="234"/>
      <c r="B23110" s="233"/>
      <c r="C23110" s="238"/>
      <c r="E23110" s="545"/>
      <c r="F23110" s="546"/>
      <c r="G23110" s="234"/>
      <c r="H23110" s="238"/>
      <c r="I23110" s="237"/>
    </row>
    <row r="23111" spans="1:9" s="232" customFormat="1" ht="17" customHeight="1">
      <c r="A23111" s="234"/>
      <c r="B23111" s="233"/>
      <c r="C23111" s="238"/>
      <c r="E23111" s="545"/>
      <c r="F23111" s="546"/>
      <c r="G23111" s="234"/>
      <c r="H23111" s="238"/>
      <c r="I23111" s="237"/>
    </row>
    <row r="23112" spans="1:9" s="232" customFormat="1" ht="17" customHeight="1">
      <c r="A23112" s="234"/>
      <c r="B23112" s="233"/>
      <c r="C23112" s="238"/>
      <c r="E23112" s="545"/>
      <c r="F23112" s="546"/>
      <c r="G23112" s="234"/>
      <c r="H23112" s="238"/>
      <c r="I23112" s="237"/>
    </row>
    <row r="23113" spans="1:9" s="232" customFormat="1" ht="17" customHeight="1">
      <c r="A23113" s="234"/>
      <c r="B23113" s="233"/>
      <c r="C23113" s="238"/>
      <c r="E23113" s="545"/>
      <c r="F23113" s="546"/>
      <c r="G23113" s="234"/>
      <c r="H23113" s="238"/>
      <c r="I23113" s="237"/>
    </row>
    <row r="23114" spans="1:9" s="232" customFormat="1" ht="17" customHeight="1">
      <c r="A23114" s="234"/>
      <c r="B23114" s="233"/>
      <c r="C23114" s="238"/>
      <c r="E23114" s="545"/>
      <c r="F23114" s="546"/>
      <c r="G23114" s="234"/>
      <c r="H23114" s="238"/>
      <c r="I23114" s="237"/>
    </row>
    <row r="23115" spans="1:9" s="232" customFormat="1" ht="17" customHeight="1">
      <c r="A23115" s="234"/>
      <c r="B23115" s="233"/>
      <c r="C23115" s="238"/>
      <c r="E23115" s="545"/>
      <c r="F23115" s="546"/>
      <c r="G23115" s="234"/>
      <c r="H23115" s="238"/>
      <c r="I23115" s="237"/>
    </row>
    <row r="23116" spans="1:9" s="232" customFormat="1" ht="17" customHeight="1">
      <c r="A23116" s="234"/>
      <c r="B23116" s="233"/>
      <c r="C23116" s="238"/>
      <c r="E23116" s="545"/>
      <c r="F23116" s="546"/>
      <c r="G23116" s="234"/>
      <c r="H23116" s="238"/>
      <c r="I23116" s="237"/>
    </row>
    <row r="23117" spans="1:9" s="232" customFormat="1" ht="17" customHeight="1">
      <c r="A23117" s="234"/>
      <c r="B23117" s="233"/>
      <c r="C23117" s="238"/>
      <c r="E23117" s="545"/>
      <c r="F23117" s="546"/>
      <c r="G23117" s="234"/>
      <c r="H23117" s="238"/>
      <c r="I23117" s="237"/>
    </row>
    <row r="23118" spans="1:9" s="232" customFormat="1" ht="17" customHeight="1">
      <c r="A23118" s="234"/>
      <c r="B23118" s="233"/>
      <c r="C23118" s="238"/>
      <c r="E23118" s="545"/>
      <c r="F23118" s="546"/>
      <c r="G23118" s="234"/>
      <c r="H23118" s="238"/>
      <c r="I23118" s="237"/>
    </row>
    <row r="23119" spans="1:9" s="232" customFormat="1" ht="17" customHeight="1">
      <c r="A23119" s="234"/>
      <c r="B23119" s="233"/>
      <c r="C23119" s="238"/>
      <c r="E23119" s="545"/>
      <c r="F23119" s="546"/>
      <c r="G23119" s="234"/>
      <c r="H23119" s="238"/>
      <c r="I23119" s="237"/>
    </row>
    <row r="23120" spans="1:9" s="232" customFormat="1" ht="17" customHeight="1">
      <c r="A23120" s="234"/>
      <c r="B23120" s="233"/>
      <c r="C23120" s="238"/>
      <c r="E23120" s="545"/>
      <c r="F23120" s="546"/>
      <c r="G23120" s="234"/>
      <c r="H23120" s="238"/>
      <c r="I23120" s="237"/>
    </row>
    <row r="23121" spans="1:9" s="232" customFormat="1" ht="17" customHeight="1">
      <c r="A23121" s="234"/>
      <c r="B23121" s="233"/>
      <c r="C23121" s="238"/>
      <c r="E23121" s="545"/>
      <c r="F23121" s="546"/>
      <c r="G23121" s="234"/>
      <c r="H23121" s="238"/>
      <c r="I23121" s="237"/>
    </row>
    <row r="23122" spans="1:9" s="232" customFormat="1" ht="17" customHeight="1">
      <c r="A23122" s="234"/>
      <c r="B23122" s="233"/>
      <c r="C23122" s="238"/>
      <c r="E23122" s="545"/>
      <c r="F23122" s="546"/>
      <c r="G23122" s="234"/>
      <c r="H23122" s="238"/>
      <c r="I23122" s="237"/>
    </row>
    <row r="23123" spans="1:9" s="232" customFormat="1" ht="17" customHeight="1">
      <c r="A23123" s="234"/>
      <c r="B23123" s="233"/>
      <c r="C23123" s="238"/>
      <c r="E23123" s="545"/>
      <c r="F23123" s="546"/>
      <c r="G23123" s="234"/>
      <c r="H23123" s="238"/>
      <c r="I23123" s="237"/>
    </row>
    <row r="23124" spans="1:9" s="232" customFormat="1" ht="17" customHeight="1">
      <c r="A23124" s="234"/>
      <c r="B23124" s="233"/>
      <c r="C23124" s="238"/>
      <c r="E23124" s="545"/>
      <c r="F23124" s="546"/>
      <c r="G23124" s="234"/>
      <c r="H23124" s="238"/>
      <c r="I23124" s="237"/>
    </row>
    <row r="23125" spans="1:9" s="232" customFormat="1" ht="17" customHeight="1">
      <c r="A23125" s="234"/>
      <c r="B23125" s="233"/>
      <c r="C23125" s="238"/>
      <c r="E23125" s="545"/>
      <c r="F23125" s="546"/>
      <c r="G23125" s="234"/>
      <c r="H23125" s="238"/>
      <c r="I23125" s="237"/>
    </row>
    <row r="23126" spans="1:9" s="232" customFormat="1" ht="17" customHeight="1">
      <c r="A23126" s="234"/>
      <c r="B23126" s="233"/>
      <c r="C23126" s="238"/>
      <c r="E23126" s="545"/>
      <c r="F23126" s="546"/>
      <c r="G23126" s="234"/>
      <c r="H23126" s="238"/>
      <c r="I23126" s="237"/>
    </row>
    <row r="23127" spans="1:9" s="232" customFormat="1" ht="17" customHeight="1">
      <c r="A23127" s="234"/>
      <c r="B23127" s="233"/>
      <c r="C23127" s="238"/>
      <c r="E23127" s="545"/>
      <c r="F23127" s="546"/>
      <c r="G23127" s="234"/>
      <c r="H23127" s="238"/>
      <c r="I23127" s="237"/>
    </row>
    <row r="23128" spans="1:9" s="232" customFormat="1" ht="17" customHeight="1">
      <c r="A23128" s="234"/>
      <c r="B23128" s="233"/>
      <c r="C23128" s="238"/>
      <c r="E23128" s="545"/>
      <c r="F23128" s="546"/>
      <c r="G23128" s="234"/>
      <c r="H23128" s="238"/>
      <c r="I23128" s="237"/>
    </row>
    <row r="23129" spans="1:9" s="232" customFormat="1" ht="17" customHeight="1">
      <c r="A23129" s="234"/>
      <c r="B23129" s="233"/>
      <c r="C23129" s="238"/>
      <c r="E23129" s="545"/>
      <c r="F23129" s="546"/>
      <c r="G23129" s="234"/>
      <c r="H23129" s="238"/>
      <c r="I23129" s="237"/>
    </row>
    <row r="23130" spans="1:9" s="232" customFormat="1" ht="17" customHeight="1">
      <c r="A23130" s="234"/>
      <c r="B23130" s="233"/>
      <c r="C23130" s="238"/>
      <c r="E23130" s="545"/>
      <c r="F23130" s="546"/>
      <c r="G23130" s="234"/>
      <c r="H23130" s="238"/>
      <c r="I23130" s="237"/>
    </row>
    <row r="23131" spans="1:9" s="232" customFormat="1" ht="17" customHeight="1">
      <c r="A23131" s="234"/>
      <c r="B23131" s="233"/>
      <c r="C23131" s="238"/>
      <c r="E23131" s="545"/>
      <c r="F23131" s="546"/>
      <c r="G23131" s="234"/>
      <c r="H23131" s="238"/>
      <c r="I23131" s="237"/>
    </row>
    <row r="23132" spans="1:9" s="232" customFormat="1" ht="17" customHeight="1">
      <c r="A23132" s="234"/>
      <c r="B23132" s="233"/>
      <c r="C23132" s="238"/>
      <c r="E23132" s="545"/>
      <c r="F23132" s="546"/>
      <c r="G23132" s="234"/>
      <c r="H23132" s="238"/>
      <c r="I23132" s="237"/>
    </row>
    <row r="23133" spans="1:9" s="232" customFormat="1" ht="17" customHeight="1">
      <c r="A23133" s="234"/>
      <c r="B23133" s="233"/>
      <c r="C23133" s="238"/>
      <c r="E23133" s="545"/>
      <c r="F23133" s="546"/>
      <c r="G23133" s="234"/>
      <c r="H23133" s="238"/>
      <c r="I23133" s="237"/>
    </row>
    <row r="23134" spans="1:9" s="232" customFormat="1" ht="17" customHeight="1">
      <c r="A23134" s="234"/>
      <c r="B23134" s="233"/>
      <c r="C23134" s="238"/>
      <c r="E23134" s="545"/>
      <c r="F23134" s="546"/>
      <c r="G23134" s="234"/>
      <c r="H23134" s="238"/>
      <c r="I23134" s="237"/>
    </row>
    <row r="23135" spans="1:9" s="232" customFormat="1" ht="17" customHeight="1">
      <c r="A23135" s="234"/>
      <c r="B23135" s="233"/>
      <c r="C23135" s="238"/>
      <c r="E23135" s="545"/>
      <c r="F23135" s="546"/>
      <c r="G23135" s="234"/>
      <c r="H23135" s="238"/>
      <c r="I23135" s="237"/>
    </row>
    <row r="23136" spans="1:9" s="232" customFormat="1" ht="17" customHeight="1">
      <c r="A23136" s="234"/>
      <c r="B23136" s="233"/>
      <c r="C23136" s="238"/>
      <c r="E23136" s="545"/>
      <c r="F23136" s="546"/>
      <c r="G23136" s="234"/>
      <c r="H23136" s="238"/>
      <c r="I23136" s="237"/>
    </row>
    <row r="23137" spans="1:9" s="232" customFormat="1" ht="17" customHeight="1">
      <c r="A23137" s="234"/>
      <c r="B23137" s="233"/>
      <c r="C23137" s="238"/>
      <c r="E23137" s="545"/>
      <c r="F23137" s="546"/>
      <c r="G23137" s="234"/>
      <c r="H23137" s="238"/>
      <c r="I23137" s="237"/>
    </row>
    <row r="23138" spans="1:9" s="232" customFormat="1" ht="17" customHeight="1">
      <c r="A23138" s="234"/>
      <c r="B23138" s="233"/>
      <c r="C23138" s="238"/>
      <c r="E23138" s="545"/>
      <c r="F23138" s="546"/>
      <c r="G23138" s="234"/>
      <c r="H23138" s="238"/>
      <c r="I23138" s="237"/>
    </row>
    <row r="23139" spans="1:9" s="232" customFormat="1" ht="17" customHeight="1">
      <c r="A23139" s="234"/>
      <c r="B23139" s="233"/>
      <c r="C23139" s="238"/>
      <c r="E23139" s="545"/>
      <c r="F23139" s="546"/>
      <c r="G23139" s="234"/>
      <c r="H23139" s="238"/>
      <c r="I23139" s="237"/>
    </row>
    <row r="23140" spans="1:9" s="232" customFormat="1" ht="17" customHeight="1">
      <c r="A23140" s="234"/>
      <c r="B23140" s="233"/>
      <c r="C23140" s="238"/>
      <c r="E23140" s="545"/>
      <c r="F23140" s="546"/>
      <c r="G23140" s="234"/>
      <c r="H23140" s="238"/>
      <c r="I23140" s="237"/>
    </row>
    <row r="23141" spans="1:9" s="232" customFormat="1" ht="17" customHeight="1">
      <c r="A23141" s="234"/>
      <c r="B23141" s="233"/>
      <c r="C23141" s="238"/>
      <c r="E23141" s="545"/>
      <c r="F23141" s="546"/>
      <c r="G23141" s="234"/>
      <c r="H23141" s="238"/>
      <c r="I23141" s="237"/>
    </row>
    <row r="23142" spans="1:9" s="232" customFormat="1" ht="17" customHeight="1">
      <c r="A23142" s="234"/>
      <c r="B23142" s="233"/>
      <c r="C23142" s="238"/>
      <c r="E23142" s="545"/>
      <c r="F23142" s="546"/>
      <c r="G23142" s="234"/>
      <c r="H23142" s="238"/>
      <c r="I23142" s="237"/>
    </row>
    <row r="23143" spans="1:9" s="232" customFormat="1" ht="17" customHeight="1">
      <c r="A23143" s="234"/>
      <c r="B23143" s="233"/>
      <c r="C23143" s="238"/>
      <c r="E23143" s="545"/>
      <c r="F23143" s="546"/>
      <c r="G23143" s="234"/>
      <c r="H23143" s="238"/>
      <c r="I23143" s="237"/>
    </row>
    <row r="23144" spans="1:9" s="232" customFormat="1" ht="17" customHeight="1">
      <c r="A23144" s="234"/>
      <c r="B23144" s="233"/>
      <c r="C23144" s="238"/>
      <c r="E23144" s="545"/>
      <c r="F23144" s="546"/>
      <c r="G23144" s="234"/>
      <c r="H23144" s="238"/>
      <c r="I23144" s="237"/>
    </row>
    <row r="23145" spans="1:9" s="232" customFormat="1" ht="17" customHeight="1">
      <c r="A23145" s="234"/>
      <c r="B23145" s="233"/>
      <c r="C23145" s="238"/>
      <c r="E23145" s="545"/>
      <c r="F23145" s="546"/>
      <c r="G23145" s="234"/>
      <c r="H23145" s="238"/>
      <c r="I23145" s="237"/>
    </row>
    <row r="23146" spans="1:9" s="232" customFormat="1" ht="17" customHeight="1">
      <c r="A23146" s="234"/>
      <c r="B23146" s="233"/>
      <c r="C23146" s="238"/>
      <c r="E23146" s="545"/>
      <c r="F23146" s="546"/>
      <c r="G23146" s="234"/>
      <c r="H23146" s="238"/>
      <c r="I23146" s="237"/>
    </row>
    <row r="23147" spans="1:9" s="232" customFormat="1" ht="17" customHeight="1">
      <c r="A23147" s="234"/>
      <c r="B23147" s="233"/>
      <c r="C23147" s="238"/>
      <c r="E23147" s="545"/>
      <c r="F23147" s="546"/>
      <c r="G23147" s="234"/>
      <c r="H23147" s="238"/>
      <c r="I23147" s="237"/>
    </row>
    <row r="23148" spans="1:9" s="232" customFormat="1" ht="17" customHeight="1">
      <c r="A23148" s="234"/>
      <c r="B23148" s="233"/>
      <c r="C23148" s="238"/>
      <c r="E23148" s="545"/>
      <c r="F23148" s="546"/>
      <c r="G23148" s="234"/>
      <c r="H23148" s="238"/>
      <c r="I23148" s="237"/>
    </row>
    <row r="23149" spans="1:9" s="232" customFormat="1" ht="17" customHeight="1">
      <c r="A23149" s="234"/>
      <c r="B23149" s="233"/>
      <c r="C23149" s="238"/>
      <c r="E23149" s="545"/>
      <c r="F23149" s="546"/>
      <c r="G23149" s="234"/>
      <c r="H23149" s="238"/>
      <c r="I23149" s="237"/>
    </row>
    <row r="23150" spans="1:9" s="232" customFormat="1" ht="17" customHeight="1">
      <c r="A23150" s="234"/>
      <c r="B23150" s="233"/>
      <c r="C23150" s="238"/>
      <c r="E23150" s="545"/>
      <c r="F23150" s="546"/>
      <c r="G23150" s="234"/>
      <c r="H23150" s="238"/>
      <c r="I23150" s="237"/>
    </row>
    <row r="23151" spans="1:9" s="232" customFormat="1" ht="17" customHeight="1">
      <c r="A23151" s="234"/>
      <c r="B23151" s="233"/>
      <c r="C23151" s="238"/>
      <c r="E23151" s="545"/>
      <c r="F23151" s="546"/>
      <c r="G23151" s="234"/>
      <c r="H23151" s="238"/>
      <c r="I23151" s="237"/>
    </row>
    <row r="23152" spans="1:9" s="232" customFormat="1" ht="17" customHeight="1">
      <c r="A23152" s="234"/>
      <c r="B23152" s="233"/>
      <c r="C23152" s="238"/>
      <c r="E23152" s="545"/>
      <c r="F23152" s="546"/>
      <c r="G23152" s="234"/>
      <c r="H23152" s="238"/>
      <c r="I23152" s="237"/>
    </row>
    <row r="23153" spans="1:9" s="232" customFormat="1" ht="17" customHeight="1">
      <c r="A23153" s="234"/>
      <c r="B23153" s="233"/>
      <c r="C23153" s="238"/>
      <c r="E23153" s="545"/>
      <c r="F23153" s="546"/>
      <c r="G23153" s="234"/>
      <c r="H23153" s="238"/>
      <c r="I23153" s="237"/>
    </row>
    <row r="23154" spans="1:9" s="232" customFormat="1" ht="17" customHeight="1">
      <c r="A23154" s="234"/>
      <c r="B23154" s="233"/>
      <c r="C23154" s="238"/>
      <c r="E23154" s="545"/>
      <c r="F23154" s="546"/>
      <c r="G23154" s="234"/>
      <c r="H23154" s="238"/>
      <c r="I23154" s="237"/>
    </row>
    <row r="23155" spans="1:9" s="232" customFormat="1" ht="17" customHeight="1">
      <c r="A23155" s="234"/>
      <c r="B23155" s="233"/>
      <c r="C23155" s="238"/>
      <c r="E23155" s="545"/>
      <c r="F23155" s="546"/>
      <c r="G23155" s="234"/>
      <c r="H23155" s="238"/>
      <c r="I23155" s="237"/>
    </row>
    <row r="23156" spans="1:9" s="232" customFormat="1" ht="17" customHeight="1">
      <c r="A23156" s="234"/>
      <c r="B23156" s="233"/>
      <c r="C23156" s="238"/>
      <c r="E23156" s="545"/>
      <c r="F23156" s="546"/>
      <c r="G23156" s="234"/>
      <c r="H23156" s="238"/>
      <c r="I23156" s="237"/>
    </row>
    <row r="23157" spans="1:9" s="232" customFormat="1" ht="17" customHeight="1">
      <c r="A23157" s="234"/>
      <c r="B23157" s="233"/>
      <c r="C23157" s="238"/>
      <c r="E23157" s="545"/>
      <c r="F23157" s="546"/>
      <c r="G23157" s="234"/>
      <c r="H23157" s="238"/>
      <c r="I23157" s="237"/>
    </row>
    <row r="23158" spans="1:9" s="232" customFormat="1" ht="17" customHeight="1">
      <c r="A23158" s="234"/>
      <c r="B23158" s="233"/>
      <c r="C23158" s="238"/>
      <c r="E23158" s="545"/>
      <c r="F23158" s="546"/>
      <c r="G23158" s="234"/>
      <c r="H23158" s="238"/>
      <c r="I23158" s="237"/>
    </row>
    <row r="23159" spans="1:9" s="232" customFormat="1" ht="17" customHeight="1">
      <c r="A23159" s="234"/>
      <c r="B23159" s="233"/>
      <c r="C23159" s="238"/>
      <c r="E23159" s="545"/>
      <c r="F23159" s="546"/>
      <c r="G23159" s="234"/>
      <c r="H23159" s="238"/>
      <c r="I23159" s="237"/>
    </row>
    <row r="23160" spans="1:9" s="232" customFormat="1" ht="17" customHeight="1">
      <c r="A23160" s="234"/>
      <c r="B23160" s="233"/>
      <c r="C23160" s="238"/>
      <c r="E23160" s="545"/>
      <c r="F23160" s="546"/>
      <c r="G23160" s="234"/>
      <c r="H23160" s="238"/>
      <c r="I23160" s="237"/>
    </row>
    <row r="23161" spans="1:9" s="232" customFormat="1" ht="17" customHeight="1">
      <c r="A23161" s="234"/>
      <c r="B23161" s="233"/>
      <c r="C23161" s="238"/>
      <c r="E23161" s="545"/>
      <c r="F23161" s="546"/>
      <c r="G23161" s="234"/>
      <c r="H23161" s="238"/>
      <c r="I23161" s="237"/>
    </row>
    <row r="23162" spans="1:9" s="232" customFormat="1" ht="17" customHeight="1">
      <c r="A23162" s="234"/>
      <c r="B23162" s="233"/>
      <c r="C23162" s="238"/>
      <c r="E23162" s="545"/>
      <c r="F23162" s="546"/>
      <c r="G23162" s="234"/>
      <c r="H23162" s="238"/>
      <c r="I23162" s="237"/>
    </row>
    <row r="23163" spans="1:9" s="232" customFormat="1" ht="17" customHeight="1">
      <c r="A23163" s="234"/>
      <c r="B23163" s="233"/>
      <c r="C23163" s="238"/>
      <c r="E23163" s="545"/>
      <c r="F23163" s="546"/>
      <c r="G23163" s="234"/>
      <c r="H23163" s="238"/>
      <c r="I23163" s="237"/>
    </row>
    <row r="23164" spans="1:9" s="232" customFormat="1" ht="17" customHeight="1">
      <c r="A23164" s="234"/>
      <c r="B23164" s="233"/>
      <c r="C23164" s="238"/>
      <c r="E23164" s="545"/>
      <c r="F23164" s="546"/>
      <c r="G23164" s="234"/>
      <c r="H23164" s="238"/>
      <c r="I23164" s="237"/>
    </row>
    <row r="23165" spans="1:9" s="232" customFormat="1" ht="17" customHeight="1">
      <c r="A23165" s="234"/>
      <c r="B23165" s="233"/>
      <c r="C23165" s="238"/>
      <c r="E23165" s="545"/>
      <c r="F23165" s="546"/>
      <c r="G23165" s="234"/>
      <c r="H23165" s="238"/>
      <c r="I23165" s="237"/>
    </row>
    <row r="23166" spans="1:9" s="232" customFormat="1" ht="17" customHeight="1">
      <c r="A23166" s="234"/>
      <c r="B23166" s="233"/>
      <c r="C23166" s="238"/>
      <c r="E23166" s="545"/>
      <c r="F23166" s="546"/>
      <c r="G23166" s="234"/>
      <c r="H23166" s="238"/>
      <c r="I23166" s="237"/>
    </row>
    <row r="23167" spans="1:9" s="232" customFormat="1" ht="17" customHeight="1">
      <c r="A23167" s="234"/>
      <c r="B23167" s="233"/>
      <c r="C23167" s="238"/>
      <c r="E23167" s="545"/>
      <c r="F23167" s="546"/>
      <c r="G23167" s="234"/>
      <c r="H23167" s="238"/>
      <c r="I23167" s="237"/>
    </row>
    <row r="23168" spans="1:9" s="232" customFormat="1" ht="17" customHeight="1">
      <c r="A23168" s="234"/>
      <c r="B23168" s="233"/>
      <c r="C23168" s="238"/>
      <c r="E23168" s="545"/>
      <c r="F23168" s="546"/>
      <c r="G23168" s="234"/>
      <c r="H23168" s="238"/>
      <c r="I23168" s="237"/>
    </row>
    <row r="23169" spans="1:9" s="232" customFormat="1" ht="17" customHeight="1">
      <c r="A23169" s="234"/>
      <c r="B23169" s="233"/>
      <c r="C23169" s="238"/>
      <c r="E23169" s="545"/>
      <c r="F23169" s="546"/>
      <c r="G23169" s="234"/>
      <c r="H23169" s="238"/>
      <c r="I23169" s="237"/>
    </row>
    <row r="23170" spans="1:9" s="232" customFormat="1" ht="17" customHeight="1">
      <c r="A23170" s="234"/>
      <c r="B23170" s="233"/>
      <c r="C23170" s="238"/>
      <c r="E23170" s="545"/>
      <c r="F23170" s="546"/>
      <c r="G23170" s="234"/>
      <c r="H23170" s="238"/>
      <c r="I23170" s="237"/>
    </row>
    <row r="23171" spans="1:9" s="232" customFormat="1" ht="17" customHeight="1">
      <c r="A23171" s="234"/>
      <c r="B23171" s="233"/>
      <c r="C23171" s="238"/>
      <c r="E23171" s="545"/>
      <c r="F23171" s="546"/>
      <c r="G23171" s="234"/>
      <c r="H23171" s="238"/>
      <c r="I23171" s="237"/>
    </row>
    <row r="23172" spans="1:9" s="232" customFormat="1" ht="17" customHeight="1">
      <c r="A23172" s="234"/>
      <c r="B23172" s="233"/>
      <c r="C23172" s="238"/>
      <c r="E23172" s="545"/>
      <c r="F23172" s="546"/>
      <c r="G23172" s="234"/>
      <c r="H23172" s="238"/>
      <c r="I23172" s="237"/>
    </row>
    <row r="23173" spans="1:9" s="232" customFormat="1" ht="17" customHeight="1">
      <c r="A23173" s="234"/>
      <c r="B23173" s="233"/>
      <c r="C23173" s="238"/>
      <c r="E23173" s="545"/>
      <c r="F23173" s="546"/>
      <c r="G23173" s="234"/>
      <c r="H23173" s="238"/>
      <c r="I23173" s="237"/>
    </row>
    <row r="23174" spans="1:9" s="232" customFormat="1" ht="17" customHeight="1">
      <c r="A23174" s="234"/>
      <c r="B23174" s="233"/>
      <c r="C23174" s="238"/>
      <c r="E23174" s="545"/>
      <c r="F23174" s="546"/>
      <c r="G23174" s="234"/>
      <c r="H23174" s="238"/>
      <c r="I23174" s="237"/>
    </row>
    <row r="23175" spans="1:9" s="232" customFormat="1" ht="17" customHeight="1">
      <c r="A23175" s="234"/>
      <c r="B23175" s="233"/>
      <c r="C23175" s="238"/>
      <c r="E23175" s="545"/>
      <c r="F23175" s="546"/>
      <c r="G23175" s="234"/>
      <c r="H23175" s="238"/>
      <c r="I23175" s="237"/>
    </row>
    <row r="23176" spans="1:9" s="232" customFormat="1" ht="17" customHeight="1">
      <c r="A23176" s="234"/>
      <c r="B23176" s="233"/>
      <c r="C23176" s="238"/>
      <c r="E23176" s="545"/>
      <c r="F23176" s="546"/>
      <c r="G23176" s="234"/>
      <c r="H23176" s="238"/>
      <c r="I23176" s="237"/>
    </row>
    <row r="23177" spans="1:9" s="232" customFormat="1" ht="17" customHeight="1">
      <c r="A23177" s="234"/>
      <c r="B23177" s="233"/>
      <c r="C23177" s="238"/>
      <c r="E23177" s="545"/>
      <c r="F23177" s="546"/>
      <c r="G23177" s="234"/>
      <c r="H23177" s="238"/>
      <c r="I23177" s="237"/>
    </row>
    <row r="23178" spans="1:9" s="232" customFormat="1" ht="17" customHeight="1">
      <c r="A23178" s="234"/>
      <c r="B23178" s="233"/>
      <c r="C23178" s="238"/>
      <c r="E23178" s="545"/>
      <c r="F23178" s="546"/>
      <c r="G23178" s="234"/>
      <c r="H23178" s="238"/>
      <c r="I23178" s="237"/>
    </row>
    <row r="23179" spans="1:9" s="232" customFormat="1" ht="17" customHeight="1">
      <c r="A23179" s="234"/>
      <c r="B23179" s="233"/>
      <c r="C23179" s="238"/>
      <c r="E23179" s="545"/>
      <c r="F23179" s="546"/>
      <c r="G23179" s="234"/>
      <c r="H23179" s="238"/>
      <c r="I23179" s="237"/>
    </row>
    <row r="23180" spans="1:9" s="232" customFormat="1" ht="17" customHeight="1">
      <c r="A23180" s="234"/>
      <c r="B23180" s="233"/>
      <c r="C23180" s="238"/>
      <c r="E23180" s="545"/>
      <c r="F23180" s="546"/>
      <c r="G23180" s="234"/>
      <c r="H23180" s="238"/>
      <c r="I23180" s="237"/>
    </row>
    <row r="23181" spans="1:9" s="232" customFormat="1" ht="17" customHeight="1">
      <c r="A23181" s="234"/>
      <c r="B23181" s="233"/>
      <c r="C23181" s="238"/>
      <c r="E23181" s="545"/>
      <c r="F23181" s="546"/>
      <c r="G23181" s="234"/>
      <c r="H23181" s="238"/>
      <c r="I23181" s="237"/>
    </row>
    <row r="23182" spans="1:9" s="232" customFormat="1" ht="17" customHeight="1">
      <c r="A23182" s="234"/>
      <c r="B23182" s="233"/>
      <c r="C23182" s="238"/>
      <c r="E23182" s="545"/>
      <c r="F23182" s="546"/>
      <c r="G23182" s="234"/>
      <c r="H23182" s="238"/>
      <c r="I23182" s="237"/>
    </row>
    <row r="23183" spans="1:9" s="232" customFormat="1" ht="17" customHeight="1">
      <c r="A23183" s="234"/>
      <c r="B23183" s="233"/>
      <c r="C23183" s="238"/>
      <c r="E23183" s="545"/>
      <c r="F23183" s="546"/>
      <c r="G23183" s="234"/>
      <c r="H23183" s="238"/>
      <c r="I23183" s="237"/>
    </row>
    <row r="23184" spans="1:9" s="232" customFormat="1" ht="17" customHeight="1">
      <c r="A23184" s="234"/>
      <c r="B23184" s="233"/>
      <c r="C23184" s="238"/>
      <c r="E23184" s="545"/>
      <c r="F23184" s="546"/>
      <c r="G23184" s="234"/>
      <c r="H23184" s="238"/>
      <c r="I23184" s="237"/>
    </row>
    <row r="23185" spans="1:9" s="232" customFormat="1" ht="17" customHeight="1">
      <c r="A23185" s="234"/>
      <c r="B23185" s="233"/>
      <c r="C23185" s="238"/>
      <c r="E23185" s="545"/>
      <c r="F23185" s="546"/>
      <c r="G23185" s="234"/>
      <c r="H23185" s="238"/>
      <c r="I23185" s="237"/>
    </row>
    <row r="23186" spans="1:9" s="232" customFormat="1" ht="17" customHeight="1">
      <c r="A23186" s="234"/>
      <c r="B23186" s="233"/>
      <c r="C23186" s="238"/>
      <c r="E23186" s="545"/>
      <c r="F23186" s="546"/>
      <c r="G23186" s="234"/>
      <c r="H23186" s="238"/>
      <c r="I23186" s="237"/>
    </row>
    <row r="23187" spans="1:9" s="232" customFormat="1" ht="17" customHeight="1">
      <c r="A23187" s="234"/>
      <c r="B23187" s="233"/>
      <c r="C23187" s="238"/>
      <c r="E23187" s="545"/>
      <c r="F23187" s="546"/>
      <c r="G23187" s="234"/>
      <c r="H23187" s="238"/>
      <c r="I23187" s="237"/>
    </row>
    <row r="23188" spans="1:9" s="232" customFormat="1" ht="17" customHeight="1">
      <c r="A23188" s="234"/>
      <c r="B23188" s="233"/>
      <c r="C23188" s="238"/>
      <c r="E23188" s="545"/>
      <c r="F23188" s="546"/>
      <c r="G23188" s="234"/>
      <c r="H23188" s="238"/>
      <c r="I23188" s="237"/>
    </row>
    <row r="23189" spans="1:9" s="232" customFormat="1" ht="17" customHeight="1">
      <c r="A23189" s="234"/>
      <c r="B23189" s="233"/>
      <c r="C23189" s="238"/>
      <c r="E23189" s="545"/>
      <c r="F23189" s="546"/>
      <c r="G23189" s="234"/>
      <c r="H23189" s="238"/>
      <c r="I23189" s="237"/>
    </row>
    <row r="23190" spans="1:9" s="232" customFormat="1" ht="17" customHeight="1">
      <c r="A23190" s="234"/>
      <c r="B23190" s="233"/>
      <c r="C23190" s="238"/>
      <c r="E23190" s="545"/>
      <c r="F23190" s="546"/>
      <c r="G23190" s="234"/>
      <c r="H23190" s="238"/>
      <c r="I23190" s="237"/>
    </row>
    <row r="23191" spans="1:9" s="232" customFormat="1" ht="17" customHeight="1">
      <c r="A23191" s="234"/>
      <c r="B23191" s="233"/>
      <c r="C23191" s="238"/>
      <c r="E23191" s="545"/>
      <c r="F23191" s="546"/>
      <c r="G23191" s="234"/>
      <c r="H23191" s="238"/>
      <c r="I23191" s="237"/>
    </row>
    <row r="23192" spans="1:9" s="232" customFormat="1" ht="17" customHeight="1">
      <c r="A23192" s="234"/>
      <c r="B23192" s="233"/>
      <c r="C23192" s="238"/>
      <c r="E23192" s="545"/>
      <c r="F23192" s="546"/>
      <c r="G23192" s="234"/>
      <c r="H23192" s="238"/>
      <c r="I23192" s="237"/>
    </row>
    <row r="23193" spans="1:9" s="232" customFormat="1" ht="17" customHeight="1">
      <c r="A23193" s="234"/>
      <c r="B23193" s="233"/>
      <c r="C23193" s="238"/>
      <c r="E23193" s="545"/>
      <c r="F23193" s="546"/>
      <c r="G23193" s="234"/>
      <c r="H23193" s="238"/>
      <c r="I23193" s="237"/>
    </row>
    <row r="23194" spans="1:9" s="232" customFormat="1" ht="17" customHeight="1">
      <c r="A23194" s="234"/>
      <c r="B23194" s="233"/>
      <c r="C23194" s="238"/>
      <c r="E23194" s="545"/>
      <c r="F23194" s="546"/>
      <c r="G23194" s="234"/>
      <c r="H23194" s="238"/>
      <c r="I23194" s="237"/>
    </row>
    <row r="23195" spans="1:9" s="232" customFormat="1" ht="17" customHeight="1">
      <c r="A23195" s="234"/>
      <c r="B23195" s="233"/>
      <c r="C23195" s="238"/>
      <c r="E23195" s="545"/>
      <c r="F23195" s="546"/>
      <c r="G23195" s="234"/>
      <c r="H23195" s="238"/>
      <c r="I23195" s="237"/>
    </row>
    <row r="23196" spans="1:9" s="232" customFormat="1" ht="17" customHeight="1">
      <c r="A23196" s="234"/>
      <c r="B23196" s="233"/>
      <c r="C23196" s="238"/>
      <c r="E23196" s="545"/>
      <c r="F23196" s="546"/>
      <c r="G23196" s="234"/>
      <c r="H23196" s="238"/>
      <c r="I23196" s="237"/>
    </row>
    <row r="23197" spans="1:9" s="232" customFormat="1" ht="17" customHeight="1">
      <c r="A23197" s="234"/>
      <c r="B23197" s="233"/>
      <c r="C23197" s="238"/>
      <c r="E23197" s="545"/>
      <c r="F23197" s="546"/>
      <c r="G23197" s="234"/>
      <c r="H23197" s="238"/>
      <c r="I23197" s="237"/>
    </row>
    <row r="23198" spans="1:9" s="232" customFormat="1" ht="17" customHeight="1">
      <c r="A23198" s="234"/>
      <c r="B23198" s="233"/>
      <c r="C23198" s="238"/>
      <c r="E23198" s="545"/>
      <c r="F23198" s="546"/>
      <c r="G23198" s="234"/>
      <c r="H23198" s="238"/>
      <c r="I23198" s="237"/>
    </row>
    <row r="23199" spans="1:9" s="232" customFormat="1" ht="17" customHeight="1">
      <c r="A23199" s="234"/>
      <c r="B23199" s="233"/>
      <c r="C23199" s="238"/>
      <c r="E23199" s="545"/>
      <c r="F23199" s="546"/>
      <c r="G23199" s="234"/>
      <c r="H23199" s="238"/>
      <c r="I23199" s="237"/>
    </row>
    <row r="23200" spans="1:9" s="232" customFormat="1" ht="17" customHeight="1">
      <c r="A23200" s="234"/>
      <c r="B23200" s="233"/>
      <c r="C23200" s="238"/>
      <c r="E23200" s="545"/>
      <c r="F23200" s="546"/>
      <c r="G23200" s="234"/>
      <c r="H23200" s="238"/>
      <c r="I23200" s="237"/>
    </row>
    <row r="23201" spans="1:9" s="232" customFormat="1" ht="17" customHeight="1">
      <c r="A23201" s="234"/>
      <c r="B23201" s="233"/>
      <c r="C23201" s="238"/>
      <c r="E23201" s="545"/>
      <c r="F23201" s="546"/>
      <c r="G23201" s="234"/>
      <c r="H23201" s="238"/>
      <c r="I23201" s="237"/>
    </row>
    <row r="23202" spans="1:9" s="232" customFormat="1" ht="17" customHeight="1">
      <c r="A23202" s="234"/>
      <c r="B23202" s="233"/>
      <c r="C23202" s="238"/>
      <c r="E23202" s="545"/>
      <c r="F23202" s="546"/>
      <c r="G23202" s="234"/>
      <c r="H23202" s="238"/>
      <c r="I23202" s="237"/>
    </row>
    <row r="23203" spans="1:9" s="232" customFormat="1" ht="17" customHeight="1">
      <c r="A23203" s="234"/>
      <c r="B23203" s="233"/>
      <c r="C23203" s="238"/>
      <c r="E23203" s="545"/>
      <c r="F23203" s="546"/>
      <c r="G23203" s="234"/>
      <c r="H23203" s="238"/>
      <c r="I23203" s="237"/>
    </row>
    <row r="23204" spans="1:9" s="232" customFormat="1" ht="17" customHeight="1">
      <c r="A23204" s="234"/>
      <c r="B23204" s="233"/>
      <c r="C23204" s="238"/>
      <c r="E23204" s="545"/>
      <c r="F23204" s="546"/>
      <c r="G23204" s="234"/>
      <c r="H23204" s="238"/>
      <c r="I23204" s="237"/>
    </row>
    <row r="23205" spans="1:9" s="232" customFormat="1" ht="17" customHeight="1">
      <c r="A23205" s="234"/>
      <c r="B23205" s="233"/>
      <c r="C23205" s="238"/>
      <c r="E23205" s="545"/>
      <c r="F23205" s="546"/>
      <c r="G23205" s="234"/>
      <c r="H23205" s="238"/>
      <c r="I23205" s="237"/>
    </row>
    <row r="23206" spans="1:9" s="232" customFormat="1" ht="17" customHeight="1">
      <c r="A23206" s="234"/>
      <c r="B23206" s="233"/>
      <c r="C23206" s="238"/>
      <c r="E23206" s="545"/>
      <c r="F23206" s="546"/>
      <c r="G23206" s="234"/>
      <c r="H23206" s="238"/>
      <c r="I23206" s="237"/>
    </row>
    <row r="23207" spans="1:9" s="232" customFormat="1" ht="17" customHeight="1">
      <c r="A23207" s="234"/>
      <c r="B23207" s="233"/>
      <c r="C23207" s="238"/>
      <c r="E23207" s="545"/>
      <c r="F23207" s="546"/>
      <c r="G23207" s="234"/>
      <c r="H23207" s="238"/>
      <c r="I23207" s="237"/>
    </row>
    <row r="23208" spans="1:9" s="232" customFormat="1" ht="17" customHeight="1">
      <c r="A23208" s="234"/>
      <c r="B23208" s="233"/>
      <c r="C23208" s="238"/>
      <c r="E23208" s="545"/>
      <c r="F23208" s="546"/>
      <c r="G23208" s="234"/>
      <c r="H23208" s="238"/>
      <c r="I23208" s="237"/>
    </row>
    <row r="23209" spans="1:9" s="232" customFormat="1" ht="17" customHeight="1">
      <c r="A23209" s="234"/>
      <c r="B23209" s="233"/>
      <c r="C23209" s="238"/>
      <c r="E23209" s="545"/>
      <c r="F23209" s="546"/>
      <c r="G23209" s="234"/>
      <c r="H23209" s="238"/>
      <c r="I23209" s="237"/>
    </row>
    <row r="23210" spans="1:9" s="232" customFormat="1" ht="17" customHeight="1">
      <c r="A23210" s="234"/>
      <c r="B23210" s="233"/>
      <c r="C23210" s="238"/>
      <c r="E23210" s="545"/>
      <c r="F23210" s="546"/>
      <c r="G23210" s="234"/>
      <c r="H23210" s="238"/>
      <c r="I23210" s="237"/>
    </row>
    <row r="23211" spans="1:9" s="232" customFormat="1" ht="17" customHeight="1">
      <c r="A23211" s="234"/>
      <c r="B23211" s="233"/>
      <c r="C23211" s="238"/>
      <c r="E23211" s="545"/>
      <c r="F23211" s="546"/>
      <c r="G23211" s="234"/>
      <c r="H23211" s="238"/>
      <c r="I23211" s="237"/>
    </row>
    <row r="23212" spans="1:9" s="232" customFormat="1" ht="17" customHeight="1">
      <c r="A23212" s="234"/>
      <c r="B23212" s="233"/>
      <c r="C23212" s="238"/>
      <c r="E23212" s="545"/>
      <c r="F23212" s="546"/>
      <c r="G23212" s="234"/>
      <c r="H23212" s="238"/>
      <c r="I23212" s="237"/>
    </row>
    <row r="23213" spans="1:9" s="232" customFormat="1" ht="17" customHeight="1">
      <c r="A23213" s="234"/>
      <c r="B23213" s="233"/>
      <c r="C23213" s="238"/>
      <c r="E23213" s="545"/>
      <c r="F23213" s="546"/>
      <c r="G23213" s="234"/>
      <c r="H23213" s="238"/>
      <c r="I23213" s="237"/>
    </row>
    <row r="23214" spans="1:9" s="232" customFormat="1" ht="17" customHeight="1">
      <c r="A23214" s="234"/>
      <c r="B23214" s="233"/>
      <c r="C23214" s="238"/>
      <c r="E23214" s="545"/>
      <c r="F23214" s="546"/>
      <c r="G23214" s="234"/>
      <c r="H23214" s="238"/>
      <c r="I23214" s="237"/>
    </row>
    <row r="23215" spans="1:9" s="232" customFormat="1" ht="17" customHeight="1">
      <c r="A23215" s="234"/>
      <c r="B23215" s="233"/>
      <c r="C23215" s="238"/>
      <c r="E23215" s="545"/>
      <c r="F23215" s="546"/>
      <c r="G23215" s="234"/>
      <c r="H23215" s="238"/>
      <c r="I23215" s="237"/>
    </row>
    <row r="23216" spans="1:9" s="232" customFormat="1" ht="17" customHeight="1">
      <c r="A23216" s="234"/>
      <c r="B23216" s="233"/>
      <c r="C23216" s="238"/>
      <c r="E23216" s="545"/>
      <c r="F23216" s="546"/>
      <c r="G23216" s="234"/>
      <c r="H23216" s="238"/>
      <c r="I23216" s="237"/>
    </row>
    <row r="23217" spans="1:9" s="232" customFormat="1" ht="17" customHeight="1">
      <c r="A23217" s="234"/>
      <c r="B23217" s="233"/>
      <c r="C23217" s="238"/>
      <c r="E23217" s="545"/>
      <c r="F23217" s="546"/>
      <c r="G23217" s="234"/>
      <c r="H23217" s="238"/>
      <c r="I23217" s="237"/>
    </row>
    <row r="23218" spans="1:9" s="232" customFormat="1" ht="17" customHeight="1">
      <c r="A23218" s="234"/>
      <c r="B23218" s="233"/>
      <c r="C23218" s="238"/>
      <c r="E23218" s="545"/>
      <c r="F23218" s="546"/>
      <c r="G23218" s="234"/>
      <c r="H23218" s="238"/>
      <c r="I23218" s="237"/>
    </row>
    <row r="23219" spans="1:9" s="232" customFormat="1" ht="17" customHeight="1">
      <c r="A23219" s="234"/>
      <c r="B23219" s="233"/>
      <c r="C23219" s="238"/>
      <c r="E23219" s="545"/>
      <c r="F23219" s="546"/>
      <c r="G23219" s="234"/>
      <c r="H23219" s="238"/>
      <c r="I23219" s="237"/>
    </row>
    <row r="23220" spans="1:9" s="232" customFormat="1" ht="17" customHeight="1">
      <c r="A23220" s="234"/>
      <c r="B23220" s="233"/>
      <c r="C23220" s="238"/>
      <c r="E23220" s="545"/>
      <c r="F23220" s="546"/>
      <c r="G23220" s="234"/>
      <c r="H23220" s="238"/>
      <c r="I23220" s="237"/>
    </row>
    <row r="23221" spans="1:9" s="232" customFormat="1" ht="17" customHeight="1">
      <c r="A23221" s="234"/>
      <c r="B23221" s="233"/>
      <c r="C23221" s="238"/>
      <c r="E23221" s="545"/>
      <c r="F23221" s="546"/>
      <c r="G23221" s="234"/>
      <c r="H23221" s="238"/>
      <c r="I23221" s="237"/>
    </row>
    <row r="23222" spans="1:9" s="232" customFormat="1" ht="17" customHeight="1">
      <c r="A23222" s="234"/>
      <c r="B23222" s="233"/>
      <c r="C23222" s="238"/>
      <c r="E23222" s="545"/>
      <c r="F23222" s="546"/>
      <c r="G23222" s="234"/>
      <c r="H23222" s="238"/>
      <c r="I23222" s="237"/>
    </row>
    <row r="23223" spans="1:9" s="232" customFormat="1" ht="17" customHeight="1">
      <c r="A23223" s="234"/>
      <c r="B23223" s="233"/>
      <c r="C23223" s="238"/>
      <c r="E23223" s="545"/>
      <c r="F23223" s="546"/>
      <c r="G23223" s="234"/>
      <c r="H23223" s="238"/>
      <c r="I23223" s="237"/>
    </row>
    <row r="23224" spans="1:9" s="232" customFormat="1" ht="17" customHeight="1">
      <c r="A23224" s="234"/>
      <c r="B23224" s="233"/>
      <c r="C23224" s="238"/>
      <c r="E23224" s="545"/>
      <c r="F23224" s="546"/>
      <c r="G23224" s="234"/>
      <c r="H23224" s="238"/>
      <c r="I23224" s="237"/>
    </row>
    <row r="23225" spans="1:9" s="232" customFormat="1" ht="17" customHeight="1">
      <c r="A23225" s="234"/>
      <c r="B23225" s="233"/>
      <c r="C23225" s="238"/>
      <c r="E23225" s="545"/>
      <c r="F23225" s="546"/>
      <c r="G23225" s="234"/>
      <c r="H23225" s="238"/>
      <c r="I23225" s="237"/>
    </row>
    <row r="23226" spans="1:9" s="232" customFormat="1" ht="17" customHeight="1">
      <c r="A23226" s="234"/>
      <c r="B23226" s="233"/>
      <c r="C23226" s="238"/>
      <c r="E23226" s="545"/>
      <c r="F23226" s="546"/>
      <c r="G23226" s="234"/>
      <c r="H23226" s="238"/>
      <c r="I23226" s="237"/>
    </row>
    <row r="23227" spans="1:9" s="232" customFormat="1" ht="17" customHeight="1">
      <c r="A23227" s="234"/>
      <c r="B23227" s="233"/>
      <c r="C23227" s="238"/>
      <c r="E23227" s="545"/>
      <c r="F23227" s="546"/>
      <c r="G23227" s="234"/>
      <c r="H23227" s="238"/>
      <c r="I23227" s="237"/>
    </row>
    <row r="23228" spans="1:9" s="232" customFormat="1" ht="17" customHeight="1">
      <c r="A23228" s="234"/>
      <c r="B23228" s="233"/>
      <c r="C23228" s="238"/>
      <c r="E23228" s="545"/>
      <c r="F23228" s="546"/>
      <c r="G23228" s="234"/>
      <c r="H23228" s="238"/>
      <c r="I23228" s="237"/>
    </row>
    <row r="23229" spans="1:9" s="232" customFormat="1" ht="17" customHeight="1">
      <c r="A23229" s="234"/>
      <c r="B23229" s="233"/>
      <c r="C23229" s="238"/>
      <c r="E23229" s="545"/>
      <c r="F23229" s="546"/>
      <c r="G23229" s="234"/>
      <c r="H23229" s="238"/>
      <c r="I23229" s="237"/>
    </row>
    <row r="23230" spans="1:9" s="232" customFormat="1" ht="17" customHeight="1">
      <c r="A23230" s="234"/>
      <c r="B23230" s="233"/>
      <c r="C23230" s="238"/>
      <c r="E23230" s="545"/>
      <c r="F23230" s="546"/>
      <c r="G23230" s="234"/>
      <c r="H23230" s="238"/>
      <c r="I23230" s="237"/>
    </row>
    <row r="23231" spans="1:9" s="232" customFormat="1" ht="17" customHeight="1">
      <c r="A23231" s="234"/>
      <c r="B23231" s="233"/>
      <c r="C23231" s="238"/>
      <c r="E23231" s="545"/>
      <c r="F23231" s="546"/>
      <c r="G23231" s="234"/>
      <c r="H23231" s="238"/>
      <c r="I23231" s="237"/>
    </row>
    <row r="23232" spans="1:9" s="232" customFormat="1" ht="17" customHeight="1">
      <c r="A23232" s="234"/>
      <c r="B23232" s="233"/>
      <c r="C23232" s="238"/>
      <c r="E23232" s="545"/>
      <c r="F23232" s="546"/>
      <c r="G23232" s="234"/>
      <c r="H23232" s="238"/>
      <c r="I23232" s="237"/>
    </row>
    <row r="23233" spans="1:9" s="232" customFormat="1" ht="17" customHeight="1">
      <c r="A23233" s="234"/>
      <c r="B23233" s="233"/>
      <c r="C23233" s="238"/>
      <c r="E23233" s="545"/>
      <c r="F23233" s="546"/>
      <c r="G23233" s="234"/>
      <c r="H23233" s="238"/>
      <c r="I23233" s="237"/>
    </row>
    <row r="23234" spans="1:9" s="232" customFormat="1" ht="17" customHeight="1">
      <c r="A23234" s="234"/>
      <c r="B23234" s="233"/>
      <c r="C23234" s="238"/>
      <c r="E23234" s="545"/>
      <c r="F23234" s="546"/>
      <c r="G23234" s="234"/>
      <c r="H23234" s="238"/>
      <c r="I23234" s="237"/>
    </row>
    <row r="23235" spans="1:9" s="232" customFormat="1" ht="17" customHeight="1">
      <c r="A23235" s="234"/>
      <c r="B23235" s="233"/>
      <c r="C23235" s="238"/>
      <c r="E23235" s="545"/>
      <c r="F23235" s="546"/>
      <c r="G23235" s="234"/>
      <c r="H23235" s="238"/>
      <c r="I23235" s="237"/>
    </row>
    <row r="23236" spans="1:9" s="232" customFormat="1" ht="17" customHeight="1">
      <c r="A23236" s="234"/>
      <c r="B23236" s="233"/>
      <c r="C23236" s="238"/>
      <c r="E23236" s="545"/>
      <c r="F23236" s="546"/>
      <c r="G23236" s="234"/>
      <c r="H23236" s="238"/>
      <c r="I23236" s="237"/>
    </row>
    <row r="23237" spans="1:9" s="232" customFormat="1" ht="17" customHeight="1">
      <c r="A23237" s="234"/>
      <c r="B23237" s="233"/>
      <c r="C23237" s="238"/>
      <c r="E23237" s="545"/>
      <c r="F23237" s="546"/>
      <c r="G23237" s="234"/>
      <c r="H23237" s="238"/>
      <c r="I23237" s="237"/>
    </row>
    <row r="23238" spans="1:9" s="232" customFormat="1" ht="17" customHeight="1">
      <c r="A23238" s="234"/>
      <c r="B23238" s="233"/>
      <c r="C23238" s="238"/>
      <c r="E23238" s="545"/>
      <c r="F23238" s="546"/>
      <c r="G23238" s="234"/>
      <c r="H23238" s="238"/>
      <c r="I23238" s="237"/>
    </row>
    <row r="23239" spans="1:9" s="232" customFormat="1" ht="17" customHeight="1">
      <c r="A23239" s="234"/>
      <c r="B23239" s="233"/>
      <c r="C23239" s="238"/>
      <c r="E23239" s="545"/>
      <c r="F23239" s="546"/>
      <c r="G23239" s="234"/>
      <c r="H23239" s="238"/>
      <c r="I23239" s="237"/>
    </row>
    <row r="23240" spans="1:9" s="232" customFormat="1" ht="17" customHeight="1">
      <c r="A23240" s="234"/>
      <c r="B23240" s="233"/>
      <c r="C23240" s="238"/>
      <c r="E23240" s="545"/>
      <c r="F23240" s="546"/>
      <c r="G23240" s="234"/>
      <c r="H23240" s="238"/>
      <c r="I23240" s="237"/>
    </row>
    <row r="23241" spans="1:9" s="232" customFormat="1" ht="17" customHeight="1">
      <c r="A23241" s="234"/>
      <c r="B23241" s="233"/>
      <c r="C23241" s="238"/>
      <c r="E23241" s="545"/>
      <c r="F23241" s="546"/>
      <c r="G23241" s="234"/>
      <c r="H23241" s="238"/>
      <c r="I23241" s="237"/>
    </row>
    <row r="23242" spans="1:9" s="232" customFormat="1" ht="17" customHeight="1">
      <c r="A23242" s="234"/>
      <c r="B23242" s="233"/>
      <c r="C23242" s="238"/>
      <c r="E23242" s="545"/>
      <c r="F23242" s="546"/>
      <c r="G23242" s="234"/>
      <c r="H23242" s="238"/>
      <c r="I23242" s="237"/>
    </row>
    <row r="23243" spans="1:9" s="232" customFormat="1" ht="17" customHeight="1">
      <c r="A23243" s="234"/>
      <c r="B23243" s="233"/>
      <c r="C23243" s="238"/>
      <c r="E23243" s="545"/>
      <c r="F23243" s="546"/>
      <c r="G23243" s="234"/>
      <c r="H23243" s="238"/>
      <c r="I23243" s="237"/>
    </row>
    <row r="23244" spans="1:9" s="232" customFormat="1" ht="17" customHeight="1">
      <c r="A23244" s="234"/>
      <c r="B23244" s="233"/>
      <c r="C23244" s="238"/>
      <c r="E23244" s="545"/>
      <c r="F23244" s="546"/>
      <c r="G23244" s="234"/>
      <c r="H23244" s="238"/>
      <c r="I23244" s="237"/>
    </row>
    <row r="23245" spans="1:9" s="232" customFormat="1" ht="17" customHeight="1">
      <c r="A23245" s="234"/>
      <c r="B23245" s="233"/>
      <c r="C23245" s="238"/>
      <c r="E23245" s="545"/>
      <c r="F23245" s="546"/>
      <c r="G23245" s="234"/>
      <c r="H23245" s="238"/>
      <c r="I23245" s="237"/>
    </row>
    <row r="23246" spans="1:9" s="232" customFormat="1" ht="17" customHeight="1">
      <c r="A23246" s="234"/>
      <c r="B23246" s="233"/>
      <c r="C23246" s="238"/>
      <c r="E23246" s="545"/>
      <c r="F23246" s="546"/>
      <c r="G23246" s="234"/>
      <c r="H23246" s="238"/>
      <c r="I23246" s="237"/>
    </row>
    <row r="23247" spans="1:9" s="232" customFormat="1" ht="17" customHeight="1">
      <c r="A23247" s="234"/>
      <c r="B23247" s="233"/>
      <c r="C23247" s="238"/>
      <c r="E23247" s="545"/>
      <c r="F23247" s="546"/>
      <c r="G23247" s="234"/>
      <c r="H23247" s="238"/>
      <c r="I23247" s="237"/>
    </row>
    <row r="23248" spans="1:9" s="232" customFormat="1" ht="17" customHeight="1">
      <c r="A23248" s="234"/>
      <c r="B23248" s="233"/>
      <c r="C23248" s="238"/>
      <c r="E23248" s="545"/>
      <c r="F23248" s="546"/>
      <c r="G23248" s="234"/>
      <c r="H23248" s="238"/>
      <c r="I23248" s="237"/>
    </row>
    <row r="23249" spans="1:9" s="232" customFormat="1" ht="17" customHeight="1">
      <c r="A23249" s="234"/>
      <c r="B23249" s="233"/>
      <c r="C23249" s="238"/>
      <c r="E23249" s="545"/>
      <c r="F23249" s="546"/>
      <c r="G23249" s="234"/>
      <c r="H23249" s="238"/>
      <c r="I23249" s="237"/>
    </row>
    <row r="23250" spans="1:9" s="232" customFormat="1" ht="17" customHeight="1">
      <c r="A23250" s="234"/>
      <c r="B23250" s="233"/>
      <c r="C23250" s="238"/>
      <c r="E23250" s="545"/>
      <c r="F23250" s="546"/>
      <c r="G23250" s="234"/>
      <c r="H23250" s="238"/>
      <c r="I23250" s="237"/>
    </row>
    <row r="23251" spans="1:9" s="232" customFormat="1" ht="17" customHeight="1">
      <c r="A23251" s="234"/>
      <c r="B23251" s="233"/>
      <c r="C23251" s="238"/>
      <c r="E23251" s="545"/>
      <c r="F23251" s="546"/>
      <c r="G23251" s="234"/>
      <c r="H23251" s="238"/>
      <c r="I23251" s="237"/>
    </row>
    <row r="23252" spans="1:9" s="232" customFormat="1" ht="17" customHeight="1">
      <c r="A23252" s="234"/>
      <c r="B23252" s="233"/>
      <c r="C23252" s="238"/>
      <c r="E23252" s="545"/>
      <c r="F23252" s="546"/>
      <c r="G23252" s="234"/>
      <c r="H23252" s="238"/>
      <c r="I23252" s="237"/>
    </row>
    <row r="23253" spans="1:9" s="232" customFormat="1" ht="17" customHeight="1">
      <c r="A23253" s="234"/>
      <c r="B23253" s="233"/>
      <c r="C23253" s="238"/>
      <c r="E23253" s="545"/>
      <c r="F23253" s="546"/>
      <c r="G23253" s="234"/>
      <c r="H23253" s="238"/>
      <c r="I23253" s="237"/>
    </row>
    <row r="23254" spans="1:9" s="232" customFormat="1" ht="17" customHeight="1">
      <c r="A23254" s="234"/>
      <c r="B23254" s="233"/>
      <c r="C23254" s="238"/>
      <c r="E23254" s="545"/>
      <c r="F23254" s="546"/>
      <c r="G23254" s="234"/>
      <c r="H23254" s="238"/>
      <c r="I23254" s="237"/>
    </row>
    <row r="23255" spans="1:9" s="232" customFormat="1" ht="17" customHeight="1">
      <c r="A23255" s="234"/>
      <c r="B23255" s="233"/>
      <c r="C23255" s="238"/>
      <c r="E23255" s="545"/>
      <c r="F23255" s="546"/>
      <c r="G23255" s="234"/>
      <c r="H23255" s="238"/>
      <c r="I23255" s="237"/>
    </row>
    <row r="23256" spans="1:9" s="232" customFormat="1" ht="17" customHeight="1">
      <c r="A23256" s="234"/>
      <c r="B23256" s="233"/>
      <c r="C23256" s="238"/>
      <c r="E23256" s="545"/>
      <c r="F23256" s="546"/>
      <c r="G23256" s="234"/>
      <c r="H23256" s="238"/>
      <c r="I23256" s="237"/>
    </row>
    <row r="23257" spans="1:9" s="232" customFormat="1" ht="17" customHeight="1">
      <c r="A23257" s="234"/>
      <c r="B23257" s="233"/>
      <c r="C23257" s="238"/>
      <c r="E23257" s="545"/>
      <c r="F23257" s="546"/>
      <c r="G23257" s="234"/>
      <c r="H23257" s="238"/>
      <c r="I23257" s="237"/>
    </row>
    <row r="23258" spans="1:9" s="232" customFormat="1" ht="17" customHeight="1">
      <c r="A23258" s="234"/>
      <c r="B23258" s="233"/>
      <c r="C23258" s="238"/>
      <c r="E23258" s="545"/>
      <c r="F23258" s="546"/>
      <c r="G23258" s="234"/>
      <c r="H23258" s="238"/>
      <c r="I23258" s="237"/>
    </row>
    <row r="23259" spans="1:9" s="232" customFormat="1" ht="17" customHeight="1">
      <c r="A23259" s="234"/>
      <c r="B23259" s="233"/>
      <c r="C23259" s="238"/>
      <c r="E23259" s="545"/>
      <c r="F23259" s="546"/>
      <c r="G23259" s="234"/>
      <c r="H23259" s="238"/>
      <c r="I23259" s="237"/>
    </row>
    <row r="23260" spans="1:9" s="232" customFormat="1" ht="17" customHeight="1">
      <c r="A23260" s="234"/>
      <c r="B23260" s="233"/>
      <c r="C23260" s="238"/>
      <c r="E23260" s="545"/>
      <c r="F23260" s="546"/>
      <c r="G23260" s="234"/>
      <c r="H23260" s="238"/>
      <c r="I23260" s="237"/>
    </row>
    <row r="23261" spans="1:9" s="232" customFormat="1" ht="17" customHeight="1">
      <c r="A23261" s="234"/>
      <c r="B23261" s="233"/>
      <c r="C23261" s="238"/>
      <c r="E23261" s="545"/>
      <c r="F23261" s="546"/>
      <c r="G23261" s="234"/>
      <c r="H23261" s="238"/>
      <c r="I23261" s="237"/>
    </row>
    <row r="23262" spans="1:9" s="232" customFormat="1" ht="17" customHeight="1">
      <c r="A23262" s="234"/>
      <c r="B23262" s="233"/>
      <c r="C23262" s="238"/>
      <c r="E23262" s="545"/>
      <c r="F23262" s="546"/>
      <c r="G23262" s="234"/>
      <c r="H23262" s="238"/>
      <c r="I23262" s="237"/>
    </row>
    <row r="23263" spans="1:9" s="232" customFormat="1" ht="17" customHeight="1">
      <c r="A23263" s="234"/>
      <c r="B23263" s="233"/>
      <c r="C23263" s="238"/>
      <c r="E23263" s="545"/>
      <c r="F23263" s="546"/>
      <c r="G23263" s="234"/>
      <c r="H23263" s="238"/>
      <c r="I23263" s="237"/>
    </row>
    <row r="23264" spans="1:9" s="232" customFormat="1" ht="17" customHeight="1">
      <c r="A23264" s="234"/>
      <c r="B23264" s="233"/>
      <c r="C23264" s="238"/>
      <c r="E23264" s="545"/>
      <c r="F23264" s="546"/>
      <c r="G23264" s="234"/>
      <c r="H23264" s="238"/>
      <c r="I23264" s="237"/>
    </row>
    <row r="23265" spans="1:9" s="232" customFormat="1" ht="17" customHeight="1">
      <c r="A23265" s="234"/>
      <c r="B23265" s="233"/>
      <c r="C23265" s="238"/>
      <c r="E23265" s="545"/>
      <c r="F23265" s="546"/>
      <c r="G23265" s="234"/>
      <c r="H23265" s="238"/>
      <c r="I23265" s="237"/>
    </row>
    <row r="23266" spans="1:9" s="232" customFormat="1" ht="17" customHeight="1">
      <c r="A23266" s="234"/>
      <c r="B23266" s="233"/>
      <c r="C23266" s="238"/>
      <c r="E23266" s="545"/>
      <c r="F23266" s="546"/>
      <c r="G23266" s="234"/>
      <c r="H23266" s="238"/>
      <c r="I23266" s="237"/>
    </row>
    <row r="23267" spans="1:9" s="232" customFormat="1" ht="17" customHeight="1">
      <c r="A23267" s="234"/>
      <c r="B23267" s="233"/>
      <c r="C23267" s="238"/>
      <c r="E23267" s="545"/>
      <c r="F23267" s="546"/>
      <c r="G23267" s="234"/>
      <c r="H23267" s="238"/>
      <c r="I23267" s="237"/>
    </row>
    <row r="23268" spans="1:9" s="232" customFormat="1" ht="17" customHeight="1">
      <c r="A23268" s="234"/>
      <c r="B23268" s="233"/>
      <c r="C23268" s="238"/>
      <c r="E23268" s="545"/>
      <c r="F23268" s="546"/>
      <c r="G23268" s="234"/>
      <c r="H23268" s="238"/>
      <c r="I23268" s="237"/>
    </row>
    <row r="23269" spans="1:9" s="232" customFormat="1" ht="17" customHeight="1">
      <c r="A23269" s="234"/>
      <c r="B23269" s="233"/>
      <c r="C23269" s="238"/>
      <c r="E23269" s="545"/>
      <c r="F23269" s="546"/>
      <c r="G23269" s="234"/>
      <c r="H23269" s="238"/>
      <c r="I23269" s="237"/>
    </row>
    <row r="23270" spans="1:9" s="232" customFormat="1" ht="17" customHeight="1">
      <c r="A23270" s="234"/>
      <c r="B23270" s="233"/>
      <c r="C23270" s="238"/>
      <c r="E23270" s="545"/>
      <c r="F23270" s="546"/>
      <c r="G23270" s="234"/>
      <c r="H23270" s="238"/>
      <c r="I23270" s="237"/>
    </row>
    <row r="23271" spans="1:9" s="232" customFormat="1" ht="17" customHeight="1">
      <c r="A23271" s="234"/>
      <c r="B23271" s="233"/>
      <c r="C23271" s="238"/>
      <c r="E23271" s="545"/>
      <c r="F23271" s="546"/>
      <c r="G23271" s="234"/>
      <c r="H23271" s="238"/>
      <c r="I23271" s="237"/>
    </row>
    <row r="23272" spans="1:9" s="232" customFormat="1" ht="17" customHeight="1">
      <c r="A23272" s="234"/>
      <c r="B23272" s="233"/>
      <c r="C23272" s="238"/>
      <c r="E23272" s="545"/>
      <c r="F23272" s="546"/>
      <c r="G23272" s="234"/>
      <c r="H23272" s="238"/>
      <c r="I23272" s="237"/>
    </row>
    <row r="23273" spans="1:9" s="232" customFormat="1" ht="17" customHeight="1">
      <c r="A23273" s="234"/>
      <c r="B23273" s="233"/>
      <c r="C23273" s="238"/>
      <c r="E23273" s="545"/>
      <c r="F23273" s="546"/>
      <c r="G23273" s="234"/>
      <c r="H23273" s="238"/>
      <c r="I23273" s="237"/>
    </row>
    <row r="23274" spans="1:9" s="232" customFormat="1" ht="17" customHeight="1">
      <c r="A23274" s="234"/>
      <c r="B23274" s="233"/>
      <c r="C23274" s="238"/>
      <c r="E23274" s="545"/>
      <c r="F23274" s="546"/>
      <c r="G23274" s="234"/>
      <c r="H23274" s="238"/>
      <c r="I23274" s="237"/>
    </row>
    <row r="23275" spans="1:9" s="232" customFormat="1" ht="17" customHeight="1">
      <c r="A23275" s="234"/>
      <c r="B23275" s="233"/>
      <c r="C23275" s="238"/>
      <c r="E23275" s="545"/>
      <c r="F23275" s="546"/>
      <c r="G23275" s="234"/>
      <c r="H23275" s="238"/>
      <c r="I23275" s="237"/>
    </row>
    <row r="23276" spans="1:9" s="232" customFormat="1" ht="17" customHeight="1">
      <c r="A23276" s="234"/>
      <c r="B23276" s="233"/>
      <c r="C23276" s="238"/>
      <c r="E23276" s="545"/>
      <c r="F23276" s="546"/>
      <c r="G23276" s="234"/>
      <c r="H23276" s="238"/>
      <c r="I23276" s="237"/>
    </row>
    <row r="23277" spans="1:9" s="232" customFormat="1" ht="17" customHeight="1">
      <c r="A23277" s="234"/>
      <c r="B23277" s="233"/>
      <c r="C23277" s="238"/>
      <c r="E23277" s="545"/>
      <c r="F23277" s="546"/>
      <c r="G23277" s="234"/>
      <c r="H23277" s="238"/>
      <c r="I23277" s="237"/>
    </row>
    <row r="23278" spans="1:9" s="232" customFormat="1" ht="17" customHeight="1">
      <c r="A23278" s="234"/>
      <c r="B23278" s="233"/>
      <c r="C23278" s="238"/>
      <c r="E23278" s="545"/>
      <c r="F23278" s="546"/>
      <c r="G23278" s="234"/>
      <c r="H23278" s="238"/>
      <c r="I23278" s="237"/>
    </row>
    <row r="23279" spans="1:9" s="232" customFormat="1" ht="17" customHeight="1">
      <c r="A23279" s="234"/>
      <c r="B23279" s="233"/>
      <c r="C23279" s="238"/>
      <c r="E23279" s="545"/>
      <c r="F23279" s="546"/>
      <c r="G23279" s="234"/>
      <c r="H23279" s="238"/>
      <c r="I23279" s="237"/>
    </row>
    <row r="23280" spans="1:9" s="232" customFormat="1" ht="17" customHeight="1">
      <c r="A23280" s="234"/>
      <c r="B23280" s="233"/>
      <c r="C23280" s="238"/>
      <c r="E23280" s="545"/>
      <c r="F23280" s="546"/>
      <c r="G23280" s="234"/>
      <c r="H23280" s="238"/>
      <c r="I23280" s="237"/>
    </row>
    <row r="23281" spans="1:9" s="232" customFormat="1" ht="17" customHeight="1">
      <c r="A23281" s="234"/>
      <c r="B23281" s="233"/>
      <c r="C23281" s="238"/>
      <c r="E23281" s="545"/>
      <c r="F23281" s="546"/>
      <c r="G23281" s="234"/>
      <c r="H23281" s="238"/>
      <c r="I23281" s="237"/>
    </row>
    <row r="23282" spans="1:9" s="232" customFormat="1" ht="17" customHeight="1">
      <c r="A23282" s="234"/>
      <c r="B23282" s="233"/>
      <c r="C23282" s="238"/>
      <c r="E23282" s="545"/>
      <c r="F23282" s="546"/>
      <c r="G23282" s="234"/>
      <c r="H23282" s="238"/>
      <c r="I23282" s="237"/>
    </row>
    <row r="23283" spans="1:9" s="232" customFormat="1" ht="17" customHeight="1">
      <c r="A23283" s="234"/>
      <c r="B23283" s="233"/>
      <c r="C23283" s="238"/>
      <c r="E23283" s="545"/>
      <c r="F23283" s="546"/>
      <c r="G23283" s="234"/>
      <c r="H23283" s="238"/>
      <c r="I23283" s="237"/>
    </row>
    <row r="23284" spans="1:9" s="232" customFormat="1" ht="17" customHeight="1">
      <c r="A23284" s="234"/>
      <c r="B23284" s="233"/>
      <c r="C23284" s="238"/>
      <c r="E23284" s="545"/>
      <c r="F23284" s="546"/>
      <c r="G23284" s="234"/>
      <c r="H23284" s="238"/>
      <c r="I23284" s="237"/>
    </row>
    <row r="23285" spans="1:9" s="232" customFormat="1" ht="17" customHeight="1">
      <c r="A23285" s="234"/>
      <c r="B23285" s="233"/>
      <c r="C23285" s="238"/>
      <c r="E23285" s="545"/>
      <c r="F23285" s="546"/>
      <c r="G23285" s="234"/>
      <c r="H23285" s="238"/>
      <c r="I23285" s="237"/>
    </row>
    <row r="23286" spans="1:9" s="232" customFormat="1" ht="17" customHeight="1">
      <c r="A23286" s="234"/>
      <c r="B23286" s="233"/>
      <c r="C23286" s="238"/>
      <c r="E23286" s="545"/>
      <c r="F23286" s="546"/>
      <c r="G23286" s="234"/>
      <c r="H23286" s="238"/>
      <c r="I23286" s="237"/>
    </row>
    <row r="23287" spans="1:9" s="232" customFormat="1" ht="17" customHeight="1">
      <c r="A23287" s="234"/>
      <c r="B23287" s="233"/>
      <c r="C23287" s="238"/>
      <c r="E23287" s="545"/>
      <c r="F23287" s="546"/>
      <c r="G23287" s="234"/>
      <c r="H23287" s="238"/>
      <c r="I23287" s="237"/>
    </row>
    <row r="23288" spans="1:9" s="232" customFormat="1" ht="17" customHeight="1">
      <c r="A23288" s="234"/>
      <c r="B23288" s="233"/>
      <c r="C23288" s="238"/>
      <c r="E23288" s="545"/>
      <c r="F23288" s="546"/>
      <c r="G23288" s="234"/>
      <c r="H23288" s="238"/>
      <c r="I23288" s="237"/>
    </row>
    <row r="23289" spans="1:9" s="232" customFormat="1" ht="17" customHeight="1">
      <c r="A23289" s="234"/>
      <c r="B23289" s="233"/>
      <c r="C23289" s="238"/>
      <c r="E23289" s="545"/>
      <c r="F23289" s="546"/>
      <c r="G23289" s="234"/>
      <c r="H23289" s="238"/>
      <c r="I23289" s="237"/>
    </row>
    <row r="23290" spans="1:9" s="232" customFormat="1" ht="17" customHeight="1">
      <c r="A23290" s="234"/>
      <c r="B23290" s="233"/>
      <c r="C23290" s="238"/>
      <c r="E23290" s="545"/>
      <c r="F23290" s="546"/>
      <c r="G23290" s="234"/>
      <c r="H23290" s="238"/>
      <c r="I23290" s="237"/>
    </row>
    <row r="23291" spans="1:9" s="232" customFormat="1" ht="17" customHeight="1">
      <c r="A23291" s="234"/>
      <c r="B23291" s="233"/>
      <c r="C23291" s="238"/>
      <c r="E23291" s="545"/>
      <c r="F23291" s="546"/>
      <c r="G23291" s="234"/>
      <c r="H23291" s="238"/>
      <c r="I23291" s="237"/>
    </row>
    <row r="23292" spans="1:9" s="232" customFormat="1" ht="17" customHeight="1">
      <c r="A23292" s="234"/>
      <c r="B23292" s="233"/>
      <c r="C23292" s="238"/>
      <c r="E23292" s="545"/>
      <c r="F23292" s="546"/>
      <c r="G23292" s="234"/>
      <c r="H23292" s="238"/>
      <c r="I23292" s="237"/>
    </row>
    <row r="23293" spans="1:9" s="232" customFormat="1" ht="17" customHeight="1">
      <c r="A23293" s="234"/>
      <c r="B23293" s="233"/>
      <c r="C23293" s="238"/>
      <c r="E23293" s="545"/>
      <c r="F23293" s="546"/>
      <c r="G23293" s="234"/>
      <c r="H23293" s="238"/>
      <c r="I23293" s="237"/>
    </row>
    <row r="23294" spans="1:9" s="232" customFormat="1" ht="17" customHeight="1">
      <c r="A23294" s="234"/>
      <c r="B23294" s="233"/>
      <c r="C23294" s="238"/>
      <c r="E23294" s="545"/>
      <c r="F23294" s="546"/>
      <c r="G23294" s="234"/>
      <c r="H23294" s="238"/>
      <c r="I23294" s="237"/>
    </row>
    <row r="23295" spans="1:9" s="232" customFormat="1" ht="17" customHeight="1">
      <c r="A23295" s="234"/>
      <c r="B23295" s="233"/>
      <c r="C23295" s="238"/>
      <c r="E23295" s="545"/>
      <c r="F23295" s="546"/>
      <c r="G23295" s="234"/>
      <c r="H23295" s="238"/>
      <c r="I23295" s="237"/>
    </row>
    <row r="23296" spans="1:9" s="232" customFormat="1" ht="17" customHeight="1">
      <c r="A23296" s="234"/>
      <c r="B23296" s="233"/>
      <c r="C23296" s="238"/>
      <c r="E23296" s="545"/>
      <c r="F23296" s="546"/>
      <c r="G23296" s="234"/>
      <c r="H23296" s="238"/>
      <c r="I23296" s="237"/>
    </row>
    <row r="23297" spans="1:9" s="232" customFormat="1" ht="17" customHeight="1">
      <c r="A23297" s="234"/>
      <c r="B23297" s="233"/>
      <c r="C23297" s="238"/>
      <c r="E23297" s="545"/>
      <c r="F23297" s="546"/>
      <c r="G23297" s="234"/>
      <c r="H23297" s="238"/>
      <c r="I23297" s="237"/>
    </row>
    <row r="23298" spans="1:9" s="232" customFormat="1" ht="17" customHeight="1">
      <c r="A23298" s="234"/>
      <c r="B23298" s="233"/>
      <c r="C23298" s="238"/>
      <c r="E23298" s="545"/>
      <c r="F23298" s="546"/>
      <c r="G23298" s="234"/>
      <c r="H23298" s="238"/>
      <c r="I23298" s="237"/>
    </row>
    <row r="23299" spans="1:9" s="232" customFormat="1" ht="17" customHeight="1">
      <c r="A23299" s="234"/>
      <c r="B23299" s="233"/>
      <c r="C23299" s="238"/>
      <c r="E23299" s="545"/>
      <c r="F23299" s="546"/>
      <c r="G23299" s="234"/>
      <c r="H23299" s="238"/>
      <c r="I23299" s="237"/>
    </row>
    <row r="23300" spans="1:9" s="232" customFormat="1" ht="17" customHeight="1">
      <c r="A23300" s="234"/>
      <c r="B23300" s="233"/>
      <c r="C23300" s="238"/>
      <c r="E23300" s="545"/>
      <c r="F23300" s="546"/>
      <c r="G23300" s="234"/>
      <c r="H23300" s="238"/>
      <c r="I23300" s="237"/>
    </row>
    <row r="23301" spans="1:9" s="232" customFormat="1" ht="17" customHeight="1">
      <c r="A23301" s="234"/>
      <c r="B23301" s="233"/>
      <c r="C23301" s="238"/>
      <c r="E23301" s="545"/>
      <c r="F23301" s="546"/>
      <c r="G23301" s="234"/>
      <c r="H23301" s="238"/>
      <c r="I23301" s="237"/>
    </row>
    <row r="23302" spans="1:9" s="232" customFormat="1" ht="17" customHeight="1">
      <c r="A23302" s="234"/>
      <c r="B23302" s="233"/>
      <c r="C23302" s="238"/>
      <c r="E23302" s="545"/>
      <c r="F23302" s="546"/>
      <c r="G23302" s="234"/>
      <c r="H23302" s="238"/>
      <c r="I23302" s="237"/>
    </row>
    <row r="23303" spans="1:9" s="232" customFormat="1" ht="17" customHeight="1">
      <c r="A23303" s="234"/>
      <c r="B23303" s="233"/>
      <c r="C23303" s="238"/>
      <c r="E23303" s="545"/>
      <c r="F23303" s="546"/>
      <c r="G23303" s="234"/>
      <c r="H23303" s="238"/>
      <c r="I23303" s="237"/>
    </row>
    <row r="23304" spans="1:9" s="232" customFormat="1" ht="17" customHeight="1">
      <c r="A23304" s="234"/>
      <c r="B23304" s="233"/>
      <c r="C23304" s="238"/>
      <c r="E23304" s="545"/>
      <c r="F23304" s="546"/>
      <c r="G23304" s="234"/>
      <c r="H23304" s="238"/>
      <c r="I23304" s="237"/>
    </row>
    <row r="23305" spans="1:9" s="232" customFormat="1" ht="17" customHeight="1">
      <c r="A23305" s="234"/>
      <c r="B23305" s="233"/>
      <c r="C23305" s="238"/>
      <c r="E23305" s="545"/>
      <c r="F23305" s="546"/>
      <c r="G23305" s="234"/>
      <c r="H23305" s="238"/>
      <c r="I23305" s="237"/>
    </row>
    <row r="23306" spans="1:9" s="232" customFormat="1" ht="17" customHeight="1">
      <c r="A23306" s="234"/>
      <c r="B23306" s="233"/>
      <c r="C23306" s="238"/>
      <c r="E23306" s="545"/>
      <c r="F23306" s="546"/>
      <c r="G23306" s="234"/>
      <c r="H23306" s="238"/>
      <c r="I23306" s="237"/>
    </row>
    <row r="23307" spans="1:9" s="232" customFormat="1" ht="17" customHeight="1">
      <c r="A23307" s="234"/>
      <c r="B23307" s="233"/>
      <c r="C23307" s="238"/>
      <c r="E23307" s="545"/>
      <c r="F23307" s="546"/>
      <c r="G23307" s="234"/>
      <c r="H23307" s="238"/>
      <c r="I23307" s="237"/>
    </row>
    <row r="23308" spans="1:9" s="232" customFormat="1" ht="17" customHeight="1">
      <c r="A23308" s="234"/>
      <c r="B23308" s="233"/>
      <c r="C23308" s="238"/>
      <c r="E23308" s="545"/>
      <c r="F23308" s="546"/>
      <c r="G23308" s="234"/>
      <c r="H23308" s="238"/>
      <c r="I23308" s="237"/>
    </row>
    <row r="23309" spans="1:9" s="232" customFormat="1" ht="17" customHeight="1">
      <c r="A23309" s="234"/>
      <c r="B23309" s="233"/>
      <c r="C23309" s="238"/>
      <c r="E23309" s="545"/>
      <c r="F23309" s="546"/>
      <c r="G23309" s="234"/>
      <c r="H23309" s="238"/>
      <c r="I23309" s="237"/>
    </row>
    <row r="23310" spans="1:9" s="232" customFormat="1" ht="17" customHeight="1">
      <c r="A23310" s="234"/>
      <c r="B23310" s="233"/>
      <c r="C23310" s="238"/>
      <c r="E23310" s="545"/>
      <c r="F23310" s="546"/>
      <c r="G23310" s="234"/>
      <c r="H23310" s="238"/>
      <c r="I23310" s="237"/>
    </row>
    <row r="23311" spans="1:9" s="232" customFormat="1" ht="17" customHeight="1">
      <c r="A23311" s="234"/>
      <c r="B23311" s="233"/>
      <c r="C23311" s="238"/>
      <c r="E23311" s="545"/>
      <c r="F23311" s="546"/>
      <c r="G23311" s="234"/>
      <c r="H23311" s="238"/>
      <c r="I23311" s="237"/>
    </row>
    <row r="23312" spans="1:9" s="232" customFormat="1" ht="17" customHeight="1">
      <c r="A23312" s="234"/>
      <c r="B23312" s="233"/>
      <c r="C23312" s="238"/>
      <c r="E23312" s="545"/>
      <c r="F23312" s="546"/>
      <c r="G23312" s="234"/>
      <c r="H23312" s="238"/>
      <c r="I23312" s="237"/>
    </row>
    <row r="23313" spans="1:9" s="232" customFormat="1" ht="17" customHeight="1">
      <c r="A23313" s="234"/>
      <c r="B23313" s="233"/>
      <c r="C23313" s="238"/>
      <c r="E23313" s="545"/>
      <c r="F23313" s="546"/>
      <c r="G23313" s="234"/>
      <c r="H23313" s="238"/>
      <c r="I23313" s="237"/>
    </row>
    <row r="23314" spans="1:9" s="232" customFormat="1" ht="17" customHeight="1">
      <c r="A23314" s="234"/>
      <c r="B23314" s="233"/>
      <c r="C23314" s="238"/>
      <c r="E23314" s="545"/>
      <c r="F23314" s="546"/>
      <c r="G23314" s="234"/>
      <c r="H23314" s="238"/>
      <c r="I23314" s="237"/>
    </row>
    <row r="23315" spans="1:9" s="232" customFormat="1" ht="17" customHeight="1">
      <c r="A23315" s="234"/>
      <c r="B23315" s="233"/>
      <c r="C23315" s="238"/>
      <c r="E23315" s="545"/>
      <c r="F23315" s="546"/>
      <c r="G23315" s="234"/>
      <c r="H23315" s="238"/>
      <c r="I23315" s="237"/>
    </row>
    <row r="23316" spans="1:9" s="232" customFormat="1" ht="17" customHeight="1">
      <c r="A23316" s="234"/>
      <c r="B23316" s="233"/>
      <c r="C23316" s="238"/>
      <c r="E23316" s="545"/>
      <c r="F23316" s="546"/>
      <c r="G23316" s="234"/>
      <c r="H23316" s="238"/>
      <c r="I23316" s="237"/>
    </row>
    <row r="23317" spans="1:9" s="232" customFormat="1" ht="17" customHeight="1">
      <c r="A23317" s="234"/>
      <c r="B23317" s="233"/>
      <c r="C23317" s="238"/>
      <c r="E23317" s="545"/>
      <c r="F23317" s="546"/>
      <c r="G23317" s="234"/>
      <c r="H23317" s="238"/>
      <c r="I23317" s="237"/>
    </row>
    <row r="23318" spans="1:9" s="232" customFormat="1" ht="17" customHeight="1">
      <c r="A23318" s="234"/>
      <c r="B23318" s="233"/>
      <c r="C23318" s="238"/>
      <c r="E23318" s="545"/>
      <c r="F23318" s="546"/>
      <c r="G23318" s="234"/>
      <c r="H23318" s="238"/>
      <c r="I23318" s="237"/>
    </row>
    <row r="23319" spans="1:9" s="232" customFormat="1" ht="17" customHeight="1">
      <c r="A23319" s="234"/>
      <c r="B23319" s="233"/>
      <c r="C23319" s="238"/>
      <c r="E23319" s="545"/>
      <c r="F23319" s="546"/>
      <c r="G23319" s="234"/>
      <c r="H23319" s="238"/>
      <c r="I23319" s="237"/>
    </row>
    <row r="23320" spans="1:9" s="232" customFormat="1" ht="17" customHeight="1">
      <c r="A23320" s="234"/>
      <c r="B23320" s="233"/>
      <c r="C23320" s="238"/>
      <c r="E23320" s="545"/>
      <c r="F23320" s="546"/>
      <c r="G23320" s="234"/>
      <c r="H23320" s="238"/>
      <c r="I23320" s="237"/>
    </row>
    <row r="23321" spans="1:9" s="232" customFormat="1" ht="17" customHeight="1">
      <c r="A23321" s="234"/>
      <c r="B23321" s="233"/>
      <c r="C23321" s="238"/>
      <c r="E23321" s="545"/>
      <c r="F23321" s="546"/>
      <c r="G23321" s="234"/>
      <c r="H23321" s="238"/>
      <c r="I23321" s="237"/>
    </row>
    <row r="23322" spans="1:9" s="232" customFormat="1" ht="17" customHeight="1">
      <c r="A23322" s="234"/>
      <c r="B23322" s="233"/>
      <c r="C23322" s="238"/>
      <c r="E23322" s="545"/>
      <c r="F23322" s="546"/>
      <c r="G23322" s="234"/>
      <c r="H23322" s="238"/>
      <c r="I23322" s="237"/>
    </row>
    <row r="23323" spans="1:9" s="232" customFormat="1" ht="17" customHeight="1">
      <c r="A23323" s="234"/>
      <c r="B23323" s="233"/>
      <c r="C23323" s="238"/>
      <c r="E23323" s="545"/>
      <c r="F23323" s="546"/>
      <c r="G23323" s="234"/>
      <c r="H23323" s="238"/>
      <c r="I23323" s="237"/>
    </row>
    <row r="23324" spans="1:9" s="232" customFormat="1" ht="17" customHeight="1">
      <c r="A23324" s="234"/>
      <c r="B23324" s="233"/>
      <c r="C23324" s="238"/>
      <c r="E23324" s="545"/>
      <c r="F23324" s="546"/>
      <c r="G23324" s="234"/>
      <c r="H23324" s="238"/>
      <c r="I23324" s="237"/>
    </row>
    <row r="23325" spans="1:9" s="232" customFormat="1" ht="17" customHeight="1">
      <c r="A23325" s="234"/>
      <c r="B23325" s="233"/>
      <c r="C23325" s="238"/>
      <c r="E23325" s="545"/>
      <c r="F23325" s="546"/>
      <c r="G23325" s="234"/>
      <c r="H23325" s="238"/>
      <c r="I23325" s="237"/>
    </row>
    <row r="23326" spans="1:9" s="232" customFormat="1" ht="17" customHeight="1">
      <c r="A23326" s="234"/>
      <c r="B23326" s="233"/>
      <c r="C23326" s="238"/>
      <c r="E23326" s="545"/>
      <c r="F23326" s="546"/>
      <c r="G23326" s="234"/>
      <c r="H23326" s="238"/>
      <c r="I23326" s="237"/>
    </row>
    <row r="23327" spans="1:9" s="232" customFormat="1" ht="17" customHeight="1">
      <c r="A23327" s="234"/>
      <c r="B23327" s="233"/>
      <c r="C23327" s="238"/>
      <c r="E23327" s="545"/>
      <c r="F23327" s="546"/>
      <c r="G23327" s="234"/>
      <c r="H23327" s="238"/>
      <c r="I23327" s="237"/>
    </row>
    <row r="23328" spans="1:9" s="232" customFormat="1" ht="17" customHeight="1">
      <c r="A23328" s="234"/>
      <c r="B23328" s="233"/>
      <c r="C23328" s="238"/>
      <c r="E23328" s="545"/>
      <c r="F23328" s="546"/>
      <c r="G23328" s="234"/>
      <c r="H23328" s="238"/>
      <c r="I23328" s="237"/>
    </row>
    <row r="23329" spans="1:9" s="232" customFormat="1" ht="17" customHeight="1">
      <c r="A23329" s="234"/>
      <c r="B23329" s="233"/>
      <c r="C23329" s="238"/>
      <c r="E23329" s="545"/>
      <c r="F23329" s="546"/>
      <c r="G23329" s="234"/>
      <c r="H23329" s="238"/>
      <c r="I23329" s="237"/>
    </row>
    <row r="23330" spans="1:9" s="232" customFormat="1" ht="17" customHeight="1">
      <c r="A23330" s="234"/>
      <c r="B23330" s="233"/>
      <c r="C23330" s="238"/>
      <c r="E23330" s="545"/>
      <c r="F23330" s="546"/>
      <c r="G23330" s="234"/>
      <c r="H23330" s="238"/>
      <c r="I23330" s="237"/>
    </row>
    <row r="23331" spans="1:9" s="232" customFormat="1" ht="17" customHeight="1">
      <c r="A23331" s="234"/>
      <c r="B23331" s="233"/>
      <c r="C23331" s="238"/>
      <c r="E23331" s="545"/>
      <c r="F23331" s="546"/>
      <c r="G23331" s="234"/>
      <c r="H23331" s="238"/>
      <c r="I23331" s="237"/>
    </row>
    <row r="23332" spans="1:9" s="232" customFormat="1" ht="17" customHeight="1">
      <c r="A23332" s="234"/>
      <c r="B23332" s="233"/>
      <c r="C23332" s="238"/>
      <c r="E23332" s="545"/>
      <c r="F23332" s="546"/>
      <c r="G23332" s="234"/>
      <c r="H23332" s="238"/>
      <c r="I23332" s="237"/>
    </row>
    <row r="23333" spans="1:9" s="232" customFormat="1" ht="17" customHeight="1">
      <c r="A23333" s="234"/>
      <c r="B23333" s="233"/>
      <c r="C23333" s="238"/>
      <c r="E23333" s="545"/>
      <c r="F23333" s="546"/>
      <c r="G23333" s="234"/>
      <c r="H23333" s="238"/>
      <c r="I23333" s="237"/>
    </row>
    <row r="23334" spans="1:9" s="232" customFormat="1" ht="17" customHeight="1">
      <c r="A23334" s="234"/>
      <c r="B23334" s="233"/>
      <c r="C23334" s="238"/>
      <c r="E23334" s="545"/>
      <c r="F23334" s="546"/>
      <c r="G23334" s="234"/>
      <c r="H23334" s="238"/>
      <c r="I23334" s="237"/>
    </row>
    <row r="23335" spans="1:9" s="232" customFormat="1" ht="17" customHeight="1">
      <c r="A23335" s="234"/>
      <c r="B23335" s="233"/>
      <c r="C23335" s="238"/>
      <c r="E23335" s="545"/>
      <c r="F23335" s="546"/>
      <c r="G23335" s="234"/>
      <c r="H23335" s="238"/>
      <c r="I23335" s="237"/>
    </row>
    <row r="23336" spans="1:9" s="232" customFormat="1" ht="17" customHeight="1">
      <c r="A23336" s="234"/>
      <c r="B23336" s="233"/>
      <c r="C23336" s="238"/>
      <c r="E23336" s="545"/>
      <c r="F23336" s="546"/>
      <c r="G23336" s="234"/>
      <c r="H23336" s="238"/>
      <c r="I23336" s="237"/>
    </row>
    <row r="23337" spans="1:9" s="232" customFormat="1" ht="17" customHeight="1">
      <c r="A23337" s="234"/>
      <c r="B23337" s="233"/>
      <c r="C23337" s="238"/>
      <c r="E23337" s="545"/>
      <c r="F23337" s="546"/>
      <c r="G23337" s="234"/>
      <c r="H23337" s="238"/>
      <c r="I23337" s="237"/>
    </row>
    <row r="23338" spans="1:9" s="232" customFormat="1" ht="17" customHeight="1">
      <c r="A23338" s="234"/>
      <c r="B23338" s="233"/>
      <c r="C23338" s="238"/>
      <c r="E23338" s="545"/>
      <c r="F23338" s="546"/>
      <c r="G23338" s="234"/>
      <c r="H23338" s="238"/>
      <c r="I23338" s="237"/>
    </row>
    <row r="23339" spans="1:9" s="232" customFormat="1" ht="17" customHeight="1">
      <c r="A23339" s="234"/>
      <c r="B23339" s="233"/>
      <c r="C23339" s="238"/>
      <c r="E23339" s="545"/>
      <c r="F23339" s="546"/>
      <c r="G23339" s="234"/>
      <c r="H23339" s="238"/>
      <c r="I23339" s="237"/>
    </row>
    <row r="23340" spans="1:9" s="232" customFormat="1" ht="17" customHeight="1">
      <c r="A23340" s="234"/>
      <c r="B23340" s="233"/>
      <c r="C23340" s="238"/>
      <c r="E23340" s="545"/>
      <c r="F23340" s="546"/>
      <c r="G23340" s="234"/>
      <c r="H23340" s="238"/>
      <c r="I23340" s="237"/>
    </row>
    <row r="23341" spans="1:9" s="232" customFormat="1" ht="17" customHeight="1">
      <c r="A23341" s="234"/>
      <c r="B23341" s="233"/>
      <c r="C23341" s="238"/>
      <c r="E23341" s="545"/>
      <c r="F23341" s="546"/>
      <c r="G23341" s="234"/>
      <c r="H23341" s="238"/>
      <c r="I23341" s="237"/>
    </row>
    <row r="23342" spans="1:9" s="232" customFormat="1" ht="17" customHeight="1">
      <c r="A23342" s="234"/>
      <c r="B23342" s="233"/>
      <c r="C23342" s="238"/>
      <c r="E23342" s="545"/>
      <c r="F23342" s="546"/>
      <c r="G23342" s="234"/>
      <c r="H23342" s="238"/>
      <c r="I23342" s="237"/>
    </row>
    <row r="23343" spans="1:9" s="232" customFormat="1" ht="17" customHeight="1">
      <c r="A23343" s="234"/>
      <c r="B23343" s="233"/>
      <c r="C23343" s="238"/>
      <c r="E23343" s="545"/>
      <c r="F23343" s="546"/>
      <c r="G23343" s="234"/>
      <c r="H23343" s="238"/>
      <c r="I23343" s="237"/>
    </row>
    <row r="23344" spans="1:9" s="232" customFormat="1" ht="17" customHeight="1">
      <c r="A23344" s="234"/>
      <c r="B23344" s="233"/>
      <c r="C23344" s="238"/>
      <c r="E23344" s="545"/>
      <c r="F23344" s="546"/>
      <c r="G23344" s="234"/>
      <c r="H23344" s="238"/>
      <c r="I23344" s="237"/>
    </row>
    <row r="23345" spans="1:9" s="232" customFormat="1" ht="17" customHeight="1">
      <c r="A23345" s="234"/>
      <c r="B23345" s="233"/>
      <c r="C23345" s="238"/>
      <c r="E23345" s="545"/>
      <c r="F23345" s="546"/>
      <c r="G23345" s="234"/>
      <c r="H23345" s="238"/>
      <c r="I23345" s="237"/>
    </row>
    <row r="23346" spans="1:9" s="232" customFormat="1" ht="17" customHeight="1">
      <c r="A23346" s="234"/>
      <c r="B23346" s="233"/>
      <c r="C23346" s="238"/>
      <c r="E23346" s="545"/>
      <c r="F23346" s="546"/>
      <c r="G23346" s="234"/>
      <c r="H23346" s="238"/>
      <c r="I23346" s="237"/>
    </row>
    <row r="23347" spans="1:9" s="232" customFormat="1" ht="17" customHeight="1">
      <c r="A23347" s="234"/>
      <c r="B23347" s="233"/>
      <c r="C23347" s="238"/>
      <c r="E23347" s="545"/>
      <c r="F23347" s="546"/>
      <c r="G23347" s="234"/>
      <c r="H23347" s="238"/>
      <c r="I23347" s="237"/>
    </row>
    <row r="23348" spans="1:9" s="232" customFormat="1" ht="17" customHeight="1">
      <c r="A23348" s="234"/>
      <c r="B23348" s="233"/>
      <c r="C23348" s="238"/>
      <c r="E23348" s="545"/>
      <c r="F23348" s="546"/>
      <c r="G23348" s="234"/>
      <c r="H23348" s="238"/>
      <c r="I23348" s="237"/>
    </row>
    <row r="23349" spans="1:9" s="232" customFormat="1" ht="17" customHeight="1">
      <c r="A23349" s="234"/>
      <c r="B23349" s="233"/>
      <c r="C23349" s="238"/>
      <c r="E23349" s="545"/>
      <c r="F23349" s="546"/>
      <c r="G23349" s="234"/>
      <c r="H23349" s="238"/>
      <c r="I23349" s="237"/>
    </row>
    <row r="23350" spans="1:9" s="232" customFormat="1" ht="17" customHeight="1">
      <c r="A23350" s="234"/>
      <c r="B23350" s="233"/>
      <c r="C23350" s="238"/>
      <c r="E23350" s="545"/>
      <c r="F23350" s="546"/>
      <c r="G23350" s="234"/>
      <c r="H23350" s="238"/>
      <c r="I23350" s="237"/>
    </row>
    <row r="23351" spans="1:9" s="232" customFormat="1" ht="17" customHeight="1">
      <c r="A23351" s="234"/>
      <c r="B23351" s="233"/>
      <c r="C23351" s="238"/>
      <c r="E23351" s="545"/>
      <c r="F23351" s="546"/>
      <c r="G23351" s="234"/>
      <c r="H23351" s="238"/>
      <c r="I23351" s="237"/>
    </row>
    <row r="23352" spans="1:9" s="232" customFormat="1" ht="17" customHeight="1">
      <c r="A23352" s="234"/>
      <c r="B23352" s="233"/>
      <c r="C23352" s="238"/>
      <c r="E23352" s="545"/>
      <c r="F23352" s="546"/>
      <c r="G23352" s="234"/>
      <c r="H23352" s="238"/>
      <c r="I23352" s="237"/>
    </row>
    <row r="23353" spans="1:9" s="232" customFormat="1" ht="17" customHeight="1">
      <c r="A23353" s="234"/>
      <c r="B23353" s="233"/>
      <c r="C23353" s="238"/>
      <c r="E23353" s="545"/>
      <c r="F23353" s="546"/>
      <c r="G23353" s="234"/>
      <c r="H23353" s="238"/>
      <c r="I23353" s="237"/>
    </row>
    <row r="23354" spans="1:9" s="232" customFormat="1" ht="17" customHeight="1">
      <c r="A23354" s="234"/>
      <c r="B23354" s="233"/>
      <c r="C23354" s="238"/>
      <c r="E23354" s="545"/>
      <c r="F23354" s="546"/>
      <c r="G23354" s="234"/>
      <c r="H23354" s="238"/>
      <c r="I23354" s="237"/>
    </row>
    <row r="23355" spans="1:9" s="232" customFormat="1" ht="17" customHeight="1">
      <c r="A23355" s="234"/>
      <c r="B23355" s="233"/>
      <c r="C23355" s="238"/>
      <c r="E23355" s="545"/>
      <c r="F23355" s="546"/>
      <c r="G23355" s="234"/>
      <c r="H23355" s="238"/>
      <c r="I23355" s="237"/>
    </row>
    <row r="23356" spans="1:9" s="232" customFormat="1" ht="17" customHeight="1">
      <c r="A23356" s="234"/>
      <c r="B23356" s="233"/>
      <c r="C23356" s="238"/>
      <c r="E23356" s="545"/>
      <c r="F23356" s="546"/>
      <c r="G23356" s="234"/>
      <c r="H23356" s="238"/>
      <c r="I23356" s="237"/>
    </row>
    <row r="23357" spans="1:9" s="232" customFormat="1" ht="17" customHeight="1">
      <c r="A23357" s="234"/>
      <c r="B23357" s="233"/>
      <c r="C23357" s="238"/>
      <c r="E23357" s="545"/>
      <c r="F23357" s="546"/>
      <c r="G23357" s="234"/>
      <c r="H23357" s="238"/>
      <c r="I23357" s="237"/>
    </row>
    <row r="23358" spans="1:9" s="232" customFormat="1" ht="17" customHeight="1">
      <c r="A23358" s="234"/>
      <c r="B23358" s="233"/>
      <c r="C23358" s="238"/>
      <c r="E23358" s="545"/>
      <c r="F23358" s="546"/>
      <c r="G23358" s="234"/>
      <c r="H23358" s="238"/>
      <c r="I23358" s="237"/>
    </row>
    <row r="23359" spans="1:9" s="232" customFormat="1" ht="17" customHeight="1">
      <c r="A23359" s="234"/>
      <c r="B23359" s="233"/>
      <c r="C23359" s="238"/>
      <c r="E23359" s="545"/>
      <c r="F23359" s="546"/>
      <c r="G23359" s="234"/>
      <c r="H23359" s="238"/>
      <c r="I23359" s="237"/>
    </row>
    <row r="23360" spans="1:9" s="232" customFormat="1" ht="17" customHeight="1">
      <c r="A23360" s="234"/>
      <c r="B23360" s="233"/>
      <c r="C23360" s="238"/>
      <c r="E23360" s="545"/>
      <c r="F23360" s="546"/>
      <c r="G23360" s="234"/>
      <c r="H23360" s="238"/>
      <c r="I23360" s="237"/>
    </row>
    <row r="23361" spans="1:9" s="232" customFormat="1" ht="17" customHeight="1">
      <c r="A23361" s="234"/>
      <c r="B23361" s="233"/>
      <c r="C23361" s="238"/>
      <c r="E23361" s="545"/>
      <c r="F23361" s="546"/>
      <c r="G23361" s="234"/>
      <c r="H23361" s="238"/>
      <c r="I23361" s="237"/>
    </row>
    <row r="23362" spans="1:9" s="232" customFormat="1" ht="17" customHeight="1">
      <c r="A23362" s="234"/>
      <c r="B23362" s="233"/>
      <c r="C23362" s="238"/>
      <c r="E23362" s="545"/>
      <c r="F23362" s="546"/>
      <c r="G23362" s="234"/>
      <c r="H23362" s="238"/>
      <c r="I23362" s="237"/>
    </row>
    <row r="23363" spans="1:9" s="232" customFormat="1" ht="17" customHeight="1">
      <c r="A23363" s="234"/>
      <c r="B23363" s="233"/>
      <c r="C23363" s="238"/>
      <c r="E23363" s="545"/>
      <c r="F23363" s="546"/>
      <c r="G23363" s="234"/>
      <c r="H23363" s="238"/>
      <c r="I23363" s="237"/>
    </row>
    <row r="23364" spans="1:9" s="232" customFormat="1" ht="17" customHeight="1">
      <c r="A23364" s="234"/>
      <c r="B23364" s="233"/>
      <c r="C23364" s="238"/>
      <c r="E23364" s="545"/>
      <c r="F23364" s="546"/>
      <c r="G23364" s="234"/>
      <c r="H23364" s="238"/>
      <c r="I23364" s="237"/>
    </row>
    <row r="23365" spans="1:9" s="232" customFormat="1" ht="17" customHeight="1">
      <c r="A23365" s="234"/>
      <c r="B23365" s="233"/>
      <c r="C23365" s="238"/>
      <c r="E23365" s="545"/>
      <c r="F23365" s="546"/>
      <c r="G23365" s="234"/>
      <c r="H23365" s="238"/>
      <c r="I23365" s="237"/>
    </row>
    <row r="23366" spans="1:9" s="232" customFormat="1" ht="17" customHeight="1">
      <c r="A23366" s="234"/>
      <c r="B23366" s="233"/>
      <c r="C23366" s="238"/>
      <c r="E23366" s="545"/>
      <c r="F23366" s="546"/>
      <c r="G23366" s="234"/>
      <c r="H23366" s="238"/>
      <c r="I23366" s="237"/>
    </row>
    <row r="23367" spans="1:9" s="232" customFormat="1" ht="17" customHeight="1">
      <c r="A23367" s="234"/>
      <c r="B23367" s="233"/>
      <c r="C23367" s="238"/>
      <c r="E23367" s="545"/>
      <c r="F23367" s="546"/>
      <c r="G23367" s="234"/>
      <c r="H23367" s="238"/>
      <c r="I23367" s="237"/>
    </row>
    <row r="23368" spans="1:9" s="232" customFormat="1" ht="17" customHeight="1">
      <c r="A23368" s="234"/>
      <c r="B23368" s="233"/>
      <c r="C23368" s="238"/>
      <c r="E23368" s="545"/>
      <c r="F23368" s="546"/>
      <c r="G23368" s="234"/>
      <c r="H23368" s="238"/>
      <c r="I23368" s="237"/>
    </row>
    <row r="23369" spans="1:9" s="232" customFormat="1" ht="17" customHeight="1">
      <c r="A23369" s="234"/>
      <c r="B23369" s="233"/>
      <c r="C23369" s="238"/>
      <c r="E23369" s="545"/>
      <c r="F23369" s="546"/>
      <c r="G23369" s="234"/>
      <c r="H23369" s="238"/>
      <c r="I23369" s="237"/>
    </row>
    <row r="23370" spans="1:9" s="232" customFormat="1" ht="17" customHeight="1">
      <c r="A23370" s="234"/>
      <c r="B23370" s="233"/>
      <c r="C23370" s="238"/>
      <c r="E23370" s="545"/>
      <c r="F23370" s="546"/>
      <c r="G23370" s="234"/>
      <c r="H23370" s="238"/>
      <c r="I23370" s="237"/>
    </row>
    <row r="23371" spans="1:9" s="232" customFormat="1" ht="17" customHeight="1">
      <c r="A23371" s="234"/>
      <c r="B23371" s="233"/>
      <c r="C23371" s="238"/>
      <c r="E23371" s="545"/>
      <c r="F23371" s="546"/>
      <c r="G23371" s="234"/>
      <c r="H23371" s="238"/>
      <c r="I23371" s="237"/>
    </row>
    <row r="23372" spans="1:9" s="232" customFormat="1" ht="17" customHeight="1">
      <c r="A23372" s="234"/>
      <c r="B23372" s="233"/>
      <c r="C23372" s="238"/>
      <c r="E23372" s="545"/>
      <c r="F23372" s="546"/>
      <c r="G23372" s="234"/>
      <c r="H23372" s="238"/>
      <c r="I23372" s="237"/>
    </row>
    <row r="23373" spans="1:9" s="232" customFormat="1" ht="17" customHeight="1">
      <c r="A23373" s="234"/>
      <c r="B23373" s="233"/>
      <c r="C23373" s="238"/>
      <c r="E23373" s="545"/>
      <c r="F23373" s="546"/>
      <c r="G23373" s="234"/>
      <c r="H23373" s="238"/>
      <c r="I23373" s="237"/>
    </row>
    <row r="23374" spans="1:9" s="232" customFormat="1" ht="17" customHeight="1">
      <c r="A23374" s="234"/>
      <c r="B23374" s="233"/>
      <c r="C23374" s="238"/>
      <c r="E23374" s="545"/>
      <c r="F23374" s="546"/>
      <c r="G23374" s="234"/>
      <c r="H23374" s="238"/>
      <c r="I23374" s="237"/>
    </row>
    <row r="23375" spans="1:9" s="232" customFormat="1" ht="17" customHeight="1">
      <c r="A23375" s="234"/>
      <c r="B23375" s="233"/>
      <c r="C23375" s="238"/>
      <c r="E23375" s="545"/>
      <c r="F23375" s="546"/>
      <c r="G23375" s="234"/>
      <c r="H23375" s="238"/>
      <c r="I23375" s="237"/>
    </row>
    <row r="23376" spans="1:9" s="232" customFormat="1" ht="17" customHeight="1">
      <c r="A23376" s="234"/>
      <c r="B23376" s="233"/>
      <c r="C23376" s="238"/>
      <c r="E23376" s="545"/>
      <c r="F23376" s="546"/>
      <c r="G23376" s="234"/>
      <c r="H23376" s="238"/>
      <c r="I23376" s="237"/>
    </row>
    <row r="23377" spans="1:9" s="232" customFormat="1" ht="17" customHeight="1">
      <c r="A23377" s="234"/>
      <c r="B23377" s="233"/>
      <c r="C23377" s="238"/>
      <c r="E23377" s="545"/>
      <c r="F23377" s="546"/>
      <c r="G23377" s="234"/>
      <c r="H23377" s="238"/>
      <c r="I23377" s="237"/>
    </row>
    <row r="23378" spans="1:9" s="232" customFormat="1" ht="17" customHeight="1">
      <c r="A23378" s="234"/>
      <c r="B23378" s="233"/>
      <c r="C23378" s="238"/>
      <c r="E23378" s="545"/>
      <c r="F23378" s="546"/>
      <c r="G23378" s="234"/>
      <c r="H23378" s="238"/>
      <c r="I23378" s="237"/>
    </row>
    <row r="23379" spans="1:9" s="232" customFormat="1" ht="17" customHeight="1">
      <c r="A23379" s="234"/>
      <c r="B23379" s="233"/>
      <c r="C23379" s="238"/>
      <c r="E23379" s="545"/>
      <c r="F23379" s="546"/>
      <c r="G23379" s="234"/>
      <c r="H23379" s="238"/>
      <c r="I23379" s="237"/>
    </row>
    <row r="23380" spans="1:9" s="232" customFormat="1" ht="17" customHeight="1">
      <c r="A23380" s="234"/>
      <c r="B23380" s="233"/>
      <c r="C23380" s="238"/>
      <c r="E23380" s="545"/>
      <c r="F23380" s="546"/>
      <c r="G23380" s="234"/>
      <c r="H23380" s="238"/>
      <c r="I23380" s="237"/>
    </row>
    <row r="23381" spans="1:9" s="232" customFormat="1" ht="17" customHeight="1">
      <c r="A23381" s="234"/>
      <c r="B23381" s="233"/>
      <c r="C23381" s="238"/>
      <c r="E23381" s="545"/>
      <c r="F23381" s="546"/>
      <c r="G23381" s="234"/>
      <c r="H23381" s="238"/>
      <c r="I23381" s="237"/>
    </row>
    <row r="23382" spans="1:9" s="232" customFormat="1" ht="17" customHeight="1">
      <c r="A23382" s="234"/>
      <c r="B23382" s="233"/>
      <c r="C23382" s="238"/>
      <c r="E23382" s="545"/>
      <c r="F23382" s="546"/>
      <c r="G23382" s="234"/>
      <c r="H23382" s="238"/>
      <c r="I23382" s="237"/>
    </row>
    <row r="23383" spans="1:9" s="232" customFormat="1" ht="17" customHeight="1">
      <c r="A23383" s="234"/>
      <c r="B23383" s="233"/>
      <c r="C23383" s="238"/>
      <c r="E23383" s="545"/>
      <c r="F23383" s="546"/>
      <c r="G23383" s="234"/>
      <c r="H23383" s="238"/>
      <c r="I23383" s="237"/>
    </row>
    <row r="23384" spans="1:9" s="232" customFormat="1" ht="17" customHeight="1">
      <c r="A23384" s="234"/>
      <c r="B23384" s="233"/>
      <c r="C23384" s="238"/>
      <c r="E23384" s="545"/>
      <c r="F23384" s="546"/>
      <c r="G23384" s="234"/>
      <c r="H23384" s="238"/>
      <c r="I23384" s="237"/>
    </row>
    <row r="23385" spans="1:9" s="232" customFormat="1" ht="17" customHeight="1">
      <c r="A23385" s="234"/>
      <c r="B23385" s="233"/>
      <c r="C23385" s="238"/>
      <c r="E23385" s="545"/>
      <c r="F23385" s="546"/>
      <c r="G23385" s="234"/>
      <c r="H23385" s="238"/>
      <c r="I23385" s="237"/>
    </row>
    <row r="23386" spans="1:9" s="232" customFormat="1" ht="17" customHeight="1">
      <c r="A23386" s="234"/>
      <c r="B23386" s="233"/>
      <c r="C23386" s="238"/>
      <c r="E23386" s="545"/>
      <c r="F23386" s="546"/>
      <c r="G23386" s="234"/>
      <c r="H23386" s="238"/>
      <c r="I23386" s="237"/>
    </row>
    <row r="23387" spans="1:9" s="232" customFormat="1" ht="17" customHeight="1">
      <c r="A23387" s="234"/>
      <c r="B23387" s="233"/>
      <c r="C23387" s="238"/>
      <c r="E23387" s="545"/>
      <c r="F23387" s="546"/>
      <c r="G23387" s="234"/>
      <c r="H23387" s="238"/>
      <c r="I23387" s="237"/>
    </row>
    <row r="23388" spans="1:9" s="232" customFormat="1" ht="17" customHeight="1">
      <c r="A23388" s="234"/>
      <c r="B23388" s="233"/>
      <c r="C23388" s="238"/>
      <c r="E23388" s="545"/>
      <c r="F23388" s="546"/>
      <c r="G23388" s="234"/>
      <c r="H23388" s="238"/>
      <c r="I23388" s="237"/>
    </row>
    <row r="23389" spans="1:9" s="232" customFormat="1" ht="17" customHeight="1">
      <c r="A23389" s="234"/>
      <c r="B23389" s="233"/>
      <c r="C23389" s="238"/>
      <c r="E23389" s="545"/>
      <c r="F23389" s="546"/>
      <c r="G23389" s="234"/>
      <c r="H23389" s="238"/>
      <c r="I23389" s="237"/>
    </row>
    <row r="23390" spans="1:9" s="232" customFormat="1" ht="17" customHeight="1">
      <c r="A23390" s="234"/>
      <c r="B23390" s="233"/>
      <c r="C23390" s="238"/>
      <c r="E23390" s="545"/>
      <c r="F23390" s="546"/>
      <c r="G23390" s="234"/>
      <c r="H23390" s="238"/>
      <c r="I23390" s="237"/>
    </row>
    <row r="23391" spans="1:9" s="232" customFormat="1" ht="17" customHeight="1">
      <c r="A23391" s="234"/>
      <c r="B23391" s="233"/>
      <c r="C23391" s="238"/>
      <c r="E23391" s="545"/>
      <c r="F23391" s="546"/>
      <c r="G23391" s="234"/>
      <c r="H23391" s="238"/>
      <c r="I23391" s="237"/>
    </row>
    <row r="23392" spans="1:9" s="232" customFormat="1" ht="17" customHeight="1">
      <c r="A23392" s="234"/>
      <c r="B23392" s="233"/>
      <c r="C23392" s="238"/>
      <c r="E23392" s="545"/>
      <c r="F23392" s="546"/>
      <c r="G23392" s="234"/>
      <c r="H23392" s="238"/>
      <c r="I23392" s="237"/>
    </row>
    <row r="23393" spans="1:9" s="232" customFormat="1" ht="17" customHeight="1">
      <c r="A23393" s="234"/>
      <c r="B23393" s="233"/>
      <c r="C23393" s="238"/>
      <c r="E23393" s="545"/>
      <c r="F23393" s="546"/>
      <c r="G23393" s="234"/>
      <c r="H23393" s="238"/>
      <c r="I23393" s="237"/>
    </row>
    <row r="23394" spans="1:9" s="232" customFormat="1" ht="17" customHeight="1">
      <c r="A23394" s="234"/>
      <c r="B23394" s="233"/>
      <c r="C23394" s="238"/>
      <c r="E23394" s="545"/>
      <c r="F23394" s="546"/>
      <c r="G23394" s="234"/>
      <c r="H23394" s="238"/>
      <c r="I23394" s="237"/>
    </row>
    <row r="23395" spans="1:9" s="232" customFormat="1" ht="17" customHeight="1">
      <c r="A23395" s="234"/>
      <c r="B23395" s="233"/>
      <c r="C23395" s="238"/>
      <c r="E23395" s="545"/>
      <c r="F23395" s="546"/>
      <c r="G23395" s="234"/>
      <c r="H23395" s="238"/>
      <c r="I23395" s="237"/>
    </row>
    <row r="23396" spans="1:9" s="232" customFormat="1" ht="17" customHeight="1">
      <c r="A23396" s="234"/>
      <c r="B23396" s="233"/>
      <c r="C23396" s="238"/>
      <c r="E23396" s="545"/>
      <c r="F23396" s="546"/>
      <c r="G23396" s="234"/>
      <c r="H23396" s="238"/>
      <c r="I23396" s="237"/>
    </row>
    <row r="23397" spans="1:9" s="232" customFormat="1" ht="17" customHeight="1">
      <c r="A23397" s="234"/>
      <c r="B23397" s="233"/>
      <c r="C23397" s="238"/>
      <c r="E23397" s="545"/>
      <c r="F23397" s="546"/>
      <c r="G23397" s="234"/>
      <c r="H23397" s="238"/>
      <c r="I23397" s="237"/>
    </row>
    <row r="23398" spans="1:9" s="232" customFormat="1" ht="17" customHeight="1">
      <c r="A23398" s="234"/>
      <c r="B23398" s="233"/>
      <c r="C23398" s="238"/>
      <c r="E23398" s="545"/>
      <c r="F23398" s="546"/>
      <c r="G23398" s="234"/>
      <c r="H23398" s="238"/>
      <c r="I23398" s="237"/>
    </row>
    <row r="23399" spans="1:9" s="232" customFormat="1" ht="17" customHeight="1">
      <c r="A23399" s="234"/>
      <c r="B23399" s="233"/>
      <c r="C23399" s="238"/>
      <c r="E23399" s="545"/>
      <c r="F23399" s="546"/>
      <c r="G23399" s="234"/>
      <c r="H23399" s="238"/>
      <c r="I23399" s="237"/>
    </row>
    <row r="23400" spans="1:9" s="232" customFormat="1" ht="17" customHeight="1">
      <c r="A23400" s="234"/>
      <c r="B23400" s="233"/>
      <c r="C23400" s="238"/>
      <c r="E23400" s="545"/>
      <c r="F23400" s="546"/>
      <c r="G23400" s="234"/>
      <c r="H23400" s="238"/>
      <c r="I23400" s="237"/>
    </row>
    <row r="23401" spans="1:9" s="232" customFormat="1" ht="17" customHeight="1">
      <c r="A23401" s="234"/>
      <c r="B23401" s="233"/>
      <c r="C23401" s="238"/>
      <c r="E23401" s="545"/>
      <c r="F23401" s="546"/>
      <c r="G23401" s="234"/>
      <c r="H23401" s="238"/>
      <c r="I23401" s="237"/>
    </row>
    <row r="23402" spans="1:9" s="232" customFormat="1" ht="17" customHeight="1">
      <c r="A23402" s="234"/>
      <c r="B23402" s="233"/>
      <c r="C23402" s="238"/>
      <c r="E23402" s="545"/>
      <c r="F23402" s="546"/>
      <c r="G23402" s="234"/>
      <c r="H23402" s="238"/>
      <c r="I23402" s="237"/>
    </row>
    <row r="23403" spans="1:9" s="232" customFormat="1" ht="17" customHeight="1">
      <c r="A23403" s="234"/>
      <c r="B23403" s="233"/>
      <c r="C23403" s="238"/>
      <c r="E23403" s="545"/>
      <c r="F23403" s="546"/>
      <c r="G23403" s="234"/>
      <c r="H23403" s="238"/>
      <c r="I23403" s="237"/>
    </row>
    <row r="23404" spans="1:9" s="232" customFormat="1" ht="17" customHeight="1">
      <c r="A23404" s="234"/>
      <c r="B23404" s="233"/>
      <c r="C23404" s="238"/>
      <c r="E23404" s="545"/>
      <c r="F23404" s="546"/>
      <c r="G23404" s="234"/>
      <c r="H23404" s="238"/>
      <c r="I23404" s="237"/>
    </row>
    <row r="23405" spans="1:9" s="232" customFormat="1" ht="17" customHeight="1">
      <c r="A23405" s="234"/>
      <c r="B23405" s="233"/>
      <c r="C23405" s="238"/>
      <c r="E23405" s="545"/>
      <c r="F23405" s="546"/>
      <c r="G23405" s="234"/>
      <c r="H23405" s="238"/>
      <c r="I23405" s="237"/>
    </row>
    <row r="23406" spans="1:9" s="232" customFormat="1" ht="17" customHeight="1">
      <c r="A23406" s="234"/>
      <c r="B23406" s="233"/>
      <c r="C23406" s="238"/>
      <c r="E23406" s="545"/>
      <c r="F23406" s="546"/>
      <c r="G23406" s="234"/>
      <c r="H23406" s="238"/>
      <c r="I23406" s="237"/>
    </row>
    <row r="23407" spans="1:9" s="232" customFormat="1" ht="17" customHeight="1">
      <c r="A23407" s="234"/>
      <c r="B23407" s="233"/>
      <c r="C23407" s="238"/>
      <c r="E23407" s="545"/>
      <c r="F23407" s="546"/>
      <c r="G23407" s="234"/>
      <c r="H23407" s="238"/>
      <c r="I23407" s="237"/>
    </row>
    <row r="23408" spans="1:9" s="232" customFormat="1" ht="17" customHeight="1">
      <c r="A23408" s="234"/>
      <c r="B23408" s="233"/>
      <c r="C23408" s="238"/>
      <c r="E23408" s="545"/>
      <c r="F23408" s="546"/>
      <c r="G23408" s="234"/>
      <c r="H23408" s="238"/>
      <c r="I23408" s="237"/>
    </row>
    <row r="23409" spans="1:9" s="232" customFormat="1" ht="17" customHeight="1">
      <c r="A23409" s="234"/>
      <c r="B23409" s="233"/>
      <c r="C23409" s="238"/>
      <c r="E23409" s="545"/>
      <c r="F23409" s="546"/>
      <c r="G23409" s="234"/>
      <c r="H23409" s="238"/>
      <c r="I23409" s="237"/>
    </row>
    <row r="23410" spans="1:9" s="232" customFormat="1" ht="17" customHeight="1">
      <c r="A23410" s="234"/>
      <c r="B23410" s="233"/>
      <c r="C23410" s="238"/>
      <c r="E23410" s="545"/>
      <c r="F23410" s="546"/>
      <c r="G23410" s="234"/>
      <c r="H23410" s="238"/>
      <c r="I23410" s="237"/>
    </row>
    <row r="23411" spans="1:9" s="232" customFormat="1" ht="17" customHeight="1">
      <c r="A23411" s="234"/>
      <c r="B23411" s="233"/>
      <c r="C23411" s="238"/>
      <c r="E23411" s="545"/>
      <c r="F23411" s="546"/>
      <c r="G23411" s="234"/>
      <c r="H23411" s="238"/>
      <c r="I23411" s="237"/>
    </row>
    <row r="23412" spans="1:9" s="232" customFormat="1" ht="17" customHeight="1">
      <c r="A23412" s="234"/>
      <c r="B23412" s="233"/>
      <c r="C23412" s="238"/>
      <c r="E23412" s="545"/>
      <c r="F23412" s="546"/>
      <c r="G23412" s="234"/>
      <c r="H23412" s="238"/>
      <c r="I23412" s="237"/>
    </row>
    <row r="23413" spans="1:9" s="232" customFormat="1" ht="17" customHeight="1">
      <c r="A23413" s="234"/>
      <c r="B23413" s="233"/>
      <c r="C23413" s="238"/>
      <c r="E23413" s="545"/>
      <c r="F23413" s="546"/>
      <c r="G23413" s="234"/>
      <c r="H23413" s="238"/>
      <c r="I23413" s="237"/>
    </row>
    <row r="23414" spans="1:9" s="232" customFormat="1" ht="17" customHeight="1">
      <c r="A23414" s="234"/>
      <c r="B23414" s="233"/>
      <c r="C23414" s="238"/>
      <c r="E23414" s="545"/>
      <c r="F23414" s="546"/>
      <c r="G23414" s="234"/>
      <c r="H23414" s="238"/>
      <c r="I23414" s="237"/>
    </row>
    <row r="23415" spans="1:9" s="232" customFormat="1" ht="17" customHeight="1">
      <c r="A23415" s="234"/>
      <c r="B23415" s="233"/>
      <c r="C23415" s="238"/>
      <c r="E23415" s="545"/>
      <c r="F23415" s="546"/>
      <c r="G23415" s="234"/>
      <c r="H23415" s="238"/>
      <c r="I23415" s="237"/>
    </row>
    <row r="23416" spans="1:9" s="232" customFormat="1" ht="17" customHeight="1">
      <c r="A23416" s="234"/>
      <c r="B23416" s="233"/>
      <c r="C23416" s="238"/>
      <c r="E23416" s="545"/>
      <c r="F23416" s="546"/>
      <c r="G23416" s="234"/>
      <c r="H23416" s="238"/>
      <c r="I23416" s="237"/>
    </row>
    <row r="23417" spans="1:9" s="232" customFormat="1" ht="17" customHeight="1">
      <c r="A23417" s="234"/>
      <c r="B23417" s="233"/>
      <c r="C23417" s="238"/>
      <c r="E23417" s="545"/>
      <c r="F23417" s="546"/>
      <c r="G23417" s="234"/>
      <c r="H23417" s="238"/>
      <c r="I23417" s="237"/>
    </row>
    <row r="23418" spans="1:9" s="232" customFormat="1" ht="17" customHeight="1">
      <c r="A23418" s="234"/>
      <c r="B23418" s="233"/>
      <c r="C23418" s="238"/>
      <c r="E23418" s="545"/>
      <c r="F23418" s="546"/>
      <c r="G23418" s="234"/>
      <c r="H23418" s="238"/>
      <c r="I23418" s="237"/>
    </row>
    <row r="23419" spans="1:9" s="232" customFormat="1" ht="17" customHeight="1">
      <c r="A23419" s="234"/>
      <c r="B23419" s="233"/>
      <c r="C23419" s="238"/>
      <c r="E23419" s="545"/>
      <c r="F23419" s="546"/>
      <c r="G23419" s="234"/>
      <c r="H23419" s="238"/>
      <c r="I23419" s="237"/>
    </row>
    <row r="23420" spans="1:9" s="232" customFormat="1" ht="17" customHeight="1">
      <c r="A23420" s="234"/>
      <c r="B23420" s="233"/>
      <c r="C23420" s="238"/>
      <c r="E23420" s="545"/>
      <c r="F23420" s="546"/>
      <c r="G23420" s="234"/>
      <c r="H23420" s="238"/>
      <c r="I23420" s="237"/>
    </row>
    <row r="23421" spans="1:9" s="232" customFormat="1" ht="17" customHeight="1">
      <c r="A23421" s="234"/>
      <c r="B23421" s="233"/>
      <c r="C23421" s="238"/>
      <c r="E23421" s="545"/>
      <c r="F23421" s="546"/>
      <c r="G23421" s="234"/>
      <c r="H23421" s="238"/>
      <c r="I23421" s="237"/>
    </row>
    <row r="23422" spans="1:9" s="232" customFormat="1" ht="17" customHeight="1">
      <c r="A23422" s="234"/>
      <c r="B23422" s="233"/>
      <c r="C23422" s="238"/>
      <c r="E23422" s="545"/>
      <c r="F23422" s="546"/>
      <c r="G23422" s="234"/>
      <c r="H23422" s="238"/>
      <c r="I23422" s="237"/>
    </row>
    <row r="23423" spans="1:9" s="232" customFormat="1" ht="17" customHeight="1">
      <c r="A23423" s="234"/>
      <c r="B23423" s="233"/>
      <c r="C23423" s="238"/>
      <c r="E23423" s="545"/>
      <c r="F23423" s="546"/>
      <c r="G23423" s="234"/>
      <c r="H23423" s="238"/>
      <c r="I23423" s="237"/>
    </row>
    <row r="23424" spans="1:9" s="232" customFormat="1" ht="17" customHeight="1">
      <c r="A23424" s="234"/>
      <c r="B23424" s="233"/>
      <c r="C23424" s="238"/>
      <c r="E23424" s="545"/>
      <c r="F23424" s="546"/>
      <c r="G23424" s="234"/>
      <c r="H23424" s="238"/>
      <c r="I23424" s="237"/>
    </row>
    <row r="23425" spans="1:9" s="232" customFormat="1" ht="17" customHeight="1">
      <c r="A23425" s="234"/>
      <c r="B23425" s="233"/>
      <c r="C23425" s="238"/>
      <c r="E23425" s="545"/>
      <c r="F23425" s="546"/>
      <c r="G23425" s="234"/>
      <c r="H23425" s="238"/>
      <c r="I23425" s="237"/>
    </row>
    <row r="23426" spans="1:9" s="232" customFormat="1" ht="17" customHeight="1">
      <c r="A23426" s="234"/>
      <c r="B23426" s="233"/>
      <c r="C23426" s="238"/>
      <c r="E23426" s="545"/>
      <c r="F23426" s="546"/>
      <c r="G23426" s="234"/>
      <c r="H23426" s="238"/>
      <c r="I23426" s="237"/>
    </row>
    <row r="23427" spans="1:9" s="232" customFormat="1" ht="17" customHeight="1">
      <c r="A23427" s="234"/>
      <c r="B23427" s="233"/>
      <c r="C23427" s="238"/>
      <c r="E23427" s="545"/>
      <c r="F23427" s="546"/>
      <c r="G23427" s="234"/>
      <c r="H23427" s="238"/>
      <c r="I23427" s="237"/>
    </row>
    <row r="23428" spans="1:9" s="232" customFormat="1" ht="17" customHeight="1">
      <c r="A23428" s="234"/>
      <c r="B23428" s="233"/>
      <c r="C23428" s="238"/>
      <c r="E23428" s="545"/>
      <c r="F23428" s="546"/>
      <c r="G23428" s="234"/>
      <c r="H23428" s="238"/>
      <c r="I23428" s="237"/>
    </row>
    <row r="23429" spans="1:9" s="232" customFormat="1" ht="17" customHeight="1">
      <c r="A23429" s="234"/>
      <c r="B23429" s="233"/>
      <c r="C23429" s="238"/>
      <c r="E23429" s="545"/>
      <c r="F23429" s="546"/>
      <c r="G23429" s="234"/>
      <c r="H23429" s="238"/>
      <c r="I23429" s="237"/>
    </row>
    <row r="23430" spans="1:9" s="232" customFormat="1" ht="17" customHeight="1">
      <c r="A23430" s="234"/>
      <c r="B23430" s="233"/>
      <c r="C23430" s="238"/>
      <c r="E23430" s="545"/>
      <c r="F23430" s="546"/>
      <c r="G23430" s="234"/>
      <c r="H23430" s="238"/>
      <c r="I23430" s="237"/>
    </row>
    <row r="23431" spans="1:9" s="232" customFormat="1" ht="17" customHeight="1">
      <c r="A23431" s="234"/>
      <c r="B23431" s="233"/>
      <c r="C23431" s="238"/>
      <c r="E23431" s="545"/>
      <c r="F23431" s="546"/>
      <c r="G23431" s="234"/>
      <c r="H23431" s="238"/>
      <c r="I23431" s="237"/>
    </row>
    <row r="23432" spans="1:9" s="232" customFormat="1" ht="17" customHeight="1">
      <c r="A23432" s="234"/>
      <c r="B23432" s="233"/>
      <c r="C23432" s="238"/>
      <c r="E23432" s="545"/>
      <c r="F23432" s="546"/>
      <c r="G23432" s="234"/>
      <c r="H23432" s="238"/>
      <c r="I23432" s="237"/>
    </row>
    <row r="23433" spans="1:9" s="232" customFormat="1" ht="17" customHeight="1">
      <c r="A23433" s="234"/>
      <c r="B23433" s="233"/>
      <c r="C23433" s="238"/>
      <c r="E23433" s="545"/>
      <c r="F23433" s="546"/>
      <c r="G23433" s="234"/>
      <c r="H23433" s="238"/>
      <c r="I23433" s="237"/>
    </row>
    <row r="23434" spans="1:9" s="232" customFormat="1" ht="17" customHeight="1">
      <c r="A23434" s="234"/>
      <c r="B23434" s="233"/>
      <c r="C23434" s="238"/>
      <c r="E23434" s="545"/>
      <c r="F23434" s="546"/>
      <c r="G23434" s="234"/>
      <c r="H23434" s="238"/>
      <c r="I23434" s="237"/>
    </row>
    <row r="23435" spans="1:9" s="232" customFormat="1" ht="17" customHeight="1">
      <c r="A23435" s="234"/>
      <c r="B23435" s="233"/>
      <c r="C23435" s="238"/>
      <c r="E23435" s="545"/>
      <c r="F23435" s="546"/>
      <c r="G23435" s="234"/>
      <c r="H23435" s="238"/>
      <c r="I23435" s="237"/>
    </row>
    <row r="23436" spans="1:9" s="232" customFormat="1" ht="17" customHeight="1">
      <c r="A23436" s="234"/>
      <c r="B23436" s="233"/>
      <c r="C23436" s="238"/>
      <c r="E23436" s="545"/>
      <c r="F23436" s="546"/>
      <c r="G23436" s="234"/>
      <c r="H23436" s="238"/>
      <c r="I23436" s="237"/>
    </row>
    <row r="23437" spans="1:9" s="232" customFormat="1" ht="17" customHeight="1">
      <c r="A23437" s="234"/>
      <c r="B23437" s="233"/>
      <c r="C23437" s="238"/>
      <c r="E23437" s="545"/>
      <c r="F23437" s="546"/>
      <c r="G23437" s="234"/>
      <c r="H23437" s="238"/>
      <c r="I23437" s="237"/>
    </row>
    <row r="23438" spans="1:9" s="232" customFormat="1" ht="17" customHeight="1">
      <c r="A23438" s="234"/>
      <c r="B23438" s="233"/>
      <c r="C23438" s="238"/>
      <c r="E23438" s="545"/>
      <c r="F23438" s="546"/>
      <c r="G23438" s="234"/>
      <c r="H23438" s="238"/>
      <c r="I23438" s="237"/>
    </row>
    <row r="23439" spans="1:9" s="232" customFormat="1" ht="17" customHeight="1">
      <c r="A23439" s="234"/>
      <c r="B23439" s="233"/>
      <c r="C23439" s="238"/>
      <c r="E23439" s="545"/>
      <c r="F23439" s="546"/>
      <c r="G23439" s="234"/>
      <c r="H23439" s="238"/>
      <c r="I23439" s="237"/>
    </row>
    <row r="23440" spans="1:9" s="232" customFormat="1" ht="17" customHeight="1">
      <c r="A23440" s="234"/>
      <c r="B23440" s="233"/>
      <c r="C23440" s="238"/>
      <c r="E23440" s="545"/>
      <c r="F23440" s="546"/>
      <c r="G23440" s="234"/>
      <c r="H23440" s="238"/>
      <c r="I23440" s="237"/>
    </row>
    <row r="23441" spans="1:9" s="232" customFormat="1" ht="17" customHeight="1">
      <c r="A23441" s="234"/>
      <c r="B23441" s="233"/>
      <c r="C23441" s="238"/>
      <c r="E23441" s="545"/>
      <c r="F23441" s="546"/>
      <c r="G23441" s="234"/>
      <c r="H23441" s="238"/>
      <c r="I23441" s="237"/>
    </row>
    <row r="23442" spans="1:9" s="232" customFormat="1" ht="17" customHeight="1">
      <c r="A23442" s="234"/>
      <c r="B23442" s="233"/>
      <c r="C23442" s="238"/>
      <c r="E23442" s="545"/>
      <c r="F23442" s="546"/>
      <c r="G23442" s="234"/>
      <c r="H23442" s="238"/>
      <c r="I23442" s="237"/>
    </row>
    <row r="23443" spans="1:9" s="232" customFormat="1" ht="17" customHeight="1">
      <c r="A23443" s="234"/>
      <c r="B23443" s="233"/>
      <c r="C23443" s="238"/>
      <c r="E23443" s="545"/>
      <c r="F23443" s="546"/>
      <c r="G23443" s="234"/>
      <c r="H23443" s="238"/>
      <c r="I23443" s="237"/>
    </row>
    <row r="23444" spans="1:9" s="232" customFormat="1" ht="17" customHeight="1">
      <c r="A23444" s="234"/>
      <c r="B23444" s="233"/>
      <c r="C23444" s="238"/>
      <c r="E23444" s="545"/>
      <c r="F23444" s="546"/>
      <c r="G23444" s="234"/>
      <c r="H23444" s="238"/>
      <c r="I23444" s="237"/>
    </row>
    <row r="23445" spans="1:9" s="232" customFormat="1" ht="17" customHeight="1">
      <c r="A23445" s="234"/>
      <c r="B23445" s="233"/>
      <c r="C23445" s="238"/>
      <c r="E23445" s="545"/>
      <c r="F23445" s="546"/>
      <c r="G23445" s="234"/>
      <c r="H23445" s="238"/>
      <c r="I23445" s="237"/>
    </row>
    <row r="23446" spans="1:9" s="232" customFormat="1" ht="17" customHeight="1">
      <c r="A23446" s="234"/>
      <c r="B23446" s="233"/>
      <c r="C23446" s="238"/>
      <c r="E23446" s="545"/>
      <c r="F23446" s="546"/>
      <c r="G23446" s="234"/>
      <c r="H23446" s="238"/>
      <c r="I23446" s="237"/>
    </row>
    <row r="23447" spans="1:9" s="232" customFormat="1" ht="17" customHeight="1">
      <c r="A23447" s="234"/>
      <c r="B23447" s="233"/>
      <c r="C23447" s="238"/>
      <c r="E23447" s="545"/>
      <c r="F23447" s="546"/>
      <c r="G23447" s="234"/>
      <c r="H23447" s="238"/>
      <c r="I23447" s="237"/>
    </row>
    <row r="23448" spans="1:9" s="232" customFormat="1" ht="17" customHeight="1">
      <c r="A23448" s="234"/>
      <c r="B23448" s="233"/>
      <c r="C23448" s="238"/>
      <c r="E23448" s="545"/>
      <c r="F23448" s="546"/>
      <c r="G23448" s="234"/>
      <c r="H23448" s="238"/>
      <c r="I23448" s="237"/>
    </row>
    <row r="23449" spans="1:9" s="232" customFormat="1" ht="17" customHeight="1">
      <c r="A23449" s="234"/>
      <c r="B23449" s="233"/>
      <c r="C23449" s="238"/>
      <c r="E23449" s="545"/>
      <c r="F23449" s="546"/>
      <c r="G23449" s="234"/>
      <c r="H23449" s="238"/>
      <c r="I23449" s="237"/>
    </row>
    <row r="23450" spans="1:9" s="232" customFormat="1" ht="17" customHeight="1">
      <c r="A23450" s="234"/>
      <c r="B23450" s="233"/>
      <c r="C23450" s="238"/>
      <c r="E23450" s="545"/>
      <c r="F23450" s="546"/>
      <c r="G23450" s="234"/>
      <c r="H23450" s="238"/>
      <c r="I23450" s="237"/>
    </row>
    <row r="23451" spans="1:9" s="232" customFormat="1" ht="17" customHeight="1">
      <c r="A23451" s="234"/>
      <c r="B23451" s="233"/>
      <c r="C23451" s="238"/>
      <c r="E23451" s="545"/>
      <c r="F23451" s="546"/>
      <c r="G23451" s="234"/>
      <c r="H23451" s="238"/>
      <c r="I23451" s="237"/>
    </row>
    <row r="23452" spans="1:9" s="232" customFormat="1" ht="17" customHeight="1">
      <c r="A23452" s="234"/>
      <c r="B23452" s="233"/>
      <c r="C23452" s="238"/>
      <c r="E23452" s="545"/>
      <c r="F23452" s="546"/>
      <c r="G23452" s="234"/>
      <c r="H23452" s="238"/>
      <c r="I23452" s="237"/>
    </row>
    <row r="23453" spans="1:9" s="232" customFormat="1" ht="17" customHeight="1">
      <c r="A23453" s="234"/>
      <c r="B23453" s="233"/>
      <c r="C23453" s="238"/>
      <c r="E23453" s="545"/>
      <c r="F23453" s="546"/>
      <c r="G23453" s="234"/>
      <c r="H23453" s="238"/>
      <c r="I23453" s="237"/>
    </row>
    <row r="23454" spans="1:9" s="232" customFormat="1" ht="17" customHeight="1">
      <c r="A23454" s="234"/>
      <c r="B23454" s="233"/>
      <c r="C23454" s="238"/>
      <c r="E23454" s="545"/>
      <c r="F23454" s="546"/>
      <c r="G23454" s="234"/>
      <c r="H23454" s="238"/>
      <c r="I23454" s="237"/>
    </row>
    <row r="23455" spans="1:9" s="232" customFormat="1" ht="17" customHeight="1">
      <c r="A23455" s="234"/>
      <c r="B23455" s="233"/>
      <c r="C23455" s="238"/>
      <c r="E23455" s="545"/>
      <c r="F23455" s="546"/>
      <c r="G23455" s="234"/>
      <c r="H23455" s="238"/>
      <c r="I23455" s="237"/>
    </row>
    <row r="23456" spans="1:9" s="232" customFormat="1" ht="17" customHeight="1">
      <c r="A23456" s="234"/>
      <c r="B23456" s="233"/>
      <c r="C23456" s="238"/>
      <c r="E23456" s="545"/>
      <c r="F23456" s="546"/>
      <c r="G23456" s="234"/>
      <c r="H23456" s="238"/>
      <c r="I23456" s="237"/>
    </row>
    <row r="23457" spans="1:9" s="232" customFormat="1" ht="17" customHeight="1">
      <c r="A23457" s="234"/>
      <c r="B23457" s="233"/>
      <c r="C23457" s="238"/>
      <c r="E23457" s="545"/>
      <c r="F23457" s="546"/>
      <c r="G23457" s="234"/>
      <c r="H23457" s="238"/>
      <c r="I23457" s="237"/>
    </row>
    <row r="23458" spans="1:9" s="232" customFormat="1" ht="17" customHeight="1">
      <c r="A23458" s="234"/>
      <c r="B23458" s="233"/>
      <c r="C23458" s="238"/>
      <c r="E23458" s="545"/>
      <c r="F23458" s="546"/>
      <c r="G23458" s="234"/>
      <c r="H23458" s="238"/>
      <c r="I23458" s="237"/>
    </row>
    <row r="23459" spans="1:9" s="232" customFormat="1" ht="17" customHeight="1">
      <c r="A23459" s="234"/>
      <c r="B23459" s="233"/>
      <c r="C23459" s="238"/>
      <c r="E23459" s="545"/>
      <c r="F23459" s="546"/>
      <c r="G23459" s="234"/>
      <c r="H23459" s="238"/>
      <c r="I23459" s="237"/>
    </row>
    <row r="23460" spans="1:9" s="232" customFormat="1" ht="17" customHeight="1">
      <c r="A23460" s="234"/>
      <c r="B23460" s="233"/>
      <c r="C23460" s="238"/>
      <c r="E23460" s="545"/>
      <c r="F23460" s="546"/>
      <c r="G23460" s="234"/>
      <c r="H23460" s="238"/>
      <c r="I23460" s="237"/>
    </row>
    <row r="23461" spans="1:9" s="232" customFormat="1" ht="17" customHeight="1">
      <c r="A23461" s="234"/>
      <c r="B23461" s="233"/>
      <c r="C23461" s="238"/>
      <c r="E23461" s="545"/>
      <c r="F23461" s="546"/>
      <c r="G23461" s="234"/>
      <c r="H23461" s="238"/>
      <c r="I23461" s="237"/>
    </row>
    <row r="23462" spans="1:9" s="232" customFormat="1" ht="17" customHeight="1">
      <c r="A23462" s="234"/>
      <c r="B23462" s="233"/>
      <c r="C23462" s="238"/>
      <c r="E23462" s="545"/>
      <c r="F23462" s="546"/>
      <c r="G23462" s="234"/>
      <c r="H23462" s="238"/>
      <c r="I23462" s="237"/>
    </row>
    <row r="23463" spans="1:9" s="232" customFormat="1" ht="17" customHeight="1">
      <c r="A23463" s="234"/>
      <c r="B23463" s="233"/>
      <c r="C23463" s="238"/>
      <c r="E23463" s="545"/>
      <c r="F23463" s="546"/>
      <c r="G23463" s="234"/>
      <c r="H23463" s="238"/>
      <c r="I23463" s="237"/>
    </row>
    <row r="23464" spans="1:9" s="232" customFormat="1" ht="17" customHeight="1">
      <c r="A23464" s="234"/>
      <c r="B23464" s="233"/>
      <c r="C23464" s="238"/>
      <c r="E23464" s="545"/>
      <c r="F23464" s="546"/>
      <c r="G23464" s="234"/>
      <c r="H23464" s="238"/>
      <c r="I23464" s="237"/>
    </row>
    <row r="23465" spans="1:9" s="232" customFormat="1" ht="17" customHeight="1">
      <c r="A23465" s="234"/>
      <c r="B23465" s="233"/>
      <c r="C23465" s="238"/>
      <c r="E23465" s="545"/>
      <c r="F23465" s="546"/>
      <c r="G23465" s="234"/>
      <c r="H23465" s="238"/>
      <c r="I23465" s="237"/>
    </row>
    <row r="23466" spans="1:9" s="232" customFormat="1" ht="17" customHeight="1">
      <c r="A23466" s="234"/>
      <c r="B23466" s="233"/>
      <c r="C23466" s="238"/>
      <c r="E23466" s="545"/>
      <c r="F23466" s="546"/>
      <c r="G23466" s="234"/>
      <c r="H23466" s="238"/>
      <c r="I23466" s="237"/>
    </row>
    <row r="23467" spans="1:9" s="232" customFormat="1" ht="17" customHeight="1">
      <c r="A23467" s="234"/>
      <c r="B23467" s="233"/>
      <c r="C23467" s="238"/>
      <c r="E23467" s="545"/>
      <c r="F23467" s="546"/>
      <c r="G23467" s="234"/>
      <c r="H23467" s="238"/>
      <c r="I23467" s="237"/>
    </row>
    <row r="23468" spans="1:9" s="232" customFormat="1" ht="17" customHeight="1">
      <c r="A23468" s="234"/>
      <c r="B23468" s="233"/>
      <c r="C23468" s="238"/>
      <c r="E23468" s="545"/>
      <c r="F23468" s="546"/>
      <c r="G23468" s="234"/>
      <c r="H23468" s="238"/>
      <c r="I23468" s="237"/>
    </row>
    <row r="23469" spans="1:9" s="232" customFormat="1" ht="17" customHeight="1">
      <c r="A23469" s="234"/>
      <c r="B23469" s="233"/>
      <c r="C23469" s="238"/>
      <c r="E23469" s="545"/>
      <c r="F23469" s="546"/>
      <c r="G23469" s="234"/>
      <c r="H23469" s="238"/>
      <c r="I23469" s="237"/>
    </row>
    <row r="23470" spans="1:9" s="232" customFormat="1" ht="17" customHeight="1">
      <c r="A23470" s="234"/>
      <c r="B23470" s="233"/>
      <c r="C23470" s="238"/>
      <c r="E23470" s="545"/>
      <c r="F23470" s="546"/>
      <c r="G23470" s="234"/>
      <c r="H23470" s="238"/>
      <c r="I23470" s="237"/>
    </row>
    <row r="23471" spans="1:9" s="232" customFormat="1" ht="17" customHeight="1">
      <c r="A23471" s="234"/>
      <c r="B23471" s="233"/>
      <c r="C23471" s="238"/>
      <c r="E23471" s="545"/>
      <c r="F23471" s="546"/>
      <c r="G23471" s="234"/>
      <c r="H23471" s="238"/>
      <c r="I23471" s="237"/>
    </row>
    <row r="23472" spans="1:9" s="232" customFormat="1" ht="17" customHeight="1">
      <c r="A23472" s="234"/>
      <c r="B23472" s="233"/>
      <c r="C23472" s="238"/>
      <c r="E23472" s="545"/>
      <c r="F23472" s="546"/>
      <c r="G23472" s="234"/>
      <c r="H23472" s="238"/>
      <c r="I23472" s="237"/>
    </row>
    <row r="23473" spans="1:9" s="232" customFormat="1" ht="17" customHeight="1">
      <c r="A23473" s="234"/>
      <c r="B23473" s="233"/>
      <c r="C23473" s="238"/>
      <c r="E23473" s="545"/>
      <c r="F23473" s="546"/>
      <c r="G23473" s="234"/>
      <c r="H23473" s="238"/>
      <c r="I23473" s="237"/>
    </row>
    <row r="23474" spans="1:9" s="232" customFormat="1" ht="17" customHeight="1">
      <c r="A23474" s="234"/>
      <c r="B23474" s="233"/>
      <c r="C23474" s="238"/>
      <c r="E23474" s="545"/>
      <c r="F23474" s="546"/>
      <c r="G23474" s="234"/>
      <c r="H23474" s="238"/>
      <c r="I23474" s="237"/>
    </row>
    <row r="23475" spans="1:9" s="232" customFormat="1" ht="17" customHeight="1">
      <c r="A23475" s="234"/>
      <c r="B23475" s="233"/>
      <c r="C23475" s="238"/>
      <c r="E23475" s="545"/>
      <c r="F23475" s="546"/>
      <c r="G23475" s="234"/>
      <c r="H23475" s="238"/>
      <c r="I23475" s="237"/>
    </row>
    <row r="23476" spans="1:9" s="232" customFormat="1" ht="17" customHeight="1">
      <c r="A23476" s="234"/>
      <c r="B23476" s="233"/>
      <c r="C23476" s="238"/>
      <c r="E23476" s="545"/>
      <c r="F23476" s="546"/>
      <c r="G23476" s="234"/>
      <c r="H23476" s="238"/>
      <c r="I23476" s="237"/>
    </row>
    <row r="23477" spans="1:9" s="232" customFormat="1" ht="17" customHeight="1">
      <c r="A23477" s="234"/>
      <c r="B23477" s="233"/>
      <c r="C23477" s="238"/>
      <c r="E23477" s="545"/>
      <c r="F23477" s="546"/>
      <c r="G23477" s="234"/>
      <c r="H23477" s="238"/>
      <c r="I23477" s="237"/>
    </row>
    <row r="23478" spans="1:9" s="232" customFormat="1" ht="17" customHeight="1">
      <c r="A23478" s="234"/>
      <c r="B23478" s="233"/>
      <c r="C23478" s="238"/>
      <c r="E23478" s="545"/>
      <c r="F23478" s="546"/>
      <c r="G23478" s="234"/>
      <c r="H23478" s="238"/>
      <c r="I23478" s="237"/>
    </row>
    <row r="23479" spans="1:9" s="232" customFormat="1" ht="17" customHeight="1">
      <c r="A23479" s="234"/>
      <c r="B23479" s="233"/>
      <c r="C23479" s="238"/>
      <c r="E23479" s="545"/>
      <c r="F23479" s="546"/>
      <c r="G23479" s="234"/>
      <c r="H23479" s="238"/>
      <c r="I23479" s="237"/>
    </row>
    <row r="23480" spans="1:9" s="232" customFormat="1" ht="17" customHeight="1">
      <c r="A23480" s="234"/>
      <c r="B23480" s="233"/>
      <c r="C23480" s="238"/>
      <c r="E23480" s="545"/>
      <c r="F23480" s="546"/>
      <c r="G23480" s="234"/>
      <c r="H23480" s="238"/>
      <c r="I23480" s="237"/>
    </row>
    <row r="23481" spans="1:9" s="232" customFormat="1" ht="17" customHeight="1">
      <c r="A23481" s="234"/>
      <c r="B23481" s="233"/>
      <c r="C23481" s="238"/>
      <c r="E23481" s="545"/>
      <c r="F23481" s="546"/>
      <c r="G23481" s="234"/>
      <c r="H23481" s="238"/>
      <c r="I23481" s="237"/>
    </row>
    <row r="23482" spans="1:9" s="232" customFormat="1" ht="17" customHeight="1">
      <c r="A23482" s="234"/>
      <c r="B23482" s="233"/>
      <c r="C23482" s="238"/>
      <c r="E23482" s="545"/>
      <c r="F23482" s="546"/>
      <c r="G23482" s="234"/>
      <c r="H23482" s="238"/>
      <c r="I23482" s="237"/>
    </row>
    <row r="23483" spans="1:9" s="232" customFormat="1" ht="17" customHeight="1">
      <c r="A23483" s="234"/>
      <c r="B23483" s="233"/>
      <c r="C23483" s="238"/>
      <c r="E23483" s="545"/>
      <c r="F23483" s="546"/>
      <c r="G23483" s="234"/>
      <c r="H23483" s="238"/>
      <c r="I23483" s="237"/>
    </row>
    <row r="23484" spans="1:9" s="232" customFormat="1" ht="17" customHeight="1">
      <c r="A23484" s="234"/>
      <c r="B23484" s="233"/>
      <c r="C23484" s="238"/>
      <c r="E23484" s="545"/>
      <c r="F23484" s="546"/>
      <c r="G23484" s="234"/>
      <c r="H23484" s="238"/>
      <c r="I23484" s="237"/>
    </row>
    <row r="23485" spans="1:9" s="232" customFormat="1" ht="17" customHeight="1">
      <c r="A23485" s="234"/>
      <c r="B23485" s="233"/>
      <c r="C23485" s="238"/>
      <c r="E23485" s="545"/>
      <c r="F23485" s="546"/>
      <c r="G23485" s="234"/>
      <c r="H23485" s="238"/>
      <c r="I23485" s="237"/>
    </row>
    <row r="23486" spans="1:9" s="232" customFormat="1" ht="17" customHeight="1">
      <c r="A23486" s="234"/>
      <c r="B23486" s="233"/>
      <c r="C23486" s="238"/>
      <c r="E23486" s="545"/>
      <c r="F23486" s="546"/>
      <c r="G23486" s="234"/>
      <c r="H23486" s="238"/>
      <c r="I23486" s="237"/>
    </row>
    <row r="23487" spans="1:9" s="232" customFormat="1" ht="17" customHeight="1">
      <c r="A23487" s="234"/>
      <c r="B23487" s="233"/>
      <c r="C23487" s="238"/>
      <c r="E23487" s="545"/>
      <c r="F23487" s="546"/>
      <c r="G23487" s="234"/>
      <c r="H23487" s="238"/>
      <c r="I23487" s="237"/>
    </row>
    <row r="23488" spans="1:9" s="232" customFormat="1" ht="17" customHeight="1">
      <c r="A23488" s="234"/>
      <c r="B23488" s="233"/>
      <c r="C23488" s="238"/>
      <c r="E23488" s="545"/>
      <c r="F23488" s="546"/>
      <c r="G23488" s="234"/>
      <c r="H23488" s="238"/>
      <c r="I23488" s="237"/>
    </row>
    <row r="23489" spans="1:9" s="232" customFormat="1" ht="17" customHeight="1">
      <c r="A23489" s="234"/>
      <c r="B23489" s="233"/>
      <c r="C23489" s="238"/>
      <c r="E23489" s="545"/>
      <c r="F23489" s="546"/>
      <c r="G23489" s="234"/>
      <c r="H23489" s="238"/>
      <c r="I23489" s="237"/>
    </row>
    <row r="23490" spans="1:9" s="232" customFormat="1" ht="17" customHeight="1">
      <c r="A23490" s="234"/>
      <c r="B23490" s="233"/>
      <c r="C23490" s="238"/>
      <c r="E23490" s="545"/>
      <c r="F23490" s="546"/>
      <c r="G23490" s="234"/>
      <c r="H23490" s="238"/>
      <c r="I23490" s="237"/>
    </row>
    <row r="23491" spans="1:9" s="232" customFormat="1" ht="17" customHeight="1">
      <c r="A23491" s="234"/>
      <c r="B23491" s="233"/>
      <c r="C23491" s="238"/>
      <c r="E23491" s="545"/>
      <c r="F23491" s="546"/>
      <c r="G23491" s="234"/>
      <c r="H23491" s="238"/>
      <c r="I23491" s="237"/>
    </row>
    <row r="23492" spans="1:9" s="232" customFormat="1" ht="17" customHeight="1">
      <c r="A23492" s="234"/>
      <c r="B23492" s="233"/>
      <c r="C23492" s="238"/>
      <c r="E23492" s="545"/>
      <c r="F23492" s="546"/>
      <c r="G23492" s="234"/>
      <c r="H23492" s="238"/>
      <c r="I23492" s="237"/>
    </row>
    <row r="23493" spans="1:9" s="232" customFormat="1" ht="17" customHeight="1">
      <c r="A23493" s="234"/>
      <c r="B23493" s="233"/>
      <c r="C23493" s="238"/>
      <c r="E23493" s="545"/>
      <c r="F23493" s="546"/>
      <c r="G23493" s="234"/>
      <c r="H23493" s="238"/>
      <c r="I23493" s="237"/>
    </row>
    <row r="23494" spans="1:9" s="232" customFormat="1" ht="17" customHeight="1">
      <c r="A23494" s="234"/>
      <c r="B23494" s="233"/>
      <c r="C23494" s="238"/>
      <c r="E23494" s="545"/>
      <c r="F23494" s="546"/>
      <c r="G23494" s="234"/>
      <c r="H23494" s="238"/>
      <c r="I23494" s="237"/>
    </row>
    <row r="23495" spans="1:9" s="232" customFormat="1" ht="17" customHeight="1">
      <c r="A23495" s="234"/>
      <c r="B23495" s="233"/>
      <c r="C23495" s="238"/>
      <c r="E23495" s="545"/>
      <c r="F23495" s="546"/>
      <c r="G23495" s="234"/>
      <c r="H23495" s="238"/>
      <c r="I23495" s="237"/>
    </row>
    <row r="23496" spans="1:9" s="232" customFormat="1" ht="17" customHeight="1">
      <c r="A23496" s="234"/>
      <c r="B23496" s="233"/>
      <c r="C23496" s="238"/>
      <c r="E23496" s="545"/>
      <c r="F23496" s="546"/>
      <c r="G23496" s="234"/>
      <c r="H23496" s="238"/>
      <c r="I23496" s="237"/>
    </row>
    <row r="23497" spans="1:9" s="232" customFormat="1" ht="17" customHeight="1">
      <c r="A23497" s="234"/>
      <c r="B23497" s="233"/>
      <c r="C23497" s="238"/>
      <c r="E23497" s="545"/>
      <c r="F23497" s="546"/>
      <c r="G23497" s="234"/>
      <c r="H23497" s="238"/>
      <c r="I23497" s="237"/>
    </row>
    <row r="23498" spans="1:9" s="232" customFormat="1" ht="17" customHeight="1">
      <c r="A23498" s="234"/>
      <c r="B23498" s="233"/>
      <c r="C23498" s="238"/>
      <c r="E23498" s="545"/>
      <c r="F23498" s="546"/>
      <c r="G23498" s="234"/>
      <c r="H23498" s="238"/>
      <c r="I23498" s="237"/>
    </row>
    <row r="23499" spans="1:9" s="232" customFormat="1" ht="17" customHeight="1">
      <c r="A23499" s="234"/>
      <c r="B23499" s="233"/>
      <c r="C23499" s="238"/>
      <c r="E23499" s="545"/>
      <c r="F23499" s="546"/>
      <c r="G23499" s="234"/>
      <c r="H23499" s="238"/>
      <c r="I23499" s="237"/>
    </row>
    <row r="23500" spans="1:9" s="232" customFormat="1" ht="17" customHeight="1">
      <c r="A23500" s="234"/>
      <c r="B23500" s="233"/>
      <c r="C23500" s="238"/>
      <c r="E23500" s="545"/>
      <c r="F23500" s="546"/>
      <c r="G23500" s="234"/>
      <c r="H23500" s="238"/>
      <c r="I23500" s="237"/>
    </row>
    <row r="23501" spans="1:9" s="232" customFormat="1" ht="17" customHeight="1">
      <c r="A23501" s="234"/>
      <c r="B23501" s="233"/>
      <c r="C23501" s="238"/>
      <c r="E23501" s="545"/>
      <c r="F23501" s="546"/>
      <c r="G23501" s="234"/>
      <c r="H23501" s="238"/>
      <c r="I23501" s="237"/>
    </row>
    <row r="23502" spans="1:9" s="232" customFormat="1" ht="17" customHeight="1">
      <c r="A23502" s="234"/>
      <c r="B23502" s="233"/>
      <c r="C23502" s="238"/>
      <c r="E23502" s="545"/>
      <c r="F23502" s="546"/>
      <c r="G23502" s="234"/>
      <c r="H23502" s="238"/>
      <c r="I23502" s="237"/>
    </row>
    <row r="23503" spans="1:9" s="232" customFormat="1" ht="17" customHeight="1">
      <c r="A23503" s="234"/>
      <c r="B23503" s="233"/>
      <c r="C23503" s="238"/>
      <c r="E23503" s="545"/>
      <c r="F23503" s="546"/>
      <c r="G23503" s="234"/>
      <c r="H23503" s="238"/>
      <c r="I23503" s="237"/>
    </row>
    <row r="23504" spans="1:9" s="232" customFormat="1" ht="17" customHeight="1">
      <c r="A23504" s="234"/>
      <c r="B23504" s="233"/>
      <c r="C23504" s="238"/>
      <c r="E23504" s="545"/>
      <c r="F23504" s="546"/>
      <c r="G23504" s="234"/>
      <c r="H23504" s="238"/>
      <c r="I23504" s="237"/>
    </row>
    <row r="23505" spans="1:9" s="232" customFormat="1" ht="17" customHeight="1">
      <c r="A23505" s="234"/>
      <c r="B23505" s="233"/>
      <c r="C23505" s="238"/>
      <c r="E23505" s="545"/>
      <c r="F23505" s="546"/>
      <c r="G23505" s="234"/>
      <c r="H23505" s="238"/>
      <c r="I23505" s="237"/>
    </row>
    <row r="23506" spans="1:9" s="232" customFormat="1" ht="17" customHeight="1">
      <c r="A23506" s="234"/>
      <c r="B23506" s="233"/>
      <c r="C23506" s="238"/>
      <c r="E23506" s="545"/>
      <c r="F23506" s="546"/>
      <c r="G23506" s="234"/>
      <c r="H23506" s="238"/>
      <c r="I23506" s="237"/>
    </row>
    <row r="23507" spans="1:9" s="232" customFormat="1" ht="17" customHeight="1">
      <c r="A23507" s="234"/>
      <c r="B23507" s="233"/>
      <c r="C23507" s="238"/>
      <c r="E23507" s="545"/>
      <c r="F23507" s="546"/>
      <c r="G23507" s="234"/>
      <c r="H23507" s="238"/>
      <c r="I23507" s="237"/>
    </row>
    <row r="23508" spans="1:9" s="232" customFormat="1" ht="17" customHeight="1">
      <c r="A23508" s="234"/>
      <c r="B23508" s="233"/>
      <c r="C23508" s="238"/>
      <c r="E23508" s="545"/>
      <c r="F23508" s="546"/>
      <c r="G23508" s="234"/>
      <c r="H23508" s="238"/>
      <c r="I23508" s="237"/>
    </row>
    <row r="23509" spans="1:9" s="232" customFormat="1" ht="17" customHeight="1">
      <c r="A23509" s="234"/>
      <c r="B23509" s="233"/>
      <c r="C23509" s="238"/>
      <c r="E23509" s="545"/>
      <c r="F23509" s="546"/>
      <c r="G23509" s="234"/>
      <c r="H23509" s="238"/>
      <c r="I23509" s="237"/>
    </row>
    <row r="23510" spans="1:9" s="232" customFormat="1" ht="17" customHeight="1">
      <c r="A23510" s="234"/>
      <c r="B23510" s="233"/>
      <c r="C23510" s="238"/>
      <c r="E23510" s="545"/>
      <c r="F23510" s="546"/>
      <c r="G23510" s="234"/>
      <c r="H23510" s="238"/>
      <c r="I23510" s="237"/>
    </row>
    <row r="23511" spans="1:9" s="232" customFormat="1" ht="17" customHeight="1">
      <c r="A23511" s="234"/>
      <c r="B23511" s="233"/>
      <c r="C23511" s="238"/>
      <c r="E23511" s="545"/>
      <c r="F23511" s="546"/>
      <c r="G23511" s="234"/>
      <c r="H23511" s="238"/>
      <c r="I23511" s="237"/>
    </row>
    <row r="23512" spans="1:9" s="232" customFormat="1" ht="17" customHeight="1">
      <c r="A23512" s="234"/>
      <c r="B23512" s="233"/>
      <c r="C23512" s="238"/>
      <c r="E23512" s="545"/>
      <c r="F23512" s="546"/>
      <c r="G23512" s="234"/>
      <c r="H23512" s="238"/>
      <c r="I23512" s="237"/>
    </row>
    <row r="23513" spans="1:9" s="232" customFormat="1" ht="17" customHeight="1">
      <c r="A23513" s="234"/>
      <c r="B23513" s="233"/>
      <c r="C23513" s="238"/>
      <c r="E23513" s="545"/>
      <c r="F23513" s="546"/>
      <c r="G23513" s="234"/>
      <c r="H23513" s="238"/>
      <c r="I23513" s="237"/>
    </row>
    <row r="23514" spans="1:9" s="232" customFormat="1" ht="17" customHeight="1">
      <c r="A23514" s="234"/>
      <c r="B23514" s="233"/>
      <c r="C23514" s="238"/>
      <c r="E23514" s="545"/>
      <c r="F23514" s="546"/>
      <c r="G23514" s="234"/>
      <c r="H23514" s="238"/>
      <c r="I23514" s="237"/>
    </row>
    <row r="23515" spans="1:9" s="232" customFormat="1" ht="17" customHeight="1">
      <c r="A23515" s="234"/>
      <c r="B23515" s="233"/>
      <c r="C23515" s="238"/>
      <c r="E23515" s="545"/>
      <c r="F23515" s="546"/>
      <c r="G23515" s="234"/>
      <c r="H23515" s="238"/>
      <c r="I23515" s="237"/>
    </row>
    <row r="23516" spans="1:9" s="232" customFormat="1" ht="17" customHeight="1">
      <c r="A23516" s="234"/>
      <c r="B23516" s="233"/>
      <c r="C23516" s="238"/>
      <c r="E23516" s="545"/>
      <c r="F23516" s="546"/>
      <c r="G23516" s="234"/>
      <c r="H23516" s="238"/>
      <c r="I23516" s="237"/>
    </row>
    <row r="23517" spans="1:9" s="232" customFormat="1" ht="17" customHeight="1">
      <c r="A23517" s="234"/>
      <c r="B23517" s="233"/>
      <c r="C23517" s="238"/>
      <c r="E23517" s="545"/>
      <c r="F23517" s="546"/>
      <c r="G23517" s="234"/>
      <c r="H23517" s="238"/>
      <c r="I23517" s="237"/>
    </row>
    <row r="23518" spans="1:9" s="232" customFormat="1" ht="17" customHeight="1">
      <c r="A23518" s="234"/>
      <c r="B23518" s="233"/>
      <c r="C23518" s="238"/>
      <c r="E23518" s="545"/>
      <c r="F23518" s="546"/>
      <c r="G23518" s="234"/>
      <c r="H23518" s="238"/>
      <c r="I23518" s="237"/>
    </row>
    <row r="23519" spans="1:9" s="232" customFormat="1" ht="17" customHeight="1">
      <c r="A23519" s="234"/>
      <c r="B23519" s="233"/>
      <c r="C23519" s="238"/>
      <c r="E23519" s="545"/>
      <c r="F23519" s="546"/>
      <c r="G23519" s="234"/>
      <c r="H23519" s="238"/>
      <c r="I23519" s="237"/>
    </row>
    <row r="23520" spans="1:9" s="232" customFormat="1" ht="17" customHeight="1">
      <c r="A23520" s="234"/>
      <c r="B23520" s="233"/>
      <c r="C23520" s="238"/>
      <c r="E23520" s="545"/>
      <c r="F23520" s="546"/>
      <c r="G23520" s="234"/>
      <c r="H23520" s="238"/>
      <c r="I23520" s="237"/>
    </row>
    <row r="23521" spans="1:9" s="232" customFormat="1" ht="17" customHeight="1">
      <c r="A23521" s="234"/>
      <c r="B23521" s="233"/>
      <c r="C23521" s="238"/>
      <c r="E23521" s="545"/>
      <c r="F23521" s="546"/>
      <c r="G23521" s="234"/>
      <c r="H23521" s="238"/>
      <c r="I23521" s="237"/>
    </row>
    <row r="23522" spans="1:9" s="232" customFormat="1" ht="17" customHeight="1">
      <c r="A23522" s="234"/>
      <c r="B23522" s="233"/>
      <c r="C23522" s="238"/>
      <c r="E23522" s="545"/>
      <c r="F23522" s="546"/>
      <c r="G23522" s="234"/>
      <c r="H23522" s="238"/>
      <c r="I23522" s="237"/>
    </row>
    <row r="23523" spans="1:9" s="232" customFormat="1" ht="17" customHeight="1">
      <c r="A23523" s="234"/>
      <c r="B23523" s="233"/>
      <c r="C23523" s="238"/>
      <c r="E23523" s="545"/>
      <c r="F23523" s="546"/>
      <c r="G23523" s="234"/>
      <c r="H23523" s="238"/>
      <c r="I23523" s="237"/>
    </row>
    <row r="23524" spans="1:9" s="232" customFormat="1" ht="17" customHeight="1">
      <c r="A23524" s="234"/>
      <c r="B23524" s="233"/>
      <c r="C23524" s="238"/>
      <c r="E23524" s="545"/>
      <c r="F23524" s="546"/>
      <c r="G23524" s="234"/>
      <c r="H23524" s="238"/>
      <c r="I23524" s="237"/>
    </row>
    <row r="23525" spans="1:9" s="232" customFormat="1" ht="17" customHeight="1">
      <c r="A23525" s="234"/>
      <c r="B23525" s="233"/>
      <c r="C23525" s="238"/>
      <c r="E23525" s="545"/>
      <c r="F23525" s="546"/>
      <c r="G23525" s="234"/>
      <c r="H23525" s="238"/>
      <c r="I23525" s="237"/>
    </row>
    <row r="23526" spans="1:9" s="232" customFormat="1" ht="17" customHeight="1">
      <c r="A23526" s="234"/>
      <c r="B23526" s="233"/>
      <c r="C23526" s="238"/>
      <c r="E23526" s="545"/>
      <c r="F23526" s="546"/>
      <c r="G23526" s="234"/>
      <c r="H23526" s="238"/>
      <c r="I23526" s="237"/>
    </row>
    <row r="23527" spans="1:9" s="232" customFormat="1" ht="17" customHeight="1">
      <c r="A23527" s="234"/>
      <c r="B23527" s="233"/>
      <c r="C23527" s="238"/>
      <c r="E23527" s="545"/>
      <c r="F23527" s="546"/>
      <c r="G23527" s="234"/>
      <c r="H23527" s="238"/>
      <c r="I23527" s="237"/>
    </row>
    <row r="23528" spans="1:9" s="232" customFormat="1" ht="17" customHeight="1">
      <c r="A23528" s="234"/>
      <c r="B23528" s="233"/>
      <c r="C23528" s="238"/>
      <c r="E23528" s="545"/>
      <c r="F23528" s="546"/>
      <c r="G23528" s="234"/>
      <c r="H23528" s="238"/>
      <c r="I23528" s="237"/>
    </row>
    <row r="23529" spans="1:9" s="232" customFormat="1" ht="17" customHeight="1">
      <c r="A23529" s="234"/>
      <c r="B23529" s="233"/>
      <c r="C23529" s="238"/>
      <c r="E23529" s="545"/>
      <c r="F23529" s="546"/>
      <c r="G23529" s="234"/>
      <c r="H23529" s="238"/>
      <c r="I23529" s="237"/>
    </row>
    <row r="23530" spans="1:9" s="232" customFormat="1" ht="17" customHeight="1">
      <c r="A23530" s="234"/>
      <c r="B23530" s="233"/>
      <c r="C23530" s="238"/>
      <c r="E23530" s="545"/>
      <c r="F23530" s="546"/>
      <c r="G23530" s="234"/>
      <c r="H23530" s="238"/>
      <c r="I23530" s="237"/>
    </row>
    <row r="23531" spans="1:9" s="232" customFormat="1" ht="17" customHeight="1">
      <c r="A23531" s="234"/>
      <c r="B23531" s="233"/>
      <c r="C23531" s="238"/>
      <c r="E23531" s="545"/>
      <c r="F23531" s="546"/>
      <c r="G23531" s="234"/>
      <c r="H23531" s="238"/>
      <c r="I23531" s="237"/>
    </row>
    <row r="23532" spans="1:9" s="232" customFormat="1" ht="17" customHeight="1">
      <c r="A23532" s="234"/>
      <c r="B23532" s="233"/>
      <c r="C23532" s="238"/>
      <c r="E23532" s="545"/>
      <c r="F23532" s="546"/>
      <c r="G23532" s="234"/>
      <c r="H23532" s="238"/>
      <c r="I23532" s="237"/>
    </row>
    <row r="23533" spans="1:9" s="232" customFormat="1" ht="17" customHeight="1">
      <c r="A23533" s="234"/>
      <c r="B23533" s="233"/>
      <c r="C23533" s="238"/>
      <c r="E23533" s="545"/>
      <c r="F23533" s="546"/>
      <c r="G23533" s="234"/>
      <c r="H23533" s="238"/>
      <c r="I23533" s="237"/>
    </row>
    <row r="23534" spans="1:9" s="232" customFormat="1" ht="17" customHeight="1">
      <c r="A23534" s="234"/>
      <c r="B23534" s="233"/>
      <c r="C23534" s="238"/>
      <c r="E23534" s="545"/>
      <c r="F23534" s="546"/>
      <c r="G23534" s="234"/>
      <c r="H23534" s="238"/>
      <c r="I23534" s="237"/>
    </row>
    <row r="23535" spans="1:9" s="232" customFormat="1" ht="17" customHeight="1">
      <c r="A23535" s="234"/>
      <c r="B23535" s="233"/>
      <c r="C23535" s="238"/>
      <c r="E23535" s="545"/>
      <c r="F23535" s="546"/>
      <c r="G23535" s="234"/>
      <c r="H23535" s="238"/>
      <c r="I23535" s="237"/>
    </row>
    <row r="23536" spans="1:9" s="232" customFormat="1" ht="17" customHeight="1">
      <c r="A23536" s="234"/>
      <c r="B23536" s="233"/>
      <c r="C23536" s="238"/>
      <c r="E23536" s="545"/>
      <c r="F23536" s="546"/>
      <c r="G23536" s="234"/>
      <c r="H23536" s="238"/>
      <c r="I23536" s="237"/>
    </row>
    <row r="23537" spans="1:9" s="232" customFormat="1" ht="17" customHeight="1">
      <c r="A23537" s="234"/>
      <c r="B23537" s="233"/>
      <c r="C23537" s="238"/>
      <c r="E23537" s="545"/>
      <c r="F23537" s="546"/>
      <c r="G23537" s="234"/>
      <c r="H23537" s="238"/>
      <c r="I23537" s="237"/>
    </row>
    <row r="23538" spans="1:9" s="232" customFormat="1" ht="17" customHeight="1">
      <c r="A23538" s="234"/>
      <c r="B23538" s="233"/>
      <c r="C23538" s="238"/>
      <c r="E23538" s="545"/>
      <c r="F23538" s="546"/>
      <c r="G23538" s="234"/>
      <c r="H23538" s="238"/>
      <c r="I23538" s="237"/>
    </row>
    <row r="23539" spans="1:9" s="232" customFormat="1" ht="17" customHeight="1">
      <c r="A23539" s="234"/>
      <c r="B23539" s="233"/>
      <c r="C23539" s="238"/>
      <c r="E23539" s="545"/>
      <c r="F23539" s="546"/>
      <c r="G23539" s="234"/>
      <c r="H23539" s="238"/>
      <c r="I23539" s="237"/>
    </row>
    <row r="23540" spans="1:9" s="232" customFormat="1" ht="17" customHeight="1">
      <c r="A23540" s="234"/>
      <c r="B23540" s="233"/>
      <c r="C23540" s="238"/>
      <c r="E23540" s="545"/>
      <c r="F23540" s="546"/>
      <c r="G23540" s="234"/>
      <c r="H23540" s="238"/>
      <c r="I23540" s="237"/>
    </row>
    <row r="23541" spans="1:9" s="232" customFormat="1" ht="17" customHeight="1">
      <c r="A23541" s="234"/>
      <c r="B23541" s="233"/>
      <c r="C23541" s="238"/>
      <c r="E23541" s="545"/>
      <c r="F23541" s="546"/>
      <c r="G23541" s="234"/>
      <c r="H23541" s="238"/>
      <c r="I23541" s="237"/>
    </row>
    <row r="23542" spans="1:9" s="232" customFormat="1" ht="17" customHeight="1">
      <c r="A23542" s="234"/>
      <c r="B23542" s="233"/>
      <c r="C23542" s="238"/>
      <c r="E23542" s="545"/>
      <c r="F23542" s="546"/>
      <c r="G23542" s="234"/>
      <c r="H23542" s="238"/>
      <c r="I23542" s="237"/>
    </row>
    <row r="23543" spans="1:9" s="232" customFormat="1" ht="17" customHeight="1">
      <c r="A23543" s="234"/>
      <c r="B23543" s="233"/>
      <c r="C23543" s="238"/>
      <c r="E23543" s="545"/>
      <c r="F23543" s="546"/>
      <c r="G23543" s="234"/>
      <c r="H23543" s="238"/>
      <c r="I23543" s="237"/>
    </row>
    <row r="23544" spans="1:9" s="232" customFormat="1" ht="17" customHeight="1">
      <c r="A23544" s="234"/>
      <c r="B23544" s="233"/>
      <c r="C23544" s="238"/>
      <c r="E23544" s="545"/>
      <c r="F23544" s="546"/>
      <c r="G23544" s="234"/>
      <c r="H23544" s="238"/>
      <c r="I23544" s="237"/>
    </row>
    <row r="23545" spans="1:9" s="232" customFormat="1" ht="17" customHeight="1">
      <c r="A23545" s="234"/>
      <c r="B23545" s="233"/>
      <c r="C23545" s="238"/>
      <c r="E23545" s="545"/>
      <c r="F23545" s="546"/>
      <c r="G23545" s="234"/>
      <c r="H23545" s="238"/>
      <c r="I23545" s="237"/>
    </row>
    <row r="23546" spans="1:9" s="232" customFormat="1" ht="17" customHeight="1">
      <c r="A23546" s="234"/>
      <c r="B23546" s="233"/>
      <c r="C23546" s="238"/>
      <c r="E23546" s="545"/>
      <c r="F23546" s="546"/>
      <c r="G23546" s="234"/>
      <c r="H23546" s="238"/>
      <c r="I23546" s="237"/>
    </row>
    <row r="23547" spans="1:9" s="232" customFormat="1" ht="17" customHeight="1">
      <c r="A23547" s="234"/>
      <c r="B23547" s="233"/>
      <c r="C23547" s="238"/>
      <c r="E23547" s="545"/>
      <c r="F23547" s="546"/>
      <c r="G23547" s="234"/>
      <c r="H23547" s="238"/>
      <c r="I23547" s="237"/>
    </row>
    <row r="23548" spans="1:9" s="232" customFormat="1" ht="17" customHeight="1">
      <c r="A23548" s="234"/>
      <c r="B23548" s="233"/>
      <c r="C23548" s="238"/>
      <c r="E23548" s="545"/>
      <c r="F23548" s="546"/>
      <c r="G23548" s="234"/>
      <c r="H23548" s="238"/>
      <c r="I23548" s="237"/>
    </row>
    <row r="23549" spans="1:9" s="232" customFormat="1" ht="17" customHeight="1">
      <c r="A23549" s="234"/>
      <c r="B23549" s="233"/>
      <c r="C23549" s="238"/>
      <c r="E23549" s="545"/>
      <c r="F23549" s="546"/>
      <c r="G23549" s="234"/>
      <c r="H23549" s="238"/>
      <c r="I23549" s="237"/>
    </row>
    <row r="23550" spans="1:9" s="232" customFormat="1" ht="17" customHeight="1">
      <c r="A23550" s="234"/>
      <c r="B23550" s="233"/>
      <c r="C23550" s="238"/>
      <c r="E23550" s="545"/>
      <c r="F23550" s="546"/>
      <c r="G23550" s="234"/>
      <c r="H23550" s="238"/>
      <c r="I23550" s="237"/>
    </row>
    <row r="23551" spans="1:9" s="232" customFormat="1" ht="17" customHeight="1">
      <c r="A23551" s="234"/>
      <c r="B23551" s="233"/>
      <c r="C23551" s="238"/>
      <c r="E23551" s="545"/>
      <c r="F23551" s="546"/>
      <c r="G23551" s="234"/>
      <c r="H23551" s="238"/>
      <c r="I23551" s="237"/>
    </row>
    <row r="23552" spans="1:9" s="232" customFormat="1" ht="17" customHeight="1">
      <c r="A23552" s="234"/>
      <c r="B23552" s="233"/>
      <c r="C23552" s="238"/>
      <c r="E23552" s="545"/>
      <c r="F23552" s="546"/>
      <c r="G23552" s="234"/>
      <c r="H23552" s="238"/>
      <c r="I23552" s="237"/>
    </row>
    <row r="23553" spans="1:9" s="232" customFormat="1" ht="17" customHeight="1">
      <c r="A23553" s="234"/>
      <c r="B23553" s="233"/>
      <c r="C23553" s="238"/>
      <c r="E23553" s="545"/>
      <c r="F23553" s="546"/>
      <c r="G23553" s="234"/>
      <c r="H23553" s="238"/>
      <c r="I23553" s="237"/>
    </row>
    <row r="23554" spans="1:9" s="232" customFormat="1" ht="17" customHeight="1">
      <c r="A23554" s="234"/>
      <c r="B23554" s="233"/>
      <c r="C23554" s="238"/>
      <c r="E23554" s="545"/>
      <c r="F23554" s="546"/>
      <c r="G23554" s="234"/>
      <c r="H23554" s="238"/>
      <c r="I23554" s="237"/>
    </row>
    <row r="23555" spans="1:9" s="232" customFormat="1" ht="17" customHeight="1">
      <c r="A23555" s="234"/>
      <c r="B23555" s="233"/>
      <c r="C23555" s="238"/>
      <c r="E23555" s="545"/>
      <c r="F23555" s="546"/>
      <c r="G23555" s="234"/>
      <c r="H23555" s="238"/>
      <c r="I23555" s="237"/>
    </row>
    <row r="23556" spans="1:9" s="232" customFormat="1" ht="17" customHeight="1">
      <c r="A23556" s="234"/>
      <c r="B23556" s="233"/>
      <c r="C23556" s="238"/>
      <c r="E23556" s="545"/>
      <c r="F23556" s="546"/>
      <c r="G23556" s="234"/>
      <c r="H23556" s="238"/>
      <c r="I23556" s="237"/>
    </row>
    <row r="23557" spans="1:9" s="232" customFormat="1" ht="17" customHeight="1">
      <c r="A23557" s="234"/>
      <c r="B23557" s="233"/>
      <c r="C23557" s="238"/>
      <c r="E23557" s="545"/>
      <c r="F23557" s="546"/>
      <c r="G23557" s="234"/>
      <c r="H23557" s="238"/>
      <c r="I23557" s="237"/>
    </row>
    <row r="23558" spans="1:9" s="232" customFormat="1" ht="17" customHeight="1">
      <c r="A23558" s="234"/>
      <c r="B23558" s="233"/>
      <c r="C23558" s="238"/>
      <c r="E23558" s="545"/>
      <c r="F23558" s="546"/>
      <c r="G23558" s="234"/>
      <c r="H23558" s="238"/>
      <c r="I23558" s="237"/>
    </row>
    <row r="23559" spans="1:9" s="232" customFormat="1" ht="17" customHeight="1">
      <c r="A23559" s="234"/>
      <c r="B23559" s="233"/>
      <c r="C23559" s="238"/>
      <c r="E23559" s="545"/>
      <c r="F23559" s="546"/>
      <c r="G23559" s="234"/>
      <c r="H23559" s="238"/>
      <c r="I23559" s="237"/>
    </row>
    <row r="23560" spans="1:9" s="232" customFormat="1" ht="17" customHeight="1">
      <c r="A23560" s="234"/>
      <c r="B23560" s="233"/>
      <c r="C23560" s="238"/>
      <c r="E23560" s="545"/>
      <c r="F23560" s="546"/>
      <c r="G23560" s="234"/>
      <c r="H23560" s="238"/>
      <c r="I23560" s="237"/>
    </row>
    <row r="23561" spans="1:9" s="232" customFormat="1" ht="17" customHeight="1">
      <c r="A23561" s="234"/>
      <c r="B23561" s="233"/>
      <c r="C23561" s="238"/>
      <c r="E23561" s="545"/>
      <c r="F23561" s="546"/>
      <c r="G23561" s="234"/>
      <c r="H23561" s="238"/>
      <c r="I23561" s="237"/>
    </row>
    <row r="23562" spans="1:9" s="232" customFormat="1" ht="17" customHeight="1">
      <c r="A23562" s="234"/>
      <c r="B23562" s="233"/>
      <c r="C23562" s="238"/>
      <c r="E23562" s="545"/>
      <c r="F23562" s="546"/>
      <c r="G23562" s="234"/>
      <c r="H23562" s="238"/>
      <c r="I23562" s="237"/>
    </row>
    <row r="23563" spans="1:9" s="232" customFormat="1" ht="17" customHeight="1">
      <c r="A23563" s="234"/>
      <c r="B23563" s="233"/>
      <c r="C23563" s="238"/>
      <c r="E23563" s="545"/>
      <c r="F23563" s="546"/>
      <c r="G23563" s="234"/>
      <c r="H23563" s="238"/>
      <c r="I23563" s="237"/>
    </row>
    <row r="23564" spans="1:9" s="232" customFormat="1" ht="17" customHeight="1">
      <c r="A23564" s="234"/>
      <c r="B23564" s="233"/>
      <c r="C23564" s="238"/>
      <c r="E23564" s="545"/>
      <c r="F23564" s="546"/>
      <c r="G23564" s="234"/>
      <c r="H23564" s="238"/>
      <c r="I23564" s="237"/>
    </row>
    <row r="23565" spans="1:9" s="232" customFormat="1" ht="17" customHeight="1">
      <c r="A23565" s="234"/>
      <c r="B23565" s="233"/>
      <c r="C23565" s="238"/>
      <c r="E23565" s="545"/>
      <c r="F23565" s="546"/>
      <c r="G23565" s="234"/>
      <c r="H23565" s="238"/>
      <c r="I23565" s="237"/>
    </row>
    <row r="23566" spans="1:9" s="232" customFormat="1" ht="17" customHeight="1">
      <c r="A23566" s="234"/>
      <c r="B23566" s="233"/>
      <c r="C23566" s="238"/>
      <c r="E23566" s="545"/>
      <c r="F23566" s="546"/>
      <c r="G23566" s="234"/>
      <c r="H23566" s="238"/>
      <c r="I23566" s="237"/>
    </row>
    <row r="23567" spans="1:9" s="232" customFormat="1" ht="17" customHeight="1">
      <c r="A23567" s="234"/>
      <c r="B23567" s="233"/>
      <c r="C23567" s="238"/>
      <c r="E23567" s="545"/>
      <c r="F23567" s="546"/>
      <c r="G23567" s="234"/>
      <c r="H23567" s="238"/>
      <c r="I23567" s="237"/>
    </row>
    <row r="23568" spans="1:9" s="232" customFormat="1" ht="17" customHeight="1">
      <c r="A23568" s="234"/>
      <c r="B23568" s="233"/>
      <c r="C23568" s="238"/>
      <c r="E23568" s="545"/>
      <c r="F23568" s="546"/>
      <c r="G23568" s="234"/>
      <c r="H23568" s="238"/>
      <c r="I23568" s="237"/>
    </row>
    <row r="23569" spans="1:9" s="232" customFormat="1" ht="17" customHeight="1">
      <c r="A23569" s="234"/>
      <c r="B23569" s="233"/>
      <c r="C23569" s="238"/>
      <c r="E23569" s="545"/>
      <c r="F23569" s="546"/>
      <c r="G23569" s="234"/>
      <c r="H23569" s="238"/>
      <c r="I23569" s="237"/>
    </row>
    <row r="23570" spans="1:9" s="232" customFormat="1" ht="17" customHeight="1">
      <c r="A23570" s="234"/>
      <c r="B23570" s="233"/>
      <c r="C23570" s="238"/>
      <c r="E23570" s="545"/>
      <c r="F23570" s="546"/>
      <c r="G23570" s="234"/>
      <c r="H23570" s="238"/>
      <c r="I23570" s="237"/>
    </row>
    <row r="23571" spans="1:9" s="232" customFormat="1" ht="17" customHeight="1">
      <c r="A23571" s="234"/>
      <c r="B23571" s="233"/>
      <c r="C23571" s="238"/>
      <c r="E23571" s="545"/>
      <c r="F23571" s="546"/>
      <c r="G23571" s="234"/>
      <c r="H23571" s="238"/>
      <c r="I23571" s="237"/>
    </row>
    <row r="23572" spans="1:9" s="232" customFormat="1" ht="17" customHeight="1">
      <c r="A23572" s="234"/>
      <c r="B23572" s="233"/>
      <c r="C23572" s="238"/>
      <c r="E23572" s="545"/>
      <c r="F23572" s="546"/>
      <c r="G23572" s="234"/>
      <c r="H23572" s="238"/>
      <c r="I23572" s="237"/>
    </row>
    <row r="23573" spans="1:9" s="232" customFormat="1" ht="17" customHeight="1">
      <c r="A23573" s="234"/>
      <c r="B23573" s="233"/>
      <c r="C23573" s="238"/>
      <c r="E23573" s="545"/>
      <c r="F23573" s="546"/>
      <c r="G23573" s="234"/>
      <c r="H23573" s="238"/>
      <c r="I23573" s="237"/>
    </row>
    <row r="23574" spans="1:9" s="232" customFormat="1" ht="17" customHeight="1">
      <c r="A23574" s="234"/>
      <c r="B23574" s="233"/>
      <c r="C23574" s="238"/>
      <c r="E23574" s="545"/>
      <c r="F23574" s="546"/>
      <c r="G23574" s="234"/>
      <c r="H23574" s="238"/>
      <c r="I23574" s="237"/>
    </row>
    <row r="23575" spans="1:9" s="232" customFormat="1" ht="17" customHeight="1">
      <c r="A23575" s="234"/>
      <c r="B23575" s="233"/>
      <c r="C23575" s="238"/>
      <c r="E23575" s="545"/>
      <c r="F23575" s="546"/>
      <c r="G23575" s="234"/>
      <c r="H23575" s="238"/>
      <c r="I23575" s="237"/>
    </row>
    <row r="23576" spans="1:9" s="232" customFormat="1" ht="17" customHeight="1">
      <c r="A23576" s="234"/>
      <c r="B23576" s="233"/>
      <c r="C23576" s="238"/>
      <c r="E23576" s="545"/>
      <c r="F23576" s="546"/>
      <c r="G23576" s="234"/>
      <c r="H23576" s="238"/>
      <c r="I23576" s="237"/>
    </row>
    <row r="23577" spans="1:9" s="232" customFormat="1" ht="17" customHeight="1">
      <c r="A23577" s="234"/>
      <c r="B23577" s="233"/>
      <c r="C23577" s="238"/>
      <c r="E23577" s="545"/>
      <c r="F23577" s="546"/>
      <c r="G23577" s="234"/>
      <c r="H23577" s="238"/>
      <c r="I23577" s="237"/>
    </row>
    <row r="23578" spans="1:9" s="232" customFormat="1" ht="17" customHeight="1">
      <c r="A23578" s="234"/>
      <c r="B23578" s="233"/>
      <c r="C23578" s="238"/>
      <c r="E23578" s="545"/>
      <c r="F23578" s="546"/>
      <c r="G23578" s="234"/>
      <c r="H23578" s="238"/>
      <c r="I23578" s="237"/>
    </row>
    <row r="23579" spans="1:9" s="232" customFormat="1" ht="17" customHeight="1">
      <c r="A23579" s="234"/>
      <c r="B23579" s="233"/>
      <c r="C23579" s="238"/>
      <c r="E23579" s="545"/>
      <c r="F23579" s="546"/>
      <c r="G23579" s="234"/>
      <c r="H23579" s="238"/>
      <c r="I23579" s="237"/>
    </row>
    <row r="23580" spans="1:9" s="232" customFormat="1" ht="17" customHeight="1">
      <c r="A23580" s="234"/>
      <c r="B23580" s="233"/>
      <c r="C23580" s="238"/>
      <c r="E23580" s="545"/>
      <c r="F23580" s="546"/>
      <c r="G23580" s="234"/>
      <c r="H23580" s="238"/>
      <c r="I23580" s="237"/>
    </row>
    <row r="23581" spans="1:9" s="232" customFormat="1" ht="17" customHeight="1">
      <c r="A23581" s="234"/>
      <c r="B23581" s="233"/>
      <c r="C23581" s="238"/>
      <c r="E23581" s="545"/>
      <c r="F23581" s="546"/>
      <c r="G23581" s="234"/>
      <c r="H23581" s="238"/>
      <c r="I23581" s="237"/>
    </row>
    <row r="23582" spans="1:9" s="232" customFormat="1" ht="17" customHeight="1">
      <c r="A23582" s="234"/>
      <c r="B23582" s="233"/>
      <c r="C23582" s="238"/>
      <c r="E23582" s="545"/>
      <c r="F23582" s="546"/>
      <c r="G23582" s="234"/>
      <c r="H23582" s="238"/>
      <c r="I23582" s="237"/>
    </row>
    <row r="23583" spans="1:9" s="232" customFormat="1" ht="17" customHeight="1">
      <c r="A23583" s="234"/>
      <c r="B23583" s="233"/>
      <c r="C23583" s="238"/>
      <c r="E23583" s="545"/>
      <c r="F23583" s="546"/>
      <c r="G23583" s="234"/>
      <c r="H23583" s="238"/>
      <c r="I23583" s="237"/>
    </row>
    <row r="23584" spans="1:9" s="232" customFormat="1" ht="17" customHeight="1">
      <c r="A23584" s="234"/>
      <c r="B23584" s="233"/>
      <c r="C23584" s="238"/>
      <c r="E23584" s="545"/>
      <c r="F23584" s="546"/>
      <c r="G23584" s="234"/>
      <c r="H23584" s="238"/>
      <c r="I23584" s="237"/>
    </row>
    <row r="23585" spans="1:9" s="232" customFormat="1" ht="17" customHeight="1">
      <c r="A23585" s="234"/>
      <c r="B23585" s="233"/>
      <c r="C23585" s="238"/>
      <c r="E23585" s="545"/>
      <c r="F23585" s="546"/>
      <c r="G23585" s="234"/>
      <c r="H23585" s="238"/>
      <c r="I23585" s="237"/>
    </row>
    <row r="23586" spans="1:9" s="232" customFormat="1" ht="17" customHeight="1">
      <c r="A23586" s="234"/>
      <c r="B23586" s="233"/>
      <c r="C23586" s="238"/>
      <c r="E23586" s="545"/>
      <c r="F23586" s="546"/>
      <c r="G23586" s="234"/>
      <c r="H23586" s="238"/>
      <c r="I23586" s="237"/>
    </row>
    <row r="23587" spans="1:9" s="232" customFormat="1" ht="17" customHeight="1">
      <c r="A23587" s="234"/>
      <c r="B23587" s="233"/>
      <c r="C23587" s="238"/>
      <c r="E23587" s="545"/>
      <c r="F23587" s="546"/>
      <c r="G23587" s="234"/>
      <c r="H23587" s="238"/>
      <c r="I23587" s="237"/>
    </row>
    <row r="23588" spans="1:9" s="232" customFormat="1" ht="17" customHeight="1">
      <c r="A23588" s="234"/>
      <c r="B23588" s="233"/>
      <c r="C23588" s="238"/>
      <c r="E23588" s="545"/>
      <c r="F23588" s="546"/>
      <c r="G23588" s="234"/>
      <c r="H23588" s="238"/>
      <c r="I23588" s="237"/>
    </row>
    <row r="23589" spans="1:9" s="232" customFormat="1" ht="17" customHeight="1">
      <c r="A23589" s="234"/>
      <c r="B23589" s="233"/>
      <c r="C23589" s="238"/>
      <c r="E23589" s="545"/>
      <c r="F23589" s="546"/>
      <c r="G23589" s="234"/>
      <c r="H23589" s="238"/>
      <c r="I23589" s="237"/>
    </row>
    <row r="23590" spans="1:9" s="232" customFormat="1" ht="17" customHeight="1">
      <c r="A23590" s="234"/>
      <c r="B23590" s="233"/>
      <c r="C23590" s="238"/>
      <c r="E23590" s="545"/>
      <c r="F23590" s="546"/>
      <c r="G23590" s="234"/>
      <c r="H23590" s="238"/>
      <c r="I23590" s="237"/>
    </row>
    <row r="23591" spans="1:9" s="232" customFormat="1" ht="17" customHeight="1">
      <c r="A23591" s="234"/>
      <c r="B23591" s="233"/>
      <c r="C23591" s="238"/>
      <c r="E23591" s="545"/>
      <c r="F23591" s="546"/>
      <c r="G23591" s="234"/>
      <c r="H23591" s="238"/>
      <c r="I23591" s="237"/>
    </row>
    <row r="23592" spans="1:9" s="232" customFormat="1" ht="17" customHeight="1">
      <c r="A23592" s="234"/>
      <c r="B23592" s="233"/>
      <c r="C23592" s="238"/>
      <c r="E23592" s="545"/>
      <c r="F23592" s="546"/>
      <c r="G23592" s="234"/>
      <c r="H23592" s="238"/>
      <c r="I23592" s="237"/>
    </row>
    <row r="23593" spans="1:9" s="232" customFormat="1" ht="17" customHeight="1">
      <c r="A23593" s="234"/>
      <c r="B23593" s="233"/>
      <c r="C23593" s="238"/>
      <c r="E23593" s="545"/>
      <c r="F23593" s="546"/>
      <c r="G23593" s="234"/>
      <c r="H23593" s="238"/>
      <c r="I23593" s="237"/>
    </row>
    <row r="23594" spans="1:9" s="232" customFormat="1" ht="17" customHeight="1">
      <c r="A23594" s="234"/>
      <c r="B23594" s="233"/>
      <c r="C23594" s="238"/>
      <c r="E23594" s="545"/>
      <c r="F23594" s="546"/>
      <c r="G23594" s="234"/>
      <c r="H23594" s="238"/>
      <c r="I23594" s="237"/>
    </row>
    <row r="23595" spans="1:9" s="232" customFormat="1" ht="17" customHeight="1">
      <c r="A23595" s="234"/>
      <c r="B23595" s="233"/>
      <c r="C23595" s="238"/>
      <c r="E23595" s="545"/>
      <c r="F23595" s="546"/>
      <c r="G23595" s="234"/>
      <c r="H23595" s="238"/>
      <c r="I23595" s="237"/>
    </row>
    <row r="23596" spans="1:9" s="232" customFormat="1" ht="17" customHeight="1">
      <c r="A23596" s="234"/>
      <c r="B23596" s="233"/>
      <c r="C23596" s="238"/>
      <c r="E23596" s="545"/>
      <c r="F23596" s="546"/>
      <c r="G23596" s="234"/>
      <c r="H23596" s="238"/>
      <c r="I23596" s="237"/>
    </row>
    <row r="23597" spans="1:9" s="232" customFormat="1" ht="17" customHeight="1">
      <c r="A23597" s="234"/>
      <c r="B23597" s="233"/>
      <c r="C23597" s="238"/>
      <c r="E23597" s="545"/>
      <c r="F23597" s="546"/>
      <c r="G23597" s="234"/>
      <c r="H23597" s="238"/>
      <c r="I23597" s="237"/>
    </row>
    <row r="23598" spans="1:9" s="232" customFormat="1" ht="17" customHeight="1">
      <c r="A23598" s="234"/>
      <c r="B23598" s="233"/>
      <c r="C23598" s="238"/>
      <c r="E23598" s="545"/>
      <c r="F23598" s="546"/>
      <c r="G23598" s="234"/>
      <c r="H23598" s="238"/>
      <c r="I23598" s="237"/>
    </row>
    <row r="23599" spans="1:9" s="232" customFormat="1" ht="17" customHeight="1">
      <c r="A23599" s="234"/>
      <c r="B23599" s="233"/>
      <c r="C23599" s="238"/>
      <c r="E23599" s="545"/>
      <c r="F23599" s="546"/>
      <c r="G23599" s="234"/>
      <c r="H23599" s="238"/>
      <c r="I23599" s="237"/>
    </row>
    <row r="23600" spans="1:9" s="232" customFormat="1" ht="17" customHeight="1">
      <c r="A23600" s="234"/>
      <c r="B23600" s="233"/>
      <c r="C23600" s="238"/>
      <c r="E23600" s="545"/>
      <c r="F23600" s="546"/>
      <c r="G23600" s="234"/>
      <c r="H23600" s="238"/>
      <c r="I23600" s="237"/>
    </row>
    <row r="23601" spans="1:9" s="232" customFormat="1" ht="17" customHeight="1">
      <c r="A23601" s="234"/>
      <c r="B23601" s="233"/>
      <c r="C23601" s="238"/>
      <c r="E23601" s="545"/>
      <c r="F23601" s="546"/>
      <c r="G23601" s="234"/>
      <c r="H23601" s="238"/>
      <c r="I23601" s="237"/>
    </row>
    <row r="23602" spans="1:9" s="232" customFormat="1" ht="17" customHeight="1">
      <c r="A23602" s="234"/>
      <c r="B23602" s="233"/>
      <c r="C23602" s="238"/>
      <c r="E23602" s="545"/>
      <c r="F23602" s="546"/>
      <c r="G23602" s="234"/>
      <c r="H23602" s="238"/>
      <c r="I23602" s="237"/>
    </row>
    <row r="23603" spans="1:9" s="232" customFormat="1" ht="17" customHeight="1">
      <c r="A23603" s="234"/>
      <c r="B23603" s="233"/>
      <c r="C23603" s="238"/>
      <c r="E23603" s="545"/>
      <c r="F23603" s="546"/>
      <c r="G23603" s="234"/>
      <c r="H23603" s="238"/>
      <c r="I23603" s="237"/>
    </row>
    <row r="23604" spans="1:9" s="232" customFormat="1" ht="17" customHeight="1">
      <c r="A23604" s="234"/>
      <c r="B23604" s="233"/>
      <c r="C23604" s="238"/>
      <c r="E23604" s="545"/>
      <c r="F23604" s="546"/>
      <c r="G23604" s="234"/>
      <c r="H23604" s="238"/>
      <c r="I23604" s="237"/>
    </row>
    <row r="23605" spans="1:9" s="232" customFormat="1" ht="17" customHeight="1">
      <c r="A23605" s="234"/>
      <c r="B23605" s="233"/>
      <c r="C23605" s="238"/>
      <c r="E23605" s="545"/>
      <c r="F23605" s="546"/>
      <c r="G23605" s="234"/>
      <c r="H23605" s="238"/>
      <c r="I23605" s="237"/>
    </row>
    <row r="23606" spans="1:9" s="232" customFormat="1" ht="17" customHeight="1">
      <c r="A23606" s="234"/>
      <c r="B23606" s="233"/>
      <c r="C23606" s="238"/>
      <c r="E23606" s="545"/>
      <c r="F23606" s="546"/>
      <c r="G23606" s="234"/>
      <c r="H23606" s="238"/>
      <c r="I23606" s="237"/>
    </row>
    <row r="23607" spans="1:9" s="232" customFormat="1" ht="17" customHeight="1">
      <c r="A23607" s="234"/>
      <c r="B23607" s="233"/>
      <c r="C23607" s="238"/>
      <c r="E23607" s="545"/>
      <c r="F23607" s="546"/>
      <c r="G23607" s="234"/>
      <c r="H23607" s="238"/>
      <c r="I23607" s="237"/>
    </row>
    <row r="23608" spans="1:9" s="232" customFormat="1" ht="17" customHeight="1">
      <c r="A23608" s="234"/>
      <c r="B23608" s="233"/>
      <c r="C23608" s="238"/>
      <c r="E23608" s="545"/>
      <c r="F23608" s="546"/>
      <c r="G23608" s="234"/>
      <c r="H23608" s="238"/>
      <c r="I23608" s="237"/>
    </row>
    <row r="23609" spans="1:9" s="232" customFormat="1" ht="17" customHeight="1">
      <c r="A23609" s="234"/>
      <c r="B23609" s="233"/>
      <c r="C23609" s="238"/>
      <c r="E23609" s="545"/>
      <c r="F23609" s="546"/>
      <c r="G23609" s="234"/>
      <c r="H23609" s="238"/>
      <c r="I23609" s="237"/>
    </row>
    <row r="23610" spans="1:9" s="232" customFormat="1" ht="17" customHeight="1">
      <c r="A23610" s="234"/>
      <c r="B23610" s="233"/>
      <c r="C23610" s="238"/>
      <c r="E23610" s="545"/>
      <c r="F23610" s="546"/>
      <c r="G23610" s="234"/>
      <c r="H23610" s="238"/>
      <c r="I23610" s="237"/>
    </row>
    <row r="23611" spans="1:9" s="232" customFormat="1" ht="17" customHeight="1">
      <c r="A23611" s="234"/>
      <c r="B23611" s="233"/>
      <c r="C23611" s="238"/>
      <c r="E23611" s="545"/>
      <c r="F23611" s="546"/>
      <c r="G23611" s="234"/>
      <c r="H23611" s="238"/>
      <c r="I23611" s="237"/>
    </row>
    <row r="23612" spans="1:9" s="232" customFormat="1" ht="17" customHeight="1">
      <c r="A23612" s="234"/>
      <c r="B23612" s="233"/>
      <c r="C23612" s="238"/>
      <c r="E23612" s="545"/>
      <c r="F23612" s="546"/>
      <c r="G23612" s="234"/>
      <c r="H23612" s="238"/>
      <c r="I23612" s="237"/>
    </row>
    <row r="23613" spans="1:9" s="232" customFormat="1" ht="17" customHeight="1">
      <c r="A23613" s="234"/>
      <c r="B23613" s="233"/>
      <c r="C23613" s="238"/>
      <c r="E23613" s="545"/>
      <c r="F23613" s="546"/>
      <c r="G23613" s="234"/>
      <c r="H23613" s="238"/>
      <c r="I23613" s="237"/>
    </row>
    <row r="23614" spans="1:9" s="232" customFormat="1" ht="17" customHeight="1">
      <c r="A23614" s="234"/>
      <c r="B23614" s="233"/>
      <c r="C23614" s="238"/>
      <c r="E23614" s="545"/>
      <c r="F23614" s="546"/>
      <c r="G23614" s="234"/>
      <c r="H23614" s="238"/>
      <c r="I23614" s="237"/>
    </row>
    <row r="23615" spans="1:9" s="232" customFormat="1" ht="17" customHeight="1">
      <c r="A23615" s="234"/>
      <c r="B23615" s="233"/>
      <c r="C23615" s="238"/>
      <c r="E23615" s="545"/>
      <c r="F23615" s="546"/>
      <c r="G23615" s="234"/>
      <c r="H23615" s="238"/>
      <c r="I23615" s="237"/>
    </row>
    <row r="23616" spans="1:9" s="232" customFormat="1" ht="17" customHeight="1">
      <c r="A23616" s="234"/>
      <c r="B23616" s="233"/>
      <c r="C23616" s="238"/>
      <c r="E23616" s="545"/>
      <c r="F23616" s="546"/>
      <c r="G23616" s="234"/>
      <c r="H23616" s="238"/>
      <c r="I23616" s="237"/>
    </row>
    <row r="23617" spans="1:9" s="232" customFormat="1" ht="17" customHeight="1">
      <c r="A23617" s="234"/>
      <c r="B23617" s="233"/>
      <c r="C23617" s="238"/>
      <c r="E23617" s="545"/>
      <c r="F23617" s="546"/>
      <c r="G23617" s="234"/>
      <c r="H23617" s="238"/>
      <c r="I23617" s="237"/>
    </row>
    <row r="23618" spans="1:9" s="232" customFormat="1" ht="17" customHeight="1">
      <c r="A23618" s="234"/>
      <c r="B23618" s="233"/>
      <c r="C23618" s="238"/>
      <c r="E23618" s="545"/>
      <c r="F23618" s="546"/>
      <c r="G23618" s="234"/>
      <c r="H23618" s="238"/>
      <c r="I23618" s="237"/>
    </row>
    <row r="23619" spans="1:9" s="232" customFormat="1" ht="17" customHeight="1">
      <c r="A23619" s="234"/>
      <c r="B23619" s="233"/>
      <c r="C23619" s="238"/>
      <c r="E23619" s="545"/>
      <c r="F23619" s="546"/>
      <c r="G23619" s="234"/>
      <c r="H23619" s="238"/>
      <c r="I23619" s="237"/>
    </row>
    <row r="23620" spans="1:9" s="232" customFormat="1" ht="17" customHeight="1">
      <c r="A23620" s="234"/>
      <c r="B23620" s="233"/>
      <c r="C23620" s="238"/>
      <c r="E23620" s="545"/>
      <c r="F23620" s="546"/>
      <c r="G23620" s="234"/>
      <c r="H23620" s="238"/>
      <c r="I23620" s="237"/>
    </row>
    <row r="23621" spans="1:9" s="232" customFormat="1" ht="17" customHeight="1">
      <c r="A23621" s="234"/>
      <c r="B23621" s="233"/>
      <c r="C23621" s="238"/>
      <c r="E23621" s="545"/>
      <c r="F23621" s="546"/>
      <c r="G23621" s="234"/>
      <c r="H23621" s="238"/>
      <c r="I23621" s="237"/>
    </row>
    <row r="23622" spans="1:9" s="232" customFormat="1" ht="17" customHeight="1">
      <c r="A23622" s="234"/>
      <c r="B23622" s="233"/>
      <c r="C23622" s="238"/>
      <c r="E23622" s="545"/>
      <c r="F23622" s="546"/>
      <c r="G23622" s="234"/>
      <c r="H23622" s="238"/>
      <c r="I23622" s="237"/>
    </row>
    <row r="23623" spans="1:9" s="232" customFormat="1" ht="17" customHeight="1">
      <c r="A23623" s="234"/>
      <c r="B23623" s="233"/>
      <c r="C23623" s="238"/>
      <c r="E23623" s="545"/>
      <c r="F23623" s="546"/>
      <c r="G23623" s="234"/>
      <c r="H23623" s="238"/>
      <c r="I23623" s="237"/>
    </row>
    <row r="23624" spans="1:9" s="232" customFormat="1" ht="17" customHeight="1">
      <c r="A23624" s="234"/>
      <c r="B23624" s="233"/>
      <c r="C23624" s="238"/>
      <c r="E23624" s="545"/>
      <c r="F23624" s="546"/>
      <c r="G23624" s="234"/>
      <c r="H23624" s="238"/>
      <c r="I23624" s="237"/>
    </row>
    <row r="23625" spans="1:9" s="232" customFormat="1" ht="17" customHeight="1">
      <c r="A23625" s="234"/>
      <c r="B23625" s="233"/>
      <c r="C23625" s="238"/>
      <c r="E23625" s="545"/>
      <c r="F23625" s="546"/>
      <c r="G23625" s="234"/>
      <c r="H23625" s="238"/>
      <c r="I23625" s="237"/>
    </row>
    <row r="23626" spans="1:9" s="232" customFormat="1" ht="17" customHeight="1">
      <c r="A23626" s="234"/>
      <c r="B23626" s="233"/>
      <c r="C23626" s="238"/>
      <c r="E23626" s="545"/>
      <c r="F23626" s="546"/>
      <c r="G23626" s="234"/>
      <c r="H23626" s="238"/>
      <c r="I23626" s="237"/>
    </row>
    <row r="23627" spans="1:9" s="232" customFormat="1" ht="17" customHeight="1">
      <c r="A23627" s="234"/>
      <c r="B23627" s="233"/>
      <c r="C23627" s="238"/>
      <c r="E23627" s="545"/>
      <c r="F23627" s="546"/>
      <c r="G23627" s="234"/>
      <c r="H23627" s="238"/>
      <c r="I23627" s="237"/>
    </row>
    <row r="23628" spans="1:9" s="232" customFormat="1" ht="17" customHeight="1">
      <c r="A23628" s="234"/>
      <c r="B23628" s="233"/>
      <c r="C23628" s="238"/>
      <c r="E23628" s="545"/>
      <c r="F23628" s="546"/>
      <c r="G23628" s="234"/>
      <c r="H23628" s="238"/>
      <c r="I23628" s="237"/>
    </row>
    <row r="23629" spans="1:9" s="232" customFormat="1" ht="17" customHeight="1">
      <c r="A23629" s="234"/>
      <c r="B23629" s="233"/>
      <c r="C23629" s="238"/>
      <c r="E23629" s="545"/>
      <c r="F23629" s="546"/>
      <c r="G23629" s="234"/>
      <c r="H23629" s="238"/>
      <c r="I23629" s="237"/>
    </row>
    <row r="23630" spans="1:9" s="232" customFormat="1" ht="17" customHeight="1">
      <c r="A23630" s="234"/>
      <c r="B23630" s="233"/>
      <c r="C23630" s="238"/>
      <c r="E23630" s="545"/>
      <c r="F23630" s="546"/>
      <c r="G23630" s="234"/>
      <c r="H23630" s="238"/>
      <c r="I23630" s="237"/>
    </row>
    <row r="23631" spans="1:9" s="232" customFormat="1" ht="17" customHeight="1">
      <c r="A23631" s="234"/>
      <c r="B23631" s="233"/>
      <c r="C23631" s="238"/>
      <c r="E23631" s="545"/>
      <c r="F23631" s="546"/>
      <c r="G23631" s="234"/>
      <c r="H23631" s="238"/>
      <c r="I23631" s="237"/>
    </row>
    <row r="23632" spans="1:9" s="232" customFormat="1" ht="17" customHeight="1">
      <c r="A23632" s="234"/>
      <c r="B23632" s="233"/>
      <c r="C23632" s="238"/>
      <c r="E23632" s="545"/>
      <c r="F23632" s="546"/>
      <c r="G23632" s="234"/>
      <c r="H23632" s="238"/>
      <c r="I23632" s="237"/>
    </row>
    <row r="23633" spans="1:9" s="232" customFormat="1" ht="17" customHeight="1">
      <c r="A23633" s="234"/>
      <c r="B23633" s="233"/>
      <c r="C23633" s="238"/>
      <c r="E23633" s="545"/>
      <c r="F23633" s="546"/>
      <c r="G23633" s="234"/>
      <c r="H23633" s="238"/>
      <c r="I23633" s="237"/>
    </row>
    <row r="23634" spans="1:9" s="232" customFormat="1" ht="17" customHeight="1">
      <c r="A23634" s="234"/>
      <c r="B23634" s="233"/>
      <c r="C23634" s="238"/>
      <c r="E23634" s="545"/>
      <c r="F23634" s="546"/>
      <c r="G23634" s="234"/>
      <c r="H23634" s="238"/>
      <c r="I23634" s="237"/>
    </row>
    <row r="23635" spans="1:9" s="232" customFormat="1" ht="17" customHeight="1">
      <c r="A23635" s="234"/>
      <c r="B23635" s="233"/>
      <c r="C23635" s="238"/>
      <c r="E23635" s="545"/>
      <c r="F23635" s="546"/>
      <c r="G23635" s="234"/>
      <c r="H23635" s="238"/>
      <c r="I23635" s="237"/>
    </row>
    <row r="23636" spans="1:9" s="232" customFormat="1" ht="17" customHeight="1">
      <c r="A23636" s="234"/>
      <c r="B23636" s="233"/>
      <c r="C23636" s="238"/>
      <c r="E23636" s="545"/>
      <c r="F23636" s="546"/>
      <c r="G23636" s="234"/>
      <c r="H23636" s="238"/>
      <c r="I23636" s="237"/>
    </row>
    <row r="23637" spans="1:9" s="232" customFormat="1" ht="17" customHeight="1">
      <c r="A23637" s="234"/>
      <c r="B23637" s="233"/>
      <c r="C23637" s="238"/>
      <c r="E23637" s="545"/>
      <c r="F23637" s="546"/>
      <c r="G23637" s="234"/>
      <c r="H23637" s="238"/>
      <c r="I23637" s="237"/>
    </row>
    <row r="23638" spans="1:9" s="232" customFormat="1" ht="17" customHeight="1">
      <c r="A23638" s="234"/>
      <c r="B23638" s="233"/>
      <c r="C23638" s="238"/>
      <c r="E23638" s="545"/>
      <c r="F23638" s="546"/>
      <c r="G23638" s="234"/>
      <c r="H23638" s="238"/>
      <c r="I23638" s="237"/>
    </row>
    <row r="23639" spans="1:9" s="232" customFormat="1" ht="17" customHeight="1">
      <c r="A23639" s="234"/>
      <c r="B23639" s="233"/>
      <c r="C23639" s="238"/>
      <c r="E23639" s="545"/>
      <c r="F23639" s="546"/>
      <c r="G23639" s="234"/>
      <c r="H23639" s="238"/>
      <c r="I23639" s="237"/>
    </row>
    <row r="23640" spans="1:9" s="232" customFormat="1" ht="17" customHeight="1">
      <c r="A23640" s="234"/>
      <c r="B23640" s="233"/>
      <c r="C23640" s="238"/>
      <c r="E23640" s="545"/>
      <c r="F23640" s="546"/>
      <c r="G23640" s="234"/>
      <c r="H23640" s="238"/>
      <c r="I23640" s="237"/>
    </row>
    <row r="23641" spans="1:9" s="232" customFormat="1" ht="17" customHeight="1">
      <c r="A23641" s="234"/>
      <c r="B23641" s="233"/>
      <c r="C23641" s="238"/>
      <c r="E23641" s="545"/>
      <c r="F23641" s="546"/>
      <c r="G23641" s="234"/>
      <c r="H23641" s="238"/>
      <c r="I23641" s="237"/>
    </row>
    <row r="23642" spans="1:9" s="232" customFormat="1" ht="17" customHeight="1">
      <c r="A23642" s="234"/>
      <c r="B23642" s="233"/>
      <c r="C23642" s="238"/>
      <c r="E23642" s="545"/>
      <c r="F23642" s="546"/>
      <c r="G23642" s="234"/>
      <c r="H23642" s="238"/>
      <c r="I23642" s="237"/>
    </row>
    <row r="23643" spans="1:9" s="232" customFormat="1" ht="17" customHeight="1">
      <c r="A23643" s="234"/>
      <c r="B23643" s="233"/>
      <c r="C23643" s="238"/>
      <c r="E23643" s="545"/>
      <c r="F23643" s="546"/>
      <c r="G23643" s="234"/>
      <c r="H23643" s="238"/>
      <c r="I23643" s="237"/>
    </row>
    <row r="23644" spans="1:9" s="232" customFormat="1" ht="17" customHeight="1">
      <c r="A23644" s="234"/>
      <c r="B23644" s="233"/>
      <c r="C23644" s="238"/>
      <c r="E23644" s="545"/>
      <c r="F23644" s="546"/>
      <c r="G23644" s="234"/>
      <c r="H23644" s="238"/>
      <c r="I23644" s="237"/>
    </row>
    <row r="23645" spans="1:9" s="232" customFormat="1" ht="17" customHeight="1">
      <c r="A23645" s="234"/>
      <c r="B23645" s="233"/>
      <c r="C23645" s="238"/>
      <c r="E23645" s="545"/>
      <c r="F23645" s="546"/>
      <c r="G23645" s="234"/>
      <c r="H23645" s="238"/>
      <c r="I23645" s="237"/>
    </row>
    <row r="23646" spans="1:9" s="232" customFormat="1" ht="17" customHeight="1">
      <c r="A23646" s="234"/>
      <c r="B23646" s="233"/>
      <c r="C23646" s="238"/>
      <c r="E23646" s="545"/>
      <c r="F23646" s="546"/>
      <c r="G23646" s="234"/>
      <c r="H23646" s="238"/>
      <c r="I23646" s="237"/>
    </row>
    <row r="23647" spans="1:9" s="232" customFormat="1" ht="17" customHeight="1">
      <c r="A23647" s="234"/>
      <c r="B23647" s="233"/>
      <c r="C23647" s="238"/>
      <c r="E23647" s="545"/>
      <c r="F23647" s="546"/>
      <c r="G23647" s="234"/>
      <c r="H23647" s="238"/>
      <c r="I23647" s="237"/>
    </row>
    <row r="23648" spans="1:9" s="232" customFormat="1" ht="17" customHeight="1">
      <c r="A23648" s="234"/>
      <c r="B23648" s="233"/>
      <c r="C23648" s="238"/>
      <c r="E23648" s="545"/>
      <c r="F23648" s="546"/>
      <c r="G23648" s="234"/>
      <c r="H23648" s="238"/>
      <c r="I23648" s="237"/>
    </row>
    <row r="23649" spans="1:9" s="232" customFormat="1" ht="17" customHeight="1">
      <c r="A23649" s="234"/>
      <c r="B23649" s="233"/>
      <c r="C23649" s="238"/>
      <c r="E23649" s="545"/>
      <c r="F23649" s="546"/>
      <c r="G23649" s="234"/>
      <c r="H23649" s="238"/>
      <c r="I23649" s="237"/>
    </row>
    <row r="23650" spans="1:9" s="232" customFormat="1" ht="17" customHeight="1">
      <c r="A23650" s="234"/>
      <c r="B23650" s="233"/>
      <c r="C23650" s="238"/>
      <c r="E23650" s="545"/>
      <c r="F23650" s="546"/>
      <c r="G23650" s="234"/>
      <c r="H23650" s="238"/>
      <c r="I23650" s="237"/>
    </row>
    <row r="23651" spans="1:9" s="232" customFormat="1" ht="17" customHeight="1">
      <c r="A23651" s="234"/>
      <c r="B23651" s="233"/>
      <c r="C23651" s="238"/>
      <c r="E23651" s="545"/>
      <c r="F23651" s="546"/>
      <c r="G23651" s="234"/>
      <c r="H23651" s="238"/>
      <c r="I23651" s="237"/>
    </row>
    <row r="23652" spans="1:9" s="232" customFormat="1" ht="17" customHeight="1">
      <c r="A23652" s="234"/>
      <c r="B23652" s="233"/>
      <c r="C23652" s="238"/>
      <c r="E23652" s="545"/>
      <c r="F23652" s="546"/>
      <c r="G23652" s="234"/>
      <c r="H23652" s="238"/>
      <c r="I23652" s="237"/>
    </row>
    <row r="23653" spans="1:9" s="232" customFormat="1" ht="17" customHeight="1">
      <c r="A23653" s="234"/>
      <c r="B23653" s="233"/>
      <c r="C23653" s="238"/>
      <c r="E23653" s="545"/>
      <c r="F23653" s="546"/>
      <c r="G23653" s="234"/>
      <c r="H23653" s="238"/>
      <c r="I23653" s="237"/>
    </row>
    <row r="23654" spans="1:9" s="232" customFormat="1" ht="17" customHeight="1">
      <c r="A23654" s="234"/>
      <c r="B23654" s="233"/>
      <c r="C23654" s="238"/>
      <c r="E23654" s="545"/>
      <c r="F23654" s="546"/>
      <c r="G23654" s="234"/>
      <c r="H23654" s="238"/>
      <c r="I23654" s="237"/>
    </row>
    <row r="23655" spans="1:9" s="232" customFormat="1" ht="17" customHeight="1">
      <c r="A23655" s="234"/>
      <c r="B23655" s="233"/>
      <c r="C23655" s="238"/>
      <c r="E23655" s="545"/>
      <c r="F23655" s="546"/>
      <c r="G23655" s="234"/>
      <c r="H23655" s="238"/>
      <c r="I23655" s="237"/>
    </row>
    <row r="23656" spans="1:9" s="232" customFormat="1" ht="17" customHeight="1">
      <c r="A23656" s="234"/>
      <c r="B23656" s="233"/>
      <c r="C23656" s="238"/>
      <c r="E23656" s="545"/>
      <c r="F23656" s="546"/>
      <c r="G23656" s="234"/>
      <c r="H23656" s="238"/>
      <c r="I23656" s="237"/>
    </row>
    <row r="23657" spans="1:9" s="232" customFormat="1" ht="17" customHeight="1">
      <c r="A23657" s="234"/>
      <c r="B23657" s="233"/>
      <c r="C23657" s="238"/>
      <c r="E23657" s="545"/>
      <c r="F23657" s="546"/>
      <c r="G23657" s="234"/>
      <c r="H23657" s="238"/>
      <c r="I23657" s="237"/>
    </row>
    <row r="23658" spans="1:9" s="232" customFormat="1" ht="17" customHeight="1">
      <c r="A23658" s="234"/>
      <c r="B23658" s="233"/>
      <c r="C23658" s="238"/>
      <c r="E23658" s="545"/>
      <c r="F23658" s="546"/>
      <c r="G23658" s="234"/>
      <c r="H23658" s="238"/>
      <c r="I23658" s="237"/>
    </row>
    <row r="23659" spans="1:9" s="232" customFormat="1" ht="17" customHeight="1">
      <c r="A23659" s="234"/>
      <c r="B23659" s="233"/>
      <c r="C23659" s="238"/>
      <c r="E23659" s="545"/>
      <c r="F23659" s="546"/>
      <c r="G23659" s="234"/>
      <c r="H23659" s="238"/>
      <c r="I23659" s="237"/>
    </row>
    <row r="23660" spans="1:9" s="232" customFormat="1" ht="17" customHeight="1">
      <c r="A23660" s="234"/>
      <c r="B23660" s="233"/>
      <c r="C23660" s="238"/>
      <c r="E23660" s="545"/>
      <c r="F23660" s="546"/>
      <c r="G23660" s="234"/>
      <c r="H23660" s="238"/>
      <c r="I23660" s="237"/>
    </row>
    <row r="23661" spans="1:9" s="232" customFormat="1" ht="17" customHeight="1">
      <c r="A23661" s="234"/>
      <c r="B23661" s="233"/>
      <c r="C23661" s="238"/>
      <c r="E23661" s="545"/>
      <c r="F23661" s="546"/>
      <c r="G23661" s="234"/>
      <c r="H23661" s="238"/>
      <c r="I23661" s="237"/>
    </row>
    <row r="23662" spans="1:9" s="232" customFormat="1" ht="17" customHeight="1">
      <c r="A23662" s="234"/>
      <c r="B23662" s="233"/>
      <c r="C23662" s="238"/>
      <c r="E23662" s="545"/>
      <c r="F23662" s="546"/>
      <c r="G23662" s="234"/>
      <c r="H23662" s="238"/>
      <c r="I23662" s="237"/>
    </row>
    <row r="23663" spans="1:9" s="232" customFormat="1" ht="17" customHeight="1">
      <c r="A23663" s="234"/>
      <c r="B23663" s="233"/>
      <c r="C23663" s="238"/>
      <c r="E23663" s="545"/>
      <c r="F23663" s="546"/>
      <c r="G23663" s="234"/>
      <c r="H23663" s="238"/>
      <c r="I23663" s="237"/>
    </row>
    <row r="23664" spans="1:9" s="232" customFormat="1" ht="17" customHeight="1">
      <c r="A23664" s="234"/>
      <c r="B23664" s="233"/>
      <c r="C23664" s="238"/>
      <c r="E23664" s="545"/>
      <c r="F23664" s="546"/>
      <c r="G23664" s="234"/>
      <c r="H23664" s="238"/>
      <c r="I23664" s="237"/>
    </row>
    <row r="23665" spans="1:9" s="232" customFormat="1" ht="17" customHeight="1">
      <c r="A23665" s="234"/>
      <c r="B23665" s="233"/>
      <c r="C23665" s="238"/>
      <c r="E23665" s="545"/>
      <c r="F23665" s="546"/>
      <c r="G23665" s="234"/>
      <c r="H23665" s="238"/>
      <c r="I23665" s="237"/>
    </row>
    <row r="23666" spans="1:9" s="232" customFormat="1" ht="17" customHeight="1">
      <c r="A23666" s="234"/>
      <c r="B23666" s="233"/>
      <c r="C23666" s="238"/>
      <c r="E23666" s="545"/>
      <c r="F23666" s="546"/>
      <c r="G23666" s="234"/>
      <c r="H23666" s="238"/>
      <c r="I23666" s="237"/>
    </row>
    <row r="23667" spans="1:9" s="232" customFormat="1" ht="17" customHeight="1">
      <c r="A23667" s="234"/>
      <c r="B23667" s="233"/>
      <c r="C23667" s="238"/>
      <c r="E23667" s="545"/>
      <c r="F23667" s="546"/>
      <c r="G23667" s="234"/>
      <c r="H23667" s="238"/>
      <c r="I23667" s="237"/>
    </row>
    <row r="23668" spans="1:9" s="232" customFormat="1" ht="17" customHeight="1">
      <c r="A23668" s="234"/>
      <c r="B23668" s="233"/>
      <c r="C23668" s="238"/>
      <c r="E23668" s="545"/>
      <c r="F23668" s="546"/>
      <c r="G23668" s="234"/>
      <c r="H23668" s="238"/>
      <c r="I23668" s="237"/>
    </row>
    <row r="23669" spans="1:9" s="232" customFormat="1" ht="17" customHeight="1">
      <c r="A23669" s="234"/>
      <c r="B23669" s="233"/>
      <c r="C23669" s="238"/>
      <c r="E23669" s="545"/>
      <c r="F23669" s="546"/>
      <c r="G23669" s="234"/>
      <c r="H23669" s="238"/>
      <c r="I23669" s="237"/>
    </row>
    <row r="23670" spans="1:9" s="232" customFormat="1" ht="17" customHeight="1">
      <c r="A23670" s="234"/>
      <c r="B23670" s="233"/>
      <c r="C23670" s="238"/>
      <c r="E23670" s="545"/>
      <c r="F23670" s="546"/>
      <c r="G23670" s="234"/>
      <c r="H23670" s="238"/>
      <c r="I23670" s="237"/>
    </row>
    <row r="23671" spans="1:9" s="232" customFormat="1" ht="17" customHeight="1">
      <c r="A23671" s="234"/>
      <c r="B23671" s="233"/>
      <c r="C23671" s="238"/>
      <c r="E23671" s="545"/>
      <c r="F23671" s="546"/>
      <c r="G23671" s="234"/>
      <c r="H23671" s="238"/>
      <c r="I23671" s="237"/>
    </row>
    <row r="23672" spans="1:9" s="232" customFormat="1" ht="17" customHeight="1">
      <c r="A23672" s="234"/>
      <c r="B23672" s="233"/>
      <c r="C23672" s="238"/>
      <c r="E23672" s="545"/>
      <c r="F23672" s="546"/>
      <c r="G23672" s="234"/>
      <c r="H23672" s="238"/>
      <c r="I23672" s="237"/>
    </row>
    <row r="23673" spans="1:9" s="232" customFormat="1" ht="17" customHeight="1">
      <c r="A23673" s="234"/>
      <c r="B23673" s="233"/>
      <c r="C23673" s="238"/>
      <c r="E23673" s="545"/>
      <c r="F23673" s="546"/>
      <c r="G23673" s="234"/>
      <c r="H23673" s="238"/>
      <c r="I23673" s="237"/>
    </row>
    <row r="23674" spans="1:9" s="232" customFormat="1" ht="17" customHeight="1">
      <c r="A23674" s="234"/>
      <c r="B23674" s="233"/>
      <c r="C23674" s="238"/>
      <c r="E23674" s="545"/>
      <c r="F23674" s="546"/>
      <c r="G23674" s="234"/>
      <c r="H23674" s="238"/>
      <c r="I23674" s="237"/>
    </row>
    <row r="23675" spans="1:9" s="232" customFormat="1" ht="17" customHeight="1">
      <c r="A23675" s="234"/>
      <c r="B23675" s="233"/>
      <c r="C23675" s="238"/>
      <c r="E23675" s="545"/>
      <c r="F23675" s="546"/>
      <c r="G23675" s="234"/>
      <c r="H23675" s="238"/>
      <c r="I23675" s="237"/>
    </row>
    <row r="23676" spans="1:9" s="232" customFormat="1" ht="17" customHeight="1">
      <c r="A23676" s="234"/>
      <c r="B23676" s="233"/>
      <c r="C23676" s="238"/>
      <c r="E23676" s="545"/>
      <c r="F23676" s="546"/>
      <c r="G23676" s="234"/>
      <c r="H23676" s="238"/>
      <c r="I23676" s="237"/>
    </row>
    <row r="23677" spans="1:9" s="232" customFormat="1" ht="17" customHeight="1">
      <c r="A23677" s="234"/>
      <c r="B23677" s="233"/>
      <c r="C23677" s="238"/>
      <c r="E23677" s="545"/>
      <c r="F23677" s="546"/>
      <c r="G23677" s="234"/>
      <c r="H23677" s="238"/>
      <c r="I23677" s="237"/>
    </row>
    <row r="23678" spans="1:9" s="232" customFormat="1" ht="17" customHeight="1">
      <c r="A23678" s="234"/>
      <c r="B23678" s="233"/>
      <c r="C23678" s="238"/>
      <c r="E23678" s="545"/>
      <c r="F23678" s="546"/>
      <c r="G23678" s="234"/>
      <c r="H23678" s="238"/>
      <c r="I23678" s="237"/>
    </row>
    <row r="23679" spans="1:9" s="232" customFormat="1" ht="17" customHeight="1">
      <c r="A23679" s="234"/>
      <c r="B23679" s="233"/>
      <c r="C23679" s="238"/>
      <c r="E23679" s="545"/>
      <c r="F23679" s="546"/>
      <c r="G23679" s="234"/>
      <c r="H23679" s="238"/>
      <c r="I23679" s="237"/>
    </row>
    <row r="23680" spans="1:9" s="232" customFormat="1" ht="17" customHeight="1">
      <c r="A23680" s="234"/>
      <c r="B23680" s="233"/>
      <c r="C23680" s="238"/>
      <c r="E23680" s="545"/>
      <c r="F23680" s="546"/>
      <c r="G23680" s="234"/>
      <c r="H23680" s="238"/>
      <c r="I23680" s="237"/>
    </row>
    <row r="23681" spans="1:9" s="232" customFormat="1" ht="17" customHeight="1">
      <c r="A23681" s="234"/>
      <c r="B23681" s="233"/>
      <c r="C23681" s="238"/>
      <c r="E23681" s="545"/>
      <c r="F23681" s="546"/>
      <c r="G23681" s="234"/>
      <c r="H23681" s="238"/>
      <c r="I23681" s="237"/>
    </row>
    <row r="23682" spans="1:9" s="232" customFormat="1" ht="17" customHeight="1">
      <c r="A23682" s="234"/>
      <c r="B23682" s="233"/>
      <c r="C23682" s="238"/>
      <c r="E23682" s="545"/>
      <c r="F23682" s="546"/>
      <c r="G23682" s="234"/>
      <c r="H23682" s="238"/>
      <c r="I23682" s="237"/>
    </row>
    <row r="23683" spans="1:9" s="232" customFormat="1" ht="17" customHeight="1">
      <c r="A23683" s="234"/>
      <c r="B23683" s="233"/>
      <c r="C23683" s="238"/>
      <c r="E23683" s="545"/>
      <c r="F23683" s="546"/>
      <c r="G23683" s="234"/>
      <c r="H23683" s="238"/>
      <c r="I23683" s="237"/>
    </row>
    <row r="23684" spans="1:9" s="232" customFormat="1" ht="17" customHeight="1">
      <c r="A23684" s="234"/>
      <c r="B23684" s="233"/>
      <c r="C23684" s="238"/>
      <c r="E23684" s="545"/>
      <c r="F23684" s="546"/>
      <c r="G23684" s="234"/>
      <c r="H23684" s="238"/>
      <c r="I23684" s="237"/>
    </row>
    <row r="23685" spans="1:9" s="232" customFormat="1" ht="17" customHeight="1">
      <c r="A23685" s="234"/>
      <c r="B23685" s="233"/>
      <c r="C23685" s="238"/>
      <c r="E23685" s="545"/>
      <c r="F23685" s="546"/>
      <c r="G23685" s="234"/>
      <c r="H23685" s="238"/>
      <c r="I23685" s="237"/>
    </row>
    <row r="23686" spans="1:9" s="232" customFormat="1" ht="17" customHeight="1">
      <c r="A23686" s="234"/>
      <c r="B23686" s="233"/>
      <c r="C23686" s="238"/>
      <c r="E23686" s="545"/>
      <c r="F23686" s="546"/>
      <c r="G23686" s="234"/>
      <c r="H23686" s="238"/>
      <c r="I23686" s="237"/>
    </row>
    <row r="23687" spans="1:9" s="232" customFormat="1" ht="17" customHeight="1">
      <c r="A23687" s="234"/>
      <c r="B23687" s="233"/>
      <c r="C23687" s="238"/>
      <c r="E23687" s="545"/>
      <c r="F23687" s="546"/>
      <c r="G23687" s="234"/>
      <c r="H23687" s="238"/>
      <c r="I23687" s="237"/>
    </row>
    <row r="23688" spans="1:9" s="232" customFormat="1" ht="17" customHeight="1">
      <c r="A23688" s="234"/>
      <c r="B23688" s="233"/>
      <c r="C23688" s="238"/>
      <c r="E23688" s="545"/>
      <c r="F23688" s="546"/>
      <c r="G23688" s="234"/>
      <c r="H23688" s="238"/>
      <c r="I23688" s="237"/>
    </row>
    <row r="23689" spans="1:9" s="232" customFormat="1" ht="17" customHeight="1">
      <c r="A23689" s="234"/>
      <c r="B23689" s="233"/>
      <c r="C23689" s="238"/>
      <c r="E23689" s="545"/>
      <c r="F23689" s="546"/>
      <c r="G23689" s="234"/>
      <c r="H23689" s="238"/>
      <c r="I23689" s="237"/>
    </row>
    <row r="23690" spans="1:9" s="232" customFormat="1" ht="17" customHeight="1">
      <c r="A23690" s="234"/>
      <c r="B23690" s="233"/>
      <c r="C23690" s="238"/>
      <c r="E23690" s="545"/>
      <c r="F23690" s="546"/>
      <c r="G23690" s="234"/>
      <c r="H23690" s="238"/>
      <c r="I23690" s="237"/>
    </row>
    <row r="23691" spans="1:9" s="232" customFormat="1" ht="17" customHeight="1">
      <c r="A23691" s="234"/>
      <c r="B23691" s="233"/>
      <c r="C23691" s="238"/>
      <c r="E23691" s="545"/>
      <c r="F23691" s="546"/>
      <c r="G23691" s="234"/>
      <c r="H23691" s="238"/>
      <c r="I23691" s="237"/>
    </row>
    <row r="23692" spans="1:9" s="232" customFormat="1" ht="17" customHeight="1">
      <c r="A23692" s="234"/>
      <c r="B23692" s="233"/>
      <c r="C23692" s="238"/>
      <c r="E23692" s="545"/>
      <c r="F23692" s="546"/>
      <c r="G23692" s="234"/>
      <c r="H23692" s="238"/>
      <c r="I23692" s="237"/>
    </row>
    <row r="23693" spans="1:9" s="232" customFormat="1" ht="17" customHeight="1">
      <c r="A23693" s="234"/>
      <c r="B23693" s="233"/>
      <c r="C23693" s="238"/>
      <c r="E23693" s="545"/>
      <c r="F23693" s="546"/>
      <c r="G23693" s="234"/>
      <c r="H23693" s="238"/>
      <c r="I23693" s="237"/>
    </row>
    <row r="23694" spans="1:9" s="232" customFormat="1" ht="17" customHeight="1">
      <c r="A23694" s="234"/>
      <c r="B23694" s="233"/>
      <c r="C23694" s="238"/>
      <c r="E23694" s="545"/>
      <c r="F23694" s="546"/>
      <c r="G23694" s="234"/>
      <c r="H23694" s="238"/>
      <c r="I23694" s="237"/>
    </row>
    <row r="23695" spans="1:9" s="232" customFormat="1" ht="17" customHeight="1">
      <c r="A23695" s="234"/>
      <c r="B23695" s="233"/>
      <c r="C23695" s="238"/>
      <c r="E23695" s="545"/>
      <c r="F23695" s="546"/>
      <c r="G23695" s="234"/>
      <c r="H23695" s="238"/>
      <c r="I23695" s="237"/>
    </row>
    <row r="23696" spans="1:9" s="232" customFormat="1" ht="17" customHeight="1">
      <c r="A23696" s="234"/>
      <c r="B23696" s="233"/>
      <c r="C23696" s="238"/>
      <c r="E23696" s="545"/>
      <c r="F23696" s="546"/>
      <c r="G23696" s="234"/>
      <c r="H23696" s="238"/>
      <c r="I23696" s="237"/>
    </row>
    <row r="23697" spans="1:9" s="232" customFormat="1" ht="17" customHeight="1">
      <c r="A23697" s="234"/>
      <c r="B23697" s="233"/>
      <c r="C23697" s="238"/>
      <c r="E23697" s="545"/>
      <c r="F23697" s="546"/>
      <c r="G23697" s="234"/>
      <c r="H23697" s="238"/>
      <c r="I23697" s="237"/>
    </row>
    <row r="23698" spans="1:9" s="232" customFormat="1" ht="17" customHeight="1">
      <c r="A23698" s="234"/>
      <c r="B23698" s="233"/>
      <c r="C23698" s="238"/>
      <c r="E23698" s="545"/>
      <c r="F23698" s="546"/>
      <c r="G23698" s="234"/>
      <c r="H23698" s="238"/>
      <c r="I23698" s="237"/>
    </row>
    <row r="23699" spans="1:9" s="232" customFormat="1" ht="17" customHeight="1">
      <c r="A23699" s="234"/>
      <c r="B23699" s="233"/>
      <c r="C23699" s="238"/>
      <c r="E23699" s="545"/>
      <c r="F23699" s="546"/>
      <c r="G23699" s="234"/>
      <c r="H23699" s="238"/>
      <c r="I23699" s="237"/>
    </row>
    <row r="23700" spans="1:9" s="232" customFormat="1" ht="17" customHeight="1">
      <c r="A23700" s="234"/>
      <c r="B23700" s="233"/>
      <c r="C23700" s="238"/>
      <c r="E23700" s="545"/>
      <c r="F23700" s="546"/>
      <c r="G23700" s="234"/>
      <c r="H23700" s="238"/>
      <c r="I23700" s="237"/>
    </row>
    <row r="23701" spans="1:9" s="232" customFormat="1" ht="17" customHeight="1">
      <c r="A23701" s="234"/>
      <c r="B23701" s="233"/>
      <c r="C23701" s="238"/>
      <c r="E23701" s="545"/>
      <c r="F23701" s="546"/>
      <c r="G23701" s="234"/>
      <c r="H23701" s="238"/>
      <c r="I23701" s="237"/>
    </row>
    <row r="23702" spans="1:9" s="232" customFormat="1" ht="17" customHeight="1">
      <c r="A23702" s="234"/>
      <c r="B23702" s="233"/>
      <c r="C23702" s="238"/>
      <c r="E23702" s="545"/>
      <c r="F23702" s="546"/>
      <c r="G23702" s="234"/>
      <c r="H23702" s="238"/>
      <c r="I23702" s="237"/>
    </row>
    <row r="23703" spans="1:9" s="232" customFormat="1" ht="17" customHeight="1">
      <c r="A23703" s="234"/>
      <c r="B23703" s="233"/>
      <c r="C23703" s="238"/>
      <c r="E23703" s="545"/>
      <c r="F23703" s="546"/>
      <c r="G23703" s="234"/>
      <c r="H23703" s="238"/>
      <c r="I23703" s="237"/>
    </row>
    <row r="23704" spans="1:9" s="232" customFormat="1" ht="17" customHeight="1">
      <c r="A23704" s="234"/>
      <c r="B23704" s="233"/>
      <c r="C23704" s="238"/>
      <c r="E23704" s="545"/>
      <c r="F23704" s="546"/>
      <c r="G23704" s="234"/>
      <c r="H23704" s="238"/>
      <c r="I23704" s="237"/>
    </row>
    <row r="23705" spans="1:9" s="232" customFormat="1" ht="17" customHeight="1">
      <c r="A23705" s="234"/>
      <c r="B23705" s="233"/>
      <c r="C23705" s="238"/>
      <c r="E23705" s="545"/>
      <c r="F23705" s="546"/>
      <c r="G23705" s="234"/>
      <c r="H23705" s="238"/>
      <c r="I23705" s="237"/>
    </row>
    <row r="23706" spans="1:9" s="232" customFormat="1" ht="17" customHeight="1">
      <c r="A23706" s="234"/>
      <c r="B23706" s="233"/>
      <c r="C23706" s="238"/>
      <c r="E23706" s="545"/>
      <c r="F23706" s="546"/>
      <c r="G23706" s="234"/>
      <c r="H23706" s="238"/>
      <c r="I23706" s="237"/>
    </row>
    <row r="23707" spans="1:9" s="232" customFormat="1" ht="17" customHeight="1">
      <c r="A23707" s="234"/>
      <c r="B23707" s="233"/>
      <c r="C23707" s="238"/>
      <c r="E23707" s="545"/>
      <c r="F23707" s="546"/>
      <c r="G23707" s="234"/>
      <c r="H23707" s="238"/>
      <c r="I23707" s="237"/>
    </row>
    <row r="23708" spans="1:9" s="232" customFormat="1" ht="17" customHeight="1">
      <c r="A23708" s="234"/>
      <c r="B23708" s="233"/>
      <c r="C23708" s="238"/>
      <c r="E23708" s="545"/>
      <c r="F23708" s="546"/>
      <c r="G23708" s="234"/>
      <c r="H23708" s="238"/>
      <c r="I23708" s="237"/>
    </row>
    <row r="23709" spans="1:9" s="232" customFormat="1" ht="17" customHeight="1">
      <c r="A23709" s="234"/>
      <c r="B23709" s="233"/>
      <c r="C23709" s="238"/>
      <c r="E23709" s="545"/>
      <c r="F23709" s="546"/>
      <c r="G23709" s="234"/>
      <c r="H23709" s="238"/>
      <c r="I23709" s="237"/>
    </row>
    <row r="23710" spans="1:9" s="232" customFormat="1" ht="17" customHeight="1">
      <c r="A23710" s="234"/>
      <c r="B23710" s="233"/>
      <c r="C23710" s="238"/>
      <c r="E23710" s="545"/>
      <c r="F23710" s="546"/>
      <c r="G23710" s="234"/>
      <c r="H23710" s="238"/>
      <c r="I23710" s="237"/>
    </row>
    <row r="23711" spans="1:9" s="232" customFormat="1" ht="17" customHeight="1">
      <c r="A23711" s="234"/>
      <c r="B23711" s="233"/>
      <c r="C23711" s="238"/>
      <c r="E23711" s="545"/>
      <c r="F23711" s="546"/>
      <c r="G23711" s="234"/>
      <c r="H23711" s="238"/>
      <c r="I23711" s="237"/>
    </row>
    <row r="23712" spans="1:9" s="232" customFormat="1" ht="17" customHeight="1">
      <c r="A23712" s="234"/>
      <c r="B23712" s="233"/>
      <c r="C23712" s="238"/>
      <c r="E23712" s="545"/>
      <c r="F23712" s="546"/>
      <c r="G23712" s="234"/>
      <c r="H23712" s="238"/>
      <c r="I23712" s="237"/>
    </row>
    <row r="23713" spans="1:9" s="232" customFormat="1" ht="17" customHeight="1">
      <c r="A23713" s="234"/>
      <c r="B23713" s="233"/>
      <c r="C23713" s="238"/>
      <c r="E23713" s="545"/>
      <c r="F23713" s="546"/>
      <c r="G23713" s="234"/>
      <c r="H23713" s="238"/>
      <c r="I23713" s="237"/>
    </row>
    <row r="23714" spans="1:9" s="232" customFormat="1" ht="17" customHeight="1">
      <c r="A23714" s="234"/>
      <c r="B23714" s="233"/>
      <c r="C23714" s="238"/>
      <c r="E23714" s="545"/>
      <c r="F23714" s="546"/>
      <c r="G23714" s="234"/>
      <c r="H23714" s="238"/>
      <c r="I23714" s="237"/>
    </row>
    <row r="23715" spans="1:9" s="232" customFormat="1" ht="17" customHeight="1">
      <c r="A23715" s="234"/>
      <c r="B23715" s="233"/>
      <c r="C23715" s="238"/>
      <c r="E23715" s="545"/>
      <c r="F23715" s="546"/>
      <c r="G23715" s="234"/>
      <c r="H23715" s="238"/>
      <c r="I23715" s="237"/>
    </row>
    <row r="23716" spans="1:9" s="232" customFormat="1" ht="17" customHeight="1">
      <c r="A23716" s="234"/>
      <c r="B23716" s="233"/>
      <c r="C23716" s="238"/>
      <c r="E23716" s="545"/>
      <c r="F23716" s="546"/>
      <c r="G23716" s="234"/>
      <c r="H23716" s="238"/>
      <c r="I23716" s="237"/>
    </row>
    <row r="23717" spans="1:9" s="232" customFormat="1" ht="17" customHeight="1">
      <c r="A23717" s="234"/>
      <c r="B23717" s="233"/>
      <c r="C23717" s="238"/>
      <c r="E23717" s="545"/>
      <c r="F23717" s="546"/>
      <c r="G23717" s="234"/>
      <c r="H23717" s="238"/>
      <c r="I23717" s="237"/>
    </row>
    <row r="23718" spans="1:9" s="232" customFormat="1" ht="17" customHeight="1">
      <c r="A23718" s="234"/>
      <c r="B23718" s="233"/>
      <c r="C23718" s="238"/>
      <c r="E23718" s="545"/>
      <c r="F23718" s="546"/>
      <c r="G23718" s="234"/>
      <c r="H23718" s="238"/>
      <c r="I23718" s="237"/>
    </row>
    <row r="23719" spans="1:9" s="232" customFormat="1" ht="17" customHeight="1">
      <c r="A23719" s="234"/>
      <c r="B23719" s="233"/>
      <c r="C23719" s="238"/>
      <c r="E23719" s="545"/>
      <c r="F23719" s="546"/>
      <c r="G23719" s="234"/>
      <c r="H23719" s="238"/>
      <c r="I23719" s="237"/>
    </row>
    <row r="23720" spans="1:9" s="232" customFormat="1" ht="17" customHeight="1">
      <c r="A23720" s="234"/>
      <c r="B23720" s="233"/>
      <c r="C23720" s="238"/>
      <c r="E23720" s="545"/>
      <c r="F23720" s="546"/>
      <c r="G23720" s="234"/>
      <c r="H23720" s="238"/>
      <c r="I23720" s="237"/>
    </row>
    <row r="23721" spans="1:9" s="232" customFormat="1" ht="17" customHeight="1">
      <c r="A23721" s="234"/>
      <c r="B23721" s="233"/>
      <c r="C23721" s="238"/>
      <c r="E23721" s="545"/>
      <c r="F23721" s="546"/>
      <c r="G23721" s="234"/>
      <c r="H23721" s="238"/>
      <c r="I23721" s="237"/>
    </row>
    <row r="23722" spans="1:9" s="232" customFormat="1" ht="17" customHeight="1">
      <c r="A23722" s="234"/>
      <c r="B23722" s="233"/>
      <c r="C23722" s="238"/>
      <c r="E23722" s="545"/>
      <c r="F23722" s="546"/>
      <c r="G23722" s="234"/>
      <c r="H23722" s="238"/>
      <c r="I23722" s="237"/>
    </row>
    <row r="23723" spans="1:9" s="232" customFormat="1" ht="17" customHeight="1">
      <c r="A23723" s="234"/>
      <c r="B23723" s="233"/>
      <c r="C23723" s="238"/>
      <c r="E23723" s="545"/>
      <c r="F23723" s="546"/>
      <c r="G23723" s="234"/>
      <c r="H23723" s="238"/>
      <c r="I23723" s="237"/>
    </row>
    <row r="23724" spans="1:9" s="232" customFormat="1" ht="17" customHeight="1">
      <c r="A23724" s="234"/>
      <c r="B23724" s="233"/>
      <c r="C23724" s="238"/>
      <c r="E23724" s="545"/>
      <c r="F23724" s="546"/>
      <c r="G23724" s="234"/>
      <c r="H23724" s="238"/>
      <c r="I23724" s="237"/>
    </row>
    <row r="23725" spans="1:9" s="232" customFormat="1" ht="17" customHeight="1">
      <c r="A23725" s="234"/>
      <c r="B23725" s="233"/>
      <c r="C23725" s="238"/>
      <c r="E23725" s="545"/>
      <c r="F23725" s="546"/>
      <c r="G23725" s="234"/>
      <c r="H23725" s="238"/>
      <c r="I23725" s="237"/>
    </row>
    <row r="23726" spans="1:9" s="232" customFormat="1" ht="17" customHeight="1">
      <c r="A23726" s="234"/>
      <c r="B23726" s="233"/>
      <c r="C23726" s="238"/>
      <c r="E23726" s="545"/>
      <c r="F23726" s="546"/>
      <c r="G23726" s="234"/>
      <c r="H23726" s="238"/>
      <c r="I23726" s="237"/>
    </row>
    <row r="23727" spans="1:9" s="232" customFormat="1" ht="17" customHeight="1">
      <c r="A23727" s="234"/>
      <c r="B23727" s="233"/>
      <c r="C23727" s="238"/>
      <c r="E23727" s="545"/>
      <c r="F23727" s="546"/>
      <c r="G23727" s="234"/>
      <c r="H23727" s="238"/>
      <c r="I23727" s="237"/>
    </row>
    <row r="23728" spans="1:9" s="232" customFormat="1" ht="17" customHeight="1">
      <c r="A23728" s="234"/>
      <c r="B23728" s="233"/>
      <c r="C23728" s="238"/>
      <c r="E23728" s="545"/>
      <c r="F23728" s="546"/>
      <c r="G23728" s="234"/>
      <c r="H23728" s="238"/>
      <c r="I23728" s="237"/>
    </row>
    <row r="23729" spans="1:9" s="232" customFormat="1" ht="17" customHeight="1">
      <c r="A23729" s="234"/>
      <c r="B23729" s="233"/>
      <c r="C23729" s="238"/>
      <c r="E23729" s="545"/>
      <c r="F23729" s="546"/>
      <c r="G23729" s="234"/>
      <c r="H23729" s="238"/>
      <c r="I23729" s="237"/>
    </row>
    <row r="23730" spans="1:9" s="232" customFormat="1" ht="17" customHeight="1">
      <c r="A23730" s="234"/>
      <c r="B23730" s="233"/>
      <c r="C23730" s="238"/>
      <c r="E23730" s="545"/>
      <c r="F23730" s="546"/>
      <c r="G23730" s="234"/>
      <c r="H23730" s="238"/>
      <c r="I23730" s="237"/>
    </row>
    <row r="23731" spans="1:9" s="232" customFormat="1" ht="17" customHeight="1">
      <c r="A23731" s="234"/>
      <c r="B23731" s="233"/>
      <c r="C23731" s="238"/>
      <c r="E23731" s="545"/>
      <c r="F23731" s="546"/>
      <c r="G23731" s="234"/>
      <c r="H23731" s="238"/>
      <c r="I23731" s="237"/>
    </row>
    <row r="23732" spans="1:9" s="232" customFormat="1" ht="17" customHeight="1">
      <c r="A23732" s="234"/>
      <c r="B23732" s="233"/>
      <c r="C23732" s="238"/>
      <c r="E23732" s="545"/>
      <c r="F23732" s="546"/>
      <c r="G23732" s="234"/>
      <c r="H23732" s="238"/>
      <c r="I23732" s="237"/>
    </row>
    <row r="23733" spans="1:9" s="232" customFormat="1" ht="17" customHeight="1">
      <c r="A23733" s="234"/>
      <c r="B23733" s="233"/>
      <c r="C23733" s="238"/>
      <c r="E23733" s="545"/>
      <c r="F23733" s="546"/>
      <c r="G23733" s="234"/>
      <c r="H23733" s="238"/>
      <c r="I23733" s="237"/>
    </row>
    <row r="23734" spans="1:9" s="232" customFormat="1" ht="17" customHeight="1">
      <c r="A23734" s="234"/>
      <c r="B23734" s="233"/>
      <c r="C23734" s="238"/>
      <c r="E23734" s="545"/>
      <c r="F23734" s="546"/>
      <c r="G23734" s="234"/>
      <c r="H23734" s="238"/>
      <c r="I23734" s="237"/>
    </row>
    <row r="23735" spans="1:9" s="232" customFormat="1" ht="17" customHeight="1">
      <c r="A23735" s="234"/>
      <c r="B23735" s="233"/>
      <c r="C23735" s="238"/>
      <c r="E23735" s="545"/>
      <c r="F23735" s="546"/>
      <c r="G23735" s="234"/>
      <c r="H23735" s="238"/>
      <c r="I23735" s="237"/>
    </row>
    <row r="23736" spans="1:9" s="232" customFormat="1" ht="17" customHeight="1">
      <c r="A23736" s="234"/>
      <c r="B23736" s="233"/>
      <c r="C23736" s="238"/>
      <c r="E23736" s="545"/>
      <c r="F23736" s="546"/>
      <c r="G23736" s="234"/>
      <c r="H23736" s="238"/>
      <c r="I23736" s="237"/>
    </row>
    <row r="23737" spans="1:9" s="232" customFormat="1" ht="17" customHeight="1">
      <c r="A23737" s="234"/>
      <c r="B23737" s="233"/>
      <c r="C23737" s="238"/>
      <c r="E23737" s="545"/>
      <c r="F23737" s="546"/>
      <c r="G23737" s="234"/>
      <c r="H23737" s="238"/>
      <c r="I23737" s="237"/>
    </row>
    <row r="23738" spans="1:9" s="232" customFormat="1" ht="17" customHeight="1">
      <c r="A23738" s="234"/>
      <c r="B23738" s="233"/>
      <c r="C23738" s="238"/>
      <c r="E23738" s="545"/>
      <c r="F23738" s="546"/>
      <c r="G23738" s="234"/>
      <c r="H23738" s="238"/>
      <c r="I23738" s="237"/>
    </row>
    <row r="23739" spans="1:9" s="232" customFormat="1" ht="17" customHeight="1">
      <c r="A23739" s="234"/>
      <c r="B23739" s="233"/>
      <c r="C23739" s="238"/>
      <c r="E23739" s="545"/>
      <c r="F23739" s="546"/>
      <c r="G23739" s="234"/>
      <c r="H23739" s="238"/>
      <c r="I23739" s="237"/>
    </row>
    <row r="23740" spans="1:9" s="232" customFormat="1" ht="17" customHeight="1">
      <c r="A23740" s="234"/>
      <c r="B23740" s="233"/>
      <c r="C23740" s="238"/>
      <c r="E23740" s="545"/>
      <c r="F23740" s="546"/>
      <c r="G23740" s="234"/>
      <c r="H23740" s="238"/>
      <c r="I23740" s="237"/>
    </row>
    <row r="23741" spans="1:9" s="232" customFormat="1" ht="17" customHeight="1">
      <c r="A23741" s="234"/>
      <c r="B23741" s="233"/>
      <c r="C23741" s="238"/>
      <c r="E23741" s="545"/>
      <c r="F23741" s="546"/>
      <c r="G23741" s="234"/>
      <c r="H23741" s="238"/>
      <c r="I23741" s="237"/>
    </row>
    <row r="23742" spans="1:9" s="232" customFormat="1" ht="17" customHeight="1">
      <c r="A23742" s="234"/>
      <c r="B23742" s="233"/>
      <c r="C23742" s="238"/>
      <c r="E23742" s="545"/>
      <c r="F23742" s="546"/>
      <c r="G23742" s="234"/>
      <c r="H23742" s="238"/>
      <c r="I23742" s="237"/>
    </row>
    <row r="23743" spans="1:9" s="232" customFormat="1" ht="17" customHeight="1">
      <c r="A23743" s="234"/>
      <c r="B23743" s="233"/>
      <c r="C23743" s="238"/>
      <c r="E23743" s="545"/>
      <c r="F23743" s="546"/>
      <c r="G23743" s="234"/>
      <c r="H23743" s="238"/>
      <c r="I23743" s="237"/>
    </row>
    <row r="23744" spans="1:9" s="232" customFormat="1" ht="17" customHeight="1">
      <c r="A23744" s="234"/>
      <c r="B23744" s="233"/>
      <c r="C23744" s="238"/>
      <c r="E23744" s="545"/>
      <c r="F23744" s="546"/>
      <c r="G23744" s="234"/>
      <c r="H23744" s="238"/>
      <c r="I23744" s="237"/>
    </row>
    <row r="23745" spans="1:9" s="232" customFormat="1" ht="17" customHeight="1">
      <c r="A23745" s="234"/>
      <c r="B23745" s="233"/>
      <c r="C23745" s="238"/>
      <c r="E23745" s="545"/>
      <c r="F23745" s="546"/>
      <c r="G23745" s="234"/>
      <c r="H23745" s="238"/>
      <c r="I23745" s="237"/>
    </row>
    <row r="23746" spans="1:9" s="232" customFormat="1" ht="17" customHeight="1">
      <c r="A23746" s="234"/>
      <c r="B23746" s="233"/>
      <c r="C23746" s="238"/>
      <c r="E23746" s="545"/>
      <c r="F23746" s="546"/>
      <c r="G23746" s="234"/>
      <c r="H23746" s="238"/>
      <c r="I23746" s="237"/>
    </row>
    <row r="23747" spans="1:9" s="232" customFormat="1" ht="17" customHeight="1">
      <c r="A23747" s="234"/>
      <c r="B23747" s="233"/>
      <c r="C23747" s="238"/>
      <c r="E23747" s="545"/>
      <c r="F23747" s="546"/>
      <c r="G23747" s="234"/>
      <c r="H23747" s="238"/>
      <c r="I23747" s="237"/>
    </row>
    <row r="23748" spans="1:9" s="232" customFormat="1" ht="17" customHeight="1">
      <c r="A23748" s="234"/>
      <c r="B23748" s="233"/>
      <c r="C23748" s="238"/>
      <c r="E23748" s="545"/>
      <c r="F23748" s="546"/>
      <c r="G23748" s="234"/>
      <c r="H23748" s="238"/>
      <c r="I23748" s="237"/>
    </row>
    <row r="23749" spans="1:9" s="232" customFormat="1" ht="17" customHeight="1">
      <c r="A23749" s="234"/>
      <c r="B23749" s="233"/>
      <c r="C23749" s="238"/>
      <c r="E23749" s="545"/>
      <c r="F23749" s="546"/>
      <c r="G23749" s="234"/>
      <c r="H23749" s="238"/>
      <c r="I23749" s="237"/>
    </row>
    <row r="23750" spans="1:9" s="232" customFormat="1" ht="17" customHeight="1">
      <c r="A23750" s="234"/>
      <c r="B23750" s="233"/>
      <c r="C23750" s="238"/>
      <c r="E23750" s="545"/>
      <c r="F23750" s="546"/>
      <c r="G23750" s="234"/>
      <c r="H23750" s="238"/>
      <c r="I23750" s="237"/>
    </row>
    <row r="23751" spans="1:9" s="232" customFormat="1" ht="17" customHeight="1">
      <c r="A23751" s="234"/>
      <c r="B23751" s="233"/>
      <c r="C23751" s="238"/>
      <c r="E23751" s="545"/>
      <c r="F23751" s="546"/>
      <c r="G23751" s="234"/>
      <c r="H23751" s="238"/>
      <c r="I23751" s="237"/>
    </row>
    <row r="23752" spans="1:9" s="232" customFormat="1" ht="17" customHeight="1">
      <c r="A23752" s="234"/>
      <c r="B23752" s="233"/>
      <c r="C23752" s="238"/>
      <c r="E23752" s="545"/>
      <c r="F23752" s="546"/>
      <c r="G23752" s="234"/>
      <c r="H23752" s="238"/>
      <c r="I23752" s="237"/>
    </row>
    <row r="23753" spans="1:9" s="232" customFormat="1" ht="17" customHeight="1">
      <c r="A23753" s="234"/>
      <c r="B23753" s="233"/>
      <c r="C23753" s="238"/>
      <c r="E23753" s="545"/>
      <c r="F23753" s="546"/>
      <c r="G23753" s="234"/>
      <c r="H23753" s="238"/>
      <c r="I23753" s="237"/>
    </row>
    <row r="23754" spans="1:9" s="232" customFormat="1" ht="17" customHeight="1">
      <c r="A23754" s="234"/>
      <c r="B23754" s="233"/>
      <c r="C23754" s="238"/>
      <c r="E23754" s="545"/>
      <c r="F23754" s="546"/>
      <c r="G23754" s="234"/>
      <c r="H23754" s="238"/>
      <c r="I23754" s="237"/>
    </row>
    <row r="23755" spans="1:9" s="232" customFormat="1" ht="17" customHeight="1">
      <c r="A23755" s="234"/>
      <c r="B23755" s="233"/>
      <c r="C23755" s="238"/>
      <c r="E23755" s="545"/>
      <c r="F23755" s="546"/>
      <c r="G23755" s="234"/>
      <c r="H23755" s="238"/>
      <c r="I23755" s="237"/>
    </row>
    <row r="23756" spans="1:9" s="232" customFormat="1" ht="17" customHeight="1">
      <c r="A23756" s="234"/>
      <c r="B23756" s="233"/>
      <c r="C23756" s="238"/>
      <c r="E23756" s="545"/>
      <c r="F23756" s="546"/>
      <c r="G23756" s="234"/>
      <c r="H23756" s="238"/>
      <c r="I23756" s="237"/>
    </row>
    <row r="23757" spans="1:9" s="232" customFormat="1" ht="17" customHeight="1">
      <c r="A23757" s="234"/>
      <c r="B23757" s="233"/>
      <c r="C23757" s="238"/>
      <c r="E23757" s="545"/>
      <c r="F23757" s="546"/>
      <c r="G23757" s="234"/>
      <c r="H23757" s="238"/>
      <c r="I23757" s="237"/>
    </row>
    <row r="23758" spans="1:9" s="232" customFormat="1" ht="17" customHeight="1">
      <c r="A23758" s="234"/>
      <c r="B23758" s="233"/>
      <c r="C23758" s="238"/>
      <c r="E23758" s="545"/>
      <c r="F23758" s="546"/>
      <c r="G23758" s="234"/>
      <c r="H23758" s="238"/>
      <c r="I23758" s="237"/>
    </row>
    <row r="23759" spans="1:9" s="232" customFormat="1" ht="17" customHeight="1">
      <c r="A23759" s="234"/>
      <c r="B23759" s="233"/>
      <c r="C23759" s="238"/>
      <c r="E23759" s="545"/>
      <c r="F23759" s="546"/>
      <c r="G23759" s="234"/>
      <c r="H23759" s="238"/>
      <c r="I23759" s="237"/>
    </row>
    <row r="23760" spans="1:9" s="232" customFormat="1" ht="17" customHeight="1">
      <c r="A23760" s="234"/>
      <c r="B23760" s="233"/>
      <c r="C23760" s="238"/>
      <c r="E23760" s="545"/>
      <c r="F23760" s="546"/>
      <c r="G23760" s="234"/>
      <c r="H23760" s="238"/>
      <c r="I23760" s="237"/>
    </row>
    <row r="23761" spans="1:9" s="232" customFormat="1" ht="17" customHeight="1">
      <c r="A23761" s="234"/>
      <c r="B23761" s="233"/>
      <c r="C23761" s="238"/>
      <c r="E23761" s="545"/>
      <c r="F23761" s="546"/>
      <c r="G23761" s="234"/>
      <c r="H23761" s="238"/>
      <c r="I23761" s="237"/>
    </row>
    <row r="23762" spans="1:9" s="232" customFormat="1" ht="17" customHeight="1">
      <c r="A23762" s="234"/>
      <c r="B23762" s="233"/>
      <c r="C23762" s="238"/>
      <c r="E23762" s="545"/>
      <c r="F23762" s="546"/>
      <c r="G23762" s="234"/>
      <c r="H23762" s="238"/>
      <c r="I23762" s="237"/>
    </row>
    <row r="23763" spans="1:9" s="232" customFormat="1" ht="17" customHeight="1">
      <c r="A23763" s="234"/>
      <c r="B23763" s="233"/>
      <c r="C23763" s="238"/>
      <c r="E23763" s="545"/>
      <c r="F23763" s="546"/>
      <c r="G23763" s="234"/>
      <c r="H23763" s="238"/>
      <c r="I23763" s="237"/>
    </row>
    <row r="23764" spans="1:9" s="232" customFormat="1" ht="17" customHeight="1">
      <c r="A23764" s="234"/>
      <c r="B23764" s="233"/>
      <c r="C23764" s="238"/>
      <c r="E23764" s="545"/>
      <c r="F23764" s="546"/>
      <c r="G23764" s="234"/>
      <c r="H23764" s="238"/>
      <c r="I23764" s="237"/>
    </row>
    <row r="23765" spans="1:9" s="232" customFormat="1" ht="17" customHeight="1">
      <c r="A23765" s="234"/>
      <c r="B23765" s="233"/>
      <c r="C23765" s="238"/>
      <c r="E23765" s="545"/>
      <c r="F23765" s="546"/>
      <c r="G23765" s="234"/>
      <c r="H23765" s="238"/>
      <c r="I23765" s="237"/>
    </row>
    <row r="23766" spans="1:9" s="232" customFormat="1" ht="17" customHeight="1">
      <c r="A23766" s="234"/>
      <c r="B23766" s="233"/>
      <c r="C23766" s="238"/>
      <c r="E23766" s="545"/>
      <c r="F23766" s="546"/>
      <c r="G23766" s="234"/>
      <c r="H23766" s="238"/>
      <c r="I23766" s="237"/>
    </row>
    <row r="23767" spans="1:9" s="232" customFormat="1" ht="17" customHeight="1">
      <c r="A23767" s="234"/>
      <c r="B23767" s="233"/>
      <c r="C23767" s="238"/>
      <c r="E23767" s="545"/>
      <c r="F23767" s="546"/>
      <c r="G23767" s="234"/>
      <c r="H23767" s="238"/>
      <c r="I23767" s="237"/>
    </row>
    <row r="23768" spans="1:9" s="232" customFormat="1" ht="17" customHeight="1">
      <c r="A23768" s="234"/>
      <c r="B23768" s="233"/>
      <c r="C23768" s="238"/>
      <c r="E23768" s="545"/>
      <c r="F23768" s="546"/>
      <c r="G23768" s="234"/>
      <c r="H23768" s="238"/>
      <c r="I23768" s="237"/>
    </row>
    <row r="23769" spans="1:9" s="232" customFormat="1" ht="17" customHeight="1">
      <c r="A23769" s="234"/>
      <c r="B23769" s="233"/>
      <c r="C23769" s="238"/>
      <c r="E23769" s="545"/>
      <c r="F23769" s="546"/>
      <c r="G23769" s="234"/>
      <c r="H23769" s="238"/>
      <c r="I23769" s="237"/>
    </row>
    <row r="23770" spans="1:9" s="232" customFormat="1" ht="17" customHeight="1">
      <c r="A23770" s="234"/>
      <c r="B23770" s="233"/>
      <c r="C23770" s="238"/>
      <c r="E23770" s="545"/>
      <c r="F23770" s="546"/>
      <c r="G23770" s="234"/>
      <c r="H23770" s="238"/>
      <c r="I23770" s="237"/>
    </row>
    <row r="23771" spans="1:9" s="232" customFormat="1" ht="17" customHeight="1">
      <c r="A23771" s="234"/>
      <c r="B23771" s="233"/>
      <c r="C23771" s="238"/>
      <c r="E23771" s="545"/>
      <c r="F23771" s="546"/>
      <c r="G23771" s="234"/>
      <c r="H23771" s="238"/>
      <c r="I23771" s="237"/>
    </row>
    <row r="23772" spans="1:9" s="232" customFormat="1" ht="17" customHeight="1">
      <c r="A23772" s="234"/>
      <c r="B23772" s="233"/>
      <c r="C23772" s="238"/>
      <c r="E23772" s="545"/>
      <c r="F23772" s="546"/>
      <c r="G23772" s="234"/>
      <c r="H23772" s="238"/>
      <c r="I23772" s="237"/>
    </row>
    <row r="23773" spans="1:9" s="232" customFormat="1" ht="17" customHeight="1">
      <c r="A23773" s="234"/>
      <c r="B23773" s="233"/>
      <c r="C23773" s="238"/>
      <c r="E23773" s="545"/>
      <c r="F23773" s="546"/>
      <c r="G23773" s="234"/>
      <c r="H23773" s="238"/>
      <c r="I23773" s="237"/>
    </row>
    <row r="23774" spans="1:9" s="232" customFormat="1" ht="17" customHeight="1">
      <c r="A23774" s="234"/>
      <c r="B23774" s="233"/>
      <c r="C23774" s="238"/>
      <c r="E23774" s="545"/>
      <c r="F23774" s="546"/>
      <c r="G23774" s="234"/>
      <c r="H23774" s="238"/>
      <c r="I23774" s="237"/>
    </row>
    <row r="23775" spans="1:9" s="232" customFormat="1" ht="17" customHeight="1">
      <c r="A23775" s="234"/>
      <c r="B23775" s="233"/>
      <c r="C23775" s="238"/>
      <c r="E23775" s="545"/>
      <c r="F23775" s="546"/>
      <c r="G23775" s="234"/>
      <c r="H23775" s="238"/>
      <c r="I23775" s="237"/>
    </row>
    <row r="23776" spans="1:9" s="232" customFormat="1" ht="17" customHeight="1">
      <c r="A23776" s="234"/>
      <c r="B23776" s="233"/>
      <c r="C23776" s="238"/>
      <c r="E23776" s="545"/>
      <c r="F23776" s="546"/>
      <c r="G23776" s="234"/>
      <c r="H23776" s="238"/>
      <c r="I23776" s="237"/>
    </row>
    <row r="23777" spans="1:9" s="232" customFormat="1" ht="17" customHeight="1">
      <c r="A23777" s="234"/>
      <c r="B23777" s="233"/>
      <c r="C23777" s="238"/>
      <c r="E23777" s="545"/>
      <c r="F23777" s="546"/>
      <c r="G23777" s="234"/>
      <c r="H23777" s="238"/>
      <c r="I23777" s="237"/>
    </row>
    <row r="23778" spans="1:9" s="232" customFormat="1" ht="17" customHeight="1">
      <c r="A23778" s="234"/>
      <c r="B23778" s="233"/>
      <c r="C23778" s="238"/>
      <c r="E23778" s="545"/>
      <c r="F23778" s="546"/>
      <c r="G23778" s="234"/>
      <c r="H23778" s="238"/>
      <c r="I23778" s="237"/>
    </row>
    <row r="23779" spans="1:9" s="232" customFormat="1" ht="17" customHeight="1">
      <c r="A23779" s="234"/>
      <c r="B23779" s="233"/>
      <c r="C23779" s="238"/>
      <c r="E23779" s="545"/>
      <c r="F23779" s="546"/>
      <c r="G23779" s="234"/>
      <c r="H23779" s="238"/>
      <c r="I23779" s="237"/>
    </row>
    <row r="23780" spans="1:9" s="232" customFormat="1" ht="17" customHeight="1">
      <c r="A23780" s="234"/>
      <c r="B23780" s="233"/>
      <c r="C23780" s="238"/>
      <c r="E23780" s="545"/>
      <c r="F23780" s="546"/>
      <c r="G23780" s="234"/>
      <c r="H23780" s="238"/>
      <c r="I23780" s="237"/>
    </row>
    <row r="23781" spans="1:9" s="232" customFormat="1" ht="17" customHeight="1">
      <c r="A23781" s="234"/>
      <c r="B23781" s="233"/>
      <c r="C23781" s="238"/>
      <c r="E23781" s="545"/>
      <c r="F23781" s="546"/>
      <c r="G23781" s="234"/>
      <c r="H23781" s="238"/>
      <c r="I23781" s="237"/>
    </row>
    <row r="23782" spans="1:9" s="232" customFormat="1" ht="17" customHeight="1">
      <c r="A23782" s="234"/>
      <c r="B23782" s="233"/>
      <c r="C23782" s="238"/>
      <c r="E23782" s="545"/>
      <c r="F23782" s="546"/>
      <c r="G23782" s="234"/>
      <c r="H23782" s="238"/>
      <c r="I23782" s="237"/>
    </row>
    <row r="23783" spans="1:9" s="232" customFormat="1" ht="17" customHeight="1">
      <c r="A23783" s="234"/>
      <c r="B23783" s="233"/>
      <c r="C23783" s="238"/>
      <c r="E23783" s="545"/>
      <c r="F23783" s="546"/>
      <c r="G23783" s="234"/>
      <c r="H23783" s="238"/>
      <c r="I23783" s="237"/>
    </row>
    <row r="23784" spans="1:9" s="232" customFormat="1" ht="17" customHeight="1">
      <c r="A23784" s="234"/>
      <c r="B23784" s="233"/>
      <c r="C23784" s="238"/>
      <c r="E23784" s="545"/>
      <c r="F23784" s="546"/>
      <c r="G23784" s="234"/>
      <c r="H23784" s="238"/>
      <c r="I23784" s="237"/>
    </row>
    <row r="23785" spans="1:9" s="232" customFormat="1" ht="17" customHeight="1">
      <c r="A23785" s="234"/>
      <c r="B23785" s="233"/>
      <c r="C23785" s="238"/>
      <c r="E23785" s="545"/>
      <c r="F23785" s="546"/>
      <c r="G23785" s="234"/>
      <c r="H23785" s="238"/>
      <c r="I23785" s="237"/>
    </row>
    <row r="23786" spans="1:9" s="232" customFormat="1" ht="17" customHeight="1">
      <c r="A23786" s="234"/>
      <c r="B23786" s="233"/>
      <c r="C23786" s="238"/>
      <c r="E23786" s="545"/>
      <c r="F23786" s="546"/>
      <c r="G23786" s="234"/>
      <c r="H23786" s="238"/>
      <c r="I23786" s="237"/>
    </row>
    <row r="23787" spans="1:9" s="232" customFormat="1" ht="17" customHeight="1">
      <c r="A23787" s="234"/>
      <c r="B23787" s="233"/>
      <c r="C23787" s="238"/>
      <c r="E23787" s="545"/>
      <c r="F23787" s="546"/>
      <c r="G23787" s="234"/>
      <c r="H23787" s="238"/>
      <c r="I23787" s="237"/>
    </row>
    <row r="23788" spans="1:9" s="232" customFormat="1" ht="17" customHeight="1">
      <c r="A23788" s="234"/>
      <c r="B23788" s="233"/>
      <c r="C23788" s="238"/>
      <c r="E23788" s="545"/>
      <c r="F23788" s="546"/>
      <c r="G23788" s="234"/>
      <c r="H23788" s="238"/>
      <c r="I23788" s="237"/>
    </row>
    <row r="23789" spans="1:9" s="232" customFormat="1" ht="17" customHeight="1">
      <c r="A23789" s="234"/>
      <c r="B23789" s="233"/>
      <c r="C23789" s="238"/>
      <c r="E23789" s="545"/>
      <c r="F23789" s="546"/>
      <c r="G23789" s="234"/>
      <c r="H23789" s="238"/>
      <c r="I23789" s="237"/>
    </row>
    <row r="23790" spans="1:9" s="232" customFormat="1" ht="17" customHeight="1">
      <c r="A23790" s="234"/>
      <c r="B23790" s="233"/>
      <c r="C23790" s="238"/>
      <c r="E23790" s="545"/>
      <c r="F23790" s="546"/>
      <c r="G23790" s="234"/>
      <c r="H23790" s="238"/>
      <c r="I23790" s="237"/>
    </row>
    <row r="23791" spans="1:9" s="232" customFormat="1" ht="17" customHeight="1">
      <c r="A23791" s="234"/>
      <c r="B23791" s="233"/>
      <c r="C23791" s="238"/>
      <c r="E23791" s="545"/>
      <c r="F23791" s="546"/>
      <c r="G23791" s="234"/>
      <c r="H23791" s="238"/>
      <c r="I23791" s="237"/>
    </row>
    <row r="23792" spans="1:9" s="232" customFormat="1" ht="17" customHeight="1">
      <c r="A23792" s="234"/>
      <c r="B23792" s="233"/>
      <c r="C23792" s="238"/>
      <c r="E23792" s="545"/>
      <c r="F23792" s="546"/>
      <c r="G23792" s="234"/>
      <c r="H23792" s="238"/>
      <c r="I23792" s="237"/>
    </row>
    <row r="23793" spans="1:9" s="232" customFormat="1" ht="17" customHeight="1">
      <c r="A23793" s="234"/>
      <c r="B23793" s="233"/>
      <c r="C23793" s="238"/>
      <c r="E23793" s="545"/>
      <c r="F23793" s="546"/>
      <c r="G23793" s="234"/>
      <c r="H23793" s="238"/>
      <c r="I23793" s="237"/>
    </row>
    <row r="23794" spans="1:9" s="232" customFormat="1" ht="17" customHeight="1">
      <c r="A23794" s="234"/>
      <c r="B23794" s="233"/>
      <c r="C23794" s="238"/>
      <c r="E23794" s="545"/>
      <c r="F23794" s="546"/>
      <c r="G23794" s="234"/>
      <c r="H23794" s="238"/>
      <c r="I23794" s="237"/>
    </row>
    <row r="23795" spans="1:9" s="232" customFormat="1" ht="17" customHeight="1">
      <c r="A23795" s="234"/>
      <c r="B23795" s="233"/>
      <c r="C23795" s="238"/>
      <c r="E23795" s="545"/>
      <c r="F23795" s="546"/>
      <c r="G23795" s="234"/>
      <c r="H23795" s="238"/>
      <c r="I23795" s="237"/>
    </row>
    <row r="23796" spans="1:9" s="232" customFormat="1" ht="17" customHeight="1">
      <c r="A23796" s="234"/>
      <c r="B23796" s="233"/>
      <c r="C23796" s="238"/>
      <c r="E23796" s="545"/>
      <c r="F23796" s="546"/>
      <c r="G23796" s="234"/>
      <c r="H23796" s="238"/>
      <c r="I23796" s="237"/>
    </row>
    <row r="23797" spans="1:9" s="232" customFormat="1" ht="17" customHeight="1">
      <c r="A23797" s="234"/>
      <c r="B23797" s="233"/>
      <c r="C23797" s="238"/>
      <c r="E23797" s="545"/>
      <c r="F23797" s="546"/>
      <c r="G23797" s="234"/>
      <c r="H23797" s="238"/>
      <c r="I23797" s="237"/>
    </row>
    <row r="23798" spans="1:9" s="232" customFormat="1" ht="17" customHeight="1">
      <c r="A23798" s="234"/>
      <c r="B23798" s="233"/>
      <c r="C23798" s="238"/>
      <c r="E23798" s="545"/>
      <c r="F23798" s="546"/>
      <c r="G23798" s="234"/>
      <c r="H23798" s="238"/>
      <c r="I23798" s="237"/>
    </row>
    <row r="23799" spans="1:9" s="232" customFormat="1" ht="17" customHeight="1">
      <c r="A23799" s="234"/>
      <c r="B23799" s="233"/>
      <c r="C23799" s="238"/>
      <c r="E23799" s="545"/>
      <c r="F23799" s="546"/>
      <c r="G23799" s="234"/>
      <c r="H23799" s="238"/>
      <c r="I23799" s="237"/>
    </row>
    <row r="23800" spans="1:9" s="232" customFormat="1" ht="17" customHeight="1">
      <c r="A23800" s="234"/>
      <c r="B23800" s="233"/>
      <c r="C23800" s="238"/>
      <c r="E23800" s="545"/>
      <c r="F23800" s="546"/>
      <c r="G23800" s="234"/>
      <c r="H23800" s="238"/>
      <c r="I23800" s="237"/>
    </row>
    <row r="23801" spans="1:9" s="232" customFormat="1" ht="17" customHeight="1">
      <c r="A23801" s="234"/>
      <c r="B23801" s="233"/>
      <c r="C23801" s="238"/>
      <c r="E23801" s="545"/>
      <c r="F23801" s="546"/>
      <c r="G23801" s="234"/>
      <c r="H23801" s="238"/>
      <c r="I23801" s="237"/>
    </row>
    <row r="23802" spans="1:9" s="232" customFormat="1" ht="17" customHeight="1">
      <c r="A23802" s="234"/>
      <c r="B23802" s="233"/>
      <c r="C23802" s="238"/>
      <c r="E23802" s="545"/>
      <c r="F23802" s="546"/>
      <c r="G23802" s="234"/>
      <c r="H23802" s="238"/>
      <c r="I23802" s="237"/>
    </row>
    <row r="23803" spans="1:9" s="232" customFormat="1" ht="17" customHeight="1">
      <c r="A23803" s="234"/>
      <c r="B23803" s="233"/>
      <c r="C23803" s="238"/>
      <c r="E23803" s="545"/>
      <c r="F23803" s="546"/>
      <c r="G23803" s="234"/>
      <c r="H23803" s="238"/>
      <c r="I23803" s="237"/>
    </row>
    <row r="23804" spans="1:9" s="232" customFormat="1" ht="17" customHeight="1">
      <c r="A23804" s="234"/>
      <c r="B23804" s="233"/>
      <c r="C23804" s="238"/>
      <c r="E23804" s="545"/>
      <c r="F23804" s="546"/>
      <c r="G23804" s="234"/>
      <c r="H23804" s="238"/>
      <c r="I23804" s="237"/>
    </row>
    <row r="23805" spans="1:9" s="232" customFormat="1" ht="17" customHeight="1">
      <c r="A23805" s="234"/>
      <c r="B23805" s="233"/>
      <c r="C23805" s="238"/>
      <c r="E23805" s="545"/>
      <c r="F23805" s="546"/>
      <c r="G23805" s="234"/>
      <c r="H23805" s="238"/>
      <c r="I23805" s="237"/>
    </row>
    <row r="23806" spans="1:9" s="232" customFormat="1" ht="17" customHeight="1">
      <c r="A23806" s="234"/>
      <c r="B23806" s="233"/>
      <c r="C23806" s="238"/>
      <c r="E23806" s="545"/>
      <c r="F23806" s="546"/>
      <c r="G23806" s="234"/>
      <c r="H23806" s="238"/>
      <c r="I23806" s="237"/>
    </row>
    <row r="23807" spans="1:9" s="232" customFormat="1" ht="17" customHeight="1">
      <c r="A23807" s="234"/>
      <c r="B23807" s="233"/>
      <c r="C23807" s="238"/>
      <c r="E23807" s="545"/>
      <c r="F23807" s="546"/>
      <c r="G23807" s="234"/>
      <c r="H23807" s="238"/>
      <c r="I23807" s="237"/>
    </row>
    <row r="23808" spans="1:9" s="232" customFormat="1" ht="17" customHeight="1">
      <c r="A23808" s="234"/>
      <c r="B23808" s="233"/>
      <c r="C23808" s="238"/>
      <c r="E23808" s="545"/>
      <c r="F23808" s="546"/>
      <c r="G23808" s="234"/>
      <c r="H23808" s="238"/>
      <c r="I23808" s="237"/>
    </row>
    <row r="23809" spans="1:9" s="232" customFormat="1" ht="17" customHeight="1">
      <c r="A23809" s="234"/>
      <c r="B23809" s="233"/>
      <c r="C23809" s="238"/>
      <c r="E23809" s="545"/>
      <c r="F23809" s="546"/>
      <c r="G23809" s="234"/>
      <c r="H23809" s="238"/>
      <c r="I23809" s="237"/>
    </row>
    <row r="23810" spans="1:9" s="232" customFormat="1" ht="17" customHeight="1">
      <c r="A23810" s="234"/>
      <c r="B23810" s="233"/>
      <c r="C23810" s="238"/>
      <c r="E23810" s="545"/>
      <c r="F23810" s="546"/>
      <c r="G23810" s="234"/>
      <c r="H23810" s="238"/>
      <c r="I23810" s="237"/>
    </row>
    <row r="23811" spans="1:9" s="232" customFormat="1" ht="17" customHeight="1">
      <c r="A23811" s="234"/>
      <c r="B23811" s="233"/>
      <c r="C23811" s="238"/>
      <c r="E23811" s="545"/>
      <c r="F23811" s="546"/>
      <c r="G23811" s="234"/>
      <c r="H23811" s="238"/>
      <c r="I23811" s="237"/>
    </row>
    <row r="23812" spans="1:9" s="232" customFormat="1" ht="17" customHeight="1">
      <c r="A23812" s="234"/>
      <c r="B23812" s="233"/>
      <c r="C23812" s="238"/>
      <c r="E23812" s="545"/>
      <c r="F23812" s="546"/>
      <c r="G23812" s="234"/>
      <c r="H23812" s="238"/>
      <c r="I23812" s="237"/>
    </row>
    <row r="23813" spans="1:9" s="232" customFormat="1" ht="17" customHeight="1">
      <c r="A23813" s="234"/>
      <c r="B23813" s="233"/>
      <c r="C23813" s="238"/>
      <c r="E23813" s="545"/>
      <c r="F23813" s="546"/>
      <c r="G23813" s="234"/>
      <c r="H23813" s="238"/>
      <c r="I23813" s="237"/>
    </row>
    <row r="23814" spans="1:9" s="232" customFormat="1" ht="17" customHeight="1">
      <c r="A23814" s="234"/>
      <c r="B23814" s="233"/>
      <c r="C23814" s="238"/>
      <c r="E23814" s="545"/>
      <c r="F23814" s="546"/>
      <c r="G23814" s="234"/>
      <c r="H23814" s="238"/>
      <c r="I23814" s="237"/>
    </row>
    <row r="23815" spans="1:9" s="232" customFormat="1" ht="17" customHeight="1">
      <c r="A23815" s="234"/>
      <c r="B23815" s="233"/>
      <c r="C23815" s="238"/>
      <c r="E23815" s="545"/>
      <c r="F23815" s="546"/>
      <c r="G23815" s="234"/>
      <c r="H23815" s="238"/>
      <c r="I23815" s="237"/>
    </row>
    <row r="23816" spans="1:9" s="232" customFormat="1" ht="17" customHeight="1">
      <c r="A23816" s="234"/>
      <c r="B23816" s="233"/>
      <c r="C23816" s="238"/>
      <c r="E23816" s="545"/>
      <c r="F23816" s="546"/>
      <c r="G23816" s="234"/>
      <c r="H23816" s="238"/>
      <c r="I23816" s="237"/>
    </row>
    <row r="23817" spans="1:9" s="232" customFormat="1" ht="17" customHeight="1">
      <c r="A23817" s="234"/>
      <c r="B23817" s="233"/>
      <c r="C23817" s="238"/>
      <c r="E23817" s="545"/>
      <c r="F23817" s="546"/>
      <c r="G23817" s="234"/>
      <c r="H23817" s="238"/>
      <c r="I23817" s="237"/>
    </row>
    <row r="23818" spans="1:9" s="232" customFormat="1" ht="17" customHeight="1">
      <c r="A23818" s="234"/>
      <c r="B23818" s="233"/>
      <c r="C23818" s="238"/>
      <c r="E23818" s="545"/>
      <c r="F23818" s="546"/>
      <c r="G23818" s="234"/>
      <c r="H23818" s="238"/>
      <c r="I23818" s="237"/>
    </row>
    <row r="23819" spans="1:9" s="232" customFormat="1" ht="17" customHeight="1">
      <c r="A23819" s="234"/>
      <c r="B23819" s="233"/>
      <c r="C23819" s="238"/>
      <c r="E23819" s="545"/>
      <c r="F23819" s="546"/>
      <c r="G23819" s="234"/>
      <c r="H23819" s="238"/>
      <c r="I23819" s="237"/>
    </row>
    <row r="23820" spans="1:9" s="232" customFormat="1" ht="17" customHeight="1">
      <c r="A23820" s="234"/>
      <c r="B23820" s="233"/>
      <c r="C23820" s="238"/>
      <c r="E23820" s="545"/>
      <c r="F23820" s="546"/>
      <c r="G23820" s="234"/>
      <c r="H23820" s="238"/>
      <c r="I23820" s="237"/>
    </row>
    <row r="23821" spans="1:9" s="232" customFormat="1" ht="17" customHeight="1">
      <c r="A23821" s="234"/>
      <c r="B23821" s="233"/>
      <c r="C23821" s="238"/>
      <c r="E23821" s="545"/>
      <c r="F23821" s="546"/>
      <c r="G23821" s="234"/>
      <c r="H23821" s="238"/>
      <c r="I23821" s="237"/>
    </row>
    <row r="23822" spans="1:9" s="232" customFormat="1" ht="17" customHeight="1">
      <c r="A23822" s="234"/>
      <c r="B23822" s="233"/>
      <c r="C23822" s="238"/>
      <c r="E23822" s="545"/>
      <c r="F23822" s="546"/>
      <c r="G23822" s="234"/>
      <c r="H23822" s="238"/>
      <c r="I23822" s="237"/>
    </row>
    <row r="23823" spans="1:9" s="232" customFormat="1" ht="17" customHeight="1">
      <c r="A23823" s="234"/>
      <c r="B23823" s="233"/>
      <c r="C23823" s="238"/>
      <c r="E23823" s="545"/>
      <c r="F23823" s="546"/>
      <c r="G23823" s="234"/>
      <c r="H23823" s="238"/>
      <c r="I23823" s="237"/>
    </row>
    <row r="23824" spans="1:9" s="232" customFormat="1" ht="17" customHeight="1">
      <c r="A23824" s="234"/>
      <c r="B23824" s="233"/>
      <c r="C23824" s="238"/>
      <c r="E23824" s="545"/>
      <c r="F23824" s="546"/>
      <c r="G23824" s="234"/>
      <c r="H23824" s="238"/>
      <c r="I23824" s="237"/>
    </row>
    <row r="23825" spans="1:9" s="232" customFormat="1" ht="17" customHeight="1">
      <c r="A23825" s="234"/>
      <c r="B23825" s="233"/>
      <c r="C23825" s="238"/>
      <c r="E23825" s="545"/>
      <c r="F23825" s="546"/>
      <c r="G23825" s="234"/>
      <c r="H23825" s="238"/>
      <c r="I23825" s="237"/>
    </row>
    <row r="23826" spans="1:9" s="232" customFormat="1" ht="17" customHeight="1">
      <c r="A23826" s="234"/>
      <c r="B23826" s="233"/>
      <c r="C23826" s="238"/>
      <c r="E23826" s="545"/>
      <c r="F23826" s="546"/>
      <c r="G23826" s="234"/>
      <c r="H23826" s="238"/>
      <c r="I23826" s="237"/>
    </row>
    <row r="23827" spans="1:9" s="232" customFormat="1" ht="17" customHeight="1">
      <c r="A23827" s="234"/>
      <c r="B23827" s="233"/>
      <c r="C23827" s="238"/>
      <c r="E23827" s="545"/>
      <c r="F23827" s="546"/>
      <c r="G23827" s="234"/>
      <c r="H23827" s="238"/>
      <c r="I23827" s="237"/>
    </row>
    <row r="23828" spans="1:9" s="232" customFormat="1" ht="17" customHeight="1">
      <c r="A23828" s="234"/>
      <c r="B23828" s="233"/>
      <c r="C23828" s="238"/>
      <c r="E23828" s="545"/>
      <c r="F23828" s="546"/>
      <c r="G23828" s="234"/>
      <c r="H23828" s="238"/>
      <c r="I23828" s="237"/>
    </row>
    <row r="23829" spans="1:9" s="232" customFormat="1" ht="17" customHeight="1">
      <c r="A23829" s="234"/>
      <c r="B23829" s="233"/>
      <c r="C23829" s="238"/>
      <c r="E23829" s="545"/>
      <c r="F23829" s="546"/>
      <c r="G23829" s="234"/>
      <c r="H23829" s="238"/>
      <c r="I23829" s="237"/>
    </row>
    <row r="23830" spans="1:9" s="232" customFormat="1" ht="17" customHeight="1">
      <c r="A23830" s="234"/>
      <c r="B23830" s="233"/>
      <c r="C23830" s="238"/>
      <c r="E23830" s="545"/>
      <c r="F23830" s="546"/>
      <c r="G23830" s="234"/>
      <c r="H23830" s="238"/>
      <c r="I23830" s="237"/>
    </row>
    <row r="23831" spans="1:9" s="232" customFormat="1" ht="17" customHeight="1">
      <c r="A23831" s="234"/>
      <c r="B23831" s="233"/>
      <c r="C23831" s="238"/>
      <c r="E23831" s="545"/>
      <c r="F23831" s="546"/>
      <c r="G23831" s="234"/>
      <c r="H23831" s="238"/>
      <c r="I23831" s="237"/>
    </row>
    <row r="23832" spans="1:9" s="232" customFormat="1" ht="17" customHeight="1">
      <c r="A23832" s="234"/>
      <c r="B23832" s="233"/>
      <c r="C23832" s="238"/>
      <c r="E23832" s="545"/>
      <c r="F23832" s="546"/>
      <c r="G23832" s="234"/>
      <c r="H23832" s="238"/>
      <c r="I23832" s="237"/>
    </row>
    <row r="23833" spans="1:9" s="232" customFormat="1" ht="17" customHeight="1">
      <c r="A23833" s="234"/>
      <c r="B23833" s="233"/>
      <c r="C23833" s="238"/>
      <c r="E23833" s="545"/>
      <c r="F23833" s="546"/>
      <c r="G23833" s="234"/>
      <c r="H23833" s="238"/>
      <c r="I23833" s="237"/>
    </row>
    <row r="23834" spans="1:9" s="232" customFormat="1" ht="17" customHeight="1">
      <c r="A23834" s="234"/>
      <c r="B23834" s="233"/>
      <c r="C23834" s="238"/>
      <c r="E23834" s="545"/>
      <c r="F23834" s="546"/>
      <c r="G23834" s="234"/>
      <c r="H23834" s="238"/>
      <c r="I23834" s="237"/>
    </row>
    <row r="23835" spans="1:9" s="232" customFormat="1" ht="17" customHeight="1">
      <c r="A23835" s="234"/>
      <c r="B23835" s="233"/>
      <c r="C23835" s="238"/>
      <c r="E23835" s="545"/>
      <c r="F23835" s="546"/>
      <c r="G23835" s="234"/>
      <c r="H23835" s="238"/>
      <c r="I23835" s="237"/>
    </row>
    <row r="23836" spans="1:9" s="232" customFormat="1" ht="17" customHeight="1">
      <c r="A23836" s="234"/>
      <c r="B23836" s="233"/>
      <c r="C23836" s="238"/>
      <c r="E23836" s="545"/>
      <c r="F23836" s="546"/>
      <c r="G23836" s="234"/>
      <c r="H23836" s="238"/>
      <c r="I23836" s="237"/>
    </row>
    <row r="23837" spans="1:9" s="232" customFormat="1" ht="17" customHeight="1">
      <c r="A23837" s="234"/>
      <c r="B23837" s="233"/>
      <c r="C23837" s="238"/>
      <c r="E23837" s="545"/>
      <c r="F23837" s="546"/>
      <c r="G23837" s="234"/>
      <c r="H23837" s="238"/>
      <c r="I23837" s="237"/>
    </row>
    <row r="23838" spans="1:9" s="232" customFormat="1" ht="17" customHeight="1">
      <c r="A23838" s="234"/>
      <c r="B23838" s="233"/>
      <c r="C23838" s="238"/>
      <c r="E23838" s="545"/>
      <c r="F23838" s="546"/>
      <c r="G23838" s="234"/>
      <c r="H23838" s="238"/>
      <c r="I23838" s="237"/>
    </row>
    <row r="23839" spans="1:9" s="232" customFormat="1" ht="17" customHeight="1">
      <c r="A23839" s="234"/>
      <c r="B23839" s="233"/>
      <c r="C23839" s="238"/>
      <c r="E23839" s="545"/>
      <c r="F23839" s="546"/>
      <c r="G23839" s="234"/>
      <c r="H23839" s="238"/>
      <c r="I23839" s="237"/>
    </row>
    <row r="23840" spans="1:9" s="232" customFormat="1" ht="17" customHeight="1">
      <c r="A23840" s="234"/>
      <c r="B23840" s="233"/>
      <c r="C23840" s="238"/>
      <c r="E23840" s="545"/>
      <c r="F23840" s="546"/>
      <c r="G23840" s="234"/>
      <c r="H23840" s="238"/>
      <c r="I23840" s="237"/>
    </row>
    <row r="23841" spans="1:9" s="232" customFormat="1" ht="17" customHeight="1">
      <c r="A23841" s="234"/>
      <c r="B23841" s="233"/>
      <c r="C23841" s="238"/>
      <c r="E23841" s="545"/>
      <c r="F23841" s="546"/>
      <c r="G23841" s="234"/>
      <c r="H23841" s="238"/>
      <c r="I23841" s="237"/>
    </row>
    <row r="23842" spans="1:9" s="232" customFormat="1" ht="17" customHeight="1">
      <c r="A23842" s="234"/>
      <c r="B23842" s="233"/>
      <c r="C23842" s="238"/>
      <c r="E23842" s="545"/>
      <c r="F23842" s="546"/>
      <c r="G23842" s="234"/>
      <c r="H23842" s="238"/>
      <c r="I23842" s="237"/>
    </row>
    <row r="23843" spans="1:9" s="232" customFormat="1" ht="17" customHeight="1">
      <c r="A23843" s="234"/>
      <c r="B23843" s="233"/>
      <c r="C23843" s="238"/>
      <c r="E23843" s="545"/>
      <c r="F23843" s="546"/>
      <c r="G23843" s="234"/>
      <c r="H23843" s="238"/>
      <c r="I23843" s="237"/>
    </row>
    <row r="23844" spans="1:9" s="232" customFormat="1" ht="17" customHeight="1">
      <c r="A23844" s="234"/>
      <c r="B23844" s="233"/>
      <c r="C23844" s="238"/>
      <c r="E23844" s="545"/>
      <c r="F23844" s="546"/>
      <c r="G23844" s="234"/>
      <c r="H23844" s="238"/>
      <c r="I23844" s="237"/>
    </row>
    <row r="23845" spans="1:9" s="232" customFormat="1" ht="17" customHeight="1">
      <c r="A23845" s="234"/>
      <c r="B23845" s="233"/>
      <c r="C23845" s="238"/>
      <c r="E23845" s="545"/>
      <c r="F23845" s="546"/>
      <c r="G23845" s="234"/>
      <c r="H23845" s="238"/>
      <c r="I23845" s="237"/>
    </row>
    <row r="23846" spans="1:9" s="232" customFormat="1" ht="17" customHeight="1">
      <c r="A23846" s="234"/>
      <c r="B23846" s="233"/>
      <c r="C23846" s="238"/>
      <c r="E23846" s="545"/>
      <c r="F23846" s="546"/>
      <c r="G23846" s="234"/>
      <c r="H23846" s="238"/>
      <c r="I23846" s="237"/>
    </row>
    <row r="23847" spans="1:9" s="232" customFormat="1" ht="17" customHeight="1">
      <c r="A23847" s="234"/>
      <c r="B23847" s="233"/>
      <c r="C23847" s="238"/>
      <c r="E23847" s="545"/>
      <c r="F23847" s="546"/>
      <c r="G23847" s="234"/>
      <c r="H23847" s="238"/>
      <c r="I23847" s="237"/>
    </row>
    <row r="23848" spans="1:9" s="232" customFormat="1" ht="17" customHeight="1">
      <c r="A23848" s="234"/>
      <c r="B23848" s="233"/>
      <c r="C23848" s="238"/>
      <c r="E23848" s="545"/>
      <c r="F23848" s="546"/>
      <c r="G23848" s="234"/>
      <c r="H23848" s="238"/>
      <c r="I23848" s="237"/>
    </row>
    <row r="23849" spans="1:9" s="232" customFormat="1" ht="17" customHeight="1">
      <c r="A23849" s="234"/>
      <c r="B23849" s="233"/>
      <c r="C23849" s="238"/>
      <c r="E23849" s="545"/>
      <c r="F23849" s="546"/>
      <c r="G23849" s="234"/>
      <c r="H23849" s="238"/>
      <c r="I23849" s="237"/>
    </row>
    <row r="23850" spans="1:9" s="232" customFormat="1" ht="17" customHeight="1">
      <c r="A23850" s="234"/>
      <c r="B23850" s="233"/>
      <c r="C23850" s="238"/>
      <c r="E23850" s="545"/>
      <c r="F23850" s="546"/>
      <c r="G23850" s="234"/>
      <c r="H23850" s="238"/>
      <c r="I23850" s="237"/>
    </row>
    <row r="23851" spans="1:9" s="232" customFormat="1" ht="17" customHeight="1">
      <c r="A23851" s="234"/>
      <c r="B23851" s="233"/>
      <c r="C23851" s="238"/>
      <c r="E23851" s="545"/>
      <c r="F23851" s="546"/>
      <c r="G23851" s="234"/>
      <c r="H23851" s="238"/>
      <c r="I23851" s="237"/>
    </row>
    <row r="23852" spans="1:9" s="232" customFormat="1" ht="17" customHeight="1">
      <c r="A23852" s="234"/>
      <c r="B23852" s="233"/>
      <c r="C23852" s="238"/>
      <c r="E23852" s="545"/>
      <c r="F23852" s="546"/>
      <c r="G23852" s="234"/>
      <c r="H23852" s="238"/>
      <c r="I23852" s="237"/>
    </row>
    <row r="23853" spans="1:9" s="232" customFormat="1" ht="17" customHeight="1">
      <c r="A23853" s="234"/>
      <c r="B23853" s="233"/>
      <c r="C23853" s="238"/>
      <c r="E23853" s="545"/>
      <c r="F23853" s="546"/>
      <c r="G23853" s="234"/>
      <c r="H23853" s="238"/>
      <c r="I23853" s="237"/>
    </row>
    <row r="23854" spans="1:9" s="232" customFormat="1" ht="17" customHeight="1">
      <c r="A23854" s="234"/>
      <c r="B23854" s="233"/>
      <c r="C23854" s="238"/>
      <c r="E23854" s="545"/>
      <c r="F23854" s="546"/>
      <c r="G23854" s="234"/>
      <c r="H23854" s="238"/>
      <c r="I23854" s="237"/>
    </row>
    <row r="23855" spans="1:9" s="232" customFormat="1" ht="17" customHeight="1">
      <c r="A23855" s="234"/>
      <c r="B23855" s="233"/>
      <c r="C23855" s="238"/>
      <c r="E23855" s="545"/>
      <c r="F23855" s="546"/>
      <c r="G23855" s="234"/>
      <c r="H23855" s="238"/>
      <c r="I23855" s="237"/>
    </row>
    <row r="23856" spans="1:9" s="232" customFormat="1" ht="17" customHeight="1">
      <c r="A23856" s="234"/>
      <c r="B23856" s="233"/>
      <c r="C23856" s="238"/>
      <c r="E23856" s="545"/>
      <c r="F23856" s="546"/>
      <c r="G23856" s="234"/>
      <c r="H23856" s="238"/>
      <c r="I23856" s="237"/>
    </row>
    <row r="23857" spans="1:9" s="232" customFormat="1" ht="17" customHeight="1">
      <c r="A23857" s="234"/>
      <c r="B23857" s="233"/>
      <c r="C23857" s="238"/>
      <c r="E23857" s="545"/>
      <c r="F23857" s="546"/>
      <c r="G23857" s="234"/>
      <c r="H23857" s="238"/>
      <c r="I23857" s="237"/>
    </row>
    <row r="23858" spans="1:9" s="232" customFormat="1" ht="17" customHeight="1">
      <c r="A23858" s="234"/>
      <c r="B23858" s="233"/>
      <c r="C23858" s="238"/>
      <c r="E23858" s="545"/>
      <c r="F23858" s="546"/>
      <c r="G23858" s="234"/>
      <c r="H23858" s="238"/>
      <c r="I23858" s="237"/>
    </row>
    <row r="23859" spans="1:9" s="232" customFormat="1" ht="17" customHeight="1">
      <c r="A23859" s="234"/>
      <c r="B23859" s="233"/>
      <c r="C23859" s="238"/>
      <c r="E23859" s="545"/>
      <c r="F23859" s="546"/>
      <c r="G23859" s="234"/>
      <c r="H23859" s="238"/>
      <c r="I23859" s="237"/>
    </row>
    <row r="23860" spans="1:9" s="232" customFormat="1" ht="17" customHeight="1">
      <c r="A23860" s="234"/>
      <c r="B23860" s="233"/>
      <c r="C23860" s="238"/>
      <c r="E23860" s="545"/>
      <c r="F23860" s="546"/>
      <c r="G23860" s="234"/>
      <c r="H23860" s="238"/>
      <c r="I23860" s="237"/>
    </row>
    <row r="23861" spans="1:9" s="232" customFormat="1" ht="17" customHeight="1">
      <c r="A23861" s="234"/>
      <c r="B23861" s="233"/>
      <c r="C23861" s="238"/>
      <c r="E23861" s="545"/>
      <c r="F23861" s="546"/>
      <c r="G23861" s="234"/>
      <c r="H23861" s="238"/>
      <c r="I23861" s="237"/>
    </row>
    <row r="23862" spans="1:9" s="232" customFormat="1" ht="17" customHeight="1">
      <c r="A23862" s="234"/>
      <c r="B23862" s="233"/>
      <c r="C23862" s="238"/>
      <c r="E23862" s="545"/>
      <c r="F23862" s="546"/>
      <c r="G23862" s="234"/>
      <c r="H23862" s="238"/>
      <c r="I23862" s="237"/>
    </row>
    <row r="23863" spans="1:9" s="232" customFormat="1" ht="17" customHeight="1">
      <c r="A23863" s="234"/>
      <c r="B23863" s="233"/>
      <c r="C23863" s="238"/>
      <c r="E23863" s="545"/>
      <c r="F23863" s="546"/>
      <c r="G23863" s="234"/>
      <c r="H23863" s="238"/>
      <c r="I23863" s="237"/>
    </row>
    <row r="23864" spans="1:9" s="232" customFormat="1" ht="17" customHeight="1">
      <c r="A23864" s="234"/>
      <c r="B23864" s="233"/>
      <c r="C23864" s="238"/>
      <c r="E23864" s="545"/>
      <c r="F23864" s="546"/>
      <c r="G23864" s="234"/>
      <c r="H23864" s="238"/>
      <c r="I23864" s="237"/>
    </row>
    <row r="23865" spans="1:9" s="232" customFormat="1" ht="17" customHeight="1">
      <c r="A23865" s="234"/>
      <c r="B23865" s="233"/>
      <c r="C23865" s="238"/>
      <c r="E23865" s="545"/>
      <c r="F23865" s="546"/>
      <c r="G23865" s="234"/>
      <c r="H23865" s="238"/>
      <c r="I23865" s="237"/>
    </row>
    <row r="23866" spans="1:9" s="232" customFormat="1" ht="17" customHeight="1">
      <c r="A23866" s="234"/>
      <c r="B23866" s="233"/>
      <c r="C23866" s="238"/>
      <c r="E23866" s="545"/>
      <c r="F23866" s="546"/>
      <c r="G23866" s="234"/>
      <c r="H23866" s="238"/>
      <c r="I23866" s="237"/>
    </row>
    <row r="23867" spans="1:9" s="232" customFormat="1" ht="17" customHeight="1">
      <c r="A23867" s="234"/>
      <c r="B23867" s="233"/>
      <c r="C23867" s="238"/>
      <c r="E23867" s="545"/>
      <c r="F23867" s="546"/>
      <c r="G23867" s="234"/>
      <c r="H23867" s="238"/>
      <c r="I23867" s="237"/>
    </row>
    <row r="23868" spans="1:9" s="232" customFormat="1" ht="17" customHeight="1">
      <c r="A23868" s="234"/>
      <c r="B23868" s="233"/>
      <c r="C23868" s="238"/>
      <c r="E23868" s="545"/>
      <c r="F23868" s="546"/>
      <c r="G23868" s="234"/>
      <c r="H23868" s="238"/>
      <c r="I23868" s="237"/>
    </row>
    <row r="23869" spans="1:9" s="232" customFormat="1" ht="17" customHeight="1">
      <c r="A23869" s="234"/>
      <c r="B23869" s="233"/>
      <c r="C23869" s="238"/>
      <c r="E23869" s="545"/>
      <c r="F23869" s="546"/>
      <c r="G23869" s="234"/>
      <c r="H23869" s="238"/>
      <c r="I23869" s="237"/>
    </row>
    <row r="23870" spans="1:9" s="232" customFormat="1" ht="17" customHeight="1">
      <c r="A23870" s="234"/>
      <c r="B23870" s="233"/>
      <c r="C23870" s="238"/>
      <c r="E23870" s="545"/>
      <c r="F23870" s="546"/>
      <c r="G23870" s="234"/>
      <c r="H23870" s="238"/>
      <c r="I23870" s="237"/>
    </row>
    <row r="23871" spans="1:9" s="232" customFormat="1" ht="17" customHeight="1">
      <c r="A23871" s="234"/>
      <c r="B23871" s="233"/>
      <c r="C23871" s="238"/>
      <c r="E23871" s="545"/>
      <c r="F23871" s="546"/>
      <c r="G23871" s="234"/>
      <c r="H23871" s="238"/>
      <c r="I23871" s="237"/>
    </row>
    <row r="23872" spans="1:9" s="232" customFormat="1" ht="17" customHeight="1">
      <c r="A23872" s="234"/>
      <c r="B23872" s="233"/>
      <c r="C23872" s="238"/>
      <c r="E23872" s="545"/>
      <c r="F23872" s="546"/>
      <c r="G23872" s="234"/>
      <c r="H23872" s="238"/>
      <c r="I23872" s="237"/>
    </row>
    <row r="23873" spans="1:9" s="232" customFormat="1" ht="17" customHeight="1">
      <c r="A23873" s="234"/>
      <c r="B23873" s="233"/>
      <c r="C23873" s="238"/>
      <c r="E23873" s="545"/>
      <c r="F23873" s="546"/>
      <c r="G23873" s="234"/>
      <c r="H23873" s="238"/>
      <c r="I23873" s="237"/>
    </row>
    <row r="23874" spans="1:9" s="232" customFormat="1" ht="17" customHeight="1">
      <c r="A23874" s="234"/>
      <c r="B23874" s="233"/>
      <c r="C23874" s="238"/>
      <c r="E23874" s="545"/>
      <c r="F23874" s="546"/>
      <c r="G23874" s="234"/>
      <c r="H23874" s="238"/>
      <c r="I23874" s="237"/>
    </row>
    <row r="23875" spans="1:9" s="232" customFormat="1" ht="17" customHeight="1">
      <c r="A23875" s="234"/>
      <c r="B23875" s="233"/>
      <c r="C23875" s="238"/>
      <c r="E23875" s="545"/>
      <c r="F23875" s="546"/>
      <c r="G23875" s="234"/>
      <c r="H23875" s="238"/>
      <c r="I23875" s="237"/>
    </row>
    <row r="23876" spans="1:9" s="232" customFormat="1" ht="17" customHeight="1">
      <c r="A23876" s="234"/>
      <c r="B23876" s="233"/>
      <c r="C23876" s="238"/>
      <c r="E23876" s="545"/>
      <c r="F23876" s="546"/>
      <c r="G23876" s="234"/>
      <c r="H23876" s="238"/>
      <c r="I23876" s="237"/>
    </row>
    <row r="23877" spans="1:9" s="232" customFormat="1" ht="17" customHeight="1">
      <c r="A23877" s="234"/>
      <c r="B23877" s="233"/>
      <c r="C23877" s="238"/>
      <c r="E23877" s="545"/>
      <c r="F23877" s="546"/>
      <c r="G23877" s="234"/>
      <c r="H23877" s="238"/>
      <c r="I23877" s="237"/>
    </row>
    <row r="23878" spans="1:9" s="232" customFormat="1" ht="17" customHeight="1">
      <c r="A23878" s="234"/>
      <c r="B23878" s="233"/>
      <c r="C23878" s="238"/>
      <c r="E23878" s="545"/>
      <c r="F23878" s="546"/>
      <c r="G23878" s="234"/>
      <c r="H23878" s="238"/>
      <c r="I23878" s="237"/>
    </row>
    <row r="23879" spans="1:9" s="232" customFormat="1" ht="17" customHeight="1">
      <c r="A23879" s="234"/>
      <c r="B23879" s="233"/>
      <c r="C23879" s="238"/>
      <c r="E23879" s="545"/>
      <c r="F23879" s="546"/>
      <c r="G23879" s="234"/>
      <c r="H23879" s="238"/>
      <c r="I23879" s="237"/>
    </row>
    <row r="23880" spans="1:9" s="232" customFormat="1" ht="17" customHeight="1">
      <c r="A23880" s="234"/>
      <c r="B23880" s="233"/>
      <c r="C23880" s="238"/>
      <c r="E23880" s="545"/>
      <c r="F23880" s="546"/>
      <c r="G23880" s="234"/>
      <c r="H23880" s="238"/>
      <c r="I23880" s="237"/>
    </row>
    <row r="23881" spans="1:9" s="232" customFormat="1" ht="17" customHeight="1">
      <c r="A23881" s="234"/>
      <c r="B23881" s="233"/>
      <c r="C23881" s="238"/>
      <c r="E23881" s="545"/>
      <c r="F23881" s="546"/>
      <c r="G23881" s="234"/>
      <c r="H23881" s="238"/>
      <c r="I23881" s="237"/>
    </row>
    <row r="23882" spans="1:9" s="232" customFormat="1" ht="17" customHeight="1">
      <c r="A23882" s="234"/>
      <c r="B23882" s="233"/>
      <c r="C23882" s="238"/>
      <c r="E23882" s="545"/>
      <c r="F23882" s="546"/>
      <c r="G23882" s="234"/>
      <c r="H23882" s="238"/>
      <c r="I23882" s="237"/>
    </row>
    <row r="23883" spans="1:9" s="232" customFormat="1" ht="17" customHeight="1">
      <c r="A23883" s="234"/>
      <c r="B23883" s="233"/>
      <c r="C23883" s="238"/>
      <c r="E23883" s="545"/>
      <c r="F23883" s="546"/>
      <c r="G23883" s="234"/>
      <c r="H23883" s="238"/>
      <c r="I23883" s="237"/>
    </row>
    <row r="23884" spans="1:9" s="232" customFormat="1" ht="17" customHeight="1">
      <c r="A23884" s="234"/>
      <c r="B23884" s="233"/>
      <c r="C23884" s="238"/>
      <c r="E23884" s="545"/>
      <c r="F23884" s="546"/>
      <c r="G23884" s="234"/>
      <c r="H23884" s="238"/>
      <c r="I23884" s="237"/>
    </row>
    <row r="23885" spans="1:9" s="232" customFormat="1" ht="17" customHeight="1">
      <c r="A23885" s="234"/>
      <c r="B23885" s="233"/>
      <c r="C23885" s="238"/>
      <c r="E23885" s="545"/>
      <c r="F23885" s="546"/>
      <c r="G23885" s="234"/>
      <c r="H23885" s="238"/>
      <c r="I23885" s="237"/>
    </row>
    <row r="23886" spans="1:9" s="232" customFormat="1" ht="17" customHeight="1">
      <c r="A23886" s="234"/>
      <c r="B23886" s="233"/>
      <c r="C23886" s="238"/>
      <c r="E23886" s="545"/>
      <c r="F23886" s="546"/>
      <c r="G23886" s="234"/>
      <c r="H23886" s="238"/>
      <c r="I23886" s="237"/>
    </row>
    <row r="23887" spans="1:9" s="232" customFormat="1" ht="17" customHeight="1">
      <c r="A23887" s="234"/>
      <c r="B23887" s="233"/>
      <c r="C23887" s="238"/>
      <c r="E23887" s="545"/>
      <c r="F23887" s="546"/>
      <c r="G23887" s="234"/>
      <c r="H23887" s="238"/>
      <c r="I23887" s="237"/>
    </row>
    <row r="23888" spans="1:9" s="232" customFormat="1" ht="17" customHeight="1">
      <c r="A23888" s="234"/>
      <c r="B23888" s="233"/>
      <c r="C23888" s="238"/>
      <c r="E23888" s="545"/>
      <c r="F23888" s="546"/>
      <c r="G23888" s="234"/>
      <c r="H23888" s="238"/>
      <c r="I23888" s="237"/>
    </row>
    <row r="23889" spans="1:9" s="232" customFormat="1" ht="17" customHeight="1">
      <c r="A23889" s="234"/>
      <c r="B23889" s="233"/>
      <c r="C23889" s="238"/>
      <c r="E23889" s="545"/>
      <c r="F23889" s="546"/>
      <c r="G23889" s="234"/>
      <c r="H23889" s="238"/>
      <c r="I23889" s="237"/>
    </row>
    <row r="23890" spans="1:9" s="232" customFormat="1" ht="17" customHeight="1">
      <c r="A23890" s="234"/>
      <c r="B23890" s="233"/>
      <c r="C23890" s="238"/>
      <c r="E23890" s="545"/>
      <c r="F23890" s="546"/>
      <c r="G23890" s="234"/>
      <c r="H23890" s="238"/>
      <c r="I23890" s="237"/>
    </row>
    <row r="23891" spans="1:9" s="232" customFormat="1" ht="17" customHeight="1">
      <c r="A23891" s="234"/>
      <c r="B23891" s="233"/>
      <c r="C23891" s="238"/>
      <c r="E23891" s="545"/>
      <c r="F23891" s="546"/>
      <c r="G23891" s="234"/>
      <c r="H23891" s="238"/>
      <c r="I23891" s="237"/>
    </row>
    <row r="23892" spans="1:9" s="232" customFormat="1" ht="17" customHeight="1">
      <c r="A23892" s="234"/>
      <c r="B23892" s="233"/>
      <c r="C23892" s="238"/>
      <c r="E23892" s="545"/>
      <c r="F23892" s="546"/>
      <c r="G23892" s="234"/>
      <c r="H23892" s="238"/>
      <c r="I23892" s="237"/>
    </row>
    <row r="23893" spans="1:9" s="232" customFormat="1" ht="17" customHeight="1">
      <c r="A23893" s="234"/>
      <c r="B23893" s="233"/>
      <c r="C23893" s="238"/>
      <c r="E23893" s="545"/>
      <c r="F23893" s="546"/>
      <c r="G23893" s="234"/>
      <c r="H23893" s="238"/>
      <c r="I23893" s="237"/>
    </row>
    <row r="23894" spans="1:9" s="232" customFormat="1" ht="17" customHeight="1">
      <c r="A23894" s="234"/>
      <c r="B23894" s="233"/>
      <c r="C23894" s="238"/>
      <c r="E23894" s="545"/>
      <c r="F23894" s="546"/>
      <c r="G23894" s="234"/>
      <c r="H23894" s="238"/>
      <c r="I23894" s="237"/>
    </row>
    <row r="23895" spans="1:9" s="232" customFormat="1" ht="17" customHeight="1">
      <c r="A23895" s="234"/>
      <c r="B23895" s="233"/>
      <c r="C23895" s="238"/>
      <c r="E23895" s="545"/>
      <c r="F23895" s="546"/>
      <c r="G23895" s="234"/>
      <c r="H23895" s="238"/>
      <c r="I23895" s="237"/>
    </row>
    <row r="23896" spans="1:9" s="232" customFormat="1" ht="17" customHeight="1">
      <c r="A23896" s="234"/>
      <c r="B23896" s="233"/>
      <c r="C23896" s="238"/>
      <c r="E23896" s="545"/>
      <c r="F23896" s="546"/>
      <c r="G23896" s="234"/>
      <c r="H23896" s="238"/>
      <c r="I23896" s="237"/>
    </row>
    <row r="23897" spans="1:9" s="232" customFormat="1" ht="17" customHeight="1">
      <c r="A23897" s="234"/>
      <c r="B23897" s="233"/>
      <c r="C23897" s="238"/>
      <c r="E23897" s="545"/>
      <c r="F23897" s="546"/>
      <c r="G23897" s="234"/>
      <c r="H23897" s="238"/>
      <c r="I23897" s="237"/>
    </row>
    <row r="23898" spans="1:9" s="232" customFormat="1" ht="17" customHeight="1">
      <c r="A23898" s="234"/>
      <c r="B23898" s="233"/>
      <c r="C23898" s="238"/>
      <c r="E23898" s="545"/>
      <c r="F23898" s="546"/>
      <c r="G23898" s="234"/>
      <c r="H23898" s="238"/>
      <c r="I23898" s="237"/>
    </row>
    <row r="23899" spans="1:9" s="232" customFormat="1" ht="17" customHeight="1">
      <c r="A23899" s="234"/>
      <c r="B23899" s="233"/>
      <c r="C23899" s="238"/>
      <c r="E23899" s="545"/>
      <c r="F23899" s="546"/>
      <c r="G23899" s="234"/>
      <c r="H23899" s="238"/>
      <c r="I23899" s="237"/>
    </row>
    <row r="23900" spans="1:9" s="232" customFormat="1" ht="17" customHeight="1">
      <c r="A23900" s="234"/>
      <c r="B23900" s="233"/>
      <c r="C23900" s="238"/>
      <c r="E23900" s="545"/>
      <c r="F23900" s="546"/>
      <c r="G23900" s="234"/>
      <c r="H23900" s="238"/>
      <c r="I23900" s="237"/>
    </row>
    <row r="23901" spans="1:9" s="232" customFormat="1" ht="17" customHeight="1">
      <c r="A23901" s="234"/>
      <c r="B23901" s="233"/>
      <c r="C23901" s="238"/>
      <c r="E23901" s="545"/>
      <c r="F23901" s="546"/>
      <c r="G23901" s="234"/>
      <c r="H23901" s="238"/>
      <c r="I23901" s="237"/>
    </row>
    <row r="23902" spans="1:9" s="232" customFormat="1" ht="17" customHeight="1">
      <c r="A23902" s="234"/>
      <c r="B23902" s="233"/>
      <c r="C23902" s="238"/>
      <c r="E23902" s="545"/>
      <c r="F23902" s="546"/>
      <c r="G23902" s="234"/>
      <c r="H23902" s="238"/>
      <c r="I23902" s="237"/>
    </row>
    <row r="23903" spans="1:9" s="232" customFormat="1" ht="17" customHeight="1">
      <c r="A23903" s="234"/>
      <c r="B23903" s="233"/>
      <c r="C23903" s="238"/>
      <c r="E23903" s="545"/>
      <c r="F23903" s="546"/>
      <c r="G23903" s="234"/>
      <c r="H23903" s="238"/>
      <c r="I23903" s="237"/>
    </row>
    <row r="23904" spans="1:9" s="232" customFormat="1" ht="17" customHeight="1">
      <c r="A23904" s="234"/>
      <c r="B23904" s="233"/>
      <c r="C23904" s="238"/>
      <c r="E23904" s="545"/>
      <c r="F23904" s="546"/>
      <c r="G23904" s="234"/>
      <c r="H23904" s="238"/>
      <c r="I23904" s="237"/>
    </row>
    <row r="23905" spans="1:9" s="232" customFormat="1" ht="17" customHeight="1">
      <c r="A23905" s="234"/>
      <c r="B23905" s="233"/>
      <c r="C23905" s="238"/>
      <c r="E23905" s="545"/>
      <c r="F23905" s="546"/>
      <c r="G23905" s="234"/>
      <c r="H23905" s="238"/>
      <c r="I23905" s="237"/>
    </row>
    <row r="23906" spans="1:9" s="232" customFormat="1" ht="17" customHeight="1">
      <c r="A23906" s="234"/>
      <c r="B23906" s="233"/>
      <c r="C23906" s="238"/>
      <c r="E23906" s="545"/>
      <c r="F23906" s="546"/>
      <c r="G23906" s="234"/>
      <c r="H23906" s="238"/>
      <c r="I23906" s="237"/>
    </row>
    <row r="23907" spans="1:9" s="232" customFormat="1" ht="17" customHeight="1">
      <c r="A23907" s="234"/>
      <c r="B23907" s="233"/>
      <c r="C23907" s="238"/>
      <c r="E23907" s="545"/>
      <c r="F23907" s="546"/>
      <c r="G23907" s="234"/>
      <c r="H23907" s="238"/>
      <c r="I23907" s="237"/>
    </row>
    <row r="23908" spans="1:9" s="232" customFormat="1" ht="17" customHeight="1">
      <c r="A23908" s="234"/>
      <c r="B23908" s="233"/>
      <c r="C23908" s="238"/>
      <c r="E23908" s="545"/>
      <c r="F23908" s="546"/>
      <c r="G23908" s="234"/>
      <c r="H23908" s="238"/>
      <c r="I23908" s="237"/>
    </row>
    <row r="23909" spans="1:9" s="232" customFormat="1" ht="17" customHeight="1">
      <c r="A23909" s="234"/>
      <c r="B23909" s="233"/>
      <c r="C23909" s="238"/>
      <c r="E23909" s="545"/>
      <c r="F23909" s="546"/>
      <c r="G23909" s="234"/>
      <c r="H23909" s="238"/>
      <c r="I23909" s="237"/>
    </row>
    <row r="23910" spans="1:9" s="232" customFormat="1" ht="17" customHeight="1">
      <c r="A23910" s="234"/>
      <c r="B23910" s="233"/>
      <c r="C23910" s="238"/>
      <c r="E23910" s="545"/>
      <c r="F23910" s="546"/>
      <c r="G23910" s="234"/>
      <c r="H23910" s="238"/>
      <c r="I23910" s="237"/>
    </row>
    <row r="23911" spans="1:9" s="232" customFormat="1" ht="17" customHeight="1">
      <c r="A23911" s="234"/>
      <c r="B23911" s="233"/>
      <c r="C23911" s="238"/>
      <c r="E23911" s="545"/>
      <c r="F23911" s="546"/>
      <c r="G23911" s="234"/>
      <c r="H23911" s="238"/>
      <c r="I23911" s="237"/>
    </row>
    <row r="23912" spans="1:9" s="232" customFormat="1" ht="17" customHeight="1">
      <c r="A23912" s="234"/>
      <c r="B23912" s="233"/>
      <c r="C23912" s="238"/>
      <c r="E23912" s="545"/>
      <c r="F23912" s="546"/>
      <c r="G23912" s="234"/>
      <c r="H23912" s="238"/>
      <c r="I23912" s="237"/>
    </row>
    <row r="23913" spans="1:9" s="232" customFormat="1" ht="17" customHeight="1">
      <c r="A23913" s="234"/>
      <c r="B23913" s="233"/>
      <c r="C23913" s="238"/>
      <c r="E23913" s="545"/>
      <c r="F23913" s="546"/>
      <c r="G23913" s="234"/>
      <c r="H23913" s="238"/>
      <c r="I23913" s="237"/>
    </row>
    <row r="23914" spans="1:9" s="232" customFormat="1" ht="17" customHeight="1">
      <c r="A23914" s="234"/>
      <c r="B23914" s="233"/>
      <c r="C23914" s="238"/>
      <c r="E23914" s="545"/>
      <c r="F23914" s="546"/>
      <c r="G23914" s="234"/>
      <c r="H23914" s="238"/>
      <c r="I23914" s="237"/>
    </row>
    <row r="23915" spans="1:9" s="232" customFormat="1" ht="17" customHeight="1">
      <c r="A23915" s="234"/>
      <c r="B23915" s="233"/>
      <c r="C23915" s="238"/>
      <c r="E23915" s="545"/>
      <c r="F23915" s="546"/>
      <c r="G23915" s="234"/>
      <c r="H23915" s="238"/>
      <c r="I23915" s="237"/>
    </row>
    <row r="23916" spans="1:9" s="232" customFormat="1" ht="17" customHeight="1">
      <c r="A23916" s="234"/>
      <c r="B23916" s="233"/>
      <c r="C23916" s="238"/>
      <c r="E23916" s="545"/>
      <c r="F23916" s="546"/>
      <c r="G23916" s="234"/>
      <c r="H23916" s="238"/>
      <c r="I23916" s="237"/>
    </row>
    <row r="23917" spans="1:9" s="232" customFormat="1" ht="17" customHeight="1">
      <c r="A23917" s="234"/>
      <c r="B23917" s="233"/>
      <c r="C23917" s="238"/>
      <c r="E23917" s="545"/>
      <c r="F23917" s="546"/>
      <c r="G23917" s="234"/>
      <c r="H23917" s="238"/>
      <c r="I23917" s="237"/>
    </row>
    <row r="23918" spans="1:9" s="232" customFormat="1" ht="17" customHeight="1">
      <c r="A23918" s="234"/>
      <c r="B23918" s="233"/>
      <c r="C23918" s="238"/>
      <c r="E23918" s="545"/>
      <c r="F23918" s="546"/>
      <c r="G23918" s="234"/>
      <c r="H23918" s="238"/>
      <c r="I23918" s="237"/>
    </row>
    <row r="23919" spans="1:9" s="232" customFormat="1" ht="17" customHeight="1">
      <c r="A23919" s="234"/>
      <c r="B23919" s="233"/>
      <c r="C23919" s="238"/>
      <c r="E23919" s="545"/>
      <c r="F23919" s="546"/>
      <c r="G23919" s="234"/>
      <c r="H23919" s="238"/>
      <c r="I23919" s="237"/>
    </row>
    <row r="23920" spans="1:9" s="232" customFormat="1" ht="17" customHeight="1">
      <c r="A23920" s="234"/>
      <c r="B23920" s="233"/>
      <c r="C23920" s="238"/>
      <c r="E23920" s="545"/>
      <c r="F23920" s="546"/>
      <c r="G23920" s="234"/>
      <c r="H23920" s="238"/>
      <c r="I23920" s="237"/>
    </row>
    <row r="23921" spans="1:9" s="232" customFormat="1" ht="17" customHeight="1">
      <c r="A23921" s="234"/>
      <c r="B23921" s="233"/>
      <c r="C23921" s="238"/>
      <c r="E23921" s="545"/>
      <c r="F23921" s="546"/>
      <c r="G23921" s="234"/>
      <c r="H23921" s="238"/>
      <c r="I23921" s="237"/>
    </row>
    <row r="23922" spans="1:9" s="232" customFormat="1" ht="17" customHeight="1">
      <c r="A23922" s="234"/>
      <c r="B23922" s="233"/>
      <c r="C23922" s="238"/>
      <c r="E23922" s="545"/>
      <c r="F23922" s="546"/>
      <c r="G23922" s="234"/>
      <c r="H23922" s="238"/>
      <c r="I23922" s="237"/>
    </row>
    <row r="23923" spans="1:9" s="232" customFormat="1" ht="17" customHeight="1">
      <c r="A23923" s="234"/>
      <c r="B23923" s="233"/>
      <c r="C23923" s="238"/>
      <c r="E23923" s="545"/>
      <c r="F23923" s="546"/>
      <c r="G23923" s="234"/>
      <c r="H23923" s="238"/>
      <c r="I23923" s="237"/>
    </row>
    <row r="23924" spans="1:9" s="232" customFormat="1" ht="17" customHeight="1">
      <c r="A23924" s="234"/>
      <c r="B23924" s="233"/>
      <c r="C23924" s="238"/>
      <c r="E23924" s="545"/>
      <c r="F23924" s="546"/>
      <c r="G23924" s="234"/>
      <c r="H23924" s="238"/>
      <c r="I23924" s="237"/>
    </row>
    <row r="23925" spans="1:9" s="232" customFormat="1" ht="17" customHeight="1">
      <c r="A23925" s="234"/>
      <c r="B23925" s="233"/>
      <c r="C23925" s="238"/>
      <c r="E23925" s="545"/>
      <c r="F23925" s="546"/>
      <c r="G23925" s="234"/>
      <c r="H23925" s="238"/>
      <c r="I23925" s="237"/>
    </row>
    <row r="23926" spans="1:9" s="232" customFormat="1" ht="17" customHeight="1">
      <c r="A23926" s="234"/>
      <c r="B23926" s="233"/>
      <c r="C23926" s="238"/>
      <c r="E23926" s="545"/>
      <c r="F23926" s="546"/>
      <c r="G23926" s="234"/>
      <c r="H23926" s="238"/>
      <c r="I23926" s="237"/>
    </row>
    <row r="23927" spans="1:9" s="232" customFormat="1" ht="17" customHeight="1">
      <c r="A23927" s="234"/>
      <c r="B23927" s="233"/>
      <c r="C23927" s="238"/>
      <c r="E23927" s="545"/>
      <c r="F23927" s="546"/>
      <c r="G23927" s="234"/>
      <c r="H23927" s="238"/>
      <c r="I23927" s="237"/>
    </row>
    <row r="23928" spans="1:9" s="232" customFormat="1" ht="17" customHeight="1">
      <c r="A23928" s="234"/>
      <c r="B23928" s="233"/>
      <c r="C23928" s="238"/>
      <c r="E23928" s="545"/>
      <c r="F23928" s="546"/>
      <c r="G23928" s="234"/>
      <c r="H23928" s="238"/>
      <c r="I23928" s="237"/>
    </row>
    <row r="23929" spans="1:9" s="232" customFormat="1" ht="17" customHeight="1">
      <c r="A23929" s="234"/>
      <c r="B23929" s="233"/>
      <c r="C23929" s="238"/>
      <c r="E23929" s="545"/>
      <c r="F23929" s="546"/>
      <c r="G23929" s="234"/>
      <c r="H23929" s="238"/>
      <c r="I23929" s="237"/>
    </row>
    <row r="23930" spans="1:9" s="232" customFormat="1" ht="17" customHeight="1">
      <c r="A23930" s="234"/>
      <c r="B23930" s="233"/>
      <c r="C23930" s="238"/>
      <c r="E23930" s="545"/>
      <c r="F23930" s="546"/>
      <c r="G23930" s="234"/>
      <c r="H23930" s="238"/>
      <c r="I23930" s="237"/>
    </row>
    <row r="23931" spans="1:9" s="232" customFormat="1" ht="17" customHeight="1">
      <c r="A23931" s="234"/>
      <c r="B23931" s="233"/>
      <c r="C23931" s="238"/>
      <c r="E23931" s="545"/>
      <c r="F23931" s="546"/>
      <c r="G23931" s="234"/>
      <c r="H23931" s="238"/>
      <c r="I23931" s="237"/>
    </row>
    <row r="23932" spans="1:9" s="232" customFormat="1" ht="17" customHeight="1">
      <c r="A23932" s="234"/>
      <c r="B23932" s="233"/>
      <c r="C23932" s="238"/>
      <c r="E23932" s="545"/>
      <c r="F23932" s="546"/>
      <c r="G23932" s="234"/>
      <c r="H23932" s="238"/>
      <c r="I23932" s="237"/>
    </row>
    <row r="23933" spans="1:9" s="232" customFormat="1" ht="17" customHeight="1">
      <c r="A23933" s="234"/>
      <c r="B23933" s="233"/>
      <c r="C23933" s="238"/>
      <c r="E23933" s="545"/>
      <c r="F23933" s="546"/>
      <c r="G23933" s="234"/>
      <c r="H23933" s="238"/>
      <c r="I23933" s="237"/>
    </row>
    <row r="23934" spans="1:9" s="232" customFormat="1" ht="17" customHeight="1">
      <c r="A23934" s="234"/>
      <c r="B23934" s="233"/>
      <c r="C23934" s="238"/>
      <c r="E23934" s="545"/>
      <c r="F23934" s="546"/>
      <c r="G23934" s="234"/>
      <c r="H23934" s="238"/>
      <c r="I23934" s="237"/>
    </row>
    <row r="23935" spans="1:9" s="232" customFormat="1" ht="17" customHeight="1">
      <c r="A23935" s="234"/>
      <c r="B23935" s="233"/>
      <c r="C23935" s="238"/>
      <c r="E23935" s="545"/>
      <c r="F23935" s="546"/>
      <c r="G23935" s="234"/>
      <c r="H23935" s="238"/>
      <c r="I23935" s="237"/>
    </row>
    <row r="23936" spans="1:9" s="232" customFormat="1" ht="17" customHeight="1">
      <c r="A23936" s="234"/>
      <c r="B23936" s="233"/>
      <c r="C23936" s="238"/>
      <c r="E23936" s="545"/>
      <c r="F23936" s="546"/>
      <c r="G23936" s="234"/>
      <c r="H23936" s="238"/>
      <c r="I23936" s="237"/>
    </row>
    <row r="23937" spans="1:9" s="232" customFormat="1" ht="17" customHeight="1">
      <c r="A23937" s="234"/>
      <c r="B23937" s="233"/>
      <c r="C23937" s="238"/>
      <c r="E23937" s="545"/>
      <c r="F23937" s="546"/>
      <c r="G23937" s="234"/>
      <c r="H23937" s="238"/>
      <c r="I23937" s="237"/>
    </row>
    <row r="23938" spans="1:9" s="232" customFormat="1" ht="17" customHeight="1">
      <c r="A23938" s="234"/>
      <c r="B23938" s="233"/>
      <c r="C23938" s="238"/>
      <c r="E23938" s="545"/>
      <c r="F23938" s="546"/>
      <c r="G23938" s="234"/>
      <c r="H23938" s="238"/>
      <c r="I23938" s="237"/>
    </row>
    <row r="23939" spans="1:9" s="232" customFormat="1" ht="17" customHeight="1">
      <c r="A23939" s="234"/>
      <c r="B23939" s="233"/>
      <c r="C23939" s="238"/>
      <c r="E23939" s="545"/>
      <c r="F23939" s="546"/>
      <c r="G23939" s="234"/>
      <c r="H23939" s="238"/>
      <c r="I23939" s="237"/>
    </row>
    <row r="23940" spans="1:9" s="232" customFormat="1" ht="17" customHeight="1">
      <c r="A23940" s="234"/>
      <c r="B23940" s="233"/>
      <c r="C23940" s="238"/>
      <c r="E23940" s="545"/>
      <c r="F23940" s="546"/>
      <c r="G23940" s="234"/>
      <c r="H23940" s="238"/>
      <c r="I23940" s="237"/>
    </row>
    <row r="23941" spans="1:9" s="232" customFormat="1" ht="17" customHeight="1">
      <c r="A23941" s="234"/>
      <c r="B23941" s="233"/>
      <c r="C23941" s="238"/>
      <c r="E23941" s="545"/>
      <c r="F23941" s="546"/>
      <c r="G23941" s="234"/>
      <c r="H23941" s="238"/>
      <c r="I23941" s="237"/>
    </row>
    <row r="23942" spans="1:9" s="232" customFormat="1" ht="17" customHeight="1">
      <c r="A23942" s="234"/>
      <c r="B23942" s="233"/>
      <c r="C23942" s="238"/>
      <c r="E23942" s="545"/>
      <c r="F23942" s="546"/>
      <c r="G23942" s="234"/>
      <c r="H23942" s="238"/>
      <c r="I23942" s="237"/>
    </row>
    <row r="23943" spans="1:9" s="232" customFormat="1" ht="17" customHeight="1">
      <c r="A23943" s="234"/>
      <c r="B23943" s="233"/>
      <c r="C23943" s="238"/>
      <c r="E23943" s="545"/>
      <c r="F23943" s="546"/>
      <c r="G23943" s="234"/>
      <c r="H23943" s="238"/>
      <c r="I23943" s="237"/>
    </row>
    <row r="23944" spans="1:9" s="232" customFormat="1" ht="17" customHeight="1">
      <c r="A23944" s="234"/>
      <c r="B23944" s="233"/>
      <c r="C23944" s="238"/>
      <c r="E23944" s="545"/>
      <c r="F23944" s="546"/>
      <c r="G23944" s="234"/>
      <c r="H23944" s="238"/>
      <c r="I23944" s="237"/>
    </row>
    <row r="23945" spans="1:9" s="232" customFormat="1" ht="17" customHeight="1">
      <c r="A23945" s="234"/>
      <c r="B23945" s="233"/>
      <c r="C23945" s="238"/>
      <c r="E23945" s="545"/>
      <c r="F23945" s="546"/>
      <c r="G23945" s="234"/>
      <c r="H23945" s="238"/>
      <c r="I23945" s="237"/>
    </row>
    <row r="23946" spans="1:9" s="232" customFormat="1" ht="17" customHeight="1">
      <c r="A23946" s="234"/>
      <c r="B23946" s="233"/>
      <c r="C23946" s="238"/>
      <c r="E23946" s="545"/>
      <c r="F23946" s="546"/>
      <c r="G23946" s="234"/>
      <c r="H23946" s="238"/>
      <c r="I23946" s="237"/>
    </row>
    <row r="23947" spans="1:9" s="232" customFormat="1" ht="17" customHeight="1">
      <c r="A23947" s="234"/>
      <c r="B23947" s="233"/>
      <c r="C23947" s="238"/>
      <c r="E23947" s="545"/>
      <c r="F23947" s="546"/>
      <c r="G23947" s="234"/>
      <c r="H23947" s="238"/>
      <c r="I23947" s="237"/>
    </row>
    <row r="23948" spans="1:9" s="232" customFormat="1" ht="17" customHeight="1">
      <c r="A23948" s="234"/>
      <c r="B23948" s="233"/>
      <c r="C23948" s="238"/>
      <c r="E23948" s="545"/>
      <c r="F23948" s="546"/>
      <c r="G23948" s="234"/>
      <c r="H23948" s="238"/>
      <c r="I23948" s="237"/>
    </row>
    <row r="23949" spans="1:9" s="232" customFormat="1" ht="17" customHeight="1">
      <c r="A23949" s="234"/>
      <c r="B23949" s="233"/>
      <c r="C23949" s="238"/>
      <c r="E23949" s="545"/>
      <c r="F23949" s="546"/>
      <c r="G23949" s="234"/>
      <c r="H23949" s="238"/>
      <c r="I23949" s="237"/>
    </row>
    <row r="23950" spans="1:9" s="232" customFormat="1" ht="17" customHeight="1">
      <c r="A23950" s="234"/>
      <c r="B23950" s="233"/>
      <c r="C23950" s="238"/>
      <c r="E23950" s="545"/>
      <c r="F23950" s="546"/>
      <c r="G23950" s="234"/>
      <c r="H23950" s="238"/>
      <c r="I23950" s="237"/>
    </row>
    <row r="23951" spans="1:9" s="232" customFormat="1" ht="17" customHeight="1">
      <c r="A23951" s="234"/>
      <c r="B23951" s="233"/>
      <c r="C23951" s="238"/>
      <c r="E23951" s="545"/>
      <c r="F23951" s="546"/>
      <c r="G23951" s="234"/>
      <c r="H23951" s="238"/>
      <c r="I23951" s="237"/>
    </row>
    <row r="23952" spans="1:9" s="232" customFormat="1" ht="17" customHeight="1">
      <c r="A23952" s="234"/>
      <c r="B23952" s="233"/>
      <c r="C23952" s="238"/>
      <c r="E23952" s="545"/>
      <c r="F23952" s="546"/>
      <c r="G23952" s="234"/>
      <c r="H23952" s="238"/>
      <c r="I23952" s="237"/>
    </row>
    <row r="23953" spans="1:9" s="232" customFormat="1" ht="17" customHeight="1">
      <c r="A23953" s="234"/>
      <c r="B23953" s="233"/>
      <c r="C23953" s="238"/>
      <c r="E23953" s="545"/>
      <c r="F23953" s="546"/>
      <c r="G23953" s="234"/>
      <c r="H23953" s="238"/>
      <c r="I23953" s="237"/>
    </row>
    <row r="23954" spans="1:9" s="232" customFormat="1" ht="17" customHeight="1">
      <c r="A23954" s="234"/>
      <c r="B23954" s="233"/>
      <c r="C23954" s="238"/>
      <c r="E23954" s="545"/>
      <c r="F23954" s="546"/>
      <c r="G23954" s="234"/>
      <c r="H23954" s="238"/>
      <c r="I23954" s="237"/>
    </row>
    <row r="23955" spans="1:9" s="232" customFormat="1" ht="17" customHeight="1">
      <c r="A23955" s="234"/>
      <c r="B23955" s="233"/>
      <c r="C23955" s="238"/>
      <c r="E23955" s="545"/>
      <c r="F23955" s="546"/>
      <c r="G23955" s="234"/>
      <c r="H23955" s="238"/>
      <c r="I23955" s="237"/>
    </row>
    <row r="23956" spans="1:9" s="232" customFormat="1" ht="17" customHeight="1">
      <c r="A23956" s="234"/>
      <c r="B23956" s="233"/>
      <c r="C23956" s="238"/>
      <c r="E23956" s="545"/>
      <c r="F23956" s="546"/>
      <c r="G23956" s="234"/>
      <c r="H23956" s="238"/>
      <c r="I23956" s="237"/>
    </row>
    <row r="23957" spans="1:9" s="232" customFormat="1" ht="17" customHeight="1">
      <c r="A23957" s="234"/>
      <c r="B23957" s="233"/>
      <c r="C23957" s="238"/>
      <c r="E23957" s="545"/>
      <c r="F23957" s="546"/>
      <c r="G23957" s="234"/>
      <c r="H23957" s="238"/>
      <c r="I23957" s="237"/>
    </row>
    <row r="23958" spans="1:9" s="232" customFormat="1" ht="17" customHeight="1">
      <c r="A23958" s="234"/>
      <c r="B23958" s="233"/>
      <c r="C23958" s="238"/>
      <c r="E23958" s="545"/>
      <c r="F23958" s="546"/>
      <c r="G23958" s="234"/>
      <c r="H23958" s="238"/>
      <c r="I23958" s="237"/>
    </row>
    <row r="23959" spans="1:9" s="232" customFormat="1" ht="17" customHeight="1">
      <c r="A23959" s="234"/>
      <c r="B23959" s="233"/>
      <c r="C23959" s="238"/>
      <c r="E23959" s="545"/>
      <c r="F23959" s="546"/>
      <c r="G23959" s="234"/>
      <c r="H23959" s="238"/>
      <c r="I23959" s="237"/>
    </row>
    <row r="23960" spans="1:9" s="232" customFormat="1" ht="17" customHeight="1">
      <c r="A23960" s="234"/>
      <c r="B23960" s="233"/>
      <c r="C23960" s="238"/>
      <c r="E23960" s="545"/>
      <c r="F23960" s="546"/>
      <c r="G23960" s="234"/>
      <c r="H23960" s="238"/>
      <c r="I23960" s="237"/>
    </row>
    <row r="23961" spans="1:9" s="232" customFormat="1" ht="17" customHeight="1">
      <c r="A23961" s="234"/>
      <c r="B23961" s="233"/>
      <c r="C23961" s="238"/>
      <c r="E23961" s="545"/>
      <c r="F23961" s="546"/>
      <c r="G23961" s="234"/>
      <c r="H23961" s="238"/>
      <c r="I23961" s="237"/>
    </row>
    <row r="23962" spans="1:9" s="232" customFormat="1" ht="17" customHeight="1">
      <c r="A23962" s="234"/>
      <c r="B23962" s="233"/>
      <c r="C23962" s="238"/>
      <c r="E23962" s="545"/>
      <c r="F23962" s="546"/>
      <c r="G23962" s="234"/>
      <c r="H23962" s="238"/>
      <c r="I23962" s="237"/>
    </row>
    <row r="23963" spans="1:9" s="232" customFormat="1" ht="17" customHeight="1">
      <c r="A23963" s="234"/>
      <c r="B23963" s="233"/>
      <c r="C23963" s="238"/>
      <c r="E23963" s="545"/>
      <c r="F23963" s="546"/>
      <c r="G23963" s="234"/>
      <c r="H23963" s="238"/>
      <c r="I23963" s="237"/>
    </row>
    <row r="23964" spans="1:9" s="232" customFormat="1" ht="17" customHeight="1">
      <c r="A23964" s="234"/>
      <c r="B23964" s="233"/>
      <c r="C23964" s="238"/>
      <c r="E23964" s="545"/>
      <c r="F23964" s="546"/>
      <c r="G23964" s="234"/>
      <c r="H23964" s="238"/>
      <c r="I23964" s="237"/>
    </row>
    <row r="23965" spans="1:9" s="232" customFormat="1" ht="17" customHeight="1">
      <c r="A23965" s="234"/>
      <c r="B23965" s="233"/>
      <c r="C23965" s="238"/>
      <c r="E23965" s="545"/>
      <c r="F23965" s="546"/>
      <c r="G23965" s="234"/>
      <c r="H23965" s="238"/>
      <c r="I23965" s="237"/>
    </row>
    <row r="23966" spans="1:9" s="232" customFormat="1" ht="17" customHeight="1">
      <c r="A23966" s="234"/>
      <c r="B23966" s="233"/>
      <c r="C23966" s="238"/>
      <c r="E23966" s="545"/>
      <c r="F23966" s="546"/>
      <c r="G23966" s="234"/>
      <c r="H23966" s="238"/>
      <c r="I23966" s="237"/>
    </row>
    <row r="23967" spans="1:9" s="232" customFormat="1" ht="17" customHeight="1">
      <c r="A23967" s="234"/>
      <c r="B23967" s="233"/>
      <c r="C23967" s="238"/>
      <c r="E23967" s="545"/>
      <c r="F23967" s="546"/>
      <c r="G23967" s="234"/>
      <c r="H23967" s="238"/>
      <c r="I23967" s="237"/>
    </row>
    <row r="23968" spans="1:9" s="232" customFormat="1" ht="17" customHeight="1">
      <c r="A23968" s="234"/>
      <c r="B23968" s="233"/>
      <c r="C23968" s="238"/>
      <c r="E23968" s="545"/>
      <c r="F23968" s="546"/>
      <c r="G23968" s="234"/>
      <c r="H23968" s="238"/>
      <c r="I23968" s="237"/>
    </row>
    <row r="23969" spans="1:9" s="232" customFormat="1" ht="17" customHeight="1">
      <c r="A23969" s="234"/>
      <c r="B23969" s="233"/>
      <c r="C23969" s="238"/>
      <c r="E23969" s="545"/>
      <c r="F23969" s="546"/>
      <c r="G23969" s="234"/>
      <c r="H23969" s="238"/>
      <c r="I23969" s="237"/>
    </row>
    <row r="23970" spans="1:9" s="232" customFormat="1" ht="17" customHeight="1">
      <c r="A23970" s="234"/>
      <c r="B23970" s="233"/>
      <c r="C23970" s="238"/>
      <c r="E23970" s="545"/>
      <c r="F23970" s="546"/>
      <c r="G23970" s="234"/>
      <c r="H23970" s="238"/>
      <c r="I23970" s="237"/>
    </row>
    <row r="23971" spans="1:9" s="232" customFormat="1" ht="17" customHeight="1">
      <c r="A23971" s="234"/>
      <c r="B23971" s="233"/>
      <c r="C23971" s="238"/>
      <c r="E23971" s="545"/>
      <c r="F23971" s="546"/>
      <c r="G23971" s="234"/>
      <c r="H23971" s="238"/>
      <c r="I23971" s="237"/>
    </row>
    <row r="23972" spans="1:9" s="232" customFormat="1" ht="17" customHeight="1">
      <c r="A23972" s="234"/>
      <c r="B23972" s="233"/>
      <c r="C23972" s="238"/>
      <c r="E23972" s="545"/>
      <c r="F23972" s="546"/>
      <c r="G23972" s="234"/>
      <c r="H23972" s="238"/>
      <c r="I23972" s="237"/>
    </row>
    <row r="23973" spans="1:9" s="232" customFormat="1" ht="17" customHeight="1">
      <c r="A23973" s="234"/>
      <c r="B23973" s="233"/>
      <c r="C23973" s="238"/>
      <c r="E23973" s="545"/>
      <c r="F23973" s="546"/>
      <c r="G23973" s="234"/>
      <c r="H23973" s="238"/>
      <c r="I23973" s="237"/>
    </row>
    <row r="23974" spans="1:9" s="232" customFormat="1" ht="17" customHeight="1">
      <c r="A23974" s="234"/>
      <c r="B23974" s="233"/>
      <c r="C23974" s="238"/>
      <c r="E23974" s="545"/>
      <c r="F23974" s="546"/>
      <c r="G23974" s="234"/>
      <c r="H23974" s="238"/>
      <c r="I23974" s="237"/>
    </row>
    <row r="23975" spans="1:9" s="232" customFormat="1" ht="17" customHeight="1">
      <c r="A23975" s="234"/>
      <c r="B23975" s="233"/>
      <c r="C23975" s="238"/>
      <c r="E23975" s="545"/>
      <c r="F23975" s="546"/>
      <c r="G23975" s="234"/>
      <c r="H23975" s="238"/>
      <c r="I23975" s="237"/>
    </row>
    <row r="23976" spans="1:9" s="232" customFormat="1" ht="17" customHeight="1">
      <c r="A23976" s="234"/>
      <c r="B23976" s="233"/>
      <c r="C23976" s="238"/>
      <c r="E23976" s="545"/>
      <c r="F23976" s="546"/>
      <c r="G23976" s="234"/>
      <c r="H23976" s="238"/>
      <c r="I23976" s="237"/>
    </row>
    <row r="23977" spans="1:9" s="232" customFormat="1" ht="17" customHeight="1">
      <c r="A23977" s="234"/>
      <c r="B23977" s="233"/>
      <c r="C23977" s="238"/>
      <c r="E23977" s="545"/>
      <c r="F23977" s="546"/>
      <c r="G23977" s="234"/>
      <c r="H23977" s="238"/>
      <c r="I23977" s="237"/>
    </row>
    <row r="23978" spans="1:9" s="232" customFormat="1" ht="17" customHeight="1">
      <c r="A23978" s="234"/>
      <c r="B23978" s="233"/>
      <c r="C23978" s="238"/>
      <c r="E23978" s="545"/>
      <c r="F23978" s="546"/>
      <c r="G23978" s="234"/>
      <c r="H23978" s="238"/>
      <c r="I23978" s="237"/>
    </row>
    <row r="23979" spans="1:9" s="232" customFormat="1" ht="17" customHeight="1">
      <c r="A23979" s="234"/>
      <c r="B23979" s="233"/>
      <c r="C23979" s="238"/>
      <c r="E23979" s="545"/>
      <c r="F23979" s="546"/>
      <c r="G23979" s="234"/>
      <c r="H23979" s="238"/>
      <c r="I23979" s="237"/>
    </row>
    <row r="23980" spans="1:9" s="232" customFormat="1" ht="17" customHeight="1">
      <c r="A23980" s="234"/>
      <c r="B23980" s="233"/>
      <c r="C23980" s="238"/>
      <c r="E23980" s="545"/>
      <c r="F23980" s="546"/>
      <c r="G23980" s="234"/>
      <c r="H23980" s="238"/>
      <c r="I23980" s="237"/>
    </row>
    <row r="23981" spans="1:9" s="232" customFormat="1" ht="17" customHeight="1">
      <c r="A23981" s="234"/>
      <c r="B23981" s="233"/>
      <c r="C23981" s="238"/>
      <c r="E23981" s="545"/>
      <c r="F23981" s="546"/>
      <c r="G23981" s="234"/>
      <c r="H23981" s="238"/>
      <c r="I23981" s="237"/>
    </row>
    <row r="23982" spans="1:9" s="232" customFormat="1" ht="17" customHeight="1">
      <c r="A23982" s="234"/>
      <c r="B23982" s="233"/>
      <c r="C23982" s="238"/>
      <c r="E23982" s="545"/>
      <c r="F23982" s="546"/>
      <c r="G23982" s="234"/>
      <c r="H23982" s="238"/>
      <c r="I23982" s="237"/>
    </row>
    <row r="23983" spans="1:9" s="232" customFormat="1" ht="17" customHeight="1">
      <c r="A23983" s="234"/>
      <c r="B23983" s="233"/>
      <c r="C23983" s="238"/>
      <c r="E23983" s="545"/>
      <c r="F23983" s="546"/>
      <c r="G23983" s="234"/>
      <c r="H23983" s="238"/>
      <c r="I23983" s="237"/>
    </row>
    <row r="23984" spans="1:9" s="232" customFormat="1" ht="17" customHeight="1">
      <c r="A23984" s="234"/>
      <c r="B23984" s="233"/>
      <c r="C23984" s="238"/>
      <c r="E23984" s="545"/>
      <c r="F23984" s="546"/>
      <c r="G23984" s="234"/>
      <c r="H23984" s="238"/>
      <c r="I23984" s="237"/>
    </row>
    <row r="23985" spans="1:9" s="232" customFormat="1" ht="17" customHeight="1">
      <c r="A23985" s="234"/>
      <c r="B23985" s="233"/>
      <c r="C23985" s="238"/>
      <c r="E23985" s="545"/>
      <c r="F23985" s="546"/>
      <c r="G23985" s="234"/>
      <c r="H23985" s="238"/>
      <c r="I23985" s="237"/>
    </row>
    <row r="23986" spans="1:9" s="232" customFormat="1" ht="17" customHeight="1">
      <c r="A23986" s="234"/>
      <c r="B23986" s="233"/>
      <c r="C23986" s="238"/>
      <c r="E23986" s="545"/>
      <c r="F23986" s="546"/>
      <c r="G23986" s="234"/>
      <c r="H23986" s="238"/>
      <c r="I23986" s="237"/>
    </row>
    <row r="23987" spans="1:9" s="232" customFormat="1" ht="17" customHeight="1">
      <c r="A23987" s="234"/>
      <c r="B23987" s="233"/>
      <c r="C23987" s="238"/>
      <c r="E23987" s="545"/>
      <c r="F23987" s="546"/>
      <c r="G23987" s="234"/>
      <c r="H23987" s="238"/>
      <c r="I23987" s="237"/>
    </row>
    <row r="23988" spans="1:9" s="232" customFormat="1" ht="17" customHeight="1">
      <c r="A23988" s="234"/>
      <c r="B23988" s="233"/>
      <c r="C23988" s="238"/>
      <c r="E23988" s="545"/>
      <c r="F23988" s="546"/>
      <c r="G23988" s="234"/>
      <c r="H23988" s="238"/>
      <c r="I23988" s="237"/>
    </row>
    <row r="23989" spans="1:9" s="232" customFormat="1" ht="17" customHeight="1">
      <c r="A23989" s="234"/>
      <c r="B23989" s="233"/>
      <c r="C23989" s="238"/>
      <c r="E23989" s="545"/>
      <c r="F23989" s="546"/>
      <c r="G23989" s="234"/>
      <c r="H23989" s="238"/>
      <c r="I23989" s="237"/>
    </row>
    <row r="23990" spans="1:9" s="232" customFormat="1" ht="17" customHeight="1">
      <c r="A23990" s="234"/>
      <c r="B23990" s="233"/>
      <c r="C23990" s="238"/>
      <c r="E23990" s="545"/>
      <c r="F23990" s="546"/>
      <c r="G23990" s="234"/>
      <c r="H23990" s="238"/>
      <c r="I23990" s="237"/>
    </row>
    <row r="23991" spans="1:9" s="232" customFormat="1" ht="17" customHeight="1">
      <c r="A23991" s="234"/>
      <c r="B23991" s="233"/>
      <c r="C23991" s="238"/>
      <c r="E23991" s="545"/>
      <c r="F23991" s="546"/>
      <c r="G23991" s="234"/>
      <c r="H23991" s="238"/>
      <c r="I23991" s="237"/>
    </row>
    <row r="23992" spans="1:9" s="232" customFormat="1" ht="17" customHeight="1">
      <c r="A23992" s="234"/>
      <c r="B23992" s="233"/>
      <c r="C23992" s="238"/>
      <c r="E23992" s="545"/>
      <c r="F23992" s="546"/>
      <c r="G23992" s="234"/>
      <c r="H23992" s="238"/>
      <c r="I23992" s="237"/>
    </row>
    <row r="23993" spans="1:9" s="232" customFormat="1" ht="17" customHeight="1">
      <c r="A23993" s="234"/>
      <c r="B23993" s="233"/>
      <c r="C23993" s="238"/>
      <c r="E23993" s="545"/>
      <c r="F23993" s="546"/>
      <c r="G23993" s="234"/>
      <c r="H23993" s="238"/>
      <c r="I23993" s="237"/>
    </row>
    <row r="23994" spans="1:9" s="232" customFormat="1" ht="17" customHeight="1">
      <c r="A23994" s="234"/>
      <c r="B23994" s="233"/>
      <c r="C23994" s="238"/>
      <c r="E23994" s="545"/>
      <c r="F23994" s="546"/>
      <c r="G23994" s="234"/>
      <c r="H23994" s="238"/>
      <c r="I23994" s="237"/>
    </row>
    <row r="23995" spans="1:9" s="232" customFormat="1" ht="17" customHeight="1">
      <c r="A23995" s="234"/>
      <c r="B23995" s="233"/>
      <c r="C23995" s="238"/>
      <c r="E23995" s="545"/>
      <c r="F23995" s="546"/>
      <c r="G23995" s="234"/>
      <c r="H23995" s="238"/>
      <c r="I23995" s="237"/>
    </row>
    <row r="23996" spans="1:9" s="232" customFormat="1" ht="17" customHeight="1">
      <c r="A23996" s="234"/>
      <c r="B23996" s="233"/>
      <c r="C23996" s="238"/>
      <c r="E23996" s="545"/>
      <c r="F23996" s="546"/>
      <c r="G23996" s="234"/>
      <c r="H23996" s="238"/>
      <c r="I23996" s="237"/>
    </row>
    <row r="23997" spans="1:9" s="232" customFormat="1" ht="17" customHeight="1">
      <c r="A23997" s="234"/>
      <c r="B23997" s="233"/>
      <c r="C23997" s="238"/>
      <c r="E23997" s="545"/>
      <c r="F23997" s="546"/>
      <c r="G23997" s="234"/>
      <c r="H23997" s="238"/>
      <c r="I23997" s="237"/>
    </row>
    <row r="23998" spans="1:9" s="232" customFormat="1" ht="17" customHeight="1">
      <c r="A23998" s="234"/>
      <c r="B23998" s="233"/>
      <c r="C23998" s="238"/>
      <c r="E23998" s="545"/>
      <c r="F23998" s="546"/>
      <c r="G23998" s="234"/>
      <c r="H23998" s="238"/>
      <c r="I23998" s="237"/>
    </row>
    <row r="23999" spans="1:9" s="232" customFormat="1" ht="17" customHeight="1">
      <c r="A23999" s="234"/>
      <c r="B23999" s="233"/>
      <c r="C23999" s="238"/>
      <c r="E23999" s="545"/>
      <c r="F23999" s="546"/>
      <c r="G23999" s="234"/>
      <c r="H23999" s="238"/>
      <c r="I23999" s="237"/>
    </row>
    <row r="24000" spans="1:9" s="232" customFormat="1" ht="17" customHeight="1">
      <c r="A24000" s="234"/>
      <c r="B24000" s="233"/>
      <c r="C24000" s="238"/>
      <c r="E24000" s="545"/>
      <c r="F24000" s="546"/>
      <c r="G24000" s="234"/>
      <c r="H24000" s="238"/>
      <c r="I24000" s="237"/>
    </row>
    <row r="24001" spans="1:9" s="232" customFormat="1" ht="17" customHeight="1">
      <c r="A24001" s="234"/>
      <c r="B24001" s="233"/>
      <c r="C24001" s="238"/>
      <c r="E24001" s="545"/>
      <c r="F24001" s="546"/>
      <c r="G24001" s="234"/>
      <c r="H24001" s="238"/>
      <c r="I24001" s="237"/>
    </row>
    <row r="24002" spans="1:9" s="232" customFormat="1" ht="17" customHeight="1">
      <c r="A24002" s="234"/>
      <c r="B24002" s="233"/>
      <c r="C24002" s="238"/>
      <c r="E24002" s="545"/>
      <c r="F24002" s="546"/>
      <c r="G24002" s="234"/>
      <c r="H24002" s="238"/>
      <c r="I24002" s="237"/>
    </row>
    <row r="24003" spans="1:9" s="232" customFormat="1" ht="17" customHeight="1">
      <c r="A24003" s="234"/>
      <c r="B24003" s="233"/>
      <c r="C24003" s="238"/>
      <c r="E24003" s="545"/>
      <c r="F24003" s="546"/>
      <c r="G24003" s="234"/>
      <c r="H24003" s="238"/>
      <c r="I24003" s="237"/>
    </row>
    <row r="24004" spans="1:9" s="232" customFormat="1" ht="17" customHeight="1">
      <c r="A24004" s="234"/>
      <c r="B24004" s="233"/>
      <c r="C24004" s="238"/>
      <c r="E24004" s="545"/>
      <c r="F24004" s="546"/>
      <c r="G24004" s="234"/>
      <c r="H24004" s="238"/>
      <c r="I24004" s="237"/>
    </row>
    <row r="24005" spans="1:9" s="232" customFormat="1" ht="17" customHeight="1">
      <c r="A24005" s="234"/>
      <c r="B24005" s="233"/>
      <c r="C24005" s="238"/>
      <c r="E24005" s="545"/>
      <c r="F24005" s="546"/>
      <c r="G24005" s="234"/>
      <c r="H24005" s="238"/>
      <c r="I24005" s="237"/>
    </row>
    <row r="24006" spans="1:9" s="232" customFormat="1" ht="17" customHeight="1">
      <c r="A24006" s="234"/>
      <c r="B24006" s="233"/>
      <c r="C24006" s="238"/>
      <c r="E24006" s="545"/>
      <c r="F24006" s="546"/>
      <c r="G24006" s="234"/>
      <c r="H24006" s="238"/>
      <c r="I24006" s="237"/>
    </row>
    <row r="24007" spans="1:9" s="232" customFormat="1" ht="17" customHeight="1">
      <c r="A24007" s="234"/>
      <c r="B24007" s="233"/>
      <c r="C24007" s="238"/>
      <c r="E24007" s="545"/>
      <c r="F24007" s="546"/>
      <c r="G24007" s="234"/>
      <c r="H24007" s="238"/>
      <c r="I24007" s="237"/>
    </row>
    <row r="24008" spans="1:9" s="232" customFormat="1" ht="17" customHeight="1">
      <c r="A24008" s="234"/>
      <c r="B24008" s="233"/>
      <c r="C24008" s="238"/>
      <c r="E24008" s="545"/>
      <c r="F24008" s="546"/>
      <c r="G24008" s="234"/>
      <c r="H24008" s="238"/>
      <c r="I24008" s="237"/>
    </row>
    <row r="24009" spans="1:9" s="232" customFormat="1" ht="17" customHeight="1">
      <c r="A24009" s="234"/>
      <c r="B24009" s="233"/>
      <c r="C24009" s="238"/>
      <c r="E24009" s="545"/>
      <c r="F24009" s="546"/>
      <c r="G24009" s="234"/>
      <c r="H24009" s="238"/>
      <c r="I24009" s="237"/>
    </row>
    <row r="24010" spans="1:9" s="232" customFormat="1" ht="17" customHeight="1">
      <c r="A24010" s="234"/>
      <c r="B24010" s="233"/>
      <c r="C24010" s="238"/>
      <c r="E24010" s="545"/>
      <c r="F24010" s="546"/>
      <c r="G24010" s="234"/>
      <c r="H24010" s="238"/>
      <c r="I24010" s="237"/>
    </row>
    <row r="24011" spans="1:9" s="232" customFormat="1" ht="17" customHeight="1">
      <c r="A24011" s="234"/>
      <c r="B24011" s="233"/>
      <c r="C24011" s="238"/>
      <c r="E24011" s="545"/>
      <c r="F24011" s="546"/>
      <c r="G24011" s="234"/>
      <c r="H24011" s="238"/>
      <c r="I24011" s="237"/>
    </row>
    <row r="24012" spans="1:9" s="232" customFormat="1" ht="17" customHeight="1">
      <c r="A24012" s="234"/>
      <c r="B24012" s="233"/>
      <c r="C24012" s="238"/>
      <c r="E24012" s="545"/>
      <c r="F24012" s="546"/>
      <c r="G24012" s="234"/>
      <c r="H24012" s="238"/>
      <c r="I24012" s="237"/>
    </row>
    <row r="24013" spans="1:9" s="232" customFormat="1" ht="17" customHeight="1">
      <c r="A24013" s="234"/>
      <c r="B24013" s="233"/>
      <c r="C24013" s="238"/>
      <c r="E24013" s="545"/>
      <c r="F24013" s="546"/>
      <c r="G24013" s="234"/>
      <c r="H24013" s="238"/>
      <c r="I24013" s="237"/>
    </row>
    <row r="24014" spans="1:9" s="232" customFormat="1" ht="17" customHeight="1">
      <c r="A24014" s="234"/>
      <c r="B24014" s="233"/>
      <c r="C24014" s="238"/>
      <c r="E24014" s="545"/>
      <c r="F24014" s="546"/>
      <c r="G24014" s="234"/>
      <c r="H24014" s="238"/>
      <c r="I24014" s="237"/>
    </row>
    <row r="24015" spans="1:9" s="232" customFormat="1" ht="17" customHeight="1">
      <c r="A24015" s="234"/>
      <c r="B24015" s="233"/>
      <c r="C24015" s="238"/>
      <c r="E24015" s="545"/>
      <c r="F24015" s="546"/>
      <c r="G24015" s="234"/>
      <c r="H24015" s="238"/>
      <c r="I24015" s="237"/>
    </row>
    <row r="24016" spans="1:9" s="232" customFormat="1" ht="17" customHeight="1">
      <c r="A24016" s="234"/>
      <c r="B24016" s="233"/>
      <c r="C24016" s="238"/>
      <c r="E24016" s="545"/>
      <c r="F24016" s="546"/>
      <c r="G24016" s="234"/>
      <c r="H24016" s="238"/>
      <c r="I24016" s="237"/>
    </row>
    <row r="24017" spans="1:9" s="232" customFormat="1" ht="17" customHeight="1">
      <c r="A24017" s="234"/>
      <c r="B24017" s="233"/>
      <c r="C24017" s="238"/>
      <c r="E24017" s="545"/>
      <c r="F24017" s="546"/>
      <c r="G24017" s="234"/>
      <c r="H24017" s="238"/>
      <c r="I24017" s="237"/>
    </row>
    <row r="24018" spans="1:9" s="232" customFormat="1" ht="17" customHeight="1">
      <c r="A24018" s="234"/>
      <c r="B24018" s="233"/>
      <c r="C24018" s="238"/>
      <c r="E24018" s="545"/>
      <c r="F24018" s="546"/>
      <c r="G24018" s="234"/>
      <c r="H24018" s="238"/>
      <c r="I24018" s="237"/>
    </row>
    <row r="24019" spans="1:9" s="232" customFormat="1" ht="17" customHeight="1">
      <c r="A24019" s="234"/>
      <c r="B24019" s="233"/>
      <c r="C24019" s="238"/>
      <c r="E24019" s="545"/>
      <c r="F24019" s="546"/>
      <c r="G24019" s="234"/>
      <c r="H24019" s="238"/>
      <c r="I24019" s="237"/>
    </row>
    <row r="24020" spans="1:9" s="232" customFormat="1" ht="17" customHeight="1">
      <c r="A24020" s="234"/>
      <c r="B24020" s="233"/>
      <c r="C24020" s="238"/>
      <c r="E24020" s="545"/>
      <c r="F24020" s="546"/>
      <c r="G24020" s="234"/>
      <c r="H24020" s="238"/>
      <c r="I24020" s="237"/>
    </row>
    <row r="24021" spans="1:9" s="232" customFormat="1" ht="17" customHeight="1">
      <c r="A24021" s="234"/>
      <c r="B24021" s="233"/>
      <c r="C24021" s="238"/>
      <c r="E24021" s="545"/>
      <c r="F24021" s="546"/>
      <c r="G24021" s="234"/>
      <c r="H24021" s="238"/>
      <c r="I24021" s="237"/>
    </row>
    <row r="24022" spans="1:9" s="232" customFormat="1" ht="17" customHeight="1">
      <c r="A24022" s="234"/>
      <c r="B24022" s="233"/>
      <c r="C24022" s="238"/>
      <c r="E24022" s="545"/>
      <c r="F24022" s="546"/>
      <c r="G24022" s="234"/>
      <c r="H24022" s="238"/>
      <c r="I24022" s="237"/>
    </row>
    <row r="24023" spans="1:9" s="232" customFormat="1" ht="17" customHeight="1">
      <c r="A24023" s="234"/>
      <c r="B24023" s="233"/>
      <c r="C24023" s="238"/>
      <c r="E24023" s="545"/>
      <c r="F24023" s="546"/>
      <c r="G24023" s="234"/>
      <c r="H24023" s="238"/>
      <c r="I24023" s="237"/>
    </row>
    <row r="24024" spans="1:9" s="232" customFormat="1" ht="17" customHeight="1">
      <c r="A24024" s="234"/>
      <c r="B24024" s="233"/>
      <c r="C24024" s="238"/>
      <c r="E24024" s="545"/>
      <c r="F24024" s="546"/>
      <c r="G24024" s="234"/>
      <c r="H24024" s="238"/>
      <c r="I24024" s="237"/>
    </row>
    <row r="24025" spans="1:9" s="232" customFormat="1" ht="17" customHeight="1">
      <c r="A24025" s="234"/>
      <c r="B24025" s="233"/>
      <c r="C24025" s="238"/>
      <c r="E24025" s="545"/>
      <c r="F24025" s="546"/>
      <c r="G24025" s="234"/>
      <c r="H24025" s="238"/>
      <c r="I24025" s="237"/>
    </row>
    <row r="24026" spans="1:9" s="232" customFormat="1" ht="17" customHeight="1">
      <c r="A24026" s="234"/>
      <c r="B24026" s="233"/>
      <c r="C24026" s="238"/>
      <c r="E24026" s="545"/>
      <c r="F24026" s="546"/>
      <c r="G24026" s="234"/>
      <c r="H24026" s="238"/>
      <c r="I24026" s="237"/>
    </row>
    <row r="24027" spans="1:9" s="232" customFormat="1" ht="17" customHeight="1">
      <c r="A24027" s="234"/>
      <c r="B24027" s="233"/>
      <c r="C24027" s="238"/>
      <c r="E24027" s="545"/>
      <c r="F24027" s="546"/>
      <c r="G24027" s="234"/>
      <c r="H24027" s="238"/>
      <c r="I24027" s="237"/>
    </row>
    <row r="24028" spans="1:9" s="232" customFormat="1" ht="17" customHeight="1">
      <c r="A24028" s="234"/>
      <c r="B24028" s="233"/>
      <c r="C24028" s="238"/>
      <c r="E24028" s="545"/>
      <c r="F24028" s="546"/>
      <c r="G24028" s="234"/>
      <c r="H24028" s="238"/>
      <c r="I24028" s="237"/>
    </row>
    <row r="24029" spans="1:9" s="232" customFormat="1" ht="17" customHeight="1">
      <c r="A24029" s="234"/>
      <c r="B24029" s="233"/>
      <c r="C24029" s="238"/>
      <c r="E24029" s="545"/>
      <c r="F24029" s="546"/>
      <c r="G24029" s="234"/>
      <c r="H24029" s="238"/>
      <c r="I24029" s="237"/>
    </row>
    <row r="24030" spans="1:9" s="232" customFormat="1" ht="17" customHeight="1">
      <c r="A24030" s="234"/>
      <c r="B24030" s="233"/>
      <c r="C24030" s="238"/>
      <c r="E24030" s="545"/>
      <c r="F24030" s="546"/>
      <c r="G24030" s="234"/>
      <c r="H24030" s="238"/>
      <c r="I24030" s="237"/>
    </row>
    <row r="24031" spans="1:9" s="232" customFormat="1" ht="17" customHeight="1">
      <c r="A24031" s="234"/>
      <c r="B24031" s="233"/>
      <c r="C24031" s="238"/>
      <c r="E24031" s="545"/>
      <c r="F24031" s="546"/>
      <c r="G24031" s="234"/>
      <c r="H24031" s="238"/>
      <c r="I24031" s="237"/>
    </row>
    <row r="24032" spans="1:9" s="232" customFormat="1" ht="17" customHeight="1">
      <c r="A24032" s="234"/>
      <c r="B24032" s="233"/>
      <c r="C24032" s="238"/>
      <c r="E24032" s="545"/>
      <c r="F24032" s="546"/>
      <c r="G24032" s="234"/>
      <c r="H24032" s="238"/>
      <c r="I24032" s="237"/>
    </row>
    <row r="24033" spans="1:9" s="232" customFormat="1" ht="17" customHeight="1">
      <c r="A24033" s="234"/>
      <c r="B24033" s="233"/>
      <c r="C24033" s="238"/>
      <c r="E24033" s="545"/>
      <c r="F24033" s="546"/>
      <c r="G24033" s="234"/>
      <c r="H24033" s="238"/>
      <c r="I24033" s="237"/>
    </row>
    <row r="24034" spans="1:9" s="232" customFormat="1" ht="17" customHeight="1">
      <c r="A24034" s="234"/>
      <c r="B24034" s="233"/>
      <c r="C24034" s="238"/>
      <c r="E24034" s="545"/>
      <c r="F24034" s="546"/>
      <c r="G24034" s="234"/>
      <c r="H24034" s="238"/>
      <c r="I24034" s="237"/>
    </row>
    <row r="24035" spans="1:9" s="232" customFormat="1" ht="17" customHeight="1">
      <c r="A24035" s="234"/>
      <c r="B24035" s="233"/>
      <c r="C24035" s="238"/>
      <c r="E24035" s="545"/>
      <c r="F24035" s="546"/>
      <c r="G24035" s="234"/>
      <c r="H24035" s="238"/>
      <c r="I24035" s="237"/>
    </row>
    <row r="24036" spans="1:9" s="232" customFormat="1" ht="17" customHeight="1">
      <c r="A24036" s="234"/>
      <c r="B24036" s="233"/>
      <c r="C24036" s="238"/>
      <c r="E24036" s="545"/>
      <c r="F24036" s="546"/>
      <c r="G24036" s="234"/>
      <c r="H24036" s="238"/>
      <c r="I24036" s="237"/>
    </row>
    <row r="24037" spans="1:9" s="232" customFormat="1" ht="17" customHeight="1">
      <c r="A24037" s="234"/>
      <c r="B24037" s="233"/>
      <c r="C24037" s="238"/>
      <c r="E24037" s="545"/>
      <c r="F24037" s="546"/>
      <c r="G24037" s="234"/>
      <c r="H24037" s="238"/>
      <c r="I24037" s="237"/>
    </row>
    <row r="24038" spans="1:9" s="232" customFormat="1" ht="17" customHeight="1">
      <c r="A24038" s="234"/>
      <c r="B24038" s="233"/>
      <c r="C24038" s="238"/>
      <c r="E24038" s="545"/>
      <c r="F24038" s="546"/>
      <c r="G24038" s="234"/>
      <c r="H24038" s="238"/>
      <c r="I24038" s="237"/>
    </row>
    <row r="24039" spans="1:9" s="232" customFormat="1" ht="17" customHeight="1">
      <c r="A24039" s="234"/>
      <c r="B24039" s="233"/>
      <c r="C24039" s="238"/>
      <c r="E24039" s="545"/>
      <c r="F24039" s="546"/>
      <c r="G24039" s="234"/>
      <c r="H24039" s="238"/>
      <c r="I24039" s="237"/>
    </row>
    <row r="24040" spans="1:9" s="232" customFormat="1" ht="17" customHeight="1">
      <c r="A24040" s="234"/>
      <c r="B24040" s="233"/>
      <c r="C24040" s="238"/>
      <c r="E24040" s="545"/>
      <c r="F24040" s="546"/>
      <c r="G24040" s="234"/>
      <c r="H24040" s="238"/>
      <c r="I24040" s="237"/>
    </row>
    <row r="24041" spans="1:9" s="232" customFormat="1" ht="17" customHeight="1">
      <c r="A24041" s="234"/>
      <c r="B24041" s="233"/>
      <c r="C24041" s="238"/>
      <c r="E24041" s="545"/>
      <c r="F24041" s="546"/>
      <c r="G24041" s="234"/>
      <c r="H24041" s="238"/>
      <c r="I24041" s="237"/>
    </row>
    <row r="24042" spans="1:9" s="232" customFormat="1" ht="17" customHeight="1">
      <c r="A24042" s="234"/>
      <c r="B24042" s="233"/>
      <c r="C24042" s="238"/>
      <c r="E24042" s="545"/>
      <c r="F24042" s="546"/>
      <c r="G24042" s="234"/>
      <c r="H24042" s="238"/>
      <c r="I24042" s="237"/>
    </row>
    <row r="24043" spans="1:9" s="232" customFormat="1" ht="17" customHeight="1">
      <c r="A24043" s="234"/>
      <c r="B24043" s="233"/>
      <c r="C24043" s="238"/>
      <c r="E24043" s="545"/>
      <c r="F24043" s="546"/>
      <c r="G24043" s="234"/>
      <c r="H24043" s="238"/>
      <c r="I24043" s="237"/>
    </row>
    <row r="24044" spans="1:9" s="232" customFormat="1" ht="17" customHeight="1">
      <c r="A24044" s="234"/>
      <c r="B24044" s="233"/>
      <c r="C24044" s="238"/>
      <c r="E24044" s="545"/>
      <c r="F24044" s="546"/>
      <c r="G24044" s="234"/>
      <c r="H24044" s="238"/>
      <c r="I24044" s="237"/>
    </row>
    <row r="24045" spans="1:9" s="232" customFormat="1" ht="17" customHeight="1">
      <c r="A24045" s="234"/>
      <c r="B24045" s="233"/>
      <c r="C24045" s="238"/>
      <c r="E24045" s="545"/>
      <c r="F24045" s="546"/>
      <c r="G24045" s="234"/>
      <c r="H24045" s="238"/>
      <c r="I24045" s="237"/>
    </row>
    <row r="24046" spans="1:9" s="232" customFormat="1" ht="17" customHeight="1">
      <c r="A24046" s="234"/>
      <c r="B24046" s="233"/>
      <c r="C24046" s="238"/>
      <c r="E24046" s="545"/>
      <c r="F24046" s="546"/>
      <c r="G24046" s="234"/>
      <c r="H24046" s="238"/>
      <c r="I24046" s="237"/>
    </row>
    <row r="24047" spans="1:9" s="232" customFormat="1" ht="17" customHeight="1">
      <c r="A24047" s="234"/>
      <c r="B24047" s="233"/>
      <c r="C24047" s="238"/>
      <c r="E24047" s="545"/>
      <c r="F24047" s="546"/>
      <c r="G24047" s="234"/>
      <c r="H24047" s="238"/>
      <c r="I24047" s="237"/>
    </row>
    <row r="24048" spans="1:9" s="232" customFormat="1" ht="17" customHeight="1">
      <c r="A24048" s="234"/>
      <c r="B24048" s="233"/>
      <c r="C24048" s="238"/>
      <c r="E24048" s="545"/>
      <c r="F24048" s="546"/>
      <c r="G24048" s="234"/>
      <c r="H24048" s="238"/>
      <c r="I24048" s="237"/>
    </row>
    <row r="24049" spans="1:9" s="232" customFormat="1" ht="17" customHeight="1">
      <c r="A24049" s="234"/>
      <c r="B24049" s="233"/>
      <c r="C24049" s="238"/>
      <c r="E24049" s="545"/>
      <c r="F24049" s="546"/>
      <c r="G24049" s="234"/>
      <c r="H24049" s="238"/>
      <c r="I24049" s="237"/>
    </row>
    <row r="24050" spans="1:9" s="232" customFormat="1" ht="17" customHeight="1">
      <c r="A24050" s="234"/>
      <c r="B24050" s="233"/>
      <c r="C24050" s="238"/>
      <c r="E24050" s="545"/>
      <c r="F24050" s="546"/>
      <c r="G24050" s="234"/>
      <c r="H24050" s="238"/>
      <c r="I24050" s="237"/>
    </row>
    <row r="24051" spans="1:9" s="232" customFormat="1" ht="17" customHeight="1">
      <c r="A24051" s="234"/>
      <c r="B24051" s="233"/>
      <c r="C24051" s="238"/>
      <c r="E24051" s="545"/>
      <c r="F24051" s="546"/>
      <c r="G24051" s="234"/>
      <c r="H24051" s="238"/>
      <c r="I24051" s="237"/>
    </row>
    <row r="24052" spans="1:9" s="232" customFormat="1" ht="17" customHeight="1">
      <c r="A24052" s="234"/>
      <c r="B24052" s="233"/>
      <c r="C24052" s="238"/>
      <c r="E24052" s="545"/>
      <c r="F24052" s="546"/>
      <c r="G24052" s="234"/>
      <c r="H24052" s="238"/>
      <c r="I24052" s="237"/>
    </row>
    <row r="24053" spans="1:9" s="232" customFormat="1" ht="17" customHeight="1">
      <c r="A24053" s="234"/>
      <c r="B24053" s="233"/>
      <c r="C24053" s="238"/>
      <c r="E24053" s="545"/>
      <c r="F24053" s="546"/>
      <c r="G24053" s="234"/>
      <c r="H24053" s="238"/>
      <c r="I24053" s="237"/>
    </row>
    <row r="24054" spans="1:9" s="232" customFormat="1" ht="17" customHeight="1">
      <c r="A24054" s="234"/>
      <c r="B24054" s="233"/>
      <c r="C24054" s="238"/>
      <c r="E24054" s="545"/>
      <c r="F24054" s="546"/>
      <c r="G24054" s="234"/>
      <c r="H24054" s="238"/>
      <c r="I24054" s="237"/>
    </row>
    <row r="24055" spans="1:9" s="232" customFormat="1" ht="17" customHeight="1">
      <c r="A24055" s="234"/>
      <c r="B24055" s="233"/>
      <c r="C24055" s="238"/>
      <c r="E24055" s="545"/>
      <c r="F24055" s="546"/>
      <c r="G24055" s="234"/>
      <c r="H24055" s="238"/>
      <c r="I24055" s="237"/>
    </row>
    <row r="24056" spans="1:9" s="232" customFormat="1" ht="17" customHeight="1">
      <c r="A24056" s="234"/>
      <c r="B24056" s="233"/>
      <c r="C24056" s="238"/>
      <c r="E24056" s="545"/>
      <c r="F24056" s="546"/>
      <c r="G24056" s="234"/>
      <c r="H24056" s="238"/>
      <c r="I24056" s="237"/>
    </row>
    <row r="24057" spans="1:9" s="232" customFormat="1" ht="17" customHeight="1">
      <c r="A24057" s="234"/>
      <c r="B24057" s="233"/>
      <c r="C24057" s="238"/>
      <c r="E24057" s="545"/>
      <c r="F24057" s="546"/>
      <c r="G24057" s="234"/>
      <c r="H24057" s="238"/>
      <c r="I24057" s="237"/>
    </row>
    <row r="24058" spans="1:9" s="232" customFormat="1" ht="17" customHeight="1">
      <c r="A24058" s="234"/>
      <c r="B24058" s="233"/>
      <c r="C24058" s="238"/>
      <c r="E24058" s="545"/>
      <c r="F24058" s="546"/>
      <c r="G24058" s="234"/>
      <c r="H24058" s="238"/>
      <c r="I24058" s="237"/>
    </row>
    <row r="24059" spans="1:9" s="232" customFormat="1" ht="17" customHeight="1">
      <c r="A24059" s="234"/>
      <c r="B24059" s="233"/>
      <c r="C24059" s="238"/>
      <c r="E24059" s="545"/>
      <c r="F24059" s="546"/>
      <c r="G24059" s="234"/>
      <c r="H24059" s="238"/>
      <c r="I24059" s="237"/>
    </row>
    <row r="24060" spans="1:9" s="232" customFormat="1" ht="17" customHeight="1">
      <c r="A24060" s="234"/>
      <c r="B24060" s="233"/>
      <c r="C24060" s="238"/>
      <c r="E24060" s="545"/>
      <c r="F24060" s="546"/>
      <c r="G24060" s="234"/>
      <c r="H24060" s="238"/>
      <c r="I24060" s="237"/>
    </row>
    <row r="24061" spans="1:9" s="232" customFormat="1" ht="17" customHeight="1">
      <c r="A24061" s="234"/>
      <c r="B24061" s="233"/>
      <c r="C24061" s="238"/>
      <c r="E24061" s="545"/>
      <c r="F24061" s="546"/>
      <c r="G24061" s="234"/>
      <c r="H24061" s="238"/>
      <c r="I24061" s="237"/>
    </row>
    <row r="24062" spans="1:9" s="232" customFormat="1" ht="17" customHeight="1">
      <c r="A24062" s="234"/>
      <c r="B24062" s="233"/>
      <c r="C24062" s="238"/>
      <c r="E24062" s="545"/>
      <c r="F24062" s="546"/>
      <c r="G24062" s="234"/>
      <c r="H24062" s="238"/>
      <c r="I24062" s="237"/>
    </row>
    <row r="24063" spans="1:9" s="232" customFormat="1" ht="17" customHeight="1">
      <c r="A24063" s="234"/>
      <c r="B24063" s="233"/>
      <c r="C24063" s="238"/>
      <c r="E24063" s="545"/>
      <c r="F24063" s="546"/>
      <c r="G24063" s="234"/>
      <c r="H24063" s="238"/>
      <c r="I24063" s="237"/>
    </row>
    <row r="24064" spans="1:9" s="232" customFormat="1" ht="17" customHeight="1">
      <c r="A24064" s="234"/>
      <c r="B24064" s="233"/>
      <c r="C24064" s="238"/>
      <c r="E24064" s="545"/>
      <c r="F24064" s="546"/>
      <c r="G24064" s="234"/>
      <c r="H24064" s="238"/>
      <c r="I24064" s="237"/>
    </row>
    <row r="24065" spans="1:9" s="232" customFormat="1" ht="17" customHeight="1">
      <c r="A24065" s="234"/>
      <c r="B24065" s="233"/>
      <c r="C24065" s="238"/>
      <c r="E24065" s="545"/>
      <c r="F24065" s="546"/>
      <c r="G24065" s="234"/>
      <c r="H24065" s="238"/>
      <c r="I24065" s="237"/>
    </row>
    <row r="24066" spans="1:9" s="232" customFormat="1" ht="17" customHeight="1">
      <c r="A24066" s="234"/>
      <c r="B24066" s="233"/>
      <c r="C24066" s="238"/>
      <c r="E24066" s="545"/>
      <c r="F24066" s="546"/>
      <c r="G24066" s="234"/>
      <c r="H24066" s="238"/>
      <c r="I24066" s="237"/>
    </row>
    <row r="24067" spans="1:9" s="232" customFormat="1" ht="17" customHeight="1">
      <c r="A24067" s="234"/>
      <c r="B24067" s="233"/>
      <c r="C24067" s="238"/>
      <c r="E24067" s="545"/>
      <c r="F24067" s="546"/>
      <c r="G24067" s="234"/>
      <c r="H24067" s="238"/>
      <c r="I24067" s="237"/>
    </row>
    <row r="24068" spans="1:9" s="232" customFormat="1" ht="17" customHeight="1">
      <c r="A24068" s="234"/>
      <c r="B24068" s="233"/>
      <c r="C24068" s="238"/>
      <c r="E24068" s="545"/>
      <c r="F24068" s="546"/>
      <c r="G24068" s="234"/>
      <c r="H24068" s="238"/>
      <c r="I24068" s="237"/>
    </row>
    <row r="24069" spans="1:9" s="232" customFormat="1" ht="17" customHeight="1">
      <c r="A24069" s="234"/>
      <c r="B24069" s="233"/>
      <c r="C24069" s="238"/>
      <c r="E24069" s="545"/>
      <c r="F24069" s="546"/>
      <c r="G24069" s="234"/>
      <c r="H24069" s="238"/>
      <c r="I24069" s="237"/>
    </row>
    <row r="24070" spans="1:9" s="232" customFormat="1" ht="17" customHeight="1">
      <c r="A24070" s="234"/>
      <c r="B24070" s="233"/>
      <c r="C24070" s="238"/>
      <c r="E24070" s="545"/>
      <c r="F24070" s="546"/>
      <c r="G24070" s="234"/>
      <c r="H24070" s="238"/>
      <c r="I24070" s="237"/>
    </row>
    <row r="24071" spans="1:9" s="232" customFormat="1" ht="17" customHeight="1">
      <c r="A24071" s="234"/>
      <c r="B24071" s="233"/>
      <c r="C24071" s="238"/>
      <c r="E24071" s="545"/>
      <c r="F24071" s="546"/>
      <c r="G24071" s="234"/>
      <c r="H24071" s="238"/>
      <c r="I24071" s="237"/>
    </row>
    <row r="24072" spans="1:9" s="232" customFormat="1" ht="17" customHeight="1">
      <c r="A24072" s="234"/>
      <c r="B24072" s="233"/>
      <c r="C24072" s="238"/>
      <c r="E24072" s="545"/>
      <c r="F24072" s="546"/>
      <c r="G24072" s="234"/>
      <c r="H24072" s="238"/>
      <c r="I24072" s="237"/>
    </row>
    <row r="24073" spans="1:9" s="232" customFormat="1" ht="17" customHeight="1">
      <c r="A24073" s="234"/>
      <c r="B24073" s="233"/>
      <c r="C24073" s="238"/>
      <c r="E24073" s="545"/>
      <c r="F24073" s="546"/>
      <c r="G24073" s="234"/>
      <c r="H24073" s="238"/>
      <c r="I24073" s="237"/>
    </row>
    <row r="24074" spans="1:9" s="232" customFormat="1" ht="17" customHeight="1">
      <c r="A24074" s="234"/>
      <c r="B24074" s="233"/>
      <c r="C24074" s="238"/>
      <c r="E24074" s="545"/>
      <c r="F24074" s="546"/>
      <c r="G24074" s="234"/>
      <c r="H24074" s="238"/>
      <c r="I24074" s="237"/>
    </row>
    <row r="24075" spans="1:9" s="232" customFormat="1" ht="17" customHeight="1">
      <c r="A24075" s="234"/>
      <c r="B24075" s="233"/>
      <c r="C24075" s="238"/>
      <c r="E24075" s="545"/>
      <c r="F24075" s="546"/>
      <c r="G24075" s="234"/>
      <c r="H24075" s="238"/>
      <c r="I24075" s="237"/>
    </row>
    <row r="24076" spans="1:9" s="232" customFormat="1" ht="17" customHeight="1">
      <c r="A24076" s="234"/>
      <c r="B24076" s="233"/>
      <c r="C24076" s="238"/>
      <c r="E24076" s="545"/>
      <c r="F24076" s="546"/>
      <c r="G24076" s="234"/>
      <c r="H24076" s="238"/>
      <c r="I24076" s="237"/>
    </row>
    <row r="24077" spans="1:9" s="232" customFormat="1" ht="17" customHeight="1">
      <c r="A24077" s="234"/>
      <c r="B24077" s="233"/>
      <c r="C24077" s="238"/>
      <c r="E24077" s="545"/>
      <c r="F24077" s="546"/>
      <c r="G24077" s="234"/>
      <c r="H24077" s="238"/>
      <c r="I24077" s="237"/>
    </row>
    <row r="24078" spans="1:9" s="232" customFormat="1" ht="17" customHeight="1">
      <c r="A24078" s="234"/>
      <c r="B24078" s="233"/>
      <c r="C24078" s="238"/>
      <c r="E24078" s="545"/>
      <c r="F24078" s="546"/>
      <c r="G24078" s="234"/>
      <c r="H24078" s="238"/>
      <c r="I24078" s="237"/>
    </row>
    <row r="24079" spans="1:9" s="232" customFormat="1" ht="17" customHeight="1">
      <c r="A24079" s="234"/>
      <c r="B24079" s="233"/>
      <c r="C24079" s="238"/>
      <c r="E24079" s="545"/>
      <c r="F24079" s="546"/>
      <c r="G24079" s="234"/>
      <c r="H24079" s="238"/>
      <c r="I24079" s="237"/>
    </row>
    <row r="24080" spans="1:9" s="232" customFormat="1" ht="17" customHeight="1">
      <c r="A24080" s="234"/>
      <c r="B24080" s="233"/>
      <c r="C24080" s="238"/>
      <c r="E24080" s="545"/>
      <c r="F24080" s="546"/>
      <c r="G24080" s="234"/>
      <c r="H24080" s="238"/>
      <c r="I24080" s="237"/>
    </row>
    <row r="24081" spans="1:9" s="232" customFormat="1" ht="17" customHeight="1">
      <c r="A24081" s="234"/>
      <c r="B24081" s="233"/>
      <c r="C24081" s="238"/>
      <c r="E24081" s="545"/>
      <c r="F24081" s="546"/>
      <c r="G24081" s="234"/>
      <c r="H24081" s="238"/>
      <c r="I24081" s="237"/>
    </row>
    <row r="24082" spans="1:9" s="232" customFormat="1" ht="17" customHeight="1">
      <c r="A24082" s="234"/>
      <c r="B24082" s="233"/>
      <c r="C24082" s="238"/>
      <c r="E24082" s="545"/>
      <c r="F24082" s="546"/>
      <c r="G24082" s="234"/>
      <c r="H24082" s="238"/>
      <c r="I24082" s="237"/>
    </row>
    <row r="24083" spans="1:9" s="232" customFormat="1" ht="17" customHeight="1">
      <c r="A24083" s="234"/>
      <c r="B24083" s="233"/>
      <c r="C24083" s="238"/>
      <c r="E24083" s="545"/>
      <c r="F24083" s="546"/>
      <c r="G24083" s="234"/>
      <c r="H24083" s="238"/>
      <c r="I24083" s="237"/>
    </row>
    <row r="24084" spans="1:9" s="232" customFormat="1" ht="17" customHeight="1">
      <c r="A24084" s="234"/>
      <c r="B24084" s="233"/>
      <c r="C24084" s="238"/>
      <c r="E24084" s="545"/>
      <c r="F24084" s="546"/>
      <c r="G24084" s="234"/>
      <c r="H24084" s="238"/>
      <c r="I24084" s="237"/>
    </row>
    <row r="24085" spans="1:9" s="232" customFormat="1" ht="17" customHeight="1">
      <c r="A24085" s="234"/>
      <c r="B24085" s="233"/>
      <c r="C24085" s="238"/>
      <c r="E24085" s="545"/>
      <c r="F24085" s="546"/>
      <c r="G24085" s="234"/>
      <c r="H24085" s="238"/>
      <c r="I24085" s="237"/>
    </row>
    <row r="24086" spans="1:9" s="232" customFormat="1" ht="17" customHeight="1">
      <c r="A24086" s="234"/>
      <c r="B24086" s="233"/>
      <c r="C24086" s="238"/>
      <c r="E24086" s="545"/>
      <c r="F24086" s="546"/>
      <c r="G24086" s="234"/>
      <c r="H24086" s="238"/>
      <c r="I24086" s="237"/>
    </row>
    <row r="24087" spans="1:9" s="232" customFormat="1" ht="17" customHeight="1">
      <c r="A24087" s="234"/>
      <c r="B24087" s="233"/>
      <c r="C24087" s="238"/>
      <c r="E24087" s="545"/>
      <c r="F24087" s="546"/>
      <c r="G24087" s="234"/>
      <c r="H24087" s="238"/>
      <c r="I24087" s="237"/>
    </row>
    <row r="24088" spans="1:9" s="232" customFormat="1" ht="17" customHeight="1">
      <c r="A24088" s="234"/>
      <c r="B24088" s="233"/>
      <c r="C24088" s="238"/>
      <c r="E24088" s="545"/>
      <c r="F24088" s="546"/>
      <c r="G24088" s="234"/>
      <c r="H24088" s="238"/>
      <c r="I24088" s="237"/>
    </row>
    <row r="24089" spans="1:9" s="232" customFormat="1" ht="17" customHeight="1">
      <c r="A24089" s="234"/>
      <c r="B24089" s="233"/>
      <c r="C24089" s="238"/>
      <c r="E24089" s="545"/>
      <c r="F24089" s="546"/>
      <c r="G24089" s="234"/>
      <c r="H24089" s="238"/>
      <c r="I24089" s="237"/>
    </row>
    <row r="24090" spans="1:9" s="232" customFormat="1" ht="17" customHeight="1">
      <c r="A24090" s="234"/>
      <c r="B24090" s="233"/>
      <c r="C24090" s="238"/>
      <c r="E24090" s="545"/>
      <c r="F24090" s="546"/>
      <c r="G24090" s="234"/>
      <c r="H24090" s="238"/>
      <c r="I24090" s="237"/>
    </row>
    <row r="24091" spans="1:9" s="232" customFormat="1" ht="17" customHeight="1">
      <c r="A24091" s="234"/>
      <c r="B24091" s="233"/>
      <c r="C24091" s="238"/>
      <c r="E24091" s="545"/>
      <c r="F24091" s="546"/>
      <c r="G24091" s="234"/>
      <c r="H24091" s="238"/>
      <c r="I24091" s="237"/>
    </row>
    <row r="24092" spans="1:9" s="232" customFormat="1" ht="17" customHeight="1">
      <c r="A24092" s="234"/>
      <c r="B24092" s="233"/>
      <c r="C24092" s="238"/>
      <c r="E24092" s="545"/>
      <c r="F24092" s="546"/>
      <c r="G24092" s="234"/>
      <c r="H24092" s="238"/>
      <c r="I24092" s="237"/>
    </row>
    <row r="24093" spans="1:9" s="232" customFormat="1" ht="17" customHeight="1">
      <c r="A24093" s="234"/>
      <c r="B24093" s="233"/>
      <c r="C24093" s="238"/>
      <c r="E24093" s="545"/>
      <c r="F24093" s="546"/>
      <c r="G24093" s="234"/>
      <c r="H24093" s="238"/>
      <c r="I24093" s="237"/>
    </row>
    <row r="24094" spans="1:9" s="232" customFormat="1" ht="17" customHeight="1">
      <c r="A24094" s="234"/>
      <c r="B24094" s="233"/>
      <c r="C24094" s="238"/>
      <c r="E24094" s="545"/>
      <c r="F24094" s="546"/>
      <c r="G24094" s="234"/>
      <c r="H24094" s="238"/>
      <c r="I24094" s="237"/>
    </row>
    <row r="24095" spans="1:9" s="232" customFormat="1" ht="17" customHeight="1">
      <c r="A24095" s="234"/>
      <c r="B24095" s="233"/>
      <c r="C24095" s="238"/>
      <c r="E24095" s="545"/>
      <c r="F24095" s="546"/>
      <c r="G24095" s="234"/>
      <c r="H24095" s="238"/>
      <c r="I24095" s="237"/>
    </row>
    <row r="24096" spans="1:9" s="232" customFormat="1" ht="17" customHeight="1">
      <c r="A24096" s="234"/>
      <c r="B24096" s="233"/>
      <c r="C24096" s="238"/>
      <c r="E24096" s="545"/>
      <c r="F24096" s="546"/>
      <c r="G24096" s="234"/>
      <c r="H24096" s="238"/>
      <c r="I24096" s="237"/>
    </row>
    <row r="24097" spans="1:9" s="232" customFormat="1" ht="17" customHeight="1">
      <c r="A24097" s="234"/>
      <c r="B24097" s="233"/>
      <c r="C24097" s="238"/>
      <c r="E24097" s="545"/>
      <c r="F24097" s="546"/>
      <c r="G24097" s="234"/>
      <c r="H24097" s="238"/>
      <c r="I24097" s="237"/>
    </row>
    <row r="24098" spans="1:9" s="232" customFormat="1" ht="17" customHeight="1">
      <c r="A24098" s="234"/>
      <c r="B24098" s="233"/>
      <c r="C24098" s="238"/>
      <c r="E24098" s="545"/>
      <c r="F24098" s="546"/>
      <c r="G24098" s="234"/>
      <c r="H24098" s="238"/>
      <c r="I24098" s="237"/>
    </row>
    <row r="24099" spans="1:9" s="232" customFormat="1" ht="17" customHeight="1">
      <c r="A24099" s="234"/>
      <c r="B24099" s="233"/>
      <c r="C24099" s="238"/>
      <c r="E24099" s="545"/>
      <c r="F24099" s="546"/>
      <c r="G24099" s="234"/>
      <c r="H24099" s="238"/>
      <c r="I24099" s="237"/>
    </row>
    <row r="24100" spans="1:9" s="232" customFormat="1" ht="17" customHeight="1">
      <c r="A24100" s="234"/>
      <c r="B24100" s="233"/>
      <c r="C24100" s="238"/>
      <c r="E24100" s="545"/>
      <c r="F24100" s="546"/>
      <c r="G24100" s="234"/>
      <c r="H24100" s="238"/>
      <c r="I24100" s="237"/>
    </row>
    <row r="24101" spans="1:9" s="232" customFormat="1" ht="17" customHeight="1">
      <c r="A24101" s="234"/>
      <c r="B24101" s="233"/>
      <c r="C24101" s="238"/>
      <c r="E24101" s="545"/>
      <c r="F24101" s="546"/>
      <c r="G24101" s="234"/>
      <c r="H24101" s="238"/>
      <c r="I24101" s="237"/>
    </row>
    <row r="24102" spans="1:9" s="232" customFormat="1" ht="17" customHeight="1">
      <c r="A24102" s="234"/>
      <c r="B24102" s="233"/>
      <c r="C24102" s="238"/>
      <c r="E24102" s="545"/>
      <c r="F24102" s="546"/>
      <c r="G24102" s="234"/>
      <c r="H24102" s="238"/>
      <c r="I24102" s="237"/>
    </row>
    <row r="24103" spans="1:9" s="232" customFormat="1" ht="17" customHeight="1">
      <c r="A24103" s="234"/>
      <c r="B24103" s="233"/>
      <c r="C24103" s="238"/>
      <c r="E24103" s="545"/>
      <c r="F24103" s="546"/>
      <c r="G24103" s="234"/>
      <c r="H24103" s="238"/>
      <c r="I24103" s="237"/>
    </row>
    <row r="24104" spans="1:9" s="232" customFormat="1" ht="17" customHeight="1">
      <c r="A24104" s="234"/>
      <c r="B24104" s="233"/>
      <c r="C24104" s="238"/>
      <c r="E24104" s="545"/>
      <c r="F24104" s="546"/>
      <c r="G24104" s="234"/>
      <c r="H24104" s="238"/>
      <c r="I24104" s="237"/>
    </row>
    <row r="24105" spans="1:9" s="232" customFormat="1" ht="17" customHeight="1">
      <c r="A24105" s="234"/>
      <c r="B24105" s="233"/>
      <c r="C24105" s="238"/>
      <c r="E24105" s="545"/>
      <c r="F24105" s="546"/>
      <c r="G24105" s="234"/>
      <c r="H24105" s="238"/>
      <c r="I24105" s="237"/>
    </row>
    <row r="24106" spans="1:9" s="232" customFormat="1" ht="17" customHeight="1">
      <c r="A24106" s="234"/>
      <c r="B24106" s="233"/>
      <c r="C24106" s="238"/>
      <c r="E24106" s="545"/>
      <c r="F24106" s="546"/>
      <c r="G24106" s="234"/>
      <c r="H24106" s="238"/>
      <c r="I24106" s="237"/>
    </row>
    <row r="24107" spans="1:9" s="232" customFormat="1" ht="17" customHeight="1">
      <c r="A24107" s="234"/>
      <c r="B24107" s="233"/>
      <c r="C24107" s="238"/>
      <c r="E24107" s="545"/>
      <c r="F24107" s="546"/>
      <c r="G24107" s="234"/>
      <c r="H24107" s="238"/>
      <c r="I24107" s="237"/>
    </row>
    <row r="24108" spans="1:9" s="232" customFormat="1" ht="17" customHeight="1">
      <c r="A24108" s="234"/>
      <c r="B24108" s="233"/>
      <c r="C24108" s="238"/>
      <c r="E24108" s="545"/>
      <c r="F24108" s="546"/>
      <c r="G24108" s="234"/>
      <c r="H24108" s="238"/>
      <c r="I24108" s="237"/>
    </row>
    <row r="24109" spans="1:9" s="232" customFormat="1" ht="17" customHeight="1">
      <c r="A24109" s="234"/>
      <c r="B24109" s="233"/>
      <c r="C24109" s="238"/>
      <c r="E24109" s="545"/>
      <c r="F24109" s="546"/>
      <c r="G24109" s="234"/>
      <c r="H24109" s="238"/>
      <c r="I24109" s="237"/>
    </row>
    <row r="24110" spans="1:9" s="232" customFormat="1" ht="17" customHeight="1">
      <c r="A24110" s="234"/>
      <c r="B24110" s="233"/>
      <c r="C24110" s="238"/>
      <c r="E24110" s="545"/>
      <c r="F24110" s="546"/>
      <c r="G24110" s="234"/>
      <c r="H24110" s="238"/>
      <c r="I24110" s="237"/>
    </row>
    <row r="24111" spans="1:9" s="232" customFormat="1" ht="17" customHeight="1">
      <c r="A24111" s="234"/>
      <c r="B24111" s="233"/>
      <c r="C24111" s="238"/>
      <c r="E24111" s="545"/>
      <c r="F24111" s="546"/>
      <c r="G24111" s="234"/>
      <c r="H24111" s="238"/>
      <c r="I24111" s="237"/>
    </row>
    <row r="24112" spans="1:9" s="232" customFormat="1" ht="17" customHeight="1">
      <c r="A24112" s="234"/>
      <c r="B24112" s="233"/>
      <c r="C24112" s="238"/>
      <c r="E24112" s="545"/>
      <c r="F24112" s="546"/>
      <c r="G24112" s="234"/>
      <c r="H24112" s="238"/>
      <c r="I24112" s="237"/>
    </row>
    <row r="24113" spans="1:9" s="232" customFormat="1" ht="17" customHeight="1">
      <c r="A24113" s="234"/>
      <c r="B24113" s="233"/>
      <c r="C24113" s="238"/>
      <c r="E24113" s="545"/>
      <c r="F24113" s="546"/>
      <c r="G24113" s="234"/>
      <c r="H24113" s="238"/>
      <c r="I24113" s="237"/>
    </row>
    <row r="24114" spans="1:9" s="232" customFormat="1" ht="17" customHeight="1">
      <c r="A24114" s="234"/>
      <c r="B24114" s="233"/>
      <c r="C24114" s="238"/>
      <c r="E24114" s="545"/>
      <c r="F24114" s="546"/>
      <c r="G24114" s="234"/>
      <c r="H24114" s="238"/>
      <c r="I24114" s="237"/>
    </row>
    <row r="24115" spans="1:9" s="232" customFormat="1" ht="17" customHeight="1">
      <c r="A24115" s="234"/>
      <c r="B24115" s="233"/>
      <c r="C24115" s="238"/>
      <c r="E24115" s="545"/>
      <c r="F24115" s="546"/>
      <c r="G24115" s="234"/>
      <c r="H24115" s="238"/>
      <c r="I24115" s="237"/>
    </row>
    <row r="24116" spans="1:9" s="232" customFormat="1" ht="17" customHeight="1">
      <c r="A24116" s="234"/>
      <c r="B24116" s="233"/>
      <c r="C24116" s="238"/>
      <c r="E24116" s="545"/>
      <c r="F24116" s="546"/>
      <c r="G24116" s="234"/>
      <c r="H24116" s="238"/>
      <c r="I24116" s="237"/>
    </row>
    <row r="24117" spans="1:9" s="232" customFormat="1" ht="17" customHeight="1">
      <c r="A24117" s="234"/>
      <c r="B24117" s="233"/>
      <c r="C24117" s="238"/>
      <c r="E24117" s="545"/>
      <c r="F24117" s="546"/>
      <c r="G24117" s="234"/>
      <c r="H24117" s="238"/>
      <c r="I24117" s="237"/>
    </row>
    <row r="24118" spans="1:9" s="232" customFormat="1" ht="17" customHeight="1">
      <c r="A24118" s="234"/>
      <c r="B24118" s="233"/>
      <c r="C24118" s="238"/>
      <c r="E24118" s="545"/>
      <c r="F24118" s="546"/>
      <c r="G24118" s="234"/>
      <c r="H24118" s="238"/>
      <c r="I24118" s="237"/>
    </row>
    <row r="24119" spans="1:9" s="232" customFormat="1" ht="17" customHeight="1">
      <c r="A24119" s="234"/>
      <c r="B24119" s="233"/>
      <c r="C24119" s="238"/>
      <c r="E24119" s="545"/>
      <c r="F24119" s="546"/>
      <c r="G24119" s="234"/>
      <c r="H24119" s="238"/>
      <c r="I24119" s="237"/>
    </row>
    <row r="24120" spans="1:9" s="232" customFormat="1" ht="17" customHeight="1">
      <c r="A24120" s="234"/>
      <c r="B24120" s="233"/>
      <c r="C24120" s="238"/>
      <c r="E24120" s="545"/>
      <c r="F24120" s="546"/>
      <c r="G24120" s="234"/>
      <c r="H24120" s="238"/>
      <c r="I24120" s="237"/>
    </row>
    <row r="24121" spans="1:9" s="232" customFormat="1" ht="17" customHeight="1">
      <c r="A24121" s="234"/>
      <c r="B24121" s="233"/>
      <c r="C24121" s="238"/>
      <c r="E24121" s="545"/>
      <c r="F24121" s="546"/>
      <c r="G24121" s="234"/>
      <c r="H24121" s="238"/>
      <c r="I24121" s="237"/>
    </row>
    <row r="24122" spans="1:9" s="232" customFormat="1" ht="17" customHeight="1">
      <c r="A24122" s="234"/>
      <c r="B24122" s="233"/>
      <c r="C24122" s="238"/>
      <c r="E24122" s="545"/>
      <c r="F24122" s="546"/>
      <c r="G24122" s="234"/>
      <c r="H24122" s="238"/>
      <c r="I24122" s="237"/>
    </row>
    <row r="24123" spans="1:9" s="232" customFormat="1" ht="17" customHeight="1">
      <c r="A24123" s="234"/>
      <c r="B24123" s="233"/>
      <c r="C24123" s="238"/>
      <c r="E24123" s="545"/>
      <c r="F24123" s="546"/>
      <c r="G24123" s="234"/>
      <c r="H24123" s="238"/>
      <c r="I24123" s="237"/>
    </row>
    <row r="24124" spans="1:9" s="232" customFormat="1" ht="17" customHeight="1">
      <c r="A24124" s="234"/>
      <c r="B24124" s="233"/>
      <c r="C24124" s="238"/>
      <c r="E24124" s="545"/>
      <c r="F24124" s="546"/>
      <c r="G24124" s="234"/>
      <c r="H24124" s="238"/>
      <c r="I24124" s="237"/>
    </row>
    <row r="24125" spans="1:9" s="232" customFormat="1" ht="17" customHeight="1">
      <c r="A24125" s="234"/>
      <c r="B24125" s="233"/>
      <c r="C24125" s="238"/>
      <c r="E24125" s="545"/>
      <c r="F24125" s="546"/>
      <c r="G24125" s="234"/>
      <c r="H24125" s="238"/>
      <c r="I24125" s="237"/>
    </row>
    <row r="24126" spans="1:9" s="232" customFormat="1" ht="17" customHeight="1">
      <c r="A24126" s="234"/>
      <c r="B24126" s="233"/>
      <c r="C24126" s="238"/>
      <c r="E24126" s="545"/>
      <c r="F24126" s="546"/>
      <c r="G24126" s="234"/>
      <c r="H24126" s="238"/>
      <c r="I24126" s="237"/>
    </row>
    <row r="24127" spans="1:9" s="232" customFormat="1" ht="17" customHeight="1">
      <c r="A24127" s="234"/>
      <c r="B24127" s="233"/>
      <c r="C24127" s="238"/>
      <c r="E24127" s="545"/>
      <c r="F24127" s="546"/>
      <c r="G24127" s="234"/>
      <c r="H24127" s="238"/>
      <c r="I24127" s="237"/>
    </row>
    <row r="24128" spans="1:9" s="232" customFormat="1" ht="17" customHeight="1">
      <c r="A24128" s="234"/>
      <c r="B24128" s="233"/>
      <c r="C24128" s="238"/>
      <c r="E24128" s="545"/>
      <c r="F24128" s="546"/>
      <c r="G24128" s="234"/>
      <c r="H24128" s="238"/>
      <c r="I24128" s="237"/>
    </row>
    <row r="24129" spans="1:9" s="232" customFormat="1" ht="17" customHeight="1">
      <c r="A24129" s="234"/>
      <c r="B24129" s="233"/>
      <c r="C24129" s="238"/>
      <c r="E24129" s="545"/>
      <c r="F24129" s="546"/>
      <c r="G24129" s="234"/>
      <c r="H24129" s="238"/>
      <c r="I24129" s="237"/>
    </row>
    <row r="24130" spans="1:9" s="232" customFormat="1" ht="17" customHeight="1">
      <c r="A24130" s="234"/>
      <c r="B24130" s="233"/>
      <c r="C24130" s="238"/>
      <c r="E24130" s="545"/>
      <c r="F24130" s="546"/>
      <c r="G24130" s="234"/>
      <c r="H24130" s="238"/>
      <c r="I24130" s="237"/>
    </row>
    <row r="24131" spans="1:9" s="232" customFormat="1" ht="17" customHeight="1">
      <c r="A24131" s="234"/>
      <c r="B24131" s="233"/>
      <c r="C24131" s="238"/>
      <c r="E24131" s="545"/>
      <c r="F24131" s="546"/>
      <c r="G24131" s="234"/>
      <c r="H24131" s="238"/>
      <c r="I24131" s="237"/>
    </row>
    <row r="24132" spans="1:9" s="232" customFormat="1" ht="17" customHeight="1">
      <c r="A24132" s="234"/>
      <c r="B24132" s="233"/>
      <c r="C24132" s="238"/>
      <c r="E24132" s="545"/>
      <c r="F24132" s="546"/>
      <c r="G24132" s="234"/>
      <c r="H24132" s="238"/>
      <c r="I24132" s="237"/>
    </row>
    <row r="24133" spans="1:9" s="232" customFormat="1" ht="17" customHeight="1">
      <c r="A24133" s="234"/>
      <c r="B24133" s="233"/>
      <c r="C24133" s="238"/>
      <c r="E24133" s="545"/>
      <c r="F24133" s="546"/>
      <c r="G24133" s="234"/>
      <c r="H24133" s="238"/>
      <c r="I24133" s="237"/>
    </row>
    <row r="24134" spans="1:9" s="232" customFormat="1" ht="17" customHeight="1">
      <c r="A24134" s="234"/>
      <c r="B24134" s="233"/>
      <c r="C24134" s="238"/>
      <c r="E24134" s="545"/>
      <c r="F24134" s="546"/>
      <c r="G24134" s="234"/>
      <c r="H24134" s="238"/>
      <c r="I24134" s="237"/>
    </row>
    <row r="24135" spans="1:9" s="232" customFormat="1" ht="17" customHeight="1">
      <c r="A24135" s="234"/>
      <c r="B24135" s="233"/>
      <c r="C24135" s="238"/>
      <c r="E24135" s="545"/>
      <c r="F24135" s="546"/>
      <c r="G24135" s="234"/>
      <c r="H24135" s="238"/>
      <c r="I24135" s="237"/>
    </row>
    <row r="24136" spans="1:9" s="232" customFormat="1" ht="17" customHeight="1">
      <c r="A24136" s="234"/>
      <c r="B24136" s="233"/>
      <c r="C24136" s="238"/>
      <c r="E24136" s="545"/>
      <c r="F24136" s="546"/>
      <c r="G24136" s="234"/>
      <c r="H24136" s="238"/>
      <c r="I24136" s="237"/>
    </row>
    <row r="24137" spans="1:9" s="232" customFormat="1" ht="17" customHeight="1">
      <c r="A24137" s="234"/>
      <c r="B24137" s="233"/>
      <c r="C24137" s="238"/>
      <c r="E24137" s="545"/>
      <c r="F24137" s="546"/>
      <c r="G24137" s="234"/>
      <c r="H24137" s="238"/>
      <c r="I24137" s="237"/>
    </row>
    <row r="24138" spans="1:9" s="232" customFormat="1" ht="17" customHeight="1">
      <c r="A24138" s="234"/>
      <c r="B24138" s="233"/>
      <c r="C24138" s="238"/>
      <c r="E24138" s="545"/>
      <c r="F24138" s="546"/>
      <c r="G24138" s="234"/>
      <c r="H24138" s="238"/>
      <c r="I24138" s="237"/>
    </row>
    <row r="24139" spans="1:9" s="232" customFormat="1" ht="17" customHeight="1">
      <c r="A24139" s="234"/>
      <c r="B24139" s="233"/>
      <c r="C24139" s="238"/>
      <c r="E24139" s="545"/>
      <c r="F24139" s="546"/>
      <c r="G24139" s="234"/>
      <c r="H24139" s="238"/>
      <c r="I24139" s="237"/>
    </row>
    <row r="24140" spans="1:9" s="232" customFormat="1" ht="17" customHeight="1">
      <c r="A24140" s="234"/>
      <c r="B24140" s="233"/>
      <c r="C24140" s="238"/>
      <c r="E24140" s="545"/>
      <c r="F24140" s="546"/>
      <c r="G24140" s="234"/>
      <c r="H24140" s="238"/>
      <c r="I24140" s="237"/>
    </row>
    <row r="24141" spans="1:9" s="232" customFormat="1" ht="17" customHeight="1">
      <c r="A24141" s="234"/>
      <c r="B24141" s="233"/>
      <c r="C24141" s="238"/>
      <c r="E24141" s="545"/>
      <c r="F24141" s="546"/>
      <c r="G24141" s="234"/>
      <c r="H24141" s="238"/>
      <c r="I24141" s="237"/>
    </row>
    <row r="24142" spans="1:9" s="232" customFormat="1" ht="17" customHeight="1">
      <c r="A24142" s="234"/>
      <c r="B24142" s="233"/>
      <c r="C24142" s="238"/>
      <c r="E24142" s="545"/>
      <c r="F24142" s="546"/>
      <c r="G24142" s="234"/>
      <c r="H24142" s="238"/>
      <c r="I24142" s="237"/>
    </row>
    <row r="24143" spans="1:9" s="232" customFormat="1" ht="17" customHeight="1">
      <c r="A24143" s="234"/>
      <c r="B24143" s="233"/>
      <c r="C24143" s="238"/>
      <c r="E24143" s="545"/>
      <c r="F24143" s="546"/>
      <c r="G24143" s="234"/>
      <c r="H24143" s="238"/>
      <c r="I24143" s="237"/>
    </row>
    <row r="24144" spans="1:9" s="232" customFormat="1" ht="17" customHeight="1">
      <c r="A24144" s="234"/>
      <c r="B24144" s="233"/>
      <c r="C24144" s="238"/>
      <c r="E24144" s="545"/>
      <c r="F24144" s="546"/>
      <c r="G24144" s="234"/>
      <c r="H24144" s="238"/>
      <c r="I24144" s="237"/>
    </row>
    <row r="24145" spans="1:9" s="232" customFormat="1" ht="17" customHeight="1">
      <c r="A24145" s="234"/>
      <c r="B24145" s="233"/>
      <c r="C24145" s="238"/>
      <c r="E24145" s="545"/>
      <c r="F24145" s="546"/>
      <c r="G24145" s="234"/>
      <c r="H24145" s="238"/>
      <c r="I24145" s="237"/>
    </row>
    <row r="24146" spans="1:9" s="232" customFormat="1" ht="17" customHeight="1">
      <c r="A24146" s="234"/>
      <c r="B24146" s="233"/>
      <c r="C24146" s="238"/>
      <c r="E24146" s="545"/>
      <c r="F24146" s="546"/>
      <c r="G24146" s="234"/>
      <c r="H24146" s="238"/>
      <c r="I24146" s="237"/>
    </row>
    <row r="24147" spans="1:9" s="232" customFormat="1" ht="17" customHeight="1">
      <c r="A24147" s="234"/>
      <c r="B24147" s="233"/>
      <c r="C24147" s="238"/>
      <c r="E24147" s="545"/>
      <c r="F24147" s="546"/>
      <c r="G24147" s="234"/>
      <c r="H24147" s="238"/>
      <c r="I24147" s="237"/>
    </row>
    <row r="24148" spans="1:9" s="232" customFormat="1" ht="17" customHeight="1">
      <c r="A24148" s="234"/>
      <c r="B24148" s="233"/>
      <c r="C24148" s="238"/>
      <c r="E24148" s="545"/>
      <c r="F24148" s="546"/>
      <c r="G24148" s="234"/>
      <c r="H24148" s="238"/>
      <c r="I24148" s="237"/>
    </row>
    <row r="24149" spans="1:9" s="232" customFormat="1" ht="17" customHeight="1">
      <c r="A24149" s="234"/>
      <c r="B24149" s="233"/>
      <c r="C24149" s="238"/>
      <c r="E24149" s="545"/>
      <c r="F24149" s="546"/>
      <c r="G24149" s="234"/>
      <c r="H24149" s="238"/>
      <c r="I24149" s="237"/>
    </row>
    <row r="24150" spans="1:9" s="232" customFormat="1" ht="17" customHeight="1">
      <c r="A24150" s="234"/>
      <c r="B24150" s="233"/>
      <c r="C24150" s="238"/>
      <c r="E24150" s="545"/>
      <c r="F24150" s="546"/>
      <c r="G24150" s="234"/>
      <c r="H24150" s="238"/>
      <c r="I24150" s="237"/>
    </row>
    <row r="24151" spans="1:9" s="232" customFormat="1" ht="17" customHeight="1">
      <c r="A24151" s="234"/>
      <c r="B24151" s="233"/>
      <c r="C24151" s="238"/>
      <c r="E24151" s="545"/>
      <c r="F24151" s="546"/>
      <c r="G24151" s="234"/>
      <c r="H24151" s="238"/>
      <c r="I24151" s="237"/>
    </row>
    <row r="24152" spans="1:9" s="232" customFormat="1" ht="17" customHeight="1">
      <c r="A24152" s="234"/>
      <c r="B24152" s="233"/>
      <c r="C24152" s="238"/>
      <c r="E24152" s="545"/>
      <c r="F24152" s="546"/>
      <c r="G24152" s="234"/>
      <c r="H24152" s="238"/>
      <c r="I24152" s="237"/>
    </row>
    <row r="24153" spans="1:9" s="232" customFormat="1" ht="17" customHeight="1">
      <c r="A24153" s="234"/>
      <c r="B24153" s="233"/>
      <c r="C24153" s="238"/>
      <c r="E24153" s="545"/>
      <c r="F24153" s="546"/>
      <c r="G24153" s="234"/>
      <c r="H24153" s="238"/>
      <c r="I24153" s="237"/>
    </row>
    <row r="24154" spans="1:9" s="232" customFormat="1" ht="17" customHeight="1">
      <c r="A24154" s="234"/>
      <c r="B24154" s="233"/>
      <c r="C24154" s="238"/>
      <c r="E24154" s="545"/>
      <c r="F24154" s="546"/>
      <c r="G24154" s="234"/>
      <c r="H24154" s="238"/>
      <c r="I24154" s="237"/>
    </row>
    <row r="24155" spans="1:9" s="232" customFormat="1" ht="17" customHeight="1">
      <c r="A24155" s="234"/>
      <c r="B24155" s="233"/>
      <c r="C24155" s="238"/>
      <c r="E24155" s="545"/>
      <c r="F24155" s="546"/>
      <c r="G24155" s="234"/>
      <c r="H24155" s="238"/>
      <c r="I24155" s="237"/>
    </row>
    <row r="24156" spans="1:9" s="232" customFormat="1" ht="17" customHeight="1">
      <c r="A24156" s="234"/>
      <c r="B24156" s="233"/>
      <c r="C24156" s="238"/>
      <c r="E24156" s="545"/>
      <c r="F24156" s="546"/>
      <c r="G24156" s="234"/>
      <c r="H24156" s="238"/>
      <c r="I24156" s="237"/>
    </row>
    <row r="24157" spans="1:9" s="232" customFormat="1" ht="17" customHeight="1">
      <c r="A24157" s="234"/>
      <c r="B24157" s="233"/>
      <c r="C24157" s="238"/>
      <c r="E24157" s="545"/>
      <c r="F24157" s="546"/>
      <c r="G24157" s="234"/>
      <c r="H24157" s="238"/>
      <c r="I24157" s="237"/>
    </row>
    <row r="24158" spans="1:9" s="232" customFormat="1" ht="17" customHeight="1">
      <c r="A24158" s="234"/>
      <c r="B24158" s="233"/>
      <c r="C24158" s="238"/>
      <c r="E24158" s="545"/>
      <c r="F24158" s="546"/>
      <c r="G24158" s="234"/>
      <c r="H24158" s="238"/>
      <c r="I24158" s="237"/>
    </row>
    <row r="24159" spans="1:9" s="232" customFormat="1" ht="17" customHeight="1">
      <c r="A24159" s="234"/>
      <c r="B24159" s="233"/>
      <c r="C24159" s="238"/>
      <c r="E24159" s="545"/>
      <c r="F24159" s="546"/>
      <c r="G24159" s="234"/>
      <c r="H24159" s="238"/>
      <c r="I24159" s="237"/>
    </row>
    <row r="24160" spans="1:9" s="232" customFormat="1" ht="17" customHeight="1">
      <c r="A24160" s="234"/>
      <c r="B24160" s="233"/>
      <c r="C24160" s="238"/>
      <c r="E24160" s="545"/>
      <c r="F24160" s="546"/>
      <c r="G24160" s="234"/>
      <c r="H24160" s="238"/>
      <c r="I24160" s="237"/>
    </row>
    <row r="24161" spans="1:9" s="232" customFormat="1" ht="17" customHeight="1">
      <c r="A24161" s="234"/>
      <c r="B24161" s="233"/>
      <c r="C24161" s="238"/>
      <c r="E24161" s="545"/>
      <c r="F24161" s="546"/>
      <c r="G24161" s="234"/>
      <c r="H24161" s="238"/>
      <c r="I24161" s="237"/>
    </row>
    <row r="24162" spans="1:9" s="232" customFormat="1" ht="17" customHeight="1">
      <c r="A24162" s="234"/>
      <c r="B24162" s="233"/>
      <c r="C24162" s="238"/>
      <c r="E24162" s="545"/>
      <c r="F24162" s="546"/>
      <c r="G24162" s="234"/>
      <c r="H24162" s="238"/>
      <c r="I24162" s="237"/>
    </row>
    <row r="24163" spans="1:9" s="232" customFormat="1" ht="17" customHeight="1">
      <c r="A24163" s="234"/>
      <c r="B24163" s="233"/>
      <c r="C24163" s="238"/>
      <c r="E24163" s="545"/>
      <c r="F24163" s="546"/>
      <c r="G24163" s="234"/>
      <c r="H24163" s="238"/>
      <c r="I24163" s="237"/>
    </row>
    <row r="24164" spans="1:9" s="232" customFormat="1" ht="17" customHeight="1">
      <c r="A24164" s="234"/>
      <c r="B24164" s="233"/>
      <c r="C24164" s="238"/>
      <c r="E24164" s="545"/>
      <c r="F24164" s="546"/>
      <c r="G24164" s="234"/>
      <c r="H24164" s="238"/>
      <c r="I24164" s="237"/>
    </row>
    <row r="24165" spans="1:9" s="232" customFormat="1" ht="17" customHeight="1">
      <c r="A24165" s="234"/>
      <c r="B24165" s="233"/>
      <c r="C24165" s="238"/>
      <c r="E24165" s="545"/>
      <c r="F24165" s="546"/>
      <c r="G24165" s="234"/>
      <c r="H24165" s="238"/>
      <c r="I24165" s="237"/>
    </row>
    <row r="24166" spans="1:9" s="232" customFormat="1" ht="17" customHeight="1">
      <c r="A24166" s="234"/>
      <c r="B24166" s="233"/>
      <c r="C24166" s="238"/>
      <c r="E24166" s="545"/>
      <c r="F24166" s="546"/>
      <c r="G24166" s="234"/>
      <c r="H24166" s="238"/>
      <c r="I24166" s="237"/>
    </row>
    <row r="24167" spans="1:9" s="232" customFormat="1" ht="17" customHeight="1">
      <c r="A24167" s="234"/>
      <c r="B24167" s="233"/>
      <c r="C24167" s="238"/>
      <c r="E24167" s="545"/>
      <c r="F24167" s="546"/>
      <c r="G24167" s="234"/>
      <c r="H24167" s="238"/>
      <c r="I24167" s="237"/>
    </row>
    <row r="24168" spans="1:9" s="232" customFormat="1" ht="17" customHeight="1">
      <c r="A24168" s="234"/>
      <c r="B24168" s="233"/>
      <c r="C24168" s="238"/>
      <c r="E24168" s="545"/>
      <c r="F24168" s="546"/>
      <c r="G24168" s="234"/>
      <c r="H24168" s="238"/>
      <c r="I24168" s="237"/>
    </row>
    <row r="24169" spans="1:9" s="232" customFormat="1" ht="17" customHeight="1">
      <c r="A24169" s="234"/>
      <c r="B24169" s="233"/>
      <c r="C24169" s="238"/>
      <c r="E24169" s="545"/>
      <c r="F24169" s="546"/>
      <c r="G24169" s="234"/>
      <c r="H24169" s="238"/>
      <c r="I24169" s="237"/>
    </row>
    <row r="24170" spans="1:9" s="232" customFormat="1" ht="17" customHeight="1">
      <c r="A24170" s="234"/>
      <c r="B24170" s="233"/>
      <c r="C24170" s="238"/>
      <c r="E24170" s="545"/>
      <c r="F24170" s="546"/>
      <c r="G24170" s="234"/>
      <c r="H24170" s="238"/>
      <c r="I24170" s="237"/>
    </row>
    <row r="24171" spans="1:9" s="232" customFormat="1" ht="17" customHeight="1">
      <c r="A24171" s="234"/>
      <c r="B24171" s="233"/>
      <c r="C24171" s="238"/>
      <c r="E24171" s="545"/>
      <c r="F24171" s="546"/>
      <c r="G24171" s="234"/>
      <c r="H24171" s="238"/>
      <c r="I24171" s="237"/>
    </row>
    <row r="24172" spans="1:9" s="232" customFormat="1" ht="17" customHeight="1">
      <c r="A24172" s="234"/>
      <c r="B24172" s="233"/>
      <c r="C24172" s="238"/>
      <c r="E24172" s="545"/>
      <c r="F24172" s="546"/>
      <c r="G24172" s="234"/>
      <c r="H24172" s="238"/>
      <c r="I24172" s="237"/>
    </row>
    <row r="24173" spans="1:9" s="232" customFormat="1" ht="17" customHeight="1">
      <c r="A24173" s="234"/>
      <c r="B24173" s="233"/>
      <c r="C24173" s="238"/>
      <c r="E24173" s="545"/>
      <c r="F24173" s="546"/>
      <c r="G24173" s="234"/>
      <c r="H24173" s="238"/>
      <c r="I24173" s="237"/>
    </row>
    <row r="24174" spans="1:9" s="232" customFormat="1" ht="17" customHeight="1">
      <c r="A24174" s="234"/>
      <c r="B24174" s="233"/>
      <c r="C24174" s="238"/>
      <c r="E24174" s="545"/>
      <c r="F24174" s="546"/>
      <c r="G24174" s="234"/>
      <c r="H24174" s="238"/>
      <c r="I24174" s="237"/>
    </row>
    <row r="24175" spans="1:9" s="232" customFormat="1" ht="17" customHeight="1">
      <c r="A24175" s="234"/>
      <c r="B24175" s="233"/>
      <c r="C24175" s="238"/>
      <c r="E24175" s="545"/>
      <c r="F24175" s="546"/>
      <c r="G24175" s="234"/>
      <c r="H24175" s="238"/>
      <c r="I24175" s="237"/>
    </row>
    <row r="24176" spans="1:9" s="232" customFormat="1" ht="17" customHeight="1">
      <c r="A24176" s="234"/>
      <c r="B24176" s="233"/>
      <c r="C24176" s="238"/>
      <c r="E24176" s="545"/>
      <c r="F24176" s="546"/>
      <c r="G24176" s="234"/>
      <c r="H24176" s="238"/>
      <c r="I24176" s="237"/>
    </row>
    <row r="24177" spans="1:9" s="232" customFormat="1" ht="17" customHeight="1">
      <c r="A24177" s="234"/>
      <c r="B24177" s="233"/>
      <c r="C24177" s="238"/>
      <c r="E24177" s="545"/>
      <c r="F24177" s="546"/>
      <c r="G24177" s="234"/>
      <c r="H24177" s="238"/>
      <c r="I24177" s="237"/>
    </row>
    <row r="24178" spans="1:9" s="232" customFormat="1" ht="17" customHeight="1">
      <c r="A24178" s="234"/>
      <c r="B24178" s="233"/>
      <c r="C24178" s="238"/>
      <c r="E24178" s="545"/>
      <c r="F24178" s="546"/>
      <c r="G24178" s="234"/>
      <c r="H24178" s="238"/>
      <c r="I24178" s="237"/>
    </row>
    <row r="24179" spans="1:9" s="232" customFormat="1" ht="17" customHeight="1">
      <c r="A24179" s="234"/>
      <c r="B24179" s="233"/>
      <c r="C24179" s="238"/>
      <c r="E24179" s="545"/>
      <c r="F24179" s="546"/>
      <c r="G24179" s="234"/>
      <c r="H24179" s="238"/>
      <c r="I24179" s="237"/>
    </row>
    <row r="24180" spans="1:9" s="232" customFormat="1" ht="17" customHeight="1">
      <c r="A24180" s="234"/>
      <c r="B24180" s="233"/>
      <c r="C24180" s="238"/>
      <c r="E24180" s="545"/>
      <c r="F24180" s="546"/>
      <c r="G24180" s="234"/>
      <c r="H24180" s="238"/>
      <c r="I24180" s="237"/>
    </row>
    <row r="24181" spans="1:9" s="232" customFormat="1" ht="17" customHeight="1">
      <c r="A24181" s="234"/>
      <c r="B24181" s="233"/>
      <c r="C24181" s="238"/>
      <c r="E24181" s="545"/>
      <c r="F24181" s="546"/>
      <c r="G24181" s="234"/>
      <c r="H24181" s="238"/>
      <c r="I24181" s="237"/>
    </row>
    <row r="24182" spans="1:9" s="232" customFormat="1" ht="17" customHeight="1">
      <c r="A24182" s="234"/>
      <c r="B24182" s="233"/>
      <c r="C24182" s="238"/>
      <c r="E24182" s="545"/>
      <c r="F24182" s="546"/>
      <c r="G24182" s="234"/>
      <c r="H24182" s="238"/>
      <c r="I24182" s="237"/>
    </row>
    <row r="24183" spans="1:9" s="232" customFormat="1" ht="17" customHeight="1">
      <c r="A24183" s="234"/>
      <c r="B24183" s="233"/>
      <c r="C24183" s="238"/>
      <c r="E24183" s="545"/>
      <c r="F24183" s="546"/>
      <c r="G24183" s="234"/>
      <c r="H24183" s="238"/>
      <c r="I24183" s="237"/>
    </row>
    <row r="24184" spans="1:9" s="232" customFormat="1" ht="17" customHeight="1">
      <c r="A24184" s="234"/>
      <c r="B24184" s="233"/>
      <c r="C24184" s="238"/>
      <c r="E24184" s="545"/>
      <c r="F24184" s="546"/>
      <c r="G24184" s="234"/>
      <c r="H24184" s="238"/>
      <c r="I24184" s="237"/>
    </row>
    <row r="24185" spans="1:9" s="232" customFormat="1" ht="17" customHeight="1">
      <c r="A24185" s="234"/>
      <c r="B24185" s="233"/>
      <c r="C24185" s="238"/>
      <c r="E24185" s="545"/>
      <c r="F24185" s="546"/>
      <c r="G24185" s="234"/>
      <c r="H24185" s="238"/>
      <c r="I24185" s="237"/>
    </row>
    <row r="24186" spans="1:9" s="232" customFormat="1" ht="17" customHeight="1">
      <c r="A24186" s="234"/>
      <c r="B24186" s="233"/>
      <c r="C24186" s="238"/>
      <c r="E24186" s="545"/>
      <c r="F24186" s="546"/>
      <c r="G24186" s="234"/>
      <c r="H24186" s="238"/>
      <c r="I24186" s="237"/>
    </row>
    <row r="24187" spans="1:9" s="232" customFormat="1" ht="17" customHeight="1">
      <c r="A24187" s="234"/>
      <c r="B24187" s="233"/>
      <c r="C24187" s="238"/>
      <c r="E24187" s="545"/>
      <c r="F24187" s="546"/>
      <c r="G24187" s="234"/>
      <c r="H24187" s="238"/>
      <c r="I24187" s="237"/>
    </row>
    <row r="24188" spans="1:9" s="232" customFormat="1" ht="17" customHeight="1">
      <c r="A24188" s="234"/>
      <c r="B24188" s="233"/>
      <c r="C24188" s="238"/>
      <c r="E24188" s="545"/>
      <c r="F24188" s="546"/>
      <c r="G24188" s="234"/>
      <c r="H24188" s="238"/>
      <c r="I24188" s="237"/>
    </row>
    <row r="24189" spans="1:9" s="232" customFormat="1" ht="17" customHeight="1">
      <c r="A24189" s="234"/>
      <c r="B24189" s="233"/>
      <c r="C24189" s="238"/>
      <c r="E24189" s="545"/>
      <c r="F24189" s="546"/>
      <c r="G24189" s="234"/>
      <c r="H24189" s="238"/>
      <c r="I24189" s="237"/>
    </row>
    <row r="24190" spans="1:9" s="232" customFormat="1" ht="17" customHeight="1">
      <c r="A24190" s="234"/>
      <c r="B24190" s="233"/>
      <c r="C24190" s="238"/>
      <c r="E24190" s="545"/>
      <c r="F24190" s="546"/>
      <c r="G24190" s="234"/>
      <c r="H24190" s="238"/>
      <c r="I24190" s="237"/>
    </row>
    <row r="24191" spans="1:9" s="232" customFormat="1" ht="17" customHeight="1">
      <c r="A24191" s="234"/>
      <c r="B24191" s="233"/>
      <c r="C24191" s="238"/>
      <c r="E24191" s="545"/>
      <c r="F24191" s="546"/>
      <c r="G24191" s="234"/>
      <c r="H24191" s="238"/>
      <c r="I24191" s="237"/>
    </row>
    <row r="24192" spans="1:9" s="232" customFormat="1" ht="17" customHeight="1">
      <c r="A24192" s="234"/>
      <c r="B24192" s="233"/>
      <c r="C24192" s="238"/>
      <c r="E24192" s="545"/>
      <c r="F24192" s="546"/>
      <c r="G24192" s="234"/>
      <c r="H24192" s="238"/>
      <c r="I24192" s="237"/>
    </row>
    <row r="24193" spans="1:9" s="232" customFormat="1" ht="17" customHeight="1">
      <c r="A24193" s="234"/>
      <c r="B24193" s="233"/>
      <c r="C24193" s="238"/>
      <c r="E24193" s="545"/>
      <c r="F24193" s="546"/>
      <c r="G24193" s="234"/>
      <c r="H24193" s="238"/>
      <c r="I24193" s="237"/>
    </row>
    <row r="24194" spans="1:9" s="232" customFormat="1" ht="17" customHeight="1">
      <c r="A24194" s="234"/>
      <c r="B24194" s="233"/>
      <c r="C24194" s="238"/>
      <c r="E24194" s="545"/>
      <c r="F24194" s="546"/>
      <c r="G24194" s="234"/>
      <c r="H24194" s="238"/>
      <c r="I24194" s="237"/>
    </row>
    <row r="24195" spans="1:9" s="232" customFormat="1" ht="17" customHeight="1">
      <c r="A24195" s="234"/>
      <c r="B24195" s="233"/>
      <c r="C24195" s="238"/>
      <c r="E24195" s="545"/>
      <c r="F24195" s="546"/>
      <c r="G24195" s="234"/>
      <c r="H24195" s="238"/>
      <c r="I24195" s="237"/>
    </row>
    <row r="24196" spans="1:9" s="232" customFormat="1" ht="17" customHeight="1">
      <c r="A24196" s="234"/>
      <c r="B24196" s="233"/>
      <c r="C24196" s="238"/>
      <c r="E24196" s="545"/>
      <c r="F24196" s="546"/>
      <c r="G24196" s="234"/>
      <c r="H24196" s="238"/>
      <c r="I24196" s="237"/>
    </row>
    <row r="24197" spans="1:9" s="232" customFormat="1" ht="17" customHeight="1">
      <c r="A24197" s="234"/>
      <c r="B24197" s="233"/>
      <c r="C24197" s="238"/>
      <c r="E24197" s="545"/>
      <c r="F24197" s="546"/>
      <c r="G24197" s="234"/>
      <c r="H24197" s="238"/>
      <c r="I24197" s="237"/>
    </row>
    <row r="24198" spans="1:9" s="232" customFormat="1" ht="17" customHeight="1">
      <c r="A24198" s="234"/>
      <c r="B24198" s="233"/>
      <c r="C24198" s="238"/>
      <c r="E24198" s="545"/>
      <c r="F24198" s="546"/>
      <c r="G24198" s="234"/>
      <c r="H24198" s="238"/>
      <c r="I24198" s="237"/>
    </row>
    <row r="24199" spans="1:9" s="232" customFormat="1" ht="17" customHeight="1">
      <c r="A24199" s="234"/>
      <c r="B24199" s="233"/>
      <c r="C24199" s="238"/>
      <c r="E24199" s="545"/>
      <c r="F24199" s="546"/>
      <c r="G24199" s="234"/>
      <c r="H24199" s="238"/>
      <c r="I24199" s="237"/>
    </row>
    <row r="24200" spans="1:9" s="232" customFormat="1" ht="17" customHeight="1">
      <c r="A24200" s="234"/>
      <c r="B24200" s="233"/>
      <c r="C24200" s="238"/>
      <c r="E24200" s="545"/>
      <c r="F24200" s="546"/>
      <c r="G24200" s="234"/>
      <c r="H24200" s="238"/>
      <c r="I24200" s="237"/>
    </row>
    <row r="24201" spans="1:9" s="232" customFormat="1" ht="17" customHeight="1">
      <c r="A24201" s="234"/>
      <c r="B24201" s="233"/>
      <c r="C24201" s="238"/>
      <c r="E24201" s="545"/>
      <c r="F24201" s="546"/>
      <c r="G24201" s="234"/>
      <c r="H24201" s="238"/>
      <c r="I24201" s="237"/>
    </row>
    <row r="24202" spans="1:9" s="232" customFormat="1" ht="17" customHeight="1">
      <c r="A24202" s="234"/>
      <c r="B24202" s="233"/>
      <c r="C24202" s="238"/>
      <c r="E24202" s="545"/>
      <c r="F24202" s="546"/>
      <c r="G24202" s="234"/>
      <c r="H24202" s="238"/>
      <c r="I24202" s="237"/>
    </row>
    <row r="24203" spans="1:9" s="232" customFormat="1" ht="17" customHeight="1">
      <c r="A24203" s="234"/>
      <c r="B24203" s="233"/>
      <c r="C24203" s="238"/>
      <c r="E24203" s="545"/>
      <c r="F24203" s="546"/>
      <c r="G24203" s="234"/>
      <c r="H24203" s="238"/>
      <c r="I24203" s="237"/>
    </row>
    <row r="24204" spans="1:9" s="232" customFormat="1" ht="17" customHeight="1">
      <c r="A24204" s="234"/>
      <c r="B24204" s="233"/>
      <c r="C24204" s="238"/>
      <c r="E24204" s="545"/>
      <c r="F24204" s="546"/>
      <c r="G24204" s="234"/>
      <c r="H24204" s="238"/>
      <c r="I24204" s="237"/>
    </row>
    <row r="24205" spans="1:9" s="232" customFormat="1" ht="17" customHeight="1">
      <c r="A24205" s="234"/>
      <c r="B24205" s="233"/>
      <c r="C24205" s="238"/>
      <c r="E24205" s="545"/>
      <c r="F24205" s="546"/>
      <c r="G24205" s="234"/>
      <c r="H24205" s="238"/>
      <c r="I24205" s="237"/>
    </row>
    <row r="24206" spans="1:9" s="232" customFormat="1" ht="17" customHeight="1">
      <c r="A24206" s="234"/>
      <c r="B24206" s="233"/>
      <c r="C24206" s="238"/>
      <c r="E24206" s="545"/>
      <c r="F24206" s="546"/>
      <c r="G24206" s="234"/>
      <c r="H24206" s="238"/>
      <c r="I24206" s="237"/>
    </row>
    <row r="24207" spans="1:9" s="232" customFormat="1" ht="17" customHeight="1">
      <c r="A24207" s="234"/>
      <c r="B24207" s="233"/>
      <c r="C24207" s="238"/>
      <c r="E24207" s="545"/>
      <c r="F24207" s="546"/>
      <c r="G24207" s="234"/>
      <c r="H24207" s="238"/>
      <c r="I24207" s="237"/>
    </row>
    <row r="24208" spans="1:9" s="232" customFormat="1" ht="17" customHeight="1">
      <c r="A24208" s="234"/>
      <c r="B24208" s="233"/>
      <c r="C24208" s="238"/>
      <c r="E24208" s="545"/>
      <c r="F24208" s="546"/>
      <c r="G24208" s="234"/>
      <c r="H24208" s="238"/>
      <c r="I24208" s="237"/>
    </row>
    <row r="24209" spans="1:9" s="232" customFormat="1" ht="17" customHeight="1">
      <c r="A24209" s="234"/>
      <c r="B24209" s="233"/>
      <c r="C24209" s="238"/>
      <c r="E24209" s="545"/>
      <c r="F24209" s="546"/>
      <c r="G24209" s="234"/>
      <c r="H24209" s="238"/>
      <c r="I24209" s="237"/>
    </row>
    <row r="24210" spans="1:9" s="232" customFormat="1" ht="17" customHeight="1">
      <c r="A24210" s="234"/>
      <c r="B24210" s="233"/>
      <c r="C24210" s="238"/>
      <c r="E24210" s="545"/>
      <c r="F24210" s="546"/>
      <c r="G24210" s="234"/>
      <c r="H24210" s="238"/>
      <c r="I24210" s="237"/>
    </row>
    <row r="24211" spans="1:9" s="232" customFormat="1" ht="17" customHeight="1">
      <c r="A24211" s="234"/>
      <c r="B24211" s="233"/>
      <c r="C24211" s="238"/>
      <c r="E24211" s="545"/>
      <c r="F24211" s="546"/>
      <c r="G24211" s="234"/>
      <c r="H24211" s="238"/>
      <c r="I24211" s="237"/>
    </row>
    <row r="24212" spans="1:9" s="232" customFormat="1" ht="17" customHeight="1">
      <c r="A24212" s="234"/>
      <c r="B24212" s="233"/>
      <c r="C24212" s="238"/>
      <c r="E24212" s="545"/>
      <c r="F24212" s="546"/>
      <c r="G24212" s="234"/>
      <c r="H24212" s="238"/>
      <c r="I24212" s="237"/>
    </row>
    <row r="24213" spans="1:9" s="232" customFormat="1" ht="17" customHeight="1">
      <c r="A24213" s="234"/>
      <c r="B24213" s="233"/>
      <c r="C24213" s="238"/>
      <c r="E24213" s="545"/>
      <c r="F24213" s="546"/>
      <c r="G24213" s="234"/>
      <c r="H24213" s="238"/>
      <c r="I24213" s="237"/>
    </row>
    <row r="24214" spans="1:9" s="232" customFormat="1" ht="17" customHeight="1">
      <c r="A24214" s="234"/>
      <c r="B24214" s="233"/>
      <c r="C24214" s="238"/>
      <c r="E24214" s="545"/>
      <c r="F24214" s="546"/>
      <c r="G24214" s="234"/>
      <c r="H24214" s="238"/>
      <c r="I24214" s="237"/>
    </row>
    <row r="24215" spans="1:9" s="232" customFormat="1" ht="17" customHeight="1">
      <c r="A24215" s="234"/>
      <c r="B24215" s="233"/>
      <c r="C24215" s="238"/>
      <c r="E24215" s="545"/>
      <c r="F24215" s="546"/>
      <c r="G24215" s="234"/>
      <c r="H24215" s="238"/>
      <c r="I24215" s="237"/>
    </row>
    <row r="24216" spans="1:9" s="232" customFormat="1" ht="17" customHeight="1">
      <c r="A24216" s="234"/>
      <c r="B24216" s="233"/>
      <c r="C24216" s="238"/>
      <c r="E24216" s="545"/>
      <c r="F24216" s="546"/>
      <c r="G24216" s="234"/>
      <c r="H24216" s="238"/>
      <c r="I24216" s="237"/>
    </row>
    <row r="24217" spans="1:9" s="232" customFormat="1" ht="17" customHeight="1">
      <c r="A24217" s="234"/>
      <c r="B24217" s="233"/>
      <c r="C24217" s="238"/>
      <c r="E24217" s="545"/>
      <c r="F24217" s="546"/>
      <c r="G24217" s="234"/>
      <c r="H24217" s="238"/>
      <c r="I24217" s="237"/>
    </row>
    <row r="24218" spans="1:9" s="232" customFormat="1" ht="17" customHeight="1">
      <c r="A24218" s="234"/>
      <c r="B24218" s="233"/>
      <c r="C24218" s="238"/>
      <c r="E24218" s="545"/>
      <c r="F24218" s="546"/>
      <c r="G24218" s="234"/>
      <c r="H24218" s="238"/>
      <c r="I24218" s="237"/>
    </row>
    <row r="24219" spans="1:9" s="232" customFormat="1" ht="17" customHeight="1">
      <c r="A24219" s="234"/>
      <c r="B24219" s="233"/>
      <c r="C24219" s="238"/>
      <c r="E24219" s="545"/>
      <c r="F24219" s="546"/>
      <c r="G24219" s="234"/>
      <c r="H24219" s="238"/>
      <c r="I24219" s="237"/>
    </row>
    <row r="24220" spans="1:9" s="232" customFormat="1" ht="17" customHeight="1">
      <c r="A24220" s="234"/>
      <c r="B24220" s="233"/>
      <c r="C24220" s="238"/>
      <c r="E24220" s="545"/>
      <c r="F24220" s="546"/>
      <c r="G24220" s="234"/>
      <c r="H24220" s="238"/>
      <c r="I24220" s="237"/>
    </row>
    <row r="24221" spans="1:9" s="232" customFormat="1" ht="17" customHeight="1">
      <c r="A24221" s="234"/>
      <c r="B24221" s="233"/>
      <c r="C24221" s="238"/>
      <c r="E24221" s="545"/>
      <c r="F24221" s="546"/>
      <c r="G24221" s="234"/>
      <c r="H24221" s="238"/>
      <c r="I24221" s="237"/>
    </row>
    <row r="24222" spans="1:9" s="232" customFormat="1" ht="17" customHeight="1">
      <c r="A24222" s="234"/>
      <c r="B24222" s="233"/>
      <c r="C24222" s="238"/>
      <c r="E24222" s="545"/>
      <c r="F24222" s="546"/>
      <c r="G24222" s="234"/>
      <c r="H24222" s="238"/>
      <c r="I24222" s="237"/>
    </row>
    <row r="24223" spans="1:9" s="232" customFormat="1" ht="17" customHeight="1">
      <c r="A24223" s="234"/>
      <c r="B24223" s="233"/>
      <c r="C24223" s="238"/>
      <c r="E24223" s="545"/>
      <c r="F24223" s="546"/>
      <c r="G24223" s="234"/>
      <c r="H24223" s="238"/>
      <c r="I24223" s="237"/>
    </row>
    <row r="24224" spans="1:9" s="232" customFormat="1" ht="17" customHeight="1">
      <c r="A24224" s="234"/>
      <c r="B24224" s="233"/>
      <c r="C24224" s="238"/>
      <c r="E24224" s="545"/>
      <c r="F24224" s="546"/>
      <c r="G24224" s="234"/>
      <c r="H24224" s="238"/>
      <c r="I24224" s="237"/>
    </row>
    <row r="24225" spans="1:9" s="232" customFormat="1" ht="17" customHeight="1">
      <c r="A24225" s="234"/>
      <c r="B24225" s="233"/>
      <c r="C24225" s="238"/>
      <c r="E24225" s="545"/>
      <c r="F24225" s="546"/>
      <c r="G24225" s="234"/>
      <c r="H24225" s="238"/>
      <c r="I24225" s="237"/>
    </row>
    <row r="24226" spans="1:9" s="232" customFormat="1" ht="17" customHeight="1">
      <c r="A24226" s="234"/>
      <c r="B24226" s="233"/>
      <c r="C24226" s="238"/>
      <c r="E24226" s="545"/>
      <c r="F24226" s="546"/>
      <c r="G24226" s="234"/>
      <c r="H24226" s="238"/>
      <c r="I24226" s="237"/>
    </row>
    <row r="24227" spans="1:9" s="232" customFormat="1" ht="17" customHeight="1">
      <c r="A24227" s="234"/>
      <c r="B24227" s="233"/>
      <c r="C24227" s="238"/>
      <c r="E24227" s="545"/>
      <c r="F24227" s="546"/>
      <c r="G24227" s="234"/>
      <c r="H24227" s="238"/>
      <c r="I24227" s="237"/>
    </row>
    <row r="24228" spans="1:9" s="232" customFormat="1" ht="17" customHeight="1">
      <c r="A24228" s="234"/>
      <c r="B24228" s="233"/>
      <c r="C24228" s="238"/>
      <c r="E24228" s="545"/>
      <c r="F24228" s="546"/>
      <c r="G24228" s="234"/>
      <c r="H24228" s="238"/>
      <c r="I24228" s="237"/>
    </row>
    <row r="24229" spans="1:9" s="232" customFormat="1" ht="17" customHeight="1">
      <c r="A24229" s="234"/>
      <c r="B24229" s="233"/>
      <c r="C24229" s="238"/>
      <c r="E24229" s="545"/>
      <c r="F24229" s="546"/>
      <c r="G24229" s="234"/>
      <c r="H24229" s="238"/>
      <c r="I24229" s="237"/>
    </row>
    <row r="24230" spans="1:9" s="232" customFormat="1" ht="17" customHeight="1">
      <c r="A24230" s="234"/>
      <c r="B24230" s="233"/>
      <c r="C24230" s="238"/>
      <c r="E24230" s="545"/>
      <c r="F24230" s="546"/>
      <c r="G24230" s="234"/>
      <c r="H24230" s="238"/>
      <c r="I24230" s="237"/>
    </row>
    <row r="24231" spans="1:9" s="232" customFormat="1" ht="17" customHeight="1">
      <c r="A24231" s="234"/>
      <c r="B24231" s="233"/>
      <c r="C24231" s="238"/>
      <c r="E24231" s="545"/>
      <c r="F24231" s="546"/>
      <c r="G24231" s="234"/>
      <c r="H24231" s="238"/>
      <c r="I24231" s="237"/>
    </row>
    <row r="24232" spans="1:9" s="232" customFormat="1" ht="17" customHeight="1">
      <c r="A24232" s="234"/>
      <c r="B24232" s="233"/>
      <c r="C24232" s="238"/>
      <c r="E24232" s="545"/>
      <c r="F24232" s="546"/>
      <c r="G24232" s="234"/>
      <c r="H24232" s="238"/>
      <c r="I24232" s="237"/>
    </row>
    <row r="24233" spans="1:9" s="232" customFormat="1" ht="17" customHeight="1">
      <c r="A24233" s="234"/>
      <c r="B24233" s="233"/>
      <c r="C24233" s="238"/>
      <c r="E24233" s="545"/>
      <c r="F24233" s="546"/>
      <c r="G24233" s="234"/>
      <c r="H24233" s="238"/>
      <c r="I24233" s="237"/>
    </row>
    <row r="24234" spans="1:9" s="232" customFormat="1" ht="17" customHeight="1">
      <c r="A24234" s="234"/>
      <c r="B24234" s="233"/>
      <c r="C24234" s="238"/>
      <c r="E24234" s="545"/>
      <c r="F24234" s="546"/>
      <c r="G24234" s="234"/>
      <c r="H24234" s="238"/>
      <c r="I24234" s="237"/>
    </row>
    <row r="24235" spans="1:9" s="232" customFormat="1" ht="17" customHeight="1">
      <c r="A24235" s="234"/>
      <c r="B24235" s="233"/>
      <c r="C24235" s="238"/>
      <c r="E24235" s="545"/>
      <c r="F24235" s="546"/>
      <c r="G24235" s="234"/>
      <c r="H24235" s="238"/>
      <c r="I24235" s="237"/>
    </row>
    <row r="24236" spans="1:9" s="232" customFormat="1" ht="17" customHeight="1">
      <c r="A24236" s="234"/>
      <c r="B24236" s="233"/>
      <c r="C24236" s="238"/>
      <c r="E24236" s="545"/>
      <c r="F24236" s="546"/>
      <c r="G24236" s="234"/>
      <c r="H24236" s="238"/>
      <c r="I24236" s="237"/>
    </row>
    <row r="24237" spans="1:9" s="232" customFormat="1" ht="17" customHeight="1">
      <c r="A24237" s="234"/>
      <c r="B24237" s="233"/>
      <c r="C24237" s="238"/>
      <c r="E24237" s="545"/>
      <c r="F24237" s="546"/>
      <c r="G24237" s="234"/>
      <c r="H24237" s="238"/>
      <c r="I24237" s="237"/>
    </row>
    <row r="24238" spans="1:9" s="232" customFormat="1" ht="17" customHeight="1">
      <c r="A24238" s="234"/>
      <c r="B24238" s="233"/>
      <c r="C24238" s="238"/>
      <c r="E24238" s="545"/>
      <c r="F24238" s="546"/>
      <c r="G24238" s="234"/>
      <c r="H24238" s="238"/>
      <c r="I24238" s="237"/>
    </row>
    <row r="24239" spans="1:9" s="232" customFormat="1" ht="17" customHeight="1">
      <c r="A24239" s="234"/>
      <c r="B24239" s="233"/>
      <c r="C24239" s="238"/>
      <c r="E24239" s="545"/>
      <c r="F24239" s="546"/>
      <c r="G24239" s="234"/>
      <c r="H24239" s="238"/>
      <c r="I24239" s="237"/>
    </row>
    <row r="24240" spans="1:9" s="232" customFormat="1" ht="17" customHeight="1">
      <c r="A24240" s="234"/>
      <c r="B24240" s="233"/>
      <c r="C24240" s="238"/>
      <c r="E24240" s="545"/>
      <c r="F24240" s="546"/>
      <c r="G24240" s="234"/>
      <c r="H24240" s="238"/>
      <c r="I24240" s="237"/>
    </row>
    <row r="24241" spans="1:9" s="232" customFormat="1" ht="17" customHeight="1">
      <c r="A24241" s="234"/>
      <c r="B24241" s="233"/>
      <c r="C24241" s="238"/>
      <c r="E24241" s="545"/>
      <c r="F24241" s="546"/>
      <c r="G24241" s="234"/>
      <c r="H24241" s="238"/>
      <c r="I24241" s="237"/>
    </row>
    <row r="24242" spans="1:9" s="232" customFormat="1" ht="17" customHeight="1">
      <c r="A24242" s="234"/>
      <c r="B24242" s="233"/>
      <c r="C24242" s="238"/>
      <c r="E24242" s="545"/>
      <c r="F24242" s="546"/>
      <c r="G24242" s="234"/>
      <c r="H24242" s="238"/>
      <c r="I24242" s="237"/>
    </row>
    <row r="24243" spans="1:9" s="232" customFormat="1" ht="17" customHeight="1">
      <c r="A24243" s="234"/>
      <c r="B24243" s="233"/>
      <c r="C24243" s="238"/>
      <c r="E24243" s="545"/>
      <c r="F24243" s="546"/>
      <c r="G24243" s="234"/>
      <c r="H24243" s="238"/>
      <c r="I24243" s="237"/>
    </row>
    <row r="24244" spans="1:9" s="232" customFormat="1" ht="17" customHeight="1">
      <c r="A24244" s="234"/>
      <c r="B24244" s="233"/>
      <c r="C24244" s="238"/>
      <c r="E24244" s="545"/>
      <c r="F24244" s="546"/>
      <c r="G24244" s="234"/>
      <c r="H24244" s="238"/>
      <c r="I24244" s="237"/>
    </row>
    <row r="24245" spans="1:9" s="232" customFormat="1" ht="17" customHeight="1">
      <c r="A24245" s="234"/>
      <c r="B24245" s="233"/>
      <c r="C24245" s="238"/>
      <c r="E24245" s="545"/>
      <c r="F24245" s="546"/>
      <c r="G24245" s="234"/>
      <c r="H24245" s="238"/>
      <c r="I24245" s="237"/>
    </row>
    <row r="24246" spans="1:9" s="232" customFormat="1" ht="17" customHeight="1">
      <c r="A24246" s="234"/>
      <c r="B24246" s="233"/>
      <c r="C24246" s="238"/>
      <c r="E24246" s="545"/>
      <c r="F24246" s="546"/>
      <c r="G24246" s="234"/>
      <c r="H24246" s="238"/>
      <c r="I24246" s="237"/>
    </row>
    <row r="24247" spans="1:9" s="232" customFormat="1" ht="17" customHeight="1">
      <c r="A24247" s="234"/>
      <c r="B24247" s="233"/>
      <c r="C24247" s="238"/>
      <c r="E24247" s="545"/>
      <c r="F24247" s="546"/>
      <c r="G24247" s="234"/>
      <c r="H24247" s="238"/>
      <c r="I24247" s="237"/>
    </row>
    <row r="24248" spans="1:9" s="232" customFormat="1" ht="17" customHeight="1">
      <c r="A24248" s="234"/>
      <c r="B24248" s="233"/>
      <c r="C24248" s="238"/>
      <c r="E24248" s="545"/>
      <c r="F24248" s="546"/>
      <c r="G24248" s="234"/>
      <c r="H24248" s="238"/>
      <c r="I24248" s="237"/>
    </row>
    <row r="24249" spans="1:9" s="232" customFormat="1" ht="17" customHeight="1">
      <c r="A24249" s="234"/>
      <c r="B24249" s="233"/>
      <c r="C24249" s="238"/>
      <c r="E24249" s="545"/>
      <c r="F24249" s="546"/>
      <c r="G24249" s="234"/>
      <c r="H24249" s="238"/>
      <c r="I24249" s="237"/>
    </row>
    <row r="24250" spans="1:9" s="232" customFormat="1" ht="17" customHeight="1">
      <c r="A24250" s="234"/>
      <c r="B24250" s="233"/>
      <c r="C24250" s="238"/>
      <c r="E24250" s="545"/>
      <c r="F24250" s="546"/>
      <c r="G24250" s="234"/>
      <c r="H24250" s="238"/>
      <c r="I24250" s="237"/>
    </row>
    <row r="24251" spans="1:9" s="232" customFormat="1" ht="17" customHeight="1">
      <c r="A24251" s="234"/>
      <c r="B24251" s="233"/>
      <c r="C24251" s="238"/>
      <c r="E24251" s="545"/>
      <c r="F24251" s="546"/>
      <c r="G24251" s="234"/>
      <c r="H24251" s="238"/>
      <c r="I24251" s="237"/>
    </row>
    <row r="24252" spans="1:9" s="232" customFormat="1" ht="17" customHeight="1">
      <c r="A24252" s="234"/>
      <c r="B24252" s="233"/>
      <c r="C24252" s="238"/>
      <c r="E24252" s="545"/>
      <c r="F24252" s="546"/>
      <c r="G24252" s="234"/>
      <c r="H24252" s="238"/>
      <c r="I24252" s="237"/>
    </row>
    <row r="24253" spans="1:9" s="232" customFormat="1" ht="17" customHeight="1">
      <c r="A24253" s="234"/>
      <c r="B24253" s="233"/>
      <c r="C24253" s="238"/>
      <c r="E24253" s="545"/>
      <c r="F24253" s="546"/>
      <c r="G24253" s="234"/>
      <c r="H24253" s="238"/>
      <c r="I24253" s="237"/>
    </row>
    <row r="24254" spans="1:9" s="232" customFormat="1" ht="17" customHeight="1">
      <c r="A24254" s="234"/>
      <c r="B24254" s="233"/>
      <c r="C24254" s="238"/>
      <c r="E24254" s="545"/>
      <c r="F24254" s="546"/>
      <c r="G24254" s="234"/>
      <c r="H24254" s="238"/>
      <c r="I24254" s="237"/>
    </row>
    <row r="24255" spans="1:9" s="232" customFormat="1" ht="17" customHeight="1">
      <c r="A24255" s="234"/>
      <c r="B24255" s="233"/>
      <c r="C24255" s="238"/>
      <c r="E24255" s="545"/>
      <c r="F24255" s="546"/>
      <c r="G24255" s="234"/>
      <c r="H24255" s="238"/>
      <c r="I24255" s="237"/>
    </row>
    <row r="24256" spans="1:9" s="232" customFormat="1" ht="17" customHeight="1">
      <c r="A24256" s="234"/>
      <c r="B24256" s="233"/>
      <c r="C24256" s="238"/>
      <c r="E24256" s="545"/>
      <c r="F24256" s="546"/>
      <c r="G24256" s="234"/>
      <c r="H24256" s="238"/>
      <c r="I24256" s="237"/>
    </row>
    <row r="24257" spans="1:9" s="232" customFormat="1" ht="17" customHeight="1">
      <c r="A24257" s="234"/>
      <c r="B24257" s="233"/>
      <c r="C24257" s="238"/>
      <c r="E24257" s="545"/>
      <c r="F24257" s="546"/>
      <c r="G24257" s="234"/>
      <c r="H24257" s="238"/>
      <c r="I24257" s="237"/>
    </row>
    <row r="24258" spans="1:9" s="232" customFormat="1" ht="17" customHeight="1">
      <c r="A24258" s="234"/>
      <c r="B24258" s="233"/>
      <c r="C24258" s="238"/>
      <c r="E24258" s="545"/>
      <c r="F24258" s="546"/>
      <c r="G24258" s="234"/>
      <c r="H24258" s="238"/>
      <c r="I24258" s="237"/>
    </row>
    <row r="24259" spans="1:9" s="232" customFormat="1" ht="17" customHeight="1">
      <c r="A24259" s="234"/>
      <c r="B24259" s="233"/>
      <c r="C24259" s="238"/>
      <c r="E24259" s="545"/>
      <c r="F24259" s="546"/>
      <c r="G24259" s="234"/>
      <c r="H24259" s="238"/>
      <c r="I24259" s="237"/>
    </row>
    <row r="24260" spans="1:9" s="232" customFormat="1" ht="17" customHeight="1">
      <c r="A24260" s="234"/>
      <c r="B24260" s="233"/>
      <c r="C24260" s="238"/>
      <c r="E24260" s="545"/>
      <c r="F24260" s="546"/>
      <c r="G24260" s="234"/>
      <c r="H24260" s="238"/>
      <c r="I24260" s="237"/>
    </row>
    <row r="24261" spans="1:9" s="232" customFormat="1" ht="17" customHeight="1">
      <c r="A24261" s="234"/>
      <c r="B24261" s="233"/>
      <c r="C24261" s="238"/>
      <c r="E24261" s="545"/>
      <c r="F24261" s="546"/>
      <c r="G24261" s="234"/>
      <c r="H24261" s="238"/>
      <c r="I24261" s="237"/>
    </row>
    <row r="24262" spans="1:9" s="232" customFormat="1" ht="17" customHeight="1">
      <c r="A24262" s="234"/>
      <c r="B24262" s="233"/>
      <c r="C24262" s="238"/>
      <c r="E24262" s="545"/>
      <c r="F24262" s="546"/>
      <c r="G24262" s="234"/>
      <c r="H24262" s="238"/>
      <c r="I24262" s="237"/>
    </row>
    <row r="24263" spans="1:9" s="232" customFormat="1" ht="17" customHeight="1">
      <c r="A24263" s="234"/>
      <c r="B24263" s="233"/>
      <c r="C24263" s="238"/>
      <c r="E24263" s="545"/>
      <c r="F24263" s="546"/>
      <c r="G24263" s="234"/>
      <c r="H24263" s="238"/>
      <c r="I24263" s="237"/>
    </row>
    <row r="24264" spans="1:9" s="232" customFormat="1" ht="17" customHeight="1">
      <c r="A24264" s="234"/>
      <c r="B24264" s="233"/>
      <c r="C24264" s="238"/>
      <c r="E24264" s="545"/>
      <c r="F24264" s="546"/>
      <c r="G24264" s="234"/>
      <c r="H24264" s="238"/>
      <c r="I24264" s="237"/>
    </row>
    <row r="24265" spans="1:9" s="232" customFormat="1" ht="17" customHeight="1">
      <c r="A24265" s="234"/>
      <c r="B24265" s="233"/>
      <c r="C24265" s="238"/>
      <c r="E24265" s="545"/>
      <c r="F24265" s="546"/>
      <c r="G24265" s="234"/>
      <c r="H24265" s="238"/>
      <c r="I24265" s="237"/>
    </row>
    <row r="24266" spans="1:9" s="232" customFormat="1" ht="17" customHeight="1">
      <c r="A24266" s="234"/>
      <c r="B24266" s="233"/>
      <c r="C24266" s="238"/>
      <c r="E24266" s="545"/>
      <c r="F24266" s="546"/>
      <c r="G24266" s="234"/>
      <c r="H24266" s="238"/>
      <c r="I24266" s="237"/>
    </row>
    <row r="24267" spans="1:9" s="232" customFormat="1" ht="17" customHeight="1">
      <c r="A24267" s="234"/>
      <c r="B24267" s="233"/>
      <c r="C24267" s="238"/>
      <c r="E24267" s="545"/>
      <c r="F24267" s="546"/>
      <c r="G24267" s="234"/>
      <c r="H24267" s="238"/>
      <c r="I24267" s="237"/>
    </row>
    <row r="24268" spans="1:9" s="232" customFormat="1" ht="17" customHeight="1">
      <c r="A24268" s="234"/>
      <c r="B24268" s="233"/>
      <c r="C24268" s="238"/>
      <c r="E24268" s="545"/>
      <c r="F24268" s="546"/>
      <c r="G24268" s="234"/>
      <c r="H24268" s="238"/>
      <c r="I24268" s="237"/>
    </row>
    <row r="24269" spans="1:9" s="232" customFormat="1" ht="17" customHeight="1">
      <c r="A24269" s="234"/>
      <c r="B24269" s="233"/>
      <c r="C24269" s="238"/>
      <c r="E24269" s="545"/>
      <c r="F24269" s="546"/>
      <c r="G24269" s="234"/>
      <c r="H24269" s="238"/>
      <c r="I24269" s="237"/>
    </row>
    <row r="24270" spans="1:9" s="232" customFormat="1" ht="17" customHeight="1">
      <c r="A24270" s="234"/>
      <c r="B24270" s="233"/>
      <c r="C24270" s="238"/>
      <c r="E24270" s="545"/>
      <c r="F24270" s="546"/>
      <c r="G24270" s="234"/>
      <c r="H24270" s="238"/>
      <c r="I24270" s="237"/>
    </row>
    <row r="24271" spans="1:9" s="232" customFormat="1" ht="17" customHeight="1">
      <c r="A24271" s="234"/>
      <c r="B24271" s="233"/>
      <c r="C24271" s="238"/>
      <c r="E24271" s="545"/>
      <c r="F24271" s="546"/>
      <c r="G24271" s="234"/>
      <c r="H24271" s="238"/>
      <c r="I24271" s="237"/>
    </row>
    <row r="24272" spans="1:9" s="232" customFormat="1" ht="17" customHeight="1">
      <c r="A24272" s="234"/>
      <c r="B24272" s="233"/>
      <c r="C24272" s="238"/>
      <c r="E24272" s="545"/>
      <c r="F24272" s="546"/>
      <c r="G24272" s="234"/>
      <c r="H24272" s="238"/>
      <c r="I24272" s="237"/>
    </row>
    <row r="24273" spans="1:9" s="232" customFormat="1" ht="17" customHeight="1">
      <c r="A24273" s="234"/>
      <c r="B24273" s="233"/>
      <c r="C24273" s="238"/>
      <c r="E24273" s="545"/>
      <c r="F24273" s="546"/>
      <c r="G24273" s="234"/>
      <c r="H24273" s="238"/>
      <c r="I24273" s="237"/>
    </row>
    <row r="24274" spans="1:9" s="232" customFormat="1" ht="17" customHeight="1">
      <c r="A24274" s="234"/>
      <c r="B24274" s="233"/>
      <c r="C24274" s="238"/>
      <c r="E24274" s="545"/>
      <c r="F24274" s="546"/>
      <c r="G24274" s="234"/>
      <c r="H24274" s="238"/>
      <c r="I24274" s="237"/>
    </row>
    <row r="24275" spans="1:9" s="232" customFormat="1" ht="17" customHeight="1">
      <c r="A24275" s="234"/>
      <c r="B24275" s="233"/>
      <c r="C24275" s="238"/>
      <c r="E24275" s="545"/>
      <c r="F24275" s="546"/>
      <c r="G24275" s="234"/>
      <c r="H24275" s="238"/>
      <c r="I24275" s="237"/>
    </row>
    <row r="24276" spans="1:9" s="232" customFormat="1" ht="17" customHeight="1">
      <c r="A24276" s="234"/>
      <c r="B24276" s="233"/>
      <c r="C24276" s="238"/>
      <c r="E24276" s="545"/>
      <c r="F24276" s="546"/>
      <c r="G24276" s="234"/>
      <c r="H24276" s="238"/>
      <c r="I24276" s="237"/>
    </row>
    <row r="24277" spans="1:9" s="232" customFormat="1" ht="17" customHeight="1">
      <c r="A24277" s="234"/>
      <c r="B24277" s="233"/>
      <c r="C24277" s="238"/>
      <c r="E24277" s="545"/>
      <c r="F24277" s="546"/>
      <c r="G24277" s="234"/>
      <c r="H24277" s="238"/>
      <c r="I24277" s="237"/>
    </row>
    <row r="24278" spans="1:9" s="232" customFormat="1" ht="17" customHeight="1">
      <c r="A24278" s="234"/>
      <c r="B24278" s="233"/>
      <c r="C24278" s="238"/>
      <c r="E24278" s="545"/>
      <c r="F24278" s="546"/>
      <c r="G24278" s="234"/>
      <c r="H24278" s="238"/>
      <c r="I24278" s="237"/>
    </row>
    <row r="24279" spans="1:9" s="232" customFormat="1" ht="17" customHeight="1">
      <c r="A24279" s="234"/>
      <c r="B24279" s="233"/>
      <c r="C24279" s="238"/>
      <c r="E24279" s="545"/>
      <c r="F24279" s="546"/>
      <c r="G24279" s="234"/>
      <c r="H24279" s="238"/>
      <c r="I24279" s="237"/>
    </row>
    <row r="24280" spans="1:9" s="232" customFormat="1" ht="17" customHeight="1">
      <c r="A24280" s="234"/>
      <c r="B24280" s="233"/>
      <c r="C24280" s="238"/>
      <c r="E24280" s="545"/>
      <c r="F24280" s="546"/>
      <c r="G24280" s="234"/>
      <c r="H24280" s="238"/>
      <c r="I24280" s="237"/>
    </row>
    <row r="24281" spans="1:9" s="232" customFormat="1" ht="17" customHeight="1">
      <c r="A24281" s="234"/>
      <c r="B24281" s="233"/>
      <c r="C24281" s="238"/>
      <c r="E24281" s="545"/>
      <c r="F24281" s="546"/>
      <c r="G24281" s="234"/>
      <c r="H24281" s="238"/>
      <c r="I24281" s="237"/>
    </row>
    <row r="24282" spans="1:9" s="232" customFormat="1" ht="17" customHeight="1">
      <c r="A24282" s="234"/>
      <c r="B24282" s="233"/>
      <c r="C24282" s="238"/>
      <c r="E24282" s="545"/>
      <c r="F24282" s="546"/>
      <c r="G24282" s="234"/>
      <c r="H24282" s="238"/>
      <c r="I24282" s="237"/>
    </row>
    <row r="24283" spans="1:9" s="232" customFormat="1" ht="17" customHeight="1">
      <c r="A24283" s="234"/>
      <c r="B24283" s="233"/>
      <c r="C24283" s="238"/>
      <c r="E24283" s="545"/>
      <c r="F24283" s="546"/>
      <c r="G24283" s="234"/>
      <c r="H24283" s="238"/>
      <c r="I24283" s="237"/>
    </row>
    <row r="24284" spans="1:9" s="232" customFormat="1" ht="17" customHeight="1">
      <c r="A24284" s="234"/>
      <c r="B24284" s="233"/>
      <c r="C24284" s="238"/>
      <c r="E24284" s="545"/>
      <c r="F24284" s="546"/>
      <c r="G24284" s="234"/>
      <c r="H24284" s="238"/>
      <c r="I24284" s="237"/>
    </row>
    <row r="24285" spans="1:9" s="232" customFormat="1" ht="17" customHeight="1">
      <c r="A24285" s="234"/>
      <c r="B24285" s="233"/>
      <c r="C24285" s="238"/>
      <c r="E24285" s="545"/>
      <c r="F24285" s="546"/>
      <c r="G24285" s="234"/>
      <c r="H24285" s="238"/>
      <c r="I24285" s="237"/>
    </row>
    <row r="24286" spans="1:9" s="232" customFormat="1" ht="17" customHeight="1">
      <c r="A24286" s="234"/>
      <c r="B24286" s="233"/>
      <c r="C24286" s="238"/>
      <c r="E24286" s="545"/>
      <c r="F24286" s="546"/>
      <c r="G24286" s="234"/>
      <c r="H24286" s="238"/>
      <c r="I24286" s="237"/>
    </row>
    <row r="24287" spans="1:9" s="232" customFormat="1" ht="17" customHeight="1">
      <c r="A24287" s="234"/>
      <c r="B24287" s="233"/>
      <c r="C24287" s="238"/>
      <c r="E24287" s="545"/>
      <c r="F24287" s="546"/>
      <c r="G24287" s="234"/>
      <c r="H24287" s="238"/>
      <c r="I24287" s="237"/>
    </row>
    <row r="24288" spans="1:9" s="232" customFormat="1" ht="17" customHeight="1">
      <c r="A24288" s="234"/>
      <c r="B24288" s="233"/>
      <c r="C24288" s="238"/>
      <c r="E24288" s="545"/>
      <c r="F24288" s="546"/>
      <c r="G24288" s="234"/>
      <c r="H24288" s="238"/>
      <c r="I24288" s="237"/>
    </row>
    <row r="24289" spans="1:9" s="232" customFormat="1" ht="17" customHeight="1">
      <c r="A24289" s="234"/>
      <c r="B24289" s="233"/>
      <c r="C24289" s="238"/>
      <c r="E24289" s="545"/>
      <c r="F24289" s="546"/>
      <c r="G24289" s="234"/>
      <c r="H24289" s="238"/>
      <c r="I24289" s="237"/>
    </row>
    <row r="24290" spans="1:9" s="232" customFormat="1" ht="17" customHeight="1">
      <c r="A24290" s="234"/>
      <c r="B24290" s="233"/>
      <c r="C24290" s="238"/>
      <c r="E24290" s="545"/>
      <c r="F24290" s="546"/>
      <c r="G24290" s="234"/>
      <c r="H24290" s="238"/>
      <c r="I24290" s="237"/>
    </row>
    <row r="24291" spans="1:9" s="232" customFormat="1" ht="17" customHeight="1">
      <c r="A24291" s="234"/>
      <c r="B24291" s="233"/>
      <c r="C24291" s="238"/>
      <c r="E24291" s="545"/>
      <c r="F24291" s="546"/>
      <c r="G24291" s="234"/>
      <c r="H24291" s="238"/>
      <c r="I24291" s="237"/>
    </row>
    <row r="24292" spans="1:9" s="232" customFormat="1" ht="17" customHeight="1">
      <c r="A24292" s="234"/>
      <c r="B24292" s="233"/>
      <c r="C24292" s="238"/>
      <c r="E24292" s="545"/>
      <c r="F24292" s="546"/>
      <c r="G24292" s="234"/>
      <c r="H24292" s="238"/>
      <c r="I24292" s="237"/>
    </row>
    <row r="24293" spans="1:9" s="232" customFormat="1" ht="17" customHeight="1">
      <c r="A24293" s="234"/>
      <c r="B24293" s="233"/>
      <c r="C24293" s="238"/>
      <c r="E24293" s="545"/>
      <c r="F24293" s="546"/>
      <c r="G24293" s="234"/>
      <c r="H24293" s="238"/>
      <c r="I24293" s="237"/>
    </row>
    <row r="24294" spans="1:9" s="232" customFormat="1" ht="17" customHeight="1">
      <c r="A24294" s="234"/>
      <c r="B24294" s="233"/>
      <c r="C24294" s="238"/>
      <c r="E24294" s="545"/>
      <c r="F24294" s="546"/>
      <c r="G24294" s="234"/>
      <c r="H24294" s="238"/>
      <c r="I24294" s="237"/>
    </row>
    <row r="24295" spans="1:9" s="232" customFormat="1" ht="17" customHeight="1">
      <c r="A24295" s="234"/>
      <c r="B24295" s="233"/>
      <c r="C24295" s="238"/>
      <c r="E24295" s="545"/>
      <c r="F24295" s="546"/>
      <c r="G24295" s="234"/>
      <c r="H24295" s="238"/>
      <c r="I24295" s="237"/>
    </row>
    <row r="24296" spans="1:9" s="232" customFormat="1" ht="17" customHeight="1">
      <c r="A24296" s="234"/>
      <c r="B24296" s="233"/>
      <c r="C24296" s="238"/>
      <c r="E24296" s="545"/>
      <c r="F24296" s="546"/>
      <c r="G24296" s="234"/>
      <c r="H24296" s="238"/>
      <c r="I24296" s="237"/>
    </row>
    <row r="24297" spans="1:9" s="232" customFormat="1" ht="17" customHeight="1">
      <c r="A24297" s="234"/>
      <c r="B24297" s="233"/>
      <c r="C24297" s="238"/>
      <c r="E24297" s="545"/>
      <c r="F24297" s="546"/>
      <c r="G24297" s="234"/>
      <c r="H24297" s="238"/>
      <c r="I24297" s="237"/>
    </row>
    <row r="24298" spans="1:9" s="232" customFormat="1" ht="17" customHeight="1">
      <c r="A24298" s="234"/>
      <c r="B24298" s="233"/>
      <c r="C24298" s="238"/>
      <c r="E24298" s="545"/>
      <c r="F24298" s="546"/>
      <c r="G24298" s="234"/>
      <c r="H24298" s="238"/>
      <c r="I24298" s="237"/>
    </row>
    <row r="24299" spans="1:9" s="232" customFormat="1" ht="17" customHeight="1">
      <c r="A24299" s="234"/>
      <c r="B24299" s="233"/>
      <c r="C24299" s="238"/>
      <c r="E24299" s="545"/>
      <c r="F24299" s="546"/>
      <c r="G24299" s="234"/>
      <c r="H24299" s="238"/>
      <c r="I24299" s="237"/>
    </row>
    <row r="24300" spans="1:9" s="232" customFormat="1" ht="17" customHeight="1">
      <c r="A24300" s="234"/>
      <c r="B24300" s="233"/>
      <c r="C24300" s="238"/>
      <c r="E24300" s="545"/>
      <c r="F24300" s="546"/>
      <c r="G24300" s="234"/>
      <c r="H24300" s="238"/>
      <c r="I24300" s="237"/>
    </row>
    <row r="24301" spans="1:9" s="232" customFormat="1" ht="17" customHeight="1">
      <c r="A24301" s="234"/>
      <c r="B24301" s="233"/>
      <c r="C24301" s="238"/>
      <c r="E24301" s="545"/>
      <c r="F24301" s="546"/>
      <c r="G24301" s="234"/>
      <c r="H24301" s="238"/>
      <c r="I24301" s="237"/>
    </row>
    <row r="24302" spans="1:9" s="232" customFormat="1" ht="17" customHeight="1">
      <c r="A24302" s="234"/>
      <c r="B24302" s="233"/>
      <c r="C24302" s="238"/>
      <c r="E24302" s="545"/>
      <c r="F24302" s="546"/>
      <c r="G24302" s="234"/>
      <c r="H24302" s="238"/>
      <c r="I24302" s="237"/>
    </row>
    <row r="24303" spans="1:9" s="232" customFormat="1" ht="17" customHeight="1">
      <c r="A24303" s="234"/>
      <c r="B24303" s="233"/>
      <c r="C24303" s="238"/>
      <c r="E24303" s="545"/>
      <c r="F24303" s="546"/>
      <c r="G24303" s="234"/>
      <c r="H24303" s="238"/>
      <c r="I24303" s="237"/>
    </row>
    <row r="24304" spans="1:9" s="232" customFormat="1" ht="17" customHeight="1">
      <c r="A24304" s="234"/>
      <c r="B24304" s="233"/>
      <c r="C24304" s="238"/>
      <c r="E24304" s="545"/>
      <c r="F24304" s="546"/>
      <c r="G24304" s="234"/>
      <c r="H24304" s="238"/>
      <c r="I24304" s="237"/>
    </row>
    <row r="24305" spans="1:9" s="232" customFormat="1" ht="17" customHeight="1">
      <c r="A24305" s="234"/>
      <c r="B24305" s="233"/>
      <c r="C24305" s="238"/>
      <c r="E24305" s="545"/>
      <c r="F24305" s="546"/>
      <c r="G24305" s="234"/>
      <c r="H24305" s="238"/>
      <c r="I24305" s="237"/>
    </row>
    <row r="24306" spans="1:9" s="232" customFormat="1" ht="17" customHeight="1">
      <c r="A24306" s="234"/>
      <c r="B24306" s="233"/>
      <c r="C24306" s="238"/>
      <c r="E24306" s="545"/>
      <c r="F24306" s="546"/>
      <c r="G24306" s="234"/>
      <c r="H24306" s="238"/>
      <c r="I24306" s="237"/>
    </row>
    <row r="24307" spans="1:9" s="232" customFormat="1" ht="17" customHeight="1">
      <c r="A24307" s="234"/>
      <c r="B24307" s="233"/>
      <c r="C24307" s="238"/>
      <c r="E24307" s="545"/>
      <c r="F24307" s="546"/>
      <c r="G24307" s="234"/>
      <c r="H24307" s="238"/>
      <c r="I24307" s="237"/>
    </row>
    <row r="24308" spans="1:9" s="232" customFormat="1" ht="17" customHeight="1">
      <c r="A24308" s="234"/>
      <c r="B24308" s="233"/>
      <c r="C24308" s="238"/>
      <c r="E24308" s="545"/>
      <c r="F24308" s="546"/>
      <c r="G24308" s="234"/>
      <c r="H24308" s="238"/>
      <c r="I24308" s="237"/>
    </row>
    <row r="24309" spans="1:9" s="232" customFormat="1" ht="17" customHeight="1">
      <c r="A24309" s="234"/>
      <c r="B24309" s="233"/>
      <c r="C24309" s="238"/>
      <c r="E24309" s="545"/>
      <c r="F24309" s="546"/>
      <c r="G24309" s="234"/>
      <c r="H24309" s="238"/>
      <c r="I24309" s="237"/>
    </row>
    <row r="24310" spans="1:9" s="232" customFormat="1" ht="17" customHeight="1">
      <c r="A24310" s="234"/>
      <c r="B24310" s="233"/>
      <c r="C24310" s="238"/>
      <c r="E24310" s="545"/>
      <c r="F24310" s="546"/>
      <c r="G24310" s="234"/>
      <c r="H24310" s="238"/>
      <c r="I24310" s="237"/>
    </row>
    <row r="24311" spans="1:9" s="232" customFormat="1" ht="17" customHeight="1">
      <c r="A24311" s="234"/>
      <c r="B24311" s="233"/>
      <c r="C24311" s="238"/>
      <c r="E24311" s="545"/>
      <c r="F24311" s="546"/>
      <c r="G24311" s="234"/>
      <c r="H24311" s="238"/>
      <c r="I24311" s="237"/>
    </row>
    <row r="24312" spans="1:9" s="232" customFormat="1" ht="17" customHeight="1">
      <c r="A24312" s="234"/>
      <c r="B24312" s="233"/>
      <c r="C24312" s="238"/>
      <c r="E24312" s="545"/>
      <c r="F24312" s="546"/>
      <c r="G24312" s="234"/>
      <c r="H24312" s="238"/>
      <c r="I24312" s="237"/>
    </row>
    <row r="24313" spans="1:9" s="232" customFormat="1" ht="17" customHeight="1">
      <c r="A24313" s="234"/>
      <c r="B24313" s="233"/>
      <c r="C24313" s="238"/>
      <c r="E24313" s="545"/>
      <c r="F24313" s="546"/>
      <c r="G24313" s="234"/>
      <c r="H24313" s="238"/>
      <c r="I24313" s="237"/>
    </row>
    <row r="24314" spans="1:9" s="232" customFormat="1" ht="17" customHeight="1">
      <c r="A24314" s="234"/>
      <c r="B24314" s="233"/>
      <c r="C24314" s="238"/>
      <c r="E24314" s="545"/>
      <c r="F24314" s="546"/>
      <c r="G24314" s="234"/>
      <c r="H24314" s="238"/>
      <c r="I24314" s="237"/>
    </row>
    <row r="24315" spans="1:9" s="232" customFormat="1" ht="17" customHeight="1">
      <c r="A24315" s="234"/>
      <c r="B24315" s="233"/>
      <c r="C24315" s="238"/>
      <c r="E24315" s="545"/>
      <c r="F24315" s="546"/>
      <c r="G24315" s="234"/>
      <c r="H24315" s="238"/>
      <c r="I24315" s="237"/>
    </row>
    <row r="24316" spans="1:9" s="232" customFormat="1" ht="17" customHeight="1">
      <c r="A24316" s="234"/>
      <c r="B24316" s="233"/>
      <c r="C24316" s="238"/>
      <c r="E24316" s="545"/>
      <c r="F24316" s="546"/>
      <c r="G24316" s="234"/>
      <c r="H24316" s="238"/>
      <c r="I24316" s="237"/>
    </row>
    <row r="24317" spans="1:9" s="232" customFormat="1" ht="17" customHeight="1">
      <c r="A24317" s="234"/>
      <c r="B24317" s="233"/>
      <c r="C24317" s="238"/>
      <c r="E24317" s="545"/>
      <c r="F24317" s="546"/>
      <c r="G24317" s="234"/>
      <c r="H24317" s="238"/>
      <c r="I24317" s="237"/>
    </row>
    <row r="24318" spans="1:9" s="232" customFormat="1" ht="17" customHeight="1">
      <c r="A24318" s="234"/>
      <c r="B24318" s="233"/>
      <c r="C24318" s="238"/>
      <c r="E24318" s="545"/>
      <c r="F24318" s="546"/>
      <c r="G24318" s="234"/>
      <c r="H24318" s="238"/>
      <c r="I24318" s="237"/>
    </row>
    <row r="24319" spans="1:9" s="232" customFormat="1" ht="17" customHeight="1">
      <c r="A24319" s="234"/>
      <c r="B24319" s="233"/>
      <c r="C24319" s="238"/>
      <c r="E24319" s="545"/>
      <c r="F24319" s="546"/>
      <c r="G24319" s="234"/>
      <c r="H24319" s="238"/>
      <c r="I24319" s="237"/>
    </row>
    <row r="24320" spans="1:9" s="232" customFormat="1" ht="17" customHeight="1">
      <c r="A24320" s="234"/>
      <c r="B24320" s="233"/>
      <c r="C24320" s="238"/>
      <c r="E24320" s="545"/>
      <c r="F24320" s="546"/>
      <c r="G24320" s="234"/>
      <c r="H24320" s="238"/>
      <c r="I24320" s="237"/>
    </row>
    <row r="24321" spans="1:9" s="232" customFormat="1" ht="17" customHeight="1">
      <c r="A24321" s="234"/>
      <c r="B24321" s="233"/>
      <c r="C24321" s="238"/>
      <c r="E24321" s="545"/>
      <c r="F24321" s="546"/>
      <c r="G24321" s="234"/>
      <c r="H24321" s="238"/>
      <c r="I24321" s="237"/>
    </row>
    <row r="24322" spans="1:9" s="232" customFormat="1" ht="17" customHeight="1">
      <c r="A24322" s="234"/>
      <c r="B24322" s="233"/>
      <c r="C24322" s="238"/>
      <c r="E24322" s="545"/>
      <c r="F24322" s="546"/>
      <c r="G24322" s="234"/>
      <c r="H24322" s="238"/>
      <c r="I24322" s="237"/>
    </row>
    <row r="24323" spans="1:9" s="232" customFormat="1" ht="17" customHeight="1">
      <c r="A24323" s="234"/>
      <c r="B24323" s="233"/>
      <c r="C24323" s="238"/>
      <c r="E24323" s="545"/>
      <c r="F24323" s="546"/>
      <c r="G24323" s="234"/>
      <c r="H24323" s="238"/>
      <c r="I24323" s="237"/>
    </row>
    <row r="24324" spans="1:9" s="232" customFormat="1" ht="17" customHeight="1">
      <c r="A24324" s="234"/>
      <c r="B24324" s="233"/>
      <c r="C24324" s="238"/>
      <c r="E24324" s="545"/>
      <c r="F24324" s="546"/>
      <c r="G24324" s="234"/>
      <c r="H24324" s="238"/>
      <c r="I24324" s="237"/>
    </row>
    <row r="24325" spans="1:9" s="232" customFormat="1" ht="17" customHeight="1">
      <c r="A24325" s="234"/>
      <c r="B24325" s="233"/>
      <c r="C24325" s="238"/>
      <c r="E24325" s="545"/>
      <c r="F24325" s="546"/>
      <c r="G24325" s="234"/>
      <c r="H24325" s="238"/>
      <c r="I24325" s="237"/>
    </row>
    <row r="24326" spans="1:9" s="232" customFormat="1" ht="17" customHeight="1">
      <c r="A24326" s="234"/>
      <c r="B24326" s="233"/>
      <c r="C24326" s="238"/>
      <c r="E24326" s="545"/>
      <c r="F24326" s="546"/>
      <c r="G24326" s="234"/>
      <c r="H24326" s="238"/>
      <c r="I24326" s="237"/>
    </row>
    <row r="24327" spans="1:9" s="232" customFormat="1" ht="17" customHeight="1">
      <c r="A24327" s="234"/>
      <c r="B24327" s="233"/>
      <c r="C24327" s="238"/>
      <c r="E24327" s="545"/>
      <c r="F24327" s="546"/>
      <c r="G24327" s="234"/>
      <c r="H24327" s="238"/>
      <c r="I24327" s="237"/>
    </row>
    <row r="24328" spans="1:9" s="232" customFormat="1" ht="17" customHeight="1">
      <c r="A24328" s="234"/>
      <c r="B24328" s="233"/>
      <c r="C24328" s="238"/>
      <c r="E24328" s="545"/>
      <c r="F24328" s="546"/>
      <c r="G24328" s="234"/>
      <c r="H24328" s="238"/>
      <c r="I24328" s="237"/>
    </row>
    <row r="24329" spans="1:9" s="232" customFormat="1" ht="17" customHeight="1">
      <c r="A24329" s="234"/>
      <c r="B24329" s="233"/>
      <c r="C24329" s="238"/>
      <c r="E24329" s="545"/>
      <c r="F24329" s="546"/>
      <c r="G24329" s="234"/>
      <c r="H24329" s="238"/>
      <c r="I24329" s="237"/>
    </row>
    <row r="24330" spans="1:9" s="232" customFormat="1" ht="17" customHeight="1">
      <c r="A24330" s="234"/>
      <c r="B24330" s="233"/>
      <c r="C24330" s="238"/>
      <c r="E24330" s="545"/>
      <c r="F24330" s="546"/>
      <c r="G24330" s="234"/>
      <c r="H24330" s="238"/>
      <c r="I24330" s="237"/>
    </row>
    <row r="24331" spans="1:9" s="232" customFormat="1" ht="17" customHeight="1">
      <c r="A24331" s="234"/>
      <c r="B24331" s="233"/>
      <c r="C24331" s="238"/>
      <c r="E24331" s="545"/>
      <c r="F24331" s="546"/>
      <c r="G24331" s="234"/>
      <c r="H24331" s="238"/>
      <c r="I24331" s="237"/>
    </row>
    <row r="24332" spans="1:9" s="232" customFormat="1" ht="17" customHeight="1">
      <c r="A24332" s="234"/>
      <c r="B24332" s="233"/>
      <c r="C24332" s="238"/>
      <c r="E24332" s="545"/>
      <c r="F24332" s="546"/>
      <c r="G24332" s="234"/>
      <c r="H24332" s="238"/>
      <c r="I24332" s="237"/>
    </row>
    <row r="24333" spans="1:9" s="232" customFormat="1" ht="17" customHeight="1">
      <c r="A24333" s="234"/>
      <c r="B24333" s="233"/>
      <c r="C24333" s="238"/>
      <c r="E24333" s="545"/>
      <c r="F24333" s="546"/>
      <c r="G24333" s="234"/>
      <c r="H24333" s="238"/>
      <c r="I24333" s="237"/>
    </row>
    <row r="24334" spans="1:9" s="232" customFormat="1" ht="17" customHeight="1">
      <c r="A24334" s="234"/>
      <c r="B24334" s="233"/>
      <c r="C24334" s="238"/>
      <c r="E24334" s="545"/>
      <c r="F24334" s="546"/>
      <c r="G24334" s="234"/>
      <c r="H24334" s="238"/>
      <c r="I24334" s="237"/>
    </row>
    <row r="24335" spans="1:9" s="232" customFormat="1" ht="17" customHeight="1">
      <c r="A24335" s="234"/>
      <c r="B24335" s="233"/>
      <c r="C24335" s="238"/>
      <c r="E24335" s="545"/>
      <c r="F24335" s="546"/>
      <c r="G24335" s="234"/>
      <c r="H24335" s="238"/>
      <c r="I24335" s="237"/>
    </row>
    <row r="24336" spans="1:9" s="232" customFormat="1" ht="17" customHeight="1">
      <c r="A24336" s="234"/>
      <c r="B24336" s="233"/>
      <c r="C24336" s="238"/>
      <c r="E24336" s="545"/>
      <c r="F24336" s="546"/>
      <c r="G24336" s="234"/>
      <c r="H24336" s="238"/>
      <c r="I24336" s="237"/>
    </row>
    <row r="24337" spans="1:9" s="232" customFormat="1" ht="17" customHeight="1">
      <c r="A24337" s="234"/>
      <c r="B24337" s="233"/>
      <c r="C24337" s="238"/>
      <c r="E24337" s="545"/>
      <c r="F24337" s="546"/>
      <c r="G24337" s="234"/>
      <c r="H24337" s="238"/>
      <c r="I24337" s="237"/>
    </row>
    <row r="24338" spans="1:9" s="232" customFormat="1" ht="17" customHeight="1">
      <c r="A24338" s="234"/>
      <c r="B24338" s="233"/>
      <c r="C24338" s="238"/>
      <c r="E24338" s="545"/>
      <c r="F24338" s="546"/>
      <c r="G24338" s="234"/>
      <c r="H24338" s="238"/>
      <c r="I24338" s="237"/>
    </row>
    <row r="24339" spans="1:9" s="232" customFormat="1" ht="17" customHeight="1">
      <c r="A24339" s="234"/>
      <c r="B24339" s="233"/>
      <c r="C24339" s="238"/>
      <c r="E24339" s="545"/>
      <c r="F24339" s="546"/>
      <c r="G24339" s="234"/>
      <c r="H24339" s="238"/>
      <c r="I24339" s="237"/>
    </row>
    <row r="24340" spans="1:9" s="232" customFormat="1" ht="17" customHeight="1">
      <c r="A24340" s="234"/>
      <c r="B24340" s="233"/>
      <c r="C24340" s="238"/>
      <c r="E24340" s="545"/>
      <c r="F24340" s="546"/>
      <c r="G24340" s="234"/>
      <c r="H24340" s="238"/>
      <c r="I24340" s="237"/>
    </row>
    <row r="24341" spans="1:9" s="232" customFormat="1" ht="17" customHeight="1">
      <c r="A24341" s="234"/>
      <c r="B24341" s="233"/>
      <c r="C24341" s="238"/>
      <c r="E24341" s="545"/>
      <c r="F24341" s="546"/>
      <c r="G24341" s="234"/>
      <c r="H24341" s="238"/>
      <c r="I24341" s="237"/>
    </row>
    <row r="24342" spans="1:9" s="232" customFormat="1" ht="17" customHeight="1">
      <c r="A24342" s="234"/>
      <c r="B24342" s="233"/>
      <c r="C24342" s="238"/>
      <c r="E24342" s="545"/>
      <c r="F24342" s="546"/>
      <c r="G24342" s="234"/>
      <c r="H24342" s="238"/>
      <c r="I24342" s="237"/>
    </row>
    <row r="24343" spans="1:9" s="232" customFormat="1" ht="17" customHeight="1">
      <c r="A24343" s="234"/>
      <c r="B24343" s="233"/>
      <c r="C24343" s="238"/>
      <c r="E24343" s="545"/>
      <c r="F24343" s="546"/>
      <c r="G24343" s="234"/>
      <c r="H24343" s="238"/>
      <c r="I24343" s="237"/>
    </row>
    <row r="24344" spans="1:9" s="232" customFormat="1" ht="17" customHeight="1">
      <c r="A24344" s="234"/>
      <c r="B24344" s="233"/>
      <c r="C24344" s="238"/>
      <c r="E24344" s="545"/>
      <c r="F24344" s="546"/>
      <c r="G24344" s="234"/>
      <c r="H24344" s="238"/>
      <c r="I24344" s="237"/>
    </row>
    <row r="24345" spans="1:9" s="232" customFormat="1" ht="17" customHeight="1">
      <c r="A24345" s="234"/>
      <c r="B24345" s="233"/>
      <c r="C24345" s="238"/>
      <c r="E24345" s="545"/>
      <c r="F24345" s="546"/>
      <c r="G24345" s="234"/>
      <c r="H24345" s="238"/>
      <c r="I24345" s="237"/>
    </row>
    <row r="24346" spans="1:9" s="232" customFormat="1" ht="17" customHeight="1">
      <c r="A24346" s="234"/>
      <c r="B24346" s="233"/>
      <c r="C24346" s="238"/>
      <c r="E24346" s="545"/>
      <c r="F24346" s="546"/>
      <c r="G24346" s="234"/>
      <c r="H24346" s="238"/>
      <c r="I24346" s="237"/>
    </row>
    <row r="24347" spans="1:9" s="232" customFormat="1" ht="17" customHeight="1">
      <c r="A24347" s="234"/>
      <c r="B24347" s="233"/>
      <c r="C24347" s="238"/>
      <c r="E24347" s="545"/>
      <c r="F24347" s="546"/>
      <c r="G24347" s="234"/>
      <c r="H24347" s="238"/>
      <c r="I24347" s="237"/>
    </row>
    <row r="24348" spans="1:9" s="232" customFormat="1" ht="17" customHeight="1">
      <c r="A24348" s="234"/>
      <c r="B24348" s="233"/>
      <c r="C24348" s="238"/>
      <c r="E24348" s="545"/>
      <c r="F24348" s="546"/>
      <c r="G24348" s="234"/>
      <c r="H24348" s="238"/>
      <c r="I24348" s="237"/>
    </row>
    <row r="24349" spans="1:9" s="232" customFormat="1" ht="17" customHeight="1">
      <c r="A24349" s="234"/>
      <c r="B24349" s="233"/>
      <c r="C24349" s="238"/>
      <c r="E24349" s="545"/>
      <c r="F24349" s="546"/>
      <c r="G24349" s="234"/>
      <c r="H24349" s="238"/>
      <c r="I24349" s="237"/>
    </row>
    <row r="24350" spans="1:9" s="232" customFormat="1" ht="17" customHeight="1">
      <c r="A24350" s="234"/>
      <c r="B24350" s="233"/>
      <c r="C24350" s="238"/>
      <c r="E24350" s="545"/>
      <c r="F24350" s="546"/>
      <c r="G24350" s="234"/>
      <c r="H24350" s="238"/>
      <c r="I24350" s="237"/>
    </row>
    <row r="24351" spans="1:9" s="232" customFormat="1" ht="17" customHeight="1">
      <c r="A24351" s="234"/>
      <c r="B24351" s="233"/>
      <c r="C24351" s="238"/>
      <c r="E24351" s="545"/>
      <c r="F24351" s="546"/>
      <c r="G24351" s="234"/>
      <c r="H24351" s="238"/>
      <c r="I24351" s="237"/>
    </row>
    <row r="24352" spans="1:9" s="232" customFormat="1" ht="17" customHeight="1">
      <c r="A24352" s="234"/>
      <c r="B24352" s="233"/>
      <c r="C24352" s="238"/>
      <c r="E24352" s="545"/>
      <c r="F24352" s="546"/>
      <c r="G24352" s="234"/>
      <c r="H24352" s="238"/>
      <c r="I24352" s="237"/>
    </row>
    <row r="24353" spans="1:9" s="232" customFormat="1" ht="17" customHeight="1">
      <c r="A24353" s="234"/>
      <c r="B24353" s="233"/>
      <c r="C24353" s="238"/>
      <c r="E24353" s="545"/>
      <c r="F24353" s="546"/>
      <c r="G24353" s="234"/>
      <c r="H24353" s="238"/>
      <c r="I24353" s="237"/>
    </row>
    <row r="24354" spans="1:9" s="232" customFormat="1" ht="17" customHeight="1">
      <c r="A24354" s="234"/>
      <c r="B24354" s="233"/>
      <c r="C24354" s="238"/>
      <c r="E24354" s="545"/>
      <c r="F24354" s="546"/>
      <c r="G24354" s="234"/>
      <c r="H24354" s="238"/>
      <c r="I24354" s="237"/>
    </row>
    <row r="24355" spans="1:9" s="232" customFormat="1" ht="17" customHeight="1">
      <c r="A24355" s="234"/>
      <c r="B24355" s="233"/>
      <c r="C24355" s="238"/>
      <c r="E24355" s="545"/>
      <c r="F24355" s="546"/>
      <c r="G24355" s="234"/>
      <c r="H24355" s="238"/>
      <c r="I24355" s="237"/>
    </row>
    <row r="24356" spans="1:9" s="232" customFormat="1" ht="17" customHeight="1">
      <c r="A24356" s="234"/>
      <c r="B24356" s="233"/>
      <c r="C24356" s="238"/>
      <c r="E24356" s="545"/>
      <c r="F24356" s="546"/>
      <c r="G24356" s="234"/>
      <c r="H24356" s="238"/>
      <c r="I24356" s="237"/>
    </row>
    <row r="24357" spans="1:9" s="232" customFormat="1" ht="17" customHeight="1">
      <c r="A24357" s="234"/>
      <c r="B24357" s="233"/>
      <c r="C24357" s="238"/>
      <c r="E24357" s="545"/>
      <c r="F24357" s="546"/>
      <c r="G24357" s="234"/>
      <c r="H24357" s="238"/>
      <c r="I24357" s="237"/>
    </row>
    <row r="24358" spans="1:9" s="232" customFormat="1" ht="17" customHeight="1">
      <c r="A24358" s="234"/>
      <c r="B24358" s="233"/>
      <c r="C24358" s="238"/>
      <c r="E24358" s="545"/>
      <c r="F24358" s="546"/>
      <c r="G24358" s="234"/>
      <c r="H24358" s="238"/>
      <c r="I24358" s="237"/>
    </row>
    <row r="24359" spans="1:9" s="232" customFormat="1" ht="17" customHeight="1">
      <c r="A24359" s="234"/>
      <c r="B24359" s="233"/>
      <c r="C24359" s="238"/>
      <c r="E24359" s="545"/>
      <c r="F24359" s="546"/>
      <c r="G24359" s="234"/>
      <c r="H24359" s="238"/>
      <c r="I24359" s="237"/>
    </row>
    <row r="24360" spans="1:9" s="232" customFormat="1" ht="17" customHeight="1">
      <c r="A24360" s="234"/>
      <c r="B24360" s="233"/>
      <c r="C24360" s="238"/>
      <c r="E24360" s="545"/>
      <c r="F24360" s="546"/>
      <c r="G24360" s="234"/>
      <c r="H24360" s="238"/>
      <c r="I24360" s="237"/>
    </row>
    <row r="24361" spans="1:9" s="232" customFormat="1" ht="17" customHeight="1">
      <c r="A24361" s="234"/>
      <c r="B24361" s="233"/>
      <c r="C24361" s="238"/>
      <c r="E24361" s="545"/>
      <c r="F24361" s="546"/>
      <c r="G24361" s="234"/>
      <c r="H24361" s="238"/>
      <c r="I24361" s="237"/>
    </row>
    <row r="24362" spans="1:9" s="232" customFormat="1" ht="17" customHeight="1">
      <c r="A24362" s="234"/>
      <c r="B24362" s="233"/>
      <c r="C24362" s="238"/>
      <c r="E24362" s="545"/>
      <c r="F24362" s="546"/>
      <c r="G24362" s="234"/>
      <c r="H24362" s="238"/>
      <c r="I24362" s="237"/>
    </row>
    <row r="24363" spans="1:9" s="232" customFormat="1" ht="17" customHeight="1">
      <c r="A24363" s="234"/>
      <c r="B24363" s="233"/>
      <c r="C24363" s="238"/>
      <c r="E24363" s="545"/>
      <c r="F24363" s="546"/>
      <c r="G24363" s="234"/>
      <c r="H24363" s="238"/>
      <c r="I24363" s="237"/>
    </row>
    <row r="24364" spans="1:9" s="232" customFormat="1" ht="17" customHeight="1">
      <c r="A24364" s="234"/>
      <c r="B24364" s="233"/>
      <c r="C24364" s="238"/>
      <c r="E24364" s="545"/>
      <c r="F24364" s="546"/>
      <c r="G24364" s="234"/>
      <c r="H24364" s="238"/>
      <c r="I24364" s="237"/>
    </row>
    <row r="24365" spans="1:9" s="232" customFormat="1" ht="17" customHeight="1">
      <c r="A24365" s="234"/>
      <c r="B24365" s="233"/>
      <c r="C24365" s="238"/>
      <c r="E24365" s="545"/>
      <c r="F24365" s="546"/>
      <c r="G24365" s="234"/>
      <c r="H24365" s="238"/>
      <c r="I24365" s="237"/>
    </row>
    <row r="24366" spans="1:9" s="232" customFormat="1" ht="17" customHeight="1">
      <c r="A24366" s="234"/>
      <c r="B24366" s="233"/>
      <c r="C24366" s="238"/>
      <c r="E24366" s="545"/>
      <c r="F24366" s="546"/>
      <c r="G24366" s="234"/>
      <c r="H24366" s="238"/>
      <c r="I24366" s="237"/>
    </row>
    <row r="24367" spans="1:9" s="232" customFormat="1" ht="17" customHeight="1">
      <c r="A24367" s="234"/>
      <c r="B24367" s="233"/>
      <c r="C24367" s="238"/>
      <c r="E24367" s="545"/>
      <c r="F24367" s="546"/>
      <c r="G24367" s="234"/>
      <c r="H24367" s="238"/>
      <c r="I24367" s="237"/>
    </row>
    <row r="24368" spans="1:9" s="232" customFormat="1" ht="17" customHeight="1">
      <c r="A24368" s="234"/>
      <c r="B24368" s="233"/>
      <c r="C24368" s="238"/>
      <c r="E24368" s="545"/>
      <c r="F24368" s="546"/>
      <c r="G24368" s="234"/>
      <c r="H24368" s="238"/>
      <c r="I24368" s="237"/>
    </row>
    <row r="24369" spans="1:9" s="232" customFormat="1" ht="17" customHeight="1">
      <c r="A24369" s="234"/>
      <c r="B24369" s="233"/>
      <c r="C24369" s="238"/>
      <c r="E24369" s="545"/>
      <c r="F24369" s="546"/>
      <c r="G24369" s="234"/>
      <c r="H24369" s="238"/>
      <c r="I24369" s="237"/>
    </row>
    <row r="24370" spans="1:9" s="232" customFormat="1" ht="17" customHeight="1">
      <c r="A24370" s="234"/>
      <c r="B24370" s="233"/>
      <c r="C24370" s="238"/>
      <c r="E24370" s="545"/>
      <c r="F24370" s="546"/>
      <c r="G24370" s="234"/>
      <c r="H24370" s="238"/>
      <c r="I24370" s="237"/>
    </row>
    <row r="24371" spans="1:9" s="232" customFormat="1" ht="17" customHeight="1">
      <c r="A24371" s="234"/>
      <c r="B24371" s="233"/>
      <c r="C24371" s="238"/>
      <c r="E24371" s="545"/>
      <c r="F24371" s="546"/>
      <c r="G24371" s="234"/>
      <c r="H24371" s="238"/>
      <c r="I24371" s="237"/>
    </row>
    <row r="24372" spans="1:9" s="232" customFormat="1" ht="17" customHeight="1">
      <c r="A24372" s="234"/>
      <c r="B24372" s="233"/>
      <c r="C24372" s="238"/>
      <c r="E24372" s="545"/>
      <c r="F24372" s="546"/>
      <c r="G24372" s="234"/>
      <c r="H24372" s="238"/>
      <c r="I24372" s="237"/>
    </row>
    <row r="24373" spans="1:9" s="232" customFormat="1" ht="17" customHeight="1">
      <c r="A24373" s="234"/>
      <c r="B24373" s="233"/>
      <c r="C24373" s="238"/>
      <c r="E24373" s="545"/>
      <c r="F24373" s="546"/>
      <c r="G24373" s="234"/>
      <c r="H24373" s="238"/>
      <c r="I24373" s="237"/>
    </row>
    <row r="24374" spans="1:9" s="232" customFormat="1" ht="17" customHeight="1">
      <c r="A24374" s="234"/>
      <c r="B24374" s="233"/>
      <c r="C24374" s="238"/>
      <c r="E24374" s="545"/>
      <c r="F24374" s="546"/>
      <c r="G24374" s="234"/>
      <c r="H24374" s="238"/>
      <c r="I24374" s="237"/>
    </row>
    <row r="24375" spans="1:9" s="232" customFormat="1" ht="17" customHeight="1">
      <c r="A24375" s="234"/>
      <c r="B24375" s="233"/>
      <c r="C24375" s="238"/>
      <c r="E24375" s="545"/>
      <c r="F24375" s="546"/>
      <c r="G24375" s="234"/>
      <c r="H24375" s="238"/>
      <c r="I24375" s="237"/>
    </row>
    <row r="24376" spans="1:9" s="232" customFormat="1" ht="17" customHeight="1">
      <c r="A24376" s="234"/>
      <c r="B24376" s="233"/>
      <c r="C24376" s="238"/>
      <c r="E24376" s="545"/>
      <c r="F24376" s="546"/>
      <c r="G24376" s="234"/>
      <c r="H24376" s="238"/>
      <c r="I24376" s="237"/>
    </row>
    <row r="24377" spans="1:9" s="232" customFormat="1" ht="17" customHeight="1">
      <c r="A24377" s="234"/>
      <c r="B24377" s="233"/>
      <c r="C24377" s="238"/>
      <c r="E24377" s="545"/>
      <c r="F24377" s="546"/>
      <c r="G24377" s="234"/>
      <c r="H24377" s="238"/>
      <c r="I24377" s="237"/>
    </row>
    <row r="24378" spans="1:9" s="232" customFormat="1" ht="17" customHeight="1">
      <c r="A24378" s="234"/>
      <c r="B24378" s="233"/>
      <c r="C24378" s="238"/>
      <c r="E24378" s="545"/>
      <c r="F24378" s="546"/>
      <c r="G24378" s="234"/>
      <c r="H24378" s="238"/>
      <c r="I24378" s="237"/>
    </row>
    <row r="24379" spans="1:9" s="232" customFormat="1" ht="17" customHeight="1">
      <c r="A24379" s="234"/>
      <c r="B24379" s="233"/>
      <c r="C24379" s="238"/>
      <c r="E24379" s="545"/>
      <c r="F24379" s="546"/>
      <c r="G24379" s="234"/>
      <c r="H24379" s="238"/>
      <c r="I24379" s="237"/>
    </row>
    <row r="24380" spans="1:9" s="232" customFormat="1" ht="17" customHeight="1">
      <c r="A24380" s="234"/>
      <c r="B24380" s="233"/>
      <c r="C24380" s="238"/>
      <c r="E24380" s="545"/>
      <c r="F24380" s="546"/>
      <c r="G24380" s="234"/>
      <c r="H24380" s="238"/>
      <c r="I24380" s="237"/>
    </row>
    <row r="24381" spans="1:9" s="232" customFormat="1" ht="17" customHeight="1">
      <c r="A24381" s="234"/>
      <c r="B24381" s="233"/>
      <c r="C24381" s="238"/>
      <c r="E24381" s="545"/>
      <c r="F24381" s="546"/>
      <c r="G24381" s="234"/>
      <c r="H24381" s="238"/>
      <c r="I24381" s="237"/>
    </row>
    <row r="24382" spans="1:9" s="232" customFormat="1" ht="17" customHeight="1">
      <c r="A24382" s="234"/>
      <c r="B24382" s="233"/>
      <c r="C24382" s="238"/>
      <c r="E24382" s="545"/>
      <c r="F24382" s="546"/>
      <c r="G24382" s="234"/>
      <c r="H24382" s="238"/>
      <c r="I24382" s="237"/>
    </row>
    <row r="24383" spans="1:9" s="232" customFormat="1" ht="17" customHeight="1">
      <c r="A24383" s="234"/>
      <c r="B24383" s="233"/>
      <c r="C24383" s="238"/>
      <c r="E24383" s="545"/>
      <c r="F24383" s="546"/>
      <c r="G24383" s="234"/>
      <c r="H24383" s="238"/>
      <c r="I24383" s="237"/>
    </row>
    <row r="24384" spans="1:9" s="232" customFormat="1" ht="17" customHeight="1">
      <c r="A24384" s="234"/>
      <c r="B24384" s="233"/>
      <c r="C24384" s="238"/>
      <c r="E24384" s="545"/>
      <c r="F24384" s="546"/>
      <c r="G24384" s="234"/>
      <c r="H24384" s="238"/>
      <c r="I24384" s="237"/>
    </row>
    <row r="24385" spans="1:9" s="232" customFormat="1" ht="17" customHeight="1">
      <c r="A24385" s="234"/>
      <c r="B24385" s="233"/>
      <c r="C24385" s="238"/>
      <c r="E24385" s="545"/>
      <c r="F24385" s="546"/>
      <c r="G24385" s="234"/>
      <c r="H24385" s="238"/>
      <c r="I24385" s="237"/>
    </row>
    <row r="24386" spans="1:9" s="232" customFormat="1" ht="17" customHeight="1">
      <c r="A24386" s="234"/>
      <c r="B24386" s="233"/>
      <c r="C24386" s="238"/>
      <c r="E24386" s="545"/>
      <c r="F24386" s="546"/>
      <c r="G24386" s="234"/>
      <c r="H24386" s="238"/>
      <c r="I24386" s="237"/>
    </row>
    <row r="24387" spans="1:9" s="232" customFormat="1" ht="17" customHeight="1">
      <c r="A24387" s="234"/>
      <c r="B24387" s="233"/>
      <c r="C24387" s="238"/>
      <c r="E24387" s="545"/>
      <c r="F24387" s="546"/>
      <c r="G24387" s="234"/>
      <c r="H24387" s="238"/>
      <c r="I24387" s="237"/>
    </row>
    <row r="24388" spans="1:9" s="232" customFormat="1" ht="17" customHeight="1">
      <c r="A24388" s="234"/>
      <c r="B24388" s="233"/>
      <c r="C24388" s="238"/>
      <c r="E24388" s="545"/>
      <c r="F24388" s="546"/>
      <c r="G24388" s="234"/>
      <c r="H24388" s="238"/>
      <c r="I24388" s="237"/>
    </row>
    <row r="24389" spans="1:9" s="232" customFormat="1" ht="17" customHeight="1">
      <c r="A24389" s="234"/>
      <c r="B24389" s="233"/>
      <c r="C24389" s="238"/>
      <c r="E24389" s="545"/>
      <c r="F24389" s="546"/>
      <c r="G24389" s="234"/>
      <c r="H24389" s="238"/>
      <c r="I24389" s="237"/>
    </row>
    <row r="24390" spans="1:9" s="232" customFormat="1" ht="17" customHeight="1">
      <c r="A24390" s="234"/>
      <c r="B24390" s="233"/>
      <c r="C24390" s="238"/>
      <c r="E24390" s="545"/>
      <c r="F24390" s="546"/>
      <c r="G24390" s="234"/>
      <c r="H24390" s="238"/>
      <c r="I24390" s="237"/>
    </row>
    <row r="24391" spans="1:9" s="232" customFormat="1" ht="17" customHeight="1">
      <c r="A24391" s="234"/>
      <c r="B24391" s="233"/>
      <c r="C24391" s="238"/>
      <c r="E24391" s="545"/>
      <c r="F24391" s="546"/>
      <c r="G24391" s="234"/>
      <c r="H24391" s="238"/>
      <c r="I24391" s="237"/>
    </row>
    <row r="24392" spans="1:9" s="232" customFormat="1" ht="17" customHeight="1">
      <c r="A24392" s="234"/>
      <c r="B24392" s="233"/>
      <c r="C24392" s="238"/>
      <c r="E24392" s="545"/>
      <c r="F24392" s="546"/>
      <c r="G24392" s="234"/>
      <c r="H24392" s="238"/>
      <c r="I24392" s="237"/>
    </row>
    <row r="24393" spans="1:9" s="232" customFormat="1" ht="17" customHeight="1">
      <c r="A24393" s="234"/>
      <c r="B24393" s="233"/>
      <c r="C24393" s="238"/>
      <c r="E24393" s="545"/>
      <c r="F24393" s="546"/>
      <c r="G24393" s="234"/>
      <c r="H24393" s="238"/>
      <c r="I24393" s="237"/>
    </row>
    <row r="24394" spans="1:9" s="232" customFormat="1" ht="17" customHeight="1">
      <c r="A24394" s="234"/>
      <c r="B24394" s="233"/>
      <c r="C24394" s="238"/>
      <c r="E24394" s="545"/>
      <c r="F24394" s="546"/>
      <c r="G24394" s="234"/>
      <c r="H24394" s="238"/>
      <c r="I24394" s="237"/>
    </row>
    <row r="24395" spans="1:9" s="232" customFormat="1" ht="17" customHeight="1">
      <c r="A24395" s="234"/>
      <c r="B24395" s="233"/>
      <c r="C24395" s="238"/>
      <c r="E24395" s="545"/>
      <c r="F24395" s="546"/>
      <c r="G24395" s="234"/>
      <c r="H24395" s="238"/>
      <c r="I24395" s="237"/>
    </row>
    <row r="24396" spans="1:9" s="232" customFormat="1" ht="17" customHeight="1">
      <c r="A24396" s="234"/>
      <c r="B24396" s="233"/>
      <c r="C24396" s="238"/>
      <c r="E24396" s="545"/>
      <c r="F24396" s="546"/>
      <c r="G24396" s="234"/>
      <c r="H24396" s="238"/>
      <c r="I24396" s="237"/>
    </row>
    <row r="24397" spans="1:9" s="232" customFormat="1" ht="17" customHeight="1">
      <c r="A24397" s="234"/>
      <c r="B24397" s="233"/>
      <c r="C24397" s="238"/>
      <c r="E24397" s="545"/>
      <c r="F24397" s="546"/>
      <c r="G24397" s="234"/>
      <c r="H24397" s="238"/>
      <c r="I24397" s="237"/>
    </row>
    <row r="24398" spans="1:9" s="232" customFormat="1" ht="17" customHeight="1">
      <c r="A24398" s="234"/>
      <c r="B24398" s="233"/>
      <c r="C24398" s="238"/>
      <c r="E24398" s="545"/>
      <c r="F24398" s="546"/>
      <c r="G24398" s="234"/>
      <c r="H24398" s="238"/>
      <c r="I24398" s="237"/>
    </row>
    <row r="24399" spans="1:9" s="232" customFormat="1" ht="17" customHeight="1">
      <c r="A24399" s="234"/>
      <c r="B24399" s="233"/>
      <c r="C24399" s="238"/>
      <c r="E24399" s="545"/>
      <c r="F24399" s="546"/>
      <c r="G24399" s="234"/>
      <c r="H24399" s="238"/>
      <c r="I24399" s="237"/>
    </row>
    <row r="24400" spans="1:9" s="232" customFormat="1" ht="17" customHeight="1">
      <c r="A24400" s="234"/>
      <c r="B24400" s="233"/>
      <c r="C24400" s="238"/>
      <c r="E24400" s="545"/>
      <c r="F24400" s="546"/>
      <c r="G24400" s="234"/>
      <c r="H24400" s="238"/>
      <c r="I24400" s="237"/>
    </row>
    <row r="24401" spans="1:9" s="232" customFormat="1" ht="17" customHeight="1">
      <c r="A24401" s="234"/>
      <c r="B24401" s="233"/>
      <c r="C24401" s="238"/>
      <c r="E24401" s="545"/>
      <c r="F24401" s="546"/>
      <c r="G24401" s="234"/>
      <c r="H24401" s="238"/>
      <c r="I24401" s="237"/>
    </row>
    <row r="24402" spans="1:9" s="232" customFormat="1" ht="17" customHeight="1">
      <c r="A24402" s="234"/>
      <c r="B24402" s="233"/>
      <c r="C24402" s="238"/>
      <c r="E24402" s="545"/>
      <c r="F24402" s="546"/>
      <c r="G24402" s="234"/>
      <c r="H24402" s="238"/>
      <c r="I24402" s="237"/>
    </row>
    <row r="24403" spans="1:9" s="232" customFormat="1" ht="17" customHeight="1">
      <c r="A24403" s="234"/>
      <c r="B24403" s="233"/>
      <c r="C24403" s="238"/>
      <c r="E24403" s="545"/>
      <c r="F24403" s="546"/>
      <c r="G24403" s="234"/>
      <c r="H24403" s="238"/>
      <c r="I24403" s="237"/>
    </row>
    <row r="24404" spans="1:9" s="232" customFormat="1" ht="17" customHeight="1">
      <c r="A24404" s="234"/>
      <c r="B24404" s="233"/>
      <c r="C24404" s="238"/>
      <c r="E24404" s="545"/>
      <c r="F24404" s="546"/>
      <c r="G24404" s="234"/>
      <c r="H24404" s="238"/>
      <c r="I24404" s="237"/>
    </row>
    <row r="24405" spans="1:9" s="232" customFormat="1" ht="17" customHeight="1">
      <c r="A24405" s="234"/>
      <c r="B24405" s="233"/>
      <c r="C24405" s="238"/>
      <c r="E24405" s="545"/>
      <c r="F24405" s="546"/>
      <c r="G24405" s="234"/>
      <c r="H24405" s="238"/>
      <c r="I24405" s="237"/>
    </row>
    <row r="24406" spans="1:9" s="232" customFormat="1" ht="17" customHeight="1">
      <c r="A24406" s="234"/>
      <c r="B24406" s="233"/>
      <c r="C24406" s="238"/>
      <c r="E24406" s="545"/>
      <c r="F24406" s="546"/>
      <c r="G24406" s="234"/>
      <c r="H24406" s="238"/>
      <c r="I24406" s="237"/>
    </row>
    <row r="24407" spans="1:9" s="232" customFormat="1" ht="17" customHeight="1">
      <c r="A24407" s="234"/>
      <c r="B24407" s="233"/>
      <c r="C24407" s="238"/>
      <c r="E24407" s="545"/>
      <c r="F24407" s="546"/>
      <c r="G24407" s="234"/>
      <c r="H24407" s="238"/>
      <c r="I24407" s="237"/>
    </row>
    <row r="24408" spans="1:9" s="232" customFormat="1" ht="17" customHeight="1">
      <c r="A24408" s="234"/>
      <c r="B24408" s="233"/>
      <c r="C24408" s="238"/>
      <c r="E24408" s="545"/>
      <c r="F24408" s="546"/>
      <c r="G24408" s="234"/>
      <c r="H24408" s="238"/>
      <c r="I24408" s="237"/>
    </row>
    <row r="24409" spans="1:9" s="232" customFormat="1" ht="17" customHeight="1">
      <c r="A24409" s="234"/>
      <c r="B24409" s="233"/>
      <c r="C24409" s="238"/>
      <c r="E24409" s="545"/>
      <c r="F24409" s="546"/>
      <c r="G24409" s="234"/>
      <c r="H24409" s="238"/>
      <c r="I24409" s="237"/>
    </row>
    <row r="24410" spans="1:9" s="232" customFormat="1" ht="17" customHeight="1">
      <c r="A24410" s="234"/>
      <c r="B24410" s="233"/>
      <c r="C24410" s="238"/>
      <c r="E24410" s="545"/>
      <c r="F24410" s="546"/>
      <c r="G24410" s="234"/>
      <c r="H24410" s="238"/>
      <c r="I24410" s="237"/>
    </row>
    <row r="24411" spans="1:9" s="232" customFormat="1" ht="17" customHeight="1">
      <c r="A24411" s="234"/>
      <c r="B24411" s="233"/>
      <c r="C24411" s="238"/>
      <c r="E24411" s="545"/>
      <c r="F24411" s="546"/>
      <c r="G24411" s="234"/>
      <c r="H24411" s="238"/>
      <c r="I24411" s="237"/>
    </row>
    <row r="24412" spans="1:9" s="232" customFormat="1" ht="17" customHeight="1">
      <c r="A24412" s="234"/>
      <c r="B24412" s="233"/>
      <c r="C24412" s="238"/>
      <c r="E24412" s="545"/>
      <c r="F24412" s="546"/>
      <c r="G24412" s="234"/>
      <c r="H24412" s="238"/>
      <c r="I24412" s="237"/>
    </row>
    <row r="24413" spans="1:9" s="232" customFormat="1" ht="17" customHeight="1">
      <c r="A24413" s="234"/>
      <c r="B24413" s="233"/>
      <c r="C24413" s="238"/>
      <c r="E24413" s="545"/>
      <c r="F24413" s="546"/>
      <c r="G24413" s="234"/>
      <c r="H24413" s="238"/>
      <c r="I24413" s="237"/>
    </row>
    <row r="24414" spans="1:9" s="232" customFormat="1" ht="17" customHeight="1">
      <c r="A24414" s="234"/>
      <c r="B24414" s="233"/>
      <c r="C24414" s="238"/>
      <c r="E24414" s="545"/>
      <c r="F24414" s="546"/>
      <c r="G24414" s="234"/>
      <c r="H24414" s="238"/>
      <c r="I24414" s="237"/>
    </row>
    <row r="24415" spans="1:9" s="232" customFormat="1" ht="17" customHeight="1">
      <c r="A24415" s="234"/>
      <c r="B24415" s="233"/>
      <c r="C24415" s="238"/>
      <c r="E24415" s="545"/>
      <c r="F24415" s="546"/>
      <c r="G24415" s="234"/>
      <c r="H24415" s="238"/>
      <c r="I24415" s="237"/>
    </row>
    <row r="24416" spans="1:9" s="232" customFormat="1" ht="17" customHeight="1">
      <c r="A24416" s="234"/>
      <c r="B24416" s="233"/>
      <c r="C24416" s="238"/>
      <c r="E24416" s="545"/>
      <c r="F24416" s="546"/>
      <c r="G24416" s="234"/>
      <c r="H24416" s="238"/>
      <c r="I24416" s="237"/>
    </row>
    <row r="24417" spans="1:9" s="232" customFormat="1" ht="17" customHeight="1">
      <c r="A24417" s="234"/>
      <c r="B24417" s="233"/>
      <c r="C24417" s="238"/>
      <c r="E24417" s="545"/>
      <c r="F24417" s="546"/>
      <c r="G24417" s="234"/>
      <c r="H24417" s="238"/>
      <c r="I24417" s="237"/>
    </row>
    <row r="24418" spans="1:9" s="232" customFormat="1" ht="17" customHeight="1">
      <c r="A24418" s="234"/>
      <c r="B24418" s="233"/>
      <c r="C24418" s="238"/>
      <c r="E24418" s="545"/>
      <c r="F24418" s="546"/>
      <c r="G24418" s="234"/>
      <c r="H24418" s="238"/>
      <c r="I24418" s="237"/>
    </row>
    <row r="24419" spans="1:9" s="232" customFormat="1" ht="17" customHeight="1">
      <c r="A24419" s="234"/>
      <c r="B24419" s="233"/>
      <c r="C24419" s="238"/>
      <c r="E24419" s="545"/>
      <c r="F24419" s="546"/>
      <c r="G24419" s="234"/>
      <c r="H24419" s="238"/>
      <c r="I24419" s="237"/>
    </row>
    <row r="24420" spans="1:9" s="232" customFormat="1" ht="17" customHeight="1">
      <c r="A24420" s="234"/>
      <c r="B24420" s="233"/>
      <c r="C24420" s="238"/>
      <c r="E24420" s="545"/>
      <c r="F24420" s="546"/>
      <c r="G24420" s="234"/>
      <c r="H24420" s="238"/>
      <c r="I24420" s="237"/>
    </row>
    <row r="24421" spans="1:9" s="232" customFormat="1" ht="17" customHeight="1">
      <c r="A24421" s="234"/>
      <c r="B24421" s="233"/>
      <c r="C24421" s="238"/>
      <c r="E24421" s="545"/>
      <c r="F24421" s="546"/>
      <c r="G24421" s="234"/>
      <c r="H24421" s="238"/>
      <c r="I24421" s="237"/>
    </row>
    <row r="24422" spans="1:9" s="232" customFormat="1" ht="17" customHeight="1">
      <c r="A24422" s="234"/>
      <c r="B24422" s="233"/>
      <c r="C24422" s="238"/>
      <c r="E24422" s="545"/>
      <c r="F24422" s="546"/>
      <c r="G24422" s="234"/>
      <c r="H24422" s="238"/>
      <c r="I24422" s="237"/>
    </row>
    <row r="24423" spans="1:9" s="232" customFormat="1" ht="17" customHeight="1">
      <c r="A24423" s="234"/>
      <c r="B24423" s="233"/>
      <c r="C24423" s="238"/>
      <c r="E24423" s="545"/>
      <c r="F24423" s="546"/>
      <c r="G24423" s="234"/>
      <c r="H24423" s="238"/>
      <c r="I24423" s="237"/>
    </row>
    <row r="24424" spans="1:9" s="232" customFormat="1" ht="17" customHeight="1">
      <c r="A24424" s="234"/>
      <c r="B24424" s="233"/>
      <c r="C24424" s="238"/>
      <c r="E24424" s="545"/>
      <c r="F24424" s="546"/>
      <c r="G24424" s="234"/>
      <c r="H24424" s="238"/>
      <c r="I24424" s="237"/>
    </row>
    <row r="24425" spans="1:9" s="232" customFormat="1" ht="17" customHeight="1">
      <c r="A24425" s="234"/>
      <c r="B24425" s="233"/>
      <c r="C24425" s="238"/>
      <c r="E24425" s="545"/>
      <c r="F24425" s="546"/>
      <c r="G24425" s="234"/>
      <c r="H24425" s="238"/>
      <c r="I24425" s="237"/>
    </row>
    <row r="24426" spans="1:9" s="232" customFormat="1" ht="17" customHeight="1">
      <c r="A24426" s="234"/>
      <c r="B24426" s="233"/>
      <c r="C24426" s="238"/>
      <c r="E24426" s="545"/>
      <c r="F24426" s="546"/>
      <c r="G24426" s="234"/>
      <c r="H24426" s="238"/>
      <c r="I24426" s="237"/>
    </row>
    <row r="24427" spans="1:9" s="232" customFormat="1" ht="17" customHeight="1">
      <c r="A24427" s="234"/>
      <c r="B24427" s="233"/>
      <c r="C24427" s="238"/>
      <c r="E24427" s="545"/>
      <c r="F24427" s="546"/>
      <c r="G24427" s="234"/>
      <c r="H24427" s="238"/>
      <c r="I24427" s="237"/>
    </row>
    <row r="24428" spans="1:9" ht="17" customHeight="1">
      <c r="B24428" s="233"/>
      <c r="C24428" s="238"/>
      <c r="D24428" s="232"/>
      <c r="E24428" s="545"/>
      <c r="F24428" s="546"/>
    </row>
  </sheetData>
  <autoFilter ref="A1:CJ24427" xr:uid="{3152B17E-2258-5642-BD6D-21BDD76C8CBA}"/>
  <sortState xmlns:xlrd2="http://schemas.microsoft.com/office/spreadsheetml/2017/richdata2" ref="B8:H454">
    <sortCondition ref="B1141:B1218"/>
  </sortState>
  <dataConsolidate/>
  <mergeCells count="7">
    <mergeCell ref="A7:A205"/>
    <mergeCell ref="B2:H2"/>
    <mergeCell ref="B3:C3"/>
    <mergeCell ref="B4:C4"/>
    <mergeCell ref="B5:C5"/>
    <mergeCell ref="E3:H3"/>
    <mergeCell ref="E4:H4"/>
  </mergeCells>
  <phoneticPr fontId="8" type="noConversion"/>
  <conditionalFormatting sqref="C7:C55 C491:C582 C743:C999 C379:C467 C1055:C1112 C1751 C1126:C1390 C1392:C1422 C1743:C1748 C1859:C1892 C2087:C2106 C2118:C2214 C2232:C2244 C2246:C2324 C2216:C2230 C2335:C2391 C2394:C2445 C2460:C2463 C2465:C2509">
    <cfRule type="containsText" dxfId="1230" priority="1209" operator="containsText" text="PERSONALE">
      <formula>NOT(ISERROR(SEARCH("PERSONALE",C7)))</formula>
    </cfRule>
  </conditionalFormatting>
  <conditionalFormatting sqref="C7:C285 C287:C341 C355:C357 C361 C364:C365 C368:C371 C374:C376 C379:C380 C401:C467 C494:C582 C587:C675 C677:C748 C750:C999 C1003:C1112 C1115:C1123 C1126:C1297 C1345:C1349 C1353 C1356:C1358 C1361:C1370 C1373:C1375 C1378 C1381:C1388 C1395:C1400 C1409:C1412 C1415:C1420 C1424 C1427:C1428 C1431:C1432 C1436 C1439:C1448 C1451:C1466 C1469:C1471 C1474 C1554:C1555 C1558:C1564 C1567:C1571 C1574:C1577 C1580:C1587 C1590:C1591 C1594:C1595 C1601:C1602 C1605:C1610 C1614 C1616:C1618 C1621:C1623 C1626:C1630 C1633:C1638 C1642:C1650 C1653:C1663 C1666:C1668 C1671:C1676 C1680:C1687 C1689:C1690 C1694:C1697 C1700 C1703:C1718 C1753:C1754 C1756:C1760 C1762:C1765 C1767:C1768 C1770:C1784 C1786:C1789 C1791:C1795 C1797:C1798 C1800:C1804 C1806 C1808:C1810 C1812:C1813 C1815:C1822 C1824:C1829 C1831:C1833 C1835:C1836 C1838:C1840 C1842:C1844 C1846:C1858 C1860:C1862 C1864:C1892 C1894:C1979 C2246:C2391 C2394:C2445 C2447:C2452 C2454:C2455 C2457:C2458 C2460:C2463 C2465:C2527 C2529:C2538 C2540:C2543 C2551:C2578 C2580:C2587 C2590:C10163 C469:C492 C393:C398 C387:C390 C1742:C1749 C1751 C1981:C2106 C2108:C2214 C2216:C2230 C2232:C2244 C1721:C1724 C1727:C1731 C1735:C1739 C2548:C2549 C2545:C2546">
    <cfRule type="containsText" dxfId="1229" priority="1343" operator="containsText" text="NICOLA">
      <formula>NOT(ISERROR(SEARCH("NICOLA",C7)))</formula>
    </cfRule>
  </conditionalFormatting>
  <conditionalFormatting sqref="C56:C59">
    <cfRule type="containsText" dxfId="1228" priority="1205" operator="containsText" text="PERSONALE">
      <formula>NOT(ISERROR(SEARCH("PERSONALE",C56)))</formula>
    </cfRule>
  </conditionalFormatting>
  <conditionalFormatting sqref="C60:C136">
    <cfRule type="containsText" dxfId="1227" priority="1213" operator="containsText" text="PERSONALE">
      <formula>NOT(ISERROR(SEARCH("PERSONALE",C60)))</formula>
    </cfRule>
  </conditionalFormatting>
  <conditionalFormatting sqref="C137:C285">
    <cfRule type="containsText" dxfId="1226" priority="1219" operator="containsText" text="PERSONALE">
      <formula>NOT(ISERROR(SEARCH("PERSONALE",C137)))</formula>
    </cfRule>
  </conditionalFormatting>
  <conditionalFormatting sqref="C287:C333">
    <cfRule type="containsText" dxfId="1225" priority="1276" operator="containsText" text="PERSONALE">
      <formula>NOT(ISERROR(SEARCH("PERSONALE",C287)))</formula>
    </cfRule>
  </conditionalFormatting>
  <conditionalFormatting sqref="C334:C378">
    <cfRule type="containsText" dxfId="1224" priority="1327" operator="containsText" text="PERSONALE">
      <formula>NOT(ISERROR(SEARCH("PERSONALE",C334)))</formula>
    </cfRule>
  </conditionalFormatting>
  <conditionalFormatting sqref="C342:C354">
    <cfRule type="containsText" dxfId="1223" priority="1334" operator="containsText" text="INCASSO">
      <formula>NOT(ISERROR(SEARCH("INCASSO",C342)))</formula>
    </cfRule>
    <cfRule type="containsText" dxfId="1222" priority="1329" operator="containsText" text="VERSAMENTO">
      <formula>NOT(ISERROR(SEARCH("VERSAMENTO",C342)))</formula>
    </cfRule>
    <cfRule type="containsText" dxfId="1221" priority="1326" operator="containsText" text="NICOLA">
      <formula>NOT(ISERROR(SEARCH("NICOLA",C342)))</formula>
    </cfRule>
  </conditionalFormatting>
  <conditionalFormatting sqref="C358:C360">
    <cfRule type="containsText" dxfId="1220" priority="1322" operator="containsText" text="INCASSO">
      <formula>NOT(ISERROR(SEARCH("INCASSO",C358)))</formula>
    </cfRule>
    <cfRule type="containsText" dxfId="1219" priority="1321" operator="containsText" text="VERSAMENTO">
      <formula>NOT(ISERROR(SEARCH("VERSAMENTO",C358)))</formula>
    </cfRule>
    <cfRule type="containsText" dxfId="1218" priority="1320" operator="containsText" text="NICOLA">
      <formula>NOT(ISERROR(SEARCH("NICOLA",C358)))</formula>
    </cfRule>
  </conditionalFormatting>
  <conditionalFormatting sqref="C362:C363">
    <cfRule type="containsText" dxfId="1217" priority="1317" operator="containsText" text="INCASSO">
      <formula>NOT(ISERROR(SEARCH("INCASSO",C362)))</formula>
    </cfRule>
    <cfRule type="containsText" dxfId="1216" priority="1316" operator="containsText" text="VERSAMENTO">
      <formula>NOT(ISERROR(SEARCH("VERSAMENTO",C362)))</formula>
    </cfRule>
    <cfRule type="containsText" dxfId="1215" priority="1315" operator="containsText" text="NICOLA">
      <formula>NOT(ISERROR(SEARCH("NICOLA",C362)))</formula>
    </cfRule>
  </conditionalFormatting>
  <conditionalFormatting sqref="C366:C367">
    <cfRule type="containsText" dxfId="1214" priority="1310" operator="containsText" text="NICOLA">
      <formula>NOT(ISERROR(SEARCH("NICOLA",C366)))</formula>
    </cfRule>
    <cfRule type="containsText" dxfId="1213" priority="1312" operator="containsText" text="INCASSO">
      <formula>NOT(ISERROR(SEARCH("INCASSO",C366)))</formula>
    </cfRule>
    <cfRule type="containsText" dxfId="1212" priority="1311" operator="containsText" text="VERSAMENTO">
      <formula>NOT(ISERROR(SEARCH("VERSAMENTO",C366)))</formula>
    </cfRule>
  </conditionalFormatting>
  <conditionalFormatting sqref="C372:C373">
    <cfRule type="containsText" dxfId="1211" priority="1305" operator="containsText" text="NICOLA">
      <formula>NOT(ISERROR(SEARCH("NICOLA",C372)))</formula>
    </cfRule>
    <cfRule type="containsText" dxfId="1210" priority="1306" operator="containsText" text="VERSAMENTO">
      <formula>NOT(ISERROR(SEARCH("VERSAMENTO",C372)))</formula>
    </cfRule>
    <cfRule type="containsText" dxfId="1209" priority="1307" operator="containsText" text="INCASSO">
      <formula>NOT(ISERROR(SEARCH("INCASSO",C372)))</formula>
    </cfRule>
  </conditionalFormatting>
  <conditionalFormatting sqref="C377:C378">
    <cfRule type="containsText" dxfId="1208" priority="1302" operator="containsText" text="INCASSO">
      <formula>NOT(ISERROR(SEARCH("INCASSO",C377)))</formula>
    </cfRule>
    <cfRule type="containsText" dxfId="1207" priority="1300" operator="containsText" text="NICOLA">
      <formula>NOT(ISERROR(SEARCH("NICOLA",C377)))</formula>
    </cfRule>
    <cfRule type="containsText" dxfId="1206" priority="1301" operator="containsText" text="VERSAMENTO">
      <formula>NOT(ISERROR(SEARCH("VERSAMENTO",C377)))</formula>
    </cfRule>
  </conditionalFormatting>
  <conditionalFormatting sqref="C381:C386">
    <cfRule type="containsText" dxfId="1205" priority="1285" operator="containsText" text="NICOLA">
      <formula>NOT(ISERROR(SEARCH("NICOLA",C381)))</formula>
    </cfRule>
  </conditionalFormatting>
  <conditionalFormatting sqref="C383:C386 C399:D466 C494:D582 C587:D652 C653:C654 C655:D675 C677:D733 C745:D748 C750:D869 C870:C876 C877:D999 C1056:D1112 D1113:D1114 C1115:D1121 D1124:D1125 C1126:D1297 C1345:D1349 C1353:D1353 C1356:D1358 C1361:D1370 C1373:D1375 C1378:D1378 C1381:D1388 C1395:D1400 C1409:D1412 C1415:D1420 C1424:D1424 C1427:D1428 C1431:D1432 C1436:D1436 C1439:D1448 C1461:D1466 C1469:D1471 C1474:D1474 C1554:D1555 C1558:D1564 C1567:D1571 C1574:D1577 C1580:D1587 C1590:D1591 C1594:D1595 C1601:D1602 C1605:D1610 C1614:D1614 C1616:D1618 C1621:D1623 C1626:D1630 C1633:D1638 C1642:D1650 C1653:D1663 C1666:D1668 C1671:D1676 C1680:D1686 C1689:D1690 C1694:D1697 C1700:D1700 C1703:D1705 C1753:D1927 C2249:D2296 C2299:D2305 C2306 C2307:D2324 C2335:D2336 C2338:D2344 C2345:C2346 C2347:D2388 D2389:D2390 C2394:D2409 C2411:D2445 C2447:D2452 C2454:D2455 C2457:D2458 C2460:D2463 C2465:D2469 C2471:D2499 C2501:D2509 C2511:D2511 C2522:D2527 C2538:D2538 C2540:D2542 D2551 C2551:C2552 C2555:D2561 C2565:D2566 C2570:D2572 C2580:D2585 C2590:D10163">
    <cfRule type="containsText" dxfId="1204" priority="1291" operator="containsText" text="INCASSO">
      <formula>NOT(ISERROR(SEARCH("INCASSO",C383)))</formula>
    </cfRule>
  </conditionalFormatting>
  <conditionalFormatting sqref="C383:C386 C399:D466 C494:D582 C877:D999 C1056:D1112 D1113:D1114 C1115:D1121 D1124:D1125 C1126:D1297 C1554:D1555 C1558:D1564 C1567:D1571 C1574:D1577 C1580:D1587 C1590:D1591 C1594:D1595 C2249:D2296 C2299:D2305 C2307:D2324 C2347:D2388 D2389:D2390 C2394:D2409 C2411:D2445 C2460:D2463 C2465:D2469 C2471:D2499 C2501:D2509 C745:D748 C750:D869 C870:C876 C1345:D1349 C1353:D1353 C1356:D1358 C1361:D1370 C1373:D1375 C1378:D1378 C1381:D1388 C1395:D1400 C1409:D1412 C1415:D1420 C1753:D1927 C2306 C2335:D2336 C2338:D2344 C2345:C2346 C587:D652 C653:C654 C655:D675 C677:D733 C1424:D1424 C1427:D1428 C1431:D1432 C1436:D1436 C1439:D1448 C1461:D1466 C1469:D1471 C1474:D1474 C1614:D1614 C1616:D1618 C1601:D1602 C1605:D1610 C1621:D1623 C1626:D1630 C1633:D1638 C1642:D1650 C1653:D1663 C1666:D1668 C1671:D1676 C1680:D1686 C1689:D1690 C1694:D1697 C1700:D1700 C1703:D1705 C2447:D2452 C2454:D2455 C2457:D2458 C2511:D2511 C2522:D2527 C2551:C2552 C2538:D2538 C2540:D2542 D2551 C2555:D2561 C2565:D2566 C2570:D2572 C2580:D2585 C2590:D10163">
    <cfRule type="containsText" dxfId="1203" priority="1286" operator="containsText" text="VERSAMENTO">
      <formula>NOT(ISERROR(SEARCH("VERSAMENTO",C383)))</formula>
    </cfRule>
  </conditionalFormatting>
  <conditionalFormatting sqref="C391:C392">
    <cfRule type="containsText" dxfId="1202" priority="1278" operator="containsText" text="NICOLA">
      <formula>NOT(ISERROR(SEARCH("NICOLA",C391)))</formula>
    </cfRule>
  </conditionalFormatting>
  <conditionalFormatting sqref="C399:C400">
    <cfRule type="containsText" dxfId="1201" priority="1269" operator="containsText" text="NICOLA">
      <formula>NOT(ISERROR(SEARCH("NICOLA",C399)))</formula>
    </cfRule>
  </conditionalFormatting>
  <conditionalFormatting sqref="C468">
    <cfRule type="containsText" dxfId="1200" priority="1246" operator="containsText" text="VERSAMENTO">
      <formula>NOT(ISERROR(SEARCH("VERSAMENTO",C468)))</formula>
    </cfRule>
    <cfRule type="containsText" dxfId="1199" priority="1245" operator="containsText" text="NICOLA">
      <formula>NOT(ISERROR(SEARCH("NICOLA",C468)))</formula>
    </cfRule>
    <cfRule type="containsText" dxfId="1198" priority="1247" operator="containsText" text="INCASSO">
      <formula>NOT(ISERROR(SEARCH("INCASSO",C468)))</formula>
    </cfRule>
  </conditionalFormatting>
  <conditionalFormatting sqref="C468:C473">
    <cfRule type="containsText" dxfId="1197" priority="1249" operator="containsText" text="PERSONALE">
      <formula>NOT(ISERROR(SEARCH("PERSONALE",C468)))</formula>
    </cfRule>
  </conditionalFormatting>
  <conditionalFormatting sqref="C474:C490">
    <cfRule type="containsText" dxfId="1196" priority="1239" operator="containsText" text="PERSONALE">
      <formula>NOT(ISERROR(SEARCH("PERSONALE",C474)))</formula>
    </cfRule>
  </conditionalFormatting>
  <conditionalFormatting sqref="C493">
    <cfRule type="containsText" dxfId="1195" priority="1196" operator="containsText" text="VERSAMENTO">
      <formula>NOT(ISERROR(SEARCH("VERSAMENTO",C493)))</formula>
    </cfRule>
    <cfRule type="containsText" dxfId="1194" priority="1201" operator="containsText" text="INCASSO">
      <formula>NOT(ISERROR(SEARCH("INCASSO",C493)))</formula>
    </cfRule>
    <cfRule type="containsText" dxfId="1193" priority="1194" operator="containsText" text="NICOLA">
      <formula>NOT(ISERROR(SEARCH("NICOLA",C493)))</formula>
    </cfRule>
  </conditionalFormatting>
  <conditionalFormatting sqref="C583:C586">
    <cfRule type="containsText" dxfId="1192" priority="1183" operator="containsText" text="NICOLA">
      <formula>NOT(ISERROR(SEARCH("NICOLA",C583)))</formula>
    </cfRule>
    <cfRule type="containsText" dxfId="1191" priority="1191" operator="containsText" text="INCASSO">
      <formula>NOT(ISERROR(SEARCH("INCASSO",C583)))</formula>
    </cfRule>
    <cfRule type="containsText" dxfId="1190" priority="1186" operator="containsText" text="VERSAMENTO">
      <formula>NOT(ISERROR(SEARCH("VERSAMENTO",C583)))</formula>
    </cfRule>
  </conditionalFormatting>
  <conditionalFormatting sqref="C583:C611">
    <cfRule type="containsText" dxfId="1189" priority="1184" operator="containsText" text="PERSONALE">
      <formula>NOT(ISERROR(SEARCH("PERSONALE",C583)))</formula>
    </cfRule>
  </conditionalFormatting>
  <conditionalFormatting sqref="C612">
    <cfRule type="containsText" dxfId="1188" priority="1153" operator="containsText" text="PERSONALE">
      <formula>NOT(ISERROR(SEARCH("PERSONALE",C612)))</formula>
    </cfRule>
  </conditionalFormatting>
  <conditionalFormatting sqref="C613:C693">
    <cfRule type="containsText" dxfId="1187" priority="1164" operator="containsText" text="PERSONALE">
      <formula>NOT(ISERROR(SEARCH("PERSONALE",C613)))</formula>
    </cfRule>
  </conditionalFormatting>
  <conditionalFormatting sqref="C676">
    <cfRule type="containsText" dxfId="1186" priority="1163" operator="containsText" text="NICOLA">
      <formula>NOT(ISERROR(SEARCH("NICOLA",C676)))</formula>
    </cfRule>
    <cfRule type="containsText" dxfId="1185" priority="1166" operator="containsText" text="VERSAMENTO">
      <formula>NOT(ISERROR(SEARCH("VERSAMENTO",C676)))</formula>
    </cfRule>
    <cfRule type="containsText" dxfId="1184" priority="1171" operator="containsText" text="INCASSO">
      <formula>NOT(ISERROR(SEARCH("INCASSO",C676)))</formula>
    </cfRule>
  </conditionalFormatting>
  <conditionalFormatting sqref="C694:C744">
    <cfRule type="containsText" dxfId="1183" priority="1142" operator="containsText" text="PERSONALE">
      <formula>NOT(ISERROR(SEARCH("PERSONALE",C694)))</formula>
    </cfRule>
  </conditionalFormatting>
  <conditionalFormatting sqref="C749">
    <cfRule type="containsText" dxfId="1182" priority="1125" operator="containsText" text="VERSAMENTO">
      <formula>NOT(ISERROR(SEARCH("VERSAMENTO",C749)))</formula>
    </cfRule>
    <cfRule type="containsText" dxfId="1181" priority="1122" operator="containsText" text="NICOLA">
      <formula>NOT(ISERROR(SEARCH("NICOLA",C749)))</formula>
    </cfRule>
    <cfRule type="containsText" dxfId="1180" priority="1130" operator="containsText" text="INCASSO">
      <formula>NOT(ISERROR(SEARCH("INCASSO",C749)))</formula>
    </cfRule>
  </conditionalFormatting>
  <conditionalFormatting sqref="C1000:C1002">
    <cfRule type="cellIs" dxfId="1179" priority="1013" operator="equal">
      <formula>"SCONTRINO"</formula>
    </cfRule>
    <cfRule type="cellIs" dxfId="1178" priority="1012" operator="equal">
      <formula>"DORIANA"</formula>
    </cfRule>
    <cfRule type="cellIs" dxfId="1177" priority="1010" operator="equal">
      <formula>"PERSONALE"</formula>
    </cfRule>
    <cfRule type="cellIs" dxfId="1176" priority="1009" operator="equal">
      <formula>"NICOLA"</formula>
    </cfRule>
    <cfRule type="cellIs" dxfId="1175" priority="1011" operator="equal">
      <formula>"EDOARDO"</formula>
    </cfRule>
  </conditionalFormatting>
  <conditionalFormatting sqref="C1003:C1055">
    <cfRule type="containsText" dxfId="1174" priority="1001" operator="containsText" text="PERSONALE">
      <formula>NOT(ISERROR(SEARCH("PERSONALE",C1003)))</formula>
    </cfRule>
  </conditionalFormatting>
  <conditionalFormatting sqref="C1055 C1750:D1751">
    <cfRule type="containsText" dxfId="1173" priority="998" operator="containsText" text="INCASSO">
      <formula>NOT(ISERROR(SEARCH("INCASSO",C1055)))</formula>
    </cfRule>
  </conditionalFormatting>
  <conditionalFormatting sqref="C1115:C1123">
    <cfRule type="containsText" dxfId="1172" priority="993" operator="containsText" text="PERSONALE">
      <formula>NOT(ISERROR(SEARCH("PERSONALE",C1115)))</formula>
    </cfRule>
  </conditionalFormatting>
  <conditionalFormatting sqref="C1298:C1344">
    <cfRule type="containsText" dxfId="1171" priority="942" operator="containsText" text="NICOLA">
      <formula>NOT(ISERROR(SEARCH("NICOLA",C1298)))</formula>
    </cfRule>
  </conditionalFormatting>
  <conditionalFormatting sqref="C1350:C1352">
    <cfRule type="containsText" dxfId="1170" priority="935" operator="containsText" text="NICOLA">
      <formula>NOT(ISERROR(SEARCH("NICOLA",C1350)))</formula>
    </cfRule>
  </conditionalFormatting>
  <conditionalFormatting sqref="C1354:C1355">
    <cfRule type="containsText" dxfId="1169" priority="932" operator="containsText" text="NICOLA">
      <formula>NOT(ISERROR(SEARCH("NICOLA",C1354)))</formula>
    </cfRule>
  </conditionalFormatting>
  <conditionalFormatting sqref="C1359:C1360">
    <cfRule type="containsText" dxfId="1168" priority="929" operator="containsText" text="NICOLA">
      <formula>NOT(ISERROR(SEARCH("NICOLA",C1359)))</formula>
    </cfRule>
  </conditionalFormatting>
  <conditionalFormatting sqref="C1371:C1372">
    <cfRule type="containsText" dxfId="1167" priority="926" operator="containsText" text="NICOLA">
      <formula>NOT(ISERROR(SEARCH("NICOLA",C1371)))</formula>
    </cfRule>
  </conditionalFormatting>
  <conditionalFormatting sqref="C1376:C1377">
    <cfRule type="containsText" dxfId="1166" priority="923" operator="containsText" text="NICOLA">
      <formula>NOT(ISERROR(SEARCH("NICOLA",C1376)))</formula>
    </cfRule>
  </conditionalFormatting>
  <conditionalFormatting sqref="C1379:C1380">
    <cfRule type="containsText" dxfId="1165" priority="920" operator="containsText" text="NICOLA">
      <formula>NOT(ISERROR(SEARCH("NICOLA",C1379)))</formula>
    </cfRule>
  </conditionalFormatting>
  <conditionalFormatting sqref="C1389:C1390 C1392:C1394">
    <cfRule type="containsText" dxfId="1164" priority="917" operator="containsText" text="NICOLA">
      <formula>NOT(ISERROR(SEARCH("NICOLA",C1389)))</formula>
    </cfRule>
  </conditionalFormatting>
  <conditionalFormatting sqref="C1391">
    <cfRule type="containsText" dxfId="1163" priority="873" operator="containsText" text="VERSAMENTO">
      <formula>NOT(ISERROR(SEARCH("VERSAMENTO",C1391)))</formula>
    </cfRule>
    <cfRule type="containsText" dxfId="1162" priority="871" operator="containsText" text="PERSONALE">
      <formula>NOT(ISERROR(SEARCH("PERSONALE",C1391)))</formula>
    </cfRule>
    <cfRule type="containsText" dxfId="1161" priority="870" operator="containsText" text="NICOLA">
      <formula>NOT(ISERROR(SEARCH("NICOLA",C1391)))</formula>
    </cfRule>
    <cfRule type="containsText" dxfId="1160" priority="878" operator="containsText" text="INCASSO">
      <formula>NOT(ISERROR(SEARCH("INCASSO",C1391)))</formula>
    </cfRule>
  </conditionalFormatting>
  <conditionalFormatting sqref="C1401:C1408">
    <cfRule type="containsText" dxfId="1159" priority="900" operator="containsText" text="NICOLA">
      <formula>NOT(ISERROR(SEARCH("NICOLA",C1401)))</formula>
    </cfRule>
  </conditionalFormatting>
  <conditionalFormatting sqref="C1413:C1414">
    <cfRule type="containsText" dxfId="1158" priority="895" operator="containsText" text="NICOLA">
      <formula>NOT(ISERROR(SEARCH("NICOLA",C1413)))</formula>
    </cfRule>
  </conditionalFormatting>
  <conditionalFormatting sqref="C1421:C1422">
    <cfRule type="containsText" dxfId="1157" priority="892" operator="containsText" text="NICOLA">
      <formula>NOT(ISERROR(SEARCH("NICOLA",C1421)))</formula>
    </cfRule>
  </conditionalFormatting>
  <conditionalFormatting sqref="C1423">
    <cfRule type="containsText" dxfId="1156" priority="880" operator="containsText" text="NICOLA">
      <formula>NOT(ISERROR(SEARCH("NICOLA",C1423)))</formula>
    </cfRule>
    <cfRule type="containsText" dxfId="1155" priority="883" operator="containsText" text="VERSAMENTO">
      <formula>NOT(ISERROR(SEARCH("VERSAMENTO",C1423)))</formula>
    </cfRule>
    <cfRule type="containsText" dxfId="1154" priority="888" operator="containsText" text="INCASSO">
      <formula>NOT(ISERROR(SEARCH("INCASSO",C1423)))</formula>
    </cfRule>
  </conditionalFormatting>
  <conditionalFormatting sqref="C1423:C1450 C1461:C1476">
    <cfRule type="containsText" dxfId="1153" priority="881" operator="containsText" text="PERSONALE">
      <formula>NOT(ISERROR(SEARCH("PERSONALE",C1423)))</formula>
    </cfRule>
  </conditionalFormatting>
  <conditionalFormatting sqref="C1425:C1426">
    <cfRule type="containsText" dxfId="1152" priority="869" operator="containsText" text="NICOLA">
      <formula>NOT(ISERROR(SEARCH("NICOLA",C1425)))</formula>
    </cfRule>
  </conditionalFormatting>
  <conditionalFormatting sqref="C1429:C1430">
    <cfRule type="containsText" dxfId="1151" priority="866" operator="containsText" text="NICOLA">
      <formula>NOT(ISERROR(SEARCH("NICOLA",C1429)))</formula>
    </cfRule>
  </conditionalFormatting>
  <conditionalFormatting sqref="C1433:C1434">
    <cfRule type="containsText" dxfId="1150" priority="863" operator="containsText" text="NICOLA">
      <formula>NOT(ISERROR(SEARCH("NICOLA",C1433)))</formula>
    </cfRule>
  </conditionalFormatting>
  <conditionalFormatting sqref="C1435">
    <cfRule type="containsText" dxfId="1149" priority="859" operator="containsText" text="INCASSO">
      <formula>NOT(ISERROR(SEARCH("INCASSO",C1435)))</formula>
    </cfRule>
    <cfRule type="containsText" dxfId="1148" priority="854" operator="containsText" text="VERSAMENTO">
      <formula>NOT(ISERROR(SEARCH("VERSAMENTO",C1435)))</formula>
    </cfRule>
    <cfRule type="containsText" dxfId="1147" priority="853" operator="containsText" text="NICOLA">
      <formula>NOT(ISERROR(SEARCH("NICOLA",C1435)))</formula>
    </cfRule>
  </conditionalFormatting>
  <conditionalFormatting sqref="C1437:C1438">
    <cfRule type="containsText" dxfId="1146" priority="852" operator="containsText" text="NICOLA">
      <formula>NOT(ISERROR(SEARCH("NICOLA",C1437)))</formula>
    </cfRule>
  </conditionalFormatting>
  <conditionalFormatting sqref="C1449:C1450">
    <cfRule type="containsText" dxfId="1145" priority="849" operator="containsText" text="NICOLA">
      <formula>NOT(ISERROR(SEARCH("NICOLA",C1449)))</formula>
    </cfRule>
  </conditionalFormatting>
  <conditionalFormatting sqref="C1451:C1460">
    <cfRule type="containsText" dxfId="1144" priority="641" operator="containsText" text="PERSONALE">
      <formula>NOT(ISERROR(SEARCH("PERSONALE",C1451)))</formula>
    </cfRule>
  </conditionalFormatting>
  <conditionalFormatting sqref="C1467:C1468">
    <cfRule type="containsText" dxfId="1143" priority="846" operator="containsText" text="NICOLA">
      <formula>NOT(ISERROR(SEARCH("NICOLA",C1467)))</formula>
    </cfRule>
  </conditionalFormatting>
  <conditionalFormatting sqref="C1472:C1473">
    <cfRule type="containsText" dxfId="1142" priority="843" operator="containsText" text="NICOLA">
      <formula>NOT(ISERROR(SEARCH("NICOLA",C1472)))</formula>
    </cfRule>
  </conditionalFormatting>
  <conditionalFormatting sqref="C1475:C1480">
    <cfRule type="containsText" dxfId="1141" priority="825" operator="containsText" text="NICOLA">
      <formula>NOT(ISERROR(SEARCH("NICOLA",C1475)))</formula>
    </cfRule>
  </conditionalFormatting>
  <conditionalFormatting sqref="C1477:C1480">
    <cfRule type="containsText" dxfId="1140" priority="826" operator="containsText" text="PERSONALE">
      <formula>NOT(ISERROR(SEARCH("PERSONALE",C1477)))</formula>
    </cfRule>
  </conditionalFormatting>
  <conditionalFormatting sqref="C1481:C1482">
    <cfRule type="containsText" dxfId="1139" priority="816" operator="containsText" text="NICOLA">
      <formula>NOT(ISERROR(SEARCH("NICOLA",C1481)))</formula>
    </cfRule>
    <cfRule type="containsText" dxfId="1138" priority="823" operator="containsText" text="INCASSO">
      <formula>NOT(ISERROR(SEARCH("INCASSO",C1481)))</formula>
    </cfRule>
    <cfRule type="containsText" dxfId="1137" priority="818" operator="containsText" text="VERSAMENTO">
      <formula>NOT(ISERROR(SEARCH("VERSAMENTO",C1481)))</formula>
    </cfRule>
    <cfRule type="containsText" dxfId="1136" priority="817" operator="containsText" text="PERSONALE">
      <formula>NOT(ISERROR(SEARCH("PERSONALE",C1481)))</formula>
    </cfRule>
  </conditionalFormatting>
  <conditionalFormatting sqref="C1483:C1484">
    <cfRule type="containsText" dxfId="1135" priority="812" operator="containsText" text="PERSONALE">
      <formula>NOT(ISERROR(SEARCH("PERSONALE",C1483)))</formula>
    </cfRule>
    <cfRule type="containsText" dxfId="1134" priority="811" operator="containsText" text="NICOLA">
      <formula>NOT(ISERROR(SEARCH("NICOLA",C1483)))</formula>
    </cfRule>
  </conditionalFormatting>
  <conditionalFormatting sqref="C1485:C1489 C1492:C1493 C1496:C1503 C1506:C1511 C1514:C1529 C1532 C1535 C1538:C1543 C1547:C1551">
    <cfRule type="containsText" dxfId="1133" priority="831" operator="containsText" text="VERSAMENTO">
      <formula>NOT(ISERROR(SEARCH("VERSAMENTO",C1485)))</formula>
    </cfRule>
    <cfRule type="containsText" dxfId="1132" priority="836" operator="containsText" text="INCASSO">
      <formula>NOT(ISERROR(SEARCH("INCASSO",C1485)))</formula>
    </cfRule>
    <cfRule type="containsText" dxfId="1131" priority="829" operator="containsText" text="PERSONALE">
      <formula>NOT(ISERROR(SEARCH("PERSONALE",C1485)))</formula>
    </cfRule>
    <cfRule type="containsText" dxfId="1130" priority="828" operator="containsText" text="NICOLA">
      <formula>NOT(ISERROR(SEARCH("NICOLA",C1485)))</formula>
    </cfRule>
  </conditionalFormatting>
  <conditionalFormatting sqref="C1490:C1491">
    <cfRule type="containsText" dxfId="1129" priority="804" operator="containsText" text="PERSONALE">
      <formula>NOT(ISERROR(SEARCH("PERSONALE",C1490)))</formula>
    </cfRule>
    <cfRule type="containsText" dxfId="1128" priority="808" operator="containsText" text="NICOLA">
      <formula>NOT(ISERROR(SEARCH("NICOLA",C1490)))</formula>
    </cfRule>
  </conditionalFormatting>
  <conditionalFormatting sqref="C1494:C1495">
    <cfRule type="containsText" dxfId="1127" priority="802" operator="containsText" text="NICOLA">
      <formula>NOT(ISERROR(SEARCH("NICOLA",C1494)))</formula>
    </cfRule>
    <cfRule type="containsText" dxfId="1126" priority="803" operator="containsText" text="PERSONALE">
      <formula>NOT(ISERROR(SEARCH("PERSONALE",C1494)))</formula>
    </cfRule>
  </conditionalFormatting>
  <conditionalFormatting sqref="C1504:C1505">
    <cfRule type="containsText" dxfId="1125" priority="798" operator="containsText" text="NICOLA">
      <formula>NOT(ISERROR(SEARCH("NICOLA",C1504)))</formula>
    </cfRule>
    <cfRule type="containsText" dxfId="1124" priority="799" operator="containsText" text="PERSONALE">
      <formula>NOT(ISERROR(SEARCH("PERSONALE",C1504)))</formula>
    </cfRule>
  </conditionalFormatting>
  <conditionalFormatting sqref="C1512:C1513">
    <cfRule type="containsText" dxfId="1123" priority="795" operator="containsText" text="PERSONALE">
      <formula>NOT(ISERROR(SEARCH("PERSONALE",C1512)))</formula>
    </cfRule>
    <cfRule type="containsText" dxfId="1122" priority="794" operator="containsText" text="NICOLA">
      <formula>NOT(ISERROR(SEARCH("NICOLA",C1512)))</formula>
    </cfRule>
  </conditionalFormatting>
  <conditionalFormatting sqref="C1530:C1531">
    <cfRule type="containsText" dxfId="1121" priority="791" operator="containsText" text="PERSONALE">
      <formula>NOT(ISERROR(SEARCH("PERSONALE",C1530)))</formula>
    </cfRule>
    <cfRule type="containsText" dxfId="1120" priority="790" operator="containsText" text="NICOLA">
      <formula>NOT(ISERROR(SEARCH("NICOLA",C1530)))</formula>
    </cfRule>
  </conditionalFormatting>
  <conditionalFormatting sqref="C1533:C1534">
    <cfRule type="containsText" dxfId="1119" priority="787" operator="containsText" text="PERSONALE">
      <formula>NOT(ISERROR(SEARCH("PERSONALE",C1533)))</formula>
    </cfRule>
    <cfRule type="containsText" dxfId="1118" priority="786" operator="containsText" text="NICOLA">
      <formula>NOT(ISERROR(SEARCH("NICOLA",C1533)))</formula>
    </cfRule>
  </conditionalFormatting>
  <conditionalFormatting sqref="C1536:C1537">
    <cfRule type="containsText" dxfId="1117" priority="783" operator="containsText" text="PERSONALE">
      <formula>NOT(ISERROR(SEARCH("PERSONALE",C1536)))</formula>
    </cfRule>
    <cfRule type="containsText" dxfId="1116" priority="782" operator="containsText" text="NICOLA">
      <formula>NOT(ISERROR(SEARCH("NICOLA",C1536)))</formula>
    </cfRule>
  </conditionalFormatting>
  <conditionalFormatting sqref="C1544:C1546">
    <cfRule type="containsText" dxfId="1115" priority="778" operator="containsText" text="NICOLA">
      <formula>NOT(ISERROR(SEARCH("NICOLA",C1544)))</formula>
    </cfRule>
    <cfRule type="containsText" dxfId="1114" priority="779" operator="containsText" text="PERSONALE">
      <formula>NOT(ISERROR(SEARCH("PERSONALE",C1544)))</formula>
    </cfRule>
  </conditionalFormatting>
  <conditionalFormatting sqref="C1552:C1553">
    <cfRule type="containsText" dxfId="1113" priority="774" operator="containsText" text="NICOLA">
      <formula>NOT(ISERROR(SEARCH("NICOLA",C1552)))</formula>
    </cfRule>
  </conditionalFormatting>
  <conditionalFormatting sqref="C1552:C1555">
    <cfRule type="containsText" dxfId="1112" priority="775" operator="containsText" text="PERSONALE">
      <formula>NOT(ISERROR(SEARCH("PERSONALE",C1552)))</formula>
    </cfRule>
  </conditionalFormatting>
  <conditionalFormatting sqref="C1556:C1557">
    <cfRule type="containsText" dxfId="1111" priority="770" operator="containsText" text="NICOLA">
      <formula>NOT(ISERROR(SEARCH("NICOLA",C1556)))</formula>
    </cfRule>
  </conditionalFormatting>
  <conditionalFormatting sqref="C1556:C1595">
    <cfRule type="containsText" dxfId="1110" priority="771" operator="containsText" text="PERSONALE">
      <formula>NOT(ISERROR(SEARCH("PERSONALE",C1556)))</formula>
    </cfRule>
  </conditionalFormatting>
  <conditionalFormatting sqref="C1565:C1566">
    <cfRule type="containsText" dxfId="1109" priority="766" operator="containsText" text="NICOLA">
      <formula>NOT(ISERROR(SEARCH("NICOLA",C1565)))</formula>
    </cfRule>
  </conditionalFormatting>
  <conditionalFormatting sqref="C1572:C1573">
    <cfRule type="containsText" dxfId="1108" priority="763" operator="containsText" text="NICOLA">
      <formula>NOT(ISERROR(SEARCH("NICOLA",C1572)))</formula>
    </cfRule>
  </conditionalFormatting>
  <conditionalFormatting sqref="C1578:C1579">
    <cfRule type="containsText" dxfId="1107" priority="760" operator="containsText" text="NICOLA">
      <formula>NOT(ISERROR(SEARCH("NICOLA",C1578)))</formula>
    </cfRule>
  </conditionalFormatting>
  <conditionalFormatting sqref="C1588:C1589">
    <cfRule type="containsText" dxfId="1106" priority="757" operator="containsText" text="NICOLA">
      <formula>NOT(ISERROR(SEARCH("NICOLA",C1588)))</formula>
    </cfRule>
  </conditionalFormatting>
  <conditionalFormatting sqref="C1592:C1593">
    <cfRule type="containsText" dxfId="1105" priority="744" operator="containsText" text="NICOLA">
      <formula>NOT(ISERROR(SEARCH("NICOLA",C1592)))</formula>
    </cfRule>
  </conditionalFormatting>
  <conditionalFormatting sqref="C1596:C1600">
    <cfRule type="containsText" dxfId="1104" priority="729" operator="containsText" text="NICOLA">
      <formula>NOT(ISERROR(SEARCH("NICOLA",C1596)))</formula>
    </cfRule>
  </conditionalFormatting>
  <conditionalFormatting sqref="C1596:C1602">
    <cfRule type="containsText" dxfId="1103" priority="731" operator="containsText" text="PERSONALE">
      <formula>NOT(ISERROR(SEARCH("PERSONALE",C1596)))</formula>
    </cfRule>
  </conditionalFormatting>
  <conditionalFormatting sqref="C1603:C1604">
    <cfRule type="containsText" dxfId="1102" priority="724" operator="containsText" text="NICOLA">
      <formula>NOT(ISERROR(SEARCH("NICOLA",C1603)))</formula>
    </cfRule>
  </conditionalFormatting>
  <conditionalFormatting sqref="C1603:C1611">
    <cfRule type="containsText" dxfId="1101" priority="725" operator="containsText" text="PERSONALE">
      <formula>NOT(ISERROR(SEARCH("PERSONALE",C1603)))</formula>
    </cfRule>
  </conditionalFormatting>
  <conditionalFormatting sqref="C1611">
    <cfRule type="containsText" dxfId="1100" priority="720" operator="containsText" text="INCASSO">
      <formula>NOT(ISERROR(SEARCH("INCASSO",C1611)))</formula>
    </cfRule>
    <cfRule type="containsText" dxfId="1099" priority="714" operator="containsText" text="NICOLA">
      <formula>NOT(ISERROR(SEARCH("NICOLA",C1611)))</formula>
    </cfRule>
    <cfRule type="containsText" dxfId="1098" priority="715" operator="containsText" text="VERSAMENTO">
      <formula>NOT(ISERROR(SEARCH("VERSAMENTO",C1611)))</formula>
    </cfRule>
  </conditionalFormatting>
  <conditionalFormatting sqref="C1612:C1613">
    <cfRule type="containsText" dxfId="1097" priority="711" operator="containsText" text="NICOLA">
      <formula>NOT(ISERROR(SEARCH("NICOLA",C1612)))</formula>
    </cfRule>
    <cfRule type="containsText" dxfId="1096" priority="712" operator="containsText" text="PERSONALE">
      <formula>NOT(ISERROR(SEARCH("PERSONALE",C1612)))</formula>
    </cfRule>
  </conditionalFormatting>
  <conditionalFormatting sqref="C1614:C1618">
    <cfRule type="containsText" dxfId="1095" priority="746" operator="containsText" text="PERSONALE">
      <formula>NOT(ISERROR(SEARCH("PERSONALE",C1614)))</formula>
    </cfRule>
  </conditionalFormatting>
  <conditionalFormatting sqref="C1615">
    <cfRule type="containsText" dxfId="1094" priority="734" operator="containsText" text="NICOLA">
      <formula>NOT(ISERROR(SEARCH("NICOLA",C1615)))</formula>
    </cfRule>
    <cfRule type="containsText" dxfId="1093" priority="740" operator="containsText" text="INCASSO">
      <formula>NOT(ISERROR(SEARCH("INCASSO",C1615)))</formula>
    </cfRule>
    <cfRule type="containsText" dxfId="1092" priority="735" operator="containsText" text="VERSAMENTO">
      <formula>NOT(ISERROR(SEARCH("VERSAMENTO",C1615)))</formula>
    </cfRule>
  </conditionalFormatting>
  <conditionalFormatting sqref="C1619:C1620">
    <cfRule type="containsText" dxfId="1091" priority="706" operator="containsText" text="NICOLA">
      <formula>NOT(ISERROR(SEARCH("NICOLA",C1619)))</formula>
    </cfRule>
  </conditionalFormatting>
  <conditionalFormatting sqref="C1619:C1623">
    <cfRule type="containsText" dxfId="1090" priority="707" operator="containsText" text="PERSONALE">
      <formula>NOT(ISERROR(SEARCH("PERSONALE",C1619)))</formula>
    </cfRule>
  </conditionalFormatting>
  <conditionalFormatting sqref="C1624:C1625">
    <cfRule type="containsText" dxfId="1089" priority="701" operator="containsText" text="NICOLA">
      <formula>NOT(ISERROR(SEARCH("NICOLA",C1624)))</formula>
    </cfRule>
  </conditionalFormatting>
  <conditionalFormatting sqref="C1624:C1630">
    <cfRule type="containsText" dxfId="1088" priority="702" operator="containsText" text="PERSONALE">
      <formula>NOT(ISERROR(SEARCH("PERSONALE",C1624)))</formula>
    </cfRule>
  </conditionalFormatting>
  <conditionalFormatting sqref="C1631:C1632">
    <cfRule type="containsText" dxfId="1087" priority="696" operator="containsText" text="NICOLA">
      <formula>NOT(ISERROR(SEARCH("NICOLA",C1631)))</formula>
    </cfRule>
  </conditionalFormatting>
  <conditionalFormatting sqref="C1631:C1638">
    <cfRule type="containsText" dxfId="1086" priority="697" operator="containsText" text="PERSONALE">
      <formula>NOT(ISERROR(SEARCH("PERSONALE",C1631)))</formula>
    </cfRule>
  </conditionalFormatting>
  <conditionalFormatting sqref="C1639">
    <cfRule type="containsText" dxfId="1085" priority="675" operator="containsText" text="VERSAMENTO">
      <formula>NOT(ISERROR(SEARCH("VERSAMENTO",C1639)))</formula>
    </cfRule>
    <cfRule type="containsText" dxfId="1084" priority="682" operator="containsText" text="PERSONALE">
      <formula>NOT(ISERROR(SEARCH("PERSONALE",C1639)))</formula>
    </cfRule>
    <cfRule type="containsText" dxfId="1083" priority="680" operator="containsText" text="INCASSO">
      <formula>NOT(ISERROR(SEARCH("INCASSO",C1639)))</formula>
    </cfRule>
    <cfRule type="containsText" dxfId="1082" priority="674" operator="containsText" text="NICOLA">
      <formula>NOT(ISERROR(SEARCH("NICOLA",C1639)))</formula>
    </cfRule>
  </conditionalFormatting>
  <conditionalFormatting sqref="C1640:C1641">
    <cfRule type="containsText" dxfId="1081" priority="691" operator="containsText" text="NICOLA">
      <formula>NOT(ISERROR(SEARCH("NICOLA",C1640)))</formula>
    </cfRule>
  </conditionalFormatting>
  <conditionalFormatting sqref="C1640:C1650">
    <cfRule type="containsText" dxfId="1080" priority="692" operator="containsText" text="PERSONALE">
      <formula>NOT(ISERROR(SEARCH("PERSONALE",C1640)))</formula>
    </cfRule>
  </conditionalFormatting>
  <conditionalFormatting sqref="C1651:C1652">
    <cfRule type="containsText" dxfId="1079" priority="686" operator="containsText" text="NICOLA">
      <formula>NOT(ISERROR(SEARCH("NICOLA",C1651)))</formula>
    </cfRule>
  </conditionalFormatting>
  <conditionalFormatting sqref="C1651:C1705">
    <cfRule type="containsText" dxfId="1078" priority="687" operator="containsText" text="PERSONALE">
      <formula>NOT(ISERROR(SEARCH("PERSONALE",C1651)))</formula>
    </cfRule>
  </conditionalFormatting>
  <conditionalFormatting sqref="C1664:C1665">
    <cfRule type="containsText" dxfId="1077" priority="673" operator="containsText" text="NICOLA">
      <formula>NOT(ISERROR(SEARCH("NICOLA",C1664)))</formula>
    </cfRule>
  </conditionalFormatting>
  <conditionalFormatting sqref="C1669:C1670">
    <cfRule type="containsText" dxfId="1076" priority="670" operator="containsText" text="NICOLA">
      <formula>NOT(ISERROR(SEARCH("NICOLA",C1669)))</formula>
    </cfRule>
  </conditionalFormatting>
  <conditionalFormatting sqref="C1677:C1679">
    <cfRule type="containsText" dxfId="1075" priority="667" operator="containsText" text="NICOLA">
      <formula>NOT(ISERROR(SEARCH("NICOLA",C1677)))</formula>
    </cfRule>
  </conditionalFormatting>
  <conditionalFormatting sqref="C1688">
    <cfRule type="containsText" dxfId="1074" priority="662" operator="containsText" text="NICOLA">
      <formula>NOT(ISERROR(SEARCH("NICOLA",C1688)))</formula>
    </cfRule>
  </conditionalFormatting>
  <conditionalFormatting sqref="C1691:C1693">
    <cfRule type="containsText" dxfId="1073" priority="657" operator="containsText" text="NICOLA">
      <formula>NOT(ISERROR(SEARCH("NICOLA",C1691)))</formula>
    </cfRule>
  </conditionalFormatting>
  <conditionalFormatting sqref="C1698:C1699">
    <cfRule type="containsText" dxfId="1072" priority="652" operator="containsText" text="NICOLA">
      <formula>NOT(ISERROR(SEARCH("NICOLA",C1698)))</formula>
    </cfRule>
  </conditionalFormatting>
  <conditionalFormatting sqref="C1701:C1702">
    <cfRule type="containsText" dxfId="1071" priority="649" operator="containsText" text="NICOLA">
      <formula>NOT(ISERROR(SEARCH("NICOLA",C1701)))</formula>
    </cfRule>
  </conditionalFormatting>
  <conditionalFormatting sqref="C1704">
    <cfRule type="containsText" dxfId="1070" priority="645" operator="containsText" text="PERSONALE">
      <formula>NOT(ISERROR(SEARCH("PERSONALE",C1704)))</formula>
    </cfRule>
  </conditionalFormatting>
  <conditionalFormatting sqref="C1706:C1733">
    <cfRule type="containsText" dxfId="1069" priority="635" operator="containsText" text="PERSONALE">
      <formula>NOT(ISERROR(SEARCH("PERSONALE",C1706)))</formula>
    </cfRule>
  </conditionalFormatting>
  <conditionalFormatting sqref="C1719:C1720">
    <cfRule type="containsText" dxfId="1068" priority="634" operator="containsText" text="NICOLA">
      <formula>NOT(ISERROR(SEARCH("NICOLA",C1719)))</formula>
    </cfRule>
  </conditionalFormatting>
  <conditionalFormatting sqref="C1725:C1726">
    <cfRule type="containsText" dxfId="1067" priority="631" operator="containsText" text="NICOLA">
      <formula>NOT(ISERROR(SEARCH("NICOLA",C1725)))</formula>
    </cfRule>
  </conditionalFormatting>
  <conditionalFormatting sqref="C1732:C1733">
    <cfRule type="containsText" dxfId="1066" priority="628" operator="containsText" text="NICOLA">
      <formula>NOT(ISERROR(SEARCH("NICOLA",C1732)))</formula>
    </cfRule>
  </conditionalFormatting>
  <conditionalFormatting sqref="C1734">
    <cfRule type="containsText" dxfId="1065" priority="614" operator="containsText" text="VERSAMENTO">
      <formula>NOT(ISERROR(SEARCH("VERSAMENTO",C1734)))</formula>
    </cfRule>
    <cfRule type="containsText" dxfId="1064" priority="619" operator="containsText" text="INCASSO">
      <formula>NOT(ISERROR(SEARCH("INCASSO",C1734)))</formula>
    </cfRule>
    <cfRule type="containsText" dxfId="1063" priority="613" operator="containsText" text="NICOLA">
      <formula>NOT(ISERROR(SEARCH("NICOLA",C1734)))</formula>
    </cfRule>
  </conditionalFormatting>
  <conditionalFormatting sqref="C1734:C1739">
    <cfRule type="containsText" dxfId="1062" priority="621" operator="containsText" text="PERSONALE">
      <formula>NOT(ISERROR(SEARCH("PERSONALE",C1734)))</formula>
    </cfRule>
  </conditionalFormatting>
  <conditionalFormatting sqref="C1740:C1741">
    <cfRule type="containsText" dxfId="1061" priority="611" operator="containsText" text="PERSONALE">
      <formula>NOT(ISERROR(SEARCH("PERSONALE",C1740)))</formula>
    </cfRule>
    <cfRule type="containsText" dxfId="1060" priority="610" operator="containsText" text="NICOLA">
      <formula>NOT(ISERROR(SEARCH("NICOLA",C1740)))</formula>
    </cfRule>
  </conditionalFormatting>
  <conditionalFormatting sqref="C1742">
    <cfRule type="containsText" dxfId="1059" priority="604" operator="containsText" text="PERSONALE">
      <formula>NOT(ISERROR(SEARCH("PERSONALE",C1742)))</formula>
    </cfRule>
  </conditionalFormatting>
  <conditionalFormatting sqref="C1749">
    <cfRule type="containsText" dxfId="1058" priority="597" operator="containsText" text="PERSONALE">
      <formula>NOT(ISERROR(SEARCH("PERSONALE",C1749)))</formula>
    </cfRule>
  </conditionalFormatting>
  <conditionalFormatting sqref="C1750:C1751">
    <cfRule type="containsText" dxfId="1057" priority="601" operator="containsText" text="NICOLA">
      <formula>NOT(ISERROR(SEARCH("NICOLA",C1750)))</formula>
    </cfRule>
    <cfRule type="containsText" dxfId="1056" priority="602" operator="containsText" text="PERSONALE">
      <formula>NOT(ISERROR(SEARCH("PERSONALE",C1750)))</formula>
    </cfRule>
  </conditionalFormatting>
  <conditionalFormatting sqref="C1752">
    <cfRule type="containsText" dxfId="1055" priority="584" operator="containsText" text="INCASSO">
      <formula>NOT(ISERROR(SEARCH("INCASSO",C1752)))</formula>
    </cfRule>
    <cfRule type="containsText" dxfId="1054" priority="586" operator="containsText" text="PERSONALE">
      <formula>NOT(ISERROR(SEARCH("PERSONALE",C1752)))</formula>
    </cfRule>
    <cfRule type="containsText" dxfId="1053" priority="579" operator="containsText" text="VERSAMENTO">
      <formula>NOT(ISERROR(SEARCH("VERSAMENTO",C1752)))</formula>
    </cfRule>
    <cfRule type="containsText" dxfId="1052" priority="578" operator="containsText" text="NICOLA">
      <formula>NOT(ISERROR(SEARCH("NICOLA",C1752)))</formula>
    </cfRule>
  </conditionalFormatting>
  <conditionalFormatting sqref="C1753:C1760">
    <cfRule type="containsText" dxfId="1051" priority="595" operator="containsText" text="PERSONALE">
      <formula>NOT(ISERROR(SEARCH("PERSONALE",C1753)))</formula>
    </cfRule>
  </conditionalFormatting>
  <conditionalFormatting sqref="C1755:C1756">
    <cfRule type="containsText" dxfId="1050" priority="594" operator="containsText" text="NICOLA">
      <formula>NOT(ISERROR(SEARCH("NICOLA",C1755)))</formula>
    </cfRule>
  </conditionalFormatting>
  <conditionalFormatting sqref="C1761:C1762">
    <cfRule type="containsText" dxfId="1049" priority="591" operator="containsText" text="NICOLA">
      <formula>NOT(ISERROR(SEARCH("NICOLA",C1761)))</formula>
    </cfRule>
  </conditionalFormatting>
  <conditionalFormatting sqref="C1761:C1765">
    <cfRule type="containsText" dxfId="1048" priority="592" operator="containsText" text="PERSONALE">
      <formula>NOT(ISERROR(SEARCH("PERSONALE",C1761)))</formula>
    </cfRule>
  </conditionalFormatting>
  <conditionalFormatting sqref="C1766:C1767">
    <cfRule type="containsText" dxfId="1047" priority="589" operator="containsText" text="PERSONALE">
      <formula>NOT(ISERROR(SEARCH("PERSONALE",C1766)))</formula>
    </cfRule>
    <cfRule type="containsText" dxfId="1046" priority="588" operator="containsText" text="NICOLA">
      <formula>NOT(ISERROR(SEARCH("NICOLA",C1766)))</formula>
    </cfRule>
  </conditionalFormatting>
  <conditionalFormatting sqref="C1768:C1784">
    <cfRule type="containsText" dxfId="1045" priority="572" operator="containsText" text="PERSONALE">
      <formula>NOT(ISERROR(SEARCH("PERSONALE",C1768)))</formula>
    </cfRule>
  </conditionalFormatting>
  <conditionalFormatting sqref="C1769:C1770">
    <cfRule type="containsText" dxfId="1044" priority="571" operator="containsText" text="NICOLA">
      <formula>NOT(ISERROR(SEARCH("NICOLA",C1769)))</formula>
    </cfRule>
  </conditionalFormatting>
  <conditionalFormatting sqref="C1785:C1786">
    <cfRule type="containsText" dxfId="1043" priority="568" operator="containsText" text="NICOLA">
      <formula>NOT(ISERROR(SEARCH("NICOLA",C1785)))</formula>
    </cfRule>
  </conditionalFormatting>
  <conditionalFormatting sqref="C1785:C1789">
    <cfRule type="containsText" dxfId="1042" priority="569" operator="containsText" text="PERSONALE">
      <formula>NOT(ISERROR(SEARCH("PERSONALE",C1785)))</formula>
    </cfRule>
  </conditionalFormatting>
  <conditionalFormatting sqref="C1790:C1791">
    <cfRule type="containsText" dxfId="1041" priority="565" operator="containsText" text="NICOLA">
      <formula>NOT(ISERROR(SEARCH("NICOLA",C1790)))</formula>
    </cfRule>
  </conditionalFormatting>
  <conditionalFormatting sqref="C1790:C1795">
    <cfRule type="containsText" dxfId="1040" priority="566" operator="containsText" text="PERSONALE">
      <formula>NOT(ISERROR(SEARCH("PERSONALE",C1790)))</formula>
    </cfRule>
  </conditionalFormatting>
  <conditionalFormatting sqref="C1796:C1797">
    <cfRule type="containsText" dxfId="1039" priority="562" operator="containsText" text="NICOLA">
      <formula>NOT(ISERROR(SEARCH("NICOLA",C1796)))</formula>
    </cfRule>
  </conditionalFormatting>
  <conditionalFormatting sqref="C1796:C1798">
    <cfRule type="containsText" dxfId="1038" priority="563" operator="containsText" text="PERSONALE">
      <formula>NOT(ISERROR(SEARCH("PERSONALE",C1796)))</formula>
    </cfRule>
  </conditionalFormatting>
  <conditionalFormatting sqref="C1799:C1800">
    <cfRule type="containsText" dxfId="1037" priority="557" operator="containsText" text="NICOLA">
      <formula>NOT(ISERROR(SEARCH("NICOLA",C1799)))</formula>
    </cfRule>
  </conditionalFormatting>
  <conditionalFormatting sqref="C1799:C1804">
    <cfRule type="containsText" dxfId="1036" priority="558" operator="containsText" text="PERSONALE">
      <formula>NOT(ISERROR(SEARCH("PERSONALE",C1799)))</formula>
    </cfRule>
  </conditionalFormatting>
  <conditionalFormatting sqref="C1805:C1807">
    <cfRule type="containsText" dxfId="1035" priority="554" operator="containsText" text="NICOLA">
      <formula>NOT(ISERROR(SEARCH("NICOLA",C1805)))</formula>
    </cfRule>
  </conditionalFormatting>
  <conditionalFormatting sqref="C1805:C1810">
    <cfRule type="containsText" dxfId="1034" priority="555" operator="containsText" text="PERSONALE">
      <formula>NOT(ISERROR(SEARCH("PERSONALE",C1805)))</formula>
    </cfRule>
  </conditionalFormatting>
  <conditionalFormatting sqref="C1811:C1812">
    <cfRule type="containsText" dxfId="1033" priority="552" operator="containsText" text="PERSONALE">
      <formula>NOT(ISERROR(SEARCH("PERSONALE",C1811)))</formula>
    </cfRule>
    <cfRule type="containsText" dxfId="1032" priority="551" operator="containsText" text="NICOLA">
      <formula>NOT(ISERROR(SEARCH("NICOLA",C1811)))</formula>
    </cfRule>
  </conditionalFormatting>
  <conditionalFormatting sqref="C1813:C1822">
    <cfRule type="containsText" dxfId="1031" priority="547" operator="containsText" text="PERSONALE">
      <formula>NOT(ISERROR(SEARCH("PERSONALE",C1813)))</formula>
    </cfRule>
  </conditionalFormatting>
  <conditionalFormatting sqref="C1814:C1815">
    <cfRule type="containsText" dxfId="1030" priority="546" operator="containsText" text="NICOLA">
      <formula>NOT(ISERROR(SEARCH("NICOLA",C1814)))</formula>
    </cfRule>
  </conditionalFormatting>
  <conditionalFormatting sqref="C1823:C1824">
    <cfRule type="containsText" dxfId="1029" priority="543" operator="containsText" text="NICOLA">
      <formula>NOT(ISERROR(SEARCH("NICOLA",C1823)))</formula>
    </cfRule>
  </conditionalFormatting>
  <conditionalFormatting sqref="C1823:C1829">
    <cfRule type="containsText" dxfId="1028" priority="544" operator="containsText" text="PERSONALE">
      <formula>NOT(ISERROR(SEARCH("PERSONALE",C1823)))</formula>
    </cfRule>
  </conditionalFormatting>
  <conditionalFormatting sqref="C1830:C1831">
    <cfRule type="containsText" dxfId="1027" priority="541" operator="containsText" text="PERSONALE">
      <formula>NOT(ISERROR(SEARCH("PERSONALE",C1830)))</formula>
    </cfRule>
    <cfRule type="containsText" dxfId="1026" priority="540" operator="containsText" text="NICOLA">
      <formula>NOT(ISERROR(SEARCH("NICOLA",C1830)))</formula>
    </cfRule>
  </conditionalFormatting>
  <conditionalFormatting sqref="C1832:C1836">
    <cfRule type="containsText" dxfId="1025" priority="536" operator="containsText" text="PERSONALE">
      <formula>NOT(ISERROR(SEARCH("PERSONALE",C1832)))</formula>
    </cfRule>
  </conditionalFormatting>
  <conditionalFormatting sqref="C1834:C1835">
    <cfRule type="containsText" dxfId="1024" priority="535" operator="containsText" text="NICOLA">
      <formula>NOT(ISERROR(SEARCH("NICOLA",C1834)))</formula>
    </cfRule>
  </conditionalFormatting>
  <conditionalFormatting sqref="C1837:C1838">
    <cfRule type="containsText" dxfId="1023" priority="532" operator="containsText" text="NICOLA">
      <formula>NOT(ISERROR(SEARCH("NICOLA",C1837)))</formula>
    </cfRule>
  </conditionalFormatting>
  <conditionalFormatting sqref="C1837:C1857">
    <cfRule type="containsText" dxfId="1022" priority="533" operator="containsText" text="PERSONALE">
      <formula>NOT(ISERROR(SEARCH("PERSONALE",C1837)))</formula>
    </cfRule>
  </conditionalFormatting>
  <conditionalFormatting sqref="C1841:C1842">
    <cfRule type="containsText" dxfId="1021" priority="529" operator="containsText" text="NICOLA">
      <formula>NOT(ISERROR(SEARCH("NICOLA",C1841)))</formula>
    </cfRule>
  </conditionalFormatting>
  <conditionalFormatting sqref="C1845:C1846">
    <cfRule type="containsText" dxfId="1020" priority="524" operator="containsText" text="NICOLA">
      <formula>NOT(ISERROR(SEARCH("NICOLA",C1845)))</formula>
    </cfRule>
  </conditionalFormatting>
  <conditionalFormatting sqref="C1858">
    <cfRule type="containsText" dxfId="1019" priority="459" operator="containsText" text="PERSONALE">
      <formula>NOT(ISERROR(SEARCH("PERSONALE",C1858)))</formula>
    </cfRule>
  </conditionalFormatting>
  <conditionalFormatting sqref="C1859:C1860">
    <cfRule type="containsText" dxfId="1018" priority="521" operator="containsText" text="NICOLA">
      <formula>NOT(ISERROR(SEARCH("NICOLA",C1859)))</formula>
    </cfRule>
  </conditionalFormatting>
  <conditionalFormatting sqref="C1863:C1865">
    <cfRule type="containsText" dxfId="1017" priority="518" operator="containsText" text="NICOLA">
      <formula>NOT(ISERROR(SEARCH("NICOLA",C1863)))</formula>
    </cfRule>
  </conditionalFormatting>
  <conditionalFormatting sqref="C1868:C1871">
    <cfRule type="containsText" dxfId="1016" priority="516" operator="containsText" text="PERSONALE">
      <formula>NOT(ISERROR(SEARCH("PERSONALE",C1868)))</formula>
    </cfRule>
    <cfRule type="containsText" dxfId="1015" priority="515" operator="containsText" text="NICOLA">
      <formula>NOT(ISERROR(SEARCH("NICOLA",C1868)))</formula>
    </cfRule>
  </conditionalFormatting>
  <conditionalFormatting sqref="C1875:C1876">
    <cfRule type="containsText" dxfId="1014" priority="512" operator="containsText" text="NICOLA">
      <formula>NOT(ISERROR(SEARCH("NICOLA",C1875)))</formula>
    </cfRule>
    <cfRule type="containsText" dxfId="1013" priority="513" operator="containsText" text="PERSONALE">
      <formula>NOT(ISERROR(SEARCH("PERSONALE",C1875)))</formula>
    </cfRule>
  </conditionalFormatting>
  <conditionalFormatting sqref="C1879:C1880">
    <cfRule type="containsText" dxfId="1012" priority="510" operator="containsText" text="PERSONALE">
      <formula>NOT(ISERROR(SEARCH("PERSONALE",C1879)))</formula>
    </cfRule>
    <cfRule type="containsText" dxfId="1011" priority="509" operator="containsText" text="NICOLA">
      <formula>NOT(ISERROR(SEARCH("NICOLA",C1879)))</formula>
    </cfRule>
  </conditionalFormatting>
  <conditionalFormatting sqref="C1885:C1886">
    <cfRule type="containsText" dxfId="1010" priority="508" operator="containsText" text="PERSONALE">
      <formula>NOT(ISERROR(SEARCH("PERSONALE",C1885)))</formula>
    </cfRule>
    <cfRule type="containsText" dxfId="1009" priority="507" operator="containsText" text="NICOLA">
      <formula>NOT(ISERROR(SEARCH("NICOLA",C1885)))</formula>
    </cfRule>
  </conditionalFormatting>
  <conditionalFormatting sqref="C1891:C1893">
    <cfRule type="containsText" dxfId="1008" priority="503" operator="containsText" text="NICOLA">
      <formula>NOT(ISERROR(SEARCH("NICOLA",C1891)))</formula>
    </cfRule>
  </conditionalFormatting>
  <conditionalFormatting sqref="C1891:C1903">
    <cfRule type="containsText" dxfId="1007" priority="504" operator="containsText" text="PERSONALE">
      <formula>NOT(ISERROR(SEARCH("PERSONALE",C1891)))</formula>
    </cfRule>
  </conditionalFormatting>
  <conditionalFormatting sqref="C1897:C1898">
    <cfRule type="containsText" dxfId="1006" priority="500" operator="containsText" text="NICOLA">
      <formula>NOT(ISERROR(SEARCH("NICOLA",C1897)))</formula>
    </cfRule>
  </conditionalFormatting>
  <conditionalFormatting sqref="C1904">
    <cfRule type="containsText" dxfId="1005" priority="458" operator="containsText" text="PERSONALE">
      <formula>NOT(ISERROR(SEARCH("PERSONALE",C1904)))</formula>
    </cfRule>
  </conditionalFormatting>
  <conditionalFormatting sqref="C1905:C1910">
    <cfRule type="containsText" dxfId="1004" priority="483" operator="containsText" text="PERSONALE">
      <formula>NOT(ISERROR(SEARCH("PERSONALE",C1905)))</formula>
    </cfRule>
    <cfRule type="containsText" dxfId="1003" priority="482" operator="containsText" text="NICOLA">
      <formula>NOT(ISERROR(SEARCH("NICOLA",C1905)))</formula>
    </cfRule>
  </conditionalFormatting>
  <conditionalFormatting sqref="C1905:C1911">
    <cfRule type="containsText" dxfId="1002" priority="493" operator="containsText" text="PERSONALE">
      <formula>NOT(ISERROR(SEARCH("PERSONALE",C1905)))</formula>
    </cfRule>
  </conditionalFormatting>
  <conditionalFormatting sqref="C1909:C1910">
    <cfRule type="containsText" dxfId="1001" priority="492" operator="containsText" text="NICOLA">
      <formula>NOT(ISERROR(SEARCH("NICOLA",C1909)))</formula>
    </cfRule>
  </conditionalFormatting>
  <conditionalFormatting sqref="C1912:C1913">
    <cfRule type="containsText" dxfId="1000" priority="480" operator="containsText" text="PERSONALE">
      <formula>NOT(ISERROR(SEARCH("PERSONALE",C1912)))</formula>
    </cfRule>
    <cfRule type="containsText" dxfId="999" priority="479" operator="containsText" text="NICOLA">
      <formula>NOT(ISERROR(SEARCH("NICOLA",C1912)))</formula>
    </cfRule>
  </conditionalFormatting>
  <conditionalFormatting sqref="C1912:C1914">
    <cfRule type="containsText" dxfId="998" priority="487" operator="containsText" text="NICOLA">
      <formula>NOT(ISERROR(SEARCH("NICOLA",C1912)))</formula>
    </cfRule>
  </conditionalFormatting>
  <conditionalFormatting sqref="C1912:C1927">
    <cfRule type="containsText" dxfId="997" priority="488" operator="containsText" text="PERSONALE">
      <formula>NOT(ISERROR(SEARCH("PERSONALE",C1912)))</formula>
    </cfRule>
  </conditionalFormatting>
  <conditionalFormatting sqref="C1915:C1917">
    <cfRule type="containsText" dxfId="996" priority="475" operator="containsText" text="PERSONALE">
      <formula>NOT(ISERROR(SEARCH("PERSONALE",C1915)))</formula>
    </cfRule>
    <cfRule type="containsText" dxfId="995" priority="474" operator="containsText" text="NICOLA">
      <formula>NOT(ISERROR(SEARCH("NICOLA",C1915)))</formula>
    </cfRule>
  </conditionalFormatting>
  <conditionalFormatting sqref="C1926:C1927">
    <cfRule type="containsText" dxfId="994" priority="471" operator="containsText" text="NICOLA">
      <formula>NOT(ISERROR(SEARCH("NICOLA",C1926)))</formula>
    </cfRule>
    <cfRule type="containsText" dxfId="993" priority="472" operator="containsText" text="PERSONALE">
      <formula>NOT(ISERROR(SEARCH("PERSONALE",C1926)))</formula>
    </cfRule>
  </conditionalFormatting>
  <conditionalFormatting sqref="C1928:C1979">
    <cfRule type="containsText" dxfId="992" priority="467" operator="containsText" text="PERSONALE">
      <formula>NOT(ISERROR(SEARCH("PERSONALE",C1928)))</formula>
    </cfRule>
  </conditionalFormatting>
  <conditionalFormatting sqref="C1938:C1941">
    <cfRule type="containsText" dxfId="991" priority="463" operator="containsText" text="PERSONALE">
      <formula>NOT(ISERROR(SEARCH("PERSONALE",C1938)))</formula>
    </cfRule>
    <cfRule type="containsText" dxfId="990" priority="462" operator="containsText" text="NICOLA">
      <formula>NOT(ISERROR(SEARCH("NICOLA",C1938)))</formula>
    </cfRule>
  </conditionalFormatting>
  <conditionalFormatting sqref="C1944:C1945">
    <cfRule type="containsText" dxfId="989" priority="461" operator="containsText" text="PERSONALE">
      <formula>NOT(ISERROR(SEARCH("PERSONALE",C1944)))</formula>
    </cfRule>
    <cfRule type="containsText" dxfId="988" priority="460" operator="containsText" text="NICOLA">
      <formula>NOT(ISERROR(SEARCH("NICOLA",C1944)))</formula>
    </cfRule>
  </conditionalFormatting>
  <conditionalFormatting sqref="C1950:C1953">
    <cfRule type="containsText" dxfId="987" priority="457" operator="containsText" text="PERSONALE">
      <formula>NOT(ISERROR(SEARCH("PERSONALE",C1950)))</formula>
    </cfRule>
    <cfRule type="containsText" dxfId="986" priority="456" operator="containsText" text="NICOLA">
      <formula>NOT(ISERROR(SEARCH("NICOLA",C1950)))</formula>
    </cfRule>
  </conditionalFormatting>
  <conditionalFormatting sqref="C1959:C1960">
    <cfRule type="containsText" dxfId="985" priority="455" operator="containsText" text="PERSONALE">
      <formula>NOT(ISERROR(SEARCH("PERSONALE",C1959)))</formula>
    </cfRule>
    <cfRule type="containsText" dxfId="984" priority="454" operator="containsText" text="NICOLA">
      <formula>NOT(ISERROR(SEARCH("NICOLA",C1959)))</formula>
    </cfRule>
  </conditionalFormatting>
  <conditionalFormatting sqref="C1968:C1971">
    <cfRule type="containsText" dxfId="983" priority="452" operator="containsText" text="NICOLA">
      <formula>NOT(ISERROR(SEARCH("NICOLA",C1968)))</formula>
    </cfRule>
    <cfRule type="containsText" dxfId="982" priority="453" operator="containsText" text="PERSONALE">
      <formula>NOT(ISERROR(SEARCH("PERSONALE",C1968)))</formula>
    </cfRule>
  </conditionalFormatting>
  <conditionalFormatting sqref="C1973:C1976">
    <cfRule type="containsText" dxfId="981" priority="450" operator="containsText" text="NICOLA">
      <formula>NOT(ISERROR(SEARCH("NICOLA",C1973)))</formula>
    </cfRule>
    <cfRule type="containsText" dxfId="980" priority="451" operator="containsText" text="PERSONALE">
      <formula>NOT(ISERROR(SEARCH("PERSONALE",C1973)))</formula>
    </cfRule>
  </conditionalFormatting>
  <conditionalFormatting sqref="C1978:C1979">
    <cfRule type="containsText" dxfId="979" priority="449" operator="containsText" text="PERSONALE">
      <formula>NOT(ISERROR(SEARCH("PERSONALE",C1978)))</formula>
    </cfRule>
    <cfRule type="containsText" dxfId="978" priority="448" operator="containsText" text="NICOLA">
      <formula>NOT(ISERROR(SEARCH("NICOLA",C1978)))</formula>
    </cfRule>
  </conditionalFormatting>
  <conditionalFormatting sqref="C1980">
    <cfRule type="containsText" dxfId="977" priority="444" operator="containsText" text="INCASSO">
      <formula>NOT(ISERROR(SEARCH("INCASSO",C1980)))</formula>
    </cfRule>
    <cfRule type="containsText" dxfId="976" priority="439" operator="containsText" text="VERSAMENTO">
      <formula>NOT(ISERROR(SEARCH("VERSAMENTO",C1980)))</formula>
    </cfRule>
    <cfRule type="containsText" dxfId="975" priority="438" operator="containsText" text="NICOLA">
      <formula>NOT(ISERROR(SEARCH("NICOLA",C1980)))</formula>
    </cfRule>
  </conditionalFormatting>
  <conditionalFormatting sqref="C1980:C1990">
    <cfRule type="containsText" dxfId="974" priority="446" operator="containsText" text="PERSONALE">
      <formula>NOT(ISERROR(SEARCH("PERSONALE",C1980)))</formula>
    </cfRule>
  </conditionalFormatting>
  <conditionalFormatting sqref="C1991:C1994">
    <cfRule type="containsText" dxfId="973" priority="432" operator="containsText" text="PERSONALE">
      <formula>NOT(ISERROR(SEARCH("PERSONALE",C1991)))</formula>
    </cfRule>
  </conditionalFormatting>
  <conditionalFormatting sqref="C1992:C1993">
    <cfRule type="containsText" dxfId="972" priority="431" operator="containsText" text="NICOLA">
      <formula>NOT(ISERROR(SEARCH("NICOLA",C1992)))</formula>
    </cfRule>
  </conditionalFormatting>
  <conditionalFormatting sqref="C1995:C2085">
    <cfRule type="containsText" dxfId="971" priority="425" operator="containsText" text="PERSONALE">
      <formula>NOT(ISERROR(SEARCH("PERSONALE",C1995)))</formula>
    </cfRule>
  </conditionalFormatting>
  <conditionalFormatting sqref="C1997:C1998">
    <cfRule type="containsText" dxfId="970" priority="424" operator="containsText" text="NICOLA">
      <formula>NOT(ISERROR(SEARCH("NICOLA",C1997)))</formula>
    </cfRule>
  </conditionalFormatting>
  <conditionalFormatting sqref="C2002:C2003">
    <cfRule type="containsText" dxfId="969" priority="421" operator="containsText" text="NICOLA">
      <formula>NOT(ISERROR(SEARCH("NICOLA",C2002)))</formula>
    </cfRule>
  </conditionalFormatting>
  <conditionalFormatting sqref="C2007:C2012">
    <cfRule type="containsText" dxfId="968" priority="419" operator="containsText" text="NICOLA">
      <formula>NOT(ISERROR(SEARCH("NICOLA",C2007)))</formula>
    </cfRule>
  </conditionalFormatting>
  <conditionalFormatting sqref="C2017:C2019">
    <cfRule type="containsText" dxfId="967" priority="418" operator="containsText" text="NICOLA">
      <formula>NOT(ISERROR(SEARCH("NICOLA",C2017)))</formula>
    </cfRule>
  </conditionalFormatting>
  <conditionalFormatting sqref="C2027:C2028">
    <cfRule type="containsText" dxfId="966" priority="417" operator="containsText" text="NICOLA">
      <formula>NOT(ISERROR(SEARCH("NICOLA",C2027)))</formula>
    </cfRule>
  </conditionalFormatting>
  <conditionalFormatting sqref="C2030:C2031">
    <cfRule type="containsText" dxfId="965" priority="416" operator="containsText" text="NICOLA">
      <formula>NOT(ISERROR(SEARCH("NICOLA",C2030)))</formula>
    </cfRule>
  </conditionalFormatting>
  <conditionalFormatting sqref="C2036:C2037">
    <cfRule type="containsText" dxfId="964" priority="415" operator="containsText" text="NICOLA">
      <formula>NOT(ISERROR(SEARCH("NICOLA",C2036)))</formula>
    </cfRule>
  </conditionalFormatting>
  <conditionalFormatting sqref="C2040:C2041">
    <cfRule type="containsText" dxfId="963" priority="414" operator="containsText" text="NICOLA">
      <formula>NOT(ISERROR(SEARCH("NICOLA",C2040)))</formula>
    </cfRule>
  </conditionalFormatting>
  <conditionalFormatting sqref="C2048:C2049">
    <cfRule type="containsText" dxfId="962" priority="413" operator="containsText" text="NICOLA">
      <formula>NOT(ISERROR(SEARCH("NICOLA",C2048)))</formula>
    </cfRule>
  </conditionalFormatting>
  <conditionalFormatting sqref="C2054:C2055">
    <cfRule type="containsText" dxfId="961" priority="412" operator="containsText" text="NICOLA">
      <formula>NOT(ISERROR(SEARCH("NICOLA",C2054)))</formula>
    </cfRule>
  </conditionalFormatting>
  <conditionalFormatting sqref="C2061:C2062">
    <cfRule type="containsText" dxfId="960" priority="411" operator="containsText" text="NICOLA">
      <formula>NOT(ISERROR(SEARCH("NICOLA",C2061)))</formula>
    </cfRule>
  </conditionalFormatting>
  <conditionalFormatting sqref="C2083:C2084">
    <cfRule type="containsText" dxfId="959" priority="410" operator="containsText" text="NICOLA">
      <formula>NOT(ISERROR(SEARCH("NICOLA",C2083)))</formula>
    </cfRule>
  </conditionalFormatting>
  <conditionalFormatting sqref="C2086">
    <cfRule type="containsText" dxfId="958" priority="407" operator="containsText" text="PERSONALE">
      <formula>NOT(ISERROR(SEARCH("PERSONALE",C2086)))</formula>
    </cfRule>
  </conditionalFormatting>
  <conditionalFormatting sqref="C2093:C2094">
    <cfRule type="containsText" dxfId="957" priority="405" operator="containsText" text="NICOLA">
      <formula>NOT(ISERROR(SEARCH("NICOLA",C2093)))</formula>
    </cfRule>
  </conditionalFormatting>
  <conditionalFormatting sqref="C2096:C2098">
    <cfRule type="containsText" dxfId="956" priority="396" operator="containsText" text="NICOLA">
      <formula>NOT(ISERROR(SEARCH("NICOLA",C2096)))</formula>
    </cfRule>
  </conditionalFormatting>
  <conditionalFormatting sqref="C2098 C2100:D2106 C2190 C2191:D2202 C2203:C2204 C2232:D2244 C2246:D2246 C2247:C2248 C2297:C2298">
    <cfRule type="containsText" dxfId="955" priority="355" operator="containsText" text="INCASSO">
      <formula>NOT(ISERROR(SEARCH("INCASSO",C2098)))</formula>
    </cfRule>
  </conditionalFormatting>
  <conditionalFormatting sqref="C2100">
    <cfRule type="containsText" dxfId="954" priority="401" operator="containsText" text="NICOLA">
      <formula>NOT(ISERROR(SEARCH("NICOLA",C2100)))</formula>
    </cfRule>
  </conditionalFormatting>
  <conditionalFormatting sqref="C2103:C2104">
    <cfRule type="containsText" dxfId="953" priority="392" operator="containsText" text="NICOLA">
      <formula>NOT(ISERROR(SEARCH("NICOLA",C2103)))</formula>
    </cfRule>
  </conditionalFormatting>
  <conditionalFormatting sqref="C2107">
    <cfRule type="containsText" dxfId="952" priority="375" operator="containsText" text="NICOLA">
      <formula>NOT(ISERROR(SEARCH("NICOLA",C2107)))</formula>
    </cfRule>
    <cfRule type="containsText" dxfId="951" priority="376" operator="containsText" text="VERSAMENTO">
      <formula>NOT(ISERROR(SEARCH("VERSAMENTO",C2107)))</formula>
    </cfRule>
    <cfRule type="containsText" dxfId="950" priority="381" operator="containsText" text="INCASSO">
      <formula>NOT(ISERROR(SEARCH("INCASSO",C2107)))</formula>
    </cfRule>
  </conditionalFormatting>
  <conditionalFormatting sqref="C2107:C2109">
    <cfRule type="containsText" dxfId="949" priority="383" operator="containsText" text="PERSONALE">
      <formula>NOT(ISERROR(SEARCH("PERSONALE",C2107)))</formula>
    </cfRule>
  </conditionalFormatting>
  <conditionalFormatting sqref="C2108:C2109">
    <cfRule type="containsText" dxfId="948" priority="372" operator="containsText" text="NICOLA">
      <formula>NOT(ISERROR(SEARCH("NICOLA",C2108)))</formula>
    </cfRule>
  </conditionalFormatting>
  <conditionalFormatting sqref="C2110:C2119">
    <cfRule type="containsText" dxfId="947" priority="345" operator="containsText" text="PERSONALE">
      <formula>NOT(ISERROR(SEARCH("PERSONALE",C2110)))</formula>
    </cfRule>
  </conditionalFormatting>
  <conditionalFormatting sqref="C2118:C2119 C2205:D2230">
    <cfRule type="containsText" dxfId="946" priority="344" operator="containsText" text="INCASSO">
      <formula>NOT(ISERROR(SEARCH("INCASSO",C2118)))</formula>
    </cfRule>
  </conditionalFormatting>
  <conditionalFormatting sqref="C2120:C2121 C2122:D2127 C1991:D2085">
    <cfRule type="containsText" dxfId="945" priority="399" operator="containsText" text="VERSAMENTO">
      <formula>NOT(ISERROR(SEARCH("VERSAMENTO",C1991)))</formula>
    </cfRule>
  </conditionalFormatting>
  <conditionalFormatting sqref="C2121:C2122">
    <cfRule type="containsText" dxfId="944" priority="397" operator="containsText" text="NICOLA">
      <formula>NOT(ISERROR(SEARCH("NICOLA",C2121)))</formula>
    </cfRule>
  </conditionalFormatting>
  <conditionalFormatting sqref="C2128:C2135">
    <cfRule type="containsText" dxfId="943" priority="362" operator="containsText" text="NICOLA">
      <formula>NOT(ISERROR(SEARCH("NICOLA",C2128)))</formula>
    </cfRule>
  </conditionalFormatting>
  <conditionalFormatting sqref="C2137:C2138">
    <cfRule type="containsText" dxfId="942" priority="359" operator="containsText" text="NICOLA">
      <formula>NOT(ISERROR(SEARCH("NICOLA",C2137)))</formula>
    </cfRule>
  </conditionalFormatting>
  <conditionalFormatting sqref="C2141:C2142">
    <cfRule type="containsText" dxfId="941" priority="356" operator="containsText" text="NICOLA">
      <formula>NOT(ISERROR(SEARCH("NICOLA",C2141)))</formula>
    </cfRule>
  </conditionalFormatting>
  <conditionalFormatting sqref="C2144:C2146">
    <cfRule type="containsText" dxfId="940" priority="351" operator="containsText" text="NICOLA">
      <formula>NOT(ISERROR(SEARCH("NICOLA",C2144)))</formula>
    </cfRule>
  </conditionalFormatting>
  <conditionalFormatting sqref="C2150:C2152">
    <cfRule type="containsText" dxfId="939" priority="348" operator="containsText" text="NICOLA">
      <formula>NOT(ISERROR(SEARCH("NICOLA",C2150)))</formula>
    </cfRule>
  </conditionalFormatting>
  <conditionalFormatting sqref="C2162:C2163">
    <cfRule type="containsText" dxfId="938" priority="340" operator="containsText" text="NICOLA">
      <formula>NOT(ISERROR(SEARCH("NICOLA",C2162)))</formula>
    </cfRule>
  </conditionalFormatting>
  <conditionalFormatting sqref="C2169:C2173">
    <cfRule type="containsText" dxfId="937" priority="339" operator="containsText" text="NICOLA">
      <formula>NOT(ISERROR(SEARCH("NICOLA",C2169)))</formula>
    </cfRule>
  </conditionalFormatting>
  <conditionalFormatting sqref="C2177:C2179">
    <cfRule type="containsText" dxfId="936" priority="338" operator="containsText" text="NICOLA">
      <formula>NOT(ISERROR(SEARCH("NICOLA",C2177)))</formula>
    </cfRule>
  </conditionalFormatting>
  <conditionalFormatting sqref="C2184:C2185">
    <cfRule type="containsText" dxfId="935" priority="337" operator="containsText" text="NICOLA">
      <formula>NOT(ISERROR(SEARCH("NICOLA",C2184)))</formula>
    </cfRule>
  </conditionalFormatting>
  <conditionalFormatting sqref="C2188:C2189">
    <cfRule type="containsText" dxfId="934" priority="336" operator="containsText" text="NICOLA">
      <formula>NOT(ISERROR(SEARCH("NICOLA",C2188)))</formula>
    </cfRule>
  </conditionalFormatting>
  <conditionalFormatting sqref="C2196:C2197">
    <cfRule type="containsText" dxfId="933" priority="335" operator="containsText" text="NICOLA">
      <formula>NOT(ISERROR(SEARCH("NICOLA",C2196)))</formula>
    </cfRule>
  </conditionalFormatting>
  <conditionalFormatting sqref="C2199:C2201">
    <cfRule type="containsText" dxfId="932" priority="334" operator="containsText" text="NICOLA">
      <formula>NOT(ISERROR(SEARCH("NICOLA",C2199)))</formula>
    </cfRule>
  </conditionalFormatting>
  <conditionalFormatting sqref="C2208:C2209">
    <cfRule type="containsText" dxfId="931" priority="333" operator="containsText" text="NICOLA">
      <formula>NOT(ISERROR(SEARCH("NICOLA",C2208)))</formula>
    </cfRule>
  </conditionalFormatting>
  <conditionalFormatting sqref="C2213:C2215">
    <cfRule type="containsText" dxfId="930" priority="327" operator="containsText" text="NICOLA">
      <formula>NOT(ISERROR(SEARCH("NICOLA",C2213)))</formula>
    </cfRule>
  </conditionalFormatting>
  <conditionalFormatting sqref="C2215">
    <cfRule type="containsText" dxfId="929" priority="329" operator="containsText" text="PERSONALE">
      <formula>NOT(ISERROR(SEARCH("PERSONALE",C2215)))</formula>
    </cfRule>
  </conditionalFormatting>
  <conditionalFormatting sqref="C2229:C2230">
    <cfRule type="containsText" dxfId="928" priority="326" operator="containsText" text="NICOLA">
      <formula>NOT(ISERROR(SEARCH("NICOLA",C2229)))</formula>
    </cfRule>
  </conditionalFormatting>
  <conditionalFormatting sqref="C2231">
    <cfRule type="containsText" dxfId="927" priority="322" operator="containsText" text="NICOLA">
      <formula>NOT(ISERROR(SEARCH("NICOLA",C2231)))</formula>
    </cfRule>
    <cfRule type="containsText" dxfId="926" priority="323" operator="containsText" text="PERSONALE">
      <formula>NOT(ISERROR(SEARCH("PERSONALE",C2231)))</formula>
    </cfRule>
    <cfRule type="containsText" dxfId="925" priority="324" operator="containsText" text="VERSAMENTO">
      <formula>NOT(ISERROR(SEARCH("VERSAMENTO",C2231)))</formula>
    </cfRule>
    <cfRule type="containsText" dxfId="924" priority="325" operator="containsText" text="INCASSO">
      <formula>NOT(ISERROR(SEARCH("INCASSO",C2231)))</formula>
    </cfRule>
  </conditionalFormatting>
  <conditionalFormatting sqref="C2232:C2233">
    <cfRule type="containsText" dxfId="923" priority="315" operator="containsText" text="NICOLA">
      <formula>NOT(ISERROR(SEARCH("NICOLA",C2232)))</formula>
    </cfRule>
  </conditionalFormatting>
  <conditionalFormatting sqref="C2237:C2238">
    <cfRule type="containsText" dxfId="922" priority="314" operator="containsText" text="NICOLA">
      <formula>NOT(ISERROR(SEARCH("NICOLA",C2237)))</formula>
    </cfRule>
  </conditionalFormatting>
  <conditionalFormatting sqref="C2241:C2244">
    <cfRule type="containsText" dxfId="921" priority="313" operator="containsText" text="NICOLA">
      <formula>NOT(ISERROR(SEARCH("NICOLA",C2241)))</formula>
    </cfRule>
  </conditionalFormatting>
  <conditionalFormatting sqref="C2245">
    <cfRule type="containsText" dxfId="920" priority="309" operator="containsText" text="NICOLA">
      <formula>NOT(ISERROR(SEARCH("NICOLA",C2245)))</formula>
    </cfRule>
    <cfRule type="containsText" dxfId="919" priority="310" operator="containsText" text="PERSONALE">
      <formula>NOT(ISERROR(SEARCH("PERSONALE",C2245)))</formula>
    </cfRule>
    <cfRule type="containsText" dxfId="918" priority="312" operator="containsText" text="INCASSO">
      <formula>NOT(ISERROR(SEARCH("INCASSO",C2245)))</formula>
    </cfRule>
    <cfRule type="containsText" dxfId="917" priority="311" operator="containsText" text="VERSAMENTO">
      <formula>NOT(ISERROR(SEARCH("VERSAMENTO",C2245)))</formula>
    </cfRule>
  </conditionalFormatting>
  <conditionalFormatting sqref="C2250:C2253">
    <cfRule type="containsText" dxfId="916" priority="300" operator="containsText" text="NICOLA">
      <formula>NOT(ISERROR(SEARCH("NICOLA",C2250)))</formula>
    </cfRule>
  </conditionalFormatting>
  <conditionalFormatting sqref="C2277:C2278">
    <cfRule type="containsText" dxfId="915" priority="302" operator="containsText" text="NICOLA">
      <formula>NOT(ISERROR(SEARCH("NICOLA",C2277)))</formula>
    </cfRule>
  </conditionalFormatting>
  <conditionalFormatting sqref="C2280:C2283">
    <cfRule type="containsText" dxfId="914" priority="301" operator="containsText" text="NICOLA">
      <formula>NOT(ISERROR(SEARCH("NICOLA",C2280)))</formula>
    </cfRule>
  </conditionalFormatting>
  <conditionalFormatting sqref="C2286:C2287">
    <cfRule type="containsText" dxfId="913" priority="299" operator="containsText" text="NICOLA">
      <formula>NOT(ISERROR(SEARCH("NICOLA",C2286)))</formula>
    </cfRule>
  </conditionalFormatting>
  <conditionalFormatting sqref="C2291:C2292">
    <cfRule type="containsText" dxfId="912" priority="298" operator="containsText" text="NICOLA">
      <formula>NOT(ISERROR(SEARCH("NICOLA",C2291)))</formula>
    </cfRule>
  </conditionalFormatting>
  <conditionalFormatting sqref="C2295:C2296">
    <cfRule type="containsText" dxfId="911" priority="297" operator="containsText" text="NICOLA">
      <formula>NOT(ISERROR(SEARCH("NICOLA",C2295)))</formula>
    </cfRule>
  </conditionalFormatting>
  <conditionalFormatting sqref="C2299:C2301">
    <cfRule type="containsText" dxfId="910" priority="296" operator="containsText" text="NICOLA">
      <formula>NOT(ISERROR(SEARCH("NICOLA",C2299)))</formula>
    </cfRule>
  </conditionalFormatting>
  <conditionalFormatting sqref="C2307:C2309">
    <cfRule type="containsText" dxfId="909" priority="293" operator="containsText" text="NICOLA">
      <formula>NOT(ISERROR(SEARCH("NICOLA",C2307)))</formula>
    </cfRule>
  </conditionalFormatting>
  <conditionalFormatting sqref="C2311:C2313">
    <cfRule type="containsText" dxfId="908" priority="291" operator="containsText" text="NICOLA">
      <formula>NOT(ISERROR(SEARCH("NICOLA",C2311)))</formula>
    </cfRule>
  </conditionalFormatting>
  <conditionalFormatting sqref="C2321:C2323">
    <cfRule type="containsText" dxfId="907" priority="289" operator="containsText" text="NICOLA">
      <formula>NOT(ISERROR(SEARCH("NICOLA",C2321)))</formula>
    </cfRule>
  </conditionalFormatting>
  <conditionalFormatting sqref="C2325:C2334">
    <cfRule type="containsText" dxfId="906" priority="188" operator="containsText" text="PERSONALE">
      <formula>NOT(ISERROR(SEARCH("PERSONALE",C2325)))</formula>
    </cfRule>
  </conditionalFormatting>
  <conditionalFormatting sqref="C2333:C2334">
    <cfRule type="containsText" dxfId="905" priority="187" operator="containsText" text="INCASSO">
      <formula>NOT(ISERROR(SEARCH("INCASSO",C2333)))</formula>
    </cfRule>
    <cfRule type="containsText" dxfId="904" priority="192" operator="containsText" text="PERSONALE">
      <formula>NOT(ISERROR(SEARCH("PERSONALE",C2333)))</formula>
    </cfRule>
    <cfRule type="containsText" dxfId="903" priority="186" operator="containsText" text="VERSAMENTO">
      <formula>NOT(ISERROR(SEARCH("VERSAMENTO",C2333)))</formula>
    </cfRule>
  </conditionalFormatting>
  <conditionalFormatting sqref="C2335:C2336">
    <cfRule type="containsText" dxfId="902" priority="288" operator="containsText" text="NICOLA">
      <formula>NOT(ISERROR(SEARCH("NICOLA",C2335)))</formula>
    </cfRule>
  </conditionalFormatting>
  <conditionalFormatting sqref="C2338:C2339">
    <cfRule type="containsText" dxfId="901" priority="287" operator="containsText" text="NICOLA">
      <formula>NOT(ISERROR(SEARCH("NICOLA",C2338)))</formula>
    </cfRule>
  </conditionalFormatting>
  <conditionalFormatting sqref="C2343:C2344">
    <cfRule type="containsText" dxfId="900" priority="284" operator="containsText" text="NICOLA">
      <formula>NOT(ISERROR(SEARCH("NICOLA",C2343)))</formula>
    </cfRule>
  </conditionalFormatting>
  <conditionalFormatting sqref="C2353:C2354">
    <cfRule type="containsText" dxfId="899" priority="283" operator="containsText" text="NICOLA">
      <formula>NOT(ISERROR(SEARCH("NICOLA",C2353)))</formula>
    </cfRule>
  </conditionalFormatting>
  <conditionalFormatting sqref="C2357:C2359">
    <cfRule type="containsText" dxfId="898" priority="281" operator="containsText" text="NICOLA">
      <formula>NOT(ISERROR(SEARCH("NICOLA",C2357)))</formula>
    </cfRule>
  </conditionalFormatting>
  <conditionalFormatting sqref="C2373:C2374">
    <cfRule type="containsText" dxfId="897" priority="280" operator="containsText" text="NICOLA">
      <formula>NOT(ISERROR(SEARCH("NICOLA",C2373)))</formula>
    </cfRule>
  </conditionalFormatting>
  <conditionalFormatting sqref="C2376:C2377">
    <cfRule type="containsText" dxfId="896" priority="279" operator="containsText" text="NICOLA">
      <formula>NOT(ISERROR(SEARCH("NICOLA",C2376)))</formula>
    </cfRule>
  </conditionalFormatting>
  <conditionalFormatting sqref="C2379:C2380">
    <cfRule type="containsText" dxfId="895" priority="278" operator="containsText" text="NICOLA">
      <formula>NOT(ISERROR(SEARCH("NICOLA",C2379)))</formula>
    </cfRule>
  </conditionalFormatting>
  <conditionalFormatting sqref="C2384:C2385">
    <cfRule type="containsText" dxfId="894" priority="277" operator="containsText" text="NICOLA">
      <formula>NOT(ISERROR(SEARCH("NICOLA",C2384)))</formula>
    </cfRule>
  </conditionalFormatting>
  <conditionalFormatting sqref="C2387:C2388">
    <cfRule type="containsText" dxfId="893" priority="276" operator="containsText" text="NICOLA">
      <formula>NOT(ISERROR(SEARCH("NICOLA",C2387)))</formula>
    </cfRule>
  </conditionalFormatting>
  <conditionalFormatting sqref="C2389:C2390">
    <cfRule type="containsText" dxfId="892" priority="272" operator="containsText" text="VERSAMENTO">
      <formula>NOT(ISERROR(SEARCH("VERSAMENTO",C2389)))</formula>
    </cfRule>
    <cfRule type="containsText" dxfId="891" priority="273" operator="containsText" text="INCASSO">
      <formula>NOT(ISERROR(SEARCH("INCASSO",C2389)))</formula>
    </cfRule>
  </conditionalFormatting>
  <conditionalFormatting sqref="C2394:C2395">
    <cfRule type="containsText" dxfId="890" priority="271" operator="containsText" text="NICOLA">
      <formula>NOT(ISERROR(SEARCH("NICOLA",C2394)))</formula>
    </cfRule>
  </conditionalFormatting>
  <conditionalFormatting sqref="C2398:C2400">
    <cfRule type="containsText" dxfId="889" priority="269" operator="containsText" text="NICOLA">
      <formula>NOT(ISERROR(SEARCH("NICOLA",C2398)))</formula>
    </cfRule>
  </conditionalFormatting>
  <conditionalFormatting sqref="C2402:C2403">
    <cfRule type="containsText" dxfId="888" priority="268" operator="containsText" text="NICOLA">
      <formula>NOT(ISERROR(SEARCH("NICOLA",C2402)))</formula>
    </cfRule>
  </conditionalFormatting>
  <conditionalFormatting sqref="C2405:C2406">
    <cfRule type="containsText" dxfId="887" priority="267" operator="containsText" text="NICOLA">
      <formula>NOT(ISERROR(SEARCH("NICOLA",C2405)))</formula>
    </cfRule>
  </conditionalFormatting>
  <conditionalFormatting sqref="C2412:C2413">
    <cfRule type="containsText" dxfId="886" priority="264" operator="containsText" text="NICOLA">
      <formula>NOT(ISERROR(SEARCH("NICOLA",C2412)))</formula>
    </cfRule>
  </conditionalFormatting>
  <conditionalFormatting sqref="C2415:C2416">
    <cfRule type="containsText" dxfId="885" priority="263" operator="containsText" text="NICOLA">
      <formula>NOT(ISERROR(SEARCH("NICOLA",C2415)))</formula>
    </cfRule>
  </conditionalFormatting>
  <conditionalFormatting sqref="C2422:C2427">
    <cfRule type="containsText" dxfId="884" priority="262" operator="containsText" text="NICOLA">
      <formula>NOT(ISERROR(SEARCH("NICOLA",C2422)))</formula>
    </cfRule>
  </conditionalFormatting>
  <conditionalFormatting sqref="C2446">
    <cfRule type="containsText" dxfId="883" priority="248" operator="containsText" text="VERSAMENTO">
      <formula>NOT(ISERROR(SEARCH("VERSAMENTO",C2446)))</formula>
    </cfRule>
    <cfRule type="containsText" dxfId="882" priority="247" operator="containsText" text="PERSONALE">
      <formula>NOT(ISERROR(SEARCH("PERSONALE",C2446)))</formula>
    </cfRule>
    <cfRule type="containsText" dxfId="881" priority="246" operator="containsText" text="NICOLA">
      <formula>NOT(ISERROR(SEARCH("NICOLA",C2446)))</formula>
    </cfRule>
    <cfRule type="containsText" dxfId="880" priority="249" operator="containsText" text="INCASSO">
      <formula>NOT(ISERROR(SEARCH("INCASSO",C2446)))</formula>
    </cfRule>
  </conditionalFormatting>
  <conditionalFormatting sqref="C2447:C2455">
    <cfRule type="containsText" dxfId="879" priority="257" operator="containsText" text="PERSONALE">
      <formula>NOT(ISERROR(SEARCH("PERSONALE",C2447)))</formula>
    </cfRule>
  </conditionalFormatting>
  <conditionalFormatting sqref="C2449:C2452">
    <cfRule type="containsText" dxfId="878" priority="239" operator="containsText" text="NICOLA">
      <formula>NOT(ISERROR(SEARCH("NICOLA",C2449)))</formula>
    </cfRule>
  </conditionalFormatting>
  <conditionalFormatting sqref="C2453">
    <cfRule type="containsText" dxfId="877" priority="258" operator="containsText" text="VERSAMENTO">
      <formula>NOT(ISERROR(SEARCH("VERSAMENTO",C2453)))</formula>
    </cfRule>
    <cfRule type="containsText" dxfId="876" priority="259" operator="containsText" text="INCASSO">
      <formula>NOT(ISERROR(SEARCH("INCASSO",C2453)))</formula>
    </cfRule>
    <cfRule type="containsText" dxfId="875" priority="256" operator="containsText" text="NICOLA">
      <formula>NOT(ISERROR(SEARCH("NICOLA",C2453)))</formula>
    </cfRule>
  </conditionalFormatting>
  <conditionalFormatting sqref="C2454:C2455">
    <cfRule type="containsText" dxfId="874" priority="238" operator="containsText" text="NICOLA">
      <formula>NOT(ISERROR(SEARCH("NICOLA",C2454)))</formula>
    </cfRule>
  </conditionalFormatting>
  <conditionalFormatting sqref="C2456">
    <cfRule type="containsText" dxfId="873" priority="234" operator="containsText" text="NICOLA">
      <formula>NOT(ISERROR(SEARCH("NICOLA",C2456)))</formula>
    </cfRule>
    <cfRule type="containsText" dxfId="872" priority="236" operator="containsText" text="VERSAMENTO">
      <formula>NOT(ISERROR(SEARCH("VERSAMENTO",C2456)))</formula>
    </cfRule>
    <cfRule type="containsText" dxfId="871" priority="237" operator="containsText" text="INCASSO">
      <formula>NOT(ISERROR(SEARCH("INCASSO",C2456)))</formula>
    </cfRule>
  </conditionalFormatting>
  <conditionalFormatting sqref="C2456:C2458">
    <cfRule type="containsText" dxfId="870" priority="235" operator="containsText" text="PERSONALE">
      <formula>NOT(ISERROR(SEARCH("PERSONALE",C2456)))</formula>
    </cfRule>
  </conditionalFormatting>
  <conditionalFormatting sqref="C2462:C2463">
    <cfRule type="containsText" dxfId="869" priority="227" operator="containsText" text="NICOLA">
      <formula>NOT(ISERROR(SEARCH("NICOLA",C2462)))</formula>
    </cfRule>
  </conditionalFormatting>
  <conditionalFormatting sqref="C2466:C2467">
    <cfRule type="containsText" dxfId="868" priority="226" operator="containsText" text="NICOLA">
      <formula>NOT(ISERROR(SEARCH("NICOLA",C2466)))</formula>
    </cfRule>
  </conditionalFormatting>
  <conditionalFormatting sqref="C2471:C2472">
    <cfRule type="containsText" dxfId="867" priority="223" operator="containsText" text="NICOLA">
      <formula>NOT(ISERROR(SEARCH("NICOLA",C2471)))</formula>
    </cfRule>
  </conditionalFormatting>
  <conditionalFormatting sqref="C2475:C2476">
    <cfRule type="containsText" dxfId="866" priority="222" operator="containsText" text="NICOLA">
      <formula>NOT(ISERROR(SEARCH("NICOLA",C2475)))</formula>
    </cfRule>
  </conditionalFormatting>
  <conditionalFormatting sqref="C2493:C2496">
    <cfRule type="containsText" dxfId="865" priority="221" operator="containsText" text="NICOLA">
      <formula>NOT(ISERROR(SEARCH("NICOLA",C2493)))</formula>
    </cfRule>
  </conditionalFormatting>
  <conditionalFormatting sqref="C2498:C2499">
    <cfRule type="containsText" dxfId="864" priority="220" operator="containsText" text="NICOLA">
      <formula>NOT(ISERROR(SEARCH("NICOLA",C2498)))</formula>
    </cfRule>
  </conditionalFormatting>
  <conditionalFormatting sqref="C2503:C2504">
    <cfRule type="containsText" dxfId="863" priority="183" operator="containsText" text="NICOLA">
      <formula>NOT(ISERROR(SEARCH("NICOLA",C2503)))</formula>
    </cfRule>
  </conditionalFormatting>
  <conditionalFormatting sqref="C2505:C2519">
    <cfRule type="containsText" dxfId="862" priority="173" operator="containsText" text="PERSONALE">
      <formula>NOT(ISERROR(SEARCH("PERSONALE",C2505)))</formula>
    </cfRule>
  </conditionalFormatting>
  <conditionalFormatting sqref="C2510">
    <cfRule type="containsText" dxfId="861" priority="218" operator="containsText" text="VERSAMENTO">
      <formula>NOT(ISERROR(SEARCH("VERSAMENTO",C2510)))</formula>
    </cfRule>
    <cfRule type="containsText" dxfId="860" priority="219" operator="containsText" text="INCASSO">
      <formula>NOT(ISERROR(SEARCH("INCASSO",C2510)))</formula>
    </cfRule>
    <cfRule type="containsText" dxfId="859" priority="216" operator="containsText" text="NICOLA">
      <formula>NOT(ISERROR(SEARCH("NICOLA",C2510)))</formula>
    </cfRule>
  </conditionalFormatting>
  <conditionalFormatting sqref="C2510:C2511">
    <cfRule type="containsText" dxfId="858" priority="217" operator="containsText" text="PERSONALE">
      <formula>NOT(ISERROR(SEARCH("PERSONALE",C2510)))</formula>
    </cfRule>
  </conditionalFormatting>
  <conditionalFormatting sqref="C2513:C2514">
    <cfRule type="containsText" dxfId="857" priority="172" operator="containsText" text="INCASSO">
      <formula>NOT(ISERROR(SEARCH("INCASSO",C2513)))</formula>
    </cfRule>
    <cfRule type="containsText" dxfId="856" priority="171" operator="containsText" text="VERSAMENTO">
      <formula>NOT(ISERROR(SEARCH("VERSAMENTO",C2513)))</formula>
    </cfRule>
  </conditionalFormatting>
  <conditionalFormatting sqref="C2520:C2521">
    <cfRule type="containsText" dxfId="855" priority="166" operator="containsText" text="NICOLA">
      <formula>NOT(ISERROR(SEARCH("NICOLA",C2520)))</formula>
    </cfRule>
    <cfRule type="containsText" dxfId="854" priority="167" operator="containsText" text="PERSONALE">
      <formula>NOT(ISERROR(SEARCH("PERSONALE",C2520)))</formula>
    </cfRule>
  </conditionalFormatting>
  <conditionalFormatting sqref="C2522:C2528 C2549:C2552">
    <cfRule type="containsText" dxfId="853" priority="207" operator="containsText" text="PERSONALE">
      <formula>NOT(ISERROR(SEARCH("PERSONALE",C2522)))</formula>
    </cfRule>
  </conditionalFormatting>
  <conditionalFormatting sqref="C2528">
    <cfRule type="containsText" dxfId="852" priority="206" operator="containsText" text="NICOLA">
      <formula>NOT(ISERROR(SEARCH("NICOLA",C2528)))</formula>
    </cfRule>
    <cfRule type="containsText" dxfId="851" priority="209" operator="containsText" text="INCASSO">
      <formula>NOT(ISERROR(SEARCH("INCASSO",C2528)))</formula>
    </cfRule>
    <cfRule type="containsText" dxfId="850" priority="208" operator="containsText" text="VERSAMENTO">
      <formula>NOT(ISERROR(SEARCH("VERSAMENTO",C2528)))</formula>
    </cfRule>
  </conditionalFormatting>
  <conditionalFormatting sqref="C2529:C2530">
    <cfRule type="containsText" dxfId="849" priority="153" operator="containsText" text="NICOLA">
      <formula>NOT(ISERROR(SEARCH("NICOLA",C2529)))</formula>
    </cfRule>
  </conditionalFormatting>
  <conditionalFormatting sqref="C2529:C2532">
    <cfRule type="containsText" dxfId="848" priority="154" operator="containsText" text="PERSONALE">
      <formula>NOT(ISERROR(SEARCH("PERSONALE",C2529)))</formula>
    </cfRule>
  </conditionalFormatting>
  <conditionalFormatting sqref="C2533:C2537">
    <cfRule type="containsText" dxfId="847" priority="148" operator="containsText" text="NICOLA">
      <formula>NOT(ISERROR(SEARCH("NICOLA",C2533)))</formula>
    </cfRule>
    <cfRule type="containsText" dxfId="846" priority="149" operator="containsText" text="PERSONALE">
      <formula>NOT(ISERROR(SEARCH("PERSONALE",C2533)))</formula>
    </cfRule>
  </conditionalFormatting>
  <conditionalFormatting sqref="C2538:C2544">
    <cfRule type="containsText" dxfId="845" priority="180" operator="containsText" text="PERSONALE">
      <formula>NOT(ISERROR(SEARCH("PERSONALE",C2538)))</formula>
    </cfRule>
  </conditionalFormatting>
  <conditionalFormatting sqref="C2539">
    <cfRule type="containsText" dxfId="844" priority="179" operator="containsText" text="NICOLA">
      <formula>NOT(ISERROR(SEARCH("NICOLA",C2539)))</formula>
    </cfRule>
    <cfRule type="containsText" dxfId="843" priority="181" operator="containsText" text="VERSAMENTO">
      <formula>NOT(ISERROR(SEARCH("VERSAMENTO",C2539)))</formula>
    </cfRule>
    <cfRule type="containsText" dxfId="842" priority="182" operator="containsText" text="INCASSO">
      <formula>NOT(ISERROR(SEARCH("INCASSO",C2539)))</formula>
    </cfRule>
  </conditionalFormatting>
  <conditionalFormatting sqref="C2544">
    <cfRule type="containsText" dxfId="841" priority="165" operator="containsText" text="INCASSO">
      <formula>NOT(ISERROR(SEARCH("INCASSO",C2544)))</formula>
    </cfRule>
    <cfRule type="containsText" dxfId="840" priority="164" operator="containsText" text="VERSAMENTO">
      <formula>NOT(ISERROR(SEARCH("VERSAMENTO",C2544)))</formula>
    </cfRule>
    <cfRule type="containsText" dxfId="839" priority="163" operator="containsText" text="NICOLA">
      <formula>NOT(ISERROR(SEARCH("NICOLA",C2544)))</formula>
    </cfRule>
  </conditionalFormatting>
  <conditionalFormatting sqref="C2545:C2546">
    <cfRule type="containsText" dxfId="838" priority="111" operator="containsText" text="NICOLA">
      <formula>NOT(ISERROR(SEARCH("NICOLA",C2545)))</formula>
    </cfRule>
    <cfRule type="containsText" dxfId="837" priority="112" operator="containsText" text="PERSONALE">
      <formula>NOT(ISERROR(SEARCH("PERSONALE",C2545)))</formula>
    </cfRule>
  </conditionalFormatting>
  <conditionalFormatting sqref="C2547">
    <cfRule type="containsText" dxfId="836" priority="105" operator="containsText" text="NICOLA">
      <formula>NOT(ISERROR(SEARCH("NICOLA",C2547)))</formula>
    </cfRule>
    <cfRule type="containsText" dxfId="835" priority="108" operator="containsText" text="INCASSO">
      <formula>NOT(ISERROR(SEARCH("INCASSO",C2547)))</formula>
    </cfRule>
    <cfRule type="containsText" dxfId="834" priority="106" operator="containsText" text="PERSONALE">
      <formula>NOT(ISERROR(SEARCH("PERSONALE",C2547)))</formula>
    </cfRule>
    <cfRule type="containsText" dxfId="833" priority="107" operator="containsText" text="VERSAMENTO">
      <formula>NOT(ISERROR(SEARCH("VERSAMENTO",C2547)))</formula>
    </cfRule>
  </conditionalFormatting>
  <conditionalFormatting sqref="C2548">
    <cfRule type="containsText" dxfId="832" priority="86" operator="containsText" text="PERSONALE">
      <formula>NOT(ISERROR(SEARCH("PERSONALE",C2548)))</formula>
    </cfRule>
  </conditionalFormatting>
  <conditionalFormatting sqref="C2550">
    <cfRule type="containsText" dxfId="831" priority="134" operator="containsText" text="INCASSO">
      <formula>NOT(ISERROR(SEARCH("INCASSO",C2550)))</formula>
    </cfRule>
    <cfRule type="containsText" dxfId="830" priority="133" operator="containsText" text="VERSAMENTO">
      <formula>NOT(ISERROR(SEARCH("VERSAMENTO",C2550)))</formula>
    </cfRule>
    <cfRule type="containsText" dxfId="829" priority="132" operator="containsText" text="NICOLA">
      <formula>NOT(ISERROR(SEARCH("NICOLA",C2550)))</formula>
    </cfRule>
  </conditionalFormatting>
  <conditionalFormatting sqref="C2553:C2554">
    <cfRule type="containsText" dxfId="828" priority="74" operator="containsText" text="NICOLA">
      <formula>NOT(ISERROR(SEARCH("NICOLA",C2553)))</formula>
    </cfRule>
  </conditionalFormatting>
  <conditionalFormatting sqref="C2553:C2561">
    <cfRule type="containsText" dxfId="827" priority="75" operator="containsText" text="PERSONALE">
      <formula>NOT(ISERROR(SEARCH("PERSONALE",C2553)))</formula>
    </cfRule>
  </conditionalFormatting>
  <conditionalFormatting sqref="C2562:C2564">
    <cfRule type="containsText" dxfId="826" priority="69" operator="containsText" text="NICOLA">
      <formula>NOT(ISERROR(SEARCH("NICOLA",C2562)))</formula>
    </cfRule>
  </conditionalFormatting>
  <conditionalFormatting sqref="C2562:C2566">
    <cfRule type="containsText" dxfId="825" priority="70" operator="containsText" text="PERSONALE">
      <formula>NOT(ISERROR(SEARCH("PERSONALE",C2562)))</formula>
    </cfRule>
  </conditionalFormatting>
  <conditionalFormatting sqref="C2567:C2569">
    <cfRule type="containsText" dxfId="824" priority="54" operator="containsText" text="NICOLA">
      <formula>NOT(ISERROR(SEARCH("NICOLA",C2567)))</formula>
    </cfRule>
  </conditionalFormatting>
  <conditionalFormatting sqref="C2567:C2572">
    <cfRule type="containsText" dxfId="823" priority="55" operator="containsText" text="PERSONALE">
      <formula>NOT(ISERROR(SEARCH("PERSONALE",C2567)))</formula>
    </cfRule>
  </conditionalFormatting>
  <conditionalFormatting sqref="C2573:C2578">
    <cfRule type="containsText" dxfId="822" priority="32" operator="containsText" text="NICOLA">
      <formula>NOT(ISERROR(SEARCH("NICOLA",C2573)))</formula>
    </cfRule>
  </conditionalFormatting>
  <conditionalFormatting sqref="C2573:C2585">
    <cfRule type="containsText" dxfId="821" priority="33" operator="containsText" text="PERSONALE">
      <formula>NOT(ISERROR(SEARCH("PERSONALE",C2573)))</formula>
    </cfRule>
  </conditionalFormatting>
  <conditionalFormatting sqref="C2579">
    <cfRule type="containsText" dxfId="820" priority="25" operator="containsText" text="NICOLA">
      <formula>NOT(ISERROR(SEARCH("NICOLA",C2579)))</formula>
    </cfRule>
    <cfRule type="containsText" dxfId="819" priority="26" operator="containsText" text="VERSAMENTO">
      <formula>NOT(ISERROR(SEARCH("VERSAMENTO",C2579)))</formula>
    </cfRule>
    <cfRule type="containsText" dxfId="818" priority="27" operator="containsText" text="INCASSO">
      <formula>NOT(ISERROR(SEARCH("INCASSO",C2579)))</formula>
    </cfRule>
  </conditionalFormatting>
  <conditionalFormatting sqref="C2586:C2587">
    <cfRule type="containsText" dxfId="817" priority="18" operator="containsText" text="PERSONALE">
      <formula>NOT(ISERROR(SEARCH("PERSONALE",C2586)))</formula>
    </cfRule>
    <cfRule type="containsText" dxfId="816" priority="17" operator="containsText" text="NICOLA">
      <formula>NOT(ISERROR(SEARCH("NICOLA",C2586)))</formula>
    </cfRule>
  </conditionalFormatting>
  <conditionalFormatting sqref="C2588:C2589">
    <cfRule type="containsText" dxfId="815" priority="8" operator="containsText" text="INCASSO">
      <formula>NOT(ISERROR(SEARCH("INCASSO",C2588)))</formula>
    </cfRule>
    <cfRule type="containsText" dxfId="814" priority="7" operator="containsText" text="VERSAMENTO">
      <formula>NOT(ISERROR(SEARCH("VERSAMENTO",C2588)))</formula>
    </cfRule>
    <cfRule type="containsText" dxfId="813" priority="6" operator="containsText" text="NICOLA">
      <formula>NOT(ISERROR(SEARCH("NICOLA",C2588)))</formula>
    </cfRule>
  </conditionalFormatting>
  <conditionalFormatting sqref="C2588:C10163">
    <cfRule type="containsText" dxfId="812" priority="9" operator="containsText" text="PERSONALE">
      <formula>NOT(ISERROR(SEARCH("PERSONALE",C2588)))</formula>
    </cfRule>
  </conditionalFormatting>
  <conditionalFormatting sqref="C7:D49 C54:D55 C60:D132 C137:D210 C220:D285 C287:D316 C326:D341 C355:D357 C361:D361 C364:D365 C368:D371 C374:D376">
    <cfRule type="containsText" dxfId="811" priority="1342" operator="containsText" text="INCASSO">
      <formula>NOT(ISERROR(SEARCH("INCASSO",C7)))</formula>
    </cfRule>
  </conditionalFormatting>
  <conditionalFormatting sqref="C50:D53">
    <cfRule type="containsText" dxfId="810" priority="1207" operator="containsText" text="VERSAMENTO">
      <formula>NOT(ISERROR(SEARCH("VERSAMENTO",C50)))</formula>
    </cfRule>
    <cfRule type="containsText" dxfId="809" priority="1208" operator="containsText" text="INCASSO">
      <formula>NOT(ISERROR(SEARCH("INCASSO",C50)))</formula>
    </cfRule>
  </conditionalFormatting>
  <conditionalFormatting sqref="C56:D59">
    <cfRule type="containsText" dxfId="808" priority="1204" operator="containsText" text="INCASSO">
      <formula>NOT(ISERROR(SEARCH("INCASSO",C56)))</formula>
    </cfRule>
    <cfRule type="containsText" dxfId="807" priority="1203" operator="containsText" text="VERSAMENTO">
      <formula>NOT(ISERROR(SEARCH("VERSAMENTO",C56)))</formula>
    </cfRule>
  </conditionalFormatting>
  <conditionalFormatting sqref="C133:D136">
    <cfRule type="containsText" dxfId="806" priority="1212" operator="containsText" text="INCASSO">
      <formula>NOT(ISERROR(SEARCH("INCASSO",C133)))</formula>
    </cfRule>
    <cfRule type="containsText" dxfId="805" priority="1211" operator="containsText" text="VERSAMENTO">
      <formula>NOT(ISERROR(SEARCH("VERSAMENTO",C133)))</formula>
    </cfRule>
  </conditionalFormatting>
  <conditionalFormatting sqref="C211:D219">
    <cfRule type="containsText" dxfId="804" priority="1215" operator="containsText" text="VERSAMENTO">
      <formula>NOT(ISERROR(SEARCH("VERSAMENTO",C211)))</formula>
    </cfRule>
    <cfRule type="containsText" dxfId="803" priority="1216" operator="containsText" text="INCASSO">
      <formula>NOT(ISERROR(SEARCH("INCASSO",C211)))</formula>
    </cfRule>
  </conditionalFormatting>
  <conditionalFormatting sqref="C317:D325">
    <cfRule type="containsText" dxfId="802" priority="1221" operator="containsText" text="VERSAMENTO">
      <formula>NOT(ISERROR(SEARCH("VERSAMENTO",C317)))</formula>
    </cfRule>
    <cfRule type="containsText" dxfId="801" priority="1222" operator="containsText" text="INCASSO">
      <formula>NOT(ISERROR(SEARCH("INCASSO",C317)))</formula>
    </cfRule>
  </conditionalFormatting>
  <conditionalFormatting sqref="C326:D341 C355:D357 C361:D361 C364:D365 C368:D371 C374:D376 C287:D316 C137:D210 C220:D285 C60:D132 C7:D49 C54:D55">
    <cfRule type="containsText" dxfId="800" priority="1340" operator="containsText" text="VERSAMENTO">
      <formula>NOT(ISERROR(SEARCH("VERSAMENTO",C7)))</formula>
    </cfRule>
  </conditionalFormatting>
  <conditionalFormatting sqref="C379:D379">
    <cfRule type="containsText" dxfId="799" priority="1283" operator="containsText" text="VERSAMENTO">
      <formula>NOT(ISERROR(SEARCH("VERSAMENTO",C379)))</formula>
    </cfRule>
    <cfRule type="containsText" dxfId="798" priority="1284" operator="containsText" text="INCASSO">
      <formula>NOT(ISERROR(SEARCH("INCASSO",C379)))</formula>
    </cfRule>
  </conditionalFormatting>
  <conditionalFormatting sqref="C380:D382">
    <cfRule type="containsText" dxfId="797" priority="1293" operator="containsText" text="VERSAMENTO">
      <formula>NOT(ISERROR(SEARCH("VERSAMENTO",C380)))</formula>
    </cfRule>
    <cfRule type="containsText" dxfId="796" priority="1294" operator="containsText" text="INCASSO">
      <formula>NOT(ISERROR(SEARCH("INCASSO",C380)))</formula>
    </cfRule>
  </conditionalFormatting>
  <conditionalFormatting sqref="C387:D394 C743">
    <cfRule type="containsText" dxfId="795" priority="1134" operator="containsText" text="VERSAMENTO">
      <formula>NOT(ISERROR(SEARCH("VERSAMENTO",C387)))</formula>
    </cfRule>
    <cfRule type="containsText" dxfId="794" priority="1135" operator="containsText" text="INCASSO">
      <formula>NOT(ISERROR(SEARCH("INCASSO",C387)))</formula>
    </cfRule>
  </conditionalFormatting>
  <conditionalFormatting sqref="C395:D398">
    <cfRule type="containsText" dxfId="793" priority="1225" operator="containsText" text="VERSAMENTO">
      <formula>NOT(ISERROR(SEARCH("VERSAMENTO",C395)))</formula>
    </cfRule>
    <cfRule type="containsText" dxfId="792" priority="1226" operator="containsText" text="INCASSO">
      <formula>NOT(ISERROR(SEARCH("INCASSO",C395)))</formula>
    </cfRule>
  </conditionalFormatting>
  <conditionalFormatting sqref="C467:D467">
    <cfRule type="containsText" dxfId="791" priority="1250" operator="containsText" text="VERSAMENTO">
      <formula>NOT(ISERROR(SEARCH("VERSAMENTO",C467)))</formula>
    </cfRule>
    <cfRule type="containsText" dxfId="790" priority="1251" operator="containsText" text="INCASSO">
      <formula>NOT(ISERROR(SEARCH("INCASSO",C467)))</formula>
    </cfRule>
  </conditionalFormatting>
  <conditionalFormatting sqref="C469:D470 C472:D473 C483:D492">
    <cfRule type="containsText" dxfId="789" priority="1270" operator="containsText" text="VERSAMENTO">
      <formula>NOT(ISERROR(SEARCH("VERSAMENTO",C469)))</formula>
    </cfRule>
    <cfRule type="containsText" dxfId="788" priority="1271" operator="containsText" text="INCASSO">
      <formula>NOT(ISERROR(SEARCH("INCASSO",C469)))</formula>
    </cfRule>
  </conditionalFormatting>
  <conditionalFormatting sqref="C471:D471">
    <cfRule type="containsText" dxfId="787" priority="1235" operator="containsText" text="VERSAMENTO">
      <formula>NOT(ISERROR(SEARCH("VERSAMENTO",C471)))</formula>
    </cfRule>
    <cfRule type="containsText" dxfId="786" priority="1236" operator="containsText" text="INCASSO">
      <formula>NOT(ISERROR(SEARCH("INCASSO",C471)))</formula>
    </cfRule>
  </conditionalFormatting>
  <conditionalFormatting sqref="C474:D480">
    <cfRule type="containsText" dxfId="785" priority="1241" operator="containsText" text="VERSAMENTO">
      <formula>NOT(ISERROR(SEARCH("VERSAMENTO",C474)))</formula>
    </cfRule>
    <cfRule type="containsText" dxfId="784" priority="1242" operator="containsText" text="INCASSO">
      <formula>NOT(ISERROR(SEARCH("INCASSO",C474)))</formula>
    </cfRule>
  </conditionalFormatting>
  <conditionalFormatting sqref="C481:D482">
    <cfRule type="containsText" dxfId="783" priority="1233" operator="containsText" text="VERSAMENTO">
      <formula>NOT(ISERROR(SEARCH("VERSAMENTO",C481)))</formula>
    </cfRule>
    <cfRule type="containsText" dxfId="782" priority="1234" operator="containsText" text="INCASSO">
      <formula>NOT(ISERROR(SEARCH("INCASSO",C481)))</formula>
    </cfRule>
  </conditionalFormatting>
  <conditionalFormatting sqref="C734:D744">
    <cfRule type="containsText" dxfId="781" priority="1144" operator="containsText" text="VERSAMENTO">
      <formula>NOT(ISERROR(SEARCH("VERSAMENTO",C734)))</formula>
    </cfRule>
    <cfRule type="containsText" dxfId="780" priority="1145" operator="containsText" text="INCASSO">
      <formula>NOT(ISERROR(SEARCH("INCASSO",C734)))</formula>
    </cfRule>
  </conditionalFormatting>
  <conditionalFormatting sqref="C740:D744">
    <cfRule type="containsText" dxfId="779" priority="1136" operator="containsText" text="VERSAMENTO">
      <formula>NOT(ISERROR(SEARCH("VERSAMENTO",C740)))</formula>
    </cfRule>
    <cfRule type="containsText" dxfId="778" priority="1137" operator="containsText" text="INCASSO">
      <formula>NOT(ISERROR(SEARCH("INCASSO",C740)))</formula>
    </cfRule>
  </conditionalFormatting>
  <conditionalFormatting sqref="C953:D961 C1936">
    <cfRule type="containsText" dxfId="777" priority="465" operator="containsText" text="VERSAMENTO">
      <formula>NOT(ISERROR(SEARCH("VERSAMENTO",C953)))</formula>
    </cfRule>
    <cfRule type="containsText" dxfId="776" priority="466" operator="containsText" text="INCASSO">
      <formula>NOT(ISERROR(SEARCH("INCASSO",C953)))</formula>
    </cfRule>
  </conditionalFormatting>
  <conditionalFormatting sqref="C1000:D1001">
    <cfRule type="cellIs" dxfId="775" priority="1006" operator="equal">
      <formula>"INCASSO"</formula>
    </cfRule>
  </conditionalFormatting>
  <conditionalFormatting sqref="C1002:D1002">
    <cfRule type="cellIs" dxfId="774" priority="1027" operator="equal">
      <formula>"INCASSO"</formula>
    </cfRule>
  </conditionalFormatting>
  <conditionalFormatting sqref="C1003:D1055">
    <cfRule type="containsText" dxfId="773" priority="1003" operator="containsText" text="VERSAMENTO">
      <formula>NOT(ISERROR(SEARCH("VERSAMENTO",C1003)))</formula>
    </cfRule>
    <cfRule type="containsText" dxfId="772" priority="1004" operator="containsText" text="INCASSO">
      <formula>NOT(ISERROR(SEARCH("INCASSO",C1003)))</formula>
    </cfRule>
  </conditionalFormatting>
  <conditionalFormatting sqref="C1052:D1055">
    <cfRule type="containsText" dxfId="771" priority="1000" operator="containsText" text="INCASSO">
      <formula>NOT(ISERROR(SEARCH("INCASSO",C1052)))</formula>
    </cfRule>
    <cfRule type="containsText" dxfId="770" priority="999" operator="containsText" text="VERSAMENTO">
      <formula>NOT(ISERROR(SEARCH("VERSAMENTO",C1052)))</formula>
    </cfRule>
  </conditionalFormatting>
  <conditionalFormatting sqref="C1122:D1123">
    <cfRule type="containsText" dxfId="769" priority="996" operator="containsText" text="INCASSO">
      <formula>NOT(ISERROR(SEARCH("INCASSO",C1122)))</formula>
    </cfRule>
    <cfRule type="containsText" dxfId="768" priority="995" operator="containsText" text="VERSAMENTO">
      <formula>NOT(ISERROR(SEARCH("VERSAMENTO",C1122)))</formula>
    </cfRule>
  </conditionalFormatting>
  <conditionalFormatting sqref="C1298:D1342">
    <cfRule type="containsText" dxfId="767" priority="940" operator="containsText" text="VERSAMENTO">
      <formula>NOT(ISERROR(SEARCH("VERSAMENTO",C1298)))</formula>
    </cfRule>
    <cfRule type="containsText" dxfId="766" priority="941" operator="containsText" text="INCASSO">
      <formula>NOT(ISERROR(SEARCH("INCASSO",C1298)))</formula>
    </cfRule>
  </conditionalFormatting>
  <conditionalFormatting sqref="C1343:D1344">
    <cfRule type="containsText" dxfId="765" priority="937" operator="containsText" text="INCASSO">
      <formula>NOT(ISERROR(SEARCH("INCASSO",C1343)))</formula>
    </cfRule>
    <cfRule type="containsText" dxfId="764" priority="936" operator="containsText" text="VERSAMENTO">
      <formula>NOT(ISERROR(SEARCH("VERSAMENTO",C1343)))</formula>
    </cfRule>
  </conditionalFormatting>
  <conditionalFormatting sqref="C1350:D1352">
    <cfRule type="containsText" dxfId="763" priority="933" operator="containsText" text="VERSAMENTO">
      <formula>NOT(ISERROR(SEARCH("VERSAMENTO",C1350)))</formula>
    </cfRule>
    <cfRule type="containsText" dxfId="762" priority="934" operator="containsText" text="INCASSO">
      <formula>NOT(ISERROR(SEARCH("INCASSO",C1350)))</formula>
    </cfRule>
  </conditionalFormatting>
  <conditionalFormatting sqref="C1354:D1355">
    <cfRule type="containsText" dxfId="761" priority="931" operator="containsText" text="INCASSO">
      <formula>NOT(ISERROR(SEARCH("INCASSO",C1354)))</formula>
    </cfRule>
    <cfRule type="containsText" dxfId="760" priority="930" operator="containsText" text="VERSAMENTO">
      <formula>NOT(ISERROR(SEARCH("VERSAMENTO",C1354)))</formula>
    </cfRule>
  </conditionalFormatting>
  <conditionalFormatting sqref="C1359:D1360">
    <cfRule type="containsText" dxfId="759" priority="927" operator="containsText" text="VERSAMENTO">
      <formula>NOT(ISERROR(SEARCH("VERSAMENTO",C1359)))</formula>
    </cfRule>
    <cfRule type="containsText" dxfId="758" priority="928" operator="containsText" text="INCASSO">
      <formula>NOT(ISERROR(SEARCH("INCASSO",C1359)))</formula>
    </cfRule>
  </conditionalFormatting>
  <conditionalFormatting sqref="C1371:D1372">
    <cfRule type="containsText" dxfId="757" priority="924" operator="containsText" text="VERSAMENTO">
      <formula>NOT(ISERROR(SEARCH("VERSAMENTO",C1371)))</formula>
    </cfRule>
    <cfRule type="containsText" dxfId="756" priority="925" operator="containsText" text="INCASSO">
      <formula>NOT(ISERROR(SEARCH("INCASSO",C1371)))</formula>
    </cfRule>
  </conditionalFormatting>
  <conditionalFormatting sqref="C1376:D1377">
    <cfRule type="containsText" dxfId="755" priority="922" operator="containsText" text="INCASSO">
      <formula>NOT(ISERROR(SEARCH("INCASSO",C1376)))</formula>
    </cfRule>
    <cfRule type="containsText" dxfId="754" priority="921" operator="containsText" text="VERSAMENTO">
      <formula>NOT(ISERROR(SEARCH("VERSAMENTO",C1376)))</formula>
    </cfRule>
  </conditionalFormatting>
  <conditionalFormatting sqref="C1379:D1380">
    <cfRule type="containsText" dxfId="753" priority="919" operator="containsText" text="INCASSO">
      <formula>NOT(ISERROR(SEARCH("INCASSO",C1379)))</formula>
    </cfRule>
    <cfRule type="containsText" dxfId="752" priority="918" operator="containsText" text="VERSAMENTO">
      <formula>NOT(ISERROR(SEARCH("VERSAMENTO",C1379)))</formula>
    </cfRule>
  </conditionalFormatting>
  <conditionalFormatting sqref="C1389:D1390 C1392:D1394">
    <cfRule type="containsText" dxfId="751" priority="914" operator="containsText" text="INCASSO">
      <formula>NOT(ISERROR(SEARCH("INCASSO",C1389)))</formula>
    </cfRule>
    <cfRule type="containsText" dxfId="750" priority="913" operator="containsText" text="VERSAMENTO">
      <formula>NOT(ISERROR(SEARCH("VERSAMENTO",C1389)))</formula>
    </cfRule>
  </conditionalFormatting>
  <conditionalFormatting sqref="C1401:D1408">
    <cfRule type="containsText" dxfId="749" priority="897" operator="containsText" text="INCASSO">
      <formula>NOT(ISERROR(SEARCH("INCASSO",C1401)))</formula>
    </cfRule>
    <cfRule type="containsText" dxfId="748" priority="896" operator="containsText" text="VERSAMENTO">
      <formula>NOT(ISERROR(SEARCH("VERSAMENTO",C1401)))</formula>
    </cfRule>
  </conditionalFormatting>
  <conditionalFormatting sqref="C1413:D1414">
    <cfRule type="containsText" dxfId="747" priority="894" operator="containsText" text="INCASSO">
      <formula>NOT(ISERROR(SEARCH("INCASSO",C1413)))</formula>
    </cfRule>
    <cfRule type="containsText" dxfId="746" priority="893" operator="containsText" text="VERSAMENTO">
      <formula>NOT(ISERROR(SEARCH("VERSAMENTO",C1413)))</formula>
    </cfRule>
  </conditionalFormatting>
  <conditionalFormatting sqref="C1421:D1422">
    <cfRule type="containsText" dxfId="745" priority="890" operator="containsText" text="VERSAMENTO">
      <formula>NOT(ISERROR(SEARCH("VERSAMENTO",C1421)))</formula>
    </cfRule>
    <cfRule type="containsText" dxfId="744" priority="891" operator="containsText" text="INCASSO">
      <formula>NOT(ISERROR(SEARCH("INCASSO",C1421)))</formula>
    </cfRule>
  </conditionalFormatting>
  <conditionalFormatting sqref="C1425:D1426">
    <cfRule type="containsText" dxfId="743" priority="867" operator="containsText" text="VERSAMENTO">
      <formula>NOT(ISERROR(SEARCH("VERSAMENTO",C1425)))</formula>
    </cfRule>
    <cfRule type="containsText" dxfId="742" priority="868" operator="containsText" text="INCASSO">
      <formula>NOT(ISERROR(SEARCH("INCASSO",C1425)))</formula>
    </cfRule>
  </conditionalFormatting>
  <conditionalFormatting sqref="C1429:D1430">
    <cfRule type="containsText" dxfId="741" priority="865" operator="containsText" text="INCASSO">
      <formula>NOT(ISERROR(SEARCH("INCASSO",C1429)))</formula>
    </cfRule>
    <cfRule type="containsText" dxfId="740" priority="864" operator="containsText" text="VERSAMENTO">
      <formula>NOT(ISERROR(SEARCH("VERSAMENTO",C1429)))</formula>
    </cfRule>
  </conditionalFormatting>
  <conditionalFormatting sqref="C1433:D1434">
    <cfRule type="containsText" dxfId="739" priority="861" operator="containsText" text="VERSAMENTO">
      <formula>NOT(ISERROR(SEARCH("VERSAMENTO",C1433)))</formula>
    </cfRule>
    <cfRule type="containsText" dxfId="738" priority="862" operator="containsText" text="INCASSO">
      <formula>NOT(ISERROR(SEARCH("INCASSO",C1433)))</formula>
    </cfRule>
  </conditionalFormatting>
  <conditionalFormatting sqref="C1437:D1438">
    <cfRule type="containsText" dxfId="737" priority="851" operator="containsText" text="INCASSO">
      <formula>NOT(ISERROR(SEARCH("INCASSO",C1437)))</formula>
    </cfRule>
    <cfRule type="containsText" dxfId="736" priority="850" operator="containsText" text="VERSAMENTO">
      <formula>NOT(ISERROR(SEARCH("VERSAMENTO",C1437)))</formula>
    </cfRule>
  </conditionalFormatting>
  <conditionalFormatting sqref="C1449:D1460">
    <cfRule type="containsText" dxfId="735" priority="643" operator="containsText" text="VERSAMENTO">
      <formula>NOT(ISERROR(SEARCH("VERSAMENTO",C1449)))</formula>
    </cfRule>
    <cfRule type="containsText" dxfId="734" priority="644" operator="containsText" text="INCASSO">
      <formula>NOT(ISERROR(SEARCH("INCASSO",C1449)))</formula>
    </cfRule>
  </conditionalFormatting>
  <conditionalFormatting sqref="C1467:D1468">
    <cfRule type="containsText" dxfId="733" priority="845" operator="containsText" text="INCASSO">
      <formula>NOT(ISERROR(SEARCH("INCASSO",C1467)))</formula>
    </cfRule>
    <cfRule type="containsText" dxfId="732" priority="844" operator="containsText" text="VERSAMENTO">
      <formula>NOT(ISERROR(SEARCH("VERSAMENTO",C1467)))</formula>
    </cfRule>
  </conditionalFormatting>
  <conditionalFormatting sqref="C1472:D1473">
    <cfRule type="containsText" dxfId="731" priority="841" operator="containsText" text="VERSAMENTO">
      <formula>NOT(ISERROR(SEARCH("VERSAMENTO",C1472)))</formula>
    </cfRule>
    <cfRule type="containsText" dxfId="730" priority="842" operator="containsText" text="INCASSO">
      <formula>NOT(ISERROR(SEARCH("INCASSO",C1472)))</formula>
    </cfRule>
  </conditionalFormatting>
  <conditionalFormatting sqref="C1475:D1480">
    <cfRule type="containsText" dxfId="729" priority="814" operator="containsText" text="VERSAMENTO">
      <formula>NOT(ISERROR(SEARCH("VERSAMENTO",C1475)))</formula>
    </cfRule>
    <cfRule type="containsText" dxfId="728" priority="815" operator="containsText" text="INCASSO">
      <formula>NOT(ISERROR(SEARCH("INCASSO",C1475)))</formula>
    </cfRule>
  </conditionalFormatting>
  <conditionalFormatting sqref="C1483:D1484">
    <cfRule type="containsText" dxfId="727" priority="809" operator="containsText" text="VERSAMENTO">
      <formula>NOT(ISERROR(SEARCH("VERSAMENTO",C1483)))</formula>
    </cfRule>
    <cfRule type="containsText" dxfId="726" priority="810" operator="containsText" text="INCASSO">
      <formula>NOT(ISERROR(SEARCH("INCASSO",C1483)))</formula>
    </cfRule>
  </conditionalFormatting>
  <conditionalFormatting sqref="C1490:D1491">
    <cfRule type="containsText" dxfId="725" priority="806" operator="containsText" text="VERSAMENTO">
      <formula>NOT(ISERROR(SEARCH("VERSAMENTO",C1490)))</formula>
    </cfRule>
    <cfRule type="containsText" dxfId="724" priority="807" operator="containsText" text="INCASSO">
      <formula>NOT(ISERROR(SEARCH("INCASSO",C1490)))</formula>
    </cfRule>
  </conditionalFormatting>
  <conditionalFormatting sqref="C1494:D1495">
    <cfRule type="containsText" dxfId="723" priority="801" operator="containsText" text="INCASSO">
      <formula>NOT(ISERROR(SEARCH("INCASSO",C1494)))</formula>
    </cfRule>
    <cfRule type="containsText" dxfId="722" priority="800" operator="containsText" text="VERSAMENTO">
      <formula>NOT(ISERROR(SEARCH("VERSAMENTO",C1494)))</formula>
    </cfRule>
  </conditionalFormatting>
  <conditionalFormatting sqref="C1504:D1505">
    <cfRule type="containsText" dxfId="721" priority="796" operator="containsText" text="VERSAMENTO">
      <formula>NOT(ISERROR(SEARCH("VERSAMENTO",C1504)))</formula>
    </cfRule>
    <cfRule type="containsText" dxfId="720" priority="797" operator="containsText" text="INCASSO">
      <formula>NOT(ISERROR(SEARCH("INCASSO",C1504)))</formula>
    </cfRule>
  </conditionalFormatting>
  <conditionalFormatting sqref="C1512:D1513">
    <cfRule type="containsText" dxfId="719" priority="793" operator="containsText" text="INCASSO">
      <formula>NOT(ISERROR(SEARCH("INCASSO",C1512)))</formula>
    </cfRule>
    <cfRule type="containsText" dxfId="718" priority="792" operator="containsText" text="VERSAMENTO">
      <formula>NOT(ISERROR(SEARCH("VERSAMENTO",C1512)))</formula>
    </cfRule>
  </conditionalFormatting>
  <conditionalFormatting sqref="C1530:D1531">
    <cfRule type="containsText" dxfId="717" priority="789" operator="containsText" text="INCASSO">
      <formula>NOT(ISERROR(SEARCH("INCASSO",C1530)))</formula>
    </cfRule>
    <cfRule type="containsText" dxfId="716" priority="788" operator="containsText" text="VERSAMENTO">
      <formula>NOT(ISERROR(SEARCH("VERSAMENTO",C1530)))</formula>
    </cfRule>
  </conditionalFormatting>
  <conditionalFormatting sqref="C1533:D1534">
    <cfRule type="containsText" dxfId="715" priority="785" operator="containsText" text="INCASSO">
      <formula>NOT(ISERROR(SEARCH("INCASSO",C1533)))</formula>
    </cfRule>
    <cfRule type="containsText" dxfId="714" priority="784" operator="containsText" text="VERSAMENTO">
      <formula>NOT(ISERROR(SEARCH("VERSAMENTO",C1533)))</formula>
    </cfRule>
  </conditionalFormatting>
  <conditionalFormatting sqref="C1536:D1537">
    <cfRule type="containsText" dxfId="713" priority="781" operator="containsText" text="INCASSO">
      <formula>NOT(ISERROR(SEARCH("INCASSO",C1536)))</formula>
    </cfRule>
    <cfRule type="containsText" dxfId="712" priority="780" operator="containsText" text="VERSAMENTO">
      <formula>NOT(ISERROR(SEARCH("VERSAMENTO",C1536)))</formula>
    </cfRule>
  </conditionalFormatting>
  <conditionalFormatting sqref="C1544:D1546">
    <cfRule type="containsText" dxfId="711" priority="777" operator="containsText" text="INCASSO">
      <formula>NOT(ISERROR(SEARCH("INCASSO",C1544)))</formula>
    </cfRule>
    <cfRule type="containsText" dxfId="710" priority="776" operator="containsText" text="VERSAMENTO">
      <formula>NOT(ISERROR(SEARCH("VERSAMENTO",C1544)))</formula>
    </cfRule>
  </conditionalFormatting>
  <conditionalFormatting sqref="C1552:D1553">
    <cfRule type="containsText" dxfId="709" priority="772" operator="containsText" text="VERSAMENTO">
      <formula>NOT(ISERROR(SEARCH("VERSAMENTO",C1552)))</formula>
    </cfRule>
    <cfRule type="containsText" dxfId="708" priority="773" operator="containsText" text="INCASSO">
      <formula>NOT(ISERROR(SEARCH("INCASSO",C1552)))</formula>
    </cfRule>
  </conditionalFormatting>
  <conditionalFormatting sqref="C1556:D1557">
    <cfRule type="containsText" dxfId="707" priority="769" operator="containsText" text="INCASSO">
      <formula>NOT(ISERROR(SEARCH("INCASSO",C1556)))</formula>
    </cfRule>
    <cfRule type="containsText" dxfId="706" priority="768" operator="containsText" text="VERSAMENTO">
      <formula>NOT(ISERROR(SEARCH("VERSAMENTO",C1556)))</formula>
    </cfRule>
  </conditionalFormatting>
  <conditionalFormatting sqref="C1565:D1566">
    <cfRule type="containsText" dxfId="705" priority="765" operator="containsText" text="INCASSO">
      <formula>NOT(ISERROR(SEARCH("INCASSO",C1565)))</formula>
    </cfRule>
    <cfRule type="containsText" dxfId="704" priority="764" operator="containsText" text="VERSAMENTO">
      <formula>NOT(ISERROR(SEARCH("VERSAMENTO",C1565)))</formula>
    </cfRule>
  </conditionalFormatting>
  <conditionalFormatting sqref="C1572:D1573">
    <cfRule type="containsText" dxfId="703" priority="762" operator="containsText" text="INCASSO">
      <formula>NOT(ISERROR(SEARCH("INCASSO",C1572)))</formula>
    </cfRule>
    <cfRule type="containsText" dxfId="702" priority="761" operator="containsText" text="VERSAMENTO">
      <formula>NOT(ISERROR(SEARCH("VERSAMENTO",C1572)))</formula>
    </cfRule>
  </conditionalFormatting>
  <conditionalFormatting sqref="C1578:D1579">
    <cfRule type="containsText" dxfId="701" priority="758" operator="containsText" text="VERSAMENTO">
      <formula>NOT(ISERROR(SEARCH("VERSAMENTO",C1578)))</formula>
    </cfRule>
    <cfRule type="containsText" dxfId="700" priority="759" operator="containsText" text="INCASSO">
      <formula>NOT(ISERROR(SEARCH("INCASSO",C1578)))</formula>
    </cfRule>
  </conditionalFormatting>
  <conditionalFormatting sqref="C1588:D1589">
    <cfRule type="containsText" dxfId="699" priority="755" operator="containsText" text="VERSAMENTO">
      <formula>NOT(ISERROR(SEARCH("VERSAMENTO",C1588)))</formula>
    </cfRule>
    <cfRule type="containsText" dxfId="698" priority="756" operator="containsText" text="INCASSO">
      <formula>NOT(ISERROR(SEARCH("INCASSO",C1588)))</formula>
    </cfRule>
  </conditionalFormatting>
  <conditionalFormatting sqref="C1592:D1593">
    <cfRule type="containsText" dxfId="697" priority="742" operator="containsText" text="VERSAMENTO">
      <formula>NOT(ISERROR(SEARCH("VERSAMENTO",C1592)))</formula>
    </cfRule>
    <cfRule type="containsText" dxfId="696" priority="743" operator="containsText" text="INCASSO">
      <formula>NOT(ISERROR(SEARCH("INCASSO",C1592)))</formula>
    </cfRule>
  </conditionalFormatting>
  <conditionalFormatting sqref="C1596:D1600">
    <cfRule type="containsText" dxfId="695" priority="727" operator="containsText" text="VERSAMENTO">
      <formula>NOT(ISERROR(SEARCH("VERSAMENTO",C1596)))</formula>
    </cfRule>
    <cfRule type="containsText" dxfId="694" priority="728" operator="containsText" text="INCASSO">
      <formula>NOT(ISERROR(SEARCH("INCASSO",C1596)))</formula>
    </cfRule>
  </conditionalFormatting>
  <conditionalFormatting sqref="C1603:D1604">
    <cfRule type="containsText" dxfId="693" priority="723" operator="containsText" text="INCASSO">
      <formula>NOT(ISERROR(SEARCH("INCASSO",C1603)))</formula>
    </cfRule>
    <cfRule type="containsText" dxfId="692" priority="722" operator="containsText" text="VERSAMENTO">
      <formula>NOT(ISERROR(SEARCH("VERSAMENTO",C1603)))</formula>
    </cfRule>
  </conditionalFormatting>
  <conditionalFormatting sqref="C1612:D1613">
    <cfRule type="containsText" dxfId="691" priority="710" operator="containsText" text="INCASSO">
      <formula>NOT(ISERROR(SEARCH("INCASSO",C1612)))</formula>
    </cfRule>
    <cfRule type="containsText" dxfId="690" priority="709" operator="containsText" text="VERSAMENTO">
      <formula>NOT(ISERROR(SEARCH("VERSAMENTO",C1612)))</formula>
    </cfRule>
  </conditionalFormatting>
  <conditionalFormatting sqref="C1619:D1620">
    <cfRule type="containsText" dxfId="689" priority="705" operator="containsText" text="INCASSO">
      <formula>NOT(ISERROR(SEARCH("INCASSO",C1619)))</formula>
    </cfRule>
    <cfRule type="containsText" dxfId="688" priority="704" operator="containsText" text="VERSAMENTO">
      <formula>NOT(ISERROR(SEARCH("VERSAMENTO",C1619)))</formula>
    </cfRule>
  </conditionalFormatting>
  <conditionalFormatting sqref="C1624:D1625">
    <cfRule type="containsText" dxfId="687" priority="699" operator="containsText" text="VERSAMENTO">
      <formula>NOT(ISERROR(SEARCH("VERSAMENTO",C1624)))</formula>
    </cfRule>
    <cfRule type="containsText" dxfId="686" priority="700" operator="containsText" text="INCASSO">
      <formula>NOT(ISERROR(SEARCH("INCASSO",C1624)))</formula>
    </cfRule>
  </conditionalFormatting>
  <conditionalFormatting sqref="C1631:D1632">
    <cfRule type="containsText" dxfId="685" priority="694" operator="containsText" text="VERSAMENTO">
      <formula>NOT(ISERROR(SEARCH("VERSAMENTO",C1631)))</formula>
    </cfRule>
    <cfRule type="containsText" dxfId="684" priority="695" operator="containsText" text="INCASSO">
      <formula>NOT(ISERROR(SEARCH("INCASSO",C1631)))</formula>
    </cfRule>
  </conditionalFormatting>
  <conditionalFormatting sqref="C1640:D1641">
    <cfRule type="containsText" dxfId="683" priority="689" operator="containsText" text="VERSAMENTO">
      <formula>NOT(ISERROR(SEARCH("VERSAMENTO",C1640)))</formula>
    </cfRule>
    <cfRule type="containsText" dxfId="682" priority="690" operator="containsText" text="INCASSO">
      <formula>NOT(ISERROR(SEARCH("INCASSO",C1640)))</formula>
    </cfRule>
  </conditionalFormatting>
  <conditionalFormatting sqref="C1651:D1652">
    <cfRule type="containsText" dxfId="681" priority="684" operator="containsText" text="VERSAMENTO">
      <formula>NOT(ISERROR(SEARCH("VERSAMENTO",C1651)))</formula>
    </cfRule>
    <cfRule type="containsText" dxfId="680" priority="685" operator="containsText" text="INCASSO">
      <formula>NOT(ISERROR(SEARCH("INCASSO",C1651)))</formula>
    </cfRule>
  </conditionalFormatting>
  <conditionalFormatting sqref="C1664:D1665">
    <cfRule type="containsText" dxfId="679" priority="671" operator="containsText" text="VERSAMENTO">
      <formula>NOT(ISERROR(SEARCH("VERSAMENTO",C1664)))</formula>
    </cfRule>
    <cfRule type="containsText" dxfId="678" priority="672" operator="containsText" text="INCASSO">
      <formula>NOT(ISERROR(SEARCH("INCASSO",C1664)))</formula>
    </cfRule>
  </conditionalFormatting>
  <conditionalFormatting sqref="C1669:D1670">
    <cfRule type="containsText" dxfId="677" priority="668" operator="containsText" text="VERSAMENTO">
      <formula>NOT(ISERROR(SEARCH("VERSAMENTO",C1669)))</formula>
    </cfRule>
    <cfRule type="containsText" dxfId="676" priority="669" operator="containsText" text="INCASSO">
      <formula>NOT(ISERROR(SEARCH("INCASSO",C1669)))</formula>
    </cfRule>
  </conditionalFormatting>
  <conditionalFormatting sqref="C1677:D1679">
    <cfRule type="containsText" dxfId="675" priority="663" operator="containsText" text="VERSAMENTO">
      <formula>NOT(ISERROR(SEARCH("VERSAMENTO",C1677)))</formula>
    </cfRule>
    <cfRule type="containsText" dxfId="674" priority="664" operator="containsText" text="INCASSO">
      <formula>NOT(ISERROR(SEARCH("INCASSO",C1677)))</formula>
    </cfRule>
  </conditionalFormatting>
  <conditionalFormatting sqref="C1687:D1688">
    <cfRule type="containsText" dxfId="673" priority="658" operator="containsText" text="VERSAMENTO">
      <formula>NOT(ISERROR(SEARCH("VERSAMENTO",C1687)))</formula>
    </cfRule>
    <cfRule type="containsText" dxfId="672" priority="659" operator="containsText" text="INCASSO">
      <formula>NOT(ISERROR(SEARCH("INCASSO",C1687)))</formula>
    </cfRule>
  </conditionalFormatting>
  <conditionalFormatting sqref="C1691:D1693">
    <cfRule type="containsText" dxfId="671" priority="654" operator="containsText" text="INCASSO">
      <formula>NOT(ISERROR(SEARCH("INCASSO",C1691)))</formula>
    </cfRule>
    <cfRule type="containsText" dxfId="670" priority="653" operator="containsText" text="VERSAMENTO">
      <formula>NOT(ISERROR(SEARCH("VERSAMENTO",C1691)))</formula>
    </cfRule>
  </conditionalFormatting>
  <conditionalFormatting sqref="C1698:D1699">
    <cfRule type="containsText" dxfId="669" priority="651" operator="containsText" text="INCASSO">
      <formula>NOT(ISERROR(SEARCH("INCASSO",C1698)))</formula>
    </cfRule>
    <cfRule type="containsText" dxfId="668" priority="650" operator="containsText" text="VERSAMENTO">
      <formula>NOT(ISERROR(SEARCH("VERSAMENTO",C1698)))</formula>
    </cfRule>
  </conditionalFormatting>
  <conditionalFormatting sqref="C1701:D1702">
    <cfRule type="containsText" dxfId="667" priority="648" operator="containsText" text="INCASSO">
      <formula>NOT(ISERROR(SEARCH("INCASSO",C1701)))</formula>
    </cfRule>
    <cfRule type="containsText" dxfId="666" priority="647" operator="containsText" text="VERSAMENTO">
      <formula>NOT(ISERROR(SEARCH("VERSAMENTO",C1701)))</formula>
    </cfRule>
  </conditionalFormatting>
  <conditionalFormatting sqref="C1706:D1718 C1721:D1724 C1727:D1731">
    <cfRule type="containsText" dxfId="665" priority="640" operator="containsText" text="INCASSO">
      <formula>NOT(ISERROR(SEARCH("INCASSO",C1706)))</formula>
    </cfRule>
    <cfRule type="containsText" dxfId="664" priority="639" operator="containsText" text="VERSAMENTO">
      <formula>NOT(ISERROR(SEARCH("VERSAMENTO",C1706)))</formula>
    </cfRule>
  </conditionalFormatting>
  <conditionalFormatting sqref="C1719:D1720">
    <cfRule type="containsText" dxfId="663" priority="632" operator="containsText" text="VERSAMENTO">
      <formula>NOT(ISERROR(SEARCH("VERSAMENTO",C1719)))</formula>
    </cfRule>
    <cfRule type="containsText" dxfId="662" priority="633" operator="containsText" text="INCASSO">
      <formula>NOT(ISERROR(SEARCH("INCASSO",C1719)))</formula>
    </cfRule>
  </conditionalFormatting>
  <conditionalFormatting sqref="C1725:D1726">
    <cfRule type="containsText" dxfId="661" priority="630" operator="containsText" text="INCASSO">
      <formula>NOT(ISERROR(SEARCH("INCASSO",C1725)))</formula>
    </cfRule>
    <cfRule type="containsText" dxfId="660" priority="629" operator="containsText" text="VERSAMENTO">
      <formula>NOT(ISERROR(SEARCH("VERSAMENTO",C1725)))</formula>
    </cfRule>
  </conditionalFormatting>
  <conditionalFormatting sqref="C1732:D1733">
    <cfRule type="containsText" dxfId="659" priority="627" operator="containsText" text="INCASSO">
      <formula>NOT(ISERROR(SEARCH("INCASSO",C1732)))</formula>
    </cfRule>
    <cfRule type="containsText" dxfId="658" priority="626" operator="containsText" text="VERSAMENTO">
      <formula>NOT(ISERROR(SEARCH("VERSAMENTO",C1732)))</formula>
    </cfRule>
  </conditionalFormatting>
  <conditionalFormatting sqref="C1735:D1739">
    <cfRule type="containsText" dxfId="657" priority="625" operator="containsText" text="INCASSO">
      <formula>NOT(ISERROR(SEARCH("INCASSO",C1735)))</formula>
    </cfRule>
    <cfRule type="containsText" dxfId="656" priority="624" operator="containsText" text="VERSAMENTO">
      <formula>NOT(ISERROR(SEARCH("VERSAMENTO",C1735)))</formula>
    </cfRule>
  </conditionalFormatting>
  <conditionalFormatting sqref="C1740:D1748">
    <cfRule type="containsText" dxfId="655" priority="607" operator="containsText" text="INCASSO">
      <formula>NOT(ISERROR(SEARCH("INCASSO",C1740)))</formula>
    </cfRule>
    <cfRule type="containsText" dxfId="654" priority="606" operator="containsText" text="VERSAMENTO">
      <formula>NOT(ISERROR(SEARCH("VERSAMENTO",C1740)))</formula>
    </cfRule>
  </conditionalFormatting>
  <conditionalFormatting sqref="C1749:D1749">
    <cfRule type="containsText" dxfId="653" priority="599" operator="containsText" text="VERSAMENTO">
      <formula>NOT(ISERROR(SEARCH("VERSAMENTO",C1749)))</formula>
    </cfRule>
    <cfRule type="containsText" dxfId="652" priority="600" operator="containsText" text="INCASSO">
      <formula>NOT(ISERROR(SEARCH("INCASSO",C1749)))</formula>
    </cfRule>
  </conditionalFormatting>
  <conditionalFormatting sqref="C1750:D1751 C1055">
    <cfRule type="containsText" dxfId="651" priority="997" operator="containsText" text="VERSAMENTO">
      <formula>NOT(ISERROR(SEARCH("VERSAMENTO",C1055)))</formula>
    </cfRule>
  </conditionalFormatting>
  <conditionalFormatting sqref="C1928:D1979 C1981:D1990">
    <cfRule type="containsText" dxfId="650" priority="470" operator="containsText" text="INCASSO">
      <formula>NOT(ISERROR(SEARCH("INCASSO",C1928)))</formula>
    </cfRule>
    <cfRule type="containsText" dxfId="649" priority="469" operator="containsText" text="VERSAMENTO">
      <formula>NOT(ISERROR(SEARCH("VERSAMENTO",C1928)))</formula>
    </cfRule>
  </conditionalFormatting>
  <conditionalFormatting sqref="C1991:D2085 C2120:C2121 C2122:D2127">
    <cfRule type="containsText" dxfId="648" priority="400" operator="containsText" text="INCASSO">
      <formula>NOT(ISERROR(SEARCH("INCASSO",C1991)))</formula>
    </cfRule>
  </conditionalFormatting>
  <conditionalFormatting sqref="C2086:D2094">
    <cfRule type="containsText" dxfId="647" priority="409" operator="containsText" text="INCASSO">
      <formula>NOT(ISERROR(SEARCH("INCASSO",C2086)))</formula>
    </cfRule>
    <cfRule type="containsText" dxfId="646" priority="408" operator="containsText" text="VERSAMENTO">
      <formula>NOT(ISERROR(SEARCH("VERSAMENTO",C2086)))</formula>
    </cfRule>
  </conditionalFormatting>
  <conditionalFormatting sqref="C2095:D2097">
    <cfRule type="containsText" dxfId="645" priority="404" operator="containsText" text="INCASSO">
      <formula>NOT(ISERROR(SEARCH("INCASSO",C2095)))</formula>
    </cfRule>
    <cfRule type="containsText" dxfId="644" priority="403" operator="containsText" text="VERSAMENTO">
      <formula>NOT(ISERROR(SEARCH("VERSAMENTO",C2095)))</formula>
    </cfRule>
  </conditionalFormatting>
  <conditionalFormatting sqref="C2099:D2099">
    <cfRule type="containsText" dxfId="643" priority="394" operator="containsText" text="VERSAMENTO">
      <formula>NOT(ISERROR(SEARCH("VERSAMENTO",C2099)))</formula>
    </cfRule>
    <cfRule type="containsText" dxfId="642" priority="395" operator="containsText" text="INCASSO">
      <formula>NOT(ISERROR(SEARCH("INCASSO",C2099)))</formula>
    </cfRule>
  </conditionalFormatting>
  <conditionalFormatting sqref="C2108:D2109">
    <cfRule type="containsText" dxfId="641" priority="374" operator="containsText" text="INCASSO">
      <formula>NOT(ISERROR(SEARCH("INCASSO",C2108)))</formula>
    </cfRule>
    <cfRule type="containsText" dxfId="640" priority="373" operator="containsText" text="VERSAMENTO">
      <formula>NOT(ISERROR(SEARCH("VERSAMENTO",C2108)))</formula>
    </cfRule>
  </conditionalFormatting>
  <conditionalFormatting sqref="C2110:D2119">
    <cfRule type="containsText" dxfId="639" priority="347" operator="containsText" text="INCASSO">
      <formula>NOT(ISERROR(SEARCH("INCASSO",C2110)))</formula>
    </cfRule>
    <cfRule type="containsText" dxfId="638" priority="346" operator="containsText" text="VERSAMENTO">
      <formula>NOT(ISERROR(SEARCH("VERSAMENTO",C2110)))</formula>
    </cfRule>
  </conditionalFormatting>
  <conditionalFormatting sqref="C2128:D2136">
    <cfRule type="containsText" dxfId="637" priority="364" operator="containsText" text="INCASSO">
      <formula>NOT(ISERROR(SEARCH("INCASSO",C2128)))</formula>
    </cfRule>
    <cfRule type="containsText" dxfId="636" priority="363" operator="containsText" text="VERSAMENTO">
      <formula>NOT(ISERROR(SEARCH("VERSAMENTO",C2128)))</formula>
    </cfRule>
  </conditionalFormatting>
  <conditionalFormatting sqref="C2137:D2140">
    <cfRule type="containsText" dxfId="635" priority="361" operator="containsText" text="INCASSO">
      <formula>NOT(ISERROR(SEARCH("INCASSO",C2137)))</formula>
    </cfRule>
    <cfRule type="containsText" dxfId="634" priority="360" operator="containsText" text="VERSAMENTO">
      <formula>NOT(ISERROR(SEARCH("VERSAMENTO",C2137)))</formula>
    </cfRule>
  </conditionalFormatting>
  <conditionalFormatting sqref="C2141:D2143">
    <cfRule type="containsText" dxfId="633" priority="357" operator="containsText" text="VERSAMENTO">
      <formula>NOT(ISERROR(SEARCH("VERSAMENTO",C2141)))</formula>
    </cfRule>
    <cfRule type="containsText" dxfId="632" priority="358" operator="containsText" text="INCASSO">
      <formula>NOT(ISERROR(SEARCH("INCASSO",C2141)))</formula>
    </cfRule>
  </conditionalFormatting>
  <conditionalFormatting sqref="C2144:D2149">
    <cfRule type="containsText" dxfId="631" priority="353" operator="containsText" text="INCASSO">
      <formula>NOT(ISERROR(SEARCH("INCASSO",C2144)))</formula>
    </cfRule>
    <cfRule type="containsText" dxfId="630" priority="352" operator="containsText" text="VERSAMENTO">
      <formula>NOT(ISERROR(SEARCH("VERSAMENTO",C2144)))</formula>
    </cfRule>
  </conditionalFormatting>
  <conditionalFormatting sqref="C2150:D2166 C2167:C2168 C2169:D2189">
    <cfRule type="containsText" dxfId="629" priority="350" operator="containsText" text="INCASSO">
      <formula>NOT(ISERROR(SEARCH("INCASSO",C2150)))</formula>
    </cfRule>
  </conditionalFormatting>
  <conditionalFormatting sqref="C2150:D2166 C2169:D2189 C2167:C2168">
    <cfRule type="containsText" dxfId="628" priority="349" operator="containsText" text="VERSAMENTO">
      <formula>NOT(ISERROR(SEARCH("VERSAMENTO",C2150)))</formula>
    </cfRule>
  </conditionalFormatting>
  <conditionalFormatting sqref="C2191:D2202 C2232:D2244 C2098 C2100:D2106 C2190 C2203:C2204 C2246:D2246 C2247:C2248 C2297:C2298">
    <cfRule type="containsText" dxfId="627" priority="354" operator="containsText" text="VERSAMENTO">
      <formula>NOT(ISERROR(SEARCH("VERSAMENTO",C2098)))</formula>
    </cfRule>
  </conditionalFormatting>
  <conditionalFormatting sqref="C2205:D2230 C2118:C2119">
    <cfRule type="containsText" dxfId="626" priority="343" operator="containsText" text="VERSAMENTO">
      <formula>NOT(ISERROR(SEARCH("VERSAMENTO",C2118)))</formula>
    </cfRule>
  </conditionalFormatting>
  <conditionalFormatting sqref="C2325:D2334">
    <cfRule type="containsText" dxfId="625" priority="190" operator="containsText" text="INCASSO">
      <formula>NOT(ISERROR(SEARCH("INCASSO",C2325)))</formula>
    </cfRule>
    <cfRule type="containsText" dxfId="624" priority="189" operator="containsText" text="VERSAMENTO">
      <formula>NOT(ISERROR(SEARCH("VERSAMENTO",C2325)))</formula>
    </cfRule>
  </conditionalFormatting>
  <conditionalFormatting sqref="C2337:D2337">
    <cfRule type="containsText" dxfId="623" priority="11" operator="containsText" text="VERSAMENTO">
      <formula>NOT(ISERROR(SEARCH("VERSAMENTO",C2337)))</formula>
    </cfRule>
    <cfRule type="containsText" dxfId="622" priority="12" operator="containsText" text="INCASSO">
      <formula>NOT(ISERROR(SEARCH("INCASSO",C2337)))</formula>
    </cfRule>
  </conditionalFormatting>
  <conditionalFormatting sqref="C2391:D2391">
    <cfRule type="containsText" dxfId="621" priority="13" operator="containsText" text="VERSAMENTO">
      <formula>NOT(ISERROR(SEARCH("VERSAMENTO",C2391)))</formula>
    </cfRule>
    <cfRule type="containsText" dxfId="620" priority="14" operator="containsText" text="INCASSO">
      <formula>NOT(ISERROR(SEARCH("INCASSO",C2391)))</formula>
    </cfRule>
  </conditionalFormatting>
  <conditionalFormatting sqref="C2410:D2410">
    <cfRule type="containsText" dxfId="619" priority="261" operator="containsText" text="INCASSO">
      <formula>NOT(ISERROR(SEARCH("INCASSO",C2410)))</formula>
    </cfRule>
    <cfRule type="containsText" dxfId="618" priority="260" operator="containsText" text="VERSAMENTO">
      <formula>NOT(ISERROR(SEARCH("VERSAMENTO",C2410)))</formula>
    </cfRule>
  </conditionalFormatting>
  <conditionalFormatting sqref="C2470:D2470">
    <cfRule type="containsText" dxfId="617" priority="225" operator="containsText" text="INCASSO">
      <formula>NOT(ISERROR(SEARCH("INCASSO",C2470)))</formula>
    </cfRule>
    <cfRule type="containsText" dxfId="616" priority="224" operator="containsText" text="VERSAMENTO">
      <formula>NOT(ISERROR(SEARCH("VERSAMENTO",C2470)))</formula>
    </cfRule>
  </conditionalFormatting>
  <conditionalFormatting sqref="C2500:D2500">
    <cfRule type="containsText" dxfId="615" priority="184" operator="containsText" text="VERSAMENTO">
      <formula>NOT(ISERROR(SEARCH("VERSAMENTO",C2500)))</formula>
    </cfRule>
    <cfRule type="containsText" dxfId="614" priority="185" operator="containsText" text="INCASSO">
      <formula>NOT(ISERROR(SEARCH("INCASSO",C2500)))</formula>
    </cfRule>
  </conditionalFormatting>
  <conditionalFormatting sqref="C2505:D2519">
    <cfRule type="containsText" dxfId="613" priority="197" operator="containsText" text="INCASSO">
      <formula>NOT(ISERROR(SEARCH("INCASSO",C2505)))</formula>
    </cfRule>
    <cfRule type="containsText" dxfId="612" priority="196" operator="containsText" text="VERSAMENTO">
      <formula>NOT(ISERROR(SEARCH("VERSAMENTO",C2505)))</formula>
    </cfRule>
  </conditionalFormatting>
  <conditionalFormatting sqref="C2520:D2521">
    <cfRule type="containsText" dxfId="611" priority="170" operator="containsText" text="INCASSO">
      <formula>NOT(ISERROR(SEARCH("INCASSO",C2520)))</formula>
    </cfRule>
    <cfRule type="containsText" dxfId="610" priority="169" operator="containsText" text="VERSAMENTO">
      <formula>NOT(ISERROR(SEARCH("VERSAMENTO",C2520)))</formula>
    </cfRule>
  </conditionalFormatting>
  <conditionalFormatting sqref="C2529:D2532">
    <cfRule type="containsText" dxfId="609" priority="157" operator="containsText" text="INCASSO">
      <formula>NOT(ISERROR(SEARCH("INCASSO",C2529)))</formula>
    </cfRule>
    <cfRule type="containsText" dxfId="608" priority="156" operator="containsText" text="VERSAMENTO">
      <formula>NOT(ISERROR(SEARCH("VERSAMENTO",C2529)))</formula>
    </cfRule>
  </conditionalFormatting>
  <conditionalFormatting sqref="C2533:D2534">
    <cfRule type="containsText" dxfId="607" priority="151" operator="containsText" text="VERSAMENTO">
      <formula>NOT(ISERROR(SEARCH("VERSAMENTO",C2533)))</formula>
    </cfRule>
    <cfRule type="containsText" dxfId="606" priority="152" operator="containsText" text="INCASSO">
      <formula>NOT(ISERROR(SEARCH("INCASSO",C2533)))</formula>
    </cfRule>
  </conditionalFormatting>
  <conditionalFormatting sqref="C2535:D2537">
    <cfRule type="containsText" dxfId="605" priority="144" operator="containsText" text="VERSAMENTO">
      <formula>NOT(ISERROR(SEARCH("VERSAMENTO",C2535)))</formula>
    </cfRule>
    <cfRule type="containsText" dxfId="604" priority="145" operator="containsText" text="INCASSO">
      <formula>NOT(ISERROR(SEARCH("INCASSO",C2535)))</formula>
    </cfRule>
  </conditionalFormatting>
  <conditionalFormatting sqref="C2543:D2543">
    <cfRule type="containsText" dxfId="603" priority="114" operator="containsText" text="VERSAMENTO">
      <formula>NOT(ISERROR(SEARCH("VERSAMENTO",C2543)))</formula>
    </cfRule>
    <cfRule type="containsText" dxfId="602" priority="115" operator="containsText" text="INCASSO">
      <formula>NOT(ISERROR(SEARCH("INCASSO",C2543)))</formula>
    </cfRule>
  </conditionalFormatting>
  <conditionalFormatting sqref="C2545:D2546">
    <cfRule type="containsText" dxfId="601" priority="109" operator="containsText" text="VERSAMENTO">
      <formula>NOT(ISERROR(SEARCH("VERSAMENTO",C2545)))</formula>
    </cfRule>
    <cfRule type="containsText" dxfId="600" priority="110" operator="containsText" text="INCASSO">
      <formula>NOT(ISERROR(SEARCH("INCASSO",C2545)))</formula>
    </cfRule>
  </conditionalFormatting>
  <conditionalFormatting sqref="C2548:D2549">
    <cfRule type="containsText" dxfId="599" priority="83" operator="containsText" text="INCASSO">
      <formula>NOT(ISERROR(SEARCH("INCASSO",C2548)))</formula>
    </cfRule>
    <cfRule type="containsText" dxfId="598" priority="82" operator="containsText" text="VERSAMENTO">
      <formula>NOT(ISERROR(SEARCH("VERSAMENTO",C2548)))</formula>
    </cfRule>
  </conditionalFormatting>
  <conditionalFormatting sqref="C2553:D2554">
    <cfRule type="containsText" dxfId="597" priority="73" operator="containsText" text="INCASSO">
      <formula>NOT(ISERROR(SEARCH("INCASSO",C2553)))</formula>
    </cfRule>
    <cfRule type="containsText" dxfId="596" priority="72" operator="containsText" text="VERSAMENTO">
      <formula>NOT(ISERROR(SEARCH("VERSAMENTO",C2553)))</formula>
    </cfRule>
  </conditionalFormatting>
  <conditionalFormatting sqref="C2562:D2564">
    <cfRule type="containsText" dxfId="595" priority="66" operator="containsText" text="INCASSO">
      <formula>NOT(ISERROR(SEARCH("INCASSO",C2562)))</formula>
    </cfRule>
    <cfRule type="containsText" dxfId="594" priority="65" operator="containsText" text="VERSAMENTO">
      <formula>NOT(ISERROR(SEARCH("VERSAMENTO",C2562)))</formula>
    </cfRule>
  </conditionalFormatting>
  <conditionalFormatting sqref="C2567:D2569">
    <cfRule type="containsText" dxfId="593" priority="50" operator="containsText" text="VERSAMENTO">
      <formula>NOT(ISERROR(SEARCH("VERSAMENTO",C2567)))</formula>
    </cfRule>
    <cfRule type="containsText" dxfId="592" priority="51" operator="containsText" text="INCASSO">
      <formula>NOT(ISERROR(SEARCH("INCASSO",C2567)))</formula>
    </cfRule>
  </conditionalFormatting>
  <conditionalFormatting sqref="C2573:D2578">
    <cfRule type="containsText" dxfId="591" priority="29" operator="containsText" text="INCASSO">
      <formula>NOT(ISERROR(SEARCH("INCASSO",C2573)))</formula>
    </cfRule>
    <cfRule type="containsText" dxfId="590" priority="28" operator="containsText" text="VERSAMENTO">
      <formula>NOT(ISERROR(SEARCH("VERSAMENTO",C2573)))</formula>
    </cfRule>
  </conditionalFormatting>
  <conditionalFormatting sqref="C2586:D2587">
    <cfRule type="containsText" dxfId="589" priority="15" operator="containsText" text="VERSAMENTO">
      <formula>NOT(ISERROR(SEARCH("VERSAMENTO",C2586)))</formula>
    </cfRule>
    <cfRule type="containsText" dxfId="588" priority="16" operator="containsText" text="INCASSO">
      <formula>NOT(ISERROR(SEARCH("INCASSO",C2586)))</formula>
    </cfRule>
  </conditionalFormatting>
  <conditionalFormatting sqref="D3:D4">
    <cfRule type="cellIs" dxfId="587" priority="1337" operator="lessThan">
      <formula>0</formula>
    </cfRule>
    <cfRule type="cellIs" dxfId="586" priority="1336" operator="greaterThan">
      <formula>0</formula>
    </cfRule>
  </conditionalFormatting>
  <conditionalFormatting sqref="D7:D55 D491:D582 D379:D467 D877:D999 D1055:D1297 D1751 D1490:D1595 D1743:D1748 D2122:D2166 D2191:D2202 D2232:D2244 D2246 D2169:D2189 D2205:D2214 D2216:D2230 D2299:D2324 D2394:D2445 D2465:D2509 D2347:D2391 D2249:D2296 D2460:D2463">
    <cfRule type="containsText" dxfId="585" priority="1210" stopIfTrue="1" operator="containsText" text="COMPENSO AMMINISTRATORE">
      <formula>NOT(ISERROR(SEARCH("COMPENSO AMMINISTRATORE",D7)))</formula>
    </cfRule>
  </conditionalFormatting>
  <conditionalFormatting sqref="D56:D59">
    <cfRule type="containsText" dxfId="584" priority="1206" stopIfTrue="1" operator="containsText" text="COMPENSO AMMINISTRATORE">
      <formula>NOT(ISERROR(SEARCH("COMPENSO AMMINISTRATORE",D56)))</formula>
    </cfRule>
  </conditionalFormatting>
  <conditionalFormatting sqref="D60:D136">
    <cfRule type="containsText" dxfId="583" priority="1214" stopIfTrue="1" operator="containsText" text="COMPENSO AMMINISTRATORE">
      <formula>NOT(ISERROR(SEARCH("COMPENSO AMMINISTRATORE",D60)))</formula>
    </cfRule>
  </conditionalFormatting>
  <conditionalFormatting sqref="D137:D285">
    <cfRule type="containsText" dxfId="582" priority="1220" stopIfTrue="1" operator="containsText" text="COMPENSO AMMINISTRATORE">
      <formula>NOT(ISERROR(SEARCH("COMPENSO AMMINISTRATORE",D137)))</formula>
    </cfRule>
  </conditionalFormatting>
  <conditionalFormatting sqref="D287:D333">
    <cfRule type="containsText" dxfId="581" priority="1277" stopIfTrue="1" operator="containsText" text="COMPENSO AMMINISTRATORE">
      <formula>NOT(ISERROR(SEARCH("COMPENSO AMMINISTRATORE",D287)))</formula>
    </cfRule>
  </conditionalFormatting>
  <conditionalFormatting sqref="D334:D378">
    <cfRule type="containsText" dxfId="580" priority="1323" stopIfTrue="1" operator="containsText" text="COMPENSO AMMINISTRATORE">
      <formula>NOT(ISERROR(SEARCH("COMPENSO AMMINISTRATORE",D334)))</formula>
    </cfRule>
  </conditionalFormatting>
  <conditionalFormatting sqref="D342:D343 D346:D354">
    <cfRule type="containsText" dxfId="579" priority="1332" stopIfTrue="1" operator="containsText" text="INCASSO SUMUP">
      <formula>NOT(ISERROR(SEARCH("INCASSO SUMUP",D342)))</formula>
    </cfRule>
    <cfRule type="containsText" dxfId="578" priority="1333" stopIfTrue="1" operator="containsText" text="INCASSO AXERVE">
      <formula>NOT(ISERROR(SEARCH("INCASSO AXERVE",D342)))</formula>
    </cfRule>
    <cfRule type="containsText" dxfId="577" priority="1330" stopIfTrue="1" operator="containsText" text="VERSAMENTO CONTANTI">
      <formula>NOT(ISERROR(SEARCH("VERSAMENTO CONTANTI",D342)))</formula>
    </cfRule>
    <cfRule type="containsText" dxfId="576" priority="1335" operator="containsText" text="INCASSO POS">
      <formula>NOT(ISERROR(SEARCH("INCASSO POS",D342)))</formula>
    </cfRule>
    <cfRule type="containsText" dxfId="575" priority="1331" stopIfTrue="1" operator="containsText" text="INCASSO PAYPAL">
      <formula>NOT(ISERROR(SEARCH("INCASSO PAYPAL",D342)))</formula>
    </cfRule>
  </conditionalFormatting>
  <conditionalFormatting sqref="D344:D345">
    <cfRule type="containsText" dxfId="574" priority="1325" operator="containsText" text="INCASSO">
      <formula>NOT(ISERROR(SEARCH("INCASSO",D344)))</formula>
    </cfRule>
    <cfRule type="containsText" dxfId="573" priority="1324" operator="containsText" text="VERSAMENTO">
      <formula>NOT(ISERROR(SEARCH("VERSAMENTO",D344)))</formula>
    </cfRule>
  </conditionalFormatting>
  <conditionalFormatting sqref="D358:D360">
    <cfRule type="containsText" dxfId="572" priority="1319" operator="containsText" text="INCASSO">
      <formula>NOT(ISERROR(SEARCH("INCASSO",D358)))</formula>
    </cfRule>
    <cfRule type="containsText" dxfId="571" priority="1318" operator="containsText" text="VERSAMENTO">
      <formula>NOT(ISERROR(SEARCH("VERSAMENTO",D358)))</formula>
    </cfRule>
  </conditionalFormatting>
  <conditionalFormatting sqref="D362:D363">
    <cfRule type="containsText" dxfId="570" priority="1314" operator="containsText" text="INCASSO">
      <formula>NOT(ISERROR(SEARCH("INCASSO",D362)))</formula>
    </cfRule>
    <cfRule type="containsText" dxfId="569" priority="1313" operator="containsText" text="VERSAMENTO">
      <formula>NOT(ISERROR(SEARCH("VERSAMENTO",D362)))</formula>
    </cfRule>
  </conditionalFormatting>
  <conditionalFormatting sqref="D366:D367">
    <cfRule type="containsText" dxfId="568" priority="1309" operator="containsText" text="INCASSO">
      <formula>NOT(ISERROR(SEARCH("INCASSO",D366)))</formula>
    </cfRule>
    <cfRule type="containsText" dxfId="567" priority="1308" operator="containsText" text="VERSAMENTO">
      <formula>NOT(ISERROR(SEARCH("VERSAMENTO",D366)))</formula>
    </cfRule>
  </conditionalFormatting>
  <conditionalFormatting sqref="D369">
    <cfRule type="containsText" dxfId="566" priority="1252" stopIfTrue="1" operator="containsText" text="COMPENSO AMMINISTRATORE">
      <formula>NOT(ISERROR(SEARCH("COMPENSO AMMINISTRATORE",D369)))</formula>
    </cfRule>
  </conditionalFormatting>
  <conditionalFormatting sqref="D372:D373">
    <cfRule type="containsText" dxfId="565" priority="1304" operator="containsText" text="INCASSO">
      <formula>NOT(ISERROR(SEARCH("INCASSO",D372)))</formula>
    </cfRule>
    <cfRule type="containsText" dxfId="564" priority="1303" operator="containsText" text="VERSAMENTO">
      <formula>NOT(ISERROR(SEARCH("VERSAMENTO",D372)))</formula>
    </cfRule>
  </conditionalFormatting>
  <conditionalFormatting sqref="D377:D378">
    <cfRule type="containsText" dxfId="563" priority="1299" operator="containsText" text="INCASSO">
      <formula>NOT(ISERROR(SEARCH("INCASSO",D377)))</formula>
    </cfRule>
    <cfRule type="containsText" dxfId="562" priority="1298" operator="containsText" text="VERSAMENTO">
      <formula>NOT(ISERROR(SEARCH("VERSAMENTO",D377)))</formula>
    </cfRule>
  </conditionalFormatting>
  <conditionalFormatting sqref="D383:D386">
    <cfRule type="containsText" dxfId="561" priority="1287" stopIfTrue="1" operator="containsText" text="VERSAMENTO CONTANTI">
      <formula>NOT(ISERROR(SEARCH("VERSAMENTO CONTANTI",D383)))</formula>
    </cfRule>
    <cfRule type="containsText" dxfId="560" priority="1288" stopIfTrue="1" operator="containsText" text="INCASSO PAYPAL">
      <formula>NOT(ISERROR(SEARCH("INCASSO PAYPAL",D383)))</formula>
    </cfRule>
    <cfRule type="containsText" dxfId="559" priority="1289" stopIfTrue="1" operator="containsText" text="INCASSO SUMUP">
      <formula>NOT(ISERROR(SEARCH("INCASSO SUMUP",D383)))</formula>
    </cfRule>
    <cfRule type="containsText" dxfId="558" priority="1290" stopIfTrue="1" operator="containsText" text="INCASSO AXERVE">
      <formula>NOT(ISERROR(SEARCH("INCASSO AXERVE",D383)))</formula>
    </cfRule>
    <cfRule type="containsText" dxfId="557" priority="1292" operator="containsText" text="INCASSO POS">
      <formula>NOT(ISERROR(SEARCH("INCASSO POS",D383)))</formula>
    </cfRule>
  </conditionalFormatting>
  <conditionalFormatting sqref="D468">
    <cfRule type="containsText" dxfId="556" priority="1243" operator="containsText" text="VERSAMENTO">
      <formula>NOT(ISERROR(SEARCH("VERSAMENTO",D468)))</formula>
    </cfRule>
    <cfRule type="containsText" dxfId="555" priority="1244" operator="containsText" text="INCASSO">
      <formula>NOT(ISERROR(SEARCH("INCASSO",D468)))</formula>
    </cfRule>
  </conditionalFormatting>
  <conditionalFormatting sqref="D468:D473">
    <cfRule type="containsText" dxfId="554" priority="1248" stopIfTrue="1" operator="containsText" text="COMPENSO AMMINISTRATORE">
      <formula>NOT(ISERROR(SEARCH("COMPENSO AMMINISTRATORE",D468)))</formula>
    </cfRule>
  </conditionalFormatting>
  <conditionalFormatting sqref="D474:D490">
    <cfRule type="containsText" dxfId="553" priority="1240" stopIfTrue="1" operator="containsText" text="COMPENSO AMMINISTRATORE">
      <formula>NOT(ISERROR(SEARCH("COMPENSO AMMINISTRATORE",D474)))</formula>
    </cfRule>
  </conditionalFormatting>
  <conditionalFormatting sqref="D493">
    <cfRule type="containsText" dxfId="552" priority="1197" stopIfTrue="1" operator="containsText" text="VERSAMENTO CONTANTI">
      <formula>NOT(ISERROR(SEARCH("VERSAMENTO CONTANTI",D493)))</formula>
    </cfRule>
    <cfRule type="containsText" dxfId="551" priority="1200" stopIfTrue="1" operator="containsText" text="INCASSO AXERVE">
      <formula>NOT(ISERROR(SEARCH("INCASSO AXERVE",D493)))</formula>
    </cfRule>
    <cfRule type="containsText" dxfId="550" priority="1202" operator="containsText" text="INCASSO POS">
      <formula>NOT(ISERROR(SEARCH("INCASSO POS",D493)))</formula>
    </cfRule>
    <cfRule type="containsText" dxfId="549" priority="1198" stopIfTrue="1" operator="containsText" text="INCASSO PAYPAL">
      <formula>NOT(ISERROR(SEARCH("INCASSO PAYPAL",D493)))</formula>
    </cfRule>
    <cfRule type="containsText" dxfId="548" priority="1199" stopIfTrue="1" operator="containsText" text="INCASSO SUMUP">
      <formula>NOT(ISERROR(SEARCH("INCASSO SUMUP",D493)))</formula>
    </cfRule>
  </conditionalFormatting>
  <conditionalFormatting sqref="D583:D586">
    <cfRule type="containsText" dxfId="547" priority="1192" operator="containsText" text="INCASSO POS">
      <formula>NOT(ISERROR(SEARCH("INCASSO POS",D583)))</formula>
    </cfRule>
    <cfRule type="containsText" dxfId="546" priority="1190" stopIfTrue="1" operator="containsText" text="INCASSO AXERVE">
      <formula>NOT(ISERROR(SEARCH("INCASSO AXERVE",D583)))</formula>
    </cfRule>
    <cfRule type="containsText" dxfId="545" priority="1189" stopIfTrue="1" operator="containsText" text="INCASSO SUMUP">
      <formula>NOT(ISERROR(SEARCH("INCASSO SUMUP",D583)))</formula>
    </cfRule>
    <cfRule type="containsText" dxfId="544" priority="1188" stopIfTrue="1" operator="containsText" text="INCASSO PAYPAL">
      <formula>NOT(ISERROR(SEARCH("INCASSO PAYPAL",D583)))</formula>
    </cfRule>
    <cfRule type="containsText" dxfId="543" priority="1187" stopIfTrue="1" operator="containsText" text="VERSAMENTO CONTANTI">
      <formula>NOT(ISERROR(SEARCH("VERSAMENTO CONTANTI",D583)))</formula>
    </cfRule>
  </conditionalFormatting>
  <conditionalFormatting sqref="D583:D612">
    <cfRule type="containsText" dxfId="542" priority="1154" stopIfTrue="1" operator="containsText" text="COMPENSO AMMINISTRATORE">
      <formula>NOT(ISERROR(SEARCH("COMPENSO AMMINISTRATORE",D583)))</formula>
    </cfRule>
  </conditionalFormatting>
  <conditionalFormatting sqref="D613:D652">
    <cfRule type="containsText" dxfId="541" priority="1185" stopIfTrue="1" operator="containsText" text="COMPENSO AMMINISTRATORE">
      <formula>NOT(ISERROR(SEARCH("COMPENSO AMMINISTRATORE",D613)))</formula>
    </cfRule>
  </conditionalFormatting>
  <conditionalFormatting sqref="D652:D653">
    <cfRule type="containsText" dxfId="540" priority="1179" operator="containsText" text="VERSAMENTO">
      <formula>NOT(ISERROR(SEARCH("VERSAMENTO",D652)))</formula>
    </cfRule>
    <cfRule type="containsText" dxfId="539" priority="1180" operator="containsText" text="INCASSO">
      <formula>NOT(ISERROR(SEARCH("INCASSO",D652)))</formula>
    </cfRule>
  </conditionalFormatting>
  <conditionalFormatting sqref="D652:D654">
    <cfRule type="containsText" dxfId="538" priority="1178" stopIfTrue="1" operator="containsText" text="COMPENSO AMMINISTRATORE">
      <formula>NOT(ISERROR(SEARCH("COMPENSO AMMINISTRATORE",D652)))</formula>
    </cfRule>
  </conditionalFormatting>
  <conditionalFormatting sqref="D654">
    <cfRule type="containsText" dxfId="537" priority="1177" operator="containsText" text="INCASSO">
      <formula>NOT(ISERROR(SEARCH("INCASSO",D654)))</formula>
    </cfRule>
    <cfRule type="containsText" dxfId="536" priority="1176" operator="containsText" text="VERSAMENTO">
      <formula>NOT(ISERROR(SEARCH("VERSAMENTO",D654)))</formula>
    </cfRule>
  </conditionalFormatting>
  <conditionalFormatting sqref="D655:D744">
    <cfRule type="containsText" dxfId="535" priority="1143" stopIfTrue="1" operator="containsText" text="COMPENSO AMMINISTRATORE">
      <formula>NOT(ISERROR(SEARCH("COMPENSO AMMINISTRATORE",D655)))</formula>
    </cfRule>
  </conditionalFormatting>
  <conditionalFormatting sqref="D676">
    <cfRule type="containsText" dxfId="534" priority="1172" operator="containsText" text="INCASSO POS">
      <formula>NOT(ISERROR(SEARCH("INCASSO POS",D676)))</formula>
    </cfRule>
    <cfRule type="containsText" dxfId="533" priority="1170" stopIfTrue="1" operator="containsText" text="INCASSO AXERVE">
      <formula>NOT(ISERROR(SEARCH("INCASSO AXERVE",D676)))</formula>
    </cfRule>
    <cfRule type="containsText" dxfId="532" priority="1169" stopIfTrue="1" operator="containsText" text="INCASSO SUMUP">
      <formula>NOT(ISERROR(SEARCH("INCASSO SUMUP",D676)))</formula>
    </cfRule>
    <cfRule type="containsText" dxfId="531" priority="1167" stopIfTrue="1" operator="containsText" text="VERSAMENTO CONTANTI">
      <formula>NOT(ISERROR(SEARCH("VERSAMENTO CONTANTI",D676)))</formula>
    </cfRule>
    <cfRule type="containsText" dxfId="530" priority="1168" stopIfTrue="1" operator="containsText" text="INCASSO PAYPAL">
      <formula>NOT(ISERROR(SEARCH("INCASSO PAYPAL",D676)))</formula>
    </cfRule>
  </conditionalFormatting>
  <conditionalFormatting sqref="D743:D746">
    <cfRule type="containsText" dxfId="529" priority="1149" stopIfTrue="1" operator="containsText" text="COMPENSO AMMINISTRATORE">
      <formula>NOT(ISERROR(SEARCH("COMPENSO AMMINISTRATORE",D743)))</formula>
    </cfRule>
  </conditionalFormatting>
  <conditionalFormatting sqref="D747:D869">
    <cfRule type="containsText" dxfId="528" priority="1111" stopIfTrue="1" operator="containsText" text="COMPENSO AMMINISTRATORE">
      <formula>NOT(ISERROR(SEARCH("COMPENSO AMMINISTRATORE",D747)))</formula>
    </cfRule>
  </conditionalFormatting>
  <conditionalFormatting sqref="D749">
    <cfRule type="containsText" dxfId="527" priority="1131" operator="containsText" text="INCASSO POS">
      <formula>NOT(ISERROR(SEARCH("INCASSO POS",D749)))</formula>
    </cfRule>
    <cfRule type="containsText" dxfId="526" priority="1129" stopIfTrue="1" operator="containsText" text="INCASSO AXERVE">
      <formula>NOT(ISERROR(SEARCH("INCASSO AXERVE",D749)))</formula>
    </cfRule>
    <cfRule type="containsText" dxfId="525" priority="1128" stopIfTrue="1" operator="containsText" text="INCASSO SUMUP">
      <formula>NOT(ISERROR(SEARCH("INCASSO SUMUP",D749)))</formula>
    </cfRule>
    <cfRule type="containsText" dxfId="524" priority="1127" stopIfTrue="1" operator="containsText" text="INCASSO PAYPAL">
      <formula>NOT(ISERROR(SEARCH("INCASSO PAYPAL",D749)))</formula>
    </cfRule>
    <cfRule type="containsText" dxfId="523" priority="1126" stopIfTrue="1" operator="containsText" text="VERSAMENTO CONTANTI">
      <formula>NOT(ISERROR(SEARCH("VERSAMENTO CONTANTI",D749)))</formula>
    </cfRule>
  </conditionalFormatting>
  <conditionalFormatting sqref="D870:D876">
    <cfRule type="cellIs" dxfId="522" priority="1106" operator="equal">
      <formula>"INCASSO"</formula>
    </cfRule>
    <cfRule type="cellIs" dxfId="521" priority="1105" operator="equal">
      <formula>"C/C"</formula>
    </cfRule>
    <cfRule type="containsText" dxfId="519" priority="1108" operator="containsText" text="RIMBORSO AMMINISTRATORE EDOARDO">
      <formula>NOT(ISERROR(SEARCH("RIMBORSO AMMINISTRATORE EDOARDO",D870)))</formula>
    </cfRule>
    <cfRule type="containsText" dxfId="518" priority="1107" operator="containsText" text="RIMBORSO AMMINISTRATORE DORIANA">
      <formula>NOT(ISERROR(SEARCH("RIMBORSO AMMINISTRATORE DORIANA",D870)))</formula>
    </cfRule>
    <cfRule type="cellIs" dxfId="517" priority="1084" operator="equal">
      <formula>"POS ANTICA"</formula>
    </cfRule>
    <cfRule type="cellIs" dxfId="516" priority="1085" operator="equal">
      <formula>"POS WEISS"</formula>
    </cfRule>
  </conditionalFormatting>
  <conditionalFormatting sqref="D873:D876">
    <cfRule type="cellIs" dxfId="515" priority="1100" operator="equal">
      <formula>"CASSA"</formula>
    </cfRule>
  </conditionalFormatting>
  <conditionalFormatting sqref="D874:D876">
    <cfRule type="cellIs" dxfId="514" priority="1103" operator="equal">
      <formula>"INCASSO"</formula>
    </cfRule>
    <cfRule type="cellIs" dxfId="513" priority="1102" operator="equal">
      <formula>"C/C"</formula>
    </cfRule>
    <cfRule type="cellIs" dxfId="512" priority="1098" operator="equal">
      <formula>"INCASSO SUMUP"</formula>
    </cfRule>
    <cfRule type="cellIs" dxfId="511" priority="1099" operator="equal">
      <formula>"INCASSO POS"</formula>
    </cfRule>
    <cfRule type="containsText" dxfId="510" priority="1101" operator="containsText" text="COMPENSO AMMINISTRATORE">
      <formula>NOT(ISERROR(SEARCH("COMPENSO AMMINISTRATORE",D874)))</formula>
    </cfRule>
  </conditionalFormatting>
  <conditionalFormatting sqref="D876">
    <cfRule type="cellIs" dxfId="509" priority="1095" operator="equal">
      <formula>"CASSA"</formula>
    </cfRule>
    <cfRule type="cellIs" dxfId="508" priority="1094" operator="equal">
      <formula>"INCASSO POS"</formula>
    </cfRule>
    <cfRule type="cellIs" dxfId="507" priority="1093" operator="equal">
      <formula>"INCASSO SUMUP"</formula>
    </cfRule>
    <cfRule type="containsText" dxfId="506" priority="1097" operator="containsText" text="RIMBORSO AMMINISTRATORE EDOARDO">
      <formula>NOT(ISERROR(SEARCH("RIMBORSO AMMINISTRATORE EDOARDO",D876)))</formula>
    </cfRule>
    <cfRule type="containsText" dxfId="505" priority="1092" operator="containsText" text="RIMBORSO AMMINISTRATORE EDOARDO">
      <formula>NOT(ISERROR(SEARCH("RIMBORSO AMMINISTRATORE EDOARDO",D876)))</formula>
    </cfRule>
    <cfRule type="containsText" dxfId="504" priority="1091" operator="containsText" text="RIMBORSO AMMINISTRATORE DORIANA">
      <formula>NOT(ISERROR(SEARCH("RIMBORSO AMMINISTRATORE DORIANA",D876)))</formula>
    </cfRule>
    <cfRule type="cellIs" dxfId="503" priority="1090" operator="equal">
      <formula>"CASSA"</formula>
    </cfRule>
    <cfRule type="cellIs" dxfId="502" priority="1089" operator="equal">
      <formula>"INCASSO POS"</formula>
    </cfRule>
    <cfRule type="cellIs" dxfId="501" priority="1088" operator="equal">
      <formula>"INCASSO SUMUP"</formula>
    </cfRule>
    <cfRule type="cellIs" dxfId="500" priority="1087" operator="equal">
      <formula>"INCASSO"</formula>
    </cfRule>
    <cfRule type="cellIs" dxfId="499" priority="1086" operator="equal">
      <formula>"C/C"</formula>
    </cfRule>
    <cfRule type="containsText" dxfId="498" priority="1096" operator="containsText" text="RIMBORSO AMMINISTRATORE DORIANA">
      <formula>NOT(ISERROR(SEARCH("RIMBORSO AMMINISTRATORE DORIANA",D876)))</formula>
    </cfRule>
  </conditionalFormatting>
  <conditionalFormatting sqref="D878">
    <cfRule type="cellIs" dxfId="496" priority="1059" operator="equal">
      <formula>"POS ANTICA"</formula>
    </cfRule>
    <cfRule type="cellIs" dxfId="495" priority="1081" operator="equal">
      <formula>"INCASSO"</formula>
    </cfRule>
    <cfRule type="cellIs" dxfId="494" priority="1080" operator="equal">
      <formula>"C/C"</formula>
    </cfRule>
    <cfRule type="containsText" dxfId="493" priority="1083" operator="containsText" text="RIMBORSO AMMINISTRATORE EDOARDO">
      <formula>NOT(ISERROR(SEARCH("RIMBORSO AMMINISTRATORE EDOARDO",D878)))</formula>
    </cfRule>
    <cfRule type="cellIs" dxfId="492" priority="1078" operator="equal">
      <formula>"INCASSO"</formula>
    </cfRule>
    <cfRule type="cellIs" dxfId="491" priority="1077" operator="equal">
      <formula>"C/C"</formula>
    </cfRule>
    <cfRule type="containsText" dxfId="490" priority="1076" operator="containsText" text="COMPENSO AMMINISTRATORE">
      <formula>NOT(ISERROR(SEARCH("COMPENSO AMMINISTRATORE",D878)))</formula>
    </cfRule>
    <cfRule type="cellIs" dxfId="489" priority="1075" operator="equal">
      <formula>"CASSA"</formula>
    </cfRule>
    <cfRule type="cellIs" dxfId="488" priority="1074" operator="equal">
      <formula>"INCASSO POS"</formula>
    </cfRule>
    <cfRule type="cellIs" dxfId="487" priority="1073" operator="equal">
      <formula>"INCASSO SUMUP"</formula>
    </cfRule>
    <cfRule type="containsText" dxfId="486" priority="1072" operator="containsText" text="RIMBORSO AMMINISTRATORE EDOARDO">
      <formula>NOT(ISERROR(SEARCH("RIMBORSO AMMINISTRATORE EDOARDO",D878)))</formula>
    </cfRule>
    <cfRule type="containsText" dxfId="485" priority="1071" operator="containsText" text="RIMBORSO AMMINISTRATORE DORIANA">
      <formula>NOT(ISERROR(SEARCH("RIMBORSO AMMINISTRATORE DORIANA",D878)))</formula>
    </cfRule>
    <cfRule type="cellIs" dxfId="484" priority="1070" operator="equal">
      <formula>"CASSA"</formula>
    </cfRule>
    <cfRule type="cellIs" dxfId="483" priority="1069" operator="equal">
      <formula>"INCASSO POS"</formula>
    </cfRule>
    <cfRule type="cellIs" dxfId="482" priority="1068" operator="equal">
      <formula>"INCASSO SUMUP"</formula>
    </cfRule>
    <cfRule type="containsText" dxfId="481" priority="1067" operator="containsText" text="RIMBORSO AMMINISTRATORE EDOARDO">
      <formula>NOT(ISERROR(SEARCH("RIMBORSO AMMINISTRATORE EDOARDO",D878)))</formula>
    </cfRule>
    <cfRule type="containsText" dxfId="480" priority="1066" operator="containsText" text="RIMBORSO AMMINISTRATORE DORIANA">
      <formula>NOT(ISERROR(SEARCH("RIMBORSO AMMINISTRATORE DORIANA",D878)))</formula>
    </cfRule>
    <cfRule type="cellIs" dxfId="479" priority="1065" operator="equal">
      <formula>"CASSA"</formula>
    </cfRule>
    <cfRule type="cellIs" dxfId="478" priority="1064" operator="equal">
      <formula>"INCASSO POS"</formula>
    </cfRule>
    <cfRule type="cellIs" dxfId="477" priority="1063" operator="equal">
      <formula>"INCASSO SUMUP"</formula>
    </cfRule>
    <cfRule type="cellIs" dxfId="476" priority="1062" operator="equal">
      <formula>"INCASSO"</formula>
    </cfRule>
    <cfRule type="cellIs" dxfId="475" priority="1061" operator="equal">
      <formula>"C/C"</formula>
    </cfRule>
    <cfRule type="cellIs" dxfId="474" priority="1060" operator="equal">
      <formula>"POS WEISS"</formula>
    </cfRule>
    <cfRule type="containsText" dxfId="473" priority="1082" operator="containsText" text="RIMBORSO AMMINISTRATORE DORIANA">
      <formula>NOT(ISERROR(SEARCH("RIMBORSO AMMINISTRATORE DORIANA",D878)))</formula>
    </cfRule>
  </conditionalFormatting>
  <conditionalFormatting sqref="D880">
    <cfRule type="containsText" dxfId="472" priority="1047" operator="containsText" text="RIMBORSO AMMINISTRATORE EDOARDO">
      <formula>NOT(ISERROR(SEARCH("RIMBORSO AMMINISTRATORE EDOARDO",D880)))</formula>
    </cfRule>
    <cfRule type="cellIs" dxfId="471" priority="1034" operator="equal">
      <formula>"POS ANTICA"</formula>
    </cfRule>
    <cfRule type="cellIs" dxfId="470" priority="1049" operator="equal">
      <formula>"INCASSO POS"</formula>
    </cfRule>
    <cfRule type="cellIs" dxfId="469" priority="1050" operator="equal">
      <formula>"CASSA"</formula>
    </cfRule>
    <cfRule type="containsText" dxfId="468" priority="1051" operator="containsText" text="COMPENSO AMMINISTRATORE">
      <formula>NOT(ISERROR(SEARCH("COMPENSO AMMINISTRATORE",D880)))</formula>
    </cfRule>
    <cfRule type="cellIs" dxfId="467" priority="1052" operator="equal">
      <formula>"C/C"</formula>
    </cfRule>
    <cfRule type="cellIs" dxfId="466" priority="1053" operator="equal">
      <formula>"INCASSO"</formula>
    </cfRule>
    <cfRule type="cellIs" dxfId="464" priority="1055" operator="equal">
      <formula>"C/C"</formula>
    </cfRule>
    <cfRule type="cellIs" dxfId="463" priority="1056" operator="equal">
      <formula>"INCASSO"</formula>
    </cfRule>
    <cfRule type="containsText" dxfId="462" priority="1057" operator="containsText" text="RIMBORSO AMMINISTRATORE DORIANA">
      <formula>NOT(ISERROR(SEARCH("RIMBORSO AMMINISTRATORE DORIANA",D880)))</formula>
    </cfRule>
    <cfRule type="containsText" dxfId="461" priority="1058" operator="containsText" text="RIMBORSO AMMINISTRATORE EDOARDO">
      <formula>NOT(ISERROR(SEARCH("RIMBORSO AMMINISTRATORE EDOARDO",D880)))</formula>
    </cfRule>
    <cfRule type="containsText" dxfId="460" priority="1046" operator="containsText" text="RIMBORSO AMMINISTRATORE DORIANA">
      <formula>NOT(ISERROR(SEARCH("RIMBORSO AMMINISTRATORE DORIANA",D880)))</formula>
    </cfRule>
    <cfRule type="cellIs" dxfId="459" priority="1045" operator="equal">
      <formula>"CASSA"</formula>
    </cfRule>
    <cfRule type="cellIs" dxfId="458" priority="1044" operator="equal">
      <formula>"INCASSO POS"</formula>
    </cfRule>
    <cfRule type="cellIs" dxfId="457" priority="1043" operator="equal">
      <formula>"INCASSO SUMUP"</formula>
    </cfRule>
    <cfRule type="containsText" dxfId="456" priority="1042" operator="containsText" text="RIMBORSO AMMINISTRATORE EDOARDO">
      <formula>NOT(ISERROR(SEARCH("RIMBORSO AMMINISTRATORE EDOARDO",D880)))</formula>
    </cfRule>
    <cfRule type="containsText" dxfId="455" priority="1041" operator="containsText" text="RIMBORSO AMMINISTRATORE DORIANA">
      <formula>NOT(ISERROR(SEARCH("RIMBORSO AMMINISTRATORE DORIANA",D880)))</formula>
    </cfRule>
    <cfRule type="cellIs" dxfId="454" priority="1040" operator="equal">
      <formula>"CASSA"</formula>
    </cfRule>
    <cfRule type="cellIs" dxfId="453" priority="1039" operator="equal">
      <formula>"INCASSO POS"</formula>
    </cfRule>
    <cfRule type="cellIs" dxfId="452" priority="1038" operator="equal">
      <formula>"INCASSO SUMUP"</formula>
    </cfRule>
    <cfRule type="cellIs" dxfId="451" priority="1037" operator="equal">
      <formula>"INCASSO"</formula>
    </cfRule>
    <cfRule type="cellIs" dxfId="450" priority="1036" operator="equal">
      <formula>"C/C"</formula>
    </cfRule>
    <cfRule type="cellIs" dxfId="449" priority="1035" operator="equal">
      <formula>"POS WEISS"</formula>
    </cfRule>
    <cfRule type="cellIs" dxfId="448" priority="1048" operator="equal">
      <formula>"INCASSO SUMUP"</formula>
    </cfRule>
  </conditionalFormatting>
  <conditionalFormatting sqref="D1000:D1001">
    <cfRule type="cellIs" dxfId="447" priority="1014" operator="equal">
      <formula>"C/C"</formula>
    </cfRule>
    <cfRule type="containsText" dxfId="446" priority="1015" operator="containsText" text="RIMBORSO AMMINISTRATORE DORIANA">
      <formula>NOT(ISERROR(SEARCH("RIMBORSO AMMINISTRATORE DORIANA",D1000)))</formula>
    </cfRule>
    <cfRule type="containsText" dxfId="445" priority="1016" operator="containsText" text="RIMBORSO AMMINISTRATORE EDOARDO">
      <formula>NOT(ISERROR(SEARCH("RIMBORSO AMMINISTRATORE EDOARDO",D1000)))</formula>
    </cfRule>
  </conditionalFormatting>
  <conditionalFormatting sqref="D1000:D1002">
    <cfRule type="cellIs" dxfId="444" priority="1008" operator="equal">
      <formula>"POS WEISS"</formula>
    </cfRule>
    <cfRule type="cellIs" dxfId="442" priority="1007" operator="equal">
      <formula>"POS ANTICA"</formula>
    </cfRule>
  </conditionalFormatting>
  <conditionalFormatting sqref="D1002">
    <cfRule type="cellIs" dxfId="441" priority="1026" operator="equal">
      <formula>"C/C"</formula>
    </cfRule>
    <cfRule type="containsText" dxfId="440" priority="1028" operator="containsText" text="RIMBORSO AMMINISTRATORE DORIANA">
      <formula>NOT(ISERROR(SEARCH("RIMBORSO AMMINISTRATORE DORIANA",D1002)))</formula>
    </cfRule>
    <cfRule type="containsText" dxfId="439" priority="1029" operator="containsText" text="RIMBORSO AMMINISTRATORE EDOARDO">
      <formula>NOT(ISERROR(SEARCH("RIMBORSO AMMINISTRATORE EDOARDO",D1002)))</formula>
    </cfRule>
  </conditionalFormatting>
  <conditionalFormatting sqref="D1003:D1055">
    <cfRule type="containsText" dxfId="438" priority="1002" stopIfTrue="1" operator="containsText" text="COMPENSO AMMINISTRATORE">
      <formula>NOT(ISERROR(SEARCH("COMPENSO AMMINISTRATORE",D1003)))</formula>
    </cfRule>
  </conditionalFormatting>
  <conditionalFormatting sqref="D1298:D1390 D1392:D1422">
    <cfRule type="containsText" dxfId="437" priority="939" stopIfTrue="1" operator="containsText" text="COMPENSO AMMINISTRATORE">
      <formula>NOT(ISERROR(SEARCH("COMPENSO AMMINISTRATORE",D1298)))</formula>
    </cfRule>
  </conditionalFormatting>
  <conditionalFormatting sqref="D1391">
    <cfRule type="containsText" dxfId="436" priority="875" stopIfTrue="1" operator="containsText" text="INCASSO PAYPAL">
      <formula>NOT(ISERROR(SEARCH("INCASSO PAYPAL",D1391)))</formula>
    </cfRule>
    <cfRule type="containsText" dxfId="435" priority="876" stopIfTrue="1" operator="containsText" text="INCASSO SUMUP">
      <formula>NOT(ISERROR(SEARCH("INCASSO SUMUP",D1391)))</formula>
    </cfRule>
    <cfRule type="containsText" dxfId="434" priority="877" stopIfTrue="1" operator="containsText" text="INCASSO AXERVE">
      <formula>NOT(ISERROR(SEARCH("INCASSO AXERVE",D1391)))</formula>
    </cfRule>
    <cfRule type="containsText" dxfId="433" priority="874" stopIfTrue="1" operator="containsText" text="VERSAMENTO CONTANTI">
      <formula>NOT(ISERROR(SEARCH("VERSAMENTO CONTANTI",D1391)))</formula>
    </cfRule>
    <cfRule type="containsText" dxfId="432" priority="872" stopIfTrue="1" operator="containsText" text="COMPENSO AMMINISTRATORE">
      <formula>NOT(ISERROR(SEARCH("COMPENSO AMMINISTRATORE",D1391)))</formula>
    </cfRule>
    <cfRule type="containsText" dxfId="431" priority="879" operator="containsText" text="INCASSO POS">
      <formula>NOT(ISERROR(SEARCH("INCASSO POS",D1391)))</formula>
    </cfRule>
  </conditionalFormatting>
  <conditionalFormatting sqref="D1423">
    <cfRule type="containsText" dxfId="430" priority="887" stopIfTrue="1" operator="containsText" text="INCASSO AXERVE">
      <formula>NOT(ISERROR(SEARCH("INCASSO AXERVE",D1423)))</formula>
    </cfRule>
    <cfRule type="containsText" dxfId="429" priority="886" stopIfTrue="1" operator="containsText" text="INCASSO SUMUP">
      <formula>NOT(ISERROR(SEARCH("INCASSO SUMUP",D1423)))</formula>
    </cfRule>
    <cfRule type="containsText" dxfId="428" priority="885" stopIfTrue="1" operator="containsText" text="INCASSO PAYPAL">
      <formula>NOT(ISERROR(SEARCH("INCASSO PAYPAL",D1423)))</formula>
    </cfRule>
    <cfRule type="containsText" dxfId="427" priority="884" stopIfTrue="1" operator="containsText" text="VERSAMENTO CONTANTI">
      <formula>NOT(ISERROR(SEARCH("VERSAMENTO CONTANTI",D1423)))</formula>
    </cfRule>
    <cfRule type="containsText" dxfId="426" priority="889" operator="containsText" text="INCASSO POS">
      <formula>NOT(ISERROR(SEARCH("INCASSO POS",D1423)))</formula>
    </cfRule>
  </conditionalFormatting>
  <conditionalFormatting sqref="D1423:D1450 D1461:D1476">
    <cfRule type="containsText" dxfId="425" priority="882" stopIfTrue="1" operator="containsText" text="COMPENSO AMMINISTRATORE">
      <formula>NOT(ISERROR(SEARCH("COMPENSO AMMINISTRATORE",D1423)))</formula>
    </cfRule>
  </conditionalFormatting>
  <conditionalFormatting sqref="D1435">
    <cfRule type="containsText" dxfId="424" priority="855" stopIfTrue="1" operator="containsText" text="VERSAMENTO CONTANTI">
      <formula>NOT(ISERROR(SEARCH("VERSAMENTO CONTANTI",D1435)))</formula>
    </cfRule>
    <cfRule type="containsText" dxfId="423" priority="860" operator="containsText" text="INCASSO POS">
      <formula>NOT(ISERROR(SEARCH("INCASSO POS",D1435)))</formula>
    </cfRule>
    <cfRule type="containsText" dxfId="422" priority="858" stopIfTrue="1" operator="containsText" text="INCASSO AXERVE">
      <formula>NOT(ISERROR(SEARCH("INCASSO AXERVE",D1435)))</formula>
    </cfRule>
    <cfRule type="containsText" dxfId="421" priority="857" stopIfTrue="1" operator="containsText" text="INCASSO SUMUP">
      <formula>NOT(ISERROR(SEARCH("INCASSO SUMUP",D1435)))</formula>
    </cfRule>
    <cfRule type="containsText" dxfId="420" priority="856" stopIfTrue="1" operator="containsText" text="INCASSO PAYPAL">
      <formula>NOT(ISERROR(SEARCH("INCASSO PAYPAL",D1435)))</formula>
    </cfRule>
  </conditionalFormatting>
  <conditionalFormatting sqref="D1451:D1460">
    <cfRule type="containsText" dxfId="419" priority="642" stopIfTrue="1" operator="containsText" text="COMPENSO AMMINISTRATORE">
      <formula>NOT(ISERROR(SEARCH("COMPENSO AMMINISTRATORE",D1451)))</formula>
    </cfRule>
  </conditionalFormatting>
  <conditionalFormatting sqref="D1477:D1480">
    <cfRule type="containsText" dxfId="418" priority="827" stopIfTrue="1" operator="containsText" text="COMPENSO AMMINISTRATORE">
      <formula>NOT(ISERROR(SEARCH("COMPENSO AMMINISTRATORE",D1477)))</formula>
    </cfRule>
  </conditionalFormatting>
  <conditionalFormatting sqref="D1481:D1482">
    <cfRule type="containsText" dxfId="417" priority="824" operator="containsText" text="INCASSO POS">
      <formula>NOT(ISERROR(SEARCH("INCASSO POS",D1481)))</formula>
    </cfRule>
    <cfRule type="containsText" dxfId="416" priority="822" stopIfTrue="1" operator="containsText" text="INCASSO AXERVE">
      <formula>NOT(ISERROR(SEARCH("INCASSO AXERVE",D1481)))</formula>
    </cfRule>
    <cfRule type="containsText" dxfId="415" priority="821" stopIfTrue="1" operator="containsText" text="INCASSO SUMUP">
      <formula>NOT(ISERROR(SEARCH("INCASSO SUMUP",D1481)))</formula>
    </cfRule>
    <cfRule type="containsText" dxfId="414" priority="820" stopIfTrue="1" operator="containsText" text="INCASSO PAYPAL">
      <formula>NOT(ISERROR(SEARCH("INCASSO PAYPAL",D1481)))</formula>
    </cfRule>
    <cfRule type="containsText" dxfId="413" priority="819" stopIfTrue="1" operator="containsText" text="VERSAMENTO CONTANTI">
      <formula>NOT(ISERROR(SEARCH("VERSAMENTO CONTANTI",D1481)))</formula>
    </cfRule>
  </conditionalFormatting>
  <conditionalFormatting sqref="D1481:D1489">
    <cfRule type="containsText" dxfId="412" priority="813" stopIfTrue="1" operator="containsText" text="COMPENSO AMMINISTRATORE">
      <formula>NOT(ISERROR(SEARCH("COMPENSO AMMINISTRATORE",D1481)))</formula>
    </cfRule>
  </conditionalFormatting>
  <conditionalFormatting sqref="D1485:D1489 D1492:D1493 D1496:D1503 D1506:D1511 D1514:D1529 D1532 D1535 D1538:D1543 D1547:D1551">
    <cfRule type="containsText" dxfId="411" priority="834" stopIfTrue="1" operator="containsText" text="INCASSO SUMUP">
      <formula>NOT(ISERROR(SEARCH("INCASSO SUMUP",D1485)))</formula>
    </cfRule>
    <cfRule type="containsText" dxfId="410" priority="835" stopIfTrue="1" operator="containsText" text="INCASSO AXERVE">
      <formula>NOT(ISERROR(SEARCH("INCASSO AXERVE",D1485)))</formula>
    </cfRule>
    <cfRule type="containsText" dxfId="409" priority="837" operator="containsText" text="INCASSO POS">
      <formula>NOT(ISERROR(SEARCH("INCASSO POS",D1485)))</formula>
    </cfRule>
    <cfRule type="containsText" dxfId="408" priority="833" stopIfTrue="1" operator="containsText" text="INCASSO PAYPAL">
      <formula>NOT(ISERROR(SEARCH("INCASSO PAYPAL",D1485)))</formula>
    </cfRule>
    <cfRule type="containsText" dxfId="407" priority="832" stopIfTrue="1" operator="containsText" text="VERSAMENTO CONTANTI">
      <formula>NOT(ISERROR(SEARCH("VERSAMENTO CONTANTI",D1485)))</formula>
    </cfRule>
  </conditionalFormatting>
  <conditionalFormatting sqref="D1596:D1602">
    <cfRule type="containsText" dxfId="406" priority="730" stopIfTrue="1" operator="containsText" text="COMPENSO AMMINISTRATORE">
      <formula>NOT(ISERROR(SEARCH("COMPENSO AMMINISTRATORE",D1596)))</formula>
    </cfRule>
  </conditionalFormatting>
  <conditionalFormatting sqref="D1603:D1611">
    <cfRule type="containsText" dxfId="405" priority="726" stopIfTrue="1" operator="containsText" text="COMPENSO AMMINISTRATORE">
      <formula>NOT(ISERROR(SEARCH("COMPENSO AMMINISTRATORE",D1603)))</formula>
    </cfRule>
  </conditionalFormatting>
  <conditionalFormatting sqref="D1611">
    <cfRule type="containsText" dxfId="404" priority="716" stopIfTrue="1" operator="containsText" text="VERSAMENTO CONTANTI">
      <formula>NOT(ISERROR(SEARCH("VERSAMENTO CONTANTI",D1611)))</formula>
    </cfRule>
    <cfRule type="containsText" dxfId="403" priority="717" stopIfTrue="1" operator="containsText" text="INCASSO PAYPAL">
      <formula>NOT(ISERROR(SEARCH("INCASSO PAYPAL",D1611)))</formula>
    </cfRule>
    <cfRule type="containsText" dxfId="402" priority="719" stopIfTrue="1" operator="containsText" text="INCASSO AXERVE">
      <formula>NOT(ISERROR(SEARCH("INCASSO AXERVE",D1611)))</formula>
    </cfRule>
    <cfRule type="containsText" dxfId="401" priority="721" operator="containsText" text="INCASSO POS">
      <formula>NOT(ISERROR(SEARCH("INCASSO POS",D1611)))</formula>
    </cfRule>
    <cfRule type="containsText" dxfId="400" priority="718" stopIfTrue="1" operator="containsText" text="INCASSO SUMUP">
      <formula>NOT(ISERROR(SEARCH("INCASSO SUMUP",D1611)))</formula>
    </cfRule>
  </conditionalFormatting>
  <conditionalFormatting sqref="D1612:D1613">
    <cfRule type="containsText" dxfId="399" priority="713" stopIfTrue="1" operator="containsText" text="COMPENSO AMMINISTRATORE">
      <formula>NOT(ISERROR(SEARCH("COMPENSO AMMINISTRATORE",D1612)))</formula>
    </cfRule>
  </conditionalFormatting>
  <conditionalFormatting sqref="D1614:D1618">
    <cfRule type="containsText" dxfId="398" priority="747" stopIfTrue="1" operator="containsText" text="COMPENSO AMMINISTRATORE">
      <formula>NOT(ISERROR(SEARCH("COMPENSO AMMINISTRATORE",D1614)))</formula>
    </cfRule>
  </conditionalFormatting>
  <conditionalFormatting sqref="D1615:D1616">
    <cfRule type="containsText" dxfId="397" priority="739" stopIfTrue="1" operator="containsText" text="INCASSO AXERVE">
      <formula>NOT(ISERROR(SEARCH("INCASSO AXERVE",D1615)))</formula>
    </cfRule>
    <cfRule type="containsText" dxfId="396" priority="741" operator="containsText" text="INCASSO POS">
      <formula>NOT(ISERROR(SEARCH("INCASSO POS",D1615)))</formula>
    </cfRule>
    <cfRule type="containsText" dxfId="395" priority="738" stopIfTrue="1" operator="containsText" text="INCASSO SUMUP">
      <formula>NOT(ISERROR(SEARCH("INCASSO SUMUP",D1615)))</formula>
    </cfRule>
    <cfRule type="containsText" dxfId="394" priority="737" stopIfTrue="1" operator="containsText" text="INCASSO PAYPAL">
      <formula>NOT(ISERROR(SEARCH("INCASSO PAYPAL",D1615)))</formula>
    </cfRule>
    <cfRule type="containsText" dxfId="393" priority="736" stopIfTrue="1" operator="containsText" text="VERSAMENTO CONTANTI">
      <formula>NOT(ISERROR(SEARCH("VERSAMENTO CONTANTI",D1615)))</formula>
    </cfRule>
  </conditionalFormatting>
  <conditionalFormatting sqref="D1619:D1623">
    <cfRule type="containsText" dxfId="392" priority="708" stopIfTrue="1" operator="containsText" text="COMPENSO AMMINISTRATORE">
      <formula>NOT(ISERROR(SEARCH("COMPENSO AMMINISTRATORE",D1619)))</formula>
    </cfRule>
  </conditionalFormatting>
  <conditionalFormatting sqref="D1624:D1630">
    <cfRule type="containsText" dxfId="391" priority="703" stopIfTrue="1" operator="containsText" text="COMPENSO AMMINISTRATORE">
      <formula>NOT(ISERROR(SEARCH("COMPENSO AMMINISTRATORE",D1624)))</formula>
    </cfRule>
  </conditionalFormatting>
  <conditionalFormatting sqref="D1631:D1638">
    <cfRule type="containsText" dxfId="390" priority="698" stopIfTrue="1" operator="containsText" text="COMPENSO AMMINISTRATORE">
      <formula>NOT(ISERROR(SEARCH("COMPENSO AMMINISTRATORE",D1631)))</formula>
    </cfRule>
  </conditionalFormatting>
  <conditionalFormatting sqref="D1639">
    <cfRule type="containsText" dxfId="389" priority="676" stopIfTrue="1" operator="containsText" text="VERSAMENTO CONTANTI">
      <formula>NOT(ISERROR(SEARCH("VERSAMENTO CONTANTI",D1639)))</formula>
    </cfRule>
    <cfRule type="containsText" dxfId="388" priority="683" stopIfTrue="1" operator="containsText" text="COMPENSO AMMINISTRATORE">
      <formula>NOT(ISERROR(SEARCH("COMPENSO AMMINISTRATORE",D1639)))</formula>
    </cfRule>
    <cfRule type="containsText" dxfId="387" priority="681" operator="containsText" text="INCASSO POS">
      <formula>NOT(ISERROR(SEARCH("INCASSO POS",D1639)))</formula>
    </cfRule>
    <cfRule type="containsText" dxfId="386" priority="679" stopIfTrue="1" operator="containsText" text="INCASSO AXERVE">
      <formula>NOT(ISERROR(SEARCH("INCASSO AXERVE",D1639)))</formula>
    </cfRule>
    <cfRule type="containsText" dxfId="385" priority="678" stopIfTrue="1" operator="containsText" text="INCASSO SUMUP">
      <formula>NOT(ISERROR(SEARCH("INCASSO SUMUP",D1639)))</formula>
    </cfRule>
    <cfRule type="containsText" dxfId="384" priority="677" stopIfTrue="1" operator="containsText" text="INCASSO PAYPAL">
      <formula>NOT(ISERROR(SEARCH("INCASSO PAYPAL",D1639)))</formula>
    </cfRule>
  </conditionalFormatting>
  <conditionalFormatting sqref="D1640:D1650">
    <cfRule type="containsText" dxfId="383" priority="693" stopIfTrue="1" operator="containsText" text="COMPENSO AMMINISTRATORE">
      <formula>NOT(ISERROR(SEARCH("COMPENSO AMMINISTRATORE",D1640)))</formula>
    </cfRule>
  </conditionalFormatting>
  <conditionalFormatting sqref="D1651:D1705">
    <cfRule type="containsText" dxfId="382" priority="688" stopIfTrue="1" operator="containsText" text="COMPENSO AMMINISTRATORE">
      <formula>NOT(ISERROR(SEARCH("COMPENSO AMMINISTRATORE",D1651)))</formula>
    </cfRule>
  </conditionalFormatting>
  <conditionalFormatting sqref="D1704">
    <cfRule type="containsText" dxfId="381" priority="646" stopIfTrue="1" operator="containsText" text="COMPENSO AMMINISTRATORE">
      <formula>NOT(ISERROR(SEARCH("COMPENSO AMMINISTRATORE",D1704)))</formula>
    </cfRule>
  </conditionalFormatting>
  <conditionalFormatting sqref="D1706:D1733">
    <cfRule type="containsText" dxfId="380" priority="636" stopIfTrue="1" operator="containsText" text="COMPENSO AMMINISTRATORE">
      <formula>NOT(ISERROR(SEARCH("COMPENSO AMMINISTRATORE",D1706)))</formula>
    </cfRule>
  </conditionalFormatting>
  <conditionalFormatting sqref="D1734">
    <cfRule type="containsText" dxfId="379" priority="620" operator="containsText" text="INCASSO POS">
      <formula>NOT(ISERROR(SEARCH("INCASSO POS",D1734)))</formula>
    </cfRule>
    <cfRule type="containsText" dxfId="378" priority="616" stopIfTrue="1" operator="containsText" text="INCASSO PAYPAL">
      <formula>NOT(ISERROR(SEARCH("INCASSO PAYPAL",D1734)))</formula>
    </cfRule>
    <cfRule type="containsText" dxfId="377" priority="617" stopIfTrue="1" operator="containsText" text="INCASSO SUMUP">
      <formula>NOT(ISERROR(SEARCH("INCASSO SUMUP",D1734)))</formula>
    </cfRule>
    <cfRule type="containsText" dxfId="376" priority="615" stopIfTrue="1" operator="containsText" text="VERSAMENTO CONTANTI">
      <formula>NOT(ISERROR(SEARCH("VERSAMENTO CONTANTI",D1734)))</formula>
    </cfRule>
    <cfRule type="containsText" dxfId="375" priority="618" stopIfTrue="1" operator="containsText" text="INCASSO AXERVE">
      <formula>NOT(ISERROR(SEARCH("INCASSO AXERVE",D1734)))</formula>
    </cfRule>
  </conditionalFormatting>
  <conditionalFormatting sqref="D1734:D1739">
    <cfRule type="containsText" dxfId="374" priority="622" stopIfTrue="1" operator="containsText" text="COMPENSO AMMINISTRATORE">
      <formula>NOT(ISERROR(SEARCH("COMPENSO AMMINISTRATORE",D1734)))</formula>
    </cfRule>
  </conditionalFormatting>
  <conditionalFormatting sqref="D1740:D1741">
    <cfRule type="containsText" dxfId="373" priority="612" stopIfTrue="1" operator="containsText" text="COMPENSO AMMINISTRATORE">
      <formula>NOT(ISERROR(SEARCH("COMPENSO AMMINISTRATORE",D1740)))</formula>
    </cfRule>
  </conditionalFormatting>
  <conditionalFormatting sqref="D1742">
    <cfRule type="containsText" dxfId="372" priority="605" stopIfTrue="1" operator="containsText" text="COMPENSO AMMINISTRATORE">
      <formula>NOT(ISERROR(SEARCH("COMPENSO AMMINISTRATORE",D1742)))</formula>
    </cfRule>
  </conditionalFormatting>
  <conditionalFormatting sqref="D1749:D2085">
    <cfRule type="containsText" dxfId="371" priority="587" stopIfTrue="1" operator="containsText" text="COMPENSO AMMINISTRATORE">
      <formula>NOT(ISERROR(SEARCH("COMPENSO AMMINISTRATORE",D1749)))</formula>
    </cfRule>
  </conditionalFormatting>
  <conditionalFormatting sqref="D1752">
    <cfRule type="containsText" dxfId="370" priority="581" stopIfTrue="1" operator="containsText" text="INCASSO PAYPAL">
      <formula>NOT(ISERROR(SEARCH("INCASSO PAYPAL",D1752)))</formula>
    </cfRule>
    <cfRule type="containsText" dxfId="369" priority="580" stopIfTrue="1" operator="containsText" text="VERSAMENTO CONTANTI">
      <formula>NOT(ISERROR(SEARCH("VERSAMENTO CONTANTI",D1752)))</formula>
    </cfRule>
    <cfRule type="containsText" dxfId="368" priority="583" stopIfTrue="1" operator="containsText" text="INCASSO AXERVE">
      <formula>NOT(ISERROR(SEARCH("INCASSO AXERVE",D1752)))</formula>
    </cfRule>
    <cfRule type="containsText" dxfId="367" priority="585" operator="containsText" text="INCASSO POS">
      <formula>NOT(ISERROR(SEARCH("INCASSO POS",D1752)))</formula>
    </cfRule>
    <cfRule type="containsText" dxfId="366" priority="582" stopIfTrue="1" operator="containsText" text="INCASSO SUMUP">
      <formula>NOT(ISERROR(SEARCH("INCASSO SUMUP",D1752)))</formula>
    </cfRule>
  </conditionalFormatting>
  <conditionalFormatting sqref="D1798">
    <cfRule type="containsText" dxfId="365" priority="560" operator="containsText" text="PERSONALE">
      <formula>NOT(ISERROR(SEARCH("PERSONALE",D1798)))</formula>
    </cfRule>
    <cfRule type="containsText" dxfId="364" priority="561" operator="containsText" text="NICOLA">
      <formula>NOT(ISERROR(SEARCH("NICOLA",D1798)))</formula>
    </cfRule>
  </conditionalFormatting>
  <conditionalFormatting sqref="D1980">
    <cfRule type="containsText" dxfId="363" priority="440" stopIfTrue="1" operator="containsText" text="VERSAMENTO CONTANTI">
      <formula>NOT(ISERROR(SEARCH("VERSAMENTO CONTANTI",D1980)))</formula>
    </cfRule>
    <cfRule type="containsText" dxfId="362" priority="441" stopIfTrue="1" operator="containsText" text="INCASSO PAYPAL">
      <formula>NOT(ISERROR(SEARCH("INCASSO PAYPAL",D1980)))</formula>
    </cfRule>
    <cfRule type="containsText" dxfId="361" priority="442" stopIfTrue="1" operator="containsText" text="INCASSO SUMUP">
      <formula>NOT(ISERROR(SEARCH("INCASSO SUMUP",D1980)))</formula>
    </cfRule>
    <cfRule type="containsText" dxfId="360" priority="443" stopIfTrue="1" operator="containsText" text="INCASSO AXERVE">
      <formula>NOT(ISERROR(SEARCH("INCASSO AXERVE",D1980)))</formula>
    </cfRule>
    <cfRule type="containsText" dxfId="359" priority="445" operator="containsText" text="INCASSO POS">
      <formula>NOT(ISERROR(SEARCH("INCASSO POS",D1980)))</formula>
    </cfRule>
  </conditionalFormatting>
  <conditionalFormatting sqref="D2086">
    <cfRule type="containsText" dxfId="358" priority="406" stopIfTrue="1" operator="containsText" text="COMPENSO AMMINISTRATORE">
      <formula>NOT(ISERROR(SEARCH("COMPENSO AMMINISTRATORE",D2086)))</formula>
    </cfRule>
  </conditionalFormatting>
  <conditionalFormatting sqref="D2087:D2094 D2096:D2097">
    <cfRule type="containsText" dxfId="357" priority="447" stopIfTrue="1" operator="containsText" text="COMPENSO AMMINISTRATORE">
      <formula>NOT(ISERROR(SEARCH("COMPENSO AMMINISTRATORE",D2087)))</formula>
    </cfRule>
  </conditionalFormatting>
  <conditionalFormatting sqref="D2095">
    <cfRule type="containsText" dxfId="356" priority="402" stopIfTrue="1" operator="containsText" text="COMPENSO AMMINISTRATORE">
      <formula>NOT(ISERROR(SEARCH("COMPENSO AMMINISTRATORE",D2095)))</formula>
    </cfRule>
  </conditionalFormatting>
  <conditionalFormatting sqref="D2098">
    <cfRule type="containsText" dxfId="355" priority="390" operator="containsText" text="INCASSO">
      <formula>NOT(ISERROR(SEARCH("INCASSO",D2098)))</formula>
    </cfRule>
    <cfRule type="containsText" dxfId="354" priority="389" operator="containsText" text="VERSAMENTO">
      <formula>NOT(ISERROR(SEARCH("VERSAMENTO",D2098)))</formula>
    </cfRule>
  </conditionalFormatting>
  <conditionalFormatting sqref="D2098:D2119">
    <cfRule type="containsText" dxfId="353" priority="388" stopIfTrue="1" operator="containsText" text="COMPENSO AMMINISTRATORE">
      <formula>NOT(ISERROR(SEARCH("COMPENSO AMMINISTRATORE",D2098)))</formula>
    </cfRule>
  </conditionalFormatting>
  <conditionalFormatting sqref="D2107">
    <cfRule type="containsText" dxfId="352" priority="382" operator="containsText" text="INCASSO POS">
      <formula>NOT(ISERROR(SEARCH("INCASSO POS",D2107)))</formula>
    </cfRule>
    <cfRule type="containsText" dxfId="351" priority="380" stopIfTrue="1" operator="containsText" text="INCASSO AXERVE">
      <formula>NOT(ISERROR(SEARCH("INCASSO AXERVE",D2107)))</formula>
    </cfRule>
    <cfRule type="containsText" dxfId="350" priority="379" stopIfTrue="1" operator="containsText" text="INCASSO SUMUP">
      <formula>NOT(ISERROR(SEARCH("INCASSO SUMUP",D2107)))</formula>
    </cfRule>
    <cfRule type="containsText" dxfId="349" priority="378" stopIfTrue="1" operator="containsText" text="INCASSO PAYPAL">
      <formula>NOT(ISERROR(SEARCH("INCASSO PAYPAL",D2107)))</formula>
    </cfRule>
    <cfRule type="containsText" dxfId="348" priority="377" stopIfTrue="1" operator="containsText" text="VERSAMENTO CONTANTI">
      <formula>NOT(ISERROR(SEARCH("VERSAMENTO CONTANTI",D2107)))</formula>
    </cfRule>
  </conditionalFormatting>
  <conditionalFormatting sqref="D2215">
    <cfRule type="containsText" dxfId="347" priority="330" stopIfTrue="1" operator="containsText" text="COMPENSO AMMINISTRATORE">
      <formula>NOT(ISERROR(SEARCH("COMPENSO AMMINISTRATORE",D2215)))</formula>
    </cfRule>
  </conditionalFormatting>
  <conditionalFormatting sqref="D2231">
    <cfRule type="containsText" dxfId="346" priority="321" operator="containsText" text="INCASSO POS">
      <formula>NOT(ISERROR(SEARCH("INCASSO POS",D2231)))</formula>
    </cfRule>
    <cfRule type="containsText" dxfId="345" priority="316" stopIfTrue="1" operator="containsText" text="COMPENSO AMMINISTRATORE">
      <formula>NOT(ISERROR(SEARCH("COMPENSO AMMINISTRATORE",D2231)))</formula>
    </cfRule>
    <cfRule type="containsText" dxfId="344" priority="320" stopIfTrue="1" operator="containsText" text="INCASSO AXERVE">
      <formula>NOT(ISERROR(SEARCH("INCASSO AXERVE",D2231)))</formula>
    </cfRule>
    <cfRule type="containsText" dxfId="343" priority="317" stopIfTrue="1" operator="containsText" text="VERSAMENTO CONTANTI">
      <formula>NOT(ISERROR(SEARCH("VERSAMENTO CONTANTI",D2231)))</formula>
    </cfRule>
    <cfRule type="containsText" dxfId="342" priority="318" stopIfTrue="1" operator="containsText" text="INCASSO PAYPAL">
      <formula>NOT(ISERROR(SEARCH("INCASSO PAYPAL",D2231)))</formula>
    </cfRule>
    <cfRule type="containsText" dxfId="341" priority="319" stopIfTrue="1" operator="containsText" text="INCASSO SUMUP">
      <formula>NOT(ISERROR(SEARCH("INCASSO SUMUP",D2231)))</formula>
    </cfRule>
  </conditionalFormatting>
  <conditionalFormatting sqref="D2245">
    <cfRule type="containsText" dxfId="340" priority="303" stopIfTrue="1" operator="containsText" text="COMPENSO AMMINISTRATORE">
      <formula>NOT(ISERROR(SEARCH("COMPENSO AMMINISTRATORE",D2245)))</formula>
    </cfRule>
    <cfRule type="containsText" dxfId="339" priority="308" operator="containsText" text="INCASSO POS">
      <formula>NOT(ISERROR(SEARCH("INCASSO POS",D2245)))</formula>
    </cfRule>
    <cfRule type="containsText" dxfId="338" priority="306" stopIfTrue="1" operator="containsText" text="INCASSO SUMUP">
      <formula>NOT(ISERROR(SEARCH("INCASSO SUMUP",D2245)))</formula>
    </cfRule>
    <cfRule type="containsText" dxfId="337" priority="304" stopIfTrue="1" operator="containsText" text="VERSAMENTO CONTANTI">
      <formula>NOT(ISERROR(SEARCH("VERSAMENTO CONTANTI",D2245)))</formula>
    </cfRule>
    <cfRule type="containsText" dxfId="336" priority="307" stopIfTrue="1" operator="containsText" text="INCASSO AXERVE">
      <formula>NOT(ISERROR(SEARCH("INCASSO AXERVE",D2245)))</formula>
    </cfRule>
    <cfRule type="containsText" dxfId="335" priority="305" stopIfTrue="1" operator="containsText" text="INCASSO PAYPAL">
      <formula>NOT(ISERROR(SEARCH("INCASSO PAYPAL",D2245)))</formula>
    </cfRule>
  </conditionalFormatting>
  <conditionalFormatting sqref="D2306">
    <cfRule type="containsText" dxfId="334" priority="295" operator="containsText" text="INCASSO">
      <formula>NOT(ISERROR(SEARCH("INCASSO",D2306)))</formula>
    </cfRule>
    <cfRule type="containsText" dxfId="333" priority="294" operator="containsText" text="VERSAMENTO">
      <formula>NOT(ISERROR(SEARCH("VERSAMENTO",D2306)))</formula>
    </cfRule>
  </conditionalFormatting>
  <conditionalFormatting sqref="D2325:D2344">
    <cfRule type="containsText" dxfId="332" priority="191" stopIfTrue="1" operator="containsText" text="COMPENSO AMMINISTRATORE">
      <formula>NOT(ISERROR(SEARCH("COMPENSO AMMINISTRATORE",D2325)))</formula>
    </cfRule>
  </conditionalFormatting>
  <conditionalFormatting sqref="D2446">
    <cfRule type="containsText" dxfId="331" priority="245" operator="containsText" text="INCASSO POS">
      <formula>NOT(ISERROR(SEARCH("INCASSO POS",D2446)))</formula>
    </cfRule>
    <cfRule type="containsText" dxfId="330" priority="241" stopIfTrue="1" operator="containsText" text="VERSAMENTO CONTANTI">
      <formula>NOT(ISERROR(SEARCH("VERSAMENTO CONTANTI",D2446)))</formula>
    </cfRule>
    <cfRule type="containsText" dxfId="329" priority="242" stopIfTrue="1" operator="containsText" text="INCASSO PAYPAL">
      <formula>NOT(ISERROR(SEARCH("INCASSO PAYPAL",D2446)))</formula>
    </cfRule>
    <cfRule type="containsText" dxfId="328" priority="243" stopIfTrue="1" operator="containsText" text="INCASSO SUMUP">
      <formula>NOT(ISERROR(SEARCH("INCASSO SUMUP",D2446)))</formula>
    </cfRule>
    <cfRule type="containsText" dxfId="327" priority="244" stopIfTrue="1" operator="containsText" text="INCASSO AXERVE">
      <formula>NOT(ISERROR(SEARCH("INCASSO AXERVE",D2446)))</formula>
    </cfRule>
  </conditionalFormatting>
  <conditionalFormatting sqref="D2446:D2458">
    <cfRule type="containsText" dxfId="326" priority="228" stopIfTrue="1" operator="containsText" text="COMPENSO AMMINISTRATORE">
      <formula>NOT(ISERROR(SEARCH("COMPENSO AMMINISTRATORE",D2446)))</formula>
    </cfRule>
  </conditionalFormatting>
  <conditionalFormatting sqref="D2453">
    <cfRule type="containsText" dxfId="325" priority="251" stopIfTrue="1" operator="containsText" text="VERSAMENTO CONTANTI">
      <formula>NOT(ISERROR(SEARCH("VERSAMENTO CONTANTI",D2453)))</formula>
    </cfRule>
    <cfRule type="containsText" dxfId="324" priority="254" stopIfTrue="1" operator="containsText" text="INCASSO AXERVE">
      <formula>NOT(ISERROR(SEARCH("INCASSO AXERVE",D2453)))</formula>
    </cfRule>
    <cfRule type="containsText" dxfId="323" priority="252" stopIfTrue="1" operator="containsText" text="INCASSO PAYPAL">
      <formula>NOT(ISERROR(SEARCH("INCASSO PAYPAL",D2453)))</formula>
    </cfRule>
    <cfRule type="containsText" dxfId="322" priority="255" operator="containsText" text="INCASSO POS">
      <formula>NOT(ISERROR(SEARCH("INCASSO POS",D2453)))</formula>
    </cfRule>
    <cfRule type="containsText" dxfId="321" priority="253" stopIfTrue="1" operator="containsText" text="INCASSO SUMUP">
      <formula>NOT(ISERROR(SEARCH("INCASSO SUMUP",D2453)))</formula>
    </cfRule>
  </conditionalFormatting>
  <conditionalFormatting sqref="D2456">
    <cfRule type="containsText" dxfId="320" priority="230" stopIfTrue="1" operator="containsText" text="INCASSO PAYPAL">
      <formula>NOT(ISERROR(SEARCH("INCASSO PAYPAL",D2456)))</formula>
    </cfRule>
    <cfRule type="containsText" dxfId="319" priority="229" stopIfTrue="1" operator="containsText" text="VERSAMENTO CONTANTI">
      <formula>NOT(ISERROR(SEARCH("VERSAMENTO CONTANTI",D2456)))</formula>
    </cfRule>
    <cfRule type="containsText" dxfId="318" priority="232" stopIfTrue="1" operator="containsText" text="INCASSO AXERVE">
      <formula>NOT(ISERROR(SEARCH("INCASSO AXERVE",D2456)))</formula>
    </cfRule>
    <cfRule type="containsText" dxfId="317" priority="233" operator="containsText" text="INCASSO POS">
      <formula>NOT(ISERROR(SEARCH("INCASSO POS",D2456)))</formula>
    </cfRule>
    <cfRule type="containsText" dxfId="316" priority="231" stopIfTrue="1" operator="containsText" text="INCASSO SUMUP">
      <formula>NOT(ISERROR(SEARCH("INCASSO SUMUP",D2456)))</formula>
    </cfRule>
  </conditionalFormatting>
  <conditionalFormatting sqref="D2505:D2519 D2538:D2544 D2549:D2552">
    <cfRule type="containsText" dxfId="315" priority="198" stopIfTrue="1" operator="containsText" text="COMPENSO AMMINISTRATORE">
      <formula>NOT(ISERROR(SEARCH("COMPENSO AMMINISTRATORE",D2505)))</formula>
    </cfRule>
  </conditionalFormatting>
  <conditionalFormatting sqref="D2510">
    <cfRule type="containsText" dxfId="314" priority="214" stopIfTrue="1" operator="containsText" text="INCASSO AXERVE">
      <formula>NOT(ISERROR(SEARCH("INCASSO AXERVE",D2510)))</formula>
    </cfRule>
    <cfRule type="containsText" dxfId="313" priority="215" operator="containsText" text="INCASSO POS">
      <formula>NOT(ISERROR(SEARCH("INCASSO POS",D2510)))</formula>
    </cfRule>
    <cfRule type="containsText" dxfId="312" priority="213" stopIfTrue="1" operator="containsText" text="INCASSO SUMUP">
      <formula>NOT(ISERROR(SEARCH("INCASSO SUMUP",D2510)))</formula>
    </cfRule>
    <cfRule type="containsText" dxfId="311" priority="212" stopIfTrue="1" operator="containsText" text="INCASSO PAYPAL">
      <formula>NOT(ISERROR(SEARCH("INCASSO PAYPAL",D2510)))</formula>
    </cfRule>
    <cfRule type="containsText" dxfId="310" priority="211" stopIfTrue="1" operator="containsText" text="VERSAMENTO CONTANTI">
      <formula>NOT(ISERROR(SEARCH("VERSAMENTO CONTANTI",D2510)))</formula>
    </cfRule>
  </conditionalFormatting>
  <conditionalFormatting sqref="D2520:D2537">
    <cfRule type="containsText" dxfId="309" priority="150" stopIfTrue="1" operator="containsText" text="COMPENSO AMMINISTRATORE">
      <formula>NOT(ISERROR(SEARCH("COMPENSO AMMINISTRATORE",D2520)))</formula>
    </cfRule>
  </conditionalFormatting>
  <conditionalFormatting sqref="D2528">
    <cfRule type="containsText" dxfId="308" priority="203" stopIfTrue="1" operator="containsText" text="INCASSO SUMUP">
      <formula>NOT(ISERROR(SEARCH("INCASSO SUMUP",D2528)))</formula>
    </cfRule>
    <cfRule type="containsText" dxfId="307" priority="204" stopIfTrue="1" operator="containsText" text="INCASSO AXERVE">
      <formula>NOT(ISERROR(SEARCH("INCASSO AXERVE",D2528)))</formula>
    </cfRule>
    <cfRule type="containsText" dxfId="306" priority="202" stopIfTrue="1" operator="containsText" text="INCASSO PAYPAL">
      <formula>NOT(ISERROR(SEARCH("INCASSO PAYPAL",D2528)))</formula>
    </cfRule>
    <cfRule type="containsText" dxfId="305" priority="201" stopIfTrue="1" operator="containsText" text="VERSAMENTO CONTANTI">
      <formula>NOT(ISERROR(SEARCH("VERSAMENTO CONTANTI",D2528)))</formula>
    </cfRule>
    <cfRule type="containsText" dxfId="304" priority="205" operator="containsText" text="INCASSO POS">
      <formula>NOT(ISERROR(SEARCH("INCASSO POS",D2528)))</formula>
    </cfRule>
  </conditionalFormatting>
  <conditionalFormatting sqref="D2539">
    <cfRule type="containsText" dxfId="303" priority="177" stopIfTrue="1" operator="containsText" text="INCASSO AXERVE">
      <formula>NOT(ISERROR(SEARCH("INCASSO AXERVE",D2539)))</formula>
    </cfRule>
    <cfRule type="containsText" dxfId="302" priority="178" operator="containsText" text="INCASSO POS">
      <formula>NOT(ISERROR(SEARCH("INCASSO POS",D2539)))</formula>
    </cfRule>
    <cfRule type="containsText" dxfId="301" priority="175" stopIfTrue="1" operator="containsText" text="INCASSO PAYPAL">
      <formula>NOT(ISERROR(SEARCH("INCASSO PAYPAL",D2539)))</formula>
    </cfRule>
    <cfRule type="containsText" dxfId="300" priority="174" stopIfTrue="1" operator="containsText" text="VERSAMENTO CONTANTI">
      <formula>NOT(ISERROR(SEARCH("VERSAMENTO CONTANTI",D2539)))</formula>
    </cfRule>
    <cfRule type="containsText" dxfId="299" priority="176" stopIfTrue="1" operator="containsText" text="INCASSO SUMUP">
      <formula>NOT(ISERROR(SEARCH("INCASSO SUMUP",D2539)))</formula>
    </cfRule>
  </conditionalFormatting>
  <conditionalFormatting sqref="D2543:D2544">
    <cfRule type="containsText" dxfId="298" priority="135" stopIfTrue="1" operator="containsText" text="VERSAMENTO CONTANTI">
      <formula>NOT(ISERROR(SEARCH("VERSAMENTO CONTANTI",D2543)))</formula>
    </cfRule>
    <cfRule type="containsText" dxfId="297" priority="136" stopIfTrue="1" operator="containsText" text="INCASSO PAYPAL">
      <formula>NOT(ISERROR(SEARCH("INCASSO PAYPAL",D2543)))</formula>
    </cfRule>
    <cfRule type="containsText" dxfId="296" priority="137" stopIfTrue="1" operator="containsText" text="INCASSO SUMUP">
      <formula>NOT(ISERROR(SEARCH("INCASSO SUMUP",D2543)))</formula>
    </cfRule>
    <cfRule type="containsText" dxfId="295" priority="138" stopIfTrue="1" operator="containsText" text="INCASSO AXERVE">
      <formula>NOT(ISERROR(SEARCH("INCASSO AXERVE",D2543)))</formula>
    </cfRule>
    <cfRule type="containsText" dxfId="294" priority="139" operator="containsText" text="INCASSO POS">
      <formula>NOT(ISERROR(SEARCH("INCASSO POS",D2543)))</formula>
    </cfRule>
  </conditionalFormatting>
  <conditionalFormatting sqref="D2545:D2547">
    <cfRule type="containsText" dxfId="293" priority="113" stopIfTrue="1" operator="containsText" text="COMPENSO AMMINISTRATORE">
      <formula>NOT(ISERROR(SEARCH("COMPENSO AMMINISTRATORE",D2545)))</formula>
    </cfRule>
  </conditionalFormatting>
  <conditionalFormatting sqref="D2547">
    <cfRule type="containsText" dxfId="292" priority="103" stopIfTrue="1" operator="containsText" text="INCASSO AXERVE">
      <formula>NOT(ISERROR(SEARCH("INCASSO AXERVE",D2547)))</formula>
    </cfRule>
    <cfRule type="containsText" dxfId="291" priority="104" operator="containsText" text="INCASSO POS">
      <formula>NOT(ISERROR(SEARCH("INCASSO POS",D2547)))</formula>
    </cfRule>
    <cfRule type="containsText" dxfId="290" priority="102" stopIfTrue="1" operator="containsText" text="INCASSO SUMUP">
      <formula>NOT(ISERROR(SEARCH("INCASSO SUMUP",D2547)))</formula>
    </cfRule>
    <cfRule type="containsText" dxfId="289" priority="101" stopIfTrue="1" operator="containsText" text="INCASSO PAYPAL">
      <formula>NOT(ISERROR(SEARCH("INCASSO PAYPAL",D2547)))</formula>
    </cfRule>
    <cfRule type="containsText" dxfId="288" priority="100" stopIfTrue="1" operator="containsText" text="VERSAMENTO CONTANTI">
      <formula>NOT(ISERROR(SEARCH("VERSAMENTO CONTANTI",D2547)))</formula>
    </cfRule>
  </conditionalFormatting>
  <conditionalFormatting sqref="D2548">
    <cfRule type="containsText" dxfId="287" priority="87" stopIfTrue="1" operator="containsText" text="COMPENSO AMMINISTRATORE">
      <formula>NOT(ISERROR(SEARCH("COMPENSO AMMINISTRATORE",D2548)))</formula>
    </cfRule>
  </conditionalFormatting>
  <conditionalFormatting sqref="D2550">
    <cfRule type="containsText" dxfId="286" priority="127" stopIfTrue="1" operator="containsText" text="VERSAMENTO CONTANTI">
      <formula>NOT(ISERROR(SEARCH("VERSAMENTO CONTANTI",D2550)))</formula>
    </cfRule>
    <cfRule type="containsText" dxfId="285" priority="128" stopIfTrue="1" operator="containsText" text="INCASSO PAYPAL">
      <formula>NOT(ISERROR(SEARCH("INCASSO PAYPAL",D2550)))</formula>
    </cfRule>
    <cfRule type="containsText" dxfId="284" priority="129" stopIfTrue="1" operator="containsText" text="INCASSO SUMUP">
      <formula>NOT(ISERROR(SEARCH("INCASSO SUMUP",D2550)))</formula>
    </cfRule>
    <cfRule type="containsText" dxfId="283" priority="130" stopIfTrue="1" operator="containsText" text="INCASSO AXERVE">
      <formula>NOT(ISERROR(SEARCH("INCASSO AXERVE",D2550)))</formula>
    </cfRule>
    <cfRule type="containsText" dxfId="282" priority="131" operator="containsText" text="INCASSO POS">
      <formula>NOT(ISERROR(SEARCH("INCASSO POS",D2550)))</formula>
    </cfRule>
  </conditionalFormatting>
  <conditionalFormatting sqref="D2552">
    <cfRule type="containsText" dxfId="281" priority="80" stopIfTrue="1" operator="containsText" text="INCASSO AXERVE">
      <formula>NOT(ISERROR(SEARCH("INCASSO AXERVE",D2552)))</formula>
    </cfRule>
    <cfRule type="containsText" dxfId="280" priority="81" operator="containsText" text="INCASSO POS">
      <formula>NOT(ISERROR(SEARCH("INCASSO POS",D2552)))</formula>
    </cfRule>
    <cfRule type="containsText" dxfId="279" priority="79" stopIfTrue="1" operator="containsText" text="INCASSO SUMUP">
      <formula>NOT(ISERROR(SEARCH("INCASSO SUMUP",D2552)))</formula>
    </cfRule>
    <cfRule type="containsText" dxfId="278" priority="78" stopIfTrue="1" operator="containsText" text="INCASSO PAYPAL">
      <formula>NOT(ISERROR(SEARCH("INCASSO PAYPAL",D2552)))</formula>
    </cfRule>
    <cfRule type="containsText" dxfId="277" priority="77" stopIfTrue="1" operator="containsText" text="VERSAMENTO CONTANTI">
      <formula>NOT(ISERROR(SEARCH("VERSAMENTO CONTANTI",D2552)))</formula>
    </cfRule>
  </conditionalFormatting>
  <conditionalFormatting sqref="D2553:D2561">
    <cfRule type="containsText" dxfId="276" priority="76" stopIfTrue="1" operator="containsText" text="COMPENSO AMMINISTRATORE">
      <formula>NOT(ISERROR(SEARCH("COMPENSO AMMINISTRATORE",D2553)))</formula>
    </cfRule>
  </conditionalFormatting>
  <conditionalFormatting sqref="D2562:D2566">
    <cfRule type="containsText" dxfId="275" priority="71" stopIfTrue="1" operator="containsText" text="COMPENSO AMMINISTRATORE">
      <formula>NOT(ISERROR(SEARCH("COMPENSO AMMINISTRATORE",D2562)))</formula>
    </cfRule>
  </conditionalFormatting>
  <conditionalFormatting sqref="D2567:D2572">
    <cfRule type="containsText" dxfId="274" priority="56" stopIfTrue="1" operator="containsText" text="COMPENSO AMMINISTRATORE">
      <formula>NOT(ISERROR(SEARCH("COMPENSO AMMINISTRATORE",D2567)))</formula>
    </cfRule>
  </conditionalFormatting>
  <conditionalFormatting sqref="D2573:D2585">
    <cfRule type="containsText" dxfId="273" priority="34" stopIfTrue="1" operator="containsText" text="COMPENSO AMMINISTRATORE">
      <formula>NOT(ISERROR(SEARCH("COMPENSO AMMINISTRATORE",D2573)))</formula>
    </cfRule>
  </conditionalFormatting>
  <conditionalFormatting sqref="D2579">
    <cfRule type="containsText" dxfId="272" priority="20" stopIfTrue="1" operator="containsText" text="VERSAMENTO CONTANTI">
      <formula>NOT(ISERROR(SEARCH("VERSAMENTO CONTANTI",D2579)))</formula>
    </cfRule>
    <cfRule type="containsText" dxfId="271" priority="21" stopIfTrue="1" operator="containsText" text="INCASSO PAYPAL">
      <formula>NOT(ISERROR(SEARCH("INCASSO PAYPAL",D2579)))</formula>
    </cfRule>
    <cfRule type="containsText" dxfId="270" priority="22" stopIfTrue="1" operator="containsText" text="INCASSO SUMUP">
      <formula>NOT(ISERROR(SEARCH("INCASSO SUMUP",D2579)))</formula>
    </cfRule>
    <cfRule type="containsText" dxfId="269" priority="23" stopIfTrue="1" operator="containsText" text="INCASSO AXERVE">
      <formula>NOT(ISERROR(SEARCH("INCASSO AXERVE",D2579)))</formula>
    </cfRule>
    <cfRule type="containsText" dxfId="268" priority="24" operator="containsText" text="INCASSO POS">
      <formula>NOT(ISERROR(SEARCH("INCASSO POS",D2579)))</formula>
    </cfRule>
  </conditionalFormatting>
  <conditionalFormatting sqref="D2586:D2587">
    <cfRule type="containsText" dxfId="267" priority="19" stopIfTrue="1" operator="containsText" text="COMPENSO AMMINISTRATORE">
      <formula>NOT(ISERROR(SEARCH("COMPENSO AMMINISTRATORE",D2586)))</formula>
    </cfRule>
  </conditionalFormatting>
  <conditionalFormatting sqref="D2588:D2589">
    <cfRule type="containsText" dxfId="266" priority="2" stopIfTrue="1" operator="containsText" text="INCASSO PAYPAL">
      <formula>NOT(ISERROR(SEARCH("INCASSO PAYPAL",D2588)))</formula>
    </cfRule>
    <cfRule type="containsText" dxfId="265" priority="1" stopIfTrue="1" operator="containsText" text="VERSAMENTO CONTANTI">
      <formula>NOT(ISERROR(SEARCH("VERSAMENTO CONTANTI",D2588)))</formula>
    </cfRule>
    <cfRule type="containsText" dxfId="264" priority="5" operator="containsText" text="INCASSO POS">
      <formula>NOT(ISERROR(SEARCH("INCASSO POS",D2588)))</formula>
    </cfRule>
    <cfRule type="containsText" dxfId="263" priority="4" stopIfTrue="1" operator="containsText" text="INCASSO AXERVE">
      <formula>NOT(ISERROR(SEARCH("INCASSO AXERVE",D2588)))</formula>
    </cfRule>
    <cfRule type="containsText" dxfId="262" priority="3" stopIfTrue="1" operator="containsText" text="INCASSO SUMUP">
      <formula>NOT(ISERROR(SEARCH("INCASSO SUMUP",D2588)))</formula>
    </cfRule>
  </conditionalFormatting>
  <conditionalFormatting sqref="D2588:D10163">
    <cfRule type="containsText" dxfId="261" priority="10" stopIfTrue="1" operator="containsText" text="COMPENSO AMMINISTRATORE">
      <formula>NOT(ISERROR(SEARCH("COMPENSO AMMINISTRATORE",D2588)))</formula>
    </cfRule>
  </conditionalFormatting>
  <conditionalFormatting sqref="G1">
    <cfRule type="cellIs" dxfId="260" priority="12884" operator="greaterThan">
      <formula>0</formula>
    </cfRule>
    <cfRule type="cellIs" dxfId="259" priority="12885" operator="lessThan">
      <formula>0</formula>
    </cfRule>
  </conditionalFormatting>
  <pageMargins left="0.7" right="0.7" top="0.75" bottom="0.75" header="0.3" footer="0.3"/>
  <pageSetup paperSize="9" orientation="portrait" horizontalDpi="0" verticalDpi="0" copies="20"/>
  <drawing r:id="rId1"/>
  <legacyDrawing r:id="rId2"/>
  <extLst>
    <ext xmlns:x14="http://schemas.microsoft.com/office/spreadsheetml/2009/9/main" uri="{78C0D931-6437-407d-A8EE-F0AAD7539E65}">
      <x14:conditionalFormattings>
        <x14:conditionalFormatting xmlns:xm="http://schemas.microsoft.com/office/excel/2006/main">
          <x14:cfRule type="containsText" priority="1104" operator="containsText" id="{BB8FF746-7351-0741-93AD-327CEDF128F3}">
            <xm:f>NOT(ISERROR(SEARCH("COMPENSO AMMINISTRATORE",D870)))</xm:f>
            <xm:f>"COMPENSO AMMINISTRATORE"</xm:f>
            <x14:dxf>
              <font>
                <color rgb="FF0070C0"/>
              </font>
              <fill>
                <patternFill>
                  <bgColor theme="4" tint="0.79998168889431442"/>
                </patternFill>
              </fill>
            </x14:dxf>
          </x14:cfRule>
          <xm:sqref>D870:D876</xm:sqref>
        </x14:conditionalFormatting>
        <x14:conditionalFormatting xmlns:xm="http://schemas.microsoft.com/office/excel/2006/main">
          <x14:cfRule type="containsText" priority="1079" operator="containsText" id="{7BB1A4F2-4481-DE47-BD9E-07B89A7F6BDC}">
            <xm:f>NOT(ISERROR(SEARCH("COMPENSO AMMINISTRATORE",D878)))</xm:f>
            <xm:f>"COMPENSO AMMINISTRATORE"</xm:f>
            <x14:dxf>
              <font>
                <color rgb="FF0070C0"/>
              </font>
              <fill>
                <patternFill>
                  <bgColor theme="4" tint="0.79998168889431442"/>
                </patternFill>
              </fill>
            </x14:dxf>
          </x14:cfRule>
          <xm:sqref>D878</xm:sqref>
        </x14:conditionalFormatting>
        <x14:conditionalFormatting xmlns:xm="http://schemas.microsoft.com/office/excel/2006/main">
          <x14:cfRule type="containsText" priority="1054" operator="containsText" id="{73E5C8E2-2E14-8E40-B114-7DC41AD55ACD}">
            <xm:f>NOT(ISERROR(SEARCH("COMPENSO AMMINISTRATORE",D880)))</xm:f>
            <xm:f>"COMPENSO AMMINISTRATORE"</xm:f>
            <x14:dxf>
              <font>
                <color rgb="FF0070C0"/>
              </font>
              <fill>
                <patternFill>
                  <bgColor theme="4" tint="0.79998168889431442"/>
                </patternFill>
              </fill>
            </x14:dxf>
          </x14:cfRule>
          <xm:sqref>D880</xm:sqref>
        </x14:conditionalFormatting>
        <x14:conditionalFormatting xmlns:xm="http://schemas.microsoft.com/office/excel/2006/main">
          <x14:cfRule type="containsText" priority="1017" operator="containsText" id="{F07D1627-142D-2944-91B9-BC6679BD9F2D}">
            <xm:f>NOT(ISERROR(SEARCH("COMPENSO AMMINISTRATORE",D1000)))</xm:f>
            <xm:f>"COMPENSO AMMINISTRATORE"</xm:f>
            <x14:dxf>
              <font>
                <color rgb="FF0070C0"/>
              </font>
              <fill>
                <patternFill>
                  <bgColor theme="4" tint="0.79998168889431442"/>
                </patternFill>
              </fill>
            </x14:dxf>
          </x14:cfRule>
          <xm:sqref>D1000:D1002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59D6710E-1C33-BD44-9AE4-81D248AD8767}">
          <x14:formula1>
            <xm:f>'BILANCIO 25'!$K$2:$K$91</xm:f>
          </x14:formula1>
          <xm:sqref>G143 G909 G830 G783 G700 G607 G538:G539 G40:G49 G331 G225 G23:G24 G73 G69:G70 G62 G21 G76 G27:G28 G9 G30:G31 G15:G18 G411 G34:G38</xm:sqref>
        </x14:dataValidation>
        <x14:dataValidation type="list" allowBlank="1" showInputMessage="1" showErrorMessage="1" xr:uid="{2FAE84FB-85D4-234D-AF00-98BBA65BF1F3}">
          <x14:formula1>
            <xm:f>'BILANCIO 25'!$K$2:$K$110</xm:f>
          </x14:formula1>
          <xm:sqref>G7 G12:G13 G1995 G2095 G2099 G2155</xm:sqref>
        </x14:dataValidation>
        <x14:dataValidation type="list" allowBlank="1" showInputMessage="1" showErrorMessage="1" xr:uid="{662CCE6F-C34F-2F42-9D17-0088478DD56B}">
          <x14:formula1>
            <xm:f>'BILANCIO 25'!$K$2:$K$104</xm:f>
          </x14:formula1>
          <xm:sqref>G68 G203:G224 G1763:G1765 G1757:G1760 G1752:G1754 G1742:G1749 G1734:G1739 G1727:G1731 G1721:G1724 G179:G184 G195:G197 G187:G191 G63:G65 G175:G176 G169:G170 G163:G166 G156:G159 G153 G149:G150 G146 G22 G117:G119 G74:G75 G81 G84:G89 G92 G8 G29 G14 G96:G114 G230:G234 G39 G50:G59 G237:G330 G123:G142 G228 G1321 G1324:G1328 G1331:G1332 G1336 G1345:G1349 G1353 G1356:G1358 G1361:G1370 G1004:G1297 G1373:G1375 G1378 G1381:G1388 G1409:G1412 G1415:G1420 G1391 G1423:G1424 G1427:G1428 G1431:G1432 G1435:G1436 G1395:G1400 G1439:G1448 G2110:G2117 G1469:G1471 G1474 G1485:G1493 G1496:G1503 G1506:G1511 G1514:G1529 G1532 G1535 G1538:G1543 G1547:G1551 G1554:G1555 G1558:G1564 G1567:G1571 G1574:G1577 G1580:G1587 G1590:G1591 G1594:G1595 G1601:G1602 G1605:G1611 G1614:G1618 G1621:G1623 G1626:G1630 G1633:G1639 G1642:G1650 G1653:G1663 G1666:G1668 G1671:G1676 G1680:G1690 G1694:G1697 G1700 G1451:G1466 G1768 G1771:G1784 G1787:G1789 G1792:G1795 G1798 G1801:G1804 G1808:G1810 G1813 G1816:G1822 G1825:G1829 G1832:G1833 G1836 G1839:G1840 G1843:G1844 G1861:G1862 G1866:G1867 G1877:G1878 G1872:G1874 G1887:G1890 G1881:G1884 G1894:G1896 G1914 G1911 G1918:G1925 G1928:G1937 G1942:G1943 G1899:G1907 G1847:G1858 G1946:G1949 G1951 G1954:G1958 G1961:G1967 G1972:G1974 G1977 G1980:G1991 G1994 G1996 G1999:G2001 G2004:G2006 G2013:G2016 G2020:G2026 G2029 G2032:G2035 G2038:G2039 G332:G999 G2050:G2053 G2056:G2060 G2085:G2092 G2100:G2102 G2120:G2127 G2130:G2132 G2136 G2139:G2140 G2143 G2147:G2149 G2105:G2107 G1703:G1718 G2153:G2154 G2156:G2161 G2164:G2168 G2174:G2176 G2180:G2183 G2186:G2187 G2190:G2195 G2198 G2202:G2207 G2210:G2212 G2216:G2228 G2231 G2234:G2236 G2239:G2240 G2279 G2245:G2249 G2254:G2276 G2284:G2285 G2288:G2290 G2293:G2294 G2297:G2298 G2302:G2306 G2310 G2314:G2320 G2337 G2340:G2342 G2345:G2352 G2355:G2356 G2360:G2372 G2375 G2378 G2381:G2383 G2386 G2389:G2391 G2396:G2397 G2401 G2404 G2407:G2411 G2414 G2417:G2421 G2428:G2448 G2451 G2453 G2456:G2461 G2465 G2468:G2470 G2473:G2474 G2477:G2492 G2497 G2324:G2332 G2505:G2512 G2500:G2502 G2515:G2519 G2522:G2528 G2531:G2532 G2535 G2538:G2544 G2547:G2552 G2555:G2561 G2565:G2566 G2570:G2572 G2579:G2585 G2063:G2082 G2588:G3640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F5E0A-40C0-FB45-B907-69B343D3C7DB}">
  <sheetPr>
    <tabColor theme="0"/>
  </sheetPr>
  <dimension ref="A1:J30"/>
  <sheetViews>
    <sheetView workbookViewId="0">
      <selection activeCell="Q13" sqref="Q13"/>
    </sheetView>
  </sheetViews>
  <sheetFormatPr baseColWidth="10" defaultColWidth="10.83203125" defaultRowHeight="16"/>
  <cols>
    <col min="1" max="1" width="5.83203125" style="34" customWidth="1"/>
    <col min="4" max="4" width="2.1640625" bestFit="1" customWidth="1"/>
    <col min="6" max="6" width="1" customWidth="1"/>
    <col min="9" max="9" width="2.1640625" bestFit="1" customWidth="1"/>
  </cols>
  <sheetData>
    <row r="1" spans="1:10" ht="21">
      <c r="A1" s="945">
        <v>200</v>
      </c>
      <c r="B1" s="946"/>
      <c r="C1" s="946"/>
      <c r="D1" s="946"/>
      <c r="E1" s="946"/>
      <c r="F1" s="946"/>
      <c r="G1" s="946"/>
      <c r="H1" s="946"/>
      <c r="I1" s="946"/>
      <c r="J1" s="946"/>
    </row>
    <row r="2" spans="1:10" ht="21">
      <c r="A2" s="127"/>
      <c r="B2" s="947" t="s">
        <v>894</v>
      </c>
      <c r="C2" s="947"/>
      <c r="D2" s="947"/>
      <c r="E2" s="947"/>
      <c r="F2" s="125"/>
      <c r="G2" s="947" t="s">
        <v>895</v>
      </c>
      <c r="H2" s="947"/>
      <c r="I2" s="947"/>
      <c r="J2" s="947"/>
    </row>
    <row r="3" spans="1:10" s="63" customFormat="1">
      <c r="A3" s="34"/>
      <c r="B3" s="63" t="s">
        <v>6</v>
      </c>
      <c r="C3" s="63" t="s">
        <v>896</v>
      </c>
      <c r="G3" s="63" t="s">
        <v>6</v>
      </c>
      <c r="H3" s="63" t="s">
        <v>896</v>
      </c>
      <c r="J3" s="63" t="s">
        <v>116</v>
      </c>
    </row>
    <row r="4" spans="1:10">
      <c r="A4" s="34">
        <v>0.7</v>
      </c>
      <c r="B4" s="100">
        <v>10.98</v>
      </c>
      <c r="C4" s="100">
        <f>B4*8</f>
        <v>87.84</v>
      </c>
      <c r="D4">
        <f>ROUNDUP($A$1/C4,0)</f>
        <v>3</v>
      </c>
      <c r="E4" s="99">
        <f>C4*D4</f>
        <v>263.52</v>
      </c>
      <c r="G4" s="100">
        <v>11.37</v>
      </c>
      <c r="H4" s="100">
        <f>G4*8</f>
        <v>90.96</v>
      </c>
      <c r="I4">
        <f t="shared" ref="I4:I6" si="0">ROUNDUP($A$1/H4,0)</f>
        <v>3</v>
      </c>
      <c r="J4" s="100">
        <f t="shared" ref="J4:J6" si="1">H4*I4</f>
        <v>272.88</v>
      </c>
    </row>
    <row r="5" spans="1:10">
      <c r="A5" s="34">
        <v>1</v>
      </c>
      <c r="B5" s="100">
        <v>15.7</v>
      </c>
      <c r="C5" s="100">
        <f>B5*6</f>
        <v>94.199999999999989</v>
      </c>
      <c r="D5">
        <f t="shared" ref="D5:D6" si="2">ROUNDUP($A$1/C5,0)</f>
        <v>3</v>
      </c>
      <c r="E5" s="100">
        <f>C5*D5</f>
        <v>282.59999999999997</v>
      </c>
      <c r="G5" s="100">
        <v>16.25</v>
      </c>
      <c r="H5" s="100">
        <f t="shared" ref="H5:H6" si="3">G5*6</f>
        <v>97.5</v>
      </c>
      <c r="I5">
        <f t="shared" si="0"/>
        <v>3</v>
      </c>
      <c r="J5" s="100">
        <f t="shared" si="1"/>
        <v>292.5</v>
      </c>
    </row>
    <row r="6" spans="1:10">
      <c r="A6" s="34">
        <v>1.5</v>
      </c>
      <c r="B6" s="100">
        <v>22.47</v>
      </c>
      <c r="C6" s="100">
        <f>B6*6</f>
        <v>134.82</v>
      </c>
      <c r="D6">
        <f t="shared" si="2"/>
        <v>2</v>
      </c>
      <c r="E6" s="100">
        <f>C6*D6</f>
        <v>269.64</v>
      </c>
      <c r="G6" s="100">
        <v>23.26</v>
      </c>
      <c r="H6" s="100">
        <f t="shared" si="3"/>
        <v>139.56</v>
      </c>
      <c r="I6">
        <f t="shared" si="0"/>
        <v>2</v>
      </c>
      <c r="J6" s="100">
        <f t="shared" si="1"/>
        <v>279.12</v>
      </c>
    </row>
    <row r="7" spans="1:10" ht="21">
      <c r="A7" s="945">
        <v>300</v>
      </c>
      <c r="B7" s="946"/>
      <c r="C7" s="946"/>
      <c r="D7" s="946"/>
      <c r="E7" s="946"/>
      <c r="F7" s="946"/>
      <c r="G7" s="946"/>
      <c r="H7" s="946"/>
      <c r="I7" s="946"/>
      <c r="J7" s="946"/>
    </row>
    <row r="8" spans="1:10" ht="21">
      <c r="A8" s="127"/>
      <c r="B8" s="947" t="s">
        <v>894</v>
      </c>
      <c r="C8" s="947"/>
      <c r="D8" s="947"/>
      <c r="E8" s="947"/>
      <c r="F8" s="125"/>
      <c r="G8" s="947" t="s">
        <v>895</v>
      </c>
      <c r="H8" s="947"/>
      <c r="I8" s="947"/>
      <c r="J8" s="947"/>
    </row>
    <row r="9" spans="1:10" s="63" customFormat="1">
      <c r="A9" s="34"/>
      <c r="B9" s="63" t="s">
        <v>6</v>
      </c>
      <c r="C9" s="63" t="s">
        <v>896</v>
      </c>
      <c r="G9" s="63" t="s">
        <v>6</v>
      </c>
      <c r="H9" s="63" t="s">
        <v>896</v>
      </c>
      <c r="J9" s="63" t="s">
        <v>116</v>
      </c>
    </row>
    <row r="10" spans="1:10">
      <c r="A10" s="34">
        <v>0.7</v>
      </c>
      <c r="B10" s="100">
        <v>10.98</v>
      </c>
      <c r="C10" s="100">
        <f>B10*8</f>
        <v>87.84</v>
      </c>
      <c r="D10">
        <f>ROUNDUP($A$7/C10,0)</f>
        <v>4</v>
      </c>
      <c r="E10" s="99">
        <f>C10*D10</f>
        <v>351.36</v>
      </c>
      <c r="G10" s="100">
        <v>11.37</v>
      </c>
      <c r="H10" s="100">
        <f>G10*8</f>
        <v>90.96</v>
      </c>
      <c r="I10">
        <f>ROUNDUP($A$7/H10,0)</f>
        <v>4</v>
      </c>
      <c r="J10" s="100">
        <f t="shared" ref="J10:J12" si="4">H10*I10</f>
        <v>363.84</v>
      </c>
    </row>
    <row r="11" spans="1:10">
      <c r="A11" s="34">
        <v>1</v>
      </c>
      <c r="B11" s="100">
        <v>15.7</v>
      </c>
      <c r="C11" s="100">
        <f>B11*6</f>
        <v>94.199999999999989</v>
      </c>
      <c r="D11">
        <f>ROUNDUP($A$7/C11,0)</f>
        <v>4</v>
      </c>
      <c r="E11" s="100">
        <f>C11*D11</f>
        <v>376.79999999999995</v>
      </c>
      <c r="G11" s="100">
        <v>16.25</v>
      </c>
      <c r="H11" s="100">
        <f t="shared" ref="H11:H12" si="5">G11*6</f>
        <v>97.5</v>
      </c>
      <c r="I11">
        <f>ROUNDUP($A$7/H11,0)</f>
        <v>4</v>
      </c>
      <c r="J11" s="100">
        <f t="shared" si="4"/>
        <v>390</v>
      </c>
    </row>
    <row r="12" spans="1:10">
      <c r="A12" s="34">
        <v>1.5</v>
      </c>
      <c r="B12" s="100">
        <v>22.47</v>
      </c>
      <c r="C12" s="100">
        <f>B12*6</f>
        <v>134.82</v>
      </c>
      <c r="D12">
        <f>ROUNDUP($A$7/C12,0)</f>
        <v>3</v>
      </c>
      <c r="E12" s="100">
        <f>C12*D12</f>
        <v>404.46</v>
      </c>
      <c r="G12" s="100">
        <v>23.26</v>
      </c>
      <c r="H12" s="100">
        <f t="shared" si="5"/>
        <v>139.56</v>
      </c>
      <c r="I12">
        <f>ROUNDUP($A$7/H12,0)</f>
        <v>3</v>
      </c>
      <c r="J12" s="100">
        <f t="shared" si="4"/>
        <v>418.68</v>
      </c>
    </row>
    <row r="13" spans="1:10" ht="21">
      <c r="A13" s="945">
        <v>400</v>
      </c>
      <c r="B13" s="946"/>
      <c r="C13" s="946"/>
      <c r="D13" s="946"/>
      <c r="E13" s="946"/>
      <c r="F13" s="946"/>
      <c r="G13" s="946"/>
      <c r="H13" s="946"/>
      <c r="I13" s="946"/>
      <c r="J13" s="946"/>
    </row>
    <row r="14" spans="1:10" ht="21">
      <c r="A14" s="127"/>
      <c r="B14" s="947" t="s">
        <v>894</v>
      </c>
      <c r="C14" s="947"/>
      <c r="D14" s="947"/>
      <c r="E14" s="947"/>
      <c r="F14" s="125"/>
      <c r="G14" s="947" t="s">
        <v>895</v>
      </c>
      <c r="H14" s="947"/>
      <c r="I14" s="947"/>
      <c r="J14" s="947"/>
    </row>
    <row r="15" spans="1:10" s="63" customFormat="1">
      <c r="A15" s="34"/>
      <c r="B15" s="63" t="s">
        <v>6</v>
      </c>
      <c r="C15" s="63" t="s">
        <v>896</v>
      </c>
      <c r="G15" s="63" t="s">
        <v>6</v>
      </c>
      <c r="H15" s="63" t="s">
        <v>896</v>
      </c>
      <c r="J15" s="63" t="s">
        <v>116</v>
      </c>
    </row>
    <row r="16" spans="1:10">
      <c r="A16" s="34">
        <v>0.7</v>
      </c>
      <c r="B16" s="100">
        <v>10.98</v>
      </c>
      <c r="C16" s="100">
        <f>B16*8</f>
        <v>87.84</v>
      </c>
      <c r="D16">
        <f>ROUNDUP($A$13/C16,0)</f>
        <v>5</v>
      </c>
      <c r="E16" s="100">
        <f>C16*5</f>
        <v>439.20000000000005</v>
      </c>
      <c r="G16" s="100">
        <v>11.37</v>
      </c>
      <c r="H16" s="100">
        <f>G16*8</f>
        <v>90.96</v>
      </c>
      <c r="I16">
        <f>ROUNDUP(A13/H16,0)</f>
        <v>5</v>
      </c>
      <c r="J16" s="100">
        <f>H16*5</f>
        <v>454.79999999999995</v>
      </c>
    </row>
    <row r="17" spans="1:10">
      <c r="A17" s="34">
        <v>1</v>
      </c>
      <c r="B17" s="100">
        <v>15.7</v>
      </c>
      <c r="C17" s="100">
        <f>B17*6</f>
        <v>94.199999999999989</v>
      </c>
      <c r="D17">
        <f t="shared" ref="D17:D18" si="6">ROUNDUP($A$13/C17,0)</f>
        <v>5</v>
      </c>
      <c r="E17" s="100">
        <f>C17*5</f>
        <v>470.99999999999994</v>
      </c>
      <c r="G17" s="100">
        <v>16.25</v>
      </c>
      <c r="H17" s="100">
        <f t="shared" ref="H17:H18" si="7">G17*6</f>
        <v>97.5</v>
      </c>
      <c r="I17">
        <f>ROUNDUP(400/H17,0)</f>
        <v>5</v>
      </c>
      <c r="J17" s="100">
        <f>H17*5</f>
        <v>487.5</v>
      </c>
    </row>
    <row r="18" spans="1:10">
      <c r="A18" s="34">
        <v>1.5</v>
      </c>
      <c r="B18" s="100">
        <v>22.47</v>
      </c>
      <c r="C18" s="100">
        <f>B18*6</f>
        <v>134.82</v>
      </c>
      <c r="D18">
        <f t="shared" si="6"/>
        <v>3</v>
      </c>
      <c r="E18" s="99">
        <f>C18*3</f>
        <v>404.46</v>
      </c>
      <c r="G18" s="100">
        <v>23.26</v>
      </c>
      <c r="H18" s="100">
        <f t="shared" si="7"/>
        <v>139.56</v>
      </c>
      <c r="I18">
        <f t="shared" ref="I18" si="8">ROUNDUP(500/H18,0)</f>
        <v>4</v>
      </c>
      <c r="J18" s="100">
        <f>H18*3</f>
        <v>418.68</v>
      </c>
    </row>
    <row r="19" spans="1:10" ht="21">
      <c r="A19" s="945">
        <v>500</v>
      </c>
      <c r="B19" s="946"/>
      <c r="C19" s="946"/>
      <c r="D19" s="946"/>
      <c r="E19" s="946"/>
      <c r="F19" s="946"/>
      <c r="G19" s="946"/>
      <c r="H19" s="946"/>
      <c r="I19" s="946"/>
      <c r="J19" s="946"/>
    </row>
    <row r="20" spans="1:10" ht="21">
      <c r="A20" s="127"/>
      <c r="B20" s="947" t="s">
        <v>894</v>
      </c>
      <c r="C20" s="947"/>
      <c r="D20" s="947"/>
      <c r="E20" s="947"/>
      <c r="F20" s="125"/>
      <c r="G20" s="947" t="s">
        <v>895</v>
      </c>
      <c r="H20" s="947"/>
      <c r="I20" s="947"/>
      <c r="J20" s="947"/>
    </row>
    <row r="21" spans="1:10" s="63" customFormat="1">
      <c r="A21" s="34"/>
      <c r="B21" s="63" t="s">
        <v>6</v>
      </c>
      <c r="C21" s="63" t="s">
        <v>896</v>
      </c>
      <c r="G21" s="63" t="s">
        <v>6</v>
      </c>
      <c r="H21" s="63" t="s">
        <v>896</v>
      </c>
      <c r="J21" s="63" t="s">
        <v>116</v>
      </c>
    </row>
    <row r="22" spans="1:10">
      <c r="A22" s="34">
        <v>0.7</v>
      </c>
      <c r="B22" s="100">
        <v>10.98</v>
      </c>
      <c r="C22" s="100">
        <f>B22*8</f>
        <v>87.84</v>
      </c>
      <c r="D22">
        <f t="shared" ref="D22:D23" si="9">ROUNDUP(500/C22,0)</f>
        <v>6</v>
      </c>
      <c r="E22" s="99">
        <f>C22*D22</f>
        <v>527.04</v>
      </c>
      <c r="G22" s="100">
        <v>11.37</v>
      </c>
      <c r="H22" s="100">
        <f>G22*8</f>
        <v>90.96</v>
      </c>
      <c r="I22">
        <f>ROUNDUP($A$19/H22,0)</f>
        <v>6</v>
      </c>
      <c r="J22" s="100">
        <f>H22*6</f>
        <v>545.76</v>
      </c>
    </row>
    <row r="23" spans="1:10">
      <c r="A23" s="34">
        <v>1</v>
      </c>
      <c r="B23" s="100">
        <v>15.7</v>
      </c>
      <c r="C23" s="100">
        <f>B23*6</f>
        <v>94.199999999999989</v>
      </c>
      <c r="D23">
        <f t="shared" si="9"/>
        <v>6</v>
      </c>
      <c r="E23" s="100">
        <f t="shared" ref="E23:E24" si="10">C23*D23</f>
        <v>565.19999999999993</v>
      </c>
      <c r="G23" s="100">
        <v>16.25</v>
      </c>
      <c r="H23" s="100">
        <f t="shared" ref="H23:H24" si="11">G23*6</f>
        <v>97.5</v>
      </c>
      <c r="I23">
        <f t="shared" ref="I23:I24" si="12">ROUNDUP($A$19/H23,0)</f>
        <v>6</v>
      </c>
      <c r="J23" s="100">
        <f>H23*6</f>
        <v>585</v>
      </c>
    </row>
    <row r="24" spans="1:10">
      <c r="A24" s="34">
        <v>1.5</v>
      </c>
      <c r="B24" s="100">
        <v>22.47</v>
      </c>
      <c r="C24" s="100">
        <f>B24*6</f>
        <v>134.82</v>
      </c>
      <c r="D24">
        <f>ROUNDUP(500/C24,0)</f>
        <v>4</v>
      </c>
      <c r="E24" s="100">
        <f t="shared" si="10"/>
        <v>539.28</v>
      </c>
      <c r="G24" s="100">
        <v>23.26</v>
      </c>
      <c r="H24" s="100">
        <f t="shared" si="11"/>
        <v>139.56</v>
      </c>
      <c r="I24">
        <f t="shared" si="12"/>
        <v>4</v>
      </c>
      <c r="J24" s="100">
        <f>H24*4</f>
        <v>558.24</v>
      </c>
    </row>
    <row r="25" spans="1:10" ht="21">
      <c r="A25" s="945">
        <v>600</v>
      </c>
      <c r="B25" s="946"/>
      <c r="C25" s="946"/>
      <c r="D25" s="946"/>
      <c r="E25" s="946"/>
      <c r="F25" s="946"/>
      <c r="G25" s="946"/>
      <c r="H25" s="946"/>
      <c r="I25" s="946"/>
      <c r="J25" s="946"/>
    </row>
    <row r="26" spans="1:10" ht="21">
      <c r="A26" s="127"/>
      <c r="B26" s="947" t="s">
        <v>894</v>
      </c>
      <c r="C26" s="947"/>
      <c r="D26" s="947"/>
      <c r="E26" s="947"/>
      <c r="F26" s="125"/>
      <c r="G26" s="947" t="s">
        <v>895</v>
      </c>
      <c r="H26" s="947"/>
      <c r="I26" s="947"/>
      <c r="J26" s="947"/>
    </row>
    <row r="27" spans="1:10" s="63" customFormat="1">
      <c r="A27" s="34"/>
      <c r="B27" s="63" t="s">
        <v>6</v>
      </c>
      <c r="C27" s="63" t="s">
        <v>896</v>
      </c>
      <c r="G27" s="63" t="s">
        <v>6</v>
      </c>
      <c r="H27" s="63" t="s">
        <v>896</v>
      </c>
      <c r="J27" s="63" t="s">
        <v>116</v>
      </c>
    </row>
    <row r="28" spans="1:10">
      <c r="A28" s="34">
        <v>0.7</v>
      </c>
      <c r="B28" s="100">
        <v>10.98</v>
      </c>
      <c r="C28" s="100">
        <f>B28*8</f>
        <v>87.84</v>
      </c>
      <c r="D28">
        <f>ROUNDUP($A$25/C28,0)</f>
        <v>7</v>
      </c>
      <c r="E28" s="99">
        <f>C28*D28</f>
        <v>614.88</v>
      </c>
      <c r="G28" s="100">
        <v>11.37</v>
      </c>
      <c r="H28" s="100">
        <f>G28*8</f>
        <v>90.96</v>
      </c>
      <c r="I28">
        <f>ROUNDUP($A$25/H28,0)</f>
        <v>7</v>
      </c>
      <c r="J28" s="100">
        <f>H28*7</f>
        <v>636.71999999999991</v>
      </c>
    </row>
    <row r="29" spans="1:10">
      <c r="A29" s="34">
        <v>1</v>
      </c>
      <c r="B29" s="100">
        <v>15.7</v>
      </c>
      <c r="C29" s="100">
        <f>B29*6</f>
        <v>94.199999999999989</v>
      </c>
      <c r="D29">
        <f t="shared" ref="D29:D30" si="13">ROUNDUP(600/C29,0)</f>
        <v>7</v>
      </c>
      <c r="E29" s="100">
        <f t="shared" ref="E29:E30" si="14">C29*D29</f>
        <v>659.39999999999986</v>
      </c>
      <c r="G29" s="100">
        <v>16.25</v>
      </c>
      <c r="H29" s="100">
        <f t="shared" ref="H29:H30" si="15">G29*6</f>
        <v>97.5</v>
      </c>
      <c r="I29">
        <f t="shared" ref="I29:I30" si="16">ROUNDUP($A$25/H29,0)</f>
        <v>7</v>
      </c>
      <c r="J29" s="100">
        <f>H29*7</f>
        <v>682.5</v>
      </c>
    </row>
    <row r="30" spans="1:10">
      <c r="A30" s="34">
        <v>1.5</v>
      </c>
      <c r="B30" s="100">
        <v>22.47</v>
      </c>
      <c r="C30" s="100">
        <f>B30*6</f>
        <v>134.82</v>
      </c>
      <c r="D30">
        <f t="shared" si="13"/>
        <v>5</v>
      </c>
      <c r="E30" s="100">
        <f t="shared" si="14"/>
        <v>674.09999999999991</v>
      </c>
      <c r="G30" s="100">
        <v>23.26</v>
      </c>
      <c r="H30" s="100">
        <f t="shared" si="15"/>
        <v>139.56</v>
      </c>
      <c r="I30">
        <f t="shared" si="16"/>
        <v>5</v>
      </c>
      <c r="J30" s="100">
        <f>H30*5</f>
        <v>697.8</v>
      </c>
    </row>
  </sheetData>
  <mergeCells count="15">
    <mergeCell ref="A1:J1"/>
    <mergeCell ref="B2:E2"/>
    <mergeCell ref="G2:J2"/>
    <mergeCell ref="B26:E26"/>
    <mergeCell ref="G20:J20"/>
    <mergeCell ref="G26:J26"/>
    <mergeCell ref="A7:J7"/>
    <mergeCell ref="B8:E8"/>
    <mergeCell ref="G8:J8"/>
    <mergeCell ref="A13:J13"/>
    <mergeCell ref="A25:J25"/>
    <mergeCell ref="A19:J19"/>
    <mergeCell ref="B14:E14"/>
    <mergeCell ref="G14:J14"/>
    <mergeCell ref="B20:E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4DFB-ECB3-D743-A12E-23D926E1F78B}">
  <sheetPr>
    <tabColor rgb="FF92D050"/>
  </sheetPr>
  <dimension ref="A1:CJ5239"/>
  <sheetViews>
    <sheetView zoomScale="91" zoomScaleNormal="80" workbookViewId="0">
      <pane ySplit="7" topLeftCell="A2488" activePane="bottomLeft" state="frozen"/>
      <selection activeCell="C1" sqref="C1"/>
      <selection pane="bottomLeft" activeCell="H2491" sqref="H2491"/>
    </sheetView>
  </sheetViews>
  <sheetFormatPr baseColWidth="10" defaultColWidth="10.83203125" defaultRowHeight="17"/>
  <cols>
    <col min="1" max="1" width="1.83203125" style="168" customWidth="1"/>
    <col min="2" max="2" width="10.6640625" style="539" customWidth="1"/>
    <col min="3" max="3" width="31.33203125" style="164" bestFit="1" customWidth="1"/>
    <col min="4" max="4" width="52" style="169" customWidth="1"/>
    <col min="5" max="5" width="22.1640625" style="537" customWidth="1"/>
    <col min="6" max="6" width="22.1640625" style="538" customWidth="1"/>
    <col min="7" max="7" width="42" style="167" customWidth="1"/>
    <col min="8" max="8" width="39.33203125" style="478" customWidth="1"/>
    <col min="9" max="9" width="18" style="477" customWidth="1"/>
    <col min="10" max="11" width="20.6640625" style="168" customWidth="1"/>
    <col min="12" max="35" width="10.83203125" style="168"/>
    <col min="36" max="16384" width="10.83203125" style="169"/>
  </cols>
  <sheetData>
    <row r="1" spans="1:35" s="168" customFormat="1" ht="1" customHeight="1">
      <c r="B1" s="474"/>
      <c r="C1" s="167"/>
      <c r="E1" s="475">
        <f>SUM(E8:E2478)</f>
        <v>890004.38999999978</v>
      </c>
      <c r="F1" s="476">
        <f>SUM(F8:F2478)</f>
        <v>871822.09000000008</v>
      </c>
      <c r="G1" s="477">
        <f>E1-F1</f>
        <v>18182.299999999697</v>
      </c>
      <c r="H1" s="478"/>
      <c r="I1" s="477"/>
    </row>
    <row r="2" spans="1:35" ht="42" customHeight="1">
      <c r="B2" s="948" t="s">
        <v>897</v>
      </c>
      <c r="C2" s="948"/>
      <c r="D2" s="948"/>
      <c r="E2" s="948"/>
      <c r="F2" s="948"/>
      <c r="G2" s="948"/>
      <c r="H2" s="948"/>
      <c r="I2" s="479"/>
    </row>
    <row r="3" spans="1:35" s="168" customFormat="1" ht="21" customHeight="1">
      <c r="B3" s="949" t="s">
        <v>898</v>
      </c>
      <c r="C3" s="949"/>
      <c r="D3" s="481">
        <v>2223.36</v>
      </c>
      <c r="E3" s="166"/>
      <c r="F3" s="166"/>
      <c r="G3" s="480" t="s">
        <v>535</v>
      </c>
      <c r="H3" s="482">
        <f>344.59+SUMIF(D8:D2168,"VOUCHER INPS",F8:F2168)-SUMIF(CASSA!D7:D2126,"VOUCHER INPS",CASSA!E7:E2126)</f>
        <v>-0.73000000000092768</v>
      </c>
      <c r="I3" s="479"/>
    </row>
    <row r="4" spans="1:35" s="168" customFormat="1" ht="21" customHeight="1">
      <c r="B4" s="949" t="s">
        <v>899</v>
      </c>
      <c r="C4" s="949"/>
      <c r="D4" s="481">
        <f>D3+SUM(E8:E9462)-SUM(F8:F9462)</f>
        <v>59030.3199999996</v>
      </c>
      <c r="E4" s="166"/>
      <c r="F4" s="166"/>
      <c r="G4" s="166"/>
      <c r="H4" s="483"/>
      <c r="I4" s="479"/>
      <c r="J4" s="484"/>
    </row>
    <row r="5" spans="1:35" s="168" customFormat="1" ht="6" customHeight="1">
      <c r="B5" s="949"/>
      <c r="C5" s="949"/>
      <c r="D5" s="481"/>
      <c r="E5" s="166"/>
      <c r="F5" s="166"/>
      <c r="G5" s="166"/>
      <c r="H5" s="483"/>
      <c r="I5" s="600"/>
      <c r="J5" s="484"/>
    </row>
    <row r="6" spans="1:35" s="168" customFormat="1" ht="2" customHeight="1">
      <c r="B6" s="791"/>
      <c r="C6" s="791"/>
      <c r="D6" s="481"/>
      <c r="E6" s="485"/>
      <c r="F6" s="485"/>
      <c r="G6" s="485"/>
      <c r="H6" s="486"/>
      <c r="I6" s="487"/>
      <c r="J6" s="484"/>
    </row>
    <row r="7" spans="1:35" s="495" customFormat="1" ht="20" customHeight="1">
      <c r="A7" s="166"/>
      <c r="B7" s="488" t="s">
        <v>291</v>
      </c>
      <c r="C7" s="489" t="s">
        <v>302</v>
      </c>
      <c r="D7" s="489" t="s">
        <v>303</v>
      </c>
      <c r="E7" s="490" t="s">
        <v>900</v>
      </c>
      <c r="F7" s="491" t="s">
        <v>901</v>
      </c>
      <c r="G7" s="492" t="s">
        <v>503</v>
      </c>
      <c r="H7" s="493" t="s">
        <v>292</v>
      </c>
      <c r="I7" s="494" t="s">
        <v>504</v>
      </c>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row>
    <row r="8" spans="1:35" ht="18" customHeight="1">
      <c r="B8" s="496">
        <v>45659</v>
      </c>
      <c r="C8" s="497" t="s">
        <v>117</v>
      </c>
      <c r="D8" s="498" t="s">
        <v>902</v>
      </c>
      <c r="E8" s="499"/>
      <c r="F8" s="500">
        <v>1250</v>
      </c>
      <c r="G8" s="501" t="s">
        <v>278</v>
      </c>
      <c r="H8" s="502"/>
      <c r="I8" s="503">
        <f>D3+E8-F8</f>
        <v>973.36000000000013</v>
      </c>
    </row>
    <row r="9" spans="1:35">
      <c r="B9" s="496">
        <v>45659</v>
      </c>
      <c r="C9" s="497" t="s">
        <v>117</v>
      </c>
      <c r="D9" s="498" t="s">
        <v>903</v>
      </c>
      <c r="E9" s="499"/>
      <c r="F9" s="500">
        <v>0.75</v>
      </c>
      <c r="G9" s="501" t="s">
        <v>272</v>
      </c>
      <c r="H9" s="502"/>
      <c r="I9" s="503">
        <f>I8+E9-F9</f>
        <v>972.61000000000013</v>
      </c>
    </row>
    <row r="10" spans="1:35">
      <c r="B10" s="496">
        <v>45659</v>
      </c>
      <c r="C10" s="497" t="s">
        <v>117</v>
      </c>
      <c r="D10" s="498" t="s">
        <v>320</v>
      </c>
      <c r="E10" s="499"/>
      <c r="F10" s="500">
        <v>500</v>
      </c>
      <c r="G10" s="501" t="s">
        <v>237</v>
      </c>
      <c r="H10" s="502"/>
      <c r="I10" s="503">
        <f t="shared" ref="I10:I73" si="0">I9+E10-F10</f>
        <v>472.61000000000013</v>
      </c>
    </row>
    <row r="11" spans="1:35">
      <c r="B11" s="496">
        <v>45659</v>
      </c>
      <c r="C11" s="497" t="s">
        <v>117</v>
      </c>
      <c r="D11" s="498" t="s">
        <v>903</v>
      </c>
      <c r="E11" s="499"/>
      <c r="F11" s="500">
        <v>0.75</v>
      </c>
      <c r="G11" s="501" t="s">
        <v>272</v>
      </c>
      <c r="H11" s="502"/>
      <c r="I11" s="503">
        <f t="shared" si="0"/>
        <v>471.86000000000013</v>
      </c>
    </row>
    <row r="12" spans="1:35">
      <c r="B12" s="496">
        <v>45659</v>
      </c>
      <c r="C12" s="511" t="s">
        <v>904</v>
      </c>
      <c r="D12" s="505" t="s">
        <v>329</v>
      </c>
      <c r="E12" s="499"/>
      <c r="F12" s="500">
        <f>445.34-F13</f>
        <v>350.01</v>
      </c>
      <c r="G12" s="501" t="s">
        <v>221</v>
      </c>
      <c r="H12" s="502" t="s">
        <v>905</v>
      </c>
      <c r="I12" s="503">
        <f t="shared" si="0"/>
        <v>121.85000000000014</v>
      </c>
    </row>
    <row r="13" spans="1:35">
      <c r="B13" s="496">
        <v>45659</v>
      </c>
      <c r="C13" s="511" t="s">
        <v>904</v>
      </c>
      <c r="D13" s="505" t="s">
        <v>329</v>
      </c>
      <c r="E13" s="499"/>
      <c r="F13" s="500">
        <v>95.33</v>
      </c>
      <c r="G13" s="501" t="s">
        <v>274</v>
      </c>
      <c r="H13" s="502" t="s">
        <v>905</v>
      </c>
      <c r="I13" s="503">
        <f t="shared" si="0"/>
        <v>26.520000000000138</v>
      </c>
    </row>
    <row r="14" spans="1:35">
      <c r="B14" s="496">
        <v>45659</v>
      </c>
      <c r="C14" s="497" t="s">
        <v>117</v>
      </c>
      <c r="D14" s="498" t="s">
        <v>903</v>
      </c>
      <c r="E14" s="499"/>
      <c r="F14" s="500">
        <v>1</v>
      </c>
      <c r="G14" s="501" t="s">
        <v>272</v>
      </c>
      <c r="H14" s="502"/>
      <c r="I14" s="503">
        <f t="shared" si="0"/>
        <v>25.520000000000138</v>
      </c>
    </row>
    <row r="15" spans="1:35">
      <c r="B15" s="496">
        <v>45659</v>
      </c>
      <c r="C15" s="497" t="s">
        <v>117</v>
      </c>
      <c r="D15" s="505" t="s">
        <v>906</v>
      </c>
      <c r="E15" s="499"/>
      <c r="F15" s="500">
        <v>17.5</v>
      </c>
      <c r="G15" s="501" t="s">
        <v>197</v>
      </c>
      <c r="H15" s="523" t="s">
        <v>907</v>
      </c>
      <c r="I15" s="503">
        <f t="shared" si="0"/>
        <v>8.0200000000001381</v>
      </c>
    </row>
    <row r="16" spans="1:35">
      <c r="B16" s="496">
        <v>45659</v>
      </c>
      <c r="C16" s="507" t="s">
        <v>283</v>
      </c>
      <c r="D16" s="505" t="s">
        <v>307</v>
      </c>
      <c r="E16" s="499">
        <v>243.5</v>
      </c>
      <c r="F16" s="500"/>
      <c r="G16" s="501" t="s">
        <v>190</v>
      </c>
      <c r="H16" s="502"/>
      <c r="I16" s="503">
        <f t="shared" si="0"/>
        <v>251.52000000000015</v>
      </c>
    </row>
    <row r="17" spans="2:88">
      <c r="B17" s="496">
        <v>45659</v>
      </c>
      <c r="C17" s="507" t="s">
        <v>283</v>
      </c>
      <c r="D17" s="505" t="s">
        <v>307</v>
      </c>
      <c r="E17" s="499">
        <v>20</v>
      </c>
      <c r="F17" s="500"/>
      <c r="G17" s="501" t="s">
        <v>190</v>
      </c>
      <c r="H17" s="502"/>
      <c r="I17" s="503">
        <f t="shared" si="0"/>
        <v>271.52000000000015</v>
      </c>
    </row>
    <row r="18" spans="2:88">
      <c r="B18" s="496">
        <v>45659</v>
      </c>
      <c r="C18" s="507" t="s">
        <v>117</v>
      </c>
      <c r="D18" s="505" t="s">
        <v>908</v>
      </c>
      <c r="E18" s="499"/>
      <c r="F18" s="500">
        <v>25</v>
      </c>
      <c r="G18" s="501" t="s">
        <v>254</v>
      </c>
      <c r="H18" s="502"/>
      <c r="I18" s="503">
        <f t="shared" si="0"/>
        <v>246.52000000000015</v>
      </c>
    </row>
    <row r="19" spans="2:88">
      <c r="B19" s="496">
        <v>45659</v>
      </c>
      <c r="C19" s="507" t="s">
        <v>541</v>
      </c>
      <c r="D19" s="505" t="s">
        <v>542</v>
      </c>
      <c r="E19" s="499">
        <v>99.5</v>
      </c>
      <c r="F19" s="500"/>
      <c r="G19" s="501" t="s">
        <v>277</v>
      </c>
      <c r="H19" s="502"/>
      <c r="I19" s="503">
        <f t="shared" si="0"/>
        <v>346.02000000000015</v>
      </c>
    </row>
    <row r="20" spans="2:88">
      <c r="B20" s="496">
        <v>45659</v>
      </c>
      <c r="C20" s="507" t="s">
        <v>283</v>
      </c>
      <c r="D20" s="505" t="s">
        <v>909</v>
      </c>
      <c r="E20" s="499">
        <v>291.5</v>
      </c>
      <c r="F20" s="500"/>
      <c r="G20" s="501"/>
      <c r="H20" s="506" t="s">
        <v>910</v>
      </c>
      <c r="I20" s="503">
        <f t="shared" si="0"/>
        <v>637.52000000000021</v>
      </c>
    </row>
    <row r="21" spans="2:88">
      <c r="B21" s="496">
        <v>45659</v>
      </c>
      <c r="C21" s="507" t="s">
        <v>117</v>
      </c>
      <c r="D21" s="505" t="s">
        <v>911</v>
      </c>
      <c r="E21" s="499"/>
      <c r="F21" s="500">
        <v>4.57</v>
      </c>
      <c r="G21" s="501"/>
      <c r="H21" s="506" t="s">
        <v>910</v>
      </c>
      <c r="I21" s="503">
        <f t="shared" si="0"/>
        <v>632.95000000000016</v>
      </c>
      <c r="K21" s="484"/>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row>
    <row r="22" spans="2:88">
      <c r="B22" s="496">
        <v>45659</v>
      </c>
      <c r="C22" s="507" t="s">
        <v>283</v>
      </c>
      <c r="D22" s="505" t="s">
        <v>912</v>
      </c>
      <c r="E22" s="499">
        <v>0.01</v>
      </c>
      <c r="F22" s="500"/>
      <c r="G22" s="501" t="s">
        <v>190</v>
      </c>
      <c r="H22" s="508"/>
      <c r="I22" s="503">
        <f t="shared" si="0"/>
        <v>632.96000000000015</v>
      </c>
      <c r="K22" s="484"/>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row>
    <row r="23" spans="2:88">
      <c r="B23" s="496">
        <v>45657</v>
      </c>
      <c r="C23" s="497" t="s">
        <v>117</v>
      </c>
      <c r="D23" s="505" t="s">
        <v>913</v>
      </c>
      <c r="E23" s="499">
        <v>14</v>
      </c>
      <c r="F23" s="500"/>
      <c r="G23" s="501"/>
      <c r="H23" s="508" t="s">
        <v>554</v>
      </c>
      <c r="I23" s="503">
        <f t="shared" si="0"/>
        <v>646.96000000000015</v>
      </c>
      <c r="K23" s="484"/>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row>
    <row r="24" spans="2:88">
      <c r="B24" s="496">
        <v>45657</v>
      </c>
      <c r="C24" s="497" t="s">
        <v>117</v>
      </c>
      <c r="D24" s="498" t="s">
        <v>913</v>
      </c>
      <c r="E24" s="499"/>
      <c r="F24" s="500">
        <v>16.350000000000001</v>
      </c>
      <c r="G24" s="501"/>
      <c r="H24" s="508" t="s">
        <v>554</v>
      </c>
      <c r="I24" s="503">
        <f t="shared" si="0"/>
        <v>630.61000000000013</v>
      </c>
      <c r="K24" s="484"/>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8"/>
      <c r="BU24" s="168"/>
      <c r="BV24" s="168"/>
      <c r="BW24" s="168"/>
      <c r="BX24" s="168"/>
      <c r="BY24" s="168"/>
      <c r="BZ24" s="168"/>
      <c r="CA24" s="168"/>
      <c r="CB24" s="168"/>
      <c r="CC24" s="168"/>
      <c r="CD24" s="168"/>
      <c r="CE24" s="168"/>
      <c r="CF24" s="168"/>
      <c r="CG24" s="168"/>
      <c r="CH24" s="168"/>
      <c r="CI24" s="168"/>
      <c r="CJ24" s="168"/>
    </row>
    <row r="25" spans="2:88">
      <c r="B25" s="496">
        <v>45660</v>
      </c>
      <c r="C25" s="497" t="s">
        <v>117</v>
      </c>
      <c r="D25" s="498" t="s">
        <v>914</v>
      </c>
      <c r="E25" s="499"/>
      <c r="F25" s="500">
        <v>34.79</v>
      </c>
      <c r="G25" s="501" t="s">
        <v>197</v>
      </c>
      <c r="H25" s="508" t="s">
        <v>554</v>
      </c>
      <c r="I25" s="503">
        <f t="shared" si="0"/>
        <v>595.82000000000016</v>
      </c>
      <c r="K25" s="484"/>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8"/>
      <c r="BJ25" s="168"/>
      <c r="BK25" s="168"/>
      <c r="BL25" s="168"/>
      <c r="BM25" s="168"/>
      <c r="BN25" s="168"/>
      <c r="BO25" s="168"/>
      <c r="BP25" s="168"/>
      <c r="BQ25" s="168"/>
      <c r="BR25" s="168"/>
      <c r="BS25" s="168"/>
      <c r="BT25" s="168"/>
      <c r="BU25" s="168"/>
      <c r="BV25" s="168"/>
      <c r="BW25" s="168"/>
      <c r="BX25" s="168"/>
      <c r="BY25" s="168"/>
      <c r="BZ25" s="168"/>
      <c r="CA25" s="168"/>
      <c r="CB25" s="168"/>
      <c r="CC25" s="168"/>
      <c r="CD25" s="168"/>
      <c r="CE25" s="168"/>
      <c r="CF25" s="168"/>
      <c r="CG25" s="168"/>
      <c r="CH25" s="168"/>
      <c r="CI25" s="168"/>
      <c r="CJ25" s="168"/>
    </row>
    <row r="26" spans="2:88">
      <c r="B26" s="496">
        <v>45660</v>
      </c>
      <c r="C26" s="497" t="s">
        <v>117</v>
      </c>
      <c r="D26" s="498" t="s">
        <v>915</v>
      </c>
      <c r="E26" s="499"/>
      <c r="F26" s="500">
        <v>128.58000000000001</v>
      </c>
      <c r="G26" s="501" t="s">
        <v>197</v>
      </c>
      <c r="H26" s="508" t="s">
        <v>554</v>
      </c>
      <c r="I26" s="503">
        <f t="shared" si="0"/>
        <v>467.24000000000012</v>
      </c>
      <c r="K26" s="484"/>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c r="CJ26" s="168"/>
    </row>
    <row r="27" spans="2:88">
      <c r="B27" s="496">
        <v>45660</v>
      </c>
      <c r="C27" s="507" t="s">
        <v>283</v>
      </c>
      <c r="D27" s="505" t="s">
        <v>916</v>
      </c>
      <c r="E27" s="499">
        <v>0.01</v>
      </c>
      <c r="F27" s="500"/>
      <c r="G27" s="501"/>
      <c r="H27" s="508" t="s">
        <v>554</v>
      </c>
      <c r="I27" s="503">
        <f t="shared" si="0"/>
        <v>467.25000000000011</v>
      </c>
      <c r="K27" s="484"/>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68"/>
      <c r="BS27" s="168"/>
      <c r="BT27" s="168"/>
      <c r="BU27" s="168"/>
      <c r="BV27" s="168"/>
      <c r="BW27" s="168"/>
      <c r="BX27" s="168"/>
      <c r="BY27" s="168"/>
      <c r="BZ27" s="168"/>
      <c r="CA27" s="168"/>
      <c r="CB27" s="168"/>
      <c r="CC27" s="168"/>
      <c r="CD27" s="168"/>
      <c r="CE27" s="168"/>
      <c r="CF27" s="168"/>
      <c r="CG27" s="168"/>
      <c r="CH27" s="168"/>
      <c r="CI27" s="168"/>
      <c r="CJ27" s="168"/>
    </row>
    <row r="28" spans="2:88">
      <c r="B28" s="496">
        <v>45660</v>
      </c>
      <c r="C28" s="507" t="s">
        <v>283</v>
      </c>
      <c r="D28" s="505" t="s">
        <v>307</v>
      </c>
      <c r="E28" s="499">
        <v>329.7</v>
      </c>
      <c r="F28" s="500"/>
      <c r="G28" s="501" t="s">
        <v>190</v>
      </c>
      <c r="H28" s="508"/>
      <c r="I28" s="503">
        <f t="shared" si="0"/>
        <v>796.95</v>
      </c>
      <c r="K28" s="484"/>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8"/>
      <c r="BR28" s="168"/>
      <c r="BS28" s="168"/>
      <c r="BT28" s="168"/>
      <c r="BU28" s="168"/>
      <c r="BV28" s="168"/>
      <c r="BW28" s="168"/>
      <c r="BX28" s="168"/>
      <c r="BY28" s="168"/>
      <c r="BZ28" s="168"/>
      <c r="CA28" s="168"/>
      <c r="CB28" s="168"/>
      <c r="CC28" s="168"/>
      <c r="CD28" s="168"/>
      <c r="CE28" s="168"/>
      <c r="CF28" s="168"/>
      <c r="CG28" s="168"/>
      <c r="CH28" s="168"/>
      <c r="CI28" s="168"/>
      <c r="CJ28" s="168"/>
    </row>
    <row r="29" spans="2:88">
      <c r="B29" s="496">
        <v>45660</v>
      </c>
      <c r="C29" s="507" t="s">
        <v>283</v>
      </c>
      <c r="D29" s="505" t="s">
        <v>307</v>
      </c>
      <c r="E29" s="499">
        <v>91</v>
      </c>
      <c r="F29" s="500"/>
      <c r="G29" s="501" t="s">
        <v>190</v>
      </c>
      <c r="H29" s="502"/>
      <c r="I29" s="503">
        <f t="shared" si="0"/>
        <v>887.95</v>
      </c>
      <c r="K29" s="484"/>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8"/>
      <c r="BR29" s="168"/>
      <c r="BS29" s="168"/>
      <c r="BT29" s="168"/>
      <c r="BU29" s="168"/>
      <c r="BV29" s="168"/>
      <c r="BW29" s="168"/>
      <c r="BX29" s="168"/>
      <c r="BY29" s="168"/>
      <c r="BZ29" s="168"/>
      <c r="CA29" s="168"/>
      <c r="CB29" s="168"/>
      <c r="CC29" s="168"/>
      <c r="CD29" s="168"/>
      <c r="CE29" s="168"/>
      <c r="CF29" s="168"/>
      <c r="CG29" s="168"/>
      <c r="CH29" s="168"/>
      <c r="CI29" s="168"/>
      <c r="CJ29" s="168"/>
    </row>
    <row r="30" spans="2:88">
      <c r="B30" s="496">
        <v>45660</v>
      </c>
      <c r="C30" s="507" t="s">
        <v>283</v>
      </c>
      <c r="D30" s="505" t="s">
        <v>909</v>
      </c>
      <c r="E30" s="499">
        <v>812.5</v>
      </c>
      <c r="F30" s="500"/>
      <c r="G30" s="501"/>
      <c r="H30" s="506" t="s">
        <v>910</v>
      </c>
      <c r="I30" s="503">
        <f t="shared" si="0"/>
        <v>1700.45</v>
      </c>
      <c r="K30" s="484"/>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8"/>
      <c r="BR30" s="168"/>
      <c r="BS30" s="168"/>
      <c r="BT30" s="168"/>
      <c r="BU30" s="168"/>
      <c r="BV30" s="168"/>
      <c r="BW30" s="168"/>
      <c r="BX30" s="168"/>
      <c r="BY30" s="168"/>
      <c r="BZ30" s="168"/>
      <c r="CA30" s="168"/>
      <c r="CB30" s="168"/>
      <c r="CC30" s="168"/>
      <c r="CD30" s="168"/>
      <c r="CE30" s="168"/>
      <c r="CF30" s="168"/>
      <c r="CG30" s="168"/>
      <c r="CH30" s="168"/>
      <c r="CI30" s="168"/>
      <c r="CJ30" s="168"/>
    </row>
    <row r="31" spans="2:88">
      <c r="B31" s="496">
        <v>45660</v>
      </c>
      <c r="C31" s="507" t="s">
        <v>117</v>
      </c>
      <c r="D31" s="505" t="s">
        <v>911</v>
      </c>
      <c r="E31" s="499"/>
      <c r="F31" s="500">
        <v>10.79</v>
      </c>
      <c r="G31" s="501"/>
      <c r="H31" s="506" t="s">
        <v>910</v>
      </c>
      <c r="I31" s="503">
        <f t="shared" si="0"/>
        <v>1689.66</v>
      </c>
      <c r="K31" s="484"/>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8"/>
      <c r="CA31" s="168"/>
      <c r="CB31" s="168"/>
      <c r="CC31" s="168"/>
      <c r="CD31" s="168"/>
      <c r="CE31" s="168"/>
      <c r="CF31" s="168"/>
      <c r="CG31" s="168"/>
      <c r="CH31" s="168"/>
      <c r="CI31" s="168"/>
      <c r="CJ31" s="168"/>
    </row>
    <row r="32" spans="2:88">
      <c r="B32" s="496">
        <v>45664</v>
      </c>
      <c r="C32" s="507" t="s">
        <v>283</v>
      </c>
      <c r="D32" s="505" t="s">
        <v>909</v>
      </c>
      <c r="E32" s="499">
        <f>1310-812.5</f>
        <v>497.5</v>
      </c>
      <c r="F32" s="500"/>
      <c r="G32" s="501" t="s">
        <v>190</v>
      </c>
      <c r="H32" s="508"/>
      <c r="I32" s="503">
        <f t="shared" si="0"/>
        <v>2187.16</v>
      </c>
      <c r="K32" s="484"/>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row>
    <row r="33" spans="2:9">
      <c r="B33" s="496">
        <v>45664</v>
      </c>
      <c r="C33" s="507" t="s">
        <v>117</v>
      </c>
      <c r="D33" s="505" t="s">
        <v>911</v>
      </c>
      <c r="E33" s="499"/>
      <c r="F33" s="500">
        <v>6.6</v>
      </c>
      <c r="G33" s="501" t="s">
        <v>269</v>
      </c>
      <c r="H33" s="508"/>
      <c r="I33" s="503">
        <f t="shared" si="0"/>
        <v>2180.56</v>
      </c>
    </row>
    <row r="34" spans="2:9">
      <c r="B34" s="496">
        <v>45664</v>
      </c>
      <c r="C34" s="507" t="s">
        <v>283</v>
      </c>
      <c r="D34" s="505" t="s">
        <v>307</v>
      </c>
      <c r="E34" s="499">
        <v>73</v>
      </c>
      <c r="F34" s="500"/>
      <c r="G34" s="501" t="s">
        <v>190</v>
      </c>
      <c r="H34" s="508"/>
      <c r="I34" s="503">
        <f t="shared" si="0"/>
        <v>2253.56</v>
      </c>
    </row>
    <row r="35" spans="2:9">
      <c r="B35" s="496">
        <v>45664</v>
      </c>
      <c r="C35" s="507" t="s">
        <v>283</v>
      </c>
      <c r="D35" s="505" t="s">
        <v>307</v>
      </c>
      <c r="E35" s="499">
        <v>98.8</v>
      </c>
      <c r="F35" s="500"/>
      <c r="G35" s="501" t="s">
        <v>190</v>
      </c>
      <c r="H35" s="508"/>
      <c r="I35" s="503">
        <f t="shared" si="0"/>
        <v>2352.36</v>
      </c>
    </row>
    <row r="36" spans="2:9">
      <c r="B36" s="496">
        <v>45664</v>
      </c>
      <c r="C36" s="507" t="s">
        <v>283</v>
      </c>
      <c r="D36" s="505" t="s">
        <v>307</v>
      </c>
      <c r="E36" s="499">
        <v>244.5</v>
      </c>
      <c r="F36" s="500"/>
      <c r="G36" s="501" t="s">
        <v>190</v>
      </c>
      <c r="H36" s="508"/>
      <c r="I36" s="503">
        <f t="shared" si="0"/>
        <v>2596.86</v>
      </c>
    </row>
    <row r="37" spans="2:9">
      <c r="B37" s="496">
        <v>45664</v>
      </c>
      <c r="C37" s="507" t="s">
        <v>283</v>
      </c>
      <c r="D37" s="505" t="s">
        <v>307</v>
      </c>
      <c r="E37" s="499">
        <v>87.9</v>
      </c>
      <c r="F37" s="500"/>
      <c r="G37" s="501" t="s">
        <v>190</v>
      </c>
      <c r="H37" s="508"/>
      <c r="I37" s="503">
        <f t="shared" si="0"/>
        <v>2684.76</v>
      </c>
    </row>
    <row r="38" spans="2:9">
      <c r="B38" s="496">
        <v>45664</v>
      </c>
      <c r="C38" s="497">
        <v>3</v>
      </c>
      <c r="D38" s="498" t="s">
        <v>917</v>
      </c>
      <c r="E38" s="499"/>
      <c r="F38" s="500">
        <v>132</v>
      </c>
      <c r="G38" s="509" t="s">
        <v>227</v>
      </c>
      <c r="H38" s="508"/>
      <c r="I38" s="503">
        <f t="shared" si="0"/>
        <v>2552.7600000000002</v>
      </c>
    </row>
    <row r="39" spans="2:9">
      <c r="B39" s="496">
        <v>45664</v>
      </c>
      <c r="C39" s="497" t="s">
        <v>117</v>
      </c>
      <c r="D39" s="498" t="s">
        <v>903</v>
      </c>
      <c r="E39" s="499"/>
      <c r="F39" s="500">
        <v>1</v>
      </c>
      <c r="G39" s="501" t="s">
        <v>272</v>
      </c>
      <c r="H39" s="508"/>
      <c r="I39" s="503">
        <f t="shared" si="0"/>
        <v>2551.7600000000002</v>
      </c>
    </row>
    <row r="40" spans="2:9">
      <c r="B40" s="496">
        <v>45664</v>
      </c>
      <c r="C40" s="507" t="s">
        <v>283</v>
      </c>
      <c r="D40" s="505" t="s">
        <v>307</v>
      </c>
      <c r="E40" s="499">
        <v>723.3</v>
      </c>
      <c r="F40" s="500"/>
      <c r="G40" s="501" t="s">
        <v>190</v>
      </c>
      <c r="H40" s="508"/>
      <c r="I40" s="503">
        <f t="shared" si="0"/>
        <v>3275.0600000000004</v>
      </c>
    </row>
    <row r="41" spans="2:9">
      <c r="B41" s="496">
        <v>45664</v>
      </c>
      <c r="C41" s="507" t="s">
        <v>283</v>
      </c>
      <c r="D41" s="505" t="s">
        <v>307</v>
      </c>
      <c r="E41" s="499">
        <v>780.4</v>
      </c>
      <c r="F41" s="500"/>
      <c r="G41" s="501" t="s">
        <v>190</v>
      </c>
      <c r="H41" s="508"/>
      <c r="I41" s="503">
        <f t="shared" si="0"/>
        <v>4055.4600000000005</v>
      </c>
    </row>
    <row r="42" spans="2:9">
      <c r="B42" s="496">
        <v>45664</v>
      </c>
      <c r="C42" s="507" t="s">
        <v>283</v>
      </c>
      <c r="D42" s="505" t="s">
        <v>307</v>
      </c>
      <c r="E42" s="499">
        <v>443.6</v>
      </c>
      <c r="F42" s="500"/>
      <c r="G42" s="501" t="s">
        <v>190</v>
      </c>
      <c r="H42" s="508"/>
      <c r="I42" s="503">
        <f t="shared" si="0"/>
        <v>4499.0600000000004</v>
      </c>
    </row>
    <row r="43" spans="2:9">
      <c r="B43" s="496">
        <v>45664</v>
      </c>
      <c r="C43" s="507" t="s">
        <v>283</v>
      </c>
      <c r="D43" s="505" t="s">
        <v>307</v>
      </c>
      <c r="E43" s="499">
        <v>709.2</v>
      </c>
      <c r="F43" s="500"/>
      <c r="G43" s="501" t="s">
        <v>190</v>
      </c>
      <c r="H43" s="508"/>
      <c r="I43" s="503">
        <f t="shared" si="0"/>
        <v>5208.26</v>
      </c>
    </row>
    <row r="44" spans="2:9">
      <c r="B44" s="496">
        <v>45664</v>
      </c>
      <c r="C44" s="507" t="s">
        <v>283</v>
      </c>
      <c r="D44" s="505" t="s">
        <v>912</v>
      </c>
      <c r="E44" s="499">
        <v>607.5</v>
      </c>
      <c r="F44" s="500"/>
      <c r="G44" s="501" t="s">
        <v>190</v>
      </c>
      <c r="H44" s="502"/>
      <c r="I44" s="503">
        <f t="shared" si="0"/>
        <v>5815.76</v>
      </c>
    </row>
    <row r="45" spans="2:9">
      <c r="B45" s="496">
        <v>45664</v>
      </c>
      <c r="C45" s="507" t="s">
        <v>117</v>
      </c>
      <c r="D45" s="505" t="s">
        <v>918</v>
      </c>
      <c r="E45" s="499"/>
      <c r="F45" s="500">
        <f>6.11</f>
        <v>6.11</v>
      </c>
      <c r="G45" s="501" t="s">
        <v>270</v>
      </c>
      <c r="H45" s="502"/>
      <c r="I45" s="503">
        <f t="shared" si="0"/>
        <v>5809.6500000000005</v>
      </c>
    </row>
    <row r="46" spans="2:9">
      <c r="B46" s="496">
        <v>45664</v>
      </c>
      <c r="C46" s="497" t="s">
        <v>919</v>
      </c>
      <c r="D46" s="498" t="s">
        <v>379</v>
      </c>
      <c r="E46" s="499"/>
      <c r="F46" s="500">
        <v>3111.7</v>
      </c>
      <c r="G46" s="501" t="s">
        <v>237</v>
      </c>
      <c r="H46" s="508"/>
      <c r="I46" s="503">
        <f t="shared" si="0"/>
        <v>2697.9500000000007</v>
      </c>
    </row>
    <row r="47" spans="2:9">
      <c r="B47" s="496">
        <v>45664</v>
      </c>
      <c r="C47" s="497" t="s">
        <v>919</v>
      </c>
      <c r="D47" s="498" t="s">
        <v>379</v>
      </c>
      <c r="E47" s="499"/>
      <c r="F47" s="500">
        <v>684.57</v>
      </c>
      <c r="G47" s="501" t="s">
        <v>274</v>
      </c>
      <c r="H47" s="508"/>
      <c r="I47" s="503">
        <f t="shared" si="0"/>
        <v>2013.3800000000006</v>
      </c>
    </row>
    <row r="48" spans="2:9">
      <c r="B48" s="496">
        <v>45664</v>
      </c>
      <c r="C48" s="507" t="s">
        <v>283</v>
      </c>
      <c r="D48" s="505" t="s">
        <v>909</v>
      </c>
      <c r="E48" s="499">
        <v>340.5</v>
      </c>
      <c r="F48" s="500"/>
      <c r="G48" s="501" t="s">
        <v>190</v>
      </c>
      <c r="H48" s="508"/>
      <c r="I48" s="503">
        <f t="shared" si="0"/>
        <v>2353.8800000000006</v>
      </c>
    </row>
    <row r="49" spans="2:9">
      <c r="B49" s="496">
        <v>45664</v>
      </c>
      <c r="C49" s="507" t="s">
        <v>117</v>
      </c>
      <c r="D49" s="505" t="s">
        <v>911</v>
      </c>
      <c r="E49" s="499"/>
      <c r="F49" s="500">
        <v>3.02</v>
      </c>
      <c r="G49" s="501" t="s">
        <v>269</v>
      </c>
      <c r="H49" s="508"/>
      <c r="I49" s="503">
        <f t="shared" si="0"/>
        <v>2350.8600000000006</v>
      </c>
    </row>
    <row r="50" spans="2:9">
      <c r="B50" s="496">
        <v>45665</v>
      </c>
      <c r="C50" s="507" t="s">
        <v>117</v>
      </c>
      <c r="D50" s="505" t="s">
        <v>920</v>
      </c>
      <c r="E50" s="499"/>
      <c r="F50" s="500">
        <v>45</v>
      </c>
      <c r="G50" s="501" t="s">
        <v>159</v>
      </c>
      <c r="H50" s="508"/>
      <c r="I50" s="503">
        <f t="shared" si="0"/>
        <v>2305.8600000000006</v>
      </c>
    </row>
    <row r="51" spans="2:9">
      <c r="B51" s="496">
        <v>45665</v>
      </c>
      <c r="C51" s="507" t="s">
        <v>283</v>
      </c>
      <c r="D51" s="505" t="s">
        <v>307</v>
      </c>
      <c r="E51" s="499">
        <v>286</v>
      </c>
      <c r="F51" s="500"/>
      <c r="G51" s="501" t="s">
        <v>190</v>
      </c>
      <c r="H51" s="508"/>
      <c r="I51" s="503">
        <f t="shared" si="0"/>
        <v>2591.8600000000006</v>
      </c>
    </row>
    <row r="52" spans="2:9">
      <c r="B52" s="496">
        <v>45665</v>
      </c>
      <c r="C52" s="507" t="s">
        <v>283</v>
      </c>
      <c r="D52" s="505" t="s">
        <v>307</v>
      </c>
      <c r="E52" s="499">
        <v>90.5</v>
      </c>
      <c r="F52" s="500"/>
      <c r="G52" s="501" t="s">
        <v>190</v>
      </c>
      <c r="H52" s="508"/>
      <c r="I52" s="503">
        <f t="shared" si="0"/>
        <v>2682.3600000000006</v>
      </c>
    </row>
    <row r="53" spans="2:9">
      <c r="B53" s="496">
        <v>45665</v>
      </c>
      <c r="C53" s="507" t="s">
        <v>283</v>
      </c>
      <c r="D53" s="505" t="s">
        <v>912</v>
      </c>
      <c r="E53" s="499">
        <v>363</v>
      </c>
      <c r="F53" s="500"/>
      <c r="G53" s="501" t="s">
        <v>190</v>
      </c>
      <c r="H53" s="508"/>
      <c r="I53" s="503">
        <f t="shared" si="0"/>
        <v>3045.3600000000006</v>
      </c>
    </row>
    <row r="54" spans="2:9">
      <c r="B54" s="496">
        <v>45665</v>
      </c>
      <c r="C54" s="507" t="s">
        <v>117</v>
      </c>
      <c r="D54" s="505" t="s">
        <v>918</v>
      </c>
      <c r="E54" s="499"/>
      <c r="F54" s="500">
        <v>3.64</v>
      </c>
      <c r="G54" s="501" t="s">
        <v>270</v>
      </c>
      <c r="H54" s="508"/>
      <c r="I54" s="503">
        <f t="shared" si="0"/>
        <v>3041.7200000000007</v>
      </c>
    </row>
    <row r="55" spans="2:9">
      <c r="B55" s="496">
        <v>45665</v>
      </c>
      <c r="C55" s="507" t="s">
        <v>283</v>
      </c>
      <c r="D55" s="505" t="s">
        <v>909</v>
      </c>
      <c r="E55" s="499">
        <v>158.5</v>
      </c>
      <c r="F55" s="500"/>
      <c r="G55" s="501" t="s">
        <v>190</v>
      </c>
      <c r="H55" s="508"/>
      <c r="I55" s="503">
        <f t="shared" si="0"/>
        <v>3200.2200000000007</v>
      </c>
    </row>
    <row r="56" spans="2:9">
      <c r="B56" s="496">
        <v>45665</v>
      </c>
      <c r="C56" s="507" t="s">
        <v>117</v>
      </c>
      <c r="D56" s="505" t="s">
        <v>911</v>
      </c>
      <c r="E56" s="499"/>
      <c r="F56" s="500">
        <v>1.38</v>
      </c>
      <c r="G56" s="501" t="s">
        <v>269</v>
      </c>
      <c r="H56" s="508"/>
      <c r="I56" s="503">
        <f t="shared" si="0"/>
        <v>3198.8400000000006</v>
      </c>
    </row>
    <row r="57" spans="2:9">
      <c r="B57" s="496">
        <v>45667</v>
      </c>
      <c r="C57" s="497" t="s">
        <v>117</v>
      </c>
      <c r="D57" s="498" t="s">
        <v>908</v>
      </c>
      <c r="E57" s="499"/>
      <c r="F57" s="500">
        <v>16</v>
      </c>
      <c r="G57" s="501" t="s">
        <v>254</v>
      </c>
      <c r="H57" s="508"/>
      <c r="I57" s="503">
        <f t="shared" si="0"/>
        <v>3182.8400000000006</v>
      </c>
    </row>
    <row r="58" spans="2:9">
      <c r="B58" s="496">
        <v>45667</v>
      </c>
      <c r="C58" s="497" t="s">
        <v>117</v>
      </c>
      <c r="D58" s="498" t="s">
        <v>921</v>
      </c>
      <c r="E58" s="499"/>
      <c r="F58" s="500">
        <v>1.25</v>
      </c>
      <c r="G58" s="501" t="s">
        <v>271</v>
      </c>
      <c r="H58" s="508"/>
      <c r="I58" s="503">
        <f t="shared" si="0"/>
        <v>3181.5900000000006</v>
      </c>
    </row>
    <row r="59" spans="2:9">
      <c r="B59" s="496">
        <v>45667</v>
      </c>
      <c r="C59" s="510"/>
      <c r="D59" s="498" t="s">
        <v>922</v>
      </c>
      <c r="E59" s="499">
        <v>305</v>
      </c>
      <c r="F59" s="500"/>
      <c r="G59" s="501" t="s">
        <v>197</v>
      </c>
      <c r="H59" s="508" t="s">
        <v>554</v>
      </c>
      <c r="I59" s="503">
        <f t="shared" si="0"/>
        <v>3486.5900000000006</v>
      </c>
    </row>
    <row r="60" spans="2:9">
      <c r="B60" s="496">
        <v>45667</v>
      </c>
      <c r="C60" s="507" t="s">
        <v>541</v>
      </c>
      <c r="D60" s="505" t="s">
        <v>542</v>
      </c>
      <c r="E60" s="499">
        <v>7000</v>
      </c>
      <c r="F60" s="500"/>
      <c r="G60" s="501" t="s">
        <v>277</v>
      </c>
      <c r="H60" s="508"/>
      <c r="I60" s="503">
        <f t="shared" si="0"/>
        <v>10486.59</v>
      </c>
    </row>
    <row r="61" spans="2:9">
      <c r="B61" s="496">
        <v>45657</v>
      </c>
      <c r="C61" s="497" t="s">
        <v>923</v>
      </c>
      <c r="D61" s="498" t="s">
        <v>341</v>
      </c>
      <c r="E61" s="499"/>
      <c r="F61" s="500">
        <v>5486.8</v>
      </c>
      <c r="G61" s="501" t="s">
        <v>197</v>
      </c>
      <c r="H61" s="508" t="s">
        <v>554</v>
      </c>
      <c r="I61" s="503">
        <f t="shared" si="0"/>
        <v>4999.79</v>
      </c>
    </row>
    <row r="62" spans="2:9">
      <c r="B62" s="496">
        <v>45657</v>
      </c>
      <c r="C62" s="497" t="s">
        <v>923</v>
      </c>
      <c r="D62" s="498" t="s">
        <v>341</v>
      </c>
      <c r="E62" s="499"/>
      <c r="F62" s="500">
        <v>1207.0999999999999</v>
      </c>
      <c r="G62" s="501" t="s">
        <v>197</v>
      </c>
      <c r="H62" s="508" t="s">
        <v>554</v>
      </c>
      <c r="I62" s="503">
        <f t="shared" si="0"/>
        <v>3792.69</v>
      </c>
    </row>
    <row r="63" spans="2:9">
      <c r="B63" s="496">
        <v>45667</v>
      </c>
      <c r="C63" s="497" t="s">
        <v>117</v>
      </c>
      <c r="D63" s="498" t="s">
        <v>903</v>
      </c>
      <c r="E63" s="499"/>
      <c r="F63" s="500">
        <v>1</v>
      </c>
      <c r="G63" s="501" t="s">
        <v>272</v>
      </c>
      <c r="H63" s="502"/>
      <c r="I63" s="503">
        <f t="shared" si="0"/>
        <v>3791.69</v>
      </c>
    </row>
    <row r="64" spans="2:9">
      <c r="B64" s="496">
        <v>45670</v>
      </c>
      <c r="C64" s="497" t="s">
        <v>924</v>
      </c>
      <c r="D64" s="498" t="s">
        <v>412</v>
      </c>
      <c r="E64" s="499"/>
      <c r="F64" s="500">
        <v>51.89</v>
      </c>
      <c r="G64" s="501" t="s">
        <v>225</v>
      </c>
      <c r="H64" s="508" t="s">
        <v>554</v>
      </c>
      <c r="I64" s="503">
        <f t="shared" si="0"/>
        <v>3739.8</v>
      </c>
    </row>
    <row r="65" spans="2:9">
      <c r="B65" s="496">
        <v>45670</v>
      </c>
      <c r="C65" s="507" t="s">
        <v>924</v>
      </c>
      <c r="D65" s="505" t="s">
        <v>412</v>
      </c>
      <c r="E65" s="499"/>
      <c r="F65" s="500">
        <v>11.42</v>
      </c>
      <c r="G65" s="501" t="s">
        <v>197</v>
      </c>
      <c r="H65" s="508" t="s">
        <v>554</v>
      </c>
      <c r="I65" s="503">
        <f t="shared" si="0"/>
        <v>3728.38</v>
      </c>
    </row>
    <row r="66" spans="2:9">
      <c r="B66" s="496">
        <v>45670</v>
      </c>
      <c r="C66" s="497" t="s">
        <v>117</v>
      </c>
      <c r="D66" s="498" t="s">
        <v>921</v>
      </c>
      <c r="E66" s="499"/>
      <c r="F66" s="500">
        <v>1.25</v>
      </c>
      <c r="G66" s="501" t="s">
        <v>271</v>
      </c>
      <c r="H66" s="502"/>
      <c r="I66" s="503">
        <f t="shared" si="0"/>
        <v>3727.13</v>
      </c>
    </row>
    <row r="67" spans="2:9">
      <c r="B67" s="496">
        <v>45670</v>
      </c>
      <c r="C67" s="497" t="s">
        <v>925</v>
      </c>
      <c r="D67" s="498" t="s">
        <v>388</v>
      </c>
      <c r="E67" s="499"/>
      <c r="F67" s="500">
        <v>1524.48</v>
      </c>
      <c r="G67" s="501" t="s">
        <v>197</v>
      </c>
      <c r="H67" s="508" t="s">
        <v>554</v>
      </c>
      <c r="I67" s="503">
        <f t="shared" si="0"/>
        <v>2202.65</v>
      </c>
    </row>
    <row r="68" spans="2:9">
      <c r="B68" s="496">
        <v>45670</v>
      </c>
      <c r="C68" s="497" t="s">
        <v>925</v>
      </c>
      <c r="D68" s="498" t="s">
        <v>388</v>
      </c>
      <c r="E68" s="499"/>
      <c r="F68" s="500">
        <v>335.39</v>
      </c>
      <c r="G68" s="501" t="s">
        <v>197</v>
      </c>
      <c r="H68" s="508" t="s">
        <v>554</v>
      </c>
      <c r="I68" s="503">
        <f t="shared" si="0"/>
        <v>1867.2600000000002</v>
      </c>
    </row>
    <row r="69" spans="2:9">
      <c r="B69" s="496">
        <v>45670</v>
      </c>
      <c r="C69" s="497" t="s">
        <v>117</v>
      </c>
      <c r="D69" s="498" t="s">
        <v>921</v>
      </c>
      <c r="E69" s="499"/>
      <c r="F69" s="500">
        <v>1.25</v>
      </c>
      <c r="G69" s="501" t="s">
        <v>271</v>
      </c>
      <c r="H69" s="502"/>
      <c r="I69" s="503">
        <f t="shared" si="0"/>
        <v>1866.0100000000002</v>
      </c>
    </row>
    <row r="70" spans="2:9">
      <c r="B70" s="496">
        <v>45670</v>
      </c>
      <c r="C70" s="507" t="s">
        <v>283</v>
      </c>
      <c r="D70" s="505" t="s">
        <v>307</v>
      </c>
      <c r="E70" s="499">
        <v>90.5</v>
      </c>
      <c r="F70" s="500"/>
      <c r="G70" s="501" t="s">
        <v>190</v>
      </c>
      <c r="H70" s="502"/>
      <c r="I70" s="503">
        <f t="shared" si="0"/>
        <v>1956.5100000000002</v>
      </c>
    </row>
    <row r="71" spans="2:9">
      <c r="B71" s="496">
        <v>45670</v>
      </c>
      <c r="C71" s="507" t="s">
        <v>283</v>
      </c>
      <c r="D71" s="505" t="s">
        <v>307</v>
      </c>
      <c r="E71" s="499">
        <v>156.5</v>
      </c>
      <c r="F71" s="500"/>
      <c r="G71" s="501" t="s">
        <v>190</v>
      </c>
      <c r="H71" s="508"/>
      <c r="I71" s="503">
        <f t="shared" si="0"/>
        <v>2113.0100000000002</v>
      </c>
    </row>
    <row r="72" spans="2:9">
      <c r="B72" s="496">
        <v>45670</v>
      </c>
      <c r="C72" s="507" t="s">
        <v>283</v>
      </c>
      <c r="D72" s="505" t="s">
        <v>307</v>
      </c>
      <c r="E72" s="499">
        <v>58</v>
      </c>
      <c r="F72" s="500"/>
      <c r="G72" s="501" t="s">
        <v>190</v>
      </c>
      <c r="H72" s="508"/>
      <c r="I72" s="503">
        <f t="shared" si="0"/>
        <v>2171.0100000000002</v>
      </c>
    </row>
    <row r="73" spans="2:9">
      <c r="B73" s="496">
        <v>45670</v>
      </c>
      <c r="C73" s="507" t="s">
        <v>283</v>
      </c>
      <c r="D73" s="505" t="s">
        <v>307</v>
      </c>
      <c r="E73" s="499">
        <v>385.2</v>
      </c>
      <c r="F73" s="500"/>
      <c r="G73" s="501" t="s">
        <v>190</v>
      </c>
      <c r="H73" s="508"/>
      <c r="I73" s="503">
        <f t="shared" si="0"/>
        <v>2556.21</v>
      </c>
    </row>
    <row r="74" spans="2:9">
      <c r="B74" s="496">
        <v>45670</v>
      </c>
      <c r="C74" s="507" t="s">
        <v>283</v>
      </c>
      <c r="D74" s="505" t="s">
        <v>307</v>
      </c>
      <c r="E74" s="499">
        <v>936</v>
      </c>
      <c r="F74" s="500"/>
      <c r="G74" s="501" t="s">
        <v>190</v>
      </c>
      <c r="H74" s="508"/>
      <c r="I74" s="503">
        <f t="shared" ref="I74:I137" si="1">I73+E74-F74</f>
        <v>3492.21</v>
      </c>
    </row>
    <row r="75" spans="2:9">
      <c r="B75" s="496">
        <v>45670</v>
      </c>
      <c r="C75" s="507" t="s">
        <v>283</v>
      </c>
      <c r="D75" s="505" t="s">
        <v>307</v>
      </c>
      <c r="E75" s="499">
        <v>535.79999999999995</v>
      </c>
      <c r="F75" s="500"/>
      <c r="G75" s="501" t="s">
        <v>190</v>
      </c>
      <c r="H75" s="508"/>
      <c r="I75" s="503">
        <f t="shared" si="1"/>
        <v>4028.01</v>
      </c>
    </row>
    <row r="76" spans="2:9">
      <c r="B76" s="496">
        <v>45670</v>
      </c>
      <c r="C76" s="507" t="s">
        <v>926</v>
      </c>
      <c r="D76" s="505" t="s">
        <v>349</v>
      </c>
      <c r="E76" s="499"/>
      <c r="F76" s="500">
        <v>1101.56</v>
      </c>
      <c r="G76" s="501" t="s">
        <v>197</v>
      </c>
      <c r="H76" s="508" t="s">
        <v>554</v>
      </c>
      <c r="I76" s="503">
        <f t="shared" si="1"/>
        <v>2926.4500000000003</v>
      </c>
    </row>
    <row r="77" spans="2:9">
      <c r="B77" s="496">
        <v>45670</v>
      </c>
      <c r="C77" s="507" t="s">
        <v>926</v>
      </c>
      <c r="D77" s="505" t="s">
        <v>349</v>
      </c>
      <c r="E77" s="499"/>
      <c r="F77" s="500">
        <v>110.16</v>
      </c>
      <c r="G77" s="501" t="s">
        <v>197</v>
      </c>
      <c r="H77" s="508" t="s">
        <v>554</v>
      </c>
      <c r="I77" s="503">
        <f t="shared" si="1"/>
        <v>2816.2900000000004</v>
      </c>
    </row>
    <row r="78" spans="2:9">
      <c r="B78" s="496">
        <v>45670</v>
      </c>
      <c r="C78" s="507" t="s">
        <v>927</v>
      </c>
      <c r="D78" s="505" t="s">
        <v>349</v>
      </c>
      <c r="E78" s="499"/>
      <c r="F78" s="500">
        <v>891.84</v>
      </c>
      <c r="G78" s="501" t="s">
        <v>197</v>
      </c>
      <c r="H78" s="508" t="s">
        <v>554</v>
      </c>
      <c r="I78" s="503">
        <f t="shared" si="1"/>
        <v>1924.4500000000003</v>
      </c>
    </row>
    <row r="79" spans="2:9">
      <c r="B79" s="496">
        <v>45670</v>
      </c>
      <c r="C79" s="507" t="s">
        <v>927</v>
      </c>
      <c r="D79" s="505" t="s">
        <v>349</v>
      </c>
      <c r="E79" s="499"/>
      <c r="F79" s="500">
        <v>89.18</v>
      </c>
      <c r="G79" s="501" t="s">
        <v>197</v>
      </c>
      <c r="H79" s="508" t="s">
        <v>554</v>
      </c>
      <c r="I79" s="503">
        <f t="shared" si="1"/>
        <v>1835.2700000000002</v>
      </c>
    </row>
    <row r="80" spans="2:9">
      <c r="B80" s="496">
        <v>45670</v>
      </c>
      <c r="C80" s="497" t="s">
        <v>928</v>
      </c>
      <c r="D80" s="505" t="s">
        <v>349</v>
      </c>
      <c r="E80" s="499"/>
      <c r="F80" s="500">
        <v>678.85</v>
      </c>
      <c r="G80" s="501" t="s">
        <v>197</v>
      </c>
      <c r="H80" s="508" t="s">
        <v>554</v>
      </c>
      <c r="I80" s="503">
        <f t="shared" si="1"/>
        <v>1156.42</v>
      </c>
    </row>
    <row r="81" spans="2:9">
      <c r="B81" s="496">
        <v>45670</v>
      </c>
      <c r="C81" s="497" t="s">
        <v>928</v>
      </c>
      <c r="D81" s="505" t="s">
        <v>349</v>
      </c>
      <c r="E81" s="499"/>
      <c r="F81" s="500">
        <v>69.489999999999995</v>
      </c>
      <c r="G81" s="501" t="s">
        <v>197</v>
      </c>
      <c r="H81" s="508" t="s">
        <v>554</v>
      </c>
      <c r="I81" s="503">
        <f t="shared" si="1"/>
        <v>1086.93</v>
      </c>
    </row>
    <row r="82" spans="2:9">
      <c r="B82" s="496">
        <v>45670</v>
      </c>
      <c r="C82" s="497" t="s">
        <v>117</v>
      </c>
      <c r="D82" s="498" t="s">
        <v>903</v>
      </c>
      <c r="E82" s="499"/>
      <c r="F82" s="500">
        <v>1</v>
      </c>
      <c r="G82" s="501" t="s">
        <v>272</v>
      </c>
      <c r="H82" s="508"/>
      <c r="I82" s="503">
        <f t="shared" si="1"/>
        <v>1085.93</v>
      </c>
    </row>
    <row r="83" spans="2:9">
      <c r="B83" s="496">
        <v>45670</v>
      </c>
      <c r="C83" s="507" t="s">
        <v>283</v>
      </c>
      <c r="D83" s="505" t="s">
        <v>307</v>
      </c>
      <c r="E83" s="499">
        <v>165.88</v>
      </c>
      <c r="F83" s="500"/>
      <c r="G83" s="501" t="s">
        <v>190</v>
      </c>
      <c r="H83" s="508"/>
      <c r="I83" s="503">
        <f t="shared" si="1"/>
        <v>1251.81</v>
      </c>
    </row>
    <row r="84" spans="2:9">
      <c r="B84" s="496">
        <v>45671</v>
      </c>
      <c r="C84" s="511" t="s">
        <v>929</v>
      </c>
      <c r="D84" s="498" t="s">
        <v>930</v>
      </c>
      <c r="E84" s="499"/>
      <c r="F84" s="500">
        <v>100</v>
      </c>
      <c r="G84" s="501" t="s">
        <v>207</v>
      </c>
      <c r="H84" s="508"/>
      <c r="I84" s="503">
        <f t="shared" si="1"/>
        <v>1151.81</v>
      </c>
    </row>
    <row r="85" spans="2:9">
      <c r="B85" s="496">
        <v>45671</v>
      </c>
      <c r="C85" s="511" t="s">
        <v>929</v>
      </c>
      <c r="D85" s="498" t="s">
        <v>930</v>
      </c>
      <c r="E85" s="499"/>
      <c r="F85" s="500">
        <v>22</v>
      </c>
      <c r="G85" s="501" t="s">
        <v>274</v>
      </c>
      <c r="H85" s="508"/>
      <c r="I85" s="503">
        <f t="shared" si="1"/>
        <v>1129.81</v>
      </c>
    </row>
    <row r="86" spans="2:9">
      <c r="B86" s="496">
        <v>45671</v>
      </c>
      <c r="C86" s="497" t="s">
        <v>117</v>
      </c>
      <c r="D86" s="498" t="s">
        <v>921</v>
      </c>
      <c r="E86" s="499"/>
      <c r="F86" s="500">
        <v>1.25</v>
      </c>
      <c r="G86" s="501" t="s">
        <v>271</v>
      </c>
      <c r="H86" s="502"/>
      <c r="I86" s="503">
        <f t="shared" si="1"/>
        <v>1128.56</v>
      </c>
    </row>
    <row r="87" spans="2:9">
      <c r="B87" s="496">
        <v>45671</v>
      </c>
      <c r="C87" s="511" t="s">
        <v>931</v>
      </c>
      <c r="D87" s="498" t="s">
        <v>930</v>
      </c>
      <c r="E87" s="499"/>
      <c r="F87" s="500">
        <v>100</v>
      </c>
      <c r="G87" s="501" t="s">
        <v>207</v>
      </c>
      <c r="H87" s="508"/>
      <c r="I87" s="503">
        <f t="shared" si="1"/>
        <v>1028.56</v>
      </c>
    </row>
    <row r="88" spans="2:9">
      <c r="B88" s="496">
        <v>45671</v>
      </c>
      <c r="C88" s="511" t="s">
        <v>931</v>
      </c>
      <c r="D88" s="498" t="s">
        <v>930</v>
      </c>
      <c r="E88" s="499"/>
      <c r="F88" s="500">
        <v>22</v>
      </c>
      <c r="G88" s="501" t="s">
        <v>274</v>
      </c>
      <c r="H88" s="508"/>
      <c r="I88" s="503">
        <f t="shared" si="1"/>
        <v>1006.56</v>
      </c>
    </row>
    <row r="89" spans="2:9">
      <c r="B89" s="496">
        <v>45671</v>
      </c>
      <c r="C89" s="497" t="s">
        <v>117</v>
      </c>
      <c r="D89" s="498" t="s">
        <v>921</v>
      </c>
      <c r="E89" s="499"/>
      <c r="F89" s="500">
        <v>1.25</v>
      </c>
      <c r="G89" s="501" t="s">
        <v>271</v>
      </c>
      <c r="H89" s="502"/>
      <c r="I89" s="503">
        <f t="shared" si="1"/>
        <v>1005.31</v>
      </c>
    </row>
    <row r="90" spans="2:9">
      <c r="B90" s="496">
        <v>45671</v>
      </c>
      <c r="C90" s="507" t="s">
        <v>283</v>
      </c>
      <c r="D90" s="505" t="s">
        <v>912</v>
      </c>
      <c r="E90" s="499">
        <v>917</v>
      </c>
      <c r="F90" s="500"/>
      <c r="G90" s="501" t="s">
        <v>190</v>
      </c>
      <c r="H90" s="508"/>
      <c r="I90" s="503">
        <f t="shared" si="1"/>
        <v>1922.31</v>
      </c>
    </row>
    <row r="91" spans="2:9">
      <c r="B91" s="496">
        <v>45671</v>
      </c>
      <c r="C91" s="507" t="s">
        <v>283</v>
      </c>
      <c r="D91" s="505" t="s">
        <v>307</v>
      </c>
      <c r="E91" s="499">
        <v>43</v>
      </c>
      <c r="F91" s="500"/>
      <c r="G91" s="501" t="s">
        <v>190</v>
      </c>
      <c r="H91" s="508"/>
      <c r="I91" s="503">
        <f t="shared" si="1"/>
        <v>1965.31</v>
      </c>
    </row>
    <row r="92" spans="2:9">
      <c r="B92" s="496">
        <v>45671</v>
      </c>
      <c r="C92" s="507" t="s">
        <v>117</v>
      </c>
      <c r="D92" s="505" t="s">
        <v>918</v>
      </c>
      <c r="E92" s="499"/>
      <c r="F92" s="500">
        <f>917-907.8</f>
        <v>9.2000000000000455</v>
      </c>
      <c r="G92" s="501" t="s">
        <v>270</v>
      </c>
      <c r="H92" s="508"/>
      <c r="I92" s="503">
        <f t="shared" si="1"/>
        <v>1956.11</v>
      </c>
    </row>
    <row r="93" spans="2:9">
      <c r="B93" s="496">
        <v>45671</v>
      </c>
      <c r="C93" s="507" t="s">
        <v>283</v>
      </c>
      <c r="D93" s="505" t="s">
        <v>912</v>
      </c>
      <c r="E93" s="499">
        <f>351.5+18</f>
        <v>369.5</v>
      </c>
      <c r="F93" s="500"/>
      <c r="G93" s="501" t="s">
        <v>190</v>
      </c>
      <c r="H93" s="502"/>
      <c r="I93" s="503">
        <f t="shared" si="1"/>
        <v>2325.6099999999997</v>
      </c>
    </row>
    <row r="94" spans="2:9">
      <c r="B94" s="496">
        <v>45671</v>
      </c>
      <c r="C94" s="507" t="s">
        <v>117</v>
      </c>
      <c r="D94" s="505" t="s">
        <v>918</v>
      </c>
      <c r="E94" s="499"/>
      <c r="F94" s="500">
        <f>369.5-365.8</f>
        <v>3.6999999999999886</v>
      </c>
      <c r="G94" s="501" t="s">
        <v>270</v>
      </c>
      <c r="H94" s="502"/>
      <c r="I94" s="503">
        <f t="shared" si="1"/>
        <v>2321.91</v>
      </c>
    </row>
    <row r="95" spans="2:9">
      <c r="B95" s="496">
        <v>45671</v>
      </c>
      <c r="C95" s="507" t="s">
        <v>541</v>
      </c>
      <c r="D95" s="505" t="s">
        <v>542</v>
      </c>
      <c r="E95" s="499">
        <v>4000</v>
      </c>
      <c r="F95" s="500"/>
      <c r="G95" s="501" t="s">
        <v>277</v>
      </c>
      <c r="H95" s="502"/>
      <c r="I95" s="503">
        <f t="shared" si="1"/>
        <v>6321.91</v>
      </c>
    </row>
    <row r="96" spans="2:9">
      <c r="B96" s="496">
        <v>45671</v>
      </c>
      <c r="C96" s="507" t="s">
        <v>541</v>
      </c>
      <c r="D96" s="505" t="s">
        <v>542</v>
      </c>
      <c r="E96" s="499">
        <v>5000</v>
      </c>
      <c r="F96" s="500"/>
      <c r="G96" s="501" t="s">
        <v>277</v>
      </c>
      <c r="H96" s="502"/>
      <c r="I96" s="503">
        <f t="shared" si="1"/>
        <v>11321.91</v>
      </c>
    </row>
    <row r="97" spans="2:9">
      <c r="B97" s="512">
        <v>45672</v>
      </c>
      <c r="C97" s="513" t="s">
        <v>932</v>
      </c>
      <c r="D97" s="514" t="s">
        <v>933</v>
      </c>
      <c r="E97" s="515"/>
      <c r="F97" s="516">
        <v>280</v>
      </c>
      <c r="G97" s="509" t="s">
        <v>218</v>
      </c>
      <c r="H97" s="502"/>
      <c r="I97" s="503">
        <f t="shared" si="1"/>
        <v>11041.91</v>
      </c>
    </row>
    <row r="98" spans="2:9">
      <c r="B98" s="512">
        <v>45672</v>
      </c>
      <c r="C98" s="513" t="s">
        <v>932</v>
      </c>
      <c r="D98" s="514" t="s">
        <v>933</v>
      </c>
      <c r="E98" s="515"/>
      <c r="F98" s="516">
        <v>61.6</v>
      </c>
      <c r="G98" s="509" t="s">
        <v>274</v>
      </c>
      <c r="H98" s="502"/>
      <c r="I98" s="503">
        <f t="shared" si="1"/>
        <v>10980.31</v>
      </c>
    </row>
    <row r="99" spans="2:9">
      <c r="B99" s="512">
        <v>45672</v>
      </c>
      <c r="C99" s="497" t="s">
        <v>117</v>
      </c>
      <c r="D99" s="498" t="s">
        <v>903</v>
      </c>
      <c r="E99" s="499"/>
      <c r="F99" s="500">
        <v>0.75</v>
      </c>
      <c r="G99" s="501" t="s">
        <v>272</v>
      </c>
      <c r="H99" s="502"/>
      <c r="I99" s="503">
        <f t="shared" si="1"/>
        <v>10979.56</v>
      </c>
    </row>
    <row r="100" spans="2:9">
      <c r="B100" s="512">
        <v>45672</v>
      </c>
      <c r="C100" s="497" t="s">
        <v>934</v>
      </c>
      <c r="D100" s="498" t="s">
        <v>318</v>
      </c>
      <c r="E100" s="499"/>
      <c r="F100" s="500">
        <v>972.36</v>
      </c>
      <c r="G100" s="501" t="s">
        <v>197</v>
      </c>
      <c r="H100" s="517" t="s">
        <v>502</v>
      </c>
      <c r="I100" s="503">
        <f t="shared" si="1"/>
        <v>10007.199999999999</v>
      </c>
    </row>
    <row r="101" spans="2:9">
      <c r="B101" s="512">
        <v>45672</v>
      </c>
      <c r="C101" s="497" t="s">
        <v>934</v>
      </c>
      <c r="D101" s="498" t="s">
        <v>318</v>
      </c>
      <c r="E101" s="499"/>
      <c r="F101" s="500">
        <v>213.92</v>
      </c>
      <c r="G101" s="501" t="s">
        <v>197</v>
      </c>
      <c r="H101" s="517" t="s">
        <v>502</v>
      </c>
      <c r="I101" s="503">
        <f t="shared" si="1"/>
        <v>9793.2799999999988</v>
      </c>
    </row>
    <row r="102" spans="2:9">
      <c r="B102" s="512">
        <v>45672</v>
      </c>
      <c r="C102" s="507" t="s">
        <v>935</v>
      </c>
      <c r="D102" s="498" t="s">
        <v>318</v>
      </c>
      <c r="E102" s="499"/>
      <c r="F102" s="500">
        <v>1222.04</v>
      </c>
      <c r="G102" s="501" t="s">
        <v>197</v>
      </c>
      <c r="H102" s="517" t="s">
        <v>502</v>
      </c>
      <c r="I102" s="503">
        <f t="shared" si="1"/>
        <v>8571.239999999998</v>
      </c>
    </row>
    <row r="103" spans="2:9">
      <c r="B103" s="512">
        <v>45672</v>
      </c>
      <c r="C103" s="507" t="s">
        <v>935</v>
      </c>
      <c r="D103" s="498" t="s">
        <v>318</v>
      </c>
      <c r="E103" s="499"/>
      <c r="F103" s="500">
        <v>268.85000000000002</v>
      </c>
      <c r="G103" s="501" t="s">
        <v>197</v>
      </c>
      <c r="H103" s="517" t="s">
        <v>502</v>
      </c>
      <c r="I103" s="503">
        <f t="shared" si="1"/>
        <v>8302.3899999999976</v>
      </c>
    </row>
    <row r="104" spans="2:9">
      <c r="B104" s="512">
        <v>45672</v>
      </c>
      <c r="C104" s="497" t="s">
        <v>117</v>
      </c>
      <c r="D104" s="498" t="s">
        <v>903</v>
      </c>
      <c r="E104" s="499"/>
      <c r="F104" s="500">
        <v>1</v>
      </c>
      <c r="G104" s="501" t="s">
        <v>272</v>
      </c>
      <c r="H104" s="502"/>
      <c r="I104" s="503">
        <f t="shared" si="1"/>
        <v>8301.3899999999976</v>
      </c>
    </row>
    <row r="105" spans="2:9">
      <c r="B105" s="512">
        <v>45672</v>
      </c>
      <c r="C105" s="507" t="s">
        <v>283</v>
      </c>
      <c r="D105" s="505" t="s">
        <v>307</v>
      </c>
      <c r="E105" s="499">
        <v>336.9</v>
      </c>
      <c r="F105" s="500"/>
      <c r="G105" s="501" t="s">
        <v>190</v>
      </c>
      <c r="H105" s="502"/>
      <c r="I105" s="503">
        <f t="shared" si="1"/>
        <v>8638.2899999999972</v>
      </c>
    </row>
    <row r="106" spans="2:9">
      <c r="B106" s="512">
        <v>45673</v>
      </c>
      <c r="C106" s="507" t="s">
        <v>283</v>
      </c>
      <c r="D106" s="505" t="s">
        <v>307</v>
      </c>
      <c r="E106" s="499">
        <v>81.5</v>
      </c>
      <c r="F106" s="500"/>
      <c r="G106" s="501" t="s">
        <v>190</v>
      </c>
      <c r="H106" s="502"/>
      <c r="I106" s="503">
        <f t="shared" si="1"/>
        <v>8719.7899999999972</v>
      </c>
    </row>
    <row r="107" spans="2:9">
      <c r="B107" s="512">
        <v>45673</v>
      </c>
      <c r="C107" s="507" t="s">
        <v>283</v>
      </c>
      <c r="D107" s="505" t="s">
        <v>307</v>
      </c>
      <c r="E107" s="499">
        <v>160.6</v>
      </c>
      <c r="F107" s="500"/>
      <c r="G107" s="501" t="s">
        <v>190</v>
      </c>
      <c r="H107" s="502"/>
      <c r="I107" s="503">
        <f t="shared" si="1"/>
        <v>8880.3899999999976</v>
      </c>
    </row>
    <row r="108" spans="2:9">
      <c r="B108" s="512">
        <v>45674</v>
      </c>
      <c r="C108" s="507" t="s">
        <v>283</v>
      </c>
      <c r="D108" s="505" t="s">
        <v>307</v>
      </c>
      <c r="E108" s="499">
        <v>137.80000000000001</v>
      </c>
      <c r="F108" s="500"/>
      <c r="G108" s="501" t="s">
        <v>190</v>
      </c>
      <c r="H108" s="508"/>
      <c r="I108" s="503">
        <f t="shared" si="1"/>
        <v>9018.1899999999969</v>
      </c>
    </row>
    <row r="109" spans="2:9">
      <c r="B109" s="512">
        <v>45674</v>
      </c>
      <c r="C109" s="507" t="s">
        <v>283</v>
      </c>
      <c r="D109" s="505" t="s">
        <v>307</v>
      </c>
      <c r="E109" s="499">
        <v>137.1</v>
      </c>
      <c r="F109" s="500"/>
      <c r="G109" s="501" t="s">
        <v>190</v>
      </c>
      <c r="H109" s="508"/>
      <c r="I109" s="503">
        <f t="shared" si="1"/>
        <v>9155.2899999999972</v>
      </c>
    </row>
    <row r="110" spans="2:9">
      <c r="B110" s="512">
        <v>45674</v>
      </c>
      <c r="C110" s="507" t="s">
        <v>541</v>
      </c>
      <c r="D110" s="505" t="s">
        <v>542</v>
      </c>
      <c r="E110" s="499">
        <v>5675</v>
      </c>
      <c r="F110" s="500"/>
      <c r="G110" s="501" t="s">
        <v>277</v>
      </c>
      <c r="H110" s="502"/>
      <c r="I110" s="503">
        <f t="shared" si="1"/>
        <v>14830.289999999997</v>
      </c>
    </row>
    <row r="111" spans="2:9">
      <c r="B111" s="512">
        <v>45677</v>
      </c>
      <c r="C111" s="518" t="s">
        <v>936</v>
      </c>
      <c r="D111" s="519" t="s">
        <v>341</v>
      </c>
      <c r="E111" s="515">
        <v>159.44</v>
      </c>
      <c r="F111" s="516"/>
      <c r="G111" s="509"/>
      <c r="H111" s="508" t="s">
        <v>554</v>
      </c>
      <c r="I111" s="503">
        <f t="shared" si="1"/>
        <v>14989.729999999998</v>
      </c>
    </row>
    <row r="112" spans="2:9">
      <c r="B112" s="512">
        <v>45677</v>
      </c>
      <c r="C112" s="772" t="s">
        <v>250</v>
      </c>
      <c r="D112" s="773" t="s">
        <v>250</v>
      </c>
      <c r="E112" s="499"/>
      <c r="F112" s="500">
        <v>3993.56</v>
      </c>
      <c r="G112" s="501" t="s">
        <v>197</v>
      </c>
      <c r="H112" s="508"/>
      <c r="I112" s="503">
        <f t="shared" si="1"/>
        <v>10996.169999999998</v>
      </c>
    </row>
    <row r="113" spans="2:9">
      <c r="B113" s="512">
        <v>45677</v>
      </c>
      <c r="C113" s="774" t="s">
        <v>250</v>
      </c>
      <c r="D113" s="520" t="s">
        <v>329</v>
      </c>
      <c r="E113" s="499"/>
      <c r="F113" s="500">
        <v>186.66</v>
      </c>
      <c r="G113" s="501"/>
      <c r="H113" s="521" t="s">
        <v>937</v>
      </c>
      <c r="I113" s="503">
        <f t="shared" si="1"/>
        <v>10809.509999999998</v>
      </c>
    </row>
    <row r="114" spans="2:9">
      <c r="B114" s="512">
        <v>45677</v>
      </c>
      <c r="C114" s="497">
        <v>9</v>
      </c>
      <c r="D114" s="498" t="s">
        <v>917</v>
      </c>
      <c r="E114" s="499"/>
      <c r="F114" s="500">
        <v>132</v>
      </c>
      <c r="G114" s="509" t="s">
        <v>227</v>
      </c>
      <c r="H114" s="502"/>
      <c r="I114" s="503">
        <f t="shared" si="1"/>
        <v>10677.509999999998</v>
      </c>
    </row>
    <row r="115" spans="2:9">
      <c r="B115" s="512">
        <v>45677</v>
      </c>
      <c r="C115" s="497" t="s">
        <v>117</v>
      </c>
      <c r="D115" s="498" t="s">
        <v>903</v>
      </c>
      <c r="E115" s="499"/>
      <c r="F115" s="500">
        <v>1</v>
      </c>
      <c r="G115" s="501" t="s">
        <v>272</v>
      </c>
      <c r="H115" s="502"/>
      <c r="I115" s="503">
        <f t="shared" si="1"/>
        <v>10676.509999999998</v>
      </c>
    </row>
    <row r="116" spans="2:9">
      <c r="B116" s="512">
        <v>45677</v>
      </c>
      <c r="C116" s="507" t="s">
        <v>283</v>
      </c>
      <c r="D116" s="505" t="s">
        <v>307</v>
      </c>
      <c r="E116" s="499">
        <v>473.6</v>
      </c>
      <c r="F116" s="500"/>
      <c r="G116" s="501" t="s">
        <v>190</v>
      </c>
      <c r="H116" s="502"/>
      <c r="I116" s="503">
        <f t="shared" si="1"/>
        <v>11150.109999999999</v>
      </c>
    </row>
    <row r="117" spans="2:9">
      <c r="B117" s="512">
        <v>45677</v>
      </c>
      <c r="C117" s="507" t="s">
        <v>283</v>
      </c>
      <c r="D117" s="505" t="s">
        <v>307</v>
      </c>
      <c r="E117" s="499">
        <v>512</v>
      </c>
      <c r="F117" s="500"/>
      <c r="G117" s="501" t="s">
        <v>190</v>
      </c>
      <c r="H117" s="508"/>
      <c r="I117" s="503">
        <f t="shared" si="1"/>
        <v>11662.109999999999</v>
      </c>
    </row>
    <row r="118" spans="2:9">
      <c r="B118" s="512">
        <v>45677</v>
      </c>
      <c r="C118" s="507" t="s">
        <v>283</v>
      </c>
      <c r="D118" s="505" t="s">
        <v>307</v>
      </c>
      <c r="E118" s="499">
        <v>974</v>
      </c>
      <c r="F118" s="500"/>
      <c r="G118" s="501" t="s">
        <v>190</v>
      </c>
      <c r="H118" s="508"/>
      <c r="I118" s="503">
        <f t="shared" si="1"/>
        <v>12636.109999999999</v>
      </c>
    </row>
    <row r="119" spans="2:9">
      <c r="B119" s="512">
        <v>45677</v>
      </c>
      <c r="C119" s="507" t="s">
        <v>283</v>
      </c>
      <c r="D119" s="505" t="s">
        <v>307</v>
      </c>
      <c r="E119" s="499">
        <v>1604.8</v>
      </c>
      <c r="F119" s="500"/>
      <c r="G119" s="501" t="s">
        <v>190</v>
      </c>
      <c r="H119" s="508"/>
      <c r="I119" s="503">
        <f t="shared" si="1"/>
        <v>14240.909999999998</v>
      </c>
    </row>
    <row r="120" spans="2:9">
      <c r="B120" s="512">
        <v>45677</v>
      </c>
      <c r="C120" s="507" t="s">
        <v>283</v>
      </c>
      <c r="D120" s="505" t="s">
        <v>307</v>
      </c>
      <c r="E120" s="499">
        <v>1054.8</v>
      </c>
      <c r="F120" s="500"/>
      <c r="G120" s="501" t="s">
        <v>190</v>
      </c>
      <c r="H120" s="508"/>
      <c r="I120" s="503">
        <f t="shared" si="1"/>
        <v>15295.709999999997</v>
      </c>
    </row>
    <row r="121" spans="2:9">
      <c r="B121" s="512">
        <v>45677</v>
      </c>
      <c r="C121" s="507" t="s">
        <v>283</v>
      </c>
      <c r="D121" s="505" t="s">
        <v>912</v>
      </c>
      <c r="E121" s="499">
        <v>1305</v>
      </c>
      <c r="F121" s="500"/>
      <c r="G121" s="501" t="s">
        <v>190</v>
      </c>
      <c r="H121" s="508"/>
      <c r="I121" s="503">
        <f t="shared" si="1"/>
        <v>16600.71</v>
      </c>
    </row>
    <row r="122" spans="2:9">
      <c r="B122" s="512">
        <v>45677</v>
      </c>
      <c r="C122" s="507" t="s">
        <v>117</v>
      </c>
      <c r="D122" s="505" t="s">
        <v>918</v>
      </c>
      <c r="E122" s="499"/>
      <c r="F122" s="500">
        <v>13.1</v>
      </c>
      <c r="G122" s="501" t="s">
        <v>270</v>
      </c>
      <c r="H122" s="508"/>
      <c r="I122" s="503">
        <f t="shared" si="1"/>
        <v>16587.61</v>
      </c>
    </row>
    <row r="123" spans="2:9">
      <c r="B123" s="512">
        <v>45677</v>
      </c>
      <c r="C123" s="507" t="s">
        <v>283</v>
      </c>
      <c r="D123" s="505" t="s">
        <v>909</v>
      </c>
      <c r="E123" s="499">
        <v>569</v>
      </c>
      <c r="F123" s="500"/>
      <c r="G123" s="501" t="s">
        <v>190</v>
      </c>
      <c r="H123" s="508"/>
      <c r="I123" s="503">
        <f t="shared" si="1"/>
        <v>17156.61</v>
      </c>
    </row>
    <row r="124" spans="2:9">
      <c r="B124" s="512">
        <v>45677</v>
      </c>
      <c r="C124" s="507" t="s">
        <v>117</v>
      </c>
      <c r="D124" s="505" t="s">
        <v>911</v>
      </c>
      <c r="E124" s="499"/>
      <c r="F124" s="500">
        <v>7.71</v>
      </c>
      <c r="G124" s="501" t="s">
        <v>269</v>
      </c>
      <c r="H124" s="508"/>
      <c r="I124" s="503">
        <f t="shared" si="1"/>
        <v>17148.900000000001</v>
      </c>
    </row>
    <row r="125" spans="2:9">
      <c r="B125" s="512">
        <v>45678</v>
      </c>
      <c r="C125" s="497" t="s">
        <v>117</v>
      </c>
      <c r="D125" s="498" t="s">
        <v>938</v>
      </c>
      <c r="E125" s="499">
        <v>100</v>
      </c>
      <c r="F125" s="500"/>
      <c r="G125" s="501" t="s">
        <v>197</v>
      </c>
      <c r="H125" s="508" t="s">
        <v>554</v>
      </c>
      <c r="I125" s="503">
        <f t="shared" si="1"/>
        <v>17248.900000000001</v>
      </c>
    </row>
    <row r="126" spans="2:9">
      <c r="B126" s="512">
        <v>45678</v>
      </c>
      <c r="C126" s="507" t="s">
        <v>283</v>
      </c>
      <c r="D126" s="505" t="s">
        <v>912</v>
      </c>
      <c r="E126" s="499">
        <v>576.5</v>
      </c>
      <c r="F126" s="500"/>
      <c r="G126" s="501" t="s">
        <v>190</v>
      </c>
      <c r="H126" s="508"/>
      <c r="I126" s="503">
        <f t="shared" si="1"/>
        <v>17825.400000000001</v>
      </c>
    </row>
    <row r="127" spans="2:9">
      <c r="B127" s="512">
        <v>45678</v>
      </c>
      <c r="C127" s="507" t="s">
        <v>117</v>
      </c>
      <c r="D127" s="505" t="s">
        <v>918</v>
      </c>
      <c r="E127" s="499"/>
      <c r="F127" s="500">
        <v>5.78</v>
      </c>
      <c r="G127" s="501" t="s">
        <v>270</v>
      </c>
      <c r="H127" s="508"/>
      <c r="I127" s="503">
        <f t="shared" si="1"/>
        <v>17819.620000000003</v>
      </c>
    </row>
    <row r="128" spans="2:9">
      <c r="B128" s="512">
        <v>45678</v>
      </c>
      <c r="C128" s="507" t="s">
        <v>283</v>
      </c>
      <c r="D128" s="505" t="s">
        <v>307</v>
      </c>
      <c r="E128" s="499">
        <v>315</v>
      </c>
      <c r="F128" s="500"/>
      <c r="G128" s="501" t="s">
        <v>190</v>
      </c>
      <c r="H128" s="508"/>
      <c r="I128" s="503">
        <f t="shared" si="1"/>
        <v>18134.620000000003</v>
      </c>
    </row>
    <row r="129" spans="2:9">
      <c r="B129" s="512">
        <v>45678</v>
      </c>
      <c r="C129" s="507" t="s">
        <v>283</v>
      </c>
      <c r="D129" s="505" t="s">
        <v>307</v>
      </c>
      <c r="E129" s="499">
        <v>36</v>
      </c>
      <c r="F129" s="500"/>
      <c r="G129" s="501" t="s">
        <v>190</v>
      </c>
      <c r="H129" s="508"/>
      <c r="I129" s="503">
        <f t="shared" si="1"/>
        <v>18170.620000000003</v>
      </c>
    </row>
    <row r="130" spans="2:9">
      <c r="B130" s="512">
        <v>45678</v>
      </c>
      <c r="C130" s="507" t="s">
        <v>283</v>
      </c>
      <c r="D130" s="505" t="s">
        <v>909</v>
      </c>
      <c r="E130" s="499">
        <v>270</v>
      </c>
      <c r="F130" s="500"/>
      <c r="G130" s="501" t="s">
        <v>190</v>
      </c>
      <c r="H130" s="502"/>
      <c r="I130" s="503">
        <f t="shared" si="1"/>
        <v>18440.620000000003</v>
      </c>
    </row>
    <row r="131" spans="2:9">
      <c r="B131" s="512">
        <v>45678</v>
      </c>
      <c r="C131" s="507" t="s">
        <v>117</v>
      </c>
      <c r="D131" s="505" t="s">
        <v>911</v>
      </c>
      <c r="E131" s="499"/>
      <c r="F131" s="500">
        <v>2.57</v>
      </c>
      <c r="G131" s="501" t="s">
        <v>269</v>
      </c>
      <c r="H131" s="502"/>
      <c r="I131" s="503">
        <f t="shared" si="1"/>
        <v>18438.050000000003</v>
      </c>
    </row>
    <row r="132" spans="2:9">
      <c r="B132" s="512">
        <v>45679</v>
      </c>
      <c r="C132" s="497" t="s">
        <v>513</v>
      </c>
      <c r="D132" s="498" t="s">
        <v>557</v>
      </c>
      <c r="E132" s="499"/>
      <c r="F132" s="500">
        <v>1511</v>
      </c>
      <c r="G132" s="501" t="s">
        <v>197</v>
      </c>
      <c r="H132" s="508" t="s">
        <v>554</v>
      </c>
      <c r="I132" s="503">
        <f t="shared" si="1"/>
        <v>16927.050000000003</v>
      </c>
    </row>
    <row r="133" spans="2:9">
      <c r="B133" s="512">
        <v>45679</v>
      </c>
      <c r="C133" s="497" t="s">
        <v>513</v>
      </c>
      <c r="D133" s="498" t="s">
        <v>25</v>
      </c>
      <c r="E133" s="499"/>
      <c r="F133" s="500">
        <v>1236</v>
      </c>
      <c r="G133" s="501" t="s">
        <v>197</v>
      </c>
      <c r="H133" s="508" t="s">
        <v>554</v>
      </c>
      <c r="I133" s="503">
        <f t="shared" si="1"/>
        <v>15691.050000000003</v>
      </c>
    </row>
    <row r="134" spans="2:9">
      <c r="B134" s="512">
        <v>45679</v>
      </c>
      <c r="C134" s="497" t="s">
        <v>513</v>
      </c>
      <c r="D134" s="498" t="s">
        <v>558</v>
      </c>
      <c r="E134" s="499"/>
      <c r="F134" s="500">
        <v>576</v>
      </c>
      <c r="G134" s="501" t="s">
        <v>197</v>
      </c>
      <c r="H134" s="508" t="s">
        <v>554</v>
      </c>
      <c r="I134" s="503">
        <f t="shared" si="1"/>
        <v>15115.050000000003</v>
      </c>
    </row>
    <row r="135" spans="2:9">
      <c r="B135" s="512">
        <v>45679</v>
      </c>
      <c r="C135" s="497" t="s">
        <v>513</v>
      </c>
      <c r="D135" s="498" t="s">
        <v>559</v>
      </c>
      <c r="E135" s="499"/>
      <c r="F135" s="500">
        <v>1050</v>
      </c>
      <c r="G135" s="501" t="s">
        <v>197</v>
      </c>
      <c r="H135" s="508" t="s">
        <v>554</v>
      </c>
      <c r="I135" s="503">
        <f t="shared" si="1"/>
        <v>14065.050000000003</v>
      </c>
    </row>
    <row r="136" spans="2:9">
      <c r="B136" s="512">
        <v>45679</v>
      </c>
      <c r="C136" s="497" t="s">
        <v>513</v>
      </c>
      <c r="D136" s="498" t="s">
        <v>26</v>
      </c>
      <c r="E136" s="499"/>
      <c r="F136" s="500">
        <v>1122</v>
      </c>
      <c r="G136" s="501" t="s">
        <v>197</v>
      </c>
      <c r="H136" s="508" t="s">
        <v>554</v>
      </c>
      <c r="I136" s="503">
        <f t="shared" si="1"/>
        <v>12943.050000000003</v>
      </c>
    </row>
    <row r="137" spans="2:9">
      <c r="B137" s="512">
        <v>45679</v>
      </c>
      <c r="C137" s="507" t="s">
        <v>513</v>
      </c>
      <c r="D137" s="505" t="s">
        <v>29</v>
      </c>
      <c r="E137" s="499"/>
      <c r="F137" s="500">
        <v>1379</v>
      </c>
      <c r="G137" s="501" t="s">
        <v>197</v>
      </c>
      <c r="H137" s="508" t="s">
        <v>554</v>
      </c>
      <c r="I137" s="503">
        <f t="shared" si="1"/>
        <v>11564.050000000003</v>
      </c>
    </row>
    <row r="138" spans="2:9">
      <c r="B138" s="512">
        <v>45679</v>
      </c>
      <c r="C138" s="497" t="s">
        <v>513</v>
      </c>
      <c r="D138" s="498" t="s">
        <v>28</v>
      </c>
      <c r="E138" s="499"/>
      <c r="F138" s="500">
        <v>1509</v>
      </c>
      <c r="G138" s="501" t="s">
        <v>197</v>
      </c>
      <c r="H138" s="508" t="s">
        <v>554</v>
      </c>
      <c r="I138" s="503">
        <f t="shared" ref="I138:I201" si="2">I137+E138-F138</f>
        <v>10055.050000000003</v>
      </c>
    </row>
    <row r="139" spans="2:9">
      <c r="B139" s="512">
        <v>45679</v>
      </c>
      <c r="C139" s="497" t="s">
        <v>117</v>
      </c>
      <c r="D139" s="498" t="s">
        <v>903</v>
      </c>
      <c r="E139" s="499"/>
      <c r="F139" s="500">
        <v>4.8</v>
      </c>
      <c r="G139" s="501" t="s">
        <v>272</v>
      </c>
      <c r="H139" s="508"/>
      <c r="I139" s="503">
        <f t="shared" si="2"/>
        <v>10050.250000000004</v>
      </c>
    </row>
    <row r="140" spans="2:9">
      <c r="B140" s="512">
        <v>45679</v>
      </c>
      <c r="C140" s="507" t="s">
        <v>283</v>
      </c>
      <c r="D140" s="505" t="s">
        <v>307</v>
      </c>
      <c r="E140" s="499">
        <v>37.6</v>
      </c>
      <c r="F140" s="500"/>
      <c r="G140" s="501" t="s">
        <v>190</v>
      </c>
      <c r="H140" s="502"/>
      <c r="I140" s="503">
        <f t="shared" si="2"/>
        <v>10087.850000000004</v>
      </c>
    </row>
    <row r="141" spans="2:9">
      <c r="B141" s="512">
        <v>45679</v>
      </c>
      <c r="C141" s="507" t="s">
        <v>283</v>
      </c>
      <c r="D141" s="505" t="s">
        <v>307</v>
      </c>
      <c r="E141" s="499">
        <v>216.6</v>
      </c>
      <c r="F141" s="500"/>
      <c r="G141" s="501" t="s">
        <v>190</v>
      </c>
      <c r="H141" s="502"/>
      <c r="I141" s="503">
        <f t="shared" si="2"/>
        <v>10304.450000000004</v>
      </c>
    </row>
    <row r="142" spans="2:9">
      <c r="B142" s="512">
        <v>45679</v>
      </c>
      <c r="C142" s="497" t="s">
        <v>513</v>
      </c>
      <c r="D142" s="498" t="s">
        <v>560</v>
      </c>
      <c r="E142" s="499"/>
      <c r="F142" s="500">
        <v>914</v>
      </c>
      <c r="G142" s="501" t="s">
        <v>197</v>
      </c>
      <c r="H142" s="508" t="s">
        <v>554</v>
      </c>
      <c r="I142" s="503">
        <f t="shared" si="2"/>
        <v>9390.4500000000044</v>
      </c>
    </row>
    <row r="143" spans="2:9">
      <c r="B143" s="512">
        <v>45679</v>
      </c>
      <c r="C143" s="497" t="s">
        <v>513</v>
      </c>
      <c r="D143" s="498" t="s">
        <v>537</v>
      </c>
      <c r="E143" s="499"/>
      <c r="F143" s="500">
        <v>98</v>
      </c>
      <c r="G143" s="501" t="s">
        <v>197</v>
      </c>
      <c r="H143" s="508" t="s">
        <v>554</v>
      </c>
      <c r="I143" s="503">
        <f t="shared" si="2"/>
        <v>9292.4500000000044</v>
      </c>
    </row>
    <row r="144" spans="2:9">
      <c r="B144" s="512">
        <v>45679</v>
      </c>
      <c r="C144" s="497" t="s">
        <v>117</v>
      </c>
      <c r="D144" s="498" t="s">
        <v>903</v>
      </c>
      <c r="E144" s="499"/>
      <c r="F144" s="500">
        <v>0.75</v>
      </c>
      <c r="G144" s="501" t="s">
        <v>272</v>
      </c>
      <c r="H144" s="502"/>
      <c r="I144" s="503">
        <f t="shared" si="2"/>
        <v>9291.7000000000044</v>
      </c>
    </row>
    <row r="145" spans="2:9">
      <c r="B145" s="512">
        <v>45680</v>
      </c>
      <c r="C145" s="507" t="s">
        <v>283</v>
      </c>
      <c r="D145" s="505" t="s">
        <v>307</v>
      </c>
      <c r="E145" s="499">
        <v>43.9</v>
      </c>
      <c r="F145" s="500"/>
      <c r="G145" s="501" t="s">
        <v>190</v>
      </c>
      <c r="H145" s="502"/>
      <c r="I145" s="503">
        <f t="shared" si="2"/>
        <v>9335.600000000004</v>
      </c>
    </row>
    <row r="146" spans="2:9">
      <c r="B146" s="512">
        <v>45680</v>
      </c>
      <c r="C146" s="507" t="s">
        <v>283</v>
      </c>
      <c r="D146" s="505" t="s">
        <v>307</v>
      </c>
      <c r="E146" s="499">
        <v>366.5</v>
      </c>
      <c r="F146" s="500"/>
      <c r="G146" s="501" t="s">
        <v>190</v>
      </c>
      <c r="H146" s="502"/>
      <c r="I146" s="503">
        <f t="shared" si="2"/>
        <v>9702.100000000004</v>
      </c>
    </row>
    <row r="147" spans="2:9">
      <c r="B147" s="512">
        <v>45681</v>
      </c>
      <c r="C147" s="507" t="s">
        <v>283</v>
      </c>
      <c r="D147" s="505" t="s">
        <v>307</v>
      </c>
      <c r="E147" s="499">
        <v>107.5</v>
      </c>
      <c r="F147" s="500"/>
      <c r="G147" s="501" t="s">
        <v>190</v>
      </c>
      <c r="H147" s="502"/>
      <c r="I147" s="503">
        <f t="shared" si="2"/>
        <v>9809.600000000004</v>
      </c>
    </row>
    <row r="148" spans="2:9">
      <c r="B148" s="512">
        <v>45681</v>
      </c>
      <c r="C148" s="507" t="s">
        <v>283</v>
      </c>
      <c r="D148" s="505" t="s">
        <v>307</v>
      </c>
      <c r="E148" s="499">
        <v>547.70000000000005</v>
      </c>
      <c r="F148" s="500"/>
      <c r="G148" s="501" t="s">
        <v>190</v>
      </c>
      <c r="H148" s="508"/>
      <c r="I148" s="503">
        <f t="shared" si="2"/>
        <v>10357.300000000005</v>
      </c>
    </row>
    <row r="149" spans="2:9">
      <c r="B149" s="512">
        <v>45684</v>
      </c>
      <c r="C149" s="497" t="s">
        <v>939</v>
      </c>
      <c r="D149" s="498" t="s">
        <v>100</v>
      </c>
      <c r="E149" s="499"/>
      <c r="F149" s="500">
        <v>1266.6600000000001</v>
      </c>
      <c r="G149" s="501" t="s">
        <v>139</v>
      </c>
      <c r="H149" s="502"/>
      <c r="I149" s="503">
        <f t="shared" si="2"/>
        <v>9090.6400000000049</v>
      </c>
    </row>
    <row r="150" spans="2:9">
      <c r="B150" s="512">
        <v>45684</v>
      </c>
      <c r="C150" s="497" t="s">
        <v>939</v>
      </c>
      <c r="D150" s="498" t="s">
        <v>100</v>
      </c>
      <c r="E150" s="499"/>
      <c r="F150" s="500">
        <v>278.67</v>
      </c>
      <c r="G150" s="501" t="s">
        <v>274</v>
      </c>
      <c r="H150" s="502"/>
      <c r="I150" s="503">
        <f t="shared" si="2"/>
        <v>8811.9700000000048</v>
      </c>
    </row>
    <row r="151" spans="2:9">
      <c r="B151" s="512">
        <v>45684</v>
      </c>
      <c r="C151" s="497" t="s">
        <v>117</v>
      </c>
      <c r="D151" s="498" t="s">
        <v>903</v>
      </c>
      <c r="E151" s="499"/>
      <c r="F151" s="500">
        <v>1</v>
      </c>
      <c r="G151" s="501" t="s">
        <v>272</v>
      </c>
      <c r="H151" s="502"/>
      <c r="I151" s="503">
        <f t="shared" si="2"/>
        <v>8810.9700000000048</v>
      </c>
    </row>
    <row r="152" spans="2:9">
      <c r="B152" s="512">
        <v>45684</v>
      </c>
      <c r="C152" s="507" t="s">
        <v>940</v>
      </c>
      <c r="D152" s="505" t="s">
        <v>941</v>
      </c>
      <c r="E152" s="499"/>
      <c r="F152" s="500">
        <v>1620</v>
      </c>
      <c r="G152" s="501"/>
      <c r="H152" s="508" t="s">
        <v>554</v>
      </c>
      <c r="I152" s="503">
        <f t="shared" si="2"/>
        <v>7190.9700000000048</v>
      </c>
    </row>
    <row r="153" spans="2:9">
      <c r="B153" s="512">
        <v>45684</v>
      </c>
      <c r="C153" s="507" t="s">
        <v>940</v>
      </c>
      <c r="D153" s="505" t="s">
        <v>941</v>
      </c>
      <c r="E153" s="499"/>
      <c r="F153" s="500">
        <v>356.4</v>
      </c>
      <c r="G153" s="501"/>
      <c r="H153" s="508" t="s">
        <v>554</v>
      </c>
      <c r="I153" s="503">
        <f t="shared" si="2"/>
        <v>6834.5700000000052</v>
      </c>
    </row>
    <row r="154" spans="2:9">
      <c r="B154" s="512">
        <v>45684</v>
      </c>
      <c r="C154" s="497">
        <v>221</v>
      </c>
      <c r="D154" s="505" t="s">
        <v>941</v>
      </c>
      <c r="E154" s="499"/>
      <c r="F154" s="500">
        <v>557</v>
      </c>
      <c r="G154" s="501"/>
      <c r="H154" s="508" t="s">
        <v>554</v>
      </c>
      <c r="I154" s="503">
        <f t="shared" si="2"/>
        <v>6277.5700000000052</v>
      </c>
    </row>
    <row r="155" spans="2:9">
      <c r="B155" s="512">
        <v>45684</v>
      </c>
      <c r="C155" s="497">
        <v>221</v>
      </c>
      <c r="D155" s="505" t="s">
        <v>941</v>
      </c>
      <c r="E155" s="499"/>
      <c r="F155" s="500">
        <v>122.54</v>
      </c>
      <c r="G155" s="501"/>
      <c r="H155" s="508" t="s">
        <v>554</v>
      </c>
      <c r="I155" s="503">
        <f t="shared" si="2"/>
        <v>6155.0300000000052</v>
      </c>
    </row>
    <row r="156" spans="2:9">
      <c r="B156" s="512">
        <v>45684</v>
      </c>
      <c r="C156" s="497" t="s">
        <v>117</v>
      </c>
      <c r="D156" s="498" t="s">
        <v>903</v>
      </c>
      <c r="E156" s="499"/>
      <c r="F156" s="500">
        <v>1</v>
      </c>
      <c r="G156" s="501" t="s">
        <v>272</v>
      </c>
      <c r="H156" s="508"/>
      <c r="I156" s="503">
        <f t="shared" si="2"/>
        <v>6154.0300000000052</v>
      </c>
    </row>
    <row r="157" spans="2:9">
      <c r="B157" s="512">
        <v>45684</v>
      </c>
      <c r="C157" s="507" t="s">
        <v>942</v>
      </c>
      <c r="D157" s="505" t="s">
        <v>943</v>
      </c>
      <c r="E157" s="499"/>
      <c r="F157" s="500">
        <v>35.83</v>
      </c>
      <c r="G157" s="501" t="s">
        <v>197</v>
      </c>
      <c r="H157" s="502" t="s">
        <v>944</v>
      </c>
      <c r="I157" s="503">
        <f t="shared" si="2"/>
        <v>6118.2000000000053</v>
      </c>
    </row>
    <row r="158" spans="2:9">
      <c r="B158" s="512">
        <v>45684</v>
      </c>
      <c r="C158" s="507" t="s">
        <v>942</v>
      </c>
      <c r="D158" s="505" t="s">
        <v>943</v>
      </c>
      <c r="E158" s="499"/>
      <c r="F158" s="500">
        <v>7.88</v>
      </c>
      <c r="G158" s="501" t="s">
        <v>197</v>
      </c>
      <c r="H158" s="502" t="s">
        <v>944</v>
      </c>
      <c r="I158" s="503">
        <f t="shared" si="2"/>
        <v>6110.3200000000052</v>
      </c>
    </row>
    <row r="159" spans="2:9">
      <c r="B159" s="512">
        <v>45684</v>
      </c>
      <c r="C159" s="507" t="s">
        <v>945</v>
      </c>
      <c r="D159" s="505" t="s">
        <v>946</v>
      </c>
      <c r="E159" s="499"/>
      <c r="F159" s="500">
        <v>412.9</v>
      </c>
      <c r="G159" s="501" t="s">
        <v>197</v>
      </c>
      <c r="H159" s="502" t="s">
        <v>944</v>
      </c>
      <c r="I159" s="503">
        <f t="shared" si="2"/>
        <v>5697.4200000000055</v>
      </c>
    </row>
    <row r="160" spans="2:9">
      <c r="B160" s="512">
        <v>45684</v>
      </c>
      <c r="C160" s="497" t="s">
        <v>947</v>
      </c>
      <c r="D160" s="498" t="s">
        <v>948</v>
      </c>
      <c r="E160" s="499"/>
      <c r="F160" s="500">
        <v>322.12</v>
      </c>
      <c r="G160" s="501" t="s">
        <v>205</v>
      </c>
      <c r="H160" s="502" t="s">
        <v>944</v>
      </c>
      <c r="I160" s="503">
        <f t="shared" si="2"/>
        <v>5375.3000000000056</v>
      </c>
    </row>
    <row r="161" spans="2:9">
      <c r="B161" s="512">
        <v>45684</v>
      </c>
      <c r="C161" s="507" t="s">
        <v>947</v>
      </c>
      <c r="D161" s="505" t="s">
        <v>948</v>
      </c>
      <c r="E161" s="499"/>
      <c r="F161" s="500">
        <v>70.88</v>
      </c>
      <c r="G161" s="501" t="s">
        <v>274</v>
      </c>
      <c r="H161" s="502" t="s">
        <v>944</v>
      </c>
      <c r="I161" s="503">
        <f t="shared" si="2"/>
        <v>5304.4200000000055</v>
      </c>
    </row>
    <row r="162" spans="2:9">
      <c r="B162" s="512">
        <v>45684</v>
      </c>
      <c r="C162" s="507" t="s">
        <v>949</v>
      </c>
      <c r="D162" s="505" t="s">
        <v>950</v>
      </c>
      <c r="E162" s="499"/>
      <c r="F162" s="500">
        <v>27.78</v>
      </c>
      <c r="G162" s="501" t="s">
        <v>197</v>
      </c>
      <c r="H162" s="502" t="s">
        <v>944</v>
      </c>
      <c r="I162" s="503">
        <f t="shared" si="2"/>
        <v>5276.6400000000058</v>
      </c>
    </row>
    <row r="163" spans="2:9">
      <c r="B163" s="512">
        <v>45684</v>
      </c>
      <c r="C163" s="507" t="s">
        <v>949</v>
      </c>
      <c r="D163" s="505" t="s">
        <v>950</v>
      </c>
      <c r="E163" s="499"/>
      <c r="F163" s="500">
        <v>6.12</v>
      </c>
      <c r="G163" s="501" t="s">
        <v>197</v>
      </c>
      <c r="H163" s="502" t="s">
        <v>944</v>
      </c>
      <c r="I163" s="503">
        <f t="shared" si="2"/>
        <v>5270.5200000000059</v>
      </c>
    </row>
    <row r="164" spans="2:9">
      <c r="B164" s="512">
        <v>45684</v>
      </c>
      <c r="C164" s="507" t="s">
        <v>951</v>
      </c>
      <c r="D164" s="505" t="s">
        <v>952</v>
      </c>
      <c r="E164" s="499"/>
      <c r="F164" s="500">
        <v>73.650000000000006</v>
      </c>
      <c r="G164" s="501" t="s">
        <v>197</v>
      </c>
      <c r="H164" s="502" t="s">
        <v>944</v>
      </c>
      <c r="I164" s="503">
        <f t="shared" si="2"/>
        <v>5196.8700000000063</v>
      </c>
    </row>
    <row r="165" spans="2:9">
      <c r="B165" s="512">
        <v>45684</v>
      </c>
      <c r="C165" s="507" t="s">
        <v>951</v>
      </c>
      <c r="D165" s="505" t="s">
        <v>952</v>
      </c>
      <c r="E165" s="499"/>
      <c r="F165" s="500">
        <v>15.65</v>
      </c>
      <c r="G165" s="501" t="s">
        <v>197</v>
      </c>
      <c r="H165" s="502" t="s">
        <v>944</v>
      </c>
      <c r="I165" s="503">
        <f t="shared" si="2"/>
        <v>5181.2200000000066</v>
      </c>
    </row>
    <row r="166" spans="2:9">
      <c r="B166" s="512">
        <v>45684</v>
      </c>
      <c r="C166" s="507" t="s">
        <v>953</v>
      </c>
      <c r="D166" s="505" t="s">
        <v>952</v>
      </c>
      <c r="E166" s="499"/>
      <c r="F166" s="500">
        <v>8.9700000000000006</v>
      </c>
      <c r="G166" s="501" t="s">
        <v>197</v>
      </c>
      <c r="H166" s="502" t="s">
        <v>944</v>
      </c>
      <c r="I166" s="503">
        <f t="shared" si="2"/>
        <v>5172.2500000000064</v>
      </c>
    </row>
    <row r="167" spans="2:9">
      <c r="B167" s="512">
        <v>45684</v>
      </c>
      <c r="C167" s="507" t="s">
        <v>953</v>
      </c>
      <c r="D167" s="505" t="s">
        <v>952</v>
      </c>
      <c r="E167" s="499"/>
      <c r="F167" s="500">
        <v>1.97</v>
      </c>
      <c r="G167" s="501" t="s">
        <v>197</v>
      </c>
      <c r="H167" s="502" t="s">
        <v>944</v>
      </c>
      <c r="I167" s="503">
        <f t="shared" si="2"/>
        <v>5170.2800000000061</v>
      </c>
    </row>
    <row r="168" spans="2:9">
      <c r="B168" s="512">
        <v>45684</v>
      </c>
      <c r="C168" s="507" t="s">
        <v>117</v>
      </c>
      <c r="D168" s="505" t="s">
        <v>908</v>
      </c>
      <c r="E168" s="499"/>
      <c r="F168" s="500">
        <v>2</v>
      </c>
      <c r="G168" s="501" t="s">
        <v>254</v>
      </c>
      <c r="H168" s="502" t="s">
        <v>944</v>
      </c>
      <c r="I168" s="503">
        <f t="shared" si="2"/>
        <v>5168.2800000000061</v>
      </c>
    </row>
    <row r="169" spans="2:9">
      <c r="B169" s="512">
        <v>45684</v>
      </c>
      <c r="C169" s="497" t="s">
        <v>117</v>
      </c>
      <c r="D169" s="498" t="s">
        <v>921</v>
      </c>
      <c r="E169" s="499"/>
      <c r="F169" s="500">
        <v>1.25</v>
      </c>
      <c r="G169" s="501" t="s">
        <v>271</v>
      </c>
      <c r="H169" s="508"/>
      <c r="I169" s="503">
        <f t="shared" si="2"/>
        <v>5167.0300000000061</v>
      </c>
    </row>
    <row r="170" spans="2:9">
      <c r="B170" s="512">
        <v>45684</v>
      </c>
      <c r="C170" s="497" t="s">
        <v>954</v>
      </c>
      <c r="D170" s="498" t="s">
        <v>955</v>
      </c>
      <c r="E170" s="499"/>
      <c r="F170" s="500">
        <v>349.56</v>
      </c>
      <c r="G170" s="501" t="s">
        <v>197</v>
      </c>
      <c r="H170" s="502" t="s">
        <v>956</v>
      </c>
      <c r="I170" s="503">
        <f t="shared" si="2"/>
        <v>4817.4700000000057</v>
      </c>
    </row>
    <row r="171" spans="2:9">
      <c r="B171" s="512">
        <v>45684</v>
      </c>
      <c r="C171" s="497" t="s">
        <v>954</v>
      </c>
      <c r="D171" s="498" t="s">
        <v>955</v>
      </c>
      <c r="E171" s="499"/>
      <c r="F171" s="500">
        <v>16.23</v>
      </c>
      <c r="G171" s="501" t="s">
        <v>197</v>
      </c>
      <c r="H171" s="502" t="s">
        <v>956</v>
      </c>
      <c r="I171" s="503">
        <f t="shared" si="2"/>
        <v>4801.2400000000061</v>
      </c>
    </row>
    <row r="172" spans="2:9">
      <c r="B172" s="512">
        <v>45684</v>
      </c>
      <c r="C172" s="511" t="s">
        <v>957</v>
      </c>
      <c r="D172" s="498" t="s">
        <v>958</v>
      </c>
      <c r="E172" s="499"/>
      <c r="F172" s="500">
        <v>379.75</v>
      </c>
      <c r="G172" s="501" t="s">
        <v>197</v>
      </c>
      <c r="H172" s="502" t="s">
        <v>956</v>
      </c>
      <c r="I172" s="503">
        <f t="shared" si="2"/>
        <v>4421.4900000000061</v>
      </c>
    </row>
    <row r="173" spans="2:9">
      <c r="B173" s="512">
        <v>45684</v>
      </c>
      <c r="C173" s="511" t="s">
        <v>957</v>
      </c>
      <c r="D173" s="498" t="s">
        <v>958</v>
      </c>
      <c r="E173" s="499"/>
      <c r="F173" s="500">
        <v>83.55</v>
      </c>
      <c r="G173" s="501" t="s">
        <v>197</v>
      </c>
      <c r="H173" s="502" t="s">
        <v>956</v>
      </c>
      <c r="I173" s="503">
        <f t="shared" si="2"/>
        <v>4337.940000000006</v>
      </c>
    </row>
    <row r="174" spans="2:9">
      <c r="B174" s="512">
        <v>45684</v>
      </c>
      <c r="C174" s="497" t="s">
        <v>959</v>
      </c>
      <c r="D174" s="498" t="s">
        <v>960</v>
      </c>
      <c r="E174" s="499"/>
      <c r="F174" s="500">
        <v>1300</v>
      </c>
      <c r="G174" s="501" t="s">
        <v>197</v>
      </c>
      <c r="H174" s="502" t="s">
        <v>956</v>
      </c>
      <c r="I174" s="503">
        <f t="shared" si="2"/>
        <v>3037.940000000006</v>
      </c>
    </row>
    <row r="175" spans="2:9">
      <c r="B175" s="512">
        <v>45684</v>
      </c>
      <c r="C175" s="497" t="s">
        <v>117</v>
      </c>
      <c r="D175" s="498" t="s">
        <v>961</v>
      </c>
      <c r="E175" s="499"/>
      <c r="F175" s="500">
        <f>2132.38-2129.09</f>
        <v>3.2899999999999636</v>
      </c>
      <c r="G175" s="501" t="s">
        <v>265</v>
      </c>
      <c r="H175" s="502"/>
      <c r="I175" s="503">
        <f t="shared" si="2"/>
        <v>3034.650000000006</v>
      </c>
    </row>
    <row r="176" spans="2:9">
      <c r="B176" s="512">
        <v>45684</v>
      </c>
      <c r="C176" s="507" t="s">
        <v>283</v>
      </c>
      <c r="D176" s="505" t="s">
        <v>307</v>
      </c>
      <c r="E176" s="499">
        <v>364.3</v>
      </c>
      <c r="F176" s="500"/>
      <c r="G176" s="501" t="s">
        <v>190</v>
      </c>
      <c r="H176" s="502"/>
      <c r="I176" s="503">
        <f t="shared" si="2"/>
        <v>3398.9500000000062</v>
      </c>
    </row>
    <row r="177" spans="2:9">
      <c r="B177" s="512">
        <v>45684</v>
      </c>
      <c r="C177" s="507" t="s">
        <v>283</v>
      </c>
      <c r="D177" s="505" t="s">
        <v>307</v>
      </c>
      <c r="E177" s="499">
        <v>430.9</v>
      </c>
      <c r="F177" s="500"/>
      <c r="G177" s="501" t="s">
        <v>190</v>
      </c>
      <c r="H177" s="502"/>
      <c r="I177" s="503">
        <f t="shared" si="2"/>
        <v>3829.8500000000063</v>
      </c>
    </row>
    <row r="178" spans="2:9">
      <c r="B178" s="512">
        <v>45684</v>
      </c>
      <c r="C178" s="507" t="s">
        <v>283</v>
      </c>
      <c r="D178" s="505" t="s">
        <v>307</v>
      </c>
      <c r="E178" s="499">
        <v>216.5</v>
      </c>
      <c r="F178" s="500"/>
      <c r="G178" s="501" t="s">
        <v>190</v>
      </c>
      <c r="H178" s="502"/>
      <c r="I178" s="503">
        <f t="shared" si="2"/>
        <v>4046.3500000000063</v>
      </c>
    </row>
    <row r="179" spans="2:9">
      <c r="B179" s="512">
        <v>45684</v>
      </c>
      <c r="C179" s="507" t="s">
        <v>283</v>
      </c>
      <c r="D179" s="505" t="s">
        <v>307</v>
      </c>
      <c r="E179" s="499">
        <v>481</v>
      </c>
      <c r="F179" s="500"/>
      <c r="G179" s="501" t="s">
        <v>190</v>
      </c>
      <c r="H179" s="502"/>
      <c r="I179" s="503">
        <f t="shared" si="2"/>
        <v>4527.3500000000058</v>
      </c>
    </row>
    <row r="180" spans="2:9">
      <c r="B180" s="512">
        <v>45684</v>
      </c>
      <c r="C180" s="507" t="s">
        <v>283</v>
      </c>
      <c r="D180" s="505" t="s">
        <v>307</v>
      </c>
      <c r="E180" s="499">
        <v>1350.5</v>
      </c>
      <c r="F180" s="500"/>
      <c r="G180" s="501" t="s">
        <v>190</v>
      </c>
      <c r="H180" s="508"/>
      <c r="I180" s="503">
        <f t="shared" si="2"/>
        <v>5877.8500000000058</v>
      </c>
    </row>
    <row r="181" spans="2:9">
      <c r="B181" s="512">
        <v>45684</v>
      </c>
      <c r="C181" s="507" t="s">
        <v>283</v>
      </c>
      <c r="D181" s="505" t="s">
        <v>307</v>
      </c>
      <c r="E181" s="499">
        <v>727.7</v>
      </c>
      <c r="F181" s="500"/>
      <c r="G181" s="501" t="s">
        <v>190</v>
      </c>
      <c r="H181" s="508"/>
      <c r="I181" s="503">
        <f t="shared" si="2"/>
        <v>6605.5500000000056</v>
      </c>
    </row>
    <row r="182" spans="2:9">
      <c r="B182" s="512">
        <v>45686</v>
      </c>
      <c r="C182" s="513" t="s">
        <v>962</v>
      </c>
      <c r="D182" s="514" t="s">
        <v>963</v>
      </c>
      <c r="E182" s="515"/>
      <c r="F182" s="516">
        <v>1235.8900000000001</v>
      </c>
      <c r="G182" s="522" t="s">
        <v>279</v>
      </c>
      <c r="H182" s="508"/>
      <c r="I182" s="503">
        <f t="shared" si="2"/>
        <v>5369.6600000000053</v>
      </c>
    </row>
    <row r="183" spans="2:9">
      <c r="B183" s="512">
        <v>45686</v>
      </c>
      <c r="C183" s="513" t="s">
        <v>962</v>
      </c>
      <c r="D183" s="514" t="s">
        <v>964</v>
      </c>
      <c r="E183" s="515"/>
      <c r="F183" s="516">
        <v>140.82</v>
      </c>
      <c r="G183" s="522" t="s">
        <v>262</v>
      </c>
      <c r="H183" s="508"/>
      <c r="I183" s="503">
        <f t="shared" si="2"/>
        <v>5228.8400000000056</v>
      </c>
    </row>
    <row r="184" spans="2:9">
      <c r="B184" s="512">
        <v>45686</v>
      </c>
      <c r="C184" s="513" t="s">
        <v>962</v>
      </c>
      <c r="D184" s="514" t="s">
        <v>965</v>
      </c>
      <c r="E184" s="515"/>
      <c r="F184" s="516">
        <v>2.5</v>
      </c>
      <c r="G184" s="522" t="s">
        <v>966</v>
      </c>
      <c r="H184" s="508"/>
      <c r="I184" s="503">
        <f t="shared" si="2"/>
        <v>5226.3400000000056</v>
      </c>
    </row>
    <row r="185" spans="2:9">
      <c r="B185" s="512">
        <v>45686</v>
      </c>
      <c r="C185" s="507" t="s">
        <v>283</v>
      </c>
      <c r="D185" s="505" t="s">
        <v>307</v>
      </c>
      <c r="E185" s="499">
        <v>25.3</v>
      </c>
      <c r="F185" s="500"/>
      <c r="G185" s="501" t="s">
        <v>190</v>
      </c>
      <c r="H185" s="508"/>
      <c r="I185" s="503">
        <f t="shared" si="2"/>
        <v>5251.6400000000058</v>
      </c>
    </row>
    <row r="186" spans="2:9">
      <c r="B186" s="512">
        <v>45686</v>
      </c>
      <c r="C186" s="507" t="s">
        <v>283</v>
      </c>
      <c r="D186" s="505" t="s">
        <v>307</v>
      </c>
      <c r="E186" s="499">
        <v>198</v>
      </c>
      <c r="F186" s="500"/>
      <c r="G186" s="501" t="s">
        <v>190</v>
      </c>
      <c r="H186" s="508"/>
      <c r="I186" s="503">
        <f t="shared" si="2"/>
        <v>5449.6400000000058</v>
      </c>
    </row>
    <row r="187" spans="2:9">
      <c r="B187" s="512">
        <v>45687</v>
      </c>
      <c r="C187" s="507" t="s">
        <v>283</v>
      </c>
      <c r="D187" s="505" t="s">
        <v>307</v>
      </c>
      <c r="E187" s="499">
        <v>27.2</v>
      </c>
      <c r="F187" s="500"/>
      <c r="G187" s="501" t="s">
        <v>190</v>
      </c>
      <c r="H187" s="508"/>
      <c r="I187" s="503">
        <f t="shared" si="2"/>
        <v>5476.8400000000056</v>
      </c>
    </row>
    <row r="188" spans="2:9">
      <c r="B188" s="512">
        <v>45687</v>
      </c>
      <c r="C188" s="507" t="s">
        <v>283</v>
      </c>
      <c r="D188" s="505" t="s">
        <v>307</v>
      </c>
      <c r="E188" s="499">
        <v>563.1</v>
      </c>
      <c r="F188" s="500"/>
      <c r="G188" s="501" t="s">
        <v>190</v>
      </c>
      <c r="H188" s="502"/>
      <c r="I188" s="503">
        <f t="shared" si="2"/>
        <v>6039.940000000006</v>
      </c>
    </row>
    <row r="189" spans="2:9">
      <c r="B189" s="512">
        <v>45688</v>
      </c>
      <c r="C189" s="497" t="s">
        <v>967</v>
      </c>
      <c r="D189" s="498" t="s">
        <v>968</v>
      </c>
      <c r="E189" s="499"/>
      <c r="F189" s="500">
        <v>158.1</v>
      </c>
      <c r="G189" s="501" t="s">
        <v>226</v>
      </c>
      <c r="H189" s="502"/>
      <c r="I189" s="503">
        <f t="shared" si="2"/>
        <v>5881.8400000000056</v>
      </c>
    </row>
    <row r="190" spans="2:9">
      <c r="B190" s="512">
        <v>45688</v>
      </c>
      <c r="C190" s="497" t="s">
        <v>967</v>
      </c>
      <c r="D190" s="498" t="s">
        <v>968</v>
      </c>
      <c r="E190" s="499"/>
      <c r="F190" s="500">
        <v>34.78</v>
      </c>
      <c r="G190" s="501" t="s">
        <v>274</v>
      </c>
      <c r="H190" s="502"/>
      <c r="I190" s="503">
        <f t="shared" si="2"/>
        <v>5847.0600000000059</v>
      </c>
    </row>
    <row r="191" spans="2:9">
      <c r="B191" s="512">
        <v>45688</v>
      </c>
      <c r="C191" s="497" t="s">
        <v>117</v>
      </c>
      <c r="D191" s="498" t="s">
        <v>921</v>
      </c>
      <c r="E191" s="499"/>
      <c r="F191" s="500">
        <v>1.25</v>
      </c>
      <c r="G191" s="501" t="s">
        <v>271</v>
      </c>
      <c r="H191" s="502"/>
      <c r="I191" s="503">
        <f t="shared" si="2"/>
        <v>5845.8100000000059</v>
      </c>
    </row>
    <row r="192" spans="2:9">
      <c r="B192" s="512">
        <v>45688</v>
      </c>
      <c r="C192" s="497" t="s">
        <v>969</v>
      </c>
      <c r="D192" s="498" t="s">
        <v>379</v>
      </c>
      <c r="E192" s="499"/>
      <c r="F192" s="500">
        <v>415.81</v>
      </c>
      <c r="G192" s="501" t="s">
        <v>237</v>
      </c>
      <c r="H192" s="523" t="s">
        <v>970</v>
      </c>
      <c r="I192" s="503">
        <f t="shared" si="2"/>
        <v>5430.0000000000055</v>
      </c>
    </row>
    <row r="193" spans="2:9">
      <c r="B193" s="512">
        <v>45688</v>
      </c>
      <c r="C193" s="497" t="s">
        <v>969</v>
      </c>
      <c r="D193" s="498" t="s">
        <v>379</v>
      </c>
      <c r="E193" s="499"/>
      <c r="F193" s="500">
        <v>91.48</v>
      </c>
      <c r="G193" s="501" t="s">
        <v>274</v>
      </c>
      <c r="H193" s="523" t="s">
        <v>970</v>
      </c>
      <c r="I193" s="503">
        <f t="shared" si="2"/>
        <v>5338.5200000000059</v>
      </c>
    </row>
    <row r="194" spans="2:9">
      <c r="B194" s="512">
        <v>45688</v>
      </c>
      <c r="C194" s="497" t="s">
        <v>971</v>
      </c>
      <c r="D194" s="505" t="s">
        <v>341</v>
      </c>
      <c r="E194" s="499"/>
      <c r="F194" s="500">
        <v>242</v>
      </c>
      <c r="G194" s="501"/>
      <c r="H194" s="508" t="s">
        <v>554</v>
      </c>
      <c r="I194" s="503">
        <f t="shared" si="2"/>
        <v>5096.5200000000059</v>
      </c>
    </row>
    <row r="195" spans="2:9">
      <c r="B195" s="512">
        <v>45688</v>
      </c>
      <c r="C195" s="497" t="s">
        <v>972</v>
      </c>
      <c r="D195" s="498" t="s">
        <v>341</v>
      </c>
      <c r="E195" s="499">
        <v>3650.63</v>
      </c>
      <c r="F195" s="500"/>
      <c r="G195" s="501"/>
      <c r="H195" s="508" t="s">
        <v>554</v>
      </c>
      <c r="I195" s="503">
        <f t="shared" si="2"/>
        <v>8747.1500000000051</v>
      </c>
    </row>
    <row r="196" spans="2:9">
      <c r="B196" s="512">
        <v>45688</v>
      </c>
      <c r="C196" s="497" t="s">
        <v>973</v>
      </c>
      <c r="D196" s="498" t="s">
        <v>341</v>
      </c>
      <c r="E196" s="499"/>
      <c r="F196" s="500">
        <v>3454.47</v>
      </c>
      <c r="G196" s="501"/>
      <c r="H196" s="508" t="s">
        <v>554</v>
      </c>
      <c r="I196" s="503">
        <f t="shared" si="2"/>
        <v>5292.6800000000057</v>
      </c>
    </row>
    <row r="197" spans="2:9">
      <c r="B197" s="512">
        <v>45688</v>
      </c>
      <c r="C197" s="497" t="s">
        <v>973</v>
      </c>
      <c r="D197" s="498" t="s">
        <v>341</v>
      </c>
      <c r="E197" s="499"/>
      <c r="F197" s="500">
        <v>746.34</v>
      </c>
      <c r="G197" s="501"/>
      <c r="H197" s="508" t="s">
        <v>554</v>
      </c>
      <c r="I197" s="503">
        <f t="shared" si="2"/>
        <v>4546.3400000000056</v>
      </c>
    </row>
    <row r="198" spans="2:9">
      <c r="B198" s="512">
        <v>45688</v>
      </c>
      <c r="C198" s="497" t="s">
        <v>974</v>
      </c>
      <c r="D198" s="498" t="s">
        <v>341</v>
      </c>
      <c r="E198" s="499"/>
      <c r="F198" s="500">
        <v>436</v>
      </c>
      <c r="G198" s="501"/>
      <c r="H198" s="508" t="s">
        <v>554</v>
      </c>
      <c r="I198" s="503">
        <f t="shared" si="2"/>
        <v>4110.3400000000056</v>
      </c>
    </row>
    <row r="199" spans="2:9">
      <c r="B199" s="512">
        <v>45688</v>
      </c>
      <c r="C199" s="497" t="s">
        <v>974</v>
      </c>
      <c r="D199" s="498" t="s">
        <v>341</v>
      </c>
      <c r="E199" s="499"/>
      <c r="F199" s="500">
        <v>108.68</v>
      </c>
      <c r="G199" s="501"/>
      <c r="H199" s="508" t="s">
        <v>554</v>
      </c>
      <c r="I199" s="503">
        <f t="shared" si="2"/>
        <v>4001.6600000000058</v>
      </c>
    </row>
    <row r="200" spans="2:9">
      <c r="B200" s="512">
        <v>45688</v>
      </c>
      <c r="C200" s="497" t="s">
        <v>975</v>
      </c>
      <c r="D200" s="498" t="s">
        <v>341</v>
      </c>
      <c r="E200" s="499"/>
      <c r="F200" s="500">
        <v>1954.79</v>
      </c>
      <c r="G200" s="501"/>
      <c r="H200" s="508" t="s">
        <v>554</v>
      </c>
      <c r="I200" s="503">
        <f t="shared" si="2"/>
        <v>2046.8700000000058</v>
      </c>
    </row>
    <row r="201" spans="2:9">
      <c r="B201" s="512">
        <v>45688</v>
      </c>
      <c r="C201" s="497" t="s">
        <v>975</v>
      </c>
      <c r="D201" s="498" t="s">
        <v>341</v>
      </c>
      <c r="E201" s="499"/>
      <c r="F201" s="500">
        <v>390.01</v>
      </c>
      <c r="G201" s="501"/>
      <c r="H201" s="508" t="s">
        <v>554</v>
      </c>
      <c r="I201" s="503">
        <f t="shared" si="2"/>
        <v>1656.8600000000058</v>
      </c>
    </row>
    <row r="202" spans="2:9">
      <c r="B202" s="512">
        <v>45688</v>
      </c>
      <c r="C202" s="497" t="s">
        <v>117</v>
      </c>
      <c r="D202" s="498" t="s">
        <v>921</v>
      </c>
      <c r="E202" s="499"/>
      <c r="F202" s="500">
        <v>1.25</v>
      </c>
      <c r="G202" s="501" t="s">
        <v>271</v>
      </c>
      <c r="H202" s="502"/>
      <c r="I202" s="503">
        <f t="shared" ref="I202:I265" si="3">I201+E202-F202</f>
        <v>1655.6100000000058</v>
      </c>
    </row>
    <row r="203" spans="2:9">
      <c r="B203" s="512">
        <v>45688</v>
      </c>
      <c r="C203" s="507" t="s">
        <v>976</v>
      </c>
      <c r="D203" s="498" t="s">
        <v>347</v>
      </c>
      <c r="E203" s="499"/>
      <c r="F203" s="500">
        <v>130</v>
      </c>
      <c r="G203" s="501" t="s">
        <v>238</v>
      </c>
      <c r="H203" s="502"/>
      <c r="I203" s="503">
        <f t="shared" si="3"/>
        <v>1525.6100000000058</v>
      </c>
    </row>
    <row r="204" spans="2:9">
      <c r="B204" s="512">
        <v>45688</v>
      </c>
      <c r="C204" s="507" t="s">
        <v>976</v>
      </c>
      <c r="D204" s="505" t="s">
        <v>347</v>
      </c>
      <c r="E204" s="499"/>
      <c r="F204" s="500">
        <v>28.6</v>
      </c>
      <c r="G204" s="501" t="s">
        <v>274</v>
      </c>
      <c r="H204" s="508"/>
      <c r="I204" s="503">
        <f t="shared" si="3"/>
        <v>1497.0100000000059</v>
      </c>
    </row>
    <row r="205" spans="2:9">
      <c r="B205" s="512">
        <v>45688</v>
      </c>
      <c r="C205" s="497" t="s">
        <v>117</v>
      </c>
      <c r="D205" s="498" t="s">
        <v>921</v>
      </c>
      <c r="E205" s="499"/>
      <c r="F205" s="500">
        <v>1.25</v>
      </c>
      <c r="G205" s="501" t="s">
        <v>271</v>
      </c>
      <c r="H205" s="508"/>
      <c r="I205" s="503">
        <f t="shared" si="3"/>
        <v>1495.7600000000059</v>
      </c>
    </row>
    <row r="206" spans="2:9">
      <c r="B206" s="512">
        <v>45688</v>
      </c>
      <c r="C206" s="504"/>
      <c r="D206" s="514" t="s">
        <v>347</v>
      </c>
      <c r="E206" s="515"/>
      <c r="F206" s="516">
        <f>146</f>
        <v>146</v>
      </c>
      <c r="G206" s="501" t="s">
        <v>238</v>
      </c>
      <c r="H206" s="502" t="s">
        <v>905</v>
      </c>
      <c r="I206" s="503">
        <f t="shared" si="3"/>
        <v>1349.7600000000059</v>
      </c>
    </row>
    <row r="207" spans="2:9">
      <c r="B207" s="512">
        <v>45688</v>
      </c>
      <c r="C207" s="504"/>
      <c r="D207" s="514" t="s">
        <v>347</v>
      </c>
      <c r="E207" s="515"/>
      <c r="F207" s="516">
        <f>146*0.22</f>
        <v>32.119999999999997</v>
      </c>
      <c r="G207" s="501" t="s">
        <v>274</v>
      </c>
      <c r="H207" s="502" t="s">
        <v>905</v>
      </c>
      <c r="I207" s="503">
        <f t="shared" si="3"/>
        <v>1317.640000000006</v>
      </c>
    </row>
    <row r="208" spans="2:9">
      <c r="B208" s="512">
        <v>45688</v>
      </c>
      <c r="C208" s="497" t="s">
        <v>117</v>
      </c>
      <c r="D208" s="498" t="s">
        <v>921</v>
      </c>
      <c r="E208" s="499"/>
      <c r="F208" s="500">
        <v>1.25</v>
      </c>
      <c r="G208" s="501" t="s">
        <v>271</v>
      </c>
      <c r="H208" s="502"/>
      <c r="I208" s="503">
        <f t="shared" si="3"/>
        <v>1316.390000000006</v>
      </c>
    </row>
    <row r="209" spans="2:9">
      <c r="B209" s="512">
        <v>45688</v>
      </c>
      <c r="C209" s="507" t="s">
        <v>283</v>
      </c>
      <c r="D209" s="505" t="s">
        <v>307</v>
      </c>
      <c r="E209" s="499">
        <v>156</v>
      </c>
      <c r="F209" s="500"/>
      <c r="G209" s="501" t="s">
        <v>190</v>
      </c>
      <c r="H209" s="502"/>
      <c r="I209" s="503">
        <f t="shared" si="3"/>
        <v>1472.390000000006</v>
      </c>
    </row>
    <row r="210" spans="2:9">
      <c r="B210" s="512">
        <v>45691</v>
      </c>
      <c r="C210" s="497" t="s">
        <v>117</v>
      </c>
      <c r="D210" s="498" t="s">
        <v>320</v>
      </c>
      <c r="E210" s="499"/>
      <c r="F210" s="500">
        <v>500</v>
      </c>
      <c r="G210" s="501" t="s">
        <v>237</v>
      </c>
      <c r="H210" s="524"/>
      <c r="I210" s="503">
        <f t="shared" si="3"/>
        <v>972.39000000000601</v>
      </c>
    </row>
    <row r="211" spans="2:9">
      <c r="B211" s="512">
        <v>45691</v>
      </c>
      <c r="C211" s="497" t="s">
        <v>117</v>
      </c>
      <c r="D211" s="498" t="s">
        <v>903</v>
      </c>
      <c r="E211" s="499"/>
      <c r="F211" s="500">
        <v>0.75</v>
      </c>
      <c r="G211" s="501" t="s">
        <v>272</v>
      </c>
      <c r="H211" s="508"/>
      <c r="I211" s="503">
        <f t="shared" si="3"/>
        <v>971.64000000000601</v>
      </c>
    </row>
    <row r="212" spans="2:9">
      <c r="B212" s="512">
        <v>45691</v>
      </c>
      <c r="C212" s="504" t="s">
        <v>904</v>
      </c>
      <c r="D212" s="505" t="s">
        <v>329</v>
      </c>
      <c r="E212" s="499"/>
      <c r="F212" s="500">
        <f>445.34-F213</f>
        <v>350.01</v>
      </c>
      <c r="G212" s="501" t="s">
        <v>221</v>
      </c>
      <c r="H212" s="502" t="s">
        <v>905</v>
      </c>
      <c r="I212" s="503">
        <f t="shared" si="3"/>
        <v>621.63000000000602</v>
      </c>
    </row>
    <row r="213" spans="2:9">
      <c r="B213" s="512">
        <v>45691</v>
      </c>
      <c r="C213" s="504" t="s">
        <v>904</v>
      </c>
      <c r="D213" s="505" t="s">
        <v>329</v>
      </c>
      <c r="E213" s="499"/>
      <c r="F213" s="500">
        <v>95.33</v>
      </c>
      <c r="G213" s="501" t="s">
        <v>274</v>
      </c>
      <c r="H213" s="502" t="s">
        <v>905</v>
      </c>
      <c r="I213" s="503">
        <f t="shared" si="3"/>
        <v>526.30000000000598</v>
      </c>
    </row>
    <row r="214" spans="2:9">
      <c r="B214" s="512">
        <v>45691</v>
      </c>
      <c r="C214" s="497" t="s">
        <v>117</v>
      </c>
      <c r="D214" s="498" t="s">
        <v>903</v>
      </c>
      <c r="E214" s="499"/>
      <c r="F214" s="500">
        <v>1</v>
      </c>
      <c r="G214" s="501" t="s">
        <v>265</v>
      </c>
      <c r="H214" s="508"/>
      <c r="I214" s="503">
        <f t="shared" si="3"/>
        <v>525.30000000000598</v>
      </c>
    </row>
    <row r="215" spans="2:9">
      <c r="B215" s="512">
        <v>45691</v>
      </c>
      <c r="C215" s="507" t="s">
        <v>977</v>
      </c>
      <c r="D215" s="498" t="s">
        <v>917</v>
      </c>
      <c r="E215" s="499"/>
      <c r="F215" s="500">
        <v>132</v>
      </c>
      <c r="G215" s="509" t="s">
        <v>227</v>
      </c>
      <c r="H215" s="508"/>
      <c r="I215" s="503">
        <f t="shared" si="3"/>
        <v>393.30000000000598</v>
      </c>
    </row>
    <row r="216" spans="2:9">
      <c r="B216" s="512">
        <v>45691</v>
      </c>
      <c r="C216" s="497" t="s">
        <v>117</v>
      </c>
      <c r="D216" s="498" t="s">
        <v>903</v>
      </c>
      <c r="E216" s="499"/>
      <c r="F216" s="500">
        <v>1</v>
      </c>
      <c r="G216" s="501" t="s">
        <v>265</v>
      </c>
      <c r="H216" s="508"/>
      <c r="I216" s="503">
        <f t="shared" si="3"/>
        <v>392.30000000000598</v>
      </c>
    </row>
    <row r="217" spans="2:9">
      <c r="B217" s="512">
        <v>45691</v>
      </c>
      <c r="C217" s="507" t="s">
        <v>283</v>
      </c>
      <c r="D217" s="505" t="s">
        <v>307</v>
      </c>
      <c r="E217" s="499">
        <v>53</v>
      </c>
      <c r="F217" s="500"/>
      <c r="G217" s="501" t="s">
        <v>190</v>
      </c>
      <c r="H217" s="508"/>
      <c r="I217" s="503">
        <f t="shared" si="3"/>
        <v>445.30000000000598</v>
      </c>
    </row>
    <row r="218" spans="2:9">
      <c r="B218" s="512">
        <v>45691</v>
      </c>
      <c r="C218" s="507" t="s">
        <v>283</v>
      </c>
      <c r="D218" s="505" t="s">
        <v>307</v>
      </c>
      <c r="E218" s="499">
        <v>330.2</v>
      </c>
      <c r="F218" s="500"/>
      <c r="G218" s="501" t="s">
        <v>190</v>
      </c>
      <c r="H218" s="508"/>
      <c r="I218" s="503">
        <f t="shared" si="3"/>
        <v>775.50000000000591</v>
      </c>
    </row>
    <row r="219" spans="2:9">
      <c r="B219" s="512">
        <v>45691</v>
      </c>
      <c r="C219" s="507" t="s">
        <v>283</v>
      </c>
      <c r="D219" s="505" t="s">
        <v>307</v>
      </c>
      <c r="E219" s="499">
        <v>829.8</v>
      </c>
      <c r="F219" s="500"/>
      <c r="G219" s="501" t="s">
        <v>190</v>
      </c>
      <c r="H219" s="508"/>
      <c r="I219" s="503">
        <f t="shared" si="3"/>
        <v>1605.3000000000059</v>
      </c>
    </row>
    <row r="220" spans="2:9">
      <c r="B220" s="512">
        <v>45691</v>
      </c>
      <c r="C220" s="497" t="s">
        <v>117</v>
      </c>
      <c r="D220" s="498" t="s">
        <v>902</v>
      </c>
      <c r="E220" s="499"/>
      <c r="F220" s="500">
        <v>1250</v>
      </c>
      <c r="G220" s="501" t="s">
        <v>278</v>
      </c>
      <c r="H220" s="524"/>
      <c r="I220" s="503">
        <f t="shared" si="3"/>
        <v>355.30000000000587</v>
      </c>
    </row>
    <row r="221" spans="2:9">
      <c r="B221" s="512">
        <v>45691</v>
      </c>
      <c r="C221" s="497" t="s">
        <v>117</v>
      </c>
      <c r="D221" s="498" t="s">
        <v>903</v>
      </c>
      <c r="E221" s="499"/>
      <c r="F221" s="500">
        <v>0.75</v>
      </c>
      <c r="G221" s="501" t="s">
        <v>272</v>
      </c>
      <c r="H221" s="524"/>
      <c r="I221" s="503">
        <f t="shared" si="3"/>
        <v>354.55000000000587</v>
      </c>
    </row>
    <row r="222" spans="2:9">
      <c r="B222" s="512">
        <v>45691</v>
      </c>
      <c r="C222" s="507" t="s">
        <v>283</v>
      </c>
      <c r="D222" s="505" t="s">
        <v>307</v>
      </c>
      <c r="E222" s="499">
        <v>317.10000000000002</v>
      </c>
      <c r="F222" s="500"/>
      <c r="G222" s="501" t="s">
        <v>190</v>
      </c>
      <c r="H222" s="508"/>
      <c r="I222" s="503">
        <f t="shared" si="3"/>
        <v>671.65000000000589</v>
      </c>
    </row>
    <row r="223" spans="2:9">
      <c r="B223" s="512">
        <v>45691</v>
      </c>
      <c r="C223" s="507" t="s">
        <v>283</v>
      </c>
      <c r="D223" s="505" t="s">
        <v>307</v>
      </c>
      <c r="E223" s="499">
        <v>914.9</v>
      </c>
      <c r="F223" s="500"/>
      <c r="G223" s="501" t="s">
        <v>190</v>
      </c>
      <c r="H223" s="508"/>
      <c r="I223" s="503">
        <f t="shared" si="3"/>
        <v>1586.5500000000059</v>
      </c>
    </row>
    <row r="224" spans="2:9">
      <c r="B224" s="512">
        <v>45691</v>
      </c>
      <c r="C224" s="507" t="s">
        <v>283</v>
      </c>
      <c r="D224" s="505" t="s">
        <v>307</v>
      </c>
      <c r="E224" s="499">
        <v>1007.53</v>
      </c>
      <c r="F224" s="500"/>
      <c r="G224" s="501" t="s">
        <v>190</v>
      </c>
      <c r="H224" s="508"/>
      <c r="I224" s="503">
        <f t="shared" si="3"/>
        <v>2594.0800000000058</v>
      </c>
    </row>
    <row r="225" spans="2:9">
      <c r="B225" s="512">
        <v>45691</v>
      </c>
      <c r="C225" s="507" t="s">
        <v>283</v>
      </c>
      <c r="D225" s="505" t="s">
        <v>307</v>
      </c>
      <c r="E225" s="499">
        <v>1584.4</v>
      </c>
      <c r="F225" s="500"/>
      <c r="G225" s="501" t="s">
        <v>190</v>
      </c>
      <c r="H225" s="508"/>
      <c r="I225" s="503">
        <f t="shared" si="3"/>
        <v>4178.4800000000059</v>
      </c>
    </row>
    <row r="226" spans="2:9">
      <c r="B226" s="512">
        <v>45691</v>
      </c>
      <c r="C226" s="507" t="s">
        <v>283</v>
      </c>
      <c r="D226" s="505" t="s">
        <v>912</v>
      </c>
      <c r="E226" s="499">
        <v>1482.5</v>
      </c>
      <c r="F226" s="500"/>
      <c r="G226" s="501" t="s">
        <v>190</v>
      </c>
      <c r="H226" s="508"/>
      <c r="I226" s="503">
        <f t="shared" si="3"/>
        <v>5660.9800000000059</v>
      </c>
    </row>
    <row r="227" spans="2:9">
      <c r="B227" s="512">
        <v>45691</v>
      </c>
      <c r="C227" s="507" t="s">
        <v>117</v>
      </c>
      <c r="D227" s="505" t="s">
        <v>918</v>
      </c>
      <c r="E227" s="499"/>
      <c r="F227" s="500">
        <f>1482.5-1467.63</f>
        <v>14.869999999999891</v>
      </c>
      <c r="G227" s="501" t="s">
        <v>270</v>
      </c>
      <c r="H227" s="508"/>
      <c r="I227" s="503">
        <f t="shared" si="3"/>
        <v>5646.110000000006</v>
      </c>
    </row>
    <row r="228" spans="2:9">
      <c r="B228" s="512">
        <v>45691</v>
      </c>
      <c r="C228" s="497" t="s">
        <v>978</v>
      </c>
      <c r="D228" s="498" t="s">
        <v>341</v>
      </c>
      <c r="E228" s="499"/>
      <c r="F228" s="500">
        <v>3180.16</v>
      </c>
      <c r="G228" s="501"/>
      <c r="H228" s="508" t="s">
        <v>554</v>
      </c>
      <c r="I228" s="503">
        <f t="shared" si="3"/>
        <v>2465.9500000000062</v>
      </c>
    </row>
    <row r="229" spans="2:9">
      <c r="B229" s="512">
        <v>45691</v>
      </c>
      <c r="C229" s="497" t="s">
        <v>978</v>
      </c>
      <c r="D229" s="498" t="s">
        <v>341</v>
      </c>
      <c r="E229" s="499"/>
      <c r="F229" s="500">
        <v>521</v>
      </c>
      <c r="G229" s="501"/>
      <c r="H229" s="508" t="s">
        <v>554</v>
      </c>
      <c r="I229" s="503">
        <f t="shared" si="3"/>
        <v>1944.9500000000062</v>
      </c>
    </row>
    <row r="230" spans="2:9">
      <c r="B230" s="512">
        <v>45691</v>
      </c>
      <c r="C230" s="497" t="s">
        <v>979</v>
      </c>
      <c r="D230" s="498" t="s">
        <v>341</v>
      </c>
      <c r="E230" s="499"/>
      <c r="F230" s="500">
        <v>273.19</v>
      </c>
      <c r="G230" s="501"/>
      <c r="H230" s="508" t="s">
        <v>554</v>
      </c>
      <c r="I230" s="503">
        <f t="shared" si="3"/>
        <v>1671.7600000000061</v>
      </c>
    </row>
    <row r="231" spans="2:9">
      <c r="B231" s="512">
        <v>45691</v>
      </c>
      <c r="C231" s="497" t="s">
        <v>979</v>
      </c>
      <c r="D231" s="498" t="s">
        <v>341</v>
      </c>
      <c r="E231" s="499"/>
      <c r="F231" s="500">
        <v>53.06</v>
      </c>
      <c r="G231" s="501"/>
      <c r="H231" s="508" t="s">
        <v>554</v>
      </c>
      <c r="I231" s="503">
        <f t="shared" si="3"/>
        <v>1618.7000000000062</v>
      </c>
    </row>
    <row r="232" spans="2:9">
      <c r="B232" s="512">
        <v>45691</v>
      </c>
      <c r="C232" s="497" t="s">
        <v>980</v>
      </c>
      <c r="D232" s="498" t="s">
        <v>341</v>
      </c>
      <c r="E232" s="499"/>
      <c r="F232" s="500">
        <v>1025.8800000000001</v>
      </c>
      <c r="G232" s="501"/>
      <c r="H232" s="508" t="s">
        <v>554</v>
      </c>
      <c r="I232" s="503">
        <f t="shared" si="3"/>
        <v>592.82000000000608</v>
      </c>
    </row>
    <row r="233" spans="2:9">
      <c r="B233" s="512">
        <v>45691</v>
      </c>
      <c r="C233" s="497" t="s">
        <v>980</v>
      </c>
      <c r="D233" s="498" t="s">
        <v>341</v>
      </c>
      <c r="E233" s="499"/>
      <c r="F233" s="500">
        <v>205.45</v>
      </c>
      <c r="G233" s="501"/>
      <c r="H233" s="508" t="s">
        <v>554</v>
      </c>
      <c r="I233" s="503">
        <f t="shared" si="3"/>
        <v>387.37000000000609</v>
      </c>
    </row>
    <row r="234" spans="2:9">
      <c r="B234" s="512">
        <v>45691</v>
      </c>
      <c r="C234" s="497" t="s">
        <v>117</v>
      </c>
      <c r="D234" s="498" t="s">
        <v>921</v>
      </c>
      <c r="E234" s="499"/>
      <c r="F234" s="500">
        <v>1.25</v>
      </c>
      <c r="G234" s="501" t="s">
        <v>271</v>
      </c>
      <c r="H234" s="508"/>
      <c r="I234" s="503">
        <f t="shared" si="3"/>
        <v>386.12000000000609</v>
      </c>
    </row>
    <row r="235" spans="2:9">
      <c r="B235" s="512">
        <v>45691</v>
      </c>
      <c r="C235" s="507" t="s">
        <v>283</v>
      </c>
      <c r="D235" s="505" t="s">
        <v>909</v>
      </c>
      <c r="E235" s="499">
        <v>1678</v>
      </c>
      <c r="F235" s="500"/>
      <c r="G235" s="501" t="s">
        <v>190</v>
      </c>
      <c r="H235" s="508"/>
      <c r="I235" s="503">
        <f t="shared" si="3"/>
        <v>2064.1200000000063</v>
      </c>
    </row>
    <row r="236" spans="2:9">
      <c r="B236" s="512">
        <v>45691</v>
      </c>
      <c r="C236" s="507" t="s">
        <v>117</v>
      </c>
      <c r="D236" s="505" t="s">
        <v>911</v>
      </c>
      <c r="E236" s="499"/>
      <c r="F236" s="500">
        <v>15.39</v>
      </c>
      <c r="G236" s="501" t="s">
        <v>269</v>
      </c>
      <c r="H236" s="508"/>
      <c r="I236" s="503">
        <f t="shared" si="3"/>
        <v>2048.7300000000064</v>
      </c>
    </row>
    <row r="237" spans="2:9">
      <c r="B237" s="512">
        <v>45692</v>
      </c>
      <c r="C237" s="507" t="s">
        <v>283</v>
      </c>
      <c r="D237" s="505" t="s">
        <v>307</v>
      </c>
      <c r="E237" s="499">
        <v>78</v>
      </c>
      <c r="F237" s="500"/>
      <c r="G237" s="501" t="s">
        <v>190</v>
      </c>
      <c r="H237" s="502"/>
      <c r="I237" s="503">
        <f t="shared" si="3"/>
        <v>2126.7300000000064</v>
      </c>
    </row>
    <row r="238" spans="2:9">
      <c r="B238" s="775">
        <v>45688</v>
      </c>
      <c r="C238" s="497" t="s">
        <v>117</v>
      </c>
      <c r="D238" s="498" t="s">
        <v>914</v>
      </c>
      <c r="E238" s="499"/>
      <c r="F238" s="500">
        <v>37.01</v>
      </c>
      <c r="G238" s="501" t="s">
        <v>266</v>
      </c>
      <c r="H238" s="508"/>
      <c r="I238" s="503">
        <f t="shared" si="3"/>
        <v>2089.7200000000062</v>
      </c>
    </row>
    <row r="239" spans="2:9">
      <c r="B239" s="775">
        <v>45688</v>
      </c>
      <c r="C239" s="497" t="s">
        <v>117</v>
      </c>
      <c r="D239" s="498" t="s">
        <v>915</v>
      </c>
      <c r="E239" s="499"/>
      <c r="F239" s="500">
        <v>155.21</v>
      </c>
      <c r="G239" s="501" t="s">
        <v>267</v>
      </c>
      <c r="H239" s="508"/>
      <c r="I239" s="503">
        <f t="shared" si="3"/>
        <v>1934.5100000000061</v>
      </c>
    </row>
    <row r="240" spans="2:9">
      <c r="B240" s="512">
        <v>45692</v>
      </c>
      <c r="C240" s="497" t="s">
        <v>117</v>
      </c>
      <c r="D240" s="505" t="s">
        <v>906</v>
      </c>
      <c r="E240" s="499">
        <v>0.1</v>
      </c>
      <c r="F240" s="500"/>
      <c r="G240" s="501" t="s">
        <v>197</v>
      </c>
      <c r="H240" s="508"/>
      <c r="I240" s="503">
        <f t="shared" si="3"/>
        <v>1934.610000000006</v>
      </c>
    </row>
    <row r="241" spans="2:9">
      <c r="B241" s="512">
        <v>45692</v>
      </c>
      <c r="C241" s="507" t="s">
        <v>283</v>
      </c>
      <c r="D241" s="505" t="s">
        <v>307</v>
      </c>
      <c r="E241" s="499">
        <v>418.5</v>
      </c>
      <c r="F241" s="500"/>
      <c r="G241" s="501" t="s">
        <v>190</v>
      </c>
      <c r="H241" s="502"/>
      <c r="I241" s="503">
        <f t="shared" si="3"/>
        <v>2353.110000000006</v>
      </c>
    </row>
    <row r="242" spans="2:9">
      <c r="B242" s="512">
        <v>45692</v>
      </c>
      <c r="C242" s="497" t="s">
        <v>981</v>
      </c>
      <c r="D242" s="498" t="s">
        <v>363</v>
      </c>
      <c r="E242" s="499"/>
      <c r="F242" s="500">
        <v>445.01</v>
      </c>
      <c r="G242" s="501" t="s">
        <v>197</v>
      </c>
      <c r="H242" s="508" t="s">
        <v>554</v>
      </c>
      <c r="I242" s="503">
        <f t="shared" si="3"/>
        <v>1908.100000000006</v>
      </c>
    </row>
    <row r="243" spans="2:9">
      <c r="B243" s="512">
        <v>45692</v>
      </c>
      <c r="C243" s="497" t="s">
        <v>981</v>
      </c>
      <c r="D243" s="498" t="s">
        <v>363</v>
      </c>
      <c r="E243" s="499"/>
      <c r="F243" s="500">
        <v>97.9</v>
      </c>
      <c r="G243" s="501" t="s">
        <v>197</v>
      </c>
      <c r="H243" s="508" t="s">
        <v>554</v>
      </c>
      <c r="I243" s="503">
        <f t="shared" si="3"/>
        <v>1810.200000000006</v>
      </c>
    </row>
    <row r="244" spans="2:9">
      <c r="B244" s="512">
        <v>45692</v>
      </c>
      <c r="C244" s="497" t="s">
        <v>117</v>
      </c>
      <c r="D244" s="498" t="s">
        <v>903</v>
      </c>
      <c r="E244" s="499"/>
      <c r="F244" s="500">
        <v>1</v>
      </c>
      <c r="G244" s="501" t="s">
        <v>272</v>
      </c>
      <c r="H244" s="502"/>
      <c r="I244" s="503">
        <f t="shared" si="3"/>
        <v>1809.200000000006</v>
      </c>
    </row>
    <row r="245" spans="2:9">
      <c r="B245" s="512">
        <v>45692</v>
      </c>
      <c r="C245" s="507" t="s">
        <v>283</v>
      </c>
      <c r="D245" s="505" t="s">
        <v>912</v>
      </c>
      <c r="E245" s="499">
        <v>540</v>
      </c>
      <c r="F245" s="500"/>
      <c r="G245" s="501" t="s">
        <v>190</v>
      </c>
      <c r="H245" s="502"/>
      <c r="I245" s="503">
        <f t="shared" si="3"/>
        <v>2349.2000000000062</v>
      </c>
    </row>
    <row r="246" spans="2:9">
      <c r="B246" s="512">
        <v>45692</v>
      </c>
      <c r="C246" s="507" t="s">
        <v>117</v>
      </c>
      <c r="D246" s="505" t="s">
        <v>918</v>
      </c>
      <c r="E246" s="499"/>
      <c r="F246" s="500">
        <f>540-534.58</f>
        <v>5.4199999999999591</v>
      </c>
      <c r="G246" s="501" t="s">
        <v>270</v>
      </c>
      <c r="H246" s="502"/>
      <c r="I246" s="503">
        <f t="shared" si="3"/>
        <v>2343.7800000000061</v>
      </c>
    </row>
    <row r="247" spans="2:9">
      <c r="B247" s="512">
        <v>45692</v>
      </c>
      <c r="C247" s="507" t="s">
        <v>283</v>
      </c>
      <c r="D247" s="505" t="s">
        <v>909</v>
      </c>
      <c r="E247" s="499">
        <v>76.5</v>
      </c>
      <c r="F247" s="500"/>
      <c r="G247" s="501" t="s">
        <v>190</v>
      </c>
      <c r="H247" s="502"/>
      <c r="I247" s="503">
        <f t="shared" si="3"/>
        <v>2420.2800000000061</v>
      </c>
    </row>
    <row r="248" spans="2:9">
      <c r="B248" s="512">
        <v>45692</v>
      </c>
      <c r="C248" s="507" t="s">
        <v>117</v>
      </c>
      <c r="D248" s="505" t="s">
        <v>911</v>
      </c>
      <c r="E248" s="499"/>
      <c r="F248" s="500">
        <f>E247-75.55</f>
        <v>0.95000000000000284</v>
      </c>
      <c r="G248" s="501" t="s">
        <v>269</v>
      </c>
      <c r="H248" s="502"/>
      <c r="I248" s="503">
        <f t="shared" si="3"/>
        <v>2419.3300000000063</v>
      </c>
    </row>
    <row r="249" spans="2:9">
      <c r="B249" s="512">
        <v>45693</v>
      </c>
      <c r="C249" s="497" t="s">
        <v>982</v>
      </c>
      <c r="D249" s="498" t="s">
        <v>379</v>
      </c>
      <c r="E249" s="499"/>
      <c r="F249" s="500">
        <f>3796.27-684.57</f>
        <v>3111.7</v>
      </c>
      <c r="G249" s="501" t="s">
        <v>237</v>
      </c>
      <c r="H249" s="508"/>
      <c r="I249" s="503">
        <f t="shared" si="3"/>
        <v>-692.36999999999352</v>
      </c>
    </row>
    <row r="250" spans="2:9">
      <c r="B250" s="512">
        <v>45693</v>
      </c>
      <c r="C250" s="497" t="s">
        <v>982</v>
      </c>
      <c r="D250" s="498" t="s">
        <v>379</v>
      </c>
      <c r="E250" s="499"/>
      <c r="F250" s="500">
        <v>684.57</v>
      </c>
      <c r="G250" s="501" t="s">
        <v>274</v>
      </c>
      <c r="H250" s="508"/>
      <c r="I250" s="503">
        <f t="shared" si="3"/>
        <v>-1376.9399999999937</v>
      </c>
    </row>
    <row r="251" spans="2:9">
      <c r="B251" s="512">
        <v>45693</v>
      </c>
      <c r="C251" s="507" t="s">
        <v>541</v>
      </c>
      <c r="D251" s="498" t="s">
        <v>542</v>
      </c>
      <c r="E251" s="499">
        <v>9000</v>
      </c>
      <c r="F251" s="500"/>
      <c r="G251" s="501" t="s">
        <v>277</v>
      </c>
      <c r="H251" s="502"/>
      <c r="I251" s="503">
        <f t="shared" si="3"/>
        <v>7623.0600000000068</v>
      </c>
    </row>
    <row r="252" spans="2:9">
      <c r="B252" s="512">
        <v>45693</v>
      </c>
      <c r="C252" s="507" t="s">
        <v>983</v>
      </c>
      <c r="D252" s="505" t="s">
        <v>984</v>
      </c>
      <c r="E252" s="499"/>
      <c r="F252" s="500">
        <v>686.07</v>
      </c>
      <c r="G252" s="501" t="s">
        <v>137</v>
      </c>
      <c r="H252" s="502"/>
      <c r="I252" s="503">
        <f t="shared" si="3"/>
        <v>6936.9900000000071</v>
      </c>
    </row>
    <row r="253" spans="2:9">
      <c r="B253" s="512">
        <v>45693</v>
      </c>
      <c r="C253" s="507" t="s">
        <v>983</v>
      </c>
      <c r="D253" s="505" t="s">
        <v>984</v>
      </c>
      <c r="E253" s="499"/>
      <c r="F253" s="500">
        <v>150.94</v>
      </c>
      <c r="G253" s="501" t="s">
        <v>274</v>
      </c>
      <c r="H253" s="508"/>
      <c r="I253" s="503">
        <f t="shared" si="3"/>
        <v>6786.0500000000075</v>
      </c>
    </row>
    <row r="254" spans="2:9">
      <c r="B254" s="512">
        <v>45693</v>
      </c>
      <c r="C254" s="497" t="s">
        <v>117</v>
      </c>
      <c r="D254" s="498" t="s">
        <v>903</v>
      </c>
      <c r="E254" s="499"/>
      <c r="F254" s="500">
        <v>1</v>
      </c>
      <c r="G254" s="501" t="s">
        <v>272</v>
      </c>
      <c r="H254" s="508"/>
      <c r="I254" s="503">
        <f t="shared" si="3"/>
        <v>6785.0500000000075</v>
      </c>
    </row>
    <row r="255" spans="2:9">
      <c r="B255" s="512">
        <v>45693</v>
      </c>
      <c r="C255" s="497" t="s">
        <v>985</v>
      </c>
      <c r="D255" s="498" t="s">
        <v>986</v>
      </c>
      <c r="E255" s="499"/>
      <c r="F255" s="500">
        <v>27</v>
      </c>
      <c r="G255" s="501" t="s">
        <v>266</v>
      </c>
      <c r="H255" s="502"/>
      <c r="I255" s="503">
        <f t="shared" si="3"/>
        <v>6758.0500000000075</v>
      </c>
    </row>
    <row r="256" spans="2:9">
      <c r="B256" s="512">
        <v>45693</v>
      </c>
      <c r="C256" s="497" t="s">
        <v>985</v>
      </c>
      <c r="D256" s="498" t="s">
        <v>986</v>
      </c>
      <c r="E256" s="499"/>
      <c r="F256" s="500">
        <v>5.94</v>
      </c>
      <c r="G256" s="501" t="s">
        <v>274</v>
      </c>
      <c r="H256" s="502"/>
      <c r="I256" s="503">
        <f t="shared" si="3"/>
        <v>6752.1100000000079</v>
      </c>
    </row>
    <row r="257" spans="2:9">
      <c r="B257" s="512">
        <v>45693</v>
      </c>
      <c r="C257" s="507" t="s">
        <v>283</v>
      </c>
      <c r="D257" s="505" t="s">
        <v>307</v>
      </c>
      <c r="E257" s="499">
        <v>250.4</v>
      </c>
      <c r="F257" s="500"/>
      <c r="G257" s="501" t="s">
        <v>190</v>
      </c>
      <c r="H257" s="502"/>
      <c r="I257" s="503">
        <f t="shared" si="3"/>
        <v>7002.5100000000075</v>
      </c>
    </row>
    <row r="258" spans="2:9">
      <c r="B258" s="512">
        <v>45693</v>
      </c>
      <c r="C258" s="507" t="s">
        <v>283</v>
      </c>
      <c r="D258" s="505" t="s">
        <v>307</v>
      </c>
      <c r="E258" s="499">
        <v>77</v>
      </c>
      <c r="F258" s="500"/>
      <c r="G258" s="501" t="s">
        <v>190</v>
      </c>
      <c r="H258" s="502"/>
      <c r="I258" s="503">
        <f t="shared" si="3"/>
        <v>7079.5100000000075</v>
      </c>
    </row>
    <row r="259" spans="2:9">
      <c r="B259" s="512">
        <v>45694</v>
      </c>
      <c r="C259" s="513" t="s">
        <v>987</v>
      </c>
      <c r="D259" s="519" t="s">
        <v>394</v>
      </c>
      <c r="E259" s="515"/>
      <c r="F259" s="516">
        <v>870.28</v>
      </c>
      <c r="G259" s="509"/>
      <c r="H259" s="508" t="s">
        <v>554</v>
      </c>
      <c r="I259" s="503">
        <f t="shared" si="3"/>
        <v>6209.2300000000077</v>
      </c>
    </row>
    <row r="260" spans="2:9">
      <c r="B260" s="512">
        <v>45694</v>
      </c>
      <c r="C260" s="497">
        <v>8004</v>
      </c>
      <c r="D260" s="498" t="s">
        <v>394</v>
      </c>
      <c r="E260" s="499"/>
      <c r="F260" s="500">
        <v>77.510000000000005</v>
      </c>
      <c r="G260" s="501" t="s">
        <v>197</v>
      </c>
      <c r="H260" s="508" t="s">
        <v>554</v>
      </c>
      <c r="I260" s="503">
        <f t="shared" si="3"/>
        <v>6131.7200000000075</v>
      </c>
    </row>
    <row r="261" spans="2:9">
      <c r="B261" s="512">
        <v>45694</v>
      </c>
      <c r="C261" s="497">
        <v>8846</v>
      </c>
      <c r="D261" s="498" t="s">
        <v>394</v>
      </c>
      <c r="E261" s="499"/>
      <c r="F261" s="500">
        <v>406.19</v>
      </c>
      <c r="G261" s="501" t="s">
        <v>197</v>
      </c>
      <c r="H261" s="508" t="s">
        <v>554</v>
      </c>
      <c r="I261" s="503">
        <f t="shared" si="3"/>
        <v>5725.5300000000079</v>
      </c>
    </row>
    <row r="262" spans="2:9">
      <c r="B262" s="512">
        <v>45694</v>
      </c>
      <c r="C262" s="507" t="s">
        <v>988</v>
      </c>
      <c r="D262" s="505" t="s">
        <v>394</v>
      </c>
      <c r="E262" s="499"/>
      <c r="F262" s="500">
        <v>32.85</v>
      </c>
      <c r="G262" s="501" t="s">
        <v>197</v>
      </c>
      <c r="H262" s="508" t="s">
        <v>554</v>
      </c>
      <c r="I262" s="503">
        <f t="shared" si="3"/>
        <v>5692.6800000000076</v>
      </c>
    </row>
    <row r="263" spans="2:9">
      <c r="B263" s="512">
        <v>45694</v>
      </c>
      <c r="C263" s="497" t="s">
        <v>117</v>
      </c>
      <c r="D263" s="498" t="s">
        <v>903</v>
      </c>
      <c r="E263" s="499"/>
      <c r="F263" s="500">
        <v>0.75</v>
      </c>
      <c r="G263" s="501" t="s">
        <v>272</v>
      </c>
      <c r="H263" s="508"/>
      <c r="I263" s="503">
        <f t="shared" si="3"/>
        <v>5691.9300000000076</v>
      </c>
    </row>
    <row r="264" spans="2:9">
      <c r="B264" s="512">
        <v>45694</v>
      </c>
      <c r="C264" s="507" t="s">
        <v>989</v>
      </c>
      <c r="D264" s="505" t="s">
        <v>990</v>
      </c>
      <c r="E264" s="499"/>
      <c r="F264" s="500">
        <v>1846</v>
      </c>
      <c r="G264" s="501" t="s">
        <v>197</v>
      </c>
      <c r="H264" s="508" t="s">
        <v>554</v>
      </c>
      <c r="I264" s="503">
        <f t="shared" si="3"/>
        <v>3845.9300000000076</v>
      </c>
    </row>
    <row r="265" spans="2:9">
      <c r="B265" s="512">
        <v>45694</v>
      </c>
      <c r="C265" s="507" t="s">
        <v>989</v>
      </c>
      <c r="D265" s="505" t="s">
        <v>990</v>
      </c>
      <c r="E265" s="499"/>
      <c r="F265" s="500">
        <v>406.12</v>
      </c>
      <c r="G265" s="501" t="s">
        <v>197</v>
      </c>
      <c r="H265" s="508" t="s">
        <v>554</v>
      </c>
      <c r="I265" s="503">
        <f t="shared" si="3"/>
        <v>3439.8100000000077</v>
      </c>
    </row>
    <row r="266" spans="2:9">
      <c r="B266" s="512">
        <v>45694</v>
      </c>
      <c r="C266" s="497" t="s">
        <v>117</v>
      </c>
      <c r="D266" s="498" t="s">
        <v>903</v>
      </c>
      <c r="E266" s="499"/>
      <c r="F266" s="500">
        <v>1</v>
      </c>
      <c r="G266" s="501" t="s">
        <v>272</v>
      </c>
      <c r="H266" s="502"/>
      <c r="I266" s="503">
        <f t="shared" ref="I266:I329" si="4">I265+E266-F266</f>
        <v>3438.8100000000077</v>
      </c>
    </row>
    <row r="267" spans="2:9">
      <c r="B267" s="512">
        <v>45694</v>
      </c>
      <c r="C267" s="497">
        <v>8467</v>
      </c>
      <c r="D267" s="498" t="s">
        <v>336</v>
      </c>
      <c r="E267" s="499"/>
      <c r="F267" s="500">
        <v>690.1</v>
      </c>
      <c r="G267" s="501" t="s">
        <v>197</v>
      </c>
      <c r="H267" s="508" t="s">
        <v>554</v>
      </c>
      <c r="I267" s="503">
        <f t="shared" si="4"/>
        <v>2748.7100000000078</v>
      </c>
    </row>
    <row r="268" spans="2:9">
      <c r="B268" s="512">
        <v>45694</v>
      </c>
      <c r="C268" s="497">
        <v>8467</v>
      </c>
      <c r="D268" s="498" t="s">
        <v>336</v>
      </c>
      <c r="E268" s="499"/>
      <c r="F268" s="500">
        <v>134.47999999999999</v>
      </c>
      <c r="G268" s="501" t="s">
        <v>197</v>
      </c>
      <c r="H268" s="508" t="s">
        <v>554</v>
      </c>
      <c r="I268" s="503">
        <f t="shared" si="4"/>
        <v>2614.2300000000077</v>
      </c>
    </row>
    <row r="269" spans="2:9">
      <c r="B269" s="512">
        <v>45694</v>
      </c>
      <c r="C269" s="497">
        <v>9212</v>
      </c>
      <c r="D269" s="498" t="s">
        <v>336</v>
      </c>
      <c r="E269" s="499"/>
      <c r="F269" s="500">
        <v>742.6</v>
      </c>
      <c r="G269" s="501" t="s">
        <v>197</v>
      </c>
      <c r="H269" s="508" t="s">
        <v>554</v>
      </c>
      <c r="I269" s="503">
        <f t="shared" si="4"/>
        <v>1871.6300000000078</v>
      </c>
    </row>
    <row r="270" spans="2:9">
      <c r="B270" s="512">
        <v>45694</v>
      </c>
      <c r="C270" s="497">
        <v>9212</v>
      </c>
      <c r="D270" s="498" t="s">
        <v>336</v>
      </c>
      <c r="E270" s="499"/>
      <c r="F270" s="500">
        <v>149.81</v>
      </c>
      <c r="G270" s="501" t="s">
        <v>197</v>
      </c>
      <c r="H270" s="508" t="s">
        <v>554</v>
      </c>
      <c r="I270" s="503">
        <f t="shared" si="4"/>
        <v>1721.8200000000079</v>
      </c>
    </row>
    <row r="271" spans="2:9">
      <c r="B271" s="512">
        <v>45694</v>
      </c>
      <c r="C271" s="497" t="s">
        <v>117</v>
      </c>
      <c r="D271" s="498" t="s">
        <v>903</v>
      </c>
      <c r="E271" s="499"/>
      <c r="F271" s="500">
        <v>1</v>
      </c>
      <c r="G271" s="501" t="s">
        <v>272</v>
      </c>
      <c r="H271" s="502"/>
      <c r="I271" s="503">
        <f t="shared" si="4"/>
        <v>1720.8200000000079</v>
      </c>
    </row>
    <row r="272" spans="2:9">
      <c r="B272" s="512">
        <v>45694</v>
      </c>
      <c r="C272" s="507" t="s">
        <v>283</v>
      </c>
      <c r="D272" s="505" t="s">
        <v>307</v>
      </c>
      <c r="E272" s="499">
        <v>308.8</v>
      </c>
      <c r="F272" s="500"/>
      <c r="G272" s="501" t="s">
        <v>190</v>
      </c>
      <c r="H272" s="502"/>
      <c r="I272" s="503">
        <f t="shared" si="4"/>
        <v>2029.6200000000078</v>
      </c>
    </row>
    <row r="273" spans="2:9">
      <c r="B273" s="512">
        <v>45694</v>
      </c>
      <c r="C273" s="507" t="s">
        <v>283</v>
      </c>
      <c r="D273" s="505" t="s">
        <v>307</v>
      </c>
      <c r="E273" s="499">
        <v>41</v>
      </c>
      <c r="F273" s="500"/>
      <c r="G273" s="501" t="s">
        <v>190</v>
      </c>
      <c r="H273" s="502"/>
      <c r="I273" s="503">
        <f t="shared" si="4"/>
        <v>2070.6200000000081</v>
      </c>
    </row>
    <row r="274" spans="2:9">
      <c r="B274" s="512">
        <v>45695</v>
      </c>
      <c r="C274" s="507" t="s">
        <v>283</v>
      </c>
      <c r="D274" s="505" t="s">
        <v>307</v>
      </c>
      <c r="E274" s="499">
        <v>44.8</v>
      </c>
      <c r="F274" s="500"/>
      <c r="G274" s="501" t="s">
        <v>190</v>
      </c>
      <c r="H274" s="508"/>
      <c r="I274" s="503">
        <f t="shared" si="4"/>
        <v>2115.4200000000083</v>
      </c>
    </row>
    <row r="275" spans="2:9">
      <c r="B275" s="512">
        <v>45695</v>
      </c>
      <c r="C275" s="507" t="s">
        <v>283</v>
      </c>
      <c r="D275" s="505" t="s">
        <v>307</v>
      </c>
      <c r="E275" s="499">
        <v>290</v>
      </c>
      <c r="F275" s="500"/>
      <c r="G275" s="501" t="s">
        <v>190</v>
      </c>
      <c r="H275" s="524"/>
      <c r="I275" s="503">
        <f t="shared" si="4"/>
        <v>2405.4200000000083</v>
      </c>
    </row>
    <row r="276" spans="2:9">
      <c r="B276" s="512">
        <v>45695</v>
      </c>
      <c r="C276" s="507" t="s">
        <v>991</v>
      </c>
      <c r="D276" s="498" t="s">
        <v>361</v>
      </c>
      <c r="E276" s="499"/>
      <c r="F276" s="500">
        <v>1051.29</v>
      </c>
      <c r="G276" s="501" t="s">
        <v>197</v>
      </c>
      <c r="H276" s="508" t="s">
        <v>554</v>
      </c>
      <c r="I276" s="503">
        <f t="shared" si="4"/>
        <v>1354.1300000000083</v>
      </c>
    </row>
    <row r="277" spans="2:9">
      <c r="B277" s="512">
        <v>45695</v>
      </c>
      <c r="C277" s="507" t="s">
        <v>991</v>
      </c>
      <c r="D277" s="498" t="s">
        <v>361</v>
      </c>
      <c r="E277" s="499"/>
      <c r="F277" s="500">
        <v>85.27</v>
      </c>
      <c r="G277" s="501" t="s">
        <v>197</v>
      </c>
      <c r="H277" s="508" t="s">
        <v>554</v>
      </c>
      <c r="I277" s="503">
        <f t="shared" si="4"/>
        <v>1268.8600000000083</v>
      </c>
    </row>
    <row r="278" spans="2:9">
      <c r="B278" s="512">
        <v>45695</v>
      </c>
      <c r="C278" s="507" t="s">
        <v>992</v>
      </c>
      <c r="D278" s="498" t="s">
        <v>361</v>
      </c>
      <c r="E278" s="499"/>
      <c r="F278" s="500">
        <v>980.41</v>
      </c>
      <c r="G278" s="501" t="s">
        <v>197</v>
      </c>
      <c r="H278" s="508" t="s">
        <v>554</v>
      </c>
      <c r="I278" s="503">
        <f t="shared" si="4"/>
        <v>288.45000000000834</v>
      </c>
    </row>
    <row r="279" spans="2:9">
      <c r="B279" s="512">
        <v>45695</v>
      </c>
      <c r="C279" s="164" t="s">
        <v>992</v>
      </c>
      <c r="D279" s="498" t="s">
        <v>361</v>
      </c>
      <c r="E279" s="499"/>
      <c r="F279" s="500">
        <v>81.84</v>
      </c>
      <c r="G279" s="501" t="s">
        <v>197</v>
      </c>
      <c r="H279" s="508" t="s">
        <v>554</v>
      </c>
      <c r="I279" s="503">
        <f t="shared" si="4"/>
        <v>206.61000000000834</v>
      </c>
    </row>
    <row r="280" spans="2:9">
      <c r="B280" s="512">
        <v>45695</v>
      </c>
      <c r="C280" s="497" t="s">
        <v>117</v>
      </c>
      <c r="D280" s="498" t="s">
        <v>903</v>
      </c>
      <c r="E280" s="499"/>
      <c r="F280" s="500">
        <v>1</v>
      </c>
      <c r="G280" s="501" t="s">
        <v>272</v>
      </c>
      <c r="H280" s="524"/>
      <c r="I280" s="503">
        <f t="shared" si="4"/>
        <v>205.61000000000834</v>
      </c>
    </row>
    <row r="281" spans="2:9">
      <c r="B281" s="512">
        <v>45698</v>
      </c>
      <c r="C281" s="507" t="s">
        <v>283</v>
      </c>
      <c r="D281" s="505" t="s">
        <v>307</v>
      </c>
      <c r="E281" s="499">
        <v>77.900000000000006</v>
      </c>
      <c r="F281" s="500"/>
      <c r="G281" s="501" t="s">
        <v>190</v>
      </c>
      <c r="H281" s="524"/>
      <c r="I281" s="503">
        <f t="shared" si="4"/>
        <v>283.51000000000835</v>
      </c>
    </row>
    <row r="282" spans="2:9">
      <c r="B282" s="512">
        <v>45698</v>
      </c>
      <c r="C282" s="507" t="s">
        <v>283</v>
      </c>
      <c r="D282" s="505" t="s">
        <v>307</v>
      </c>
      <c r="E282" s="499">
        <v>247.7</v>
      </c>
      <c r="F282" s="500"/>
      <c r="G282" s="501" t="s">
        <v>190</v>
      </c>
      <c r="H282" s="524"/>
      <c r="I282" s="503">
        <f t="shared" si="4"/>
        <v>531.21000000000834</v>
      </c>
    </row>
    <row r="283" spans="2:9">
      <c r="B283" s="512">
        <v>45698</v>
      </c>
      <c r="C283" s="507" t="s">
        <v>283</v>
      </c>
      <c r="D283" s="505" t="s">
        <v>307</v>
      </c>
      <c r="E283" s="499">
        <v>300.8</v>
      </c>
      <c r="F283" s="500"/>
      <c r="G283" s="501" t="s">
        <v>190</v>
      </c>
      <c r="H283" s="502"/>
      <c r="I283" s="503">
        <f t="shared" si="4"/>
        <v>832.0100000000084</v>
      </c>
    </row>
    <row r="284" spans="2:9">
      <c r="B284" s="512">
        <v>45698</v>
      </c>
      <c r="C284" s="507" t="s">
        <v>283</v>
      </c>
      <c r="D284" s="505" t="s">
        <v>307</v>
      </c>
      <c r="E284" s="499">
        <v>661.3</v>
      </c>
      <c r="F284" s="500"/>
      <c r="G284" s="501" t="s">
        <v>190</v>
      </c>
      <c r="H284" s="502"/>
      <c r="I284" s="503">
        <f t="shared" si="4"/>
        <v>1493.3100000000084</v>
      </c>
    </row>
    <row r="285" spans="2:9">
      <c r="B285" s="512">
        <v>45698</v>
      </c>
      <c r="C285" s="507" t="s">
        <v>283</v>
      </c>
      <c r="D285" s="505" t="s">
        <v>307</v>
      </c>
      <c r="E285" s="499">
        <v>2193.5</v>
      </c>
      <c r="F285" s="500"/>
      <c r="G285" s="501" t="s">
        <v>190</v>
      </c>
      <c r="H285" s="502"/>
      <c r="I285" s="503">
        <f t="shared" si="4"/>
        <v>3686.8100000000086</v>
      </c>
    </row>
    <row r="286" spans="2:9">
      <c r="B286" s="512">
        <v>45698</v>
      </c>
      <c r="C286" s="507" t="s">
        <v>283</v>
      </c>
      <c r="D286" s="505" t="s">
        <v>307</v>
      </c>
      <c r="E286" s="499">
        <v>1287.2</v>
      </c>
      <c r="F286" s="500"/>
      <c r="G286" s="501" t="s">
        <v>190</v>
      </c>
      <c r="H286" s="502"/>
      <c r="I286" s="503">
        <f t="shared" si="4"/>
        <v>4974.0100000000084</v>
      </c>
    </row>
    <row r="287" spans="2:9">
      <c r="B287" s="512">
        <v>45698</v>
      </c>
      <c r="C287" s="507" t="s">
        <v>283</v>
      </c>
      <c r="D287" s="505" t="s">
        <v>912</v>
      </c>
      <c r="E287" s="499">
        <v>890</v>
      </c>
      <c r="F287" s="500"/>
      <c r="G287" s="501" t="s">
        <v>190</v>
      </c>
      <c r="H287" s="502"/>
      <c r="I287" s="503">
        <f t="shared" si="4"/>
        <v>5864.0100000000084</v>
      </c>
    </row>
    <row r="288" spans="2:9">
      <c r="B288" s="512">
        <v>45698</v>
      </c>
      <c r="C288" s="507" t="s">
        <v>117</v>
      </c>
      <c r="D288" s="505" t="s">
        <v>918</v>
      </c>
      <c r="E288" s="499"/>
      <c r="F288" s="500">
        <v>8.9</v>
      </c>
      <c r="G288" s="501" t="s">
        <v>270</v>
      </c>
      <c r="H288" s="502"/>
      <c r="I288" s="503">
        <f t="shared" si="4"/>
        <v>5855.1100000000088</v>
      </c>
    </row>
    <row r="289" spans="2:9">
      <c r="B289" s="512">
        <v>45698</v>
      </c>
      <c r="C289" s="497" t="s">
        <v>993</v>
      </c>
      <c r="D289" s="498" t="s">
        <v>388</v>
      </c>
      <c r="E289" s="499"/>
      <c r="F289" s="500">
        <v>1779.18</v>
      </c>
      <c r="G289" s="501" t="s">
        <v>197</v>
      </c>
      <c r="H289" s="508" t="s">
        <v>554</v>
      </c>
      <c r="I289" s="503">
        <f t="shared" si="4"/>
        <v>4075.9300000000085</v>
      </c>
    </row>
    <row r="290" spans="2:9">
      <c r="B290" s="512">
        <v>45698</v>
      </c>
      <c r="C290" s="497" t="s">
        <v>993</v>
      </c>
      <c r="D290" s="498" t="s">
        <v>388</v>
      </c>
      <c r="E290" s="499"/>
      <c r="F290" s="500">
        <v>391.42</v>
      </c>
      <c r="G290" s="501" t="s">
        <v>197</v>
      </c>
      <c r="H290" s="508" t="s">
        <v>554</v>
      </c>
      <c r="I290" s="503">
        <f t="shared" si="4"/>
        <v>3684.5100000000084</v>
      </c>
    </row>
    <row r="291" spans="2:9">
      <c r="B291" s="512">
        <v>45698</v>
      </c>
      <c r="C291" s="497" t="s">
        <v>117</v>
      </c>
      <c r="D291" s="498" t="s">
        <v>921</v>
      </c>
      <c r="E291" s="499"/>
      <c r="F291" s="500">
        <v>1.25</v>
      </c>
      <c r="G291" s="501" t="s">
        <v>271</v>
      </c>
      <c r="H291" s="502"/>
      <c r="I291" s="503">
        <f t="shared" si="4"/>
        <v>3683.2600000000084</v>
      </c>
    </row>
    <row r="292" spans="2:9">
      <c r="B292" s="512">
        <v>45698</v>
      </c>
      <c r="C292" s="507" t="s">
        <v>283</v>
      </c>
      <c r="D292" s="505" t="s">
        <v>909</v>
      </c>
      <c r="E292" s="499">
        <v>70</v>
      </c>
      <c r="F292" s="500"/>
      <c r="G292" s="501" t="s">
        <v>190</v>
      </c>
      <c r="H292" s="502"/>
      <c r="I292" s="503">
        <f t="shared" si="4"/>
        <v>3753.2600000000084</v>
      </c>
    </row>
    <row r="293" spans="2:9">
      <c r="B293" s="512">
        <v>45698</v>
      </c>
      <c r="C293" s="507" t="s">
        <v>117</v>
      </c>
      <c r="D293" s="505" t="s">
        <v>911</v>
      </c>
      <c r="E293" s="499"/>
      <c r="F293" s="500">
        <v>1.39</v>
      </c>
      <c r="G293" s="501" t="s">
        <v>269</v>
      </c>
      <c r="H293" s="502"/>
      <c r="I293" s="503">
        <f t="shared" si="4"/>
        <v>3751.8700000000085</v>
      </c>
    </row>
    <row r="294" spans="2:9">
      <c r="B294" s="512">
        <v>45699</v>
      </c>
      <c r="C294" s="507" t="s">
        <v>283</v>
      </c>
      <c r="D294" s="505" t="s">
        <v>307</v>
      </c>
      <c r="E294" s="499">
        <v>7.5</v>
      </c>
      <c r="F294" s="500"/>
      <c r="G294" s="501" t="s">
        <v>190</v>
      </c>
      <c r="H294" s="502"/>
      <c r="I294" s="503">
        <f t="shared" si="4"/>
        <v>3759.3700000000085</v>
      </c>
    </row>
    <row r="295" spans="2:9">
      <c r="B295" s="512">
        <v>45699</v>
      </c>
      <c r="C295" s="507" t="s">
        <v>283</v>
      </c>
      <c r="D295" s="505" t="s">
        <v>307</v>
      </c>
      <c r="E295" s="499">
        <v>8.5</v>
      </c>
      <c r="F295" s="500"/>
      <c r="G295" s="501" t="s">
        <v>190</v>
      </c>
      <c r="H295" s="502"/>
      <c r="I295" s="503">
        <f t="shared" si="4"/>
        <v>3767.8700000000085</v>
      </c>
    </row>
    <row r="296" spans="2:9">
      <c r="B296" s="512">
        <v>45699</v>
      </c>
      <c r="C296" s="507" t="s">
        <v>994</v>
      </c>
      <c r="D296" s="505" t="s">
        <v>650</v>
      </c>
      <c r="E296" s="499"/>
      <c r="F296" s="500">
        <v>2437.31</v>
      </c>
      <c r="G296" s="501" t="s">
        <v>197</v>
      </c>
      <c r="H296" s="508" t="s">
        <v>554</v>
      </c>
      <c r="I296" s="503">
        <f t="shared" si="4"/>
        <v>1330.5600000000086</v>
      </c>
    </row>
    <row r="297" spans="2:9">
      <c r="B297" s="512">
        <v>45699</v>
      </c>
      <c r="C297" s="507" t="s">
        <v>994</v>
      </c>
      <c r="D297" s="498" t="s">
        <v>650</v>
      </c>
      <c r="E297" s="499"/>
      <c r="F297" s="500">
        <v>536.21</v>
      </c>
      <c r="G297" s="501" t="s">
        <v>197</v>
      </c>
      <c r="H297" s="508" t="s">
        <v>554</v>
      </c>
      <c r="I297" s="503">
        <f t="shared" si="4"/>
        <v>794.35000000000855</v>
      </c>
    </row>
    <row r="298" spans="2:9">
      <c r="B298" s="512">
        <v>45699</v>
      </c>
      <c r="C298" s="497" t="s">
        <v>117</v>
      </c>
      <c r="D298" s="498" t="s">
        <v>903</v>
      </c>
      <c r="E298" s="499"/>
      <c r="F298" s="500">
        <v>1</v>
      </c>
      <c r="G298" s="501" t="s">
        <v>272</v>
      </c>
      <c r="H298" s="502"/>
      <c r="I298" s="503">
        <f t="shared" si="4"/>
        <v>793.35000000000855</v>
      </c>
    </row>
    <row r="299" spans="2:9">
      <c r="B299" s="512">
        <v>45699</v>
      </c>
      <c r="C299" s="497" t="s">
        <v>541</v>
      </c>
      <c r="D299" s="498" t="s">
        <v>542</v>
      </c>
      <c r="E299" s="499">
        <v>7950</v>
      </c>
      <c r="F299" s="500"/>
      <c r="G299" s="501" t="s">
        <v>277</v>
      </c>
      <c r="H299" s="502"/>
      <c r="I299" s="503">
        <f t="shared" si="4"/>
        <v>8743.3500000000095</v>
      </c>
    </row>
    <row r="300" spans="2:9">
      <c r="B300" s="512">
        <v>45699</v>
      </c>
      <c r="C300" s="507" t="s">
        <v>283</v>
      </c>
      <c r="D300" s="505" t="s">
        <v>912</v>
      </c>
      <c r="E300" s="499">
        <v>494</v>
      </c>
      <c r="F300" s="500"/>
      <c r="G300" s="501" t="s">
        <v>190</v>
      </c>
      <c r="H300" s="502"/>
      <c r="I300" s="503">
        <f t="shared" si="4"/>
        <v>9237.3500000000095</v>
      </c>
    </row>
    <row r="301" spans="2:9">
      <c r="B301" s="512">
        <v>45699</v>
      </c>
      <c r="C301" s="507" t="s">
        <v>117</v>
      </c>
      <c r="D301" s="505" t="s">
        <v>918</v>
      </c>
      <c r="E301" s="499"/>
      <c r="F301" s="500">
        <f>494-489.06</f>
        <v>4.9399999999999977</v>
      </c>
      <c r="G301" s="501" t="s">
        <v>270</v>
      </c>
      <c r="H301" s="502"/>
      <c r="I301" s="503">
        <f t="shared" si="4"/>
        <v>9232.4100000000089</v>
      </c>
    </row>
    <row r="302" spans="2:9">
      <c r="B302" s="512">
        <v>45700</v>
      </c>
      <c r="C302" s="507" t="s">
        <v>283</v>
      </c>
      <c r="D302" s="505" t="s">
        <v>307</v>
      </c>
      <c r="E302" s="499">
        <v>163</v>
      </c>
      <c r="F302" s="500"/>
      <c r="G302" s="501" t="s">
        <v>190</v>
      </c>
      <c r="H302" s="524"/>
      <c r="I302" s="503">
        <f t="shared" si="4"/>
        <v>9395.4100000000089</v>
      </c>
    </row>
    <row r="303" spans="2:9">
      <c r="B303" s="512">
        <v>45700</v>
      </c>
      <c r="C303" s="507" t="s">
        <v>283</v>
      </c>
      <c r="D303" s="505" t="s">
        <v>307</v>
      </c>
      <c r="E303" s="499">
        <v>19.5</v>
      </c>
      <c r="F303" s="500"/>
      <c r="G303" s="501" t="s">
        <v>190</v>
      </c>
      <c r="H303" s="502"/>
      <c r="I303" s="503">
        <f t="shared" si="4"/>
        <v>9414.9100000000089</v>
      </c>
    </row>
    <row r="304" spans="2:9">
      <c r="B304" s="775">
        <v>45688</v>
      </c>
      <c r="C304" s="507" t="s">
        <v>513</v>
      </c>
      <c r="D304" s="505" t="s">
        <v>557</v>
      </c>
      <c r="E304" s="499"/>
      <c r="F304" s="500">
        <v>1089</v>
      </c>
      <c r="G304" s="501" t="s">
        <v>246</v>
      </c>
      <c r="H304" s="525" t="s">
        <v>753</v>
      </c>
      <c r="I304" s="503">
        <f t="shared" si="4"/>
        <v>8325.9100000000089</v>
      </c>
    </row>
    <row r="305" spans="2:9">
      <c r="B305" s="775">
        <v>45688</v>
      </c>
      <c r="C305" s="507" t="s">
        <v>513</v>
      </c>
      <c r="D305" s="505" t="s">
        <v>25</v>
      </c>
      <c r="E305" s="499"/>
      <c r="F305" s="500">
        <v>1188</v>
      </c>
      <c r="G305" s="501" t="s">
        <v>246</v>
      </c>
      <c r="H305" s="525" t="s">
        <v>753</v>
      </c>
      <c r="I305" s="503">
        <f t="shared" si="4"/>
        <v>7137.9100000000089</v>
      </c>
    </row>
    <row r="306" spans="2:9">
      <c r="B306" s="775">
        <v>45688</v>
      </c>
      <c r="C306" s="507" t="s">
        <v>513</v>
      </c>
      <c r="D306" s="505" t="s">
        <v>558</v>
      </c>
      <c r="E306" s="499"/>
      <c r="F306" s="500">
        <v>422</v>
      </c>
      <c r="G306" s="501" t="s">
        <v>245</v>
      </c>
      <c r="H306" s="525" t="s">
        <v>753</v>
      </c>
      <c r="I306" s="503">
        <f t="shared" si="4"/>
        <v>6715.9100000000089</v>
      </c>
    </row>
    <row r="307" spans="2:9">
      <c r="B307" s="775">
        <v>45688</v>
      </c>
      <c r="C307" s="507" t="s">
        <v>513</v>
      </c>
      <c r="D307" s="505" t="s">
        <v>537</v>
      </c>
      <c r="E307" s="499"/>
      <c r="F307" s="500">
        <v>84</v>
      </c>
      <c r="G307" s="509" t="s">
        <v>227</v>
      </c>
      <c r="H307" s="525" t="s">
        <v>753</v>
      </c>
      <c r="I307" s="503">
        <f t="shared" si="4"/>
        <v>6631.9100000000089</v>
      </c>
    </row>
    <row r="308" spans="2:9">
      <c r="B308" s="775">
        <v>45688</v>
      </c>
      <c r="C308" s="507" t="s">
        <v>513</v>
      </c>
      <c r="D308" s="498" t="s">
        <v>559</v>
      </c>
      <c r="E308" s="499"/>
      <c r="F308" s="500">
        <v>844</v>
      </c>
      <c r="G308" s="501" t="s">
        <v>243</v>
      </c>
      <c r="H308" s="525" t="s">
        <v>753</v>
      </c>
      <c r="I308" s="503">
        <f t="shared" si="4"/>
        <v>5787.9100000000089</v>
      </c>
    </row>
    <row r="309" spans="2:9">
      <c r="B309" s="775">
        <v>45688</v>
      </c>
      <c r="C309" s="497" t="s">
        <v>513</v>
      </c>
      <c r="D309" s="498" t="s">
        <v>26</v>
      </c>
      <c r="E309" s="499"/>
      <c r="F309" s="500">
        <v>1097</v>
      </c>
      <c r="G309" s="501" t="s">
        <v>246</v>
      </c>
      <c r="H309" s="525" t="s">
        <v>753</v>
      </c>
      <c r="I309" s="503">
        <f t="shared" si="4"/>
        <v>4690.9100000000089</v>
      </c>
    </row>
    <row r="310" spans="2:9">
      <c r="B310" s="775">
        <v>45688</v>
      </c>
      <c r="C310" s="497" t="s">
        <v>513</v>
      </c>
      <c r="D310" s="498" t="s">
        <v>560</v>
      </c>
      <c r="E310" s="499"/>
      <c r="F310" s="500">
        <v>223</v>
      </c>
      <c r="G310" s="501" t="s">
        <v>245</v>
      </c>
      <c r="H310" s="525" t="s">
        <v>753</v>
      </c>
      <c r="I310" s="503">
        <f t="shared" si="4"/>
        <v>4467.9100000000089</v>
      </c>
    </row>
    <row r="311" spans="2:9">
      <c r="B311" s="775">
        <v>45688</v>
      </c>
      <c r="C311" s="507" t="s">
        <v>513</v>
      </c>
      <c r="D311" s="505" t="s">
        <v>29</v>
      </c>
      <c r="E311" s="499"/>
      <c r="F311" s="500">
        <v>1275</v>
      </c>
      <c r="G311" s="501" t="s">
        <v>243</v>
      </c>
      <c r="H311" s="525" t="s">
        <v>753</v>
      </c>
      <c r="I311" s="503">
        <f t="shared" si="4"/>
        <v>3192.9100000000089</v>
      </c>
    </row>
    <row r="312" spans="2:9">
      <c r="B312" s="775">
        <v>45688</v>
      </c>
      <c r="C312" s="507" t="s">
        <v>513</v>
      </c>
      <c r="D312" s="505" t="s">
        <v>28</v>
      </c>
      <c r="E312" s="499"/>
      <c r="F312" s="500">
        <v>1388</v>
      </c>
      <c r="G312" s="501" t="s">
        <v>243</v>
      </c>
      <c r="H312" s="525" t="s">
        <v>753</v>
      </c>
      <c r="I312" s="503">
        <f t="shared" si="4"/>
        <v>1804.9100000000089</v>
      </c>
    </row>
    <row r="313" spans="2:9">
      <c r="B313" s="512">
        <v>45701</v>
      </c>
      <c r="C313" s="497" t="s">
        <v>117</v>
      </c>
      <c r="D313" s="498" t="s">
        <v>903</v>
      </c>
      <c r="E313" s="499"/>
      <c r="F313" s="500">
        <v>6.4</v>
      </c>
      <c r="G313" s="501" t="s">
        <v>272</v>
      </c>
      <c r="H313" s="508"/>
      <c r="I313" s="503">
        <f t="shared" si="4"/>
        <v>1798.5100000000089</v>
      </c>
    </row>
    <row r="314" spans="2:9">
      <c r="B314" s="512">
        <v>45701</v>
      </c>
      <c r="C314" s="507" t="s">
        <v>995</v>
      </c>
      <c r="D314" s="505" t="s">
        <v>412</v>
      </c>
      <c r="E314" s="499"/>
      <c r="F314" s="500">
        <v>51.89</v>
      </c>
      <c r="G314" s="501" t="s">
        <v>225</v>
      </c>
      <c r="H314" s="508"/>
      <c r="I314" s="503">
        <f t="shared" si="4"/>
        <v>1746.6200000000088</v>
      </c>
    </row>
    <row r="315" spans="2:9">
      <c r="B315" s="512">
        <v>45701</v>
      </c>
      <c r="C315" s="507" t="s">
        <v>995</v>
      </c>
      <c r="D315" s="505" t="s">
        <v>412</v>
      </c>
      <c r="E315" s="499"/>
      <c r="F315" s="500">
        <v>11.42</v>
      </c>
      <c r="G315" s="501" t="s">
        <v>274</v>
      </c>
      <c r="H315" s="502"/>
      <c r="I315" s="503">
        <f t="shared" si="4"/>
        <v>1735.2000000000087</v>
      </c>
    </row>
    <row r="316" spans="2:9">
      <c r="B316" s="512">
        <v>45701</v>
      </c>
      <c r="C316" s="497" t="s">
        <v>117</v>
      </c>
      <c r="D316" s="498" t="s">
        <v>921</v>
      </c>
      <c r="E316" s="499"/>
      <c r="F316" s="500">
        <v>1.25</v>
      </c>
      <c r="G316" s="501" t="s">
        <v>271</v>
      </c>
      <c r="H316" s="502"/>
      <c r="I316" s="503">
        <f t="shared" si="4"/>
        <v>1733.9500000000087</v>
      </c>
    </row>
    <row r="317" spans="2:9">
      <c r="B317" s="512">
        <v>45701</v>
      </c>
      <c r="C317" s="507" t="s">
        <v>283</v>
      </c>
      <c r="D317" s="505" t="s">
        <v>307</v>
      </c>
      <c r="E317" s="499">
        <v>262.3</v>
      </c>
      <c r="F317" s="500"/>
      <c r="G317" s="501" t="s">
        <v>190</v>
      </c>
      <c r="H317" s="502"/>
      <c r="I317" s="503">
        <f t="shared" si="4"/>
        <v>1996.2500000000086</v>
      </c>
    </row>
    <row r="318" spans="2:9">
      <c r="B318" s="512">
        <v>45701</v>
      </c>
      <c r="C318" s="507" t="s">
        <v>283</v>
      </c>
      <c r="D318" s="505" t="s">
        <v>307</v>
      </c>
      <c r="E318" s="499">
        <v>64.3</v>
      </c>
      <c r="F318" s="500"/>
      <c r="G318" s="501" t="s">
        <v>190</v>
      </c>
      <c r="H318" s="502"/>
      <c r="I318" s="503">
        <f t="shared" si="4"/>
        <v>2060.5500000000088</v>
      </c>
    </row>
    <row r="319" spans="2:9">
      <c r="B319" s="512">
        <v>45702</v>
      </c>
      <c r="C319" s="507" t="s">
        <v>283</v>
      </c>
      <c r="D319" s="505" t="s">
        <v>307</v>
      </c>
      <c r="E319" s="499">
        <v>351.5</v>
      </c>
      <c r="F319" s="500"/>
      <c r="G319" s="501" t="s">
        <v>190</v>
      </c>
      <c r="H319" s="502"/>
      <c r="I319" s="503">
        <f t="shared" si="4"/>
        <v>2412.0500000000088</v>
      </c>
    </row>
    <row r="320" spans="2:9">
      <c r="B320" s="512">
        <v>45702</v>
      </c>
      <c r="C320" s="507" t="s">
        <v>283</v>
      </c>
      <c r="D320" s="505" t="s">
        <v>307</v>
      </c>
      <c r="E320" s="499">
        <v>27.6</v>
      </c>
      <c r="F320" s="500"/>
      <c r="G320" s="501" t="s">
        <v>190</v>
      </c>
      <c r="H320" s="502"/>
      <c r="I320" s="503">
        <f t="shared" si="4"/>
        <v>2439.6500000000087</v>
      </c>
    </row>
    <row r="321" spans="2:9">
      <c r="B321" s="775">
        <v>45688</v>
      </c>
      <c r="C321" s="772" t="s">
        <v>250</v>
      </c>
      <c r="D321" s="773" t="s">
        <v>250</v>
      </c>
      <c r="E321" s="499"/>
      <c r="F321" s="500">
        <v>3248.8</v>
      </c>
      <c r="G321" s="501" t="s">
        <v>250</v>
      </c>
      <c r="H321" s="525" t="s">
        <v>753</v>
      </c>
      <c r="I321" s="503">
        <f t="shared" si="4"/>
        <v>-809.14999999999145</v>
      </c>
    </row>
    <row r="322" spans="2:9">
      <c r="B322" s="512">
        <v>45705</v>
      </c>
      <c r="C322" s="507" t="s">
        <v>283</v>
      </c>
      <c r="D322" s="505" t="s">
        <v>912</v>
      </c>
      <c r="E322" s="499">
        <v>1210.5</v>
      </c>
      <c r="F322" s="500"/>
      <c r="G322" s="501" t="s">
        <v>190</v>
      </c>
      <c r="H322" s="502"/>
      <c r="I322" s="503">
        <f t="shared" si="4"/>
        <v>401.35000000000855</v>
      </c>
    </row>
    <row r="323" spans="2:9">
      <c r="B323" s="512">
        <v>45705</v>
      </c>
      <c r="C323" s="507" t="s">
        <v>117</v>
      </c>
      <c r="D323" s="505" t="s">
        <v>918</v>
      </c>
      <c r="E323" s="499"/>
      <c r="F323" s="500">
        <f>1210.5-1198.36</f>
        <v>12.1400000000001</v>
      </c>
      <c r="G323" s="501" t="s">
        <v>270</v>
      </c>
      <c r="H323" s="502"/>
      <c r="I323" s="503">
        <f t="shared" si="4"/>
        <v>389.21000000000845</v>
      </c>
    </row>
    <row r="324" spans="2:9">
      <c r="B324" s="512">
        <v>45705</v>
      </c>
      <c r="C324" s="507" t="s">
        <v>283</v>
      </c>
      <c r="D324" s="505" t="s">
        <v>307</v>
      </c>
      <c r="E324" s="499">
        <v>1233.7</v>
      </c>
      <c r="F324" s="500"/>
      <c r="G324" s="501" t="s">
        <v>190</v>
      </c>
      <c r="H324" s="502"/>
      <c r="I324" s="503">
        <f t="shared" si="4"/>
        <v>1622.9100000000085</v>
      </c>
    </row>
    <row r="325" spans="2:9">
      <c r="B325" s="512">
        <v>45705</v>
      </c>
      <c r="C325" s="507" t="s">
        <v>283</v>
      </c>
      <c r="D325" s="505" t="s">
        <v>307</v>
      </c>
      <c r="E325" s="499">
        <v>737.8</v>
      </c>
      <c r="F325" s="500"/>
      <c r="G325" s="501" t="s">
        <v>190</v>
      </c>
      <c r="H325" s="502"/>
      <c r="I325" s="503">
        <f t="shared" si="4"/>
        <v>2360.7100000000082</v>
      </c>
    </row>
    <row r="326" spans="2:9">
      <c r="B326" s="512">
        <v>45705</v>
      </c>
      <c r="C326" s="507" t="s">
        <v>283</v>
      </c>
      <c r="D326" s="505" t="s">
        <v>307</v>
      </c>
      <c r="E326" s="499">
        <v>709.5</v>
      </c>
      <c r="F326" s="500"/>
      <c r="G326" s="501" t="s">
        <v>190</v>
      </c>
      <c r="H326" s="502"/>
      <c r="I326" s="503">
        <f t="shared" si="4"/>
        <v>3070.2100000000082</v>
      </c>
    </row>
    <row r="327" spans="2:9">
      <c r="B327" s="512">
        <v>45705</v>
      </c>
      <c r="C327" s="507" t="s">
        <v>283</v>
      </c>
      <c r="D327" s="505" t="s">
        <v>307</v>
      </c>
      <c r="E327" s="499">
        <v>276.2</v>
      </c>
      <c r="F327" s="500"/>
      <c r="G327" s="501" t="s">
        <v>190</v>
      </c>
      <c r="H327" s="502"/>
      <c r="I327" s="503">
        <f t="shared" si="4"/>
        <v>3346.410000000008</v>
      </c>
    </row>
    <row r="328" spans="2:9">
      <c r="B328" s="512">
        <v>45705</v>
      </c>
      <c r="C328" s="507" t="s">
        <v>283</v>
      </c>
      <c r="D328" s="505" t="s">
        <v>307</v>
      </c>
      <c r="E328" s="499">
        <v>182.4</v>
      </c>
      <c r="F328" s="500"/>
      <c r="G328" s="501" t="s">
        <v>190</v>
      </c>
      <c r="H328" s="502"/>
      <c r="I328" s="503">
        <f t="shared" si="4"/>
        <v>3528.8100000000081</v>
      </c>
    </row>
    <row r="329" spans="2:9">
      <c r="B329" s="512">
        <v>45705</v>
      </c>
      <c r="C329" s="507" t="s">
        <v>283</v>
      </c>
      <c r="D329" s="505" t="s">
        <v>307</v>
      </c>
      <c r="E329" s="499">
        <v>84</v>
      </c>
      <c r="F329" s="500"/>
      <c r="G329" s="501" t="s">
        <v>190</v>
      </c>
      <c r="H329" s="502"/>
      <c r="I329" s="503">
        <f t="shared" si="4"/>
        <v>3612.8100000000081</v>
      </c>
    </row>
    <row r="330" spans="2:9">
      <c r="B330" s="512">
        <v>45705</v>
      </c>
      <c r="C330" s="507" t="s">
        <v>286</v>
      </c>
      <c r="D330" s="505" t="s">
        <v>520</v>
      </c>
      <c r="E330" s="499"/>
      <c r="F330" s="500">
        <v>2200</v>
      </c>
      <c r="G330" s="501" t="s">
        <v>197</v>
      </c>
      <c r="H330" s="508" t="s">
        <v>554</v>
      </c>
      <c r="I330" s="503">
        <f t="shared" ref="I330:I393" si="5">I329+E330-F330</f>
        <v>1412.8100000000081</v>
      </c>
    </row>
    <row r="331" spans="2:9">
      <c r="B331" s="512">
        <v>45705</v>
      </c>
      <c r="C331" s="507" t="s">
        <v>996</v>
      </c>
      <c r="D331" s="505" t="s">
        <v>917</v>
      </c>
      <c r="E331" s="499"/>
      <c r="F331" s="500">
        <v>132</v>
      </c>
      <c r="G331" s="501" t="s">
        <v>227</v>
      </c>
      <c r="H331" s="502"/>
      <c r="I331" s="503">
        <f t="shared" si="5"/>
        <v>1280.8100000000081</v>
      </c>
    </row>
    <row r="332" spans="2:9">
      <c r="B332" s="512">
        <v>45705</v>
      </c>
      <c r="C332" s="497" t="s">
        <v>117</v>
      </c>
      <c r="D332" s="498" t="s">
        <v>903</v>
      </c>
      <c r="E332" s="499"/>
      <c r="F332" s="500">
        <v>1</v>
      </c>
      <c r="G332" s="501" t="s">
        <v>272</v>
      </c>
      <c r="H332" s="502"/>
      <c r="I332" s="503">
        <f t="shared" si="5"/>
        <v>1279.8100000000081</v>
      </c>
    </row>
    <row r="333" spans="2:9">
      <c r="B333" s="512">
        <v>45705</v>
      </c>
      <c r="C333" s="507" t="s">
        <v>283</v>
      </c>
      <c r="D333" s="505" t="s">
        <v>909</v>
      </c>
      <c r="E333" s="499">
        <v>674.5</v>
      </c>
      <c r="F333" s="500"/>
      <c r="G333" s="501" t="s">
        <v>190</v>
      </c>
      <c r="H333" s="502"/>
      <c r="I333" s="503">
        <f t="shared" si="5"/>
        <v>1954.3100000000081</v>
      </c>
    </row>
    <row r="334" spans="2:9">
      <c r="B334" s="512">
        <v>45705</v>
      </c>
      <c r="C334" s="507" t="s">
        <v>117</v>
      </c>
      <c r="D334" s="505" t="s">
        <v>911</v>
      </c>
      <c r="E334" s="499"/>
      <c r="F334" s="500">
        <v>6.22</v>
      </c>
      <c r="G334" s="501" t="s">
        <v>269</v>
      </c>
      <c r="H334" s="502"/>
      <c r="I334" s="503">
        <f t="shared" si="5"/>
        <v>1948.0900000000081</v>
      </c>
    </row>
    <row r="335" spans="2:9">
      <c r="B335" s="512">
        <v>45706</v>
      </c>
      <c r="C335" s="507" t="s">
        <v>997</v>
      </c>
      <c r="D335" s="505" t="s">
        <v>341</v>
      </c>
      <c r="E335" s="499">
        <f>3566.23-551.48</f>
        <v>3014.75</v>
      </c>
      <c r="F335" s="500"/>
      <c r="G335" s="501" t="s">
        <v>197</v>
      </c>
      <c r="H335" s="508" t="s">
        <v>554</v>
      </c>
      <c r="I335" s="503">
        <f t="shared" si="5"/>
        <v>4962.8400000000083</v>
      </c>
    </row>
    <row r="336" spans="2:9">
      <c r="B336" s="512">
        <v>45706</v>
      </c>
      <c r="C336" s="507" t="s">
        <v>997</v>
      </c>
      <c r="D336" s="505" t="s">
        <v>341</v>
      </c>
      <c r="E336" s="499">
        <v>551.48</v>
      </c>
      <c r="F336" s="500"/>
      <c r="G336" s="501" t="s">
        <v>276</v>
      </c>
      <c r="H336" s="502"/>
      <c r="I336" s="503">
        <f t="shared" si="5"/>
        <v>5514.3200000000088</v>
      </c>
    </row>
    <row r="337" spans="2:9">
      <c r="B337" s="512">
        <v>45706</v>
      </c>
      <c r="C337" s="507" t="s">
        <v>998</v>
      </c>
      <c r="D337" s="505" t="s">
        <v>341</v>
      </c>
      <c r="E337" s="499">
        <v>236.6</v>
      </c>
      <c r="F337" s="500"/>
      <c r="G337" s="501" t="s">
        <v>197</v>
      </c>
      <c r="H337" s="508" t="s">
        <v>554</v>
      </c>
      <c r="I337" s="503">
        <f t="shared" si="5"/>
        <v>5750.9200000000092</v>
      </c>
    </row>
    <row r="338" spans="2:9">
      <c r="B338" s="512">
        <v>45706</v>
      </c>
      <c r="C338" s="507" t="s">
        <v>998</v>
      </c>
      <c r="D338" s="505" t="s">
        <v>341</v>
      </c>
      <c r="E338" s="499">
        <v>52.05</v>
      </c>
      <c r="F338" s="500"/>
      <c r="G338" s="501" t="s">
        <v>276</v>
      </c>
      <c r="H338" s="502"/>
      <c r="I338" s="503">
        <f t="shared" si="5"/>
        <v>5802.9700000000093</v>
      </c>
    </row>
    <row r="339" spans="2:9">
      <c r="B339" s="512">
        <v>45706</v>
      </c>
      <c r="C339" s="507" t="s">
        <v>999</v>
      </c>
      <c r="D339" s="505" t="s">
        <v>341</v>
      </c>
      <c r="E339" s="499">
        <v>5000</v>
      </c>
      <c r="F339" s="500"/>
      <c r="G339" s="501" t="s">
        <v>197</v>
      </c>
      <c r="H339" s="508" t="s">
        <v>554</v>
      </c>
      <c r="I339" s="503">
        <f t="shared" si="5"/>
        <v>10802.970000000008</v>
      </c>
    </row>
    <row r="340" spans="2:9">
      <c r="B340" s="512">
        <v>45706</v>
      </c>
      <c r="C340" s="507" t="s">
        <v>999</v>
      </c>
      <c r="D340" s="505" t="s">
        <v>341</v>
      </c>
      <c r="E340" s="499">
        <v>1100</v>
      </c>
      <c r="F340" s="500"/>
      <c r="G340" s="501" t="s">
        <v>276</v>
      </c>
      <c r="H340" s="502"/>
      <c r="I340" s="503">
        <f t="shared" si="5"/>
        <v>11902.970000000008</v>
      </c>
    </row>
    <row r="341" spans="2:9">
      <c r="B341" s="512">
        <v>45706</v>
      </c>
      <c r="C341" s="497">
        <v>18</v>
      </c>
      <c r="D341" s="498" t="s">
        <v>421</v>
      </c>
      <c r="E341" s="499"/>
      <c r="F341" s="500">
        <v>1000</v>
      </c>
      <c r="G341" s="501"/>
      <c r="H341" s="502"/>
      <c r="I341" s="503">
        <f t="shared" si="5"/>
        <v>10902.970000000008</v>
      </c>
    </row>
    <row r="342" spans="2:9">
      <c r="B342" s="512">
        <v>45706</v>
      </c>
      <c r="C342" s="497">
        <v>18</v>
      </c>
      <c r="D342" s="498" t="s">
        <v>421</v>
      </c>
      <c r="E342" s="499"/>
      <c r="F342" s="500">
        <v>220</v>
      </c>
      <c r="G342" s="501" t="s">
        <v>274</v>
      </c>
      <c r="H342" s="502"/>
      <c r="I342" s="503">
        <f t="shared" si="5"/>
        <v>10682.970000000008</v>
      </c>
    </row>
    <row r="343" spans="2:9">
      <c r="B343" s="512">
        <v>45706</v>
      </c>
      <c r="C343" s="497" t="s">
        <v>117</v>
      </c>
      <c r="D343" s="498" t="s">
        <v>903</v>
      </c>
      <c r="E343" s="499"/>
      <c r="F343" s="500">
        <v>0.75</v>
      </c>
      <c r="G343" s="501" t="s">
        <v>272</v>
      </c>
      <c r="H343" s="502"/>
      <c r="I343" s="503">
        <f t="shared" si="5"/>
        <v>10682.220000000008</v>
      </c>
    </row>
    <row r="344" spans="2:9">
      <c r="B344" s="512">
        <v>45706</v>
      </c>
      <c r="C344" s="497" t="s">
        <v>1000</v>
      </c>
      <c r="D344" s="498" t="s">
        <v>385</v>
      </c>
      <c r="E344" s="499"/>
      <c r="F344" s="500">
        <v>449.12</v>
      </c>
      <c r="G344" s="501" t="s">
        <v>197</v>
      </c>
      <c r="H344" s="508" t="s">
        <v>554</v>
      </c>
      <c r="I344" s="503">
        <f t="shared" si="5"/>
        <v>10233.100000000008</v>
      </c>
    </row>
    <row r="345" spans="2:9">
      <c r="B345" s="512">
        <v>45706</v>
      </c>
      <c r="C345" s="497" t="s">
        <v>1000</v>
      </c>
      <c r="D345" s="498" t="s">
        <v>385</v>
      </c>
      <c r="E345" s="499"/>
      <c r="F345" s="500">
        <v>98.81</v>
      </c>
      <c r="G345" s="501" t="s">
        <v>197</v>
      </c>
      <c r="H345" s="508" t="s">
        <v>554</v>
      </c>
      <c r="I345" s="503">
        <f t="shared" si="5"/>
        <v>10134.290000000008</v>
      </c>
    </row>
    <row r="346" spans="2:9">
      <c r="B346" s="512">
        <v>45706</v>
      </c>
      <c r="C346" s="497" t="s">
        <v>117</v>
      </c>
      <c r="D346" s="498" t="s">
        <v>903</v>
      </c>
      <c r="E346" s="499"/>
      <c r="F346" s="500">
        <v>1</v>
      </c>
      <c r="G346" s="501" t="s">
        <v>272</v>
      </c>
      <c r="H346" s="502"/>
      <c r="I346" s="503">
        <f t="shared" si="5"/>
        <v>10133.290000000008</v>
      </c>
    </row>
    <row r="347" spans="2:9">
      <c r="B347" s="512">
        <v>45706</v>
      </c>
      <c r="C347" s="507" t="s">
        <v>283</v>
      </c>
      <c r="D347" s="505" t="s">
        <v>307</v>
      </c>
      <c r="E347" s="499">
        <v>22</v>
      </c>
      <c r="F347" s="500"/>
      <c r="G347" s="501" t="s">
        <v>190</v>
      </c>
      <c r="H347" s="508"/>
      <c r="I347" s="503">
        <f t="shared" si="5"/>
        <v>10155.290000000008</v>
      </c>
    </row>
    <row r="348" spans="2:9">
      <c r="B348" s="512">
        <v>45706</v>
      </c>
      <c r="C348" s="507" t="s">
        <v>283</v>
      </c>
      <c r="D348" s="505" t="s">
        <v>307</v>
      </c>
      <c r="E348" s="499">
        <v>430.5</v>
      </c>
      <c r="F348" s="500"/>
      <c r="G348" s="501" t="s">
        <v>190</v>
      </c>
      <c r="H348" s="508"/>
      <c r="I348" s="503">
        <f t="shared" si="5"/>
        <v>10585.790000000008</v>
      </c>
    </row>
    <row r="349" spans="2:9">
      <c r="B349" s="512">
        <v>45706</v>
      </c>
      <c r="C349" s="507" t="s">
        <v>283</v>
      </c>
      <c r="D349" s="505" t="s">
        <v>307</v>
      </c>
      <c r="E349" s="499">
        <v>200</v>
      </c>
      <c r="F349" s="500"/>
      <c r="G349" s="501" t="s">
        <v>190</v>
      </c>
      <c r="H349" s="502" t="s">
        <v>1001</v>
      </c>
      <c r="I349" s="503">
        <f t="shared" si="5"/>
        <v>10785.790000000008</v>
      </c>
    </row>
    <row r="350" spans="2:9">
      <c r="B350" s="512">
        <v>45706</v>
      </c>
      <c r="C350" s="507" t="s">
        <v>283</v>
      </c>
      <c r="D350" s="505" t="s">
        <v>909</v>
      </c>
      <c r="E350" s="499">
        <v>90</v>
      </c>
      <c r="F350" s="500"/>
      <c r="G350" s="501" t="s">
        <v>190</v>
      </c>
      <c r="H350" s="502" t="s">
        <v>67</v>
      </c>
      <c r="I350" s="503">
        <f t="shared" si="5"/>
        <v>10875.790000000008</v>
      </c>
    </row>
    <row r="351" spans="2:9">
      <c r="B351" s="512">
        <v>45706</v>
      </c>
      <c r="C351" s="507" t="s">
        <v>117</v>
      </c>
      <c r="D351" s="505" t="s">
        <v>911</v>
      </c>
      <c r="E351" s="499"/>
      <c r="F351" s="500">
        <v>2.5499999999999998</v>
      </c>
      <c r="G351" s="501" t="s">
        <v>269</v>
      </c>
      <c r="H351" s="508"/>
      <c r="I351" s="503">
        <f t="shared" si="5"/>
        <v>10873.240000000009</v>
      </c>
    </row>
    <row r="352" spans="2:9">
      <c r="B352" s="512">
        <v>45706</v>
      </c>
      <c r="C352" s="507" t="s">
        <v>283</v>
      </c>
      <c r="D352" s="505" t="s">
        <v>912</v>
      </c>
      <c r="E352" s="499">
        <v>600.5</v>
      </c>
      <c r="F352" s="500"/>
      <c r="G352" s="501" t="s">
        <v>190</v>
      </c>
      <c r="H352" s="508"/>
      <c r="I352" s="503">
        <f t="shared" si="5"/>
        <v>11473.740000000009</v>
      </c>
    </row>
    <row r="353" spans="2:88">
      <c r="B353" s="512">
        <v>45706</v>
      </c>
      <c r="C353" s="507" t="s">
        <v>117</v>
      </c>
      <c r="D353" s="505" t="s">
        <v>918</v>
      </c>
      <c r="E353" s="499"/>
      <c r="F353" s="500">
        <f>600.5-594.48</f>
        <v>6.0199999999999818</v>
      </c>
      <c r="G353" s="501" t="s">
        <v>270</v>
      </c>
      <c r="H353" s="508"/>
      <c r="I353" s="503">
        <f t="shared" si="5"/>
        <v>11467.720000000008</v>
      </c>
    </row>
    <row r="354" spans="2:88">
      <c r="B354" s="512">
        <v>45706</v>
      </c>
      <c r="C354" s="507" t="s">
        <v>283</v>
      </c>
      <c r="D354" s="505" t="s">
        <v>909</v>
      </c>
      <c r="E354" s="499">
        <v>148</v>
      </c>
      <c r="F354" s="500"/>
      <c r="G354" s="501" t="s">
        <v>190</v>
      </c>
      <c r="H354" s="502"/>
      <c r="I354" s="503">
        <f t="shared" si="5"/>
        <v>11615.720000000008</v>
      </c>
    </row>
    <row r="355" spans="2:88">
      <c r="B355" s="512">
        <v>45706</v>
      </c>
      <c r="C355" s="507" t="s">
        <v>117</v>
      </c>
      <c r="D355" s="505" t="s">
        <v>911</v>
      </c>
      <c r="E355" s="499"/>
      <c r="F355" s="500">
        <v>1.91</v>
      </c>
      <c r="G355" s="501" t="s">
        <v>269</v>
      </c>
      <c r="H355" s="502"/>
      <c r="I355" s="503">
        <f t="shared" si="5"/>
        <v>11613.810000000009</v>
      </c>
    </row>
    <row r="356" spans="2:88">
      <c r="B356" s="512">
        <v>45707</v>
      </c>
      <c r="C356" s="507" t="s">
        <v>283</v>
      </c>
      <c r="D356" s="505" t="s">
        <v>909</v>
      </c>
      <c r="E356" s="499">
        <v>30</v>
      </c>
      <c r="F356" s="500"/>
      <c r="G356" s="501" t="s">
        <v>190</v>
      </c>
      <c r="H356" s="502" t="s">
        <v>67</v>
      </c>
      <c r="I356" s="503">
        <f t="shared" si="5"/>
        <v>11643.810000000009</v>
      </c>
    </row>
    <row r="357" spans="2:88" s="168" customFormat="1">
      <c r="B357" s="512">
        <v>45707</v>
      </c>
      <c r="C357" s="507" t="s">
        <v>117</v>
      </c>
      <c r="D357" s="505" t="s">
        <v>911</v>
      </c>
      <c r="E357" s="499"/>
      <c r="F357" s="500">
        <v>0.85</v>
      </c>
      <c r="G357" s="501" t="s">
        <v>269</v>
      </c>
      <c r="H357" s="508"/>
      <c r="I357" s="503">
        <f t="shared" si="5"/>
        <v>11642.960000000008</v>
      </c>
      <c r="AJ357" s="169"/>
      <c r="AK357" s="169"/>
      <c r="AL357" s="169"/>
      <c r="AM357" s="169"/>
      <c r="AN357" s="169"/>
      <c r="AO357" s="169"/>
      <c r="AP357" s="169"/>
      <c r="AQ357" s="169"/>
      <c r="AR357" s="169"/>
      <c r="AS357" s="169"/>
      <c r="AT357" s="169"/>
      <c r="AU357" s="169"/>
      <c r="AV357" s="169"/>
      <c r="AW357" s="169"/>
      <c r="AX357" s="169"/>
      <c r="AY357" s="169"/>
      <c r="AZ357" s="169"/>
      <c r="BA357" s="169"/>
      <c r="BB357" s="169"/>
      <c r="BC357" s="169"/>
      <c r="BD357" s="169"/>
      <c r="BE357" s="169"/>
      <c r="BF357" s="169"/>
      <c r="BG357" s="169"/>
      <c r="BH357" s="169"/>
      <c r="BI357" s="169"/>
      <c r="BJ357" s="169"/>
      <c r="BK357" s="169"/>
      <c r="BL357" s="169"/>
      <c r="BM357" s="169"/>
      <c r="BN357" s="169"/>
      <c r="BO357" s="169"/>
      <c r="BP357" s="169"/>
      <c r="BQ357" s="169"/>
      <c r="BR357" s="169"/>
      <c r="BS357" s="169"/>
      <c r="BT357" s="169"/>
      <c r="BU357" s="169"/>
      <c r="BV357" s="169"/>
      <c r="BW357" s="169"/>
      <c r="BX357" s="169"/>
      <c r="BY357" s="169"/>
      <c r="BZ357" s="169"/>
      <c r="CA357" s="169"/>
      <c r="CB357" s="169"/>
      <c r="CC357" s="169"/>
      <c r="CD357" s="169"/>
      <c r="CE357" s="169"/>
      <c r="CF357" s="169"/>
      <c r="CG357" s="169"/>
      <c r="CH357" s="169"/>
      <c r="CI357" s="169"/>
      <c r="CJ357" s="169"/>
    </row>
    <row r="358" spans="2:88" s="168" customFormat="1">
      <c r="B358" s="512">
        <v>45707</v>
      </c>
      <c r="C358" s="507" t="s">
        <v>283</v>
      </c>
      <c r="D358" s="505" t="s">
        <v>307</v>
      </c>
      <c r="E358" s="499">
        <v>219.4</v>
      </c>
      <c r="F358" s="500"/>
      <c r="G358" s="501" t="s">
        <v>190</v>
      </c>
      <c r="H358" s="502"/>
      <c r="I358" s="503">
        <f t="shared" si="5"/>
        <v>11862.360000000008</v>
      </c>
      <c r="AJ358" s="169"/>
      <c r="AK358" s="169"/>
      <c r="AL358" s="169"/>
      <c r="AM358" s="169"/>
      <c r="AN358" s="169"/>
      <c r="AO358" s="169"/>
      <c r="AP358" s="169"/>
      <c r="AQ358" s="169"/>
      <c r="AR358" s="169"/>
      <c r="AS358" s="169"/>
      <c r="AT358" s="169"/>
      <c r="AU358" s="169"/>
      <c r="AV358" s="169"/>
      <c r="AW358" s="169"/>
      <c r="AX358" s="169"/>
      <c r="AY358" s="169"/>
      <c r="AZ358" s="169"/>
      <c r="BA358" s="169"/>
      <c r="BB358" s="169"/>
      <c r="BC358" s="169"/>
      <c r="BD358" s="169"/>
      <c r="BE358" s="169"/>
      <c r="BF358" s="169"/>
      <c r="BG358" s="169"/>
      <c r="BH358" s="169"/>
      <c r="BI358" s="169"/>
      <c r="BJ358" s="169"/>
      <c r="BK358" s="169"/>
      <c r="BL358" s="169"/>
      <c r="BM358" s="169"/>
      <c r="BN358" s="169"/>
      <c r="BO358" s="169"/>
      <c r="BP358" s="169"/>
      <c r="BQ358" s="169"/>
      <c r="BR358" s="169"/>
      <c r="BS358" s="169"/>
      <c r="BT358" s="169"/>
      <c r="BU358" s="169"/>
      <c r="BV358" s="169"/>
      <c r="BW358" s="169"/>
      <c r="BX358" s="169"/>
      <c r="BY358" s="169"/>
      <c r="BZ358" s="169"/>
      <c r="CA358" s="169"/>
      <c r="CB358" s="169"/>
      <c r="CC358" s="169"/>
      <c r="CD358" s="169"/>
      <c r="CE358" s="169"/>
      <c r="CF358" s="169"/>
      <c r="CG358" s="169"/>
      <c r="CH358" s="169"/>
      <c r="CI358" s="169"/>
      <c r="CJ358" s="169"/>
    </row>
    <row r="359" spans="2:88" s="168" customFormat="1">
      <c r="B359" s="512">
        <v>45707</v>
      </c>
      <c r="C359" s="507" t="s">
        <v>283</v>
      </c>
      <c r="D359" s="505" t="s">
        <v>307</v>
      </c>
      <c r="E359" s="499">
        <v>24.5</v>
      </c>
      <c r="F359" s="500"/>
      <c r="G359" s="501" t="s">
        <v>190</v>
      </c>
      <c r="H359" s="502"/>
      <c r="I359" s="503">
        <f t="shared" si="5"/>
        <v>11886.860000000008</v>
      </c>
      <c r="AJ359" s="169"/>
      <c r="AK359" s="169"/>
      <c r="AL359" s="169"/>
      <c r="AM359" s="169"/>
      <c r="AN359" s="169"/>
      <c r="AO359" s="169"/>
      <c r="AP359" s="169"/>
      <c r="AQ359" s="169"/>
      <c r="AR359" s="169"/>
      <c r="AS359" s="169"/>
      <c r="AT359" s="169"/>
      <c r="AU359" s="169"/>
      <c r="AV359" s="169"/>
      <c r="AW359" s="169"/>
      <c r="AX359" s="169"/>
      <c r="AY359" s="169"/>
      <c r="AZ359" s="169"/>
      <c r="BA359" s="169"/>
      <c r="BB359" s="169"/>
      <c r="BC359" s="169"/>
      <c r="BD359" s="169"/>
      <c r="BE359" s="169"/>
      <c r="BF359" s="169"/>
      <c r="BG359" s="169"/>
      <c r="BH359" s="169"/>
      <c r="BI359" s="169"/>
      <c r="BJ359" s="169"/>
      <c r="BK359" s="169"/>
      <c r="BL359" s="169"/>
      <c r="BM359" s="169"/>
      <c r="BN359" s="169"/>
      <c r="BO359" s="169"/>
      <c r="BP359" s="169"/>
      <c r="BQ359" s="169"/>
      <c r="BR359" s="169"/>
      <c r="BS359" s="169"/>
      <c r="BT359" s="169"/>
      <c r="BU359" s="169"/>
      <c r="BV359" s="169"/>
      <c r="BW359" s="169"/>
      <c r="BX359" s="169"/>
      <c r="BY359" s="169"/>
      <c r="BZ359" s="169"/>
      <c r="CA359" s="169"/>
      <c r="CB359" s="169"/>
      <c r="CC359" s="169"/>
      <c r="CD359" s="169"/>
      <c r="CE359" s="169"/>
      <c r="CF359" s="169"/>
      <c r="CG359" s="169"/>
      <c r="CH359" s="169"/>
      <c r="CI359" s="169"/>
      <c r="CJ359" s="169"/>
    </row>
    <row r="360" spans="2:88" s="168" customFormat="1">
      <c r="B360" s="512">
        <v>45708</v>
      </c>
      <c r="C360" s="507" t="s">
        <v>283</v>
      </c>
      <c r="D360" s="505" t="s">
        <v>307</v>
      </c>
      <c r="E360" s="499">
        <v>194</v>
      </c>
      <c r="F360" s="500"/>
      <c r="G360" s="501" t="s">
        <v>190</v>
      </c>
      <c r="H360" s="502"/>
      <c r="I360" s="503">
        <f t="shared" si="5"/>
        <v>12080.860000000008</v>
      </c>
      <c r="AJ360" s="169"/>
      <c r="AK360" s="169"/>
      <c r="AL360" s="169"/>
      <c r="AM360" s="169"/>
      <c r="AN360" s="169"/>
      <c r="AO360" s="169"/>
      <c r="AP360" s="169"/>
      <c r="AQ360" s="169"/>
      <c r="AR360" s="169"/>
      <c r="AS360" s="169"/>
      <c r="AT360" s="169"/>
      <c r="AU360" s="169"/>
      <c r="AV360" s="169"/>
      <c r="AW360" s="169"/>
      <c r="AX360" s="169"/>
      <c r="AY360" s="169"/>
      <c r="AZ360" s="169"/>
      <c r="BA360" s="169"/>
      <c r="BB360" s="169"/>
      <c r="BC360" s="169"/>
      <c r="BD360" s="169"/>
      <c r="BE360" s="169"/>
      <c r="BF360" s="169"/>
      <c r="BG360" s="169"/>
      <c r="BH360" s="169"/>
      <c r="BI360" s="169"/>
      <c r="BJ360" s="169"/>
      <c r="BK360" s="169"/>
      <c r="BL360" s="169"/>
      <c r="BM360" s="169"/>
      <c r="BN360" s="169"/>
      <c r="BO360" s="169"/>
      <c r="BP360" s="169"/>
      <c r="BQ360" s="169"/>
      <c r="BR360" s="169"/>
      <c r="BS360" s="169"/>
      <c r="BT360" s="169"/>
      <c r="BU360" s="169"/>
      <c r="BV360" s="169"/>
      <c r="BW360" s="169"/>
      <c r="BX360" s="169"/>
      <c r="BY360" s="169"/>
      <c r="BZ360" s="169"/>
      <c r="CA360" s="169"/>
      <c r="CB360" s="169"/>
      <c r="CC360" s="169"/>
      <c r="CD360" s="169"/>
      <c r="CE360" s="169"/>
      <c r="CF360" s="169"/>
      <c r="CG360" s="169"/>
      <c r="CH360" s="169"/>
      <c r="CI360" s="169"/>
      <c r="CJ360" s="169"/>
    </row>
    <row r="361" spans="2:88" s="168" customFormat="1">
      <c r="B361" s="512">
        <v>45708</v>
      </c>
      <c r="C361" s="507" t="s">
        <v>283</v>
      </c>
      <c r="D361" s="505" t="s">
        <v>307</v>
      </c>
      <c r="E361" s="499">
        <v>130.1</v>
      </c>
      <c r="F361" s="500"/>
      <c r="G361" s="501" t="s">
        <v>190</v>
      </c>
      <c r="H361" s="502"/>
      <c r="I361" s="503">
        <f t="shared" si="5"/>
        <v>12210.960000000008</v>
      </c>
      <c r="AJ361" s="169"/>
      <c r="AK361" s="169"/>
      <c r="AL361" s="169"/>
      <c r="AM361" s="169"/>
      <c r="AN361" s="169"/>
      <c r="AO361" s="169"/>
      <c r="AP361" s="169"/>
      <c r="AQ361" s="169"/>
      <c r="AR361" s="169"/>
      <c r="AS361" s="169"/>
      <c r="AT361" s="169"/>
      <c r="AU361" s="169"/>
      <c r="AV361" s="169"/>
      <c r="AW361" s="169"/>
      <c r="AX361" s="169"/>
      <c r="AY361" s="169"/>
      <c r="AZ361" s="169"/>
      <c r="BA361" s="169"/>
      <c r="BB361" s="169"/>
      <c r="BC361" s="169"/>
      <c r="BD361" s="169"/>
      <c r="BE361" s="169"/>
      <c r="BF361" s="169"/>
      <c r="BG361" s="169"/>
      <c r="BH361" s="169"/>
      <c r="BI361" s="169"/>
      <c r="BJ361" s="169"/>
      <c r="BK361" s="169"/>
      <c r="BL361" s="169"/>
      <c r="BM361" s="169"/>
      <c r="BN361" s="169"/>
      <c r="BO361" s="169"/>
      <c r="BP361" s="169"/>
      <c r="BQ361" s="169"/>
      <c r="BR361" s="169"/>
      <c r="BS361" s="169"/>
      <c r="BT361" s="169"/>
      <c r="BU361" s="169"/>
      <c r="BV361" s="169"/>
      <c r="BW361" s="169"/>
      <c r="BX361" s="169"/>
      <c r="BY361" s="169"/>
      <c r="BZ361" s="169"/>
      <c r="CA361" s="169"/>
      <c r="CB361" s="169"/>
      <c r="CC361" s="169"/>
      <c r="CD361" s="169"/>
      <c r="CE361" s="169"/>
      <c r="CF361" s="169"/>
      <c r="CG361" s="169"/>
      <c r="CH361" s="169"/>
      <c r="CI361" s="169"/>
      <c r="CJ361" s="169"/>
    </row>
    <row r="362" spans="2:88" s="168" customFormat="1">
      <c r="B362" s="512">
        <v>45708</v>
      </c>
      <c r="C362" s="507" t="s">
        <v>283</v>
      </c>
      <c r="D362" s="505" t="s">
        <v>909</v>
      </c>
      <c r="E362" s="499">
        <v>30</v>
      </c>
      <c r="F362" s="500"/>
      <c r="G362" s="501" t="s">
        <v>190</v>
      </c>
      <c r="H362" s="502" t="s">
        <v>67</v>
      </c>
      <c r="I362" s="503">
        <f t="shared" si="5"/>
        <v>12240.960000000008</v>
      </c>
      <c r="AJ362" s="169"/>
      <c r="AK362" s="169"/>
      <c r="AL362" s="169"/>
      <c r="AM362" s="169"/>
      <c r="AN362" s="169"/>
      <c r="AO362" s="169"/>
      <c r="AP362" s="169"/>
      <c r="AQ362" s="169"/>
      <c r="AR362" s="169"/>
      <c r="AS362" s="169"/>
      <c r="AT362" s="169"/>
      <c r="AU362" s="169"/>
      <c r="AV362" s="169"/>
      <c r="AW362" s="169"/>
      <c r="AX362" s="169"/>
      <c r="AY362" s="169"/>
      <c r="AZ362" s="169"/>
      <c r="BA362" s="169"/>
      <c r="BB362" s="169"/>
      <c r="BC362" s="169"/>
      <c r="BD362" s="169"/>
      <c r="BE362" s="169"/>
      <c r="BF362" s="169"/>
      <c r="BG362" s="169"/>
      <c r="BH362" s="169"/>
      <c r="BI362" s="169"/>
      <c r="BJ362" s="169"/>
      <c r="BK362" s="169"/>
      <c r="BL362" s="169"/>
      <c r="BM362" s="169"/>
      <c r="BN362" s="169"/>
      <c r="BO362" s="169"/>
      <c r="BP362" s="169"/>
      <c r="BQ362" s="169"/>
      <c r="BR362" s="169"/>
      <c r="BS362" s="169"/>
      <c r="BT362" s="169"/>
      <c r="BU362" s="169"/>
      <c r="BV362" s="169"/>
      <c r="BW362" s="169"/>
      <c r="BX362" s="169"/>
      <c r="BY362" s="169"/>
      <c r="BZ362" s="169"/>
      <c r="CA362" s="169"/>
      <c r="CB362" s="169"/>
      <c r="CC362" s="169"/>
      <c r="CD362" s="169"/>
      <c r="CE362" s="169"/>
      <c r="CF362" s="169"/>
      <c r="CG362" s="169"/>
      <c r="CH362" s="169"/>
      <c r="CI362" s="169"/>
      <c r="CJ362" s="169"/>
    </row>
    <row r="363" spans="2:88" s="168" customFormat="1">
      <c r="B363" s="512">
        <v>45708</v>
      </c>
      <c r="C363" s="507" t="s">
        <v>117</v>
      </c>
      <c r="D363" s="505" t="s">
        <v>911</v>
      </c>
      <c r="E363" s="499"/>
      <c r="F363" s="500">
        <v>0.85</v>
      </c>
      <c r="G363" s="501" t="s">
        <v>269</v>
      </c>
      <c r="H363" s="508"/>
      <c r="I363" s="503">
        <f t="shared" si="5"/>
        <v>12240.110000000008</v>
      </c>
      <c r="AJ363" s="169"/>
      <c r="AK363" s="169"/>
      <c r="AL363" s="169"/>
      <c r="AM363" s="169"/>
      <c r="AN363" s="169"/>
      <c r="AO363" s="169"/>
      <c r="AP363" s="169"/>
      <c r="AQ363" s="169"/>
      <c r="AR363" s="169"/>
      <c r="AS363" s="169"/>
      <c r="AT363" s="169"/>
      <c r="AU363" s="169"/>
      <c r="AV363" s="169"/>
      <c r="AW363" s="169"/>
      <c r="AX363" s="169"/>
      <c r="AY363" s="169"/>
      <c r="AZ363" s="169"/>
      <c r="BA363" s="169"/>
      <c r="BB363" s="169"/>
      <c r="BC363" s="169"/>
      <c r="BD363" s="169"/>
      <c r="BE363" s="169"/>
      <c r="BF363" s="169"/>
      <c r="BG363" s="169"/>
      <c r="BH363" s="169"/>
      <c r="BI363" s="169"/>
      <c r="BJ363" s="169"/>
      <c r="BK363" s="169"/>
      <c r="BL363" s="169"/>
      <c r="BM363" s="169"/>
      <c r="BN363" s="169"/>
      <c r="BO363" s="169"/>
      <c r="BP363" s="169"/>
      <c r="BQ363" s="169"/>
      <c r="BR363" s="169"/>
      <c r="BS363" s="169"/>
      <c r="BT363" s="169"/>
      <c r="BU363" s="169"/>
      <c r="BV363" s="169"/>
      <c r="BW363" s="169"/>
      <c r="BX363" s="169"/>
      <c r="BY363" s="169"/>
      <c r="BZ363" s="169"/>
      <c r="CA363" s="169"/>
      <c r="CB363" s="169"/>
      <c r="CC363" s="169"/>
      <c r="CD363" s="169"/>
      <c r="CE363" s="169"/>
      <c r="CF363" s="169"/>
      <c r="CG363" s="169"/>
      <c r="CH363" s="169"/>
      <c r="CI363" s="169"/>
      <c r="CJ363" s="169"/>
    </row>
    <row r="364" spans="2:88" s="168" customFormat="1">
      <c r="B364" s="512">
        <v>45708</v>
      </c>
      <c r="C364" s="497" t="s">
        <v>117</v>
      </c>
      <c r="D364" s="498" t="s">
        <v>1002</v>
      </c>
      <c r="E364" s="499"/>
      <c r="F364" s="500">
        <v>1703.25</v>
      </c>
      <c r="G364" s="501" t="s">
        <v>241</v>
      </c>
      <c r="H364" s="508"/>
      <c r="I364" s="503">
        <f t="shared" si="5"/>
        <v>10536.860000000008</v>
      </c>
      <c r="AJ364" s="169"/>
      <c r="AK364" s="169"/>
      <c r="AL364" s="169"/>
      <c r="AM364" s="169"/>
      <c r="AN364" s="169"/>
      <c r="AO364" s="169"/>
      <c r="AP364" s="169"/>
      <c r="AQ364" s="169"/>
      <c r="AR364" s="169"/>
      <c r="AS364" s="169"/>
      <c r="AT364" s="169"/>
      <c r="AU364" s="169"/>
      <c r="AV364" s="169"/>
      <c r="AW364" s="169"/>
      <c r="AX364" s="169"/>
      <c r="AY364" s="169"/>
      <c r="AZ364" s="169"/>
      <c r="BA364" s="169"/>
      <c r="BB364" s="169"/>
      <c r="BC364" s="169"/>
      <c r="BD364" s="169"/>
      <c r="BE364" s="169"/>
      <c r="BF364" s="169"/>
      <c r="BG364" s="169"/>
      <c r="BH364" s="169"/>
      <c r="BI364" s="169"/>
      <c r="BJ364" s="169"/>
      <c r="BK364" s="169"/>
      <c r="BL364" s="169"/>
      <c r="BM364" s="169"/>
      <c r="BN364" s="169"/>
      <c r="BO364" s="169"/>
      <c r="BP364" s="169"/>
      <c r="BQ364" s="169"/>
      <c r="BR364" s="169"/>
      <c r="BS364" s="169"/>
      <c r="BT364" s="169"/>
      <c r="BU364" s="169"/>
      <c r="BV364" s="169"/>
      <c r="BW364" s="169"/>
      <c r="BX364" s="169"/>
      <c r="BY364" s="169"/>
      <c r="BZ364" s="169"/>
      <c r="CA364" s="169"/>
      <c r="CB364" s="169"/>
      <c r="CC364" s="169"/>
      <c r="CD364" s="169"/>
      <c r="CE364" s="169"/>
      <c r="CF364" s="169"/>
      <c r="CG364" s="169"/>
      <c r="CH364" s="169"/>
      <c r="CI364" s="169"/>
      <c r="CJ364" s="169"/>
    </row>
    <row r="365" spans="2:88" s="168" customFormat="1">
      <c r="B365" s="512">
        <v>45708</v>
      </c>
      <c r="C365" s="497" t="s">
        <v>117</v>
      </c>
      <c r="D365" s="498" t="s">
        <v>903</v>
      </c>
      <c r="E365" s="499"/>
      <c r="F365" s="500">
        <v>1</v>
      </c>
      <c r="G365" s="501" t="s">
        <v>272</v>
      </c>
      <c r="H365" s="508"/>
      <c r="I365" s="503">
        <f t="shared" si="5"/>
        <v>10535.860000000008</v>
      </c>
      <c r="AJ365" s="169"/>
      <c r="AK365" s="169"/>
      <c r="AL365" s="169"/>
      <c r="AM365" s="169"/>
      <c r="AN365" s="169"/>
      <c r="AO365" s="169"/>
      <c r="AP365" s="169"/>
      <c r="AQ365" s="169"/>
      <c r="AR365" s="169"/>
      <c r="AS365" s="169"/>
      <c r="AT365" s="169"/>
      <c r="AU365" s="169"/>
      <c r="AV365" s="169"/>
      <c r="AW365" s="169"/>
      <c r="AX365" s="169"/>
      <c r="AY365" s="169"/>
      <c r="AZ365" s="169"/>
      <c r="BA365" s="169"/>
      <c r="BB365" s="169"/>
      <c r="BC365" s="169"/>
      <c r="BD365" s="169"/>
      <c r="BE365" s="169"/>
      <c r="BF365" s="169"/>
      <c r="BG365" s="169"/>
      <c r="BH365" s="169"/>
      <c r="BI365" s="169"/>
      <c r="BJ365" s="169"/>
      <c r="BK365" s="169"/>
      <c r="BL365" s="169"/>
      <c r="BM365" s="169"/>
      <c r="BN365" s="169"/>
      <c r="BO365" s="169"/>
      <c r="BP365" s="169"/>
      <c r="BQ365" s="169"/>
      <c r="BR365" s="169"/>
      <c r="BS365" s="169"/>
      <c r="BT365" s="169"/>
      <c r="BU365" s="169"/>
      <c r="BV365" s="169"/>
      <c r="BW365" s="169"/>
      <c r="BX365" s="169"/>
      <c r="BY365" s="169"/>
      <c r="BZ365" s="169"/>
      <c r="CA365" s="169"/>
      <c r="CB365" s="169"/>
      <c r="CC365" s="169"/>
      <c r="CD365" s="169"/>
      <c r="CE365" s="169"/>
      <c r="CF365" s="169"/>
      <c r="CG365" s="169"/>
      <c r="CH365" s="169"/>
      <c r="CI365" s="169"/>
      <c r="CJ365" s="169"/>
    </row>
    <row r="366" spans="2:88" s="168" customFormat="1">
      <c r="B366" s="512">
        <v>45709</v>
      </c>
      <c r="C366" s="507" t="s">
        <v>434</v>
      </c>
      <c r="D366" s="505" t="s">
        <v>1003</v>
      </c>
      <c r="E366" s="499">
        <f>13177.7-3600</f>
        <v>9577.7000000000007</v>
      </c>
      <c r="F366" s="500"/>
      <c r="G366" s="501"/>
      <c r="H366" s="508" t="s">
        <v>554</v>
      </c>
      <c r="I366" s="503">
        <f t="shared" si="5"/>
        <v>20113.560000000009</v>
      </c>
      <c r="AJ366" s="169"/>
      <c r="AK366" s="169"/>
      <c r="AL366" s="169"/>
      <c r="AM366" s="169"/>
      <c r="AN366" s="169"/>
      <c r="AO366" s="169"/>
      <c r="AP366" s="169"/>
      <c r="AQ366" s="169"/>
      <c r="AR366" s="169"/>
      <c r="AS366" s="169"/>
      <c r="AT366" s="169"/>
      <c r="AU366" s="169"/>
      <c r="AV366" s="169"/>
      <c r="AW366" s="169"/>
      <c r="AX366" s="169"/>
      <c r="AY366" s="169"/>
      <c r="AZ366" s="169"/>
      <c r="BA366" s="169"/>
      <c r="BB366" s="169"/>
      <c r="BC366" s="169"/>
      <c r="BD366" s="169"/>
      <c r="BE366" s="169"/>
      <c r="BF366" s="169"/>
      <c r="BG366" s="169"/>
      <c r="BH366" s="169"/>
      <c r="BI366" s="169"/>
      <c r="BJ366" s="169"/>
      <c r="BK366" s="169"/>
      <c r="BL366" s="169"/>
      <c r="BM366" s="169"/>
      <c r="BN366" s="169"/>
      <c r="BO366" s="169"/>
      <c r="BP366" s="169"/>
      <c r="BQ366" s="169"/>
      <c r="BR366" s="169"/>
      <c r="BS366" s="169"/>
      <c r="BT366" s="169"/>
      <c r="BU366" s="169"/>
      <c r="BV366" s="169"/>
      <c r="BW366" s="169"/>
      <c r="BX366" s="169"/>
      <c r="BY366" s="169"/>
      <c r="BZ366" s="169"/>
      <c r="CA366" s="169"/>
      <c r="CB366" s="169"/>
      <c r="CC366" s="169"/>
      <c r="CD366" s="169"/>
      <c r="CE366" s="169"/>
      <c r="CF366" s="169"/>
      <c r="CG366" s="169"/>
      <c r="CH366" s="169"/>
      <c r="CI366" s="169"/>
      <c r="CJ366" s="169"/>
    </row>
    <row r="367" spans="2:88" s="168" customFormat="1">
      <c r="B367" s="512">
        <v>45709</v>
      </c>
      <c r="C367" s="507" t="s">
        <v>434</v>
      </c>
      <c r="D367" s="505" t="s">
        <v>1003</v>
      </c>
      <c r="E367" s="499">
        <v>3600</v>
      </c>
      <c r="F367" s="500"/>
      <c r="G367" s="501"/>
      <c r="H367" s="526" t="s">
        <v>502</v>
      </c>
      <c r="I367" s="503">
        <f t="shared" si="5"/>
        <v>23713.560000000009</v>
      </c>
      <c r="AJ367" s="169"/>
      <c r="AK367" s="169"/>
      <c r="AL367" s="169"/>
      <c r="AM367" s="169"/>
      <c r="AN367" s="169"/>
      <c r="AO367" s="169"/>
      <c r="AP367" s="169"/>
      <c r="AQ367" s="169"/>
      <c r="AR367" s="169"/>
      <c r="AS367" s="169"/>
      <c r="AT367" s="169"/>
      <c r="AU367" s="169"/>
      <c r="AV367" s="169"/>
      <c r="AW367" s="169"/>
      <c r="AX367" s="169"/>
      <c r="AY367" s="169"/>
      <c r="AZ367" s="169"/>
      <c r="BA367" s="169"/>
      <c r="BB367" s="169"/>
      <c r="BC367" s="169"/>
      <c r="BD367" s="169"/>
      <c r="BE367" s="169"/>
      <c r="BF367" s="169"/>
      <c r="BG367" s="169"/>
      <c r="BH367" s="169"/>
      <c r="BI367" s="169"/>
      <c r="BJ367" s="169"/>
      <c r="BK367" s="169"/>
      <c r="BL367" s="169"/>
      <c r="BM367" s="169"/>
      <c r="BN367" s="169"/>
      <c r="BO367" s="169"/>
      <c r="BP367" s="169"/>
      <c r="BQ367" s="169"/>
      <c r="BR367" s="169"/>
      <c r="BS367" s="169"/>
      <c r="BT367" s="169"/>
      <c r="BU367" s="169"/>
      <c r="BV367" s="169"/>
      <c r="BW367" s="169"/>
      <c r="BX367" s="169"/>
      <c r="BY367" s="169"/>
      <c r="BZ367" s="169"/>
      <c r="CA367" s="169"/>
      <c r="CB367" s="169"/>
      <c r="CC367" s="169"/>
      <c r="CD367" s="169"/>
      <c r="CE367" s="169"/>
      <c r="CF367" s="169"/>
      <c r="CG367" s="169"/>
      <c r="CH367" s="169"/>
      <c r="CI367" s="169"/>
      <c r="CJ367" s="169"/>
    </row>
    <row r="368" spans="2:88" s="168" customFormat="1">
      <c r="B368" s="512">
        <v>45709</v>
      </c>
      <c r="C368" s="507" t="s">
        <v>283</v>
      </c>
      <c r="D368" s="505" t="s">
        <v>307</v>
      </c>
      <c r="E368" s="499">
        <v>487.6</v>
      </c>
      <c r="F368" s="500"/>
      <c r="G368" s="501" t="s">
        <v>190</v>
      </c>
      <c r="H368" s="508"/>
      <c r="I368" s="503">
        <f t="shared" si="5"/>
        <v>24201.160000000007</v>
      </c>
      <c r="AJ368" s="169"/>
      <c r="AK368" s="169"/>
      <c r="AL368" s="169"/>
      <c r="AM368" s="169"/>
      <c r="AN368" s="169"/>
      <c r="AO368" s="169"/>
      <c r="AP368" s="169"/>
      <c r="AQ368" s="169"/>
      <c r="AR368" s="169"/>
      <c r="AS368" s="169"/>
      <c r="AT368" s="169"/>
      <c r="AU368" s="169"/>
      <c r="AV368" s="169"/>
      <c r="AW368" s="169"/>
      <c r="AX368" s="169"/>
      <c r="AY368" s="169"/>
      <c r="AZ368" s="169"/>
      <c r="BA368" s="169"/>
      <c r="BB368" s="169"/>
      <c r="BC368" s="169"/>
      <c r="BD368" s="169"/>
      <c r="BE368" s="169"/>
      <c r="BF368" s="169"/>
      <c r="BG368" s="169"/>
      <c r="BH368" s="169"/>
      <c r="BI368" s="169"/>
      <c r="BJ368" s="169"/>
      <c r="BK368" s="169"/>
      <c r="BL368" s="169"/>
      <c r="BM368" s="169"/>
      <c r="BN368" s="169"/>
      <c r="BO368" s="169"/>
      <c r="BP368" s="169"/>
      <c r="BQ368" s="169"/>
      <c r="BR368" s="169"/>
      <c r="BS368" s="169"/>
      <c r="BT368" s="169"/>
      <c r="BU368" s="169"/>
      <c r="BV368" s="169"/>
      <c r="BW368" s="169"/>
      <c r="BX368" s="169"/>
      <c r="BY368" s="169"/>
      <c r="BZ368" s="169"/>
      <c r="CA368" s="169"/>
      <c r="CB368" s="169"/>
      <c r="CC368" s="169"/>
      <c r="CD368" s="169"/>
      <c r="CE368" s="169"/>
      <c r="CF368" s="169"/>
      <c r="CG368" s="169"/>
      <c r="CH368" s="169"/>
      <c r="CI368" s="169"/>
      <c r="CJ368" s="169"/>
    </row>
    <row r="369" spans="2:88" s="168" customFormat="1">
      <c r="B369" s="512">
        <v>45709</v>
      </c>
      <c r="C369" s="507" t="s">
        <v>283</v>
      </c>
      <c r="D369" s="505" t="s">
        <v>307</v>
      </c>
      <c r="E369" s="499">
        <v>42.5</v>
      </c>
      <c r="F369" s="500"/>
      <c r="G369" s="501" t="s">
        <v>190</v>
      </c>
      <c r="H369" s="508"/>
      <c r="I369" s="503">
        <f t="shared" si="5"/>
        <v>24243.660000000007</v>
      </c>
      <c r="AJ369" s="169"/>
      <c r="AK369" s="169"/>
      <c r="AL369" s="169"/>
      <c r="AM369" s="169"/>
      <c r="AN369" s="169"/>
      <c r="AO369" s="169"/>
      <c r="AP369" s="169"/>
      <c r="AQ369" s="169"/>
      <c r="AR369" s="169"/>
      <c r="AS369" s="169"/>
      <c r="AT369" s="169"/>
      <c r="AU369" s="169"/>
      <c r="AV369" s="169"/>
      <c r="AW369" s="169"/>
      <c r="AX369" s="169"/>
      <c r="AY369" s="169"/>
      <c r="AZ369" s="169"/>
      <c r="BA369" s="169"/>
      <c r="BB369" s="169"/>
      <c r="BC369" s="169"/>
      <c r="BD369" s="169"/>
      <c r="BE369" s="169"/>
      <c r="BF369" s="169"/>
      <c r="BG369" s="169"/>
      <c r="BH369" s="169"/>
      <c r="BI369" s="169"/>
      <c r="BJ369" s="169"/>
      <c r="BK369" s="169"/>
      <c r="BL369" s="169"/>
      <c r="BM369" s="169"/>
      <c r="BN369" s="169"/>
      <c r="BO369" s="169"/>
      <c r="BP369" s="169"/>
      <c r="BQ369" s="169"/>
      <c r="BR369" s="169"/>
      <c r="BS369" s="169"/>
      <c r="BT369" s="169"/>
      <c r="BU369" s="169"/>
      <c r="BV369" s="169"/>
      <c r="BW369" s="169"/>
      <c r="BX369" s="169"/>
      <c r="BY369" s="169"/>
      <c r="BZ369" s="169"/>
      <c r="CA369" s="169"/>
      <c r="CB369" s="169"/>
      <c r="CC369" s="169"/>
      <c r="CD369" s="169"/>
      <c r="CE369" s="169"/>
      <c r="CF369" s="169"/>
      <c r="CG369" s="169"/>
      <c r="CH369" s="169"/>
      <c r="CI369" s="169"/>
      <c r="CJ369" s="169"/>
    </row>
    <row r="370" spans="2:88" s="168" customFormat="1">
      <c r="B370" s="512">
        <v>45709</v>
      </c>
      <c r="C370" s="507" t="s">
        <v>413</v>
      </c>
      <c r="D370" s="505" t="s">
        <v>414</v>
      </c>
      <c r="E370" s="499"/>
      <c r="F370" s="500">
        <v>375.73</v>
      </c>
      <c r="G370" s="501"/>
      <c r="H370" s="508" t="s">
        <v>554</v>
      </c>
      <c r="I370" s="503">
        <f t="shared" si="5"/>
        <v>23867.930000000008</v>
      </c>
      <c r="AJ370" s="169"/>
      <c r="AK370" s="169"/>
      <c r="AL370" s="169"/>
      <c r="AM370" s="169"/>
      <c r="AN370" s="169"/>
      <c r="AO370" s="169"/>
      <c r="AP370" s="169"/>
      <c r="AQ370" s="169"/>
      <c r="AR370" s="169"/>
      <c r="AS370" s="169"/>
      <c r="AT370" s="169"/>
      <c r="AU370" s="169"/>
      <c r="AV370" s="169"/>
      <c r="AW370" s="169"/>
      <c r="AX370" s="169"/>
      <c r="AY370" s="169"/>
      <c r="AZ370" s="169"/>
      <c r="BA370" s="169"/>
      <c r="BB370" s="169"/>
      <c r="BC370" s="169"/>
      <c r="BD370" s="169"/>
      <c r="BE370" s="169"/>
      <c r="BF370" s="169"/>
      <c r="BG370" s="169"/>
      <c r="BH370" s="169"/>
      <c r="BI370" s="169"/>
      <c r="BJ370" s="169"/>
      <c r="BK370" s="169"/>
      <c r="BL370" s="169"/>
      <c r="BM370" s="169"/>
      <c r="BN370" s="169"/>
      <c r="BO370" s="169"/>
      <c r="BP370" s="169"/>
      <c r="BQ370" s="169"/>
      <c r="BR370" s="169"/>
      <c r="BS370" s="169"/>
      <c r="BT370" s="169"/>
      <c r="BU370" s="169"/>
      <c r="BV370" s="169"/>
      <c r="BW370" s="169"/>
      <c r="BX370" s="169"/>
      <c r="BY370" s="169"/>
      <c r="BZ370" s="169"/>
      <c r="CA370" s="169"/>
      <c r="CB370" s="169"/>
      <c r="CC370" s="169"/>
      <c r="CD370" s="169"/>
      <c r="CE370" s="169"/>
      <c r="CF370" s="169"/>
      <c r="CG370" s="169"/>
      <c r="CH370" s="169"/>
      <c r="CI370" s="169"/>
      <c r="CJ370" s="169"/>
    </row>
    <row r="371" spans="2:88" s="168" customFormat="1">
      <c r="B371" s="512">
        <v>45709</v>
      </c>
      <c r="C371" s="497" t="s">
        <v>413</v>
      </c>
      <c r="D371" s="498" t="s">
        <v>414</v>
      </c>
      <c r="E371" s="499"/>
      <c r="F371" s="500">
        <v>82.66</v>
      </c>
      <c r="G371" s="501"/>
      <c r="H371" s="508" t="s">
        <v>554</v>
      </c>
      <c r="I371" s="503">
        <f t="shared" si="5"/>
        <v>23785.270000000008</v>
      </c>
      <c r="AJ371" s="169"/>
      <c r="AK371" s="169"/>
      <c r="AL371" s="169"/>
      <c r="AM371" s="169"/>
      <c r="AN371" s="169"/>
      <c r="AO371" s="169"/>
      <c r="AP371" s="169"/>
      <c r="AQ371" s="169"/>
      <c r="AR371" s="169"/>
      <c r="AS371" s="169"/>
      <c r="AT371" s="169"/>
      <c r="AU371" s="169"/>
      <c r="AV371" s="169"/>
      <c r="AW371" s="169"/>
      <c r="AX371" s="169"/>
      <c r="AY371" s="169"/>
      <c r="AZ371" s="169"/>
      <c r="BA371" s="169"/>
      <c r="BB371" s="169"/>
      <c r="BC371" s="169"/>
      <c r="BD371" s="169"/>
      <c r="BE371" s="169"/>
      <c r="BF371" s="169"/>
      <c r="BG371" s="169"/>
      <c r="BH371" s="169"/>
      <c r="BI371" s="169"/>
      <c r="BJ371" s="169"/>
      <c r="BK371" s="169"/>
      <c r="BL371" s="169"/>
      <c r="BM371" s="169"/>
      <c r="BN371" s="169"/>
      <c r="BO371" s="169"/>
      <c r="BP371" s="169"/>
      <c r="BQ371" s="169"/>
      <c r="BR371" s="169"/>
      <c r="BS371" s="169"/>
      <c r="BT371" s="169"/>
      <c r="BU371" s="169"/>
      <c r="BV371" s="169"/>
      <c r="BW371" s="169"/>
      <c r="BX371" s="169"/>
      <c r="BY371" s="169"/>
      <c r="BZ371" s="169"/>
      <c r="CA371" s="169"/>
      <c r="CB371" s="169"/>
      <c r="CC371" s="169"/>
      <c r="CD371" s="169"/>
      <c r="CE371" s="169"/>
      <c r="CF371" s="169"/>
      <c r="CG371" s="169"/>
      <c r="CH371" s="169"/>
      <c r="CI371" s="169"/>
      <c r="CJ371" s="169"/>
    </row>
    <row r="372" spans="2:88" s="168" customFormat="1">
      <c r="B372" s="512">
        <v>45709</v>
      </c>
      <c r="C372" s="497" t="s">
        <v>416</v>
      </c>
      <c r="D372" s="498" t="s">
        <v>414</v>
      </c>
      <c r="E372" s="499"/>
      <c r="F372" s="500">
        <v>70</v>
      </c>
      <c r="G372" s="501"/>
      <c r="H372" s="508" t="s">
        <v>554</v>
      </c>
      <c r="I372" s="503">
        <f t="shared" si="5"/>
        <v>23715.270000000008</v>
      </c>
      <c r="AJ372" s="169"/>
      <c r="AK372" s="169"/>
      <c r="AL372" s="169"/>
      <c r="AM372" s="169"/>
      <c r="AN372" s="169"/>
      <c r="AO372" s="169"/>
      <c r="AP372" s="169"/>
      <c r="AQ372" s="169"/>
      <c r="AR372" s="169"/>
      <c r="AS372" s="169"/>
      <c r="AT372" s="169"/>
      <c r="AU372" s="169"/>
      <c r="AV372" s="169"/>
      <c r="AW372" s="169"/>
      <c r="AX372" s="169"/>
      <c r="AY372" s="169"/>
      <c r="AZ372" s="169"/>
      <c r="BA372" s="169"/>
      <c r="BB372" s="169"/>
      <c r="BC372" s="169"/>
      <c r="BD372" s="169"/>
      <c r="BE372" s="169"/>
      <c r="BF372" s="169"/>
      <c r="BG372" s="169"/>
      <c r="BH372" s="169"/>
      <c r="BI372" s="169"/>
      <c r="BJ372" s="169"/>
      <c r="BK372" s="169"/>
      <c r="BL372" s="169"/>
      <c r="BM372" s="169"/>
      <c r="BN372" s="169"/>
      <c r="BO372" s="169"/>
      <c r="BP372" s="169"/>
      <c r="BQ372" s="169"/>
      <c r="BR372" s="169"/>
      <c r="BS372" s="169"/>
      <c r="BT372" s="169"/>
      <c r="BU372" s="169"/>
      <c r="BV372" s="169"/>
      <c r="BW372" s="169"/>
      <c r="BX372" s="169"/>
      <c r="BY372" s="169"/>
      <c r="BZ372" s="169"/>
      <c r="CA372" s="169"/>
      <c r="CB372" s="169"/>
      <c r="CC372" s="169"/>
      <c r="CD372" s="169"/>
      <c r="CE372" s="169"/>
      <c r="CF372" s="169"/>
      <c r="CG372" s="169"/>
      <c r="CH372" s="169"/>
      <c r="CI372" s="169"/>
      <c r="CJ372" s="169"/>
    </row>
    <row r="373" spans="2:88" s="168" customFormat="1">
      <c r="B373" s="512">
        <v>45709</v>
      </c>
      <c r="C373" s="507" t="s">
        <v>416</v>
      </c>
      <c r="D373" s="505" t="s">
        <v>414</v>
      </c>
      <c r="E373" s="499"/>
      <c r="F373" s="500">
        <v>15.4</v>
      </c>
      <c r="G373" s="501"/>
      <c r="H373" s="508" t="s">
        <v>554</v>
      </c>
      <c r="I373" s="503">
        <f t="shared" si="5"/>
        <v>23699.870000000006</v>
      </c>
      <c r="AJ373" s="169"/>
      <c r="AK373" s="169"/>
      <c r="AL373" s="169"/>
      <c r="AM373" s="169"/>
      <c r="AN373" s="169"/>
      <c r="AO373" s="169"/>
      <c r="AP373" s="169"/>
      <c r="AQ373" s="169"/>
      <c r="AR373" s="169"/>
      <c r="AS373" s="169"/>
      <c r="AT373" s="169"/>
      <c r="AU373" s="169"/>
      <c r="AV373" s="169"/>
      <c r="AW373" s="169"/>
      <c r="AX373" s="169"/>
      <c r="AY373" s="169"/>
      <c r="AZ373" s="169"/>
      <c r="BA373" s="169"/>
      <c r="BB373" s="169"/>
      <c r="BC373" s="169"/>
      <c r="BD373" s="169"/>
      <c r="BE373" s="169"/>
      <c r="BF373" s="169"/>
      <c r="BG373" s="169"/>
      <c r="BH373" s="169"/>
      <c r="BI373" s="169"/>
      <c r="BJ373" s="169"/>
      <c r="BK373" s="169"/>
      <c r="BL373" s="169"/>
      <c r="BM373" s="169"/>
      <c r="BN373" s="169"/>
      <c r="BO373" s="169"/>
      <c r="BP373" s="169"/>
      <c r="BQ373" s="169"/>
      <c r="BR373" s="169"/>
      <c r="BS373" s="169"/>
      <c r="BT373" s="169"/>
      <c r="BU373" s="169"/>
      <c r="BV373" s="169"/>
      <c r="BW373" s="169"/>
      <c r="BX373" s="169"/>
      <c r="BY373" s="169"/>
      <c r="BZ373" s="169"/>
      <c r="CA373" s="169"/>
      <c r="CB373" s="169"/>
      <c r="CC373" s="169"/>
      <c r="CD373" s="169"/>
      <c r="CE373" s="169"/>
      <c r="CF373" s="169"/>
      <c r="CG373" s="169"/>
      <c r="CH373" s="169"/>
      <c r="CI373" s="169"/>
      <c r="CJ373" s="169"/>
    </row>
    <row r="374" spans="2:88" s="168" customFormat="1">
      <c r="B374" s="512">
        <v>45709</v>
      </c>
      <c r="C374" s="497" t="s">
        <v>117</v>
      </c>
      <c r="D374" s="498" t="s">
        <v>903</v>
      </c>
      <c r="E374" s="499"/>
      <c r="F374" s="500">
        <v>1</v>
      </c>
      <c r="G374" s="501" t="s">
        <v>272</v>
      </c>
      <c r="H374" s="508"/>
      <c r="I374" s="503">
        <f t="shared" si="5"/>
        <v>23698.870000000006</v>
      </c>
      <c r="AJ374" s="169"/>
      <c r="AK374" s="169"/>
      <c r="AL374" s="169"/>
      <c r="AM374" s="169"/>
      <c r="AN374" s="169"/>
      <c r="AO374" s="169"/>
      <c r="AP374" s="169"/>
      <c r="AQ374" s="169"/>
      <c r="AR374" s="169"/>
      <c r="AS374" s="169"/>
      <c r="AT374" s="169"/>
      <c r="AU374" s="169"/>
      <c r="AV374" s="169"/>
      <c r="AW374" s="169"/>
      <c r="AX374" s="169"/>
      <c r="AY374" s="169"/>
      <c r="AZ374" s="169"/>
      <c r="BA374" s="169"/>
      <c r="BB374" s="169"/>
      <c r="BC374" s="169"/>
      <c r="BD374" s="169"/>
      <c r="BE374" s="169"/>
      <c r="BF374" s="169"/>
      <c r="BG374" s="169"/>
      <c r="BH374" s="169"/>
      <c r="BI374" s="169"/>
      <c r="BJ374" s="169"/>
      <c r="BK374" s="169"/>
      <c r="BL374" s="169"/>
      <c r="BM374" s="169"/>
      <c r="BN374" s="169"/>
      <c r="BO374" s="169"/>
      <c r="BP374" s="169"/>
      <c r="BQ374" s="169"/>
      <c r="BR374" s="169"/>
      <c r="BS374" s="169"/>
      <c r="BT374" s="169"/>
      <c r="BU374" s="169"/>
      <c r="BV374" s="169"/>
      <c r="BW374" s="169"/>
      <c r="BX374" s="169"/>
      <c r="BY374" s="169"/>
      <c r="BZ374" s="169"/>
      <c r="CA374" s="169"/>
      <c r="CB374" s="169"/>
      <c r="CC374" s="169"/>
      <c r="CD374" s="169"/>
      <c r="CE374" s="169"/>
      <c r="CF374" s="169"/>
      <c r="CG374" s="169"/>
      <c r="CH374" s="169"/>
      <c r="CI374" s="169"/>
      <c r="CJ374" s="169"/>
    </row>
    <row r="375" spans="2:88" s="168" customFormat="1">
      <c r="B375" s="512">
        <v>45709</v>
      </c>
      <c r="C375" s="507" t="s">
        <v>417</v>
      </c>
      <c r="D375" s="505" t="s">
        <v>361</v>
      </c>
      <c r="E375" s="499"/>
      <c r="F375" s="500">
        <v>556.35</v>
      </c>
      <c r="G375" s="501" t="s">
        <v>197</v>
      </c>
      <c r="H375" s="508" t="s">
        <v>554</v>
      </c>
      <c r="I375" s="503">
        <f t="shared" si="5"/>
        <v>23142.520000000008</v>
      </c>
      <c r="AJ375" s="169"/>
      <c r="AK375" s="169"/>
      <c r="AL375" s="169"/>
      <c r="AM375" s="169"/>
      <c r="AN375" s="169"/>
      <c r="AO375" s="169"/>
      <c r="AP375" s="169"/>
      <c r="AQ375" s="169"/>
      <c r="AR375" s="169"/>
      <c r="AS375" s="169"/>
      <c r="AT375" s="169"/>
      <c r="AU375" s="169"/>
      <c r="AV375" s="169"/>
      <c r="AW375" s="169"/>
      <c r="AX375" s="169"/>
      <c r="AY375" s="169"/>
      <c r="AZ375" s="169"/>
      <c r="BA375" s="169"/>
      <c r="BB375" s="169"/>
      <c r="BC375" s="169"/>
      <c r="BD375" s="169"/>
      <c r="BE375" s="169"/>
      <c r="BF375" s="169"/>
      <c r="BG375" s="169"/>
      <c r="BH375" s="169"/>
      <c r="BI375" s="169"/>
      <c r="BJ375" s="169"/>
      <c r="BK375" s="169"/>
      <c r="BL375" s="169"/>
      <c r="BM375" s="169"/>
      <c r="BN375" s="169"/>
      <c r="BO375" s="169"/>
      <c r="BP375" s="169"/>
      <c r="BQ375" s="169"/>
      <c r="BR375" s="169"/>
      <c r="BS375" s="169"/>
      <c r="BT375" s="169"/>
      <c r="BU375" s="169"/>
      <c r="BV375" s="169"/>
      <c r="BW375" s="169"/>
      <c r="BX375" s="169"/>
      <c r="BY375" s="169"/>
      <c r="BZ375" s="169"/>
      <c r="CA375" s="169"/>
      <c r="CB375" s="169"/>
      <c r="CC375" s="169"/>
      <c r="CD375" s="169"/>
      <c r="CE375" s="169"/>
      <c r="CF375" s="169"/>
      <c r="CG375" s="169"/>
      <c r="CH375" s="169"/>
      <c r="CI375" s="169"/>
      <c r="CJ375" s="169"/>
    </row>
    <row r="376" spans="2:88" s="168" customFormat="1">
      <c r="B376" s="512">
        <v>45709</v>
      </c>
      <c r="C376" s="507" t="s">
        <v>417</v>
      </c>
      <c r="D376" s="505" t="s">
        <v>361</v>
      </c>
      <c r="E376" s="499"/>
      <c r="F376" s="500">
        <v>46.98</v>
      </c>
      <c r="G376" s="501" t="s">
        <v>197</v>
      </c>
      <c r="H376" s="508" t="s">
        <v>554</v>
      </c>
      <c r="I376" s="503">
        <f t="shared" si="5"/>
        <v>23095.540000000008</v>
      </c>
      <c r="AJ376" s="169"/>
      <c r="AK376" s="169"/>
      <c r="AL376" s="169"/>
      <c r="AM376" s="169"/>
      <c r="AN376" s="169"/>
      <c r="AO376" s="169"/>
      <c r="AP376" s="169"/>
      <c r="AQ376" s="169"/>
      <c r="AR376" s="169"/>
      <c r="AS376" s="169"/>
      <c r="AT376" s="169"/>
      <c r="AU376" s="169"/>
      <c r="AV376" s="169"/>
      <c r="AW376" s="169"/>
      <c r="AX376" s="169"/>
      <c r="AY376" s="169"/>
      <c r="AZ376" s="169"/>
      <c r="BA376" s="169"/>
      <c r="BB376" s="169"/>
      <c r="BC376" s="169"/>
      <c r="BD376" s="169"/>
      <c r="BE376" s="169"/>
      <c r="BF376" s="169"/>
      <c r="BG376" s="169"/>
      <c r="BH376" s="169"/>
      <c r="BI376" s="169"/>
      <c r="BJ376" s="169"/>
      <c r="BK376" s="169"/>
      <c r="BL376" s="169"/>
      <c r="BM376" s="169"/>
      <c r="BN376" s="169"/>
      <c r="BO376" s="169"/>
      <c r="BP376" s="169"/>
      <c r="BQ376" s="169"/>
      <c r="BR376" s="169"/>
      <c r="BS376" s="169"/>
      <c r="BT376" s="169"/>
      <c r="BU376" s="169"/>
      <c r="BV376" s="169"/>
      <c r="BW376" s="169"/>
      <c r="BX376" s="169"/>
      <c r="BY376" s="169"/>
      <c r="BZ376" s="169"/>
      <c r="CA376" s="169"/>
      <c r="CB376" s="169"/>
      <c r="CC376" s="169"/>
      <c r="CD376" s="169"/>
      <c r="CE376" s="169"/>
      <c r="CF376" s="169"/>
      <c r="CG376" s="169"/>
      <c r="CH376" s="169"/>
      <c r="CI376" s="169"/>
      <c r="CJ376" s="169"/>
    </row>
    <row r="377" spans="2:88" s="168" customFormat="1">
      <c r="B377" s="512">
        <v>45709</v>
      </c>
      <c r="C377" s="507" t="s">
        <v>1004</v>
      </c>
      <c r="D377" s="505" t="s">
        <v>361</v>
      </c>
      <c r="E377" s="499"/>
      <c r="F377" s="500">
        <v>234.46</v>
      </c>
      <c r="G377" s="501" t="s">
        <v>197</v>
      </c>
      <c r="H377" s="508" t="s">
        <v>554</v>
      </c>
      <c r="I377" s="503">
        <f t="shared" si="5"/>
        <v>22861.080000000009</v>
      </c>
      <c r="AJ377" s="169"/>
      <c r="AK377" s="169"/>
      <c r="AL377" s="169"/>
      <c r="AM377" s="169"/>
      <c r="AN377" s="169"/>
      <c r="AO377" s="169"/>
      <c r="AP377" s="169"/>
      <c r="AQ377" s="169"/>
      <c r="AR377" s="169"/>
      <c r="AS377" s="169"/>
      <c r="AT377" s="169"/>
      <c r="AU377" s="169"/>
      <c r="AV377" s="169"/>
      <c r="AW377" s="169"/>
      <c r="AX377" s="169"/>
      <c r="AY377" s="169"/>
      <c r="AZ377" s="169"/>
      <c r="BA377" s="169"/>
      <c r="BB377" s="169"/>
      <c r="BC377" s="169"/>
      <c r="BD377" s="169"/>
      <c r="BE377" s="169"/>
      <c r="BF377" s="169"/>
      <c r="BG377" s="169"/>
      <c r="BH377" s="169"/>
      <c r="BI377" s="169"/>
      <c r="BJ377" s="169"/>
      <c r="BK377" s="169"/>
      <c r="BL377" s="169"/>
      <c r="BM377" s="169"/>
      <c r="BN377" s="169"/>
      <c r="BO377" s="169"/>
      <c r="BP377" s="169"/>
      <c r="BQ377" s="169"/>
      <c r="BR377" s="169"/>
      <c r="BS377" s="169"/>
      <c r="BT377" s="169"/>
      <c r="BU377" s="169"/>
      <c r="BV377" s="169"/>
      <c r="BW377" s="169"/>
      <c r="BX377" s="169"/>
      <c r="BY377" s="169"/>
      <c r="BZ377" s="169"/>
      <c r="CA377" s="169"/>
      <c r="CB377" s="169"/>
      <c r="CC377" s="169"/>
      <c r="CD377" s="169"/>
      <c r="CE377" s="169"/>
      <c r="CF377" s="169"/>
      <c r="CG377" s="169"/>
      <c r="CH377" s="169"/>
      <c r="CI377" s="169"/>
      <c r="CJ377" s="169"/>
    </row>
    <row r="378" spans="2:88" s="168" customFormat="1">
      <c r="B378" s="512">
        <v>45709</v>
      </c>
      <c r="C378" s="497" t="s">
        <v>1004</v>
      </c>
      <c r="D378" s="505" t="s">
        <v>361</v>
      </c>
      <c r="E378" s="499"/>
      <c r="F378" s="500">
        <v>17.5</v>
      </c>
      <c r="G378" s="501" t="s">
        <v>197</v>
      </c>
      <c r="H378" s="508" t="s">
        <v>554</v>
      </c>
      <c r="I378" s="503">
        <f t="shared" si="5"/>
        <v>22843.580000000009</v>
      </c>
      <c r="AJ378" s="169"/>
      <c r="AK378" s="169"/>
      <c r="AL378" s="169"/>
      <c r="AM378" s="169"/>
      <c r="AN378" s="169"/>
      <c r="AO378" s="169"/>
      <c r="AP378" s="169"/>
      <c r="AQ378" s="169"/>
      <c r="AR378" s="169"/>
      <c r="AS378" s="169"/>
      <c r="AT378" s="169"/>
      <c r="AU378" s="169"/>
      <c r="AV378" s="169"/>
      <c r="AW378" s="169"/>
      <c r="AX378" s="169"/>
      <c r="AY378" s="169"/>
      <c r="AZ378" s="169"/>
      <c r="BA378" s="169"/>
      <c r="BB378" s="169"/>
      <c r="BC378" s="169"/>
      <c r="BD378" s="169"/>
      <c r="BE378" s="169"/>
      <c r="BF378" s="169"/>
      <c r="BG378" s="169"/>
      <c r="BH378" s="169"/>
      <c r="BI378" s="169"/>
      <c r="BJ378" s="169"/>
      <c r="BK378" s="169"/>
      <c r="BL378" s="169"/>
      <c r="BM378" s="169"/>
      <c r="BN378" s="169"/>
      <c r="BO378" s="169"/>
      <c r="BP378" s="169"/>
      <c r="BQ378" s="169"/>
      <c r="BR378" s="169"/>
      <c r="BS378" s="169"/>
      <c r="BT378" s="169"/>
      <c r="BU378" s="169"/>
      <c r="BV378" s="169"/>
      <c r="BW378" s="169"/>
      <c r="BX378" s="169"/>
      <c r="BY378" s="169"/>
      <c r="BZ378" s="169"/>
      <c r="CA378" s="169"/>
      <c r="CB378" s="169"/>
      <c r="CC378" s="169"/>
      <c r="CD378" s="169"/>
      <c r="CE378" s="169"/>
      <c r="CF378" s="169"/>
      <c r="CG378" s="169"/>
      <c r="CH378" s="169"/>
      <c r="CI378" s="169"/>
      <c r="CJ378" s="169"/>
    </row>
    <row r="379" spans="2:88" s="168" customFormat="1">
      <c r="B379" s="512">
        <v>45709</v>
      </c>
      <c r="C379" s="497" t="s">
        <v>117</v>
      </c>
      <c r="D379" s="498" t="s">
        <v>903</v>
      </c>
      <c r="E379" s="499"/>
      <c r="F379" s="500">
        <v>1</v>
      </c>
      <c r="G379" s="501" t="s">
        <v>272</v>
      </c>
      <c r="H379" s="508"/>
      <c r="I379" s="503">
        <f t="shared" si="5"/>
        <v>22842.580000000009</v>
      </c>
      <c r="AJ379" s="169"/>
      <c r="AK379" s="169"/>
      <c r="AL379" s="169"/>
      <c r="AM379" s="169"/>
      <c r="AN379" s="169"/>
      <c r="AO379" s="169"/>
      <c r="AP379" s="169"/>
      <c r="AQ379" s="169"/>
      <c r="AR379" s="169"/>
      <c r="AS379" s="169"/>
      <c r="AT379" s="169"/>
      <c r="AU379" s="169"/>
      <c r="AV379" s="169"/>
      <c r="AW379" s="169"/>
      <c r="AX379" s="169"/>
      <c r="AY379" s="169"/>
      <c r="AZ379" s="169"/>
      <c r="BA379" s="169"/>
      <c r="BB379" s="169"/>
      <c r="BC379" s="169"/>
      <c r="BD379" s="169"/>
      <c r="BE379" s="169"/>
      <c r="BF379" s="169"/>
      <c r="BG379" s="169"/>
      <c r="BH379" s="169"/>
      <c r="BI379" s="169"/>
      <c r="BJ379" s="169"/>
      <c r="BK379" s="169"/>
      <c r="BL379" s="169"/>
      <c r="BM379" s="169"/>
      <c r="BN379" s="169"/>
      <c r="BO379" s="169"/>
      <c r="BP379" s="169"/>
      <c r="BQ379" s="169"/>
      <c r="BR379" s="169"/>
      <c r="BS379" s="169"/>
      <c r="BT379" s="169"/>
      <c r="BU379" s="169"/>
      <c r="BV379" s="169"/>
      <c r="BW379" s="169"/>
      <c r="BX379" s="169"/>
      <c r="BY379" s="169"/>
      <c r="BZ379" s="169"/>
      <c r="CA379" s="169"/>
      <c r="CB379" s="169"/>
      <c r="CC379" s="169"/>
      <c r="CD379" s="169"/>
      <c r="CE379" s="169"/>
      <c r="CF379" s="169"/>
      <c r="CG379" s="169"/>
      <c r="CH379" s="169"/>
      <c r="CI379" s="169"/>
      <c r="CJ379" s="169"/>
    </row>
    <row r="380" spans="2:88" s="168" customFormat="1">
      <c r="B380" s="512">
        <v>45709</v>
      </c>
      <c r="C380" s="507" t="s">
        <v>418</v>
      </c>
      <c r="D380" s="505" t="s">
        <v>336</v>
      </c>
      <c r="E380" s="499"/>
      <c r="F380" s="500">
        <v>759</v>
      </c>
      <c r="G380" s="501" t="s">
        <v>197</v>
      </c>
      <c r="H380" s="508" t="s">
        <v>554</v>
      </c>
      <c r="I380" s="503">
        <f t="shared" si="5"/>
        <v>22083.580000000009</v>
      </c>
      <c r="AJ380" s="169"/>
      <c r="AK380" s="169"/>
      <c r="AL380" s="169"/>
      <c r="AM380" s="169"/>
      <c r="AN380" s="169"/>
      <c r="AO380" s="169"/>
      <c r="AP380" s="169"/>
      <c r="AQ380" s="169"/>
      <c r="AR380" s="169"/>
      <c r="AS380" s="169"/>
      <c r="AT380" s="169"/>
      <c r="AU380" s="169"/>
      <c r="AV380" s="169"/>
      <c r="AW380" s="169"/>
      <c r="AX380" s="169"/>
      <c r="AY380" s="169"/>
      <c r="AZ380" s="169"/>
      <c r="BA380" s="169"/>
      <c r="BB380" s="169"/>
      <c r="BC380" s="169"/>
      <c r="BD380" s="169"/>
      <c r="BE380" s="169"/>
      <c r="BF380" s="169"/>
      <c r="BG380" s="169"/>
      <c r="BH380" s="169"/>
      <c r="BI380" s="169"/>
      <c r="BJ380" s="169"/>
      <c r="BK380" s="169"/>
      <c r="BL380" s="169"/>
      <c r="BM380" s="169"/>
      <c r="BN380" s="169"/>
      <c r="BO380" s="169"/>
      <c r="BP380" s="169"/>
      <c r="BQ380" s="169"/>
      <c r="BR380" s="169"/>
      <c r="BS380" s="169"/>
      <c r="BT380" s="169"/>
      <c r="BU380" s="169"/>
      <c r="BV380" s="169"/>
      <c r="BW380" s="169"/>
      <c r="BX380" s="169"/>
      <c r="BY380" s="169"/>
      <c r="BZ380" s="169"/>
      <c r="CA380" s="169"/>
      <c r="CB380" s="169"/>
      <c r="CC380" s="169"/>
      <c r="CD380" s="169"/>
      <c r="CE380" s="169"/>
      <c r="CF380" s="169"/>
      <c r="CG380" s="169"/>
      <c r="CH380" s="169"/>
      <c r="CI380" s="169"/>
      <c r="CJ380" s="169"/>
    </row>
    <row r="381" spans="2:88" s="168" customFormat="1">
      <c r="B381" s="512">
        <v>45709</v>
      </c>
      <c r="C381" s="507" t="s">
        <v>418</v>
      </c>
      <c r="D381" s="498" t="s">
        <v>336</v>
      </c>
      <c r="E381" s="499"/>
      <c r="F381" s="500">
        <v>162.06</v>
      </c>
      <c r="G381" s="501" t="s">
        <v>197</v>
      </c>
      <c r="H381" s="508" t="s">
        <v>554</v>
      </c>
      <c r="I381" s="503">
        <f t="shared" si="5"/>
        <v>21921.520000000008</v>
      </c>
      <c r="AJ381" s="169"/>
      <c r="AK381" s="169"/>
      <c r="AL381" s="169"/>
      <c r="AM381" s="169"/>
      <c r="AN381" s="169"/>
      <c r="AO381" s="169"/>
      <c r="AP381" s="169"/>
      <c r="AQ381" s="169"/>
      <c r="AR381" s="169"/>
      <c r="AS381" s="169"/>
      <c r="AT381" s="169"/>
      <c r="AU381" s="169"/>
      <c r="AV381" s="169"/>
      <c r="AW381" s="169"/>
      <c r="AX381" s="169"/>
      <c r="AY381" s="169"/>
      <c r="AZ381" s="169"/>
      <c r="BA381" s="169"/>
      <c r="BB381" s="169"/>
      <c r="BC381" s="169"/>
      <c r="BD381" s="169"/>
      <c r="BE381" s="169"/>
      <c r="BF381" s="169"/>
      <c r="BG381" s="169"/>
      <c r="BH381" s="169"/>
      <c r="BI381" s="169"/>
      <c r="BJ381" s="169"/>
      <c r="BK381" s="169"/>
      <c r="BL381" s="169"/>
      <c r="BM381" s="169"/>
      <c r="BN381" s="169"/>
      <c r="BO381" s="169"/>
      <c r="BP381" s="169"/>
      <c r="BQ381" s="169"/>
      <c r="BR381" s="169"/>
      <c r="BS381" s="169"/>
      <c r="BT381" s="169"/>
      <c r="BU381" s="169"/>
      <c r="BV381" s="169"/>
      <c r="BW381" s="169"/>
      <c r="BX381" s="169"/>
      <c r="BY381" s="169"/>
      <c r="BZ381" s="169"/>
      <c r="CA381" s="169"/>
      <c r="CB381" s="169"/>
      <c r="CC381" s="169"/>
      <c r="CD381" s="169"/>
      <c r="CE381" s="169"/>
      <c r="CF381" s="169"/>
      <c r="CG381" s="169"/>
      <c r="CH381" s="169"/>
      <c r="CI381" s="169"/>
      <c r="CJ381" s="169"/>
    </row>
    <row r="382" spans="2:88" s="168" customFormat="1">
      <c r="B382" s="512">
        <v>45709</v>
      </c>
      <c r="C382" s="497" t="s">
        <v>117</v>
      </c>
      <c r="D382" s="498" t="s">
        <v>903</v>
      </c>
      <c r="E382" s="499"/>
      <c r="F382" s="500">
        <v>1</v>
      </c>
      <c r="G382" s="501" t="s">
        <v>272</v>
      </c>
      <c r="H382" s="502"/>
      <c r="I382" s="503">
        <f t="shared" si="5"/>
        <v>21920.520000000008</v>
      </c>
      <c r="AJ382" s="169"/>
      <c r="AK382" s="169"/>
      <c r="AL382" s="169"/>
      <c r="AM382" s="169"/>
      <c r="AN382" s="169"/>
      <c r="AO382" s="169"/>
      <c r="AP382" s="169"/>
      <c r="AQ382" s="169"/>
      <c r="AR382" s="169"/>
      <c r="AS382" s="169"/>
      <c r="AT382" s="169"/>
      <c r="AU382" s="169"/>
      <c r="AV382" s="169"/>
      <c r="AW382" s="169"/>
      <c r="AX382" s="169"/>
      <c r="AY382" s="169"/>
      <c r="AZ382" s="169"/>
      <c r="BA382" s="169"/>
      <c r="BB382" s="169"/>
      <c r="BC382" s="169"/>
      <c r="BD382" s="169"/>
      <c r="BE382" s="169"/>
      <c r="BF382" s="169"/>
      <c r="BG382" s="169"/>
      <c r="BH382" s="169"/>
      <c r="BI382" s="169"/>
      <c r="BJ382" s="169"/>
      <c r="BK382" s="169"/>
      <c r="BL382" s="169"/>
      <c r="BM382" s="169"/>
      <c r="BN382" s="169"/>
      <c r="BO382" s="169"/>
      <c r="BP382" s="169"/>
      <c r="BQ382" s="169"/>
      <c r="BR382" s="169"/>
      <c r="BS382" s="169"/>
      <c r="BT382" s="169"/>
      <c r="BU382" s="169"/>
      <c r="BV382" s="169"/>
      <c r="BW382" s="169"/>
      <c r="BX382" s="169"/>
      <c r="BY382" s="169"/>
      <c r="BZ382" s="169"/>
      <c r="CA382" s="169"/>
      <c r="CB382" s="169"/>
      <c r="CC382" s="169"/>
      <c r="CD382" s="169"/>
      <c r="CE382" s="169"/>
      <c r="CF382" s="169"/>
      <c r="CG382" s="169"/>
      <c r="CH382" s="169"/>
      <c r="CI382" s="169"/>
      <c r="CJ382" s="169"/>
    </row>
    <row r="383" spans="2:88" s="168" customFormat="1">
      <c r="B383" s="512">
        <v>45712</v>
      </c>
      <c r="C383" s="507" t="s">
        <v>283</v>
      </c>
      <c r="D383" s="505" t="s">
        <v>912</v>
      </c>
      <c r="E383" s="499">
        <f>646+34</f>
        <v>680</v>
      </c>
      <c r="F383" s="500"/>
      <c r="G383" s="501" t="s">
        <v>190</v>
      </c>
      <c r="H383" s="508"/>
      <c r="I383" s="503">
        <f t="shared" si="5"/>
        <v>22600.520000000008</v>
      </c>
      <c r="AJ383" s="169"/>
      <c r="AK383" s="169"/>
      <c r="AL383" s="169"/>
      <c r="AM383" s="169"/>
      <c r="AN383" s="169"/>
      <c r="AO383" s="169"/>
      <c r="AP383" s="169"/>
      <c r="AQ383" s="169"/>
      <c r="AR383" s="169"/>
      <c r="AS383" s="169"/>
      <c r="AT383" s="169"/>
      <c r="AU383" s="169"/>
      <c r="AV383" s="169"/>
      <c r="AW383" s="169"/>
      <c r="AX383" s="169"/>
      <c r="AY383" s="169"/>
      <c r="AZ383" s="169"/>
      <c r="BA383" s="169"/>
      <c r="BB383" s="169"/>
      <c r="BC383" s="169"/>
      <c r="BD383" s="169"/>
      <c r="BE383" s="169"/>
      <c r="BF383" s="169"/>
      <c r="BG383" s="169"/>
      <c r="BH383" s="169"/>
      <c r="BI383" s="169"/>
      <c r="BJ383" s="169"/>
      <c r="BK383" s="169"/>
      <c r="BL383" s="169"/>
      <c r="BM383" s="169"/>
      <c r="BN383" s="169"/>
      <c r="BO383" s="169"/>
      <c r="BP383" s="169"/>
      <c r="BQ383" s="169"/>
      <c r="BR383" s="169"/>
      <c r="BS383" s="169"/>
      <c r="BT383" s="169"/>
      <c r="BU383" s="169"/>
      <c r="BV383" s="169"/>
      <c r="BW383" s="169"/>
      <c r="BX383" s="169"/>
      <c r="BY383" s="169"/>
      <c r="BZ383" s="169"/>
      <c r="CA383" s="169"/>
      <c r="CB383" s="169"/>
      <c r="CC383" s="169"/>
      <c r="CD383" s="169"/>
      <c r="CE383" s="169"/>
      <c r="CF383" s="169"/>
      <c r="CG383" s="169"/>
      <c r="CH383" s="169"/>
      <c r="CI383" s="169"/>
      <c r="CJ383" s="169"/>
    </row>
    <row r="384" spans="2:88" s="168" customFormat="1">
      <c r="B384" s="512">
        <v>45712</v>
      </c>
      <c r="C384" s="507" t="s">
        <v>117</v>
      </c>
      <c r="D384" s="505" t="s">
        <v>918</v>
      </c>
      <c r="E384" s="499"/>
      <c r="F384" s="500">
        <f>680-673.18</f>
        <v>6.82000000000005</v>
      </c>
      <c r="G384" s="501" t="s">
        <v>270</v>
      </c>
      <c r="H384" s="524"/>
      <c r="I384" s="503">
        <f t="shared" si="5"/>
        <v>22593.700000000008</v>
      </c>
      <c r="AJ384" s="169"/>
      <c r="AK384" s="169"/>
      <c r="AL384" s="169"/>
      <c r="AM384" s="169"/>
      <c r="AN384" s="169"/>
      <c r="AO384" s="169"/>
      <c r="AP384" s="169"/>
      <c r="AQ384" s="169"/>
      <c r="AR384" s="169"/>
      <c r="AS384" s="169"/>
      <c r="AT384" s="169"/>
      <c r="AU384" s="169"/>
      <c r="AV384" s="169"/>
      <c r="AW384" s="169"/>
      <c r="AX384" s="169"/>
      <c r="AY384" s="169"/>
      <c r="AZ384" s="169"/>
      <c r="BA384" s="169"/>
      <c r="BB384" s="169"/>
      <c r="BC384" s="169"/>
      <c r="BD384" s="169"/>
      <c r="BE384" s="169"/>
      <c r="BF384" s="169"/>
      <c r="BG384" s="169"/>
      <c r="BH384" s="169"/>
      <c r="BI384" s="169"/>
      <c r="BJ384" s="169"/>
      <c r="BK384" s="169"/>
      <c r="BL384" s="169"/>
      <c r="BM384" s="169"/>
      <c r="BN384" s="169"/>
      <c r="BO384" s="169"/>
      <c r="BP384" s="169"/>
      <c r="BQ384" s="169"/>
      <c r="BR384" s="169"/>
      <c r="BS384" s="169"/>
      <c r="BT384" s="169"/>
      <c r="BU384" s="169"/>
      <c r="BV384" s="169"/>
      <c r="BW384" s="169"/>
      <c r="BX384" s="169"/>
      <c r="BY384" s="169"/>
      <c r="BZ384" s="169"/>
      <c r="CA384" s="169"/>
      <c r="CB384" s="169"/>
      <c r="CC384" s="169"/>
      <c r="CD384" s="169"/>
      <c r="CE384" s="169"/>
      <c r="CF384" s="169"/>
      <c r="CG384" s="169"/>
      <c r="CH384" s="169"/>
      <c r="CI384" s="169"/>
      <c r="CJ384" s="169"/>
    </row>
    <row r="385" spans="2:88" s="168" customFormat="1">
      <c r="B385" s="512">
        <v>45712</v>
      </c>
      <c r="C385" s="507" t="s">
        <v>283</v>
      </c>
      <c r="D385" s="505" t="s">
        <v>307</v>
      </c>
      <c r="E385" s="499">
        <v>1123</v>
      </c>
      <c r="F385" s="500"/>
      <c r="G385" s="501" t="s">
        <v>190</v>
      </c>
      <c r="H385" s="502"/>
      <c r="I385" s="503">
        <f t="shared" si="5"/>
        <v>23716.700000000008</v>
      </c>
      <c r="AJ385" s="169"/>
      <c r="AK385" s="169"/>
      <c r="AL385" s="169"/>
      <c r="AM385" s="169"/>
      <c r="AN385" s="169"/>
      <c r="AO385" s="169"/>
      <c r="AP385" s="169"/>
      <c r="AQ385" s="169"/>
      <c r="AR385" s="169"/>
      <c r="AS385" s="169"/>
      <c r="AT385" s="169"/>
      <c r="AU385" s="169"/>
      <c r="AV385" s="169"/>
      <c r="AW385" s="169"/>
      <c r="AX385" s="169"/>
      <c r="AY385" s="169"/>
      <c r="AZ385" s="169"/>
      <c r="BA385" s="169"/>
      <c r="BB385" s="169"/>
      <c r="BC385" s="169"/>
      <c r="BD385" s="169"/>
      <c r="BE385" s="169"/>
      <c r="BF385" s="169"/>
      <c r="BG385" s="169"/>
      <c r="BH385" s="169"/>
      <c r="BI385" s="169"/>
      <c r="BJ385" s="169"/>
      <c r="BK385" s="169"/>
      <c r="BL385" s="169"/>
      <c r="BM385" s="169"/>
      <c r="BN385" s="169"/>
      <c r="BO385" s="169"/>
      <c r="BP385" s="169"/>
      <c r="BQ385" s="169"/>
      <c r="BR385" s="169"/>
      <c r="BS385" s="169"/>
      <c r="BT385" s="169"/>
      <c r="BU385" s="169"/>
      <c r="BV385" s="169"/>
      <c r="BW385" s="169"/>
      <c r="BX385" s="169"/>
      <c r="BY385" s="169"/>
      <c r="BZ385" s="169"/>
      <c r="CA385" s="169"/>
      <c r="CB385" s="169"/>
      <c r="CC385" s="169"/>
      <c r="CD385" s="169"/>
      <c r="CE385" s="169"/>
      <c r="CF385" s="169"/>
      <c r="CG385" s="169"/>
      <c r="CH385" s="169"/>
      <c r="CI385" s="169"/>
      <c r="CJ385" s="169"/>
    </row>
    <row r="386" spans="2:88" s="168" customFormat="1">
      <c r="B386" s="512">
        <v>45712</v>
      </c>
      <c r="C386" s="507" t="s">
        <v>283</v>
      </c>
      <c r="D386" s="505" t="s">
        <v>307</v>
      </c>
      <c r="E386" s="499">
        <v>709.7</v>
      </c>
      <c r="F386" s="500"/>
      <c r="G386" s="501" t="s">
        <v>190</v>
      </c>
      <c r="H386" s="502"/>
      <c r="I386" s="503">
        <f t="shared" si="5"/>
        <v>24426.400000000009</v>
      </c>
      <c r="AJ386" s="169"/>
      <c r="AK386" s="169"/>
      <c r="AL386" s="169"/>
      <c r="AM386" s="169"/>
      <c r="AN386" s="169"/>
      <c r="AO386" s="169"/>
      <c r="AP386" s="169"/>
      <c r="AQ386" s="169"/>
      <c r="AR386" s="169"/>
      <c r="AS386" s="169"/>
      <c r="AT386" s="169"/>
      <c r="AU386" s="169"/>
      <c r="AV386" s="169"/>
      <c r="AW386" s="169"/>
      <c r="AX386" s="169"/>
      <c r="AY386" s="169"/>
      <c r="AZ386" s="169"/>
      <c r="BA386" s="169"/>
      <c r="BB386" s="169"/>
      <c r="BC386" s="169"/>
      <c r="BD386" s="169"/>
      <c r="BE386" s="169"/>
      <c r="BF386" s="169"/>
      <c r="BG386" s="169"/>
      <c r="BH386" s="169"/>
      <c r="BI386" s="169"/>
      <c r="BJ386" s="169"/>
      <c r="BK386" s="169"/>
      <c r="BL386" s="169"/>
      <c r="BM386" s="169"/>
      <c r="BN386" s="169"/>
      <c r="BO386" s="169"/>
      <c r="BP386" s="169"/>
      <c r="BQ386" s="169"/>
      <c r="BR386" s="169"/>
      <c r="BS386" s="169"/>
      <c r="BT386" s="169"/>
      <c r="BU386" s="169"/>
      <c r="BV386" s="169"/>
      <c r="BW386" s="169"/>
      <c r="BX386" s="169"/>
      <c r="BY386" s="169"/>
      <c r="BZ386" s="169"/>
      <c r="CA386" s="169"/>
      <c r="CB386" s="169"/>
      <c r="CC386" s="169"/>
      <c r="CD386" s="169"/>
      <c r="CE386" s="169"/>
      <c r="CF386" s="169"/>
      <c r="CG386" s="169"/>
      <c r="CH386" s="169"/>
      <c r="CI386" s="169"/>
      <c r="CJ386" s="169"/>
    </row>
    <row r="387" spans="2:88" s="168" customFormat="1">
      <c r="B387" s="512">
        <v>45712</v>
      </c>
      <c r="C387" s="507" t="s">
        <v>283</v>
      </c>
      <c r="D387" s="505" t="s">
        <v>307</v>
      </c>
      <c r="E387" s="499">
        <v>697.5</v>
      </c>
      <c r="F387" s="500"/>
      <c r="G387" s="501" t="s">
        <v>190</v>
      </c>
      <c r="H387" s="502"/>
      <c r="I387" s="503">
        <f t="shared" si="5"/>
        <v>25123.900000000009</v>
      </c>
      <c r="AJ387" s="169"/>
      <c r="AK387" s="169"/>
      <c r="AL387" s="169"/>
      <c r="AM387" s="169"/>
      <c r="AN387" s="169"/>
      <c r="AO387" s="169"/>
      <c r="AP387" s="169"/>
      <c r="AQ387" s="169"/>
      <c r="AR387" s="169"/>
      <c r="AS387" s="169"/>
      <c r="AT387" s="169"/>
      <c r="AU387" s="169"/>
      <c r="AV387" s="169"/>
      <c r="AW387" s="169"/>
      <c r="AX387" s="169"/>
      <c r="AY387" s="169"/>
      <c r="AZ387" s="169"/>
      <c r="BA387" s="169"/>
      <c r="BB387" s="169"/>
      <c r="BC387" s="169"/>
      <c r="BD387" s="169"/>
      <c r="BE387" s="169"/>
      <c r="BF387" s="169"/>
      <c r="BG387" s="169"/>
      <c r="BH387" s="169"/>
      <c r="BI387" s="169"/>
      <c r="BJ387" s="169"/>
      <c r="BK387" s="169"/>
      <c r="BL387" s="169"/>
      <c r="BM387" s="169"/>
      <c r="BN387" s="169"/>
      <c r="BO387" s="169"/>
      <c r="BP387" s="169"/>
      <c r="BQ387" s="169"/>
      <c r="BR387" s="169"/>
      <c r="BS387" s="169"/>
      <c r="BT387" s="169"/>
      <c r="BU387" s="169"/>
      <c r="BV387" s="169"/>
      <c r="BW387" s="169"/>
      <c r="BX387" s="169"/>
      <c r="BY387" s="169"/>
      <c r="BZ387" s="169"/>
      <c r="CA387" s="169"/>
      <c r="CB387" s="169"/>
      <c r="CC387" s="169"/>
      <c r="CD387" s="169"/>
      <c r="CE387" s="169"/>
      <c r="CF387" s="169"/>
      <c r="CG387" s="169"/>
      <c r="CH387" s="169"/>
      <c r="CI387" s="169"/>
      <c r="CJ387" s="169"/>
    </row>
    <row r="388" spans="2:88" s="168" customFormat="1">
      <c r="B388" s="512">
        <v>45712</v>
      </c>
      <c r="C388" s="507" t="s">
        <v>283</v>
      </c>
      <c r="D388" s="505" t="s">
        <v>909</v>
      </c>
      <c r="E388" s="499">
        <v>40</v>
      </c>
      <c r="F388" s="500"/>
      <c r="G388" s="501" t="s">
        <v>190</v>
      </c>
      <c r="H388" s="502" t="s">
        <v>67</v>
      </c>
      <c r="I388" s="503">
        <f t="shared" si="5"/>
        <v>25163.900000000009</v>
      </c>
      <c r="AJ388" s="169"/>
      <c r="AK388" s="169"/>
      <c r="AL388" s="169"/>
      <c r="AM388" s="169"/>
      <c r="AN388" s="169"/>
      <c r="AO388" s="169"/>
      <c r="AP388" s="169"/>
      <c r="AQ388" s="169"/>
      <c r="AR388" s="169"/>
      <c r="AS388" s="169"/>
      <c r="AT388" s="169"/>
      <c r="AU388" s="169"/>
      <c r="AV388" s="169"/>
      <c r="AW388" s="169"/>
      <c r="AX388" s="169"/>
      <c r="AY388" s="169"/>
      <c r="AZ388" s="169"/>
      <c r="BA388" s="169"/>
      <c r="BB388" s="169"/>
      <c r="BC388" s="169"/>
      <c r="BD388" s="169"/>
      <c r="BE388" s="169"/>
      <c r="BF388" s="169"/>
      <c r="BG388" s="169"/>
      <c r="BH388" s="169"/>
      <c r="BI388" s="169"/>
      <c r="BJ388" s="169"/>
      <c r="BK388" s="169"/>
      <c r="BL388" s="169"/>
      <c r="BM388" s="169"/>
      <c r="BN388" s="169"/>
      <c r="BO388" s="169"/>
      <c r="BP388" s="169"/>
      <c r="BQ388" s="169"/>
      <c r="BR388" s="169"/>
      <c r="BS388" s="169"/>
      <c r="BT388" s="169"/>
      <c r="BU388" s="169"/>
      <c r="BV388" s="169"/>
      <c r="BW388" s="169"/>
      <c r="BX388" s="169"/>
      <c r="BY388" s="169"/>
      <c r="BZ388" s="169"/>
      <c r="CA388" s="169"/>
      <c r="CB388" s="169"/>
      <c r="CC388" s="169"/>
      <c r="CD388" s="169"/>
      <c r="CE388" s="169"/>
      <c r="CF388" s="169"/>
      <c r="CG388" s="169"/>
      <c r="CH388" s="169"/>
      <c r="CI388" s="169"/>
      <c r="CJ388" s="169"/>
    </row>
    <row r="389" spans="2:88" s="168" customFormat="1">
      <c r="B389" s="512">
        <v>45712</v>
      </c>
      <c r="C389" s="507" t="s">
        <v>117</v>
      </c>
      <c r="D389" s="505" t="s">
        <v>911</v>
      </c>
      <c r="E389" s="499"/>
      <c r="F389" s="500">
        <f>40-38.11</f>
        <v>1.8900000000000006</v>
      </c>
      <c r="G389" s="501" t="s">
        <v>269</v>
      </c>
      <c r="H389" s="508"/>
      <c r="I389" s="503">
        <f t="shared" si="5"/>
        <v>25162.010000000009</v>
      </c>
      <c r="AJ389" s="169"/>
      <c r="AK389" s="169"/>
      <c r="AL389" s="169"/>
      <c r="AM389" s="169"/>
      <c r="AN389" s="169"/>
      <c r="AO389" s="169"/>
      <c r="AP389" s="169"/>
      <c r="AQ389" s="169"/>
      <c r="AR389" s="169"/>
      <c r="AS389" s="169"/>
      <c r="AT389" s="169"/>
      <c r="AU389" s="169"/>
      <c r="AV389" s="169"/>
      <c r="AW389" s="169"/>
      <c r="AX389" s="169"/>
      <c r="AY389" s="169"/>
      <c r="AZ389" s="169"/>
      <c r="BA389" s="169"/>
      <c r="BB389" s="169"/>
      <c r="BC389" s="169"/>
      <c r="BD389" s="169"/>
      <c r="BE389" s="169"/>
      <c r="BF389" s="169"/>
      <c r="BG389" s="169"/>
      <c r="BH389" s="169"/>
      <c r="BI389" s="169"/>
      <c r="BJ389" s="169"/>
      <c r="BK389" s="169"/>
      <c r="BL389" s="169"/>
      <c r="BM389" s="169"/>
      <c r="BN389" s="169"/>
      <c r="BO389" s="169"/>
      <c r="BP389" s="169"/>
      <c r="BQ389" s="169"/>
      <c r="BR389" s="169"/>
      <c r="BS389" s="169"/>
      <c r="BT389" s="169"/>
      <c r="BU389" s="169"/>
      <c r="BV389" s="169"/>
      <c r="BW389" s="169"/>
      <c r="BX389" s="169"/>
      <c r="BY389" s="169"/>
      <c r="BZ389" s="169"/>
      <c r="CA389" s="169"/>
      <c r="CB389" s="169"/>
      <c r="CC389" s="169"/>
      <c r="CD389" s="169"/>
      <c r="CE389" s="169"/>
      <c r="CF389" s="169"/>
      <c r="CG389" s="169"/>
      <c r="CH389" s="169"/>
      <c r="CI389" s="169"/>
      <c r="CJ389" s="169"/>
    </row>
    <row r="390" spans="2:88" s="168" customFormat="1">
      <c r="B390" s="512">
        <v>45712</v>
      </c>
      <c r="C390" s="507" t="s">
        <v>283</v>
      </c>
      <c r="D390" s="505" t="s">
        <v>307</v>
      </c>
      <c r="E390" s="499">
        <v>432.4</v>
      </c>
      <c r="F390" s="500"/>
      <c r="G390" s="501" t="s">
        <v>190</v>
      </c>
      <c r="H390" s="502"/>
      <c r="I390" s="503">
        <f t="shared" si="5"/>
        <v>25594.410000000011</v>
      </c>
      <c r="AJ390" s="169"/>
      <c r="AK390" s="169"/>
      <c r="AL390" s="169"/>
      <c r="AM390" s="169"/>
      <c r="AN390" s="169"/>
      <c r="AO390" s="169"/>
      <c r="AP390" s="169"/>
      <c r="AQ390" s="169"/>
      <c r="AR390" s="169"/>
      <c r="AS390" s="169"/>
      <c r="AT390" s="169"/>
      <c r="AU390" s="169"/>
      <c r="AV390" s="169"/>
      <c r="AW390" s="169"/>
      <c r="AX390" s="169"/>
      <c r="AY390" s="169"/>
      <c r="AZ390" s="169"/>
      <c r="BA390" s="169"/>
      <c r="BB390" s="169"/>
      <c r="BC390" s="169"/>
      <c r="BD390" s="169"/>
      <c r="BE390" s="169"/>
      <c r="BF390" s="169"/>
      <c r="BG390" s="169"/>
      <c r="BH390" s="169"/>
      <c r="BI390" s="169"/>
      <c r="BJ390" s="169"/>
      <c r="BK390" s="169"/>
      <c r="BL390" s="169"/>
      <c r="BM390" s="169"/>
      <c r="BN390" s="169"/>
      <c r="BO390" s="169"/>
      <c r="BP390" s="169"/>
      <c r="BQ390" s="169"/>
      <c r="BR390" s="169"/>
      <c r="BS390" s="169"/>
      <c r="BT390" s="169"/>
      <c r="BU390" s="169"/>
      <c r="BV390" s="169"/>
      <c r="BW390" s="169"/>
      <c r="BX390" s="169"/>
      <c r="BY390" s="169"/>
      <c r="BZ390" s="169"/>
      <c r="CA390" s="169"/>
      <c r="CB390" s="169"/>
      <c r="CC390" s="169"/>
      <c r="CD390" s="169"/>
      <c r="CE390" s="169"/>
      <c r="CF390" s="169"/>
      <c r="CG390" s="169"/>
      <c r="CH390" s="169"/>
      <c r="CI390" s="169"/>
      <c r="CJ390" s="169"/>
    </row>
    <row r="391" spans="2:88" s="168" customFormat="1">
      <c r="B391" s="512">
        <v>45712</v>
      </c>
      <c r="C391" s="507" t="s">
        <v>283</v>
      </c>
      <c r="D391" s="505" t="s">
        <v>307</v>
      </c>
      <c r="E391" s="499">
        <v>450</v>
      </c>
      <c r="F391" s="500"/>
      <c r="G391" s="501" t="s">
        <v>190</v>
      </c>
      <c r="H391" s="502"/>
      <c r="I391" s="503">
        <f t="shared" si="5"/>
        <v>26044.410000000011</v>
      </c>
      <c r="AJ391" s="169"/>
      <c r="AK391" s="169"/>
      <c r="AL391" s="169"/>
      <c r="AM391" s="169"/>
      <c r="AN391" s="169"/>
      <c r="AO391" s="169"/>
      <c r="AP391" s="169"/>
      <c r="AQ391" s="169"/>
      <c r="AR391" s="169"/>
      <c r="AS391" s="169"/>
      <c r="AT391" s="169"/>
      <c r="AU391" s="169"/>
      <c r="AV391" s="169"/>
      <c r="AW391" s="169"/>
      <c r="AX391" s="169"/>
      <c r="AY391" s="169"/>
      <c r="AZ391" s="169"/>
      <c r="BA391" s="169"/>
      <c r="BB391" s="169"/>
      <c r="BC391" s="169"/>
      <c r="BD391" s="169"/>
      <c r="BE391" s="169"/>
      <c r="BF391" s="169"/>
      <c r="BG391" s="169"/>
      <c r="BH391" s="169"/>
      <c r="BI391" s="169"/>
      <c r="BJ391" s="169"/>
      <c r="BK391" s="169"/>
      <c r="BL391" s="169"/>
      <c r="BM391" s="169"/>
      <c r="BN391" s="169"/>
      <c r="BO391" s="169"/>
      <c r="BP391" s="169"/>
      <c r="BQ391" s="169"/>
      <c r="BR391" s="169"/>
      <c r="BS391" s="169"/>
      <c r="BT391" s="169"/>
      <c r="BU391" s="169"/>
      <c r="BV391" s="169"/>
      <c r="BW391" s="169"/>
      <c r="BX391" s="169"/>
      <c r="BY391" s="169"/>
      <c r="BZ391" s="169"/>
      <c r="CA391" s="169"/>
      <c r="CB391" s="169"/>
      <c r="CC391" s="169"/>
      <c r="CD391" s="169"/>
      <c r="CE391" s="169"/>
      <c r="CF391" s="169"/>
      <c r="CG391" s="169"/>
      <c r="CH391" s="169"/>
      <c r="CI391" s="169"/>
      <c r="CJ391" s="169"/>
    </row>
    <row r="392" spans="2:88" s="168" customFormat="1">
      <c r="B392" s="512">
        <v>45712</v>
      </c>
      <c r="C392" s="507" t="s">
        <v>283</v>
      </c>
      <c r="D392" s="505" t="s">
        <v>307</v>
      </c>
      <c r="E392" s="499">
        <v>65.7</v>
      </c>
      <c r="F392" s="500"/>
      <c r="G392" s="501" t="s">
        <v>190</v>
      </c>
      <c r="H392" s="502"/>
      <c r="I392" s="503">
        <f t="shared" si="5"/>
        <v>26110.110000000011</v>
      </c>
      <c r="AJ392" s="169"/>
      <c r="AK392" s="169"/>
      <c r="AL392" s="169"/>
      <c r="AM392" s="169"/>
      <c r="AN392" s="169"/>
      <c r="AO392" s="169"/>
      <c r="AP392" s="169"/>
      <c r="AQ392" s="169"/>
      <c r="AR392" s="169"/>
      <c r="AS392" s="169"/>
      <c r="AT392" s="169"/>
      <c r="AU392" s="169"/>
      <c r="AV392" s="169"/>
      <c r="AW392" s="169"/>
      <c r="AX392" s="169"/>
      <c r="AY392" s="169"/>
      <c r="AZ392" s="169"/>
      <c r="BA392" s="169"/>
      <c r="BB392" s="169"/>
      <c r="BC392" s="169"/>
      <c r="BD392" s="169"/>
      <c r="BE392" s="169"/>
      <c r="BF392" s="169"/>
      <c r="BG392" s="169"/>
      <c r="BH392" s="169"/>
      <c r="BI392" s="169"/>
      <c r="BJ392" s="169"/>
      <c r="BK392" s="169"/>
      <c r="BL392" s="169"/>
      <c r="BM392" s="169"/>
      <c r="BN392" s="169"/>
      <c r="BO392" s="169"/>
      <c r="BP392" s="169"/>
      <c r="BQ392" s="169"/>
      <c r="BR392" s="169"/>
      <c r="BS392" s="169"/>
      <c r="BT392" s="169"/>
      <c r="BU392" s="169"/>
      <c r="BV392" s="169"/>
      <c r="BW392" s="169"/>
      <c r="BX392" s="169"/>
      <c r="BY392" s="169"/>
      <c r="BZ392" s="169"/>
      <c r="CA392" s="169"/>
      <c r="CB392" s="169"/>
      <c r="CC392" s="169"/>
      <c r="CD392" s="169"/>
      <c r="CE392" s="169"/>
      <c r="CF392" s="169"/>
      <c r="CG392" s="169"/>
      <c r="CH392" s="169"/>
      <c r="CI392" s="169"/>
      <c r="CJ392" s="169"/>
    </row>
    <row r="393" spans="2:88" s="168" customFormat="1">
      <c r="B393" s="512">
        <v>45712</v>
      </c>
      <c r="C393" s="507" t="s">
        <v>1005</v>
      </c>
      <c r="D393" s="505" t="s">
        <v>1006</v>
      </c>
      <c r="E393" s="499"/>
      <c r="F393" s="500">
        <v>12200</v>
      </c>
      <c r="G393" s="501" t="s">
        <v>137</v>
      </c>
      <c r="H393" s="502"/>
      <c r="I393" s="503">
        <f t="shared" si="5"/>
        <v>13910.110000000011</v>
      </c>
      <c r="AJ393" s="169"/>
      <c r="AK393" s="169"/>
      <c r="AL393" s="169"/>
      <c r="AM393" s="169"/>
      <c r="AN393" s="169"/>
      <c r="AO393" s="169"/>
      <c r="AP393" s="169"/>
      <c r="AQ393" s="169"/>
      <c r="AR393" s="169"/>
      <c r="AS393" s="169"/>
      <c r="AT393" s="169"/>
      <c r="AU393" s="169"/>
      <c r="AV393" s="169"/>
      <c r="AW393" s="169"/>
      <c r="AX393" s="169"/>
      <c r="AY393" s="169"/>
      <c r="AZ393" s="169"/>
      <c r="BA393" s="169"/>
      <c r="BB393" s="169"/>
      <c r="BC393" s="169"/>
      <c r="BD393" s="169"/>
      <c r="BE393" s="169"/>
      <c r="BF393" s="169"/>
      <c r="BG393" s="169"/>
      <c r="BH393" s="169"/>
      <c r="BI393" s="169"/>
      <c r="BJ393" s="169"/>
      <c r="BK393" s="169"/>
      <c r="BL393" s="169"/>
      <c r="BM393" s="169"/>
      <c r="BN393" s="169"/>
      <c r="BO393" s="169"/>
      <c r="BP393" s="169"/>
      <c r="BQ393" s="169"/>
      <c r="BR393" s="169"/>
      <c r="BS393" s="169"/>
      <c r="BT393" s="169"/>
      <c r="BU393" s="169"/>
      <c r="BV393" s="169"/>
      <c r="BW393" s="169"/>
      <c r="BX393" s="169"/>
      <c r="BY393" s="169"/>
      <c r="BZ393" s="169"/>
      <c r="CA393" s="169"/>
      <c r="CB393" s="169"/>
      <c r="CC393" s="169"/>
      <c r="CD393" s="169"/>
      <c r="CE393" s="169"/>
      <c r="CF393" s="169"/>
      <c r="CG393" s="169"/>
      <c r="CH393" s="169"/>
      <c r="CI393" s="169"/>
      <c r="CJ393" s="169"/>
    </row>
    <row r="394" spans="2:88" s="168" customFormat="1">
      <c r="B394" s="512">
        <v>45712</v>
      </c>
      <c r="C394" s="507" t="s">
        <v>1005</v>
      </c>
      <c r="D394" s="498" t="s">
        <v>1006</v>
      </c>
      <c r="E394" s="499"/>
      <c r="F394" s="500">
        <v>2684</v>
      </c>
      <c r="G394" s="501" t="s">
        <v>274</v>
      </c>
      <c r="H394" s="502"/>
      <c r="I394" s="503">
        <f t="shared" ref="I394:I457" si="6">I393+E394-F394</f>
        <v>11226.110000000011</v>
      </c>
      <c r="AJ394" s="169"/>
      <c r="AK394" s="169"/>
      <c r="AL394" s="169"/>
      <c r="AM394" s="169"/>
      <c r="AN394" s="169"/>
      <c r="AO394" s="169"/>
      <c r="AP394" s="169"/>
      <c r="AQ394" s="169"/>
      <c r="AR394" s="169"/>
      <c r="AS394" s="169"/>
      <c r="AT394" s="169"/>
      <c r="AU394" s="169"/>
      <c r="AV394" s="169"/>
      <c r="AW394" s="169"/>
      <c r="AX394" s="169"/>
      <c r="AY394" s="169"/>
      <c r="AZ394" s="169"/>
      <c r="BA394" s="169"/>
      <c r="BB394" s="169"/>
      <c r="BC394" s="169"/>
      <c r="BD394" s="169"/>
      <c r="BE394" s="169"/>
      <c r="BF394" s="169"/>
      <c r="BG394" s="169"/>
      <c r="BH394" s="169"/>
      <c r="BI394" s="169"/>
      <c r="BJ394" s="169"/>
      <c r="BK394" s="169"/>
      <c r="BL394" s="169"/>
      <c r="BM394" s="169"/>
      <c r="BN394" s="169"/>
      <c r="BO394" s="169"/>
      <c r="BP394" s="169"/>
      <c r="BQ394" s="169"/>
      <c r="BR394" s="169"/>
      <c r="BS394" s="169"/>
      <c r="BT394" s="169"/>
      <c r="BU394" s="169"/>
      <c r="BV394" s="169"/>
      <c r="BW394" s="169"/>
      <c r="BX394" s="169"/>
      <c r="BY394" s="169"/>
      <c r="BZ394" s="169"/>
      <c r="CA394" s="169"/>
      <c r="CB394" s="169"/>
      <c r="CC394" s="169"/>
      <c r="CD394" s="169"/>
      <c r="CE394" s="169"/>
      <c r="CF394" s="169"/>
      <c r="CG394" s="169"/>
      <c r="CH394" s="169"/>
      <c r="CI394" s="169"/>
      <c r="CJ394" s="169"/>
    </row>
    <row r="395" spans="2:88" s="168" customFormat="1">
      <c r="B395" s="512">
        <v>45712</v>
      </c>
      <c r="C395" s="497" t="s">
        <v>117</v>
      </c>
      <c r="D395" s="498" t="s">
        <v>903</v>
      </c>
      <c r="E395" s="499"/>
      <c r="F395" s="500">
        <v>1</v>
      </c>
      <c r="G395" s="501" t="s">
        <v>272</v>
      </c>
      <c r="H395" s="502"/>
      <c r="I395" s="503">
        <f t="shared" si="6"/>
        <v>11225.110000000011</v>
      </c>
      <c r="AJ395" s="169"/>
      <c r="AK395" s="169"/>
      <c r="AL395" s="169"/>
      <c r="AM395" s="169"/>
      <c r="AN395" s="169"/>
      <c r="AO395" s="169"/>
      <c r="AP395" s="169"/>
      <c r="AQ395" s="169"/>
      <c r="AR395" s="169"/>
      <c r="AS395" s="169"/>
      <c r="AT395" s="169"/>
      <c r="AU395" s="169"/>
      <c r="AV395" s="169"/>
      <c r="AW395" s="169"/>
      <c r="AX395" s="169"/>
      <c r="AY395" s="169"/>
      <c r="AZ395" s="169"/>
      <c r="BA395" s="169"/>
      <c r="BB395" s="169"/>
      <c r="BC395" s="169"/>
      <c r="BD395" s="169"/>
      <c r="BE395" s="169"/>
      <c r="BF395" s="169"/>
      <c r="BG395" s="169"/>
      <c r="BH395" s="169"/>
      <c r="BI395" s="169"/>
      <c r="BJ395" s="169"/>
      <c r="BK395" s="169"/>
      <c r="BL395" s="169"/>
      <c r="BM395" s="169"/>
      <c r="BN395" s="169"/>
      <c r="BO395" s="169"/>
      <c r="BP395" s="169"/>
      <c r="BQ395" s="169"/>
      <c r="BR395" s="169"/>
      <c r="BS395" s="169"/>
      <c r="BT395" s="169"/>
      <c r="BU395" s="169"/>
      <c r="BV395" s="169"/>
      <c r="BW395" s="169"/>
      <c r="BX395" s="169"/>
      <c r="BY395" s="169"/>
      <c r="BZ395" s="169"/>
      <c r="CA395" s="169"/>
      <c r="CB395" s="169"/>
      <c r="CC395" s="169"/>
      <c r="CD395" s="169"/>
      <c r="CE395" s="169"/>
      <c r="CF395" s="169"/>
      <c r="CG395" s="169"/>
      <c r="CH395" s="169"/>
      <c r="CI395" s="169"/>
      <c r="CJ395" s="169"/>
    </row>
    <row r="396" spans="2:88" s="168" customFormat="1">
      <c r="B396" s="512">
        <v>45712</v>
      </c>
      <c r="C396" s="507" t="s">
        <v>283</v>
      </c>
      <c r="D396" s="505" t="s">
        <v>909</v>
      </c>
      <c r="E396" s="499">
        <v>32</v>
      </c>
      <c r="F396" s="500"/>
      <c r="G396" s="501" t="s">
        <v>190</v>
      </c>
      <c r="H396" s="502"/>
      <c r="I396" s="503">
        <f t="shared" si="6"/>
        <v>11257.110000000011</v>
      </c>
      <c r="AJ396" s="169"/>
      <c r="AK396" s="169"/>
      <c r="AL396" s="169"/>
      <c r="AM396" s="169"/>
      <c r="AN396" s="169"/>
      <c r="AO396" s="169"/>
      <c r="AP396" s="169"/>
      <c r="AQ396" s="169"/>
      <c r="AR396" s="169"/>
      <c r="AS396" s="169"/>
      <c r="AT396" s="169"/>
      <c r="AU396" s="169"/>
      <c r="AV396" s="169"/>
      <c r="AW396" s="169"/>
      <c r="AX396" s="169"/>
      <c r="AY396" s="169"/>
      <c r="AZ396" s="169"/>
      <c r="BA396" s="169"/>
      <c r="BB396" s="169"/>
      <c r="BC396" s="169"/>
      <c r="BD396" s="169"/>
      <c r="BE396" s="169"/>
      <c r="BF396" s="169"/>
      <c r="BG396" s="169"/>
      <c r="BH396" s="169"/>
      <c r="BI396" s="169"/>
      <c r="BJ396" s="169"/>
      <c r="BK396" s="169"/>
      <c r="BL396" s="169"/>
      <c r="BM396" s="169"/>
      <c r="BN396" s="169"/>
      <c r="BO396" s="169"/>
      <c r="BP396" s="169"/>
      <c r="BQ396" s="169"/>
      <c r="BR396" s="169"/>
      <c r="BS396" s="169"/>
      <c r="BT396" s="169"/>
      <c r="BU396" s="169"/>
      <c r="BV396" s="169"/>
      <c r="BW396" s="169"/>
      <c r="BX396" s="169"/>
      <c r="BY396" s="169"/>
      <c r="BZ396" s="169"/>
      <c r="CA396" s="169"/>
      <c r="CB396" s="169"/>
      <c r="CC396" s="169"/>
      <c r="CD396" s="169"/>
      <c r="CE396" s="169"/>
      <c r="CF396" s="169"/>
      <c r="CG396" s="169"/>
      <c r="CH396" s="169"/>
      <c r="CI396" s="169"/>
      <c r="CJ396" s="169"/>
    </row>
    <row r="397" spans="2:88" s="168" customFormat="1">
      <c r="B397" s="512">
        <v>45712</v>
      </c>
      <c r="C397" s="507" t="s">
        <v>117</v>
      </c>
      <c r="D397" s="505" t="s">
        <v>911</v>
      </c>
      <c r="E397" s="499"/>
      <c r="F397" s="500">
        <v>0.24</v>
      </c>
      <c r="G397" s="501" t="s">
        <v>269</v>
      </c>
      <c r="H397" s="502"/>
      <c r="I397" s="503">
        <f t="shared" si="6"/>
        <v>11256.870000000012</v>
      </c>
      <c r="AJ397" s="169"/>
      <c r="AK397" s="169"/>
      <c r="AL397" s="169"/>
      <c r="AM397" s="169"/>
      <c r="AN397" s="169"/>
      <c r="AO397" s="169"/>
      <c r="AP397" s="169"/>
      <c r="AQ397" s="169"/>
      <c r="AR397" s="169"/>
      <c r="AS397" s="169"/>
      <c r="AT397" s="169"/>
      <c r="AU397" s="169"/>
      <c r="AV397" s="169"/>
      <c r="AW397" s="169"/>
      <c r="AX397" s="169"/>
      <c r="AY397" s="169"/>
      <c r="AZ397" s="169"/>
      <c r="BA397" s="169"/>
      <c r="BB397" s="169"/>
      <c r="BC397" s="169"/>
      <c r="BD397" s="169"/>
      <c r="BE397" s="169"/>
      <c r="BF397" s="169"/>
      <c r="BG397" s="169"/>
      <c r="BH397" s="169"/>
      <c r="BI397" s="169"/>
      <c r="BJ397" s="169"/>
      <c r="BK397" s="169"/>
      <c r="BL397" s="169"/>
      <c r="BM397" s="169"/>
      <c r="BN397" s="169"/>
      <c r="BO397" s="169"/>
      <c r="BP397" s="169"/>
      <c r="BQ397" s="169"/>
      <c r="BR397" s="169"/>
      <c r="BS397" s="169"/>
      <c r="BT397" s="169"/>
      <c r="BU397" s="169"/>
      <c r="BV397" s="169"/>
      <c r="BW397" s="169"/>
      <c r="BX397" s="169"/>
      <c r="BY397" s="169"/>
      <c r="BZ397" s="169"/>
      <c r="CA397" s="169"/>
      <c r="CB397" s="169"/>
      <c r="CC397" s="169"/>
      <c r="CD397" s="169"/>
      <c r="CE397" s="169"/>
      <c r="CF397" s="169"/>
      <c r="CG397" s="169"/>
      <c r="CH397" s="169"/>
      <c r="CI397" s="169"/>
      <c r="CJ397" s="169"/>
    </row>
    <row r="398" spans="2:88" s="168" customFormat="1">
      <c r="B398" s="512">
        <v>45713</v>
      </c>
      <c r="C398" s="497">
        <v>9250101027</v>
      </c>
      <c r="D398" s="505" t="s">
        <v>952</v>
      </c>
      <c r="E398" s="499"/>
      <c r="F398" s="500">
        <v>10.63</v>
      </c>
      <c r="G398" s="501" t="s">
        <v>230</v>
      </c>
      <c r="H398" s="502" t="s">
        <v>1007</v>
      </c>
      <c r="I398" s="503">
        <f t="shared" si="6"/>
        <v>11246.240000000013</v>
      </c>
      <c r="AJ398" s="169"/>
      <c r="AK398" s="169"/>
      <c r="AL398" s="169"/>
      <c r="AM398" s="169"/>
      <c r="AN398" s="169"/>
      <c r="AO398" s="169"/>
      <c r="AP398" s="169"/>
      <c r="AQ398" s="169"/>
      <c r="AR398" s="169"/>
      <c r="AS398" s="169"/>
      <c r="AT398" s="169"/>
      <c r="AU398" s="169"/>
      <c r="AV398" s="169"/>
      <c r="AW398" s="169"/>
      <c r="AX398" s="169"/>
      <c r="AY398" s="169"/>
      <c r="AZ398" s="169"/>
      <c r="BA398" s="169"/>
      <c r="BB398" s="169"/>
      <c r="BC398" s="169"/>
      <c r="BD398" s="169"/>
      <c r="BE398" s="169"/>
      <c r="BF398" s="169"/>
      <c r="BG398" s="169"/>
      <c r="BH398" s="169"/>
      <c r="BI398" s="169"/>
      <c r="BJ398" s="169"/>
      <c r="BK398" s="169"/>
      <c r="BL398" s="169"/>
      <c r="BM398" s="169"/>
      <c r="BN398" s="169"/>
      <c r="BO398" s="169"/>
      <c r="BP398" s="169"/>
      <c r="BQ398" s="169"/>
      <c r="BR398" s="169"/>
      <c r="BS398" s="169"/>
      <c r="BT398" s="169"/>
      <c r="BU398" s="169"/>
      <c r="BV398" s="169"/>
      <c r="BW398" s="169"/>
      <c r="BX398" s="169"/>
      <c r="BY398" s="169"/>
      <c r="BZ398" s="169"/>
      <c r="CA398" s="169"/>
      <c r="CB398" s="169"/>
      <c r="CC398" s="169"/>
      <c r="CD398" s="169"/>
      <c r="CE398" s="169"/>
      <c r="CF398" s="169"/>
      <c r="CG398" s="169"/>
      <c r="CH398" s="169"/>
      <c r="CI398" s="169"/>
      <c r="CJ398" s="169"/>
    </row>
    <row r="399" spans="2:88" s="168" customFormat="1">
      <c r="B399" s="512">
        <v>45713</v>
      </c>
      <c r="C399" s="497">
        <v>9250101027</v>
      </c>
      <c r="D399" s="505" t="s">
        <v>952</v>
      </c>
      <c r="E399" s="499"/>
      <c r="F399" s="500">
        <v>2.34</v>
      </c>
      <c r="G399" s="501" t="s">
        <v>274</v>
      </c>
      <c r="H399" s="502" t="s">
        <v>1007</v>
      </c>
      <c r="I399" s="503">
        <f t="shared" si="6"/>
        <v>11243.900000000012</v>
      </c>
      <c r="AJ399" s="169"/>
      <c r="AK399" s="169"/>
      <c r="AL399" s="169"/>
      <c r="AM399" s="169"/>
      <c r="AN399" s="169"/>
      <c r="AO399" s="169"/>
      <c r="AP399" s="169"/>
      <c r="AQ399" s="169"/>
      <c r="AR399" s="169"/>
      <c r="AS399" s="169"/>
      <c r="AT399" s="169"/>
      <c r="AU399" s="169"/>
      <c r="AV399" s="169"/>
      <c r="AW399" s="169"/>
      <c r="AX399" s="169"/>
      <c r="AY399" s="169"/>
      <c r="AZ399" s="169"/>
      <c r="BA399" s="169"/>
      <c r="BB399" s="169"/>
      <c r="BC399" s="169"/>
      <c r="BD399" s="169"/>
      <c r="BE399" s="169"/>
      <c r="BF399" s="169"/>
      <c r="BG399" s="169"/>
      <c r="BH399" s="169"/>
      <c r="BI399" s="169"/>
      <c r="BJ399" s="169"/>
      <c r="BK399" s="169"/>
      <c r="BL399" s="169"/>
      <c r="BM399" s="169"/>
      <c r="BN399" s="169"/>
      <c r="BO399" s="169"/>
      <c r="BP399" s="169"/>
      <c r="BQ399" s="169"/>
      <c r="BR399" s="169"/>
      <c r="BS399" s="169"/>
      <c r="BT399" s="169"/>
      <c r="BU399" s="169"/>
      <c r="BV399" s="169"/>
      <c r="BW399" s="169"/>
      <c r="BX399" s="169"/>
      <c r="BY399" s="169"/>
      <c r="BZ399" s="169"/>
      <c r="CA399" s="169"/>
      <c r="CB399" s="169"/>
      <c r="CC399" s="169"/>
      <c r="CD399" s="169"/>
      <c r="CE399" s="169"/>
      <c r="CF399" s="169"/>
      <c r="CG399" s="169"/>
      <c r="CH399" s="169"/>
      <c r="CI399" s="169"/>
      <c r="CJ399" s="169"/>
    </row>
    <row r="400" spans="2:88" s="168" customFormat="1">
      <c r="B400" s="512">
        <v>45713</v>
      </c>
      <c r="C400" s="497" t="s">
        <v>1008</v>
      </c>
      <c r="D400" s="505" t="s">
        <v>952</v>
      </c>
      <c r="E400" s="499"/>
      <c r="F400" s="500">
        <v>73.650000000000006</v>
      </c>
      <c r="G400" s="501" t="s">
        <v>230</v>
      </c>
      <c r="H400" s="502" t="s">
        <v>1007</v>
      </c>
      <c r="I400" s="503">
        <f t="shared" si="6"/>
        <v>11170.250000000013</v>
      </c>
      <c r="AJ400" s="169"/>
      <c r="AK400" s="169"/>
      <c r="AL400" s="169"/>
      <c r="AM400" s="169"/>
      <c r="AN400" s="169"/>
      <c r="AO400" s="169"/>
      <c r="AP400" s="169"/>
      <c r="AQ400" s="169"/>
      <c r="AR400" s="169"/>
      <c r="AS400" s="169"/>
      <c r="AT400" s="169"/>
      <c r="AU400" s="169"/>
      <c r="AV400" s="169"/>
      <c r="AW400" s="169"/>
      <c r="AX400" s="169"/>
      <c r="AY400" s="169"/>
      <c r="AZ400" s="169"/>
      <c r="BA400" s="169"/>
      <c r="BB400" s="169"/>
      <c r="BC400" s="169"/>
      <c r="BD400" s="169"/>
      <c r="BE400" s="169"/>
      <c r="BF400" s="169"/>
      <c r="BG400" s="169"/>
      <c r="BH400" s="169"/>
      <c r="BI400" s="169"/>
      <c r="BJ400" s="169"/>
      <c r="BK400" s="169"/>
      <c r="BL400" s="169"/>
      <c r="BM400" s="169"/>
      <c r="BN400" s="169"/>
      <c r="BO400" s="169"/>
      <c r="BP400" s="169"/>
      <c r="BQ400" s="169"/>
      <c r="BR400" s="169"/>
      <c r="BS400" s="169"/>
      <c r="BT400" s="169"/>
      <c r="BU400" s="169"/>
      <c r="BV400" s="169"/>
      <c r="BW400" s="169"/>
      <c r="BX400" s="169"/>
      <c r="BY400" s="169"/>
      <c r="BZ400" s="169"/>
      <c r="CA400" s="169"/>
      <c r="CB400" s="169"/>
      <c r="CC400" s="169"/>
      <c r="CD400" s="169"/>
      <c r="CE400" s="169"/>
      <c r="CF400" s="169"/>
      <c r="CG400" s="169"/>
      <c r="CH400" s="169"/>
      <c r="CI400" s="169"/>
      <c r="CJ400" s="169"/>
    </row>
    <row r="401" spans="2:88" s="168" customFormat="1">
      <c r="B401" s="512">
        <v>45713</v>
      </c>
      <c r="C401" s="507" t="s">
        <v>1008</v>
      </c>
      <c r="D401" s="505" t="s">
        <v>952</v>
      </c>
      <c r="E401" s="499"/>
      <c r="F401" s="500">
        <v>15.65</v>
      </c>
      <c r="G401" s="501" t="s">
        <v>274</v>
      </c>
      <c r="H401" s="502" t="s">
        <v>1007</v>
      </c>
      <c r="I401" s="503">
        <f t="shared" si="6"/>
        <v>11154.600000000013</v>
      </c>
      <c r="AJ401" s="169"/>
      <c r="AK401" s="169"/>
      <c r="AL401" s="169"/>
      <c r="AM401" s="169"/>
      <c r="AN401" s="169"/>
      <c r="AO401" s="169"/>
      <c r="AP401" s="169"/>
      <c r="AQ401" s="169"/>
      <c r="AR401" s="169"/>
      <c r="AS401" s="169"/>
      <c r="AT401" s="169"/>
      <c r="AU401" s="169"/>
      <c r="AV401" s="169"/>
      <c r="AW401" s="169"/>
      <c r="AX401" s="169"/>
      <c r="AY401" s="169"/>
      <c r="AZ401" s="169"/>
      <c r="BA401" s="169"/>
      <c r="BB401" s="169"/>
      <c r="BC401" s="169"/>
      <c r="BD401" s="169"/>
      <c r="BE401" s="169"/>
      <c r="BF401" s="169"/>
      <c r="BG401" s="169"/>
      <c r="BH401" s="169"/>
      <c r="BI401" s="169"/>
      <c r="BJ401" s="169"/>
      <c r="BK401" s="169"/>
      <c r="BL401" s="169"/>
      <c r="BM401" s="169"/>
      <c r="BN401" s="169"/>
      <c r="BO401" s="169"/>
      <c r="BP401" s="169"/>
      <c r="BQ401" s="169"/>
      <c r="BR401" s="169"/>
      <c r="BS401" s="169"/>
      <c r="BT401" s="169"/>
      <c r="BU401" s="169"/>
      <c r="BV401" s="169"/>
      <c r="BW401" s="169"/>
      <c r="BX401" s="169"/>
      <c r="BY401" s="169"/>
      <c r="BZ401" s="169"/>
      <c r="CA401" s="169"/>
      <c r="CB401" s="169"/>
      <c r="CC401" s="169"/>
      <c r="CD401" s="169"/>
      <c r="CE401" s="169"/>
      <c r="CF401" s="169"/>
      <c r="CG401" s="169"/>
      <c r="CH401" s="169"/>
      <c r="CI401" s="169"/>
      <c r="CJ401" s="169"/>
    </row>
    <row r="402" spans="2:88" s="168" customFormat="1">
      <c r="B402" s="512">
        <v>45713</v>
      </c>
      <c r="C402" s="497" t="s">
        <v>117</v>
      </c>
      <c r="D402" s="498" t="s">
        <v>961</v>
      </c>
      <c r="E402" s="499"/>
      <c r="F402" s="500">
        <f>2132.38-2129.09</f>
        <v>3.2899999999999636</v>
      </c>
      <c r="G402" s="501" t="s">
        <v>265</v>
      </c>
      <c r="H402" s="502"/>
      <c r="I402" s="503">
        <f t="shared" si="6"/>
        <v>11151.310000000012</v>
      </c>
      <c r="AJ402" s="169"/>
      <c r="AK402" s="169"/>
      <c r="AL402" s="169"/>
      <c r="AM402" s="169"/>
      <c r="AN402" s="169"/>
      <c r="AO402" s="169"/>
      <c r="AP402" s="169"/>
      <c r="AQ402" s="169"/>
      <c r="AR402" s="169"/>
      <c r="AS402" s="169"/>
      <c r="AT402" s="169"/>
      <c r="AU402" s="169"/>
      <c r="AV402" s="169"/>
      <c r="AW402" s="169"/>
      <c r="AX402" s="169"/>
      <c r="AY402" s="169"/>
      <c r="AZ402" s="169"/>
      <c r="BA402" s="169"/>
      <c r="BB402" s="169"/>
      <c r="BC402" s="169"/>
      <c r="BD402" s="169"/>
      <c r="BE402" s="169"/>
      <c r="BF402" s="169"/>
      <c r="BG402" s="169"/>
      <c r="BH402" s="169"/>
      <c r="BI402" s="169"/>
      <c r="BJ402" s="169"/>
      <c r="BK402" s="169"/>
      <c r="BL402" s="169"/>
      <c r="BM402" s="169"/>
      <c r="BN402" s="169"/>
      <c r="BO402" s="169"/>
      <c r="BP402" s="169"/>
      <c r="BQ402" s="169"/>
      <c r="BR402" s="169"/>
      <c r="BS402" s="169"/>
      <c r="BT402" s="169"/>
      <c r="BU402" s="169"/>
      <c r="BV402" s="169"/>
      <c r="BW402" s="169"/>
      <c r="BX402" s="169"/>
      <c r="BY402" s="169"/>
      <c r="BZ402" s="169"/>
      <c r="CA402" s="169"/>
      <c r="CB402" s="169"/>
      <c r="CC402" s="169"/>
      <c r="CD402" s="169"/>
      <c r="CE402" s="169"/>
      <c r="CF402" s="169"/>
      <c r="CG402" s="169"/>
      <c r="CH402" s="169"/>
      <c r="CI402" s="169"/>
      <c r="CJ402" s="169"/>
    </row>
    <row r="403" spans="2:88" s="168" customFormat="1">
      <c r="B403" s="512">
        <v>45713</v>
      </c>
      <c r="C403" s="507" t="s">
        <v>413</v>
      </c>
      <c r="D403" s="505" t="s">
        <v>414</v>
      </c>
      <c r="E403" s="499">
        <v>458.39</v>
      </c>
      <c r="F403" s="500"/>
      <c r="G403" s="501"/>
      <c r="H403" s="502"/>
      <c r="I403" s="503">
        <f t="shared" si="6"/>
        <v>11609.700000000012</v>
      </c>
      <c r="AJ403" s="169"/>
      <c r="AK403" s="169"/>
      <c r="AL403" s="169"/>
      <c r="AM403" s="169"/>
      <c r="AN403" s="169"/>
      <c r="AO403" s="169"/>
      <c r="AP403" s="169"/>
      <c r="AQ403" s="169"/>
      <c r="AR403" s="169"/>
      <c r="AS403" s="169"/>
      <c r="AT403" s="169"/>
      <c r="AU403" s="169"/>
      <c r="AV403" s="169"/>
      <c r="AW403" s="169"/>
      <c r="AX403" s="169"/>
      <c r="AY403" s="169"/>
      <c r="AZ403" s="169"/>
      <c r="BA403" s="169"/>
      <c r="BB403" s="169"/>
      <c r="BC403" s="169"/>
      <c r="BD403" s="169"/>
      <c r="BE403" s="169"/>
      <c r="BF403" s="169"/>
      <c r="BG403" s="169"/>
      <c r="BH403" s="169"/>
      <c r="BI403" s="169"/>
      <c r="BJ403" s="169"/>
      <c r="BK403" s="169"/>
      <c r="BL403" s="169"/>
      <c r="BM403" s="169"/>
      <c r="BN403" s="169"/>
      <c r="BO403" s="169"/>
      <c r="BP403" s="169"/>
      <c r="BQ403" s="169"/>
      <c r="BR403" s="169"/>
      <c r="BS403" s="169"/>
      <c r="BT403" s="169"/>
      <c r="BU403" s="169"/>
      <c r="BV403" s="169"/>
      <c r="BW403" s="169"/>
      <c r="BX403" s="169"/>
      <c r="BY403" s="169"/>
      <c r="BZ403" s="169"/>
      <c r="CA403" s="169"/>
      <c r="CB403" s="169"/>
      <c r="CC403" s="169"/>
      <c r="CD403" s="169"/>
      <c r="CE403" s="169"/>
      <c r="CF403" s="169"/>
      <c r="CG403" s="169"/>
      <c r="CH403" s="169"/>
      <c r="CI403" s="169"/>
      <c r="CJ403" s="169"/>
    </row>
    <row r="404" spans="2:88" s="168" customFormat="1">
      <c r="B404" s="512">
        <v>45713</v>
      </c>
      <c r="C404" s="507" t="s">
        <v>283</v>
      </c>
      <c r="D404" s="505" t="s">
        <v>307</v>
      </c>
      <c r="E404" s="499">
        <v>38</v>
      </c>
      <c r="F404" s="500"/>
      <c r="G404" s="501" t="s">
        <v>190</v>
      </c>
      <c r="H404" s="502"/>
      <c r="I404" s="503">
        <f t="shared" si="6"/>
        <v>11647.700000000012</v>
      </c>
      <c r="AJ404" s="169"/>
      <c r="AK404" s="169"/>
      <c r="AL404" s="169"/>
      <c r="AM404" s="169"/>
      <c r="AN404" s="169"/>
      <c r="AO404" s="169"/>
      <c r="AP404" s="169"/>
      <c r="AQ404" s="169"/>
      <c r="AR404" s="169"/>
      <c r="AS404" s="169"/>
      <c r="AT404" s="169"/>
      <c r="AU404" s="169"/>
      <c r="AV404" s="169"/>
      <c r="AW404" s="169"/>
      <c r="AX404" s="169"/>
      <c r="AY404" s="169"/>
      <c r="AZ404" s="169"/>
      <c r="BA404" s="169"/>
      <c r="BB404" s="169"/>
      <c r="BC404" s="169"/>
      <c r="BD404" s="169"/>
      <c r="BE404" s="169"/>
      <c r="BF404" s="169"/>
      <c r="BG404" s="169"/>
      <c r="BH404" s="169"/>
      <c r="BI404" s="169"/>
      <c r="BJ404" s="169"/>
      <c r="BK404" s="169"/>
      <c r="BL404" s="169"/>
      <c r="BM404" s="169"/>
      <c r="BN404" s="169"/>
      <c r="BO404" s="169"/>
      <c r="BP404" s="169"/>
      <c r="BQ404" s="169"/>
      <c r="BR404" s="169"/>
      <c r="BS404" s="169"/>
      <c r="BT404" s="169"/>
      <c r="BU404" s="169"/>
      <c r="BV404" s="169"/>
      <c r="BW404" s="169"/>
      <c r="BX404" s="169"/>
      <c r="BY404" s="169"/>
      <c r="BZ404" s="169"/>
      <c r="CA404" s="169"/>
      <c r="CB404" s="169"/>
      <c r="CC404" s="169"/>
      <c r="CD404" s="169"/>
      <c r="CE404" s="169"/>
      <c r="CF404" s="169"/>
      <c r="CG404" s="169"/>
      <c r="CH404" s="169"/>
      <c r="CI404" s="169"/>
      <c r="CJ404" s="169"/>
    </row>
    <row r="405" spans="2:88">
      <c r="B405" s="512">
        <v>45713</v>
      </c>
      <c r="C405" s="507" t="s">
        <v>283</v>
      </c>
      <c r="D405" s="505" t="s">
        <v>307</v>
      </c>
      <c r="E405" s="499">
        <v>15</v>
      </c>
      <c r="F405" s="500"/>
      <c r="G405" s="501" t="s">
        <v>190</v>
      </c>
      <c r="I405" s="503">
        <f t="shared" si="6"/>
        <v>11662.700000000012</v>
      </c>
    </row>
    <row r="406" spans="2:88" s="168" customFormat="1">
      <c r="B406" s="512">
        <v>45714</v>
      </c>
      <c r="C406" s="497" t="s">
        <v>1009</v>
      </c>
      <c r="D406" s="498" t="s">
        <v>1010</v>
      </c>
      <c r="E406" s="499"/>
      <c r="F406" s="500">
        <v>1107</v>
      </c>
      <c r="G406" s="501" t="s">
        <v>194</v>
      </c>
      <c r="H406" s="502"/>
      <c r="I406" s="503">
        <f t="shared" si="6"/>
        <v>10555.700000000012</v>
      </c>
      <c r="AJ406" s="169"/>
      <c r="AK406" s="169"/>
      <c r="AL406" s="169"/>
      <c r="AM406" s="169"/>
      <c r="AN406" s="169"/>
      <c r="AO406" s="169"/>
      <c r="AP406" s="169"/>
      <c r="AQ406" s="169"/>
      <c r="AR406" s="169"/>
      <c r="AS406" s="169"/>
      <c r="AT406" s="169"/>
      <c r="AU406" s="169"/>
      <c r="AV406" s="169"/>
      <c r="AW406" s="169"/>
      <c r="AX406" s="169"/>
      <c r="AY406" s="169"/>
      <c r="AZ406" s="169"/>
      <c r="BA406" s="169"/>
      <c r="BB406" s="169"/>
      <c r="BC406" s="169"/>
      <c r="BD406" s="169"/>
      <c r="BE406" s="169"/>
      <c r="BF406" s="169"/>
      <c r="BG406" s="169"/>
      <c r="BH406" s="169"/>
      <c r="BI406" s="169"/>
      <c r="BJ406" s="169"/>
      <c r="BK406" s="169"/>
      <c r="BL406" s="169"/>
      <c r="BM406" s="169"/>
      <c r="BN406" s="169"/>
      <c r="BO406" s="169"/>
      <c r="BP406" s="169"/>
      <c r="BQ406" s="169"/>
      <c r="BR406" s="169"/>
      <c r="BS406" s="169"/>
      <c r="BT406" s="169"/>
      <c r="BU406" s="169"/>
      <c r="BV406" s="169"/>
      <c r="BW406" s="169"/>
      <c r="BX406" s="169"/>
      <c r="BY406" s="169"/>
      <c r="BZ406" s="169"/>
      <c r="CA406" s="169"/>
      <c r="CB406" s="169"/>
      <c r="CC406" s="169"/>
      <c r="CD406" s="169"/>
      <c r="CE406" s="169"/>
      <c r="CF406" s="169"/>
      <c r="CG406" s="169"/>
      <c r="CH406" s="169"/>
      <c r="CI406" s="169"/>
      <c r="CJ406" s="169"/>
    </row>
    <row r="407" spans="2:88" s="168" customFormat="1">
      <c r="B407" s="512">
        <v>45714</v>
      </c>
      <c r="C407" s="497" t="s">
        <v>1009</v>
      </c>
      <c r="D407" s="498" t="s">
        <v>1010</v>
      </c>
      <c r="E407" s="499"/>
      <c r="F407" s="500">
        <v>243.34</v>
      </c>
      <c r="G407" s="501" t="s">
        <v>274</v>
      </c>
      <c r="H407" s="502"/>
      <c r="I407" s="503">
        <f t="shared" si="6"/>
        <v>10312.360000000011</v>
      </c>
      <c r="AJ407" s="169"/>
      <c r="AK407" s="169"/>
      <c r="AL407" s="169"/>
      <c r="AM407" s="169"/>
      <c r="AN407" s="169"/>
      <c r="AO407" s="169"/>
      <c r="AP407" s="169"/>
      <c r="AQ407" s="169"/>
      <c r="AR407" s="169"/>
      <c r="AS407" s="169"/>
      <c r="AT407" s="169"/>
      <c r="AU407" s="169"/>
      <c r="AV407" s="169"/>
      <c r="AW407" s="169"/>
      <c r="AX407" s="169"/>
      <c r="AY407" s="169"/>
      <c r="AZ407" s="169"/>
      <c r="BA407" s="169"/>
      <c r="BB407" s="169"/>
      <c r="BC407" s="169"/>
      <c r="BD407" s="169"/>
      <c r="BE407" s="169"/>
      <c r="BF407" s="169"/>
      <c r="BG407" s="169"/>
      <c r="BH407" s="169"/>
      <c r="BI407" s="169"/>
      <c r="BJ407" s="169"/>
      <c r="BK407" s="169"/>
      <c r="BL407" s="169"/>
      <c r="BM407" s="169"/>
      <c r="BN407" s="169"/>
      <c r="BO407" s="169"/>
      <c r="BP407" s="169"/>
      <c r="BQ407" s="169"/>
      <c r="BR407" s="169"/>
      <c r="BS407" s="169"/>
      <c r="BT407" s="169"/>
      <c r="BU407" s="169"/>
      <c r="BV407" s="169"/>
      <c r="BW407" s="169"/>
      <c r="BX407" s="169"/>
      <c r="BY407" s="169"/>
      <c r="BZ407" s="169"/>
      <c r="CA407" s="169"/>
      <c r="CB407" s="169"/>
      <c r="CC407" s="169"/>
      <c r="CD407" s="169"/>
      <c r="CE407" s="169"/>
      <c r="CF407" s="169"/>
      <c r="CG407" s="169"/>
      <c r="CH407" s="169"/>
      <c r="CI407" s="169"/>
      <c r="CJ407" s="169"/>
    </row>
    <row r="408" spans="2:88" s="168" customFormat="1">
      <c r="B408" s="512">
        <v>45714</v>
      </c>
      <c r="C408" s="497" t="s">
        <v>117</v>
      </c>
      <c r="D408" s="498" t="s">
        <v>903</v>
      </c>
      <c r="E408" s="499"/>
      <c r="F408" s="500">
        <v>1</v>
      </c>
      <c r="G408" s="501" t="s">
        <v>272</v>
      </c>
      <c r="H408" s="502"/>
      <c r="I408" s="503">
        <f t="shared" si="6"/>
        <v>10311.360000000011</v>
      </c>
      <c r="AJ408" s="169"/>
      <c r="AK408" s="169"/>
      <c r="AL408" s="169"/>
      <c r="AM408" s="169"/>
      <c r="AN408" s="169"/>
      <c r="AO408" s="169"/>
      <c r="AP408" s="169"/>
      <c r="AQ408" s="169"/>
      <c r="AR408" s="169"/>
      <c r="AS408" s="169"/>
      <c r="AT408" s="169"/>
      <c r="AU408" s="169"/>
      <c r="AV408" s="169"/>
      <c r="AW408" s="169"/>
      <c r="AX408" s="169"/>
      <c r="AY408" s="169"/>
      <c r="AZ408" s="169"/>
      <c r="BA408" s="169"/>
      <c r="BB408" s="169"/>
      <c r="BC408" s="169"/>
      <c r="BD408" s="169"/>
      <c r="BE408" s="169"/>
      <c r="BF408" s="169"/>
      <c r="BG408" s="169"/>
      <c r="BH408" s="169"/>
      <c r="BI408" s="169"/>
      <c r="BJ408" s="169"/>
      <c r="BK408" s="169"/>
      <c r="BL408" s="169"/>
      <c r="BM408" s="169"/>
      <c r="BN408" s="169"/>
      <c r="BO408" s="169"/>
      <c r="BP408" s="169"/>
      <c r="BQ408" s="169"/>
      <c r="BR408" s="169"/>
      <c r="BS408" s="169"/>
      <c r="BT408" s="169"/>
      <c r="BU408" s="169"/>
      <c r="BV408" s="169"/>
      <c r="BW408" s="169"/>
      <c r="BX408" s="169"/>
      <c r="BY408" s="169"/>
      <c r="BZ408" s="169"/>
      <c r="CA408" s="169"/>
      <c r="CB408" s="169"/>
      <c r="CC408" s="169"/>
      <c r="CD408" s="169"/>
      <c r="CE408" s="169"/>
      <c r="CF408" s="169"/>
      <c r="CG408" s="169"/>
      <c r="CH408" s="169"/>
      <c r="CI408" s="169"/>
      <c r="CJ408" s="169"/>
    </row>
    <row r="409" spans="2:88" s="168" customFormat="1">
      <c r="B409" s="512">
        <v>45714</v>
      </c>
      <c r="C409" s="507" t="s">
        <v>283</v>
      </c>
      <c r="D409" s="505" t="s">
        <v>307</v>
      </c>
      <c r="E409" s="499">
        <v>26.5</v>
      </c>
      <c r="F409" s="500"/>
      <c r="G409" s="501" t="s">
        <v>190</v>
      </c>
      <c r="H409" s="502"/>
      <c r="I409" s="503">
        <f t="shared" si="6"/>
        <v>10337.860000000011</v>
      </c>
      <c r="AJ409" s="169"/>
      <c r="AK409" s="169"/>
      <c r="AL409" s="169"/>
      <c r="AM409" s="169"/>
      <c r="AN409" s="169"/>
      <c r="AO409" s="169"/>
      <c r="AP409" s="169"/>
      <c r="AQ409" s="169"/>
      <c r="AR409" s="169"/>
      <c r="AS409" s="169"/>
      <c r="AT409" s="169"/>
      <c r="AU409" s="169"/>
      <c r="AV409" s="169"/>
      <c r="AW409" s="169"/>
      <c r="AX409" s="169"/>
      <c r="AY409" s="169"/>
      <c r="AZ409" s="169"/>
      <c r="BA409" s="169"/>
      <c r="BB409" s="169"/>
      <c r="BC409" s="169"/>
      <c r="BD409" s="169"/>
      <c r="BE409" s="169"/>
      <c r="BF409" s="169"/>
      <c r="BG409" s="169"/>
      <c r="BH409" s="169"/>
      <c r="BI409" s="169"/>
      <c r="BJ409" s="169"/>
      <c r="BK409" s="169"/>
      <c r="BL409" s="169"/>
      <c r="BM409" s="169"/>
      <c r="BN409" s="169"/>
      <c r="BO409" s="169"/>
      <c r="BP409" s="169"/>
      <c r="BQ409" s="169"/>
      <c r="BR409" s="169"/>
      <c r="BS409" s="169"/>
      <c r="BT409" s="169"/>
      <c r="BU409" s="169"/>
      <c r="BV409" s="169"/>
      <c r="BW409" s="169"/>
      <c r="BX409" s="169"/>
      <c r="BY409" s="169"/>
      <c r="BZ409" s="169"/>
      <c r="CA409" s="169"/>
      <c r="CB409" s="169"/>
      <c r="CC409" s="169"/>
      <c r="CD409" s="169"/>
      <c r="CE409" s="169"/>
      <c r="CF409" s="169"/>
      <c r="CG409" s="169"/>
      <c r="CH409" s="169"/>
      <c r="CI409" s="169"/>
      <c r="CJ409" s="169"/>
    </row>
    <row r="410" spans="2:88" s="168" customFormat="1">
      <c r="B410" s="512">
        <v>45714</v>
      </c>
      <c r="C410" s="507" t="s">
        <v>283</v>
      </c>
      <c r="D410" s="505" t="s">
        <v>307</v>
      </c>
      <c r="E410" s="499">
        <v>201</v>
      </c>
      <c r="F410" s="500"/>
      <c r="G410" s="501" t="s">
        <v>190</v>
      </c>
      <c r="H410" s="502"/>
      <c r="I410" s="503">
        <f t="shared" si="6"/>
        <v>10538.860000000011</v>
      </c>
      <c r="AJ410" s="169"/>
      <c r="AK410" s="169"/>
      <c r="AL410" s="169"/>
      <c r="AM410" s="169"/>
      <c r="AN410" s="169"/>
      <c r="AO410" s="169"/>
      <c r="AP410" s="169"/>
      <c r="AQ410" s="169"/>
      <c r="AR410" s="169"/>
      <c r="AS410" s="169"/>
      <c r="AT410" s="169"/>
      <c r="AU410" s="169"/>
      <c r="AV410" s="169"/>
      <c r="AW410" s="169"/>
      <c r="AX410" s="169"/>
      <c r="AY410" s="169"/>
      <c r="AZ410" s="169"/>
      <c r="BA410" s="169"/>
      <c r="BB410" s="169"/>
      <c r="BC410" s="169"/>
      <c r="BD410" s="169"/>
      <c r="BE410" s="169"/>
      <c r="BF410" s="169"/>
      <c r="BG410" s="169"/>
      <c r="BH410" s="169"/>
      <c r="BI410" s="169"/>
      <c r="BJ410" s="169"/>
      <c r="BK410" s="169"/>
      <c r="BL410" s="169"/>
      <c r="BM410" s="169"/>
      <c r="BN410" s="169"/>
      <c r="BO410" s="169"/>
      <c r="BP410" s="169"/>
      <c r="BQ410" s="169"/>
      <c r="BR410" s="169"/>
      <c r="BS410" s="169"/>
      <c r="BT410" s="169"/>
      <c r="BU410" s="169"/>
      <c r="BV410" s="169"/>
      <c r="BW410" s="169"/>
      <c r="BX410" s="169"/>
      <c r="BY410" s="169"/>
      <c r="BZ410" s="169"/>
      <c r="CA410" s="169"/>
      <c r="CB410" s="169"/>
      <c r="CC410" s="169"/>
      <c r="CD410" s="169"/>
      <c r="CE410" s="169"/>
      <c r="CF410" s="169"/>
      <c r="CG410" s="169"/>
      <c r="CH410" s="169"/>
      <c r="CI410" s="169"/>
      <c r="CJ410" s="169"/>
    </row>
    <row r="411" spans="2:88" s="168" customFormat="1">
      <c r="B411" s="512">
        <v>45715</v>
      </c>
      <c r="C411" s="497" t="s">
        <v>117</v>
      </c>
      <c r="D411" s="498" t="s">
        <v>946</v>
      </c>
      <c r="E411" s="499"/>
      <c r="F411" s="500">
        <v>453.48</v>
      </c>
      <c r="G411" s="501" t="s">
        <v>232</v>
      </c>
      <c r="H411" s="502" t="s">
        <v>944</v>
      </c>
      <c r="I411" s="503">
        <f t="shared" si="6"/>
        <v>10085.380000000012</v>
      </c>
      <c r="AJ411" s="169"/>
      <c r="AK411" s="169"/>
      <c r="AL411" s="169"/>
      <c r="AM411" s="169"/>
      <c r="AN411" s="169"/>
      <c r="AO411" s="169"/>
      <c r="AP411" s="169"/>
      <c r="AQ411" s="169"/>
      <c r="AR411" s="169"/>
      <c r="AS411" s="169"/>
      <c r="AT411" s="169"/>
      <c r="AU411" s="169"/>
      <c r="AV411" s="169"/>
      <c r="AW411" s="169"/>
      <c r="AX411" s="169"/>
      <c r="AY411" s="169"/>
      <c r="AZ411" s="169"/>
      <c r="BA411" s="169"/>
      <c r="BB411" s="169"/>
      <c r="BC411" s="169"/>
      <c r="BD411" s="169"/>
      <c r="BE411" s="169"/>
      <c r="BF411" s="169"/>
      <c r="BG411" s="169"/>
      <c r="BH411" s="169"/>
      <c r="BI411" s="169"/>
      <c r="BJ411" s="169"/>
      <c r="BK411" s="169"/>
      <c r="BL411" s="169"/>
      <c r="BM411" s="169"/>
      <c r="BN411" s="169"/>
      <c r="BO411" s="169"/>
      <c r="BP411" s="169"/>
      <c r="BQ411" s="169"/>
      <c r="BR411" s="169"/>
      <c r="BS411" s="169"/>
      <c r="BT411" s="169"/>
      <c r="BU411" s="169"/>
      <c r="BV411" s="169"/>
      <c r="BW411" s="169"/>
      <c r="BX411" s="169"/>
      <c r="BY411" s="169"/>
      <c r="BZ411" s="169"/>
      <c r="CA411" s="169"/>
      <c r="CB411" s="169"/>
      <c r="CC411" s="169"/>
      <c r="CD411" s="169"/>
      <c r="CE411" s="169"/>
      <c r="CF411" s="169"/>
      <c r="CG411" s="169"/>
      <c r="CH411" s="169"/>
      <c r="CI411" s="169"/>
      <c r="CJ411" s="169"/>
    </row>
    <row r="412" spans="2:88" s="168" customFormat="1">
      <c r="B412" s="512">
        <v>45715</v>
      </c>
      <c r="C412" s="497" t="s">
        <v>1011</v>
      </c>
      <c r="D412" s="498" t="s">
        <v>545</v>
      </c>
      <c r="E412" s="499"/>
      <c r="F412" s="500">
        <v>9.82</v>
      </c>
      <c r="G412" s="501" t="s">
        <v>202</v>
      </c>
      <c r="H412" s="502" t="s">
        <v>944</v>
      </c>
      <c r="I412" s="503">
        <f t="shared" si="6"/>
        <v>10075.560000000012</v>
      </c>
      <c r="AJ412" s="169"/>
      <c r="AK412" s="169"/>
      <c r="AL412" s="169"/>
      <c r="AM412" s="169"/>
      <c r="AN412" s="169"/>
      <c r="AO412" s="169"/>
      <c r="AP412" s="169"/>
      <c r="AQ412" s="169"/>
      <c r="AR412" s="169"/>
      <c r="AS412" s="169"/>
      <c r="AT412" s="169"/>
      <c r="AU412" s="169"/>
      <c r="AV412" s="169"/>
      <c r="AW412" s="169"/>
      <c r="AX412" s="169"/>
      <c r="AY412" s="169"/>
      <c r="AZ412" s="169"/>
      <c r="BA412" s="169"/>
      <c r="BB412" s="169"/>
      <c r="BC412" s="169"/>
      <c r="BD412" s="169"/>
      <c r="BE412" s="169"/>
      <c r="BF412" s="169"/>
      <c r="BG412" s="169"/>
      <c r="BH412" s="169"/>
      <c r="BI412" s="169"/>
      <c r="BJ412" s="169"/>
      <c r="BK412" s="169"/>
      <c r="BL412" s="169"/>
      <c r="BM412" s="169"/>
      <c r="BN412" s="169"/>
      <c r="BO412" s="169"/>
      <c r="BP412" s="169"/>
      <c r="BQ412" s="169"/>
      <c r="BR412" s="169"/>
      <c r="BS412" s="169"/>
      <c r="BT412" s="169"/>
      <c r="BU412" s="169"/>
      <c r="BV412" s="169"/>
      <c r="BW412" s="169"/>
      <c r="BX412" s="169"/>
      <c r="BY412" s="169"/>
      <c r="BZ412" s="169"/>
      <c r="CA412" s="169"/>
      <c r="CB412" s="169"/>
      <c r="CC412" s="169"/>
      <c r="CD412" s="169"/>
      <c r="CE412" s="169"/>
      <c r="CF412" s="169"/>
      <c r="CG412" s="169"/>
      <c r="CH412" s="169"/>
      <c r="CI412" s="169"/>
      <c r="CJ412" s="169"/>
    </row>
    <row r="413" spans="2:88" s="168" customFormat="1">
      <c r="B413" s="512">
        <v>45715</v>
      </c>
      <c r="C413" s="497" t="s">
        <v>1011</v>
      </c>
      <c r="D413" s="498" t="s">
        <v>545</v>
      </c>
      <c r="E413" s="499"/>
      <c r="F413" s="500">
        <v>2.16</v>
      </c>
      <c r="G413" s="501" t="s">
        <v>274</v>
      </c>
      <c r="H413" s="502" t="s">
        <v>944</v>
      </c>
      <c r="I413" s="503">
        <f t="shared" si="6"/>
        <v>10073.400000000012</v>
      </c>
      <c r="AJ413" s="169"/>
      <c r="AK413" s="169"/>
      <c r="AL413" s="169"/>
      <c r="AM413" s="169"/>
      <c r="AN413" s="169"/>
      <c r="AO413" s="169"/>
      <c r="AP413" s="169"/>
      <c r="AQ413" s="169"/>
      <c r="AR413" s="169"/>
      <c r="AS413" s="169"/>
      <c r="AT413" s="169"/>
      <c r="AU413" s="169"/>
      <c r="AV413" s="169"/>
      <c r="AW413" s="169"/>
      <c r="AX413" s="169"/>
      <c r="AY413" s="169"/>
      <c r="AZ413" s="169"/>
      <c r="BA413" s="169"/>
      <c r="BB413" s="169"/>
      <c r="BC413" s="169"/>
      <c r="BD413" s="169"/>
      <c r="BE413" s="169"/>
      <c r="BF413" s="169"/>
      <c r="BG413" s="169"/>
      <c r="BH413" s="169"/>
      <c r="BI413" s="169"/>
      <c r="BJ413" s="169"/>
      <c r="BK413" s="169"/>
      <c r="BL413" s="169"/>
      <c r="BM413" s="169"/>
      <c r="BN413" s="169"/>
      <c r="BO413" s="169"/>
      <c r="BP413" s="169"/>
      <c r="BQ413" s="169"/>
      <c r="BR413" s="169"/>
      <c r="BS413" s="169"/>
      <c r="BT413" s="169"/>
      <c r="BU413" s="169"/>
      <c r="BV413" s="169"/>
      <c r="BW413" s="169"/>
      <c r="BX413" s="169"/>
      <c r="BY413" s="169"/>
      <c r="BZ413" s="169"/>
      <c r="CA413" s="169"/>
      <c r="CB413" s="169"/>
      <c r="CC413" s="169"/>
      <c r="CD413" s="169"/>
      <c r="CE413" s="169"/>
      <c r="CF413" s="169"/>
      <c r="CG413" s="169"/>
      <c r="CH413" s="169"/>
      <c r="CI413" s="169"/>
      <c r="CJ413" s="169"/>
    </row>
    <row r="414" spans="2:88" s="168" customFormat="1">
      <c r="B414" s="512">
        <v>45715</v>
      </c>
      <c r="C414" s="497" t="s">
        <v>1012</v>
      </c>
      <c r="D414" s="498" t="s">
        <v>1013</v>
      </c>
      <c r="E414" s="499"/>
      <c r="F414" s="500">
        <v>359.84</v>
      </c>
      <c r="G414" s="501" t="s">
        <v>202</v>
      </c>
      <c r="H414" s="502" t="s">
        <v>944</v>
      </c>
      <c r="I414" s="503">
        <f t="shared" si="6"/>
        <v>9713.5600000000122</v>
      </c>
      <c r="AJ414" s="169"/>
      <c r="AK414" s="169"/>
      <c r="AL414" s="169"/>
      <c r="AM414" s="169"/>
      <c r="AN414" s="169"/>
      <c r="AO414" s="169"/>
      <c r="AP414" s="169"/>
      <c r="AQ414" s="169"/>
      <c r="AR414" s="169"/>
      <c r="AS414" s="169"/>
      <c r="AT414" s="169"/>
      <c r="AU414" s="169"/>
      <c r="AV414" s="169"/>
      <c r="AW414" s="169"/>
      <c r="AX414" s="169"/>
      <c r="AY414" s="169"/>
      <c r="AZ414" s="169"/>
      <c r="BA414" s="169"/>
      <c r="BB414" s="169"/>
      <c r="BC414" s="169"/>
      <c r="BD414" s="169"/>
      <c r="BE414" s="169"/>
      <c r="BF414" s="169"/>
      <c r="BG414" s="169"/>
      <c r="BH414" s="169"/>
      <c r="BI414" s="169"/>
      <c r="BJ414" s="169"/>
      <c r="BK414" s="169"/>
      <c r="BL414" s="169"/>
      <c r="BM414" s="169"/>
      <c r="BN414" s="169"/>
      <c r="BO414" s="169"/>
      <c r="BP414" s="169"/>
      <c r="BQ414" s="169"/>
      <c r="BR414" s="169"/>
      <c r="BS414" s="169"/>
      <c r="BT414" s="169"/>
      <c r="BU414" s="169"/>
      <c r="BV414" s="169"/>
      <c r="BW414" s="169"/>
      <c r="BX414" s="169"/>
      <c r="BY414" s="169"/>
      <c r="BZ414" s="169"/>
      <c r="CA414" s="169"/>
      <c r="CB414" s="169"/>
      <c r="CC414" s="169"/>
      <c r="CD414" s="169"/>
      <c r="CE414" s="169"/>
      <c r="CF414" s="169"/>
      <c r="CG414" s="169"/>
      <c r="CH414" s="169"/>
      <c r="CI414" s="169"/>
      <c r="CJ414" s="169"/>
    </row>
    <row r="415" spans="2:88" s="168" customFormat="1">
      <c r="B415" s="512">
        <v>45715</v>
      </c>
      <c r="C415" s="497" t="s">
        <v>1012</v>
      </c>
      <c r="D415" s="498" t="s">
        <v>1013</v>
      </c>
      <c r="E415" s="499"/>
      <c r="F415" s="500">
        <v>79.16</v>
      </c>
      <c r="G415" s="501" t="s">
        <v>274</v>
      </c>
      <c r="H415" s="502" t="s">
        <v>944</v>
      </c>
      <c r="I415" s="503">
        <f t="shared" si="6"/>
        <v>9634.4000000000124</v>
      </c>
      <c r="AJ415" s="169"/>
      <c r="AK415" s="169"/>
      <c r="AL415" s="169"/>
      <c r="AM415" s="169"/>
      <c r="AN415" s="169"/>
      <c r="AO415" s="169"/>
      <c r="AP415" s="169"/>
      <c r="AQ415" s="169"/>
      <c r="AR415" s="169"/>
      <c r="AS415" s="169"/>
      <c r="AT415" s="169"/>
      <c r="AU415" s="169"/>
      <c r="AV415" s="169"/>
      <c r="AW415" s="169"/>
      <c r="AX415" s="169"/>
      <c r="AY415" s="169"/>
      <c r="AZ415" s="169"/>
      <c r="BA415" s="169"/>
      <c r="BB415" s="169"/>
      <c r="BC415" s="169"/>
      <c r="BD415" s="169"/>
      <c r="BE415" s="169"/>
      <c r="BF415" s="169"/>
      <c r="BG415" s="169"/>
      <c r="BH415" s="169"/>
      <c r="BI415" s="169"/>
      <c r="BJ415" s="169"/>
      <c r="BK415" s="169"/>
      <c r="BL415" s="169"/>
      <c r="BM415" s="169"/>
      <c r="BN415" s="169"/>
      <c r="BO415" s="169"/>
      <c r="BP415" s="169"/>
      <c r="BQ415" s="169"/>
      <c r="BR415" s="169"/>
      <c r="BS415" s="169"/>
      <c r="BT415" s="169"/>
      <c r="BU415" s="169"/>
      <c r="BV415" s="169"/>
      <c r="BW415" s="169"/>
      <c r="BX415" s="169"/>
      <c r="BY415" s="169"/>
      <c r="BZ415" s="169"/>
      <c r="CA415" s="169"/>
      <c r="CB415" s="169"/>
      <c r="CC415" s="169"/>
      <c r="CD415" s="169"/>
      <c r="CE415" s="169"/>
      <c r="CF415" s="169"/>
      <c r="CG415" s="169"/>
      <c r="CH415" s="169"/>
      <c r="CI415" s="169"/>
      <c r="CJ415" s="169"/>
    </row>
    <row r="416" spans="2:88" s="168" customFormat="1">
      <c r="B416" s="512">
        <v>45715</v>
      </c>
      <c r="C416" s="497" t="s">
        <v>117</v>
      </c>
      <c r="D416" s="498" t="s">
        <v>535</v>
      </c>
      <c r="E416" s="499"/>
      <c r="F416" s="500">
        <v>992.8</v>
      </c>
      <c r="G416" s="501" t="s">
        <v>197</v>
      </c>
      <c r="H416" s="502" t="s">
        <v>944</v>
      </c>
      <c r="I416" s="503">
        <f t="shared" si="6"/>
        <v>8641.6000000000131</v>
      </c>
      <c r="AJ416" s="169"/>
      <c r="AK416" s="169"/>
      <c r="AL416" s="169"/>
      <c r="AM416" s="169"/>
      <c r="AN416" s="169"/>
      <c r="AO416" s="169"/>
      <c r="AP416" s="169"/>
      <c r="AQ416" s="169"/>
      <c r="AR416" s="169"/>
      <c r="AS416" s="169"/>
      <c r="AT416" s="169"/>
      <c r="AU416" s="169"/>
      <c r="AV416" s="169"/>
      <c r="AW416" s="169"/>
      <c r="AX416" s="169"/>
      <c r="AY416" s="169"/>
      <c r="AZ416" s="169"/>
      <c r="BA416" s="169"/>
      <c r="BB416" s="169"/>
      <c r="BC416" s="169"/>
      <c r="BD416" s="169"/>
      <c r="BE416" s="169"/>
      <c r="BF416" s="169"/>
      <c r="BG416" s="169"/>
      <c r="BH416" s="169"/>
      <c r="BI416" s="169"/>
      <c r="BJ416" s="169"/>
      <c r="BK416" s="169"/>
      <c r="BL416" s="169"/>
      <c r="BM416" s="169"/>
      <c r="BN416" s="169"/>
      <c r="BO416" s="169"/>
      <c r="BP416" s="169"/>
      <c r="BQ416" s="169"/>
      <c r="BR416" s="169"/>
      <c r="BS416" s="169"/>
      <c r="BT416" s="169"/>
      <c r="BU416" s="169"/>
      <c r="BV416" s="169"/>
      <c r="BW416" s="169"/>
      <c r="BX416" s="169"/>
      <c r="BY416" s="169"/>
      <c r="BZ416" s="169"/>
      <c r="CA416" s="169"/>
      <c r="CB416" s="169"/>
      <c r="CC416" s="169"/>
      <c r="CD416" s="169"/>
      <c r="CE416" s="169"/>
      <c r="CF416" s="169"/>
      <c r="CG416" s="169"/>
      <c r="CH416" s="169"/>
      <c r="CI416" s="169"/>
      <c r="CJ416" s="169"/>
    </row>
    <row r="417" spans="2:88" s="168" customFormat="1">
      <c r="B417" s="512">
        <v>45715</v>
      </c>
      <c r="C417" s="497" t="s">
        <v>117</v>
      </c>
      <c r="D417" s="498" t="s">
        <v>903</v>
      </c>
      <c r="E417" s="499"/>
      <c r="F417" s="500">
        <v>1.5</v>
      </c>
      <c r="G417" s="501" t="s">
        <v>272</v>
      </c>
      <c r="H417" s="502" t="s">
        <v>944</v>
      </c>
      <c r="I417" s="503">
        <f t="shared" si="6"/>
        <v>8640.1000000000131</v>
      </c>
      <c r="AJ417" s="169"/>
      <c r="AK417" s="169"/>
      <c r="AL417" s="169"/>
      <c r="AM417" s="169"/>
      <c r="AN417" s="169"/>
      <c r="AO417" s="169"/>
      <c r="AP417" s="169"/>
      <c r="AQ417" s="169"/>
      <c r="AR417" s="169"/>
      <c r="AS417" s="169"/>
      <c r="AT417" s="169"/>
      <c r="AU417" s="169"/>
      <c r="AV417" s="169"/>
      <c r="AW417" s="169"/>
      <c r="AX417" s="169"/>
      <c r="AY417" s="169"/>
      <c r="AZ417" s="169"/>
      <c r="BA417" s="169"/>
      <c r="BB417" s="169"/>
      <c r="BC417" s="169"/>
      <c r="BD417" s="169"/>
      <c r="BE417" s="169"/>
      <c r="BF417" s="169"/>
      <c r="BG417" s="169"/>
      <c r="BH417" s="169"/>
      <c r="BI417" s="169"/>
      <c r="BJ417" s="169"/>
      <c r="BK417" s="169"/>
      <c r="BL417" s="169"/>
      <c r="BM417" s="169"/>
      <c r="BN417" s="169"/>
      <c r="BO417" s="169"/>
      <c r="BP417" s="169"/>
      <c r="BQ417" s="169"/>
      <c r="BR417" s="169"/>
      <c r="BS417" s="169"/>
      <c r="BT417" s="169"/>
      <c r="BU417" s="169"/>
      <c r="BV417" s="169"/>
      <c r="BW417" s="169"/>
      <c r="BX417" s="169"/>
      <c r="BY417" s="169"/>
      <c r="BZ417" s="169"/>
      <c r="CA417" s="169"/>
      <c r="CB417" s="169"/>
      <c r="CC417" s="169"/>
      <c r="CD417" s="169"/>
      <c r="CE417" s="169"/>
      <c r="CF417" s="169"/>
      <c r="CG417" s="169"/>
      <c r="CH417" s="169"/>
      <c r="CI417" s="169"/>
      <c r="CJ417" s="169"/>
    </row>
    <row r="418" spans="2:88" s="168" customFormat="1">
      <c r="B418" s="512">
        <v>45715</v>
      </c>
      <c r="C418" s="497" t="s">
        <v>1014</v>
      </c>
      <c r="D418" s="498" t="s">
        <v>950</v>
      </c>
      <c r="E418" s="499"/>
      <c r="F418" s="500">
        <v>27.78</v>
      </c>
      <c r="G418" s="501" t="s">
        <v>256</v>
      </c>
      <c r="H418" s="502" t="s">
        <v>944</v>
      </c>
      <c r="I418" s="503">
        <f t="shared" si="6"/>
        <v>8612.3200000000124</v>
      </c>
      <c r="AJ418" s="169"/>
      <c r="AK418" s="169"/>
      <c r="AL418" s="169"/>
      <c r="AM418" s="169"/>
      <c r="AN418" s="169"/>
      <c r="AO418" s="169"/>
      <c r="AP418" s="169"/>
      <c r="AQ418" s="169"/>
      <c r="AR418" s="169"/>
      <c r="AS418" s="169"/>
      <c r="AT418" s="169"/>
      <c r="AU418" s="169"/>
      <c r="AV418" s="169"/>
      <c r="AW418" s="169"/>
      <c r="AX418" s="169"/>
      <c r="AY418" s="169"/>
      <c r="AZ418" s="169"/>
      <c r="BA418" s="169"/>
      <c r="BB418" s="169"/>
      <c r="BC418" s="169"/>
      <c r="BD418" s="169"/>
      <c r="BE418" s="169"/>
      <c r="BF418" s="169"/>
      <c r="BG418" s="169"/>
      <c r="BH418" s="169"/>
      <c r="BI418" s="169"/>
      <c r="BJ418" s="169"/>
      <c r="BK418" s="169"/>
      <c r="BL418" s="169"/>
      <c r="BM418" s="169"/>
      <c r="BN418" s="169"/>
      <c r="BO418" s="169"/>
      <c r="BP418" s="169"/>
      <c r="BQ418" s="169"/>
      <c r="BR418" s="169"/>
      <c r="BS418" s="169"/>
      <c r="BT418" s="169"/>
      <c r="BU418" s="169"/>
      <c r="BV418" s="169"/>
      <c r="BW418" s="169"/>
      <c r="BX418" s="169"/>
      <c r="BY418" s="169"/>
      <c r="BZ418" s="169"/>
      <c r="CA418" s="169"/>
      <c r="CB418" s="169"/>
      <c r="CC418" s="169"/>
      <c r="CD418" s="169"/>
      <c r="CE418" s="169"/>
      <c r="CF418" s="169"/>
      <c r="CG418" s="169"/>
      <c r="CH418" s="169"/>
      <c r="CI418" s="169"/>
      <c r="CJ418" s="169"/>
    </row>
    <row r="419" spans="2:88" s="168" customFormat="1">
      <c r="B419" s="512">
        <v>45715</v>
      </c>
      <c r="C419" s="497" t="s">
        <v>1014</v>
      </c>
      <c r="D419" s="498" t="s">
        <v>950</v>
      </c>
      <c r="E419" s="499"/>
      <c r="F419" s="500">
        <v>6.11</v>
      </c>
      <c r="G419" s="501" t="s">
        <v>274</v>
      </c>
      <c r="H419" s="502" t="s">
        <v>944</v>
      </c>
      <c r="I419" s="503">
        <f t="shared" si="6"/>
        <v>8606.2100000000119</v>
      </c>
      <c r="AJ419" s="169"/>
      <c r="AK419" s="169"/>
      <c r="AL419" s="169"/>
      <c r="AM419" s="169"/>
      <c r="AN419" s="169"/>
      <c r="AO419" s="169"/>
      <c r="AP419" s="169"/>
      <c r="AQ419" s="169"/>
      <c r="AR419" s="169"/>
      <c r="AS419" s="169"/>
      <c r="AT419" s="169"/>
      <c r="AU419" s="169"/>
      <c r="AV419" s="169"/>
      <c r="AW419" s="169"/>
      <c r="AX419" s="169"/>
      <c r="AY419" s="169"/>
      <c r="AZ419" s="169"/>
      <c r="BA419" s="169"/>
      <c r="BB419" s="169"/>
      <c r="BC419" s="169"/>
      <c r="BD419" s="169"/>
      <c r="BE419" s="169"/>
      <c r="BF419" s="169"/>
      <c r="BG419" s="169"/>
      <c r="BH419" s="169"/>
      <c r="BI419" s="169"/>
      <c r="BJ419" s="169"/>
      <c r="BK419" s="169"/>
      <c r="BL419" s="169"/>
      <c r="BM419" s="169"/>
      <c r="BN419" s="169"/>
      <c r="BO419" s="169"/>
      <c r="BP419" s="169"/>
      <c r="BQ419" s="169"/>
      <c r="BR419" s="169"/>
      <c r="BS419" s="169"/>
      <c r="BT419" s="169"/>
      <c r="BU419" s="169"/>
      <c r="BV419" s="169"/>
      <c r="BW419" s="169"/>
      <c r="BX419" s="169"/>
      <c r="BY419" s="169"/>
      <c r="BZ419" s="169"/>
      <c r="CA419" s="169"/>
      <c r="CB419" s="169"/>
      <c r="CC419" s="169"/>
      <c r="CD419" s="169"/>
      <c r="CE419" s="169"/>
      <c r="CF419" s="169"/>
      <c r="CG419" s="169"/>
      <c r="CH419" s="169"/>
      <c r="CI419" s="169"/>
      <c r="CJ419" s="169"/>
    </row>
    <row r="420" spans="2:88" s="168" customFormat="1">
      <c r="B420" s="512">
        <v>45715</v>
      </c>
      <c r="C420" s="507" t="s">
        <v>1015</v>
      </c>
      <c r="D420" s="505" t="s">
        <v>943</v>
      </c>
      <c r="E420" s="499"/>
      <c r="F420" s="500">
        <v>58.55</v>
      </c>
      <c r="G420" s="501" t="s">
        <v>202</v>
      </c>
      <c r="H420" s="502" t="s">
        <v>944</v>
      </c>
      <c r="I420" s="503">
        <f t="shared" si="6"/>
        <v>8547.6600000000126</v>
      </c>
      <c r="AJ420" s="169"/>
      <c r="AK420" s="169"/>
      <c r="AL420" s="169"/>
      <c r="AM420" s="169"/>
      <c r="AN420" s="169"/>
      <c r="AO420" s="169"/>
      <c r="AP420" s="169"/>
      <c r="AQ420" s="169"/>
      <c r="AR420" s="169"/>
      <c r="AS420" s="169"/>
      <c r="AT420" s="169"/>
      <c r="AU420" s="169"/>
      <c r="AV420" s="169"/>
      <c r="AW420" s="169"/>
      <c r="AX420" s="169"/>
      <c r="AY420" s="169"/>
      <c r="AZ420" s="169"/>
      <c r="BA420" s="169"/>
      <c r="BB420" s="169"/>
      <c r="BC420" s="169"/>
      <c r="BD420" s="169"/>
      <c r="BE420" s="169"/>
      <c r="BF420" s="169"/>
      <c r="BG420" s="169"/>
      <c r="BH420" s="169"/>
      <c r="BI420" s="169"/>
      <c r="BJ420" s="169"/>
      <c r="BK420" s="169"/>
      <c r="BL420" s="169"/>
      <c r="BM420" s="169"/>
      <c r="BN420" s="169"/>
      <c r="BO420" s="169"/>
      <c r="BP420" s="169"/>
      <c r="BQ420" s="169"/>
      <c r="BR420" s="169"/>
      <c r="BS420" s="169"/>
      <c r="BT420" s="169"/>
      <c r="BU420" s="169"/>
      <c r="BV420" s="169"/>
      <c r="BW420" s="169"/>
      <c r="BX420" s="169"/>
      <c r="BY420" s="169"/>
      <c r="BZ420" s="169"/>
      <c r="CA420" s="169"/>
      <c r="CB420" s="169"/>
      <c r="CC420" s="169"/>
      <c r="CD420" s="169"/>
      <c r="CE420" s="169"/>
      <c r="CF420" s="169"/>
      <c r="CG420" s="169"/>
      <c r="CH420" s="169"/>
      <c r="CI420" s="169"/>
      <c r="CJ420" s="169"/>
    </row>
    <row r="421" spans="2:88" s="168" customFormat="1">
      <c r="B421" s="512">
        <v>45715</v>
      </c>
      <c r="C421" s="497">
        <v>7251076077</v>
      </c>
      <c r="D421" s="505" t="s">
        <v>943</v>
      </c>
      <c r="E421" s="499"/>
      <c r="F421" s="500">
        <v>12.88</v>
      </c>
      <c r="G421" s="501" t="s">
        <v>274</v>
      </c>
      <c r="H421" s="502" t="s">
        <v>944</v>
      </c>
      <c r="I421" s="503">
        <f t="shared" si="6"/>
        <v>8534.7800000000134</v>
      </c>
      <c r="AJ421" s="169"/>
      <c r="AK421" s="169"/>
      <c r="AL421" s="169"/>
      <c r="AM421" s="169"/>
      <c r="AN421" s="169"/>
      <c r="AO421" s="169"/>
      <c r="AP421" s="169"/>
      <c r="AQ421" s="169"/>
      <c r="AR421" s="169"/>
      <c r="AS421" s="169"/>
      <c r="AT421" s="169"/>
      <c r="AU421" s="169"/>
      <c r="AV421" s="169"/>
      <c r="AW421" s="169"/>
      <c r="AX421" s="169"/>
      <c r="AY421" s="169"/>
      <c r="AZ421" s="169"/>
      <c r="BA421" s="169"/>
      <c r="BB421" s="169"/>
      <c r="BC421" s="169"/>
      <c r="BD421" s="169"/>
      <c r="BE421" s="169"/>
      <c r="BF421" s="169"/>
      <c r="BG421" s="169"/>
      <c r="BH421" s="169"/>
      <c r="BI421" s="169"/>
      <c r="BJ421" s="169"/>
      <c r="BK421" s="169"/>
      <c r="BL421" s="169"/>
      <c r="BM421" s="169"/>
      <c r="BN421" s="169"/>
      <c r="BO421" s="169"/>
      <c r="BP421" s="169"/>
      <c r="BQ421" s="169"/>
      <c r="BR421" s="169"/>
      <c r="BS421" s="169"/>
      <c r="BT421" s="169"/>
      <c r="BU421" s="169"/>
      <c r="BV421" s="169"/>
      <c r="BW421" s="169"/>
      <c r="BX421" s="169"/>
      <c r="BY421" s="169"/>
      <c r="BZ421" s="169"/>
      <c r="CA421" s="169"/>
      <c r="CB421" s="169"/>
      <c r="CC421" s="169"/>
      <c r="CD421" s="169"/>
      <c r="CE421" s="169"/>
      <c r="CF421" s="169"/>
      <c r="CG421" s="169"/>
      <c r="CH421" s="169"/>
      <c r="CI421" s="169"/>
      <c r="CJ421" s="169"/>
    </row>
    <row r="422" spans="2:88" s="168" customFormat="1">
      <c r="B422" s="512">
        <v>45715</v>
      </c>
      <c r="C422" s="511" t="s">
        <v>1016</v>
      </c>
      <c r="D422" s="498" t="s">
        <v>412</v>
      </c>
      <c r="E422" s="499"/>
      <c r="F422" s="500">
        <v>59.99</v>
      </c>
      <c r="G422" s="501" t="s">
        <v>197</v>
      </c>
      <c r="H422" s="508" t="s">
        <v>554</v>
      </c>
      <c r="I422" s="503">
        <f t="shared" si="6"/>
        <v>8474.7900000000136</v>
      </c>
      <c r="AJ422" s="169"/>
      <c r="AK422" s="169"/>
      <c r="AL422" s="169"/>
      <c r="AM422" s="169"/>
      <c r="AN422" s="169"/>
      <c r="AO422" s="169"/>
      <c r="AP422" s="169"/>
      <c r="AQ422" s="169"/>
      <c r="AR422" s="169"/>
      <c r="AS422" s="169"/>
      <c r="AT422" s="169"/>
      <c r="AU422" s="169"/>
      <c r="AV422" s="169"/>
      <c r="AW422" s="169"/>
      <c r="AX422" s="169"/>
      <c r="AY422" s="169"/>
      <c r="AZ422" s="169"/>
      <c r="BA422" s="169"/>
      <c r="BB422" s="169"/>
      <c r="BC422" s="169"/>
      <c r="BD422" s="169"/>
      <c r="BE422" s="169"/>
      <c r="BF422" s="169"/>
      <c r="BG422" s="169"/>
      <c r="BH422" s="169"/>
      <c r="BI422" s="169"/>
      <c r="BJ422" s="169"/>
      <c r="BK422" s="169"/>
      <c r="BL422" s="169"/>
      <c r="BM422" s="169"/>
      <c r="BN422" s="169"/>
      <c r="BO422" s="169"/>
      <c r="BP422" s="169"/>
      <c r="BQ422" s="169"/>
      <c r="BR422" s="169"/>
      <c r="BS422" s="169"/>
      <c r="BT422" s="169"/>
      <c r="BU422" s="169"/>
      <c r="BV422" s="169"/>
      <c r="BW422" s="169"/>
      <c r="BX422" s="169"/>
      <c r="BY422" s="169"/>
      <c r="BZ422" s="169"/>
      <c r="CA422" s="169"/>
      <c r="CB422" s="169"/>
      <c r="CC422" s="169"/>
      <c r="CD422" s="169"/>
      <c r="CE422" s="169"/>
      <c r="CF422" s="169"/>
      <c r="CG422" s="169"/>
      <c r="CH422" s="169"/>
      <c r="CI422" s="169"/>
      <c r="CJ422" s="169"/>
    </row>
    <row r="423" spans="2:88" s="168" customFormat="1">
      <c r="B423" s="512">
        <v>45715</v>
      </c>
      <c r="C423" s="511" t="s">
        <v>1016</v>
      </c>
      <c r="D423" s="498" t="s">
        <v>412</v>
      </c>
      <c r="E423" s="499"/>
      <c r="F423" s="500">
        <v>15.38</v>
      </c>
      <c r="G423" s="501" t="s">
        <v>197</v>
      </c>
      <c r="H423" s="508" t="s">
        <v>554</v>
      </c>
      <c r="I423" s="503">
        <f t="shared" si="6"/>
        <v>8459.4100000000144</v>
      </c>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c r="BI423" s="169"/>
      <c r="BJ423" s="169"/>
      <c r="BK423" s="169"/>
      <c r="BL423" s="169"/>
      <c r="BM423" s="169"/>
      <c r="BN423" s="169"/>
      <c r="BO423" s="169"/>
      <c r="BP423" s="169"/>
      <c r="BQ423" s="169"/>
      <c r="BR423" s="169"/>
      <c r="BS423" s="169"/>
      <c r="BT423" s="169"/>
      <c r="BU423" s="169"/>
      <c r="BV423" s="169"/>
      <c r="BW423" s="169"/>
      <c r="BX423" s="169"/>
      <c r="BY423" s="169"/>
      <c r="BZ423" s="169"/>
      <c r="CA423" s="169"/>
      <c r="CB423" s="169"/>
      <c r="CC423" s="169"/>
      <c r="CD423" s="169"/>
      <c r="CE423" s="169"/>
      <c r="CF423" s="169"/>
      <c r="CG423" s="169"/>
      <c r="CH423" s="169"/>
      <c r="CI423" s="169"/>
      <c r="CJ423" s="169"/>
    </row>
    <row r="424" spans="2:88" s="168" customFormat="1">
      <c r="B424" s="512">
        <v>45715</v>
      </c>
      <c r="C424" s="511" t="s">
        <v>1017</v>
      </c>
      <c r="D424" s="498" t="s">
        <v>412</v>
      </c>
      <c r="E424" s="499"/>
      <c r="F424" s="500">
        <v>52.95</v>
      </c>
      <c r="G424" s="501" t="s">
        <v>197</v>
      </c>
      <c r="H424" s="508" t="s">
        <v>554</v>
      </c>
      <c r="I424" s="503">
        <f t="shared" si="6"/>
        <v>8406.4600000000137</v>
      </c>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c r="BI424" s="169"/>
      <c r="BJ424" s="169"/>
      <c r="BK424" s="169"/>
      <c r="BL424" s="169"/>
      <c r="BM424" s="169"/>
      <c r="BN424" s="169"/>
      <c r="BO424" s="169"/>
      <c r="BP424" s="169"/>
      <c r="BQ424" s="169"/>
      <c r="BR424" s="169"/>
      <c r="BS424" s="169"/>
      <c r="BT424" s="169"/>
      <c r="BU424" s="169"/>
      <c r="BV424" s="169"/>
      <c r="BW424" s="169"/>
      <c r="BX424" s="169"/>
      <c r="BY424" s="169"/>
      <c r="BZ424" s="169"/>
      <c r="CA424" s="169"/>
      <c r="CB424" s="169"/>
      <c r="CC424" s="169"/>
      <c r="CD424" s="169"/>
      <c r="CE424" s="169"/>
      <c r="CF424" s="169"/>
      <c r="CG424" s="169"/>
      <c r="CH424" s="169"/>
      <c r="CI424" s="169"/>
      <c r="CJ424" s="169"/>
    </row>
    <row r="425" spans="2:88" s="168" customFormat="1">
      <c r="B425" s="512">
        <v>45715</v>
      </c>
      <c r="C425" s="511" t="s">
        <v>1017</v>
      </c>
      <c r="D425" s="498" t="s">
        <v>412</v>
      </c>
      <c r="E425" s="499"/>
      <c r="F425" s="500">
        <v>14.95</v>
      </c>
      <c r="G425" s="501" t="s">
        <v>197</v>
      </c>
      <c r="H425" s="508" t="s">
        <v>554</v>
      </c>
      <c r="I425" s="503">
        <f t="shared" si="6"/>
        <v>8391.510000000013</v>
      </c>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c r="BI425" s="169"/>
      <c r="BJ425" s="169"/>
      <c r="BK425" s="169"/>
      <c r="BL425" s="169"/>
      <c r="BM425" s="169"/>
      <c r="BN425" s="169"/>
      <c r="BO425" s="169"/>
      <c r="BP425" s="169"/>
      <c r="BQ425" s="169"/>
      <c r="BR425" s="169"/>
      <c r="BS425" s="169"/>
      <c r="BT425" s="169"/>
      <c r="BU425" s="169"/>
      <c r="BV425" s="169"/>
      <c r="BW425" s="169"/>
      <c r="BX425" s="169"/>
      <c r="BY425" s="169"/>
      <c r="BZ425" s="169"/>
      <c r="CA425" s="169"/>
      <c r="CB425" s="169"/>
      <c r="CC425" s="169"/>
      <c r="CD425" s="169"/>
      <c r="CE425" s="169"/>
      <c r="CF425" s="169"/>
      <c r="CG425" s="169"/>
      <c r="CH425" s="169"/>
      <c r="CI425" s="169"/>
      <c r="CJ425" s="169"/>
    </row>
    <row r="426" spans="2:88">
      <c r="B426" s="512">
        <v>45715</v>
      </c>
      <c r="C426" s="507" t="s">
        <v>117</v>
      </c>
      <c r="D426" s="505" t="s">
        <v>908</v>
      </c>
      <c r="E426" s="499"/>
      <c r="F426" s="500">
        <v>2</v>
      </c>
      <c r="G426" s="501" t="s">
        <v>254</v>
      </c>
      <c r="H426" s="502" t="s">
        <v>944</v>
      </c>
      <c r="I426" s="503">
        <f t="shared" si="6"/>
        <v>8389.510000000013</v>
      </c>
    </row>
    <row r="427" spans="2:88">
      <c r="B427" s="512">
        <v>45715</v>
      </c>
      <c r="C427" s="497" t="s">
        <v>117</v>
      </c>
      <c r="D427" s="498" t="s">
        <v>921</v>
      </c>
      <c r="E427" s="499"/>
      <c r="F427" s="500">
        <v>1.25</v>
      </c>
      <c r="G427" s="501" t="s">
        <v>271</v>
      </c>
      <c r="H427" s="524"/>
      <c r="I427" s="503">
        <f t="shared" si="6"/>
        <v>8388.260000000013</v>
      </c>
    </row>
    <row r="428" spans="2:88">
      <c r="B428" s="512">
        <v>45715</v>
      </c>
      <c r="C428" s="507" t="s">
        <v>283</v>
      </c>
      <c r="D428" s="505" t="s">
        <v>307</v>
      </c>
      <c r="E428" s="499">
        <v>41.6</v>
      </c>
      <c r="F428" s="500"/>
      <c r="G428" s="501" t="s">
        <v>190</v>
      </c>
      <c r="H428" s="508"/>
      <c r="I428" s="503">
        <f t="shared" si="6"/>
        <v>8429.8600000000133</v>
      </c>
    </row>
    <row r="429" spans="2:88">
      <c r="B429" s="512">
        <v>45715</v>
      </c>
      <c r="C429" s="507" t="s">
        <v>283</v>
      </c>
      <c r="D429" s="505" t="s">
        <v>307</v>
      </c>
      <c r="E429" s="499">
        <v>274.39999999999998</v>
      </c>
      <c r="F429" s="500"/>
      <c r="G429" s="501" t="s">
        <v>190</v>
      </c>
      <c r="H429" s="508"/>
      <c r="I429" s="503">
        <f t="shared" si="6"/>
        <v>8704.260000000013</v>
      </c>
    </row>
    <row r="430" spans="2:88">
      <c r="B430" s="512">
        <v>45715</v>
      </c>
      <c r="C430" s="507" t="s">
        <v>283</v>
      </c>
      <c r="D430" s="505" t="s">
        <v>909</v>
      </c>
      <c r="E430" s="499">
        <v>70</v>
      </c>
      <c r="F430" s="500"/>
      <c r="G430" s="501" t="s">
        <v>190</v>
      </c>
      <c r="H430" s="502" t="s">
        <v>67</v>
      </c>
      <c r="I430" s="503">
        <f t="shared" si="6"/>
        <v>8774.260000000013</v>
      </c>
    </row>
    <row r="431" spans="2:88">
      <c r="B431" s="512">
        <v>45716</v>
      </c>
      <c r="C431" s="507" t="s">
        <v>117</v>
      </c>
      <c r="D431" s="505" t="s">
        <v>911</v>
      </c>
      <c r="E431" s="499"/>
      <c r="F431" s="500">
        <f>70-68.11</f>
        <v>1.8900000000000006</v>
      </c>
      <c r="G431" s="501" t="s">
        <v>269</v>
      </c>
      <c r="H431" s="508"/>
      <c r="I431" s="503">
        <f t="shared" si="6"/>
        <v>8772.3700000000135</v>
      </c>
    </row>
    <row r="432" spans="2:88">
      <c r="B432" s="512">
        <v>45716</v>
      </c>
      <c r="C432" s="507" t="s">
        <v>283</v>
      </c>
      <c r="D432" s="505" t="s">
        <v>307</v>
      </c>
      <c r="E432" s="499">
        <v>52.6</v>
      </c>
      <c r="F432" s="500"/>
      <c r="G432" s="501" t="s">
        <v>190</v>
      </c>
      <c r="H432" s="524"/>
      <c r="I432" s="503">
        <f t="shared" si="6"/>
        <v>8824.9700000000139</v>
      </c>
    </row>
    <row r="433" spans="2:9">
      <c r="B433" s="512">
        <v>45716</v>
      </c>
      <c r="C433" s="507" t="s">
        <v>283</v>
      </c>
      <c r="D433" s="505" t="s">
        <v>307</v>
      </c>
      <c r="E433" s="499">
        <v>420.6</v>
      </c>
      <c r="F433" s="500"/>
      <c r="G433" s="501" t="s">
        <v>190</v>
      </c>
      <c r="H433" s="524"/>
      <c r="I433" s="503">
        <f t="shared" si="6"/>
        <v>9245.5700000000143</v>
      </c>
    </row>
    <row r="434" spans="2:9">
      <c r="B434" s="512">
        <v>45716</v>
      </c>
      <c r="C434" s="507" t="s">
        <v>1018</v>
      </c>
      <c r="D434" s="505" t="s">
        <v>1003</v>
      </c>
      <c r="E434" s="499">
        <v>13300</v>
      </c>
      <c r="F434" s="500"/>
      <c r="G434" s="501" t="s">
        <v>197</v>
      </c>
      <c r="H434" s="502"/>
      <c r="I434" s="503">
        <f t="shared" si="6"/>
        <v>22545.570000000014</v>
      </c>
    </row>
    <row r="435" spans="2:9">
      <c r="B435" s="512">
        <v>45716</v>
      </c>
      <c r="C435" s="507" t="s">
        <v>1018</v>
      </c>
      <c r="D435" s="505" t="s">
        <v>1003</v>
      </c>
      <c r="E435" s="499">
        <v>2926</v>
      </c>
      <c r="F435" s="500"/>
      <c r="G435" s="501" t="s">
        <v>197</v>
      </c>
      <c r="H435" s="502"/>
      <c r="I435" s="503">
        <f t="shared" si="6"/>
        <v>25471.570000000014</v>
      </c>
    </row>
    <row r="436" spans="2:9">
      <c r="B436" s="512">
        <v>45716</v>
      </c>
      <c r="C436" s="513" t="s">
        <v>962</v>
      </c>
      <c r="D436" s="514" t="s">
        <v>963</v>
      </c>
      <c r="E436" s="515"/>
      <c r="F436" s="516">
        <v>1244.07</v>
      </c>
      <c r="G436" s="522" t="s">
        <v>279</v>
      </c>
      <c r="H436" s="502"/>
      <c r="I436" s="503">
        <f t="shared" si="6"/>
        <v>24227.500000000015</v>
      </c>
    </row>
    <row r="437" spans="2:9">
      <c r="B437" s="512">
        <v>45716</v>
      </c>
      <c r="C437" s="513" t="s">
        <v>962</v>
      </c>
      <c r="D437" s="514" t="s">
        <v>964</v>
      </c>
      <c r="E437" s="515"/>
      <c r="F437" s="516">
        <v>130.16999999999999</v>
      </c>
      <c r="G437" s="522" t="s">
        <v>262</v>
      </c>
      <c r="H437" s="502"/>
      <c r="I437" s="503">
        <f t="shared" si="6"/>
        <v>24097.330000000016</v>
      </c>
    </row>
    <row r="438" spans="2:9">
      <c r="B438" s="512">
        <v>45716</v>
      </c>
      <c r="C438" s="513" t="s">
        <v>962</v>
      </c>
      <c r="D438" s="514" t="s">
        <v>965</v>
      </c>
      <c r="E438" s="515"/>
      <c r="F438" s="516">
        <v>2.5</v>
      </c>
      <c r="G438" s="522" t="s">
        <v>966</v>
      </c>
      <c r="H438" s="502"/>
      <c r="I438" s="503">
        <f t="shared" si="6"/>
        <v>24094.830000000016</v>
      </c>
    </row>
    <row r="439" spans="2:9">
      <c r="B439" s="775">
        <v>45688</v>
      </c>
      <c r="C439" s="507" t="s">
        <v>400</v>
      </c>
      <c r="D439" s="505" t="s">
        <v>341</v>
      </c>
      <c r="E439" s="499"/>
      <c r="F439" s="500">
        <v>549.04</v>
      </c>
      <c r="G439" s="501" t="s">
        <v>194</v>
      </c>
      <c r="H439" s="525" t="s">
        <v>753</v>
      </c>
      <c r="I439" s="503">
        <f t="shared" si="6"/>
        <v>23545.790000000015</v>
      </c>
    </row>
    <row r="440" spans="2:9">
      <c r="B440" s="775">
        <v>45688</v>
      </c>
      <c r="C440" s="507" t="s">
        <v>400</v>
      </c>
      <c r="D440" s="505" t="s">
        <v>341</v>
      </c>
      <c r="E440" s="499"/>
      <c r="F440" s="500">
        <v>147.19</v>
      </c>
      <c r="G440" s="501" t="s">
        <v>274</v>
      </c>
      <c r="H440" s="525" t="s">
        <v>753</v>
      </c>
      <c r="I440" s="503">
        <f t="shared" si="6"/>
        <v>23398.600000000017</v>
      </c>
    </row>
    <row r="441" spans="2:9">
      <c r="B441" s="775">
        <v>45688</v>
      </c>
      <c r="C441" s="497" t="s">
        <v>401</v>
      </c>
      <c r="D441" s="505" t="s">
        <v>341</v>
      </c>
      <c r="E441" s="499"/>
      <c r="F441" s="500">
        <v>107.32</v>
      </c>
      <c r="G441" s="501" t="s">
        <v>194</v>
      </c>
      <c r="H441" s="525" t="s">
        <v>753</v>
      </c>
      <c r="I441" s="503">
        <f t="shared" si="6"/>
        <v>23291.280000000017</v>
      </c>
    </row>
    <row r="442" spans="2:9">
      <c r="B442" s="775">
        <v>45688</v>
      </c>
      <c r="C442" s="497" t="s">
        <v>401</v>
      </c>
      <c r="D442" s="505" t="s">
        <v>341</v>
      </c>
      <c r="E442" s="499"/>
      <c r="F442" s="500">
        <v>23.61</v>
      </c>
      <c r="G442" s="501" t="s">
        <v>274</v>
      </c>
      <c r="H442" s="525" t="s">
        <v>753</v>
      </c>
      <c r="I442" s="503">
        <f t="shared" si="6"/>
        <v>23267.670000000016</v>
      </c>
    </row>
    <row r="443" spans="2:9">
      <c r="B443" s="775">
        <v>45688</v>
      </c>
      <c r="C443" s="497" t="s">
        <v>402</v>
      </c>
      <c r="D443" s="505" t="s">
        <v>341</v>
      </c>
      <c r="E443" s="499">
        <v>153.43</v>
      </c>
      <c r="F443" s="500"/>
      <c r="G443" s="501" t="s">
        <v>194</v>
      </c>
      <c r="H443" s="525" t="s">
        <v>753</v>
      </c>
      <c r="I443" s="503">
        <f t="shared" si="6"/>
        <v>23421.100000000017</v>
      </c>
    </row>
    <row r="444" spans="2:9">
      <c r="B444" s="775">
        <v>45688</v>
      </c>
      <c r="C444" s="497" t="s">
        <v>402</v>
      </c>
      <c r="D444" s="505" t="s">
        <v>341</v>
      </c>
      <c r="E444" s="499"/>
      <c r="F444" s="500">
        <v>67.45</v>
      </c>
      <c r="G444" s="501" t="s">
        <v>274</v>
      </c>
      <c r="H444" s="525" t="s">
        <v>753</v>
      </c>
      <c r="I444" s="503">
        <f t="shared" si="6"/>
        <v>23353.650000000016</v>
      </c>
    </row>
    <row r="445" spans="2:9">
      <c r="B445" s="775">
        <v>45688</v>
      </c>
      <c r="C445" s="513" t="s">
        <v>403</v>
      </c>
      <c r="D445" s="505" t="s">
        <v>341</v>
      </c>
      <c r="E445" s="515"/>
      <c r="F445" s="516">
        <v>756.21</v>
      </c>
      <c r="G445" s="501" t="s">
        <v>194</v>
      </c>
      <c r="H445" s="525" t="s">
        <v>753</v>
      </c>
      <c r="I445" s="503">
        <f t="shared" si="6"/>
        <v>22597.440000000017</v>
      </c>
    </row>
    <row r="446" spans="2:9">
      <c r="B446" s="775">
        <v>45688</v>
      </c>
      <c r="C446" s="513" t="s">
        <v>403</v>
      </c>
      <c r="D446" s="505" t="s">
        <v>341</v>
      </c>
      <c r="E446" s="515"/>
      <c r="F446" s="516">
        <v>192.77</v>
      </c>
      <c r="G446" s="501" t="s">
        <v>274</v>
      </c>
      <c r="H446" s="525" t="s">
        <v>753</v>
      </c>
      <c r="I446" s="503">
        <f t="shared" si="6"/>
        <v>22404.670000000016</v>
      </c>
    </row>
    <row r="447" spans="2:9">
      <c r="B447" s="775">
        <v>45688</v>
      </c>
      <c r="C447" s="513" t="s">
        <v>405</v>
      </c>
      <c r="D447" s="505" t="s">
        <v>341</v>
      </c>
      <c r="E447" s="515">
        <v>315.41000000000003</v>
      </c>
      <c r="F447" s="516"/>
      <c r="G447" s="501"/>
      <c r="H447" s="508" t="s">
        <v>554</v>
      </c>
      <c r="I447" s="503">
        <f t="shared" si="6"/>
        <v>22720.080000000016</v>
      </c>
    </row>
    <row r="448" spans="2:9">
      <c r="B448" s="775">
        <v>45688</v>
      </c>
      <c r="C448" s="497" t="s">
        <v>405</v>
      </c>
      <c r="D448" s="505" t="s">
        <v>341</v>
      </c>
      <c r="E448" s="499">
        <v>62.79</v>
      </c>
      <c r="F448" s="500"/>
      <c r="G448" s="501" t="s">
        <v>276</v>
      </c>
      <c r="H448" s="502"/>
      <c r="I448" s="503">
        <f t="shared" si="6"/>
        <v>22782.870000000017</v>
      </c>
    </row>
    <row r="449" spans="2:9">
      <c r="B449" s="775">
        <v>45688</v>
      </c>
      <c r="C449" s="497" t="s">
        <v>407</v>
      </c>
      <c r="D449" s="505" t="s">
        <v>341</v>
      </c>
      <c r="E449" s="499">
        <v>2948</v>
      </c>
      <c r="F449" s="500"/>
      <c r="G449" s="501" t="s">
        <v>197</v>
      </c>
      <c r="H449" s="508" t="s">
        <v>554</v>
      </c>
      <c r="I449" s="503">
        <f t="shared" si="6"/>
        <v>25730.870000000017</v>
      </c>
    </row>
    <row r="450" spans="2:9">
      <c r="B450" s="775">
        <v>45688</v>
      </c>
      <c r="C450" s="497" t="s">
        <v>404</v>
      </c>
      <c r="D450" s="505" t="s">
        <v>341</v>
      </c>
      <c r="E450" s="499"/>
      <c r="F450" s="500">
        <v>2245.52</v>
      </c>
      <c r="G450" s="501" t="s">
        <v>194</v>
      </c>
      <c r="H450" s="525" t="s">
        <v>753</v>
      </c>
      <c r="I450" s="503">
        <f t="shared" si="6"/>
        <v>23485.350000000017</v>
      </c>
    </row>
    <row r="451" spans="2:9">
      <c r="B451" s="775">
        <v>45688</v>
      </c>
      <c r="C451" s="497" t="s">
        <v>404</v>
      </c>
      <c r="D451" s="505" t="s">
        <v>341</v>
      </c>
      <c r="E451" s="499"/>
      <c r="F451" s="500">
        <v>506.77</v>
      </c>
      <c r="G451" s="501" t="s">
        <v>274</v>
      </c>
      <c r="H451" s="525" t="s">
        <v>753</v>
      </c>
      <c r="I451" s="503">
        <f t="shared" si="6"/>
        <v>22978.580000000016</v>
      </c>
    </row>
    <row r="452" spans="2:9">
      <c r="B452" s="775">
        <v>45688</v>
      </c>
      <c r="C452" s="497" t="s">
        <v>117</v>
      </c>
      <c r="D452" s="498" t="s">
        <v>921</v>
      </c>
      <c r="E452" s="499"/>
      <c r="F452" s="500">
        <v>1.25</v>
      </c>
      <c r="G452" s="501" t="s">
        <v>271</v>
      </c>
      <c r="H452" s="524"/>
      <c r="I452" s="503">
        <f t="shared" si="6"/>
        <v>22977.330000000016</v>
      </c>
    </row>
    <row r="453" spans="2:9">
      <c r="B453" s="512">
        <v>45719</v>
      </c>
      <c r="C453" s="497" t="s">
        <v>117</v>
      </c>
      <c r="D453" s="498" t="s">
        <v>902</v>
      </c>
      <c r="E453" s="499"/>
      <c r="F453" s="500">
        <v>1250</v>
      </c>
      <c r="G453" s="501" t="s">
        <v>278</v>
      </c>
      <c r="H453" s="502"/>
      <c r="I453" s="503">
        <f t="shared" si="6"/>
        <v>21727.330000000016</v>
      </c>
    </row>
    <row r="454" spans="2:9">
      <c r="B454" s="512">
        <v>45719</v>
      </c>
      <c r="C454" s="497" t="s">
        <v>117</v>
      </c>
      <c r="D454" s="498" t="s">
        <v>903</v>
      </c>
      <c r="E454" s="499"/>
      <c r="F454" s="500">
        <v>0.75</v>
      </c>
      <c r="G454" s="501" t="s">
        <v>272</v>
      </c>
      <c r="H454" s="502"/>
      <c r="I454" s="503">
        <f t="shared" si="6"/>
        <v>21726.580000000016</v>
      </c>
    </row>
    <row r="455" spans="2:9">
      <c r="B455" s="512">
        <v>45719</v>
      </c>
      <c r="C455" s="497" t="s">
        <v>117</v>
      </c>
      <c r="D455" s="498" t="s">
        <v>320</v>
      </c>
      <c r="E455" s="499"/>
      <c r="F455" s="500">
        <v>500</v>
      </c>
      <c r="G455" s="501" t="s">
        <v>237</v>
      </c>
      <c r="H455" s="527"/>
      <c r="I455" s="503">
        <f t="shared" si="6"/>
        <v>21226.580000000016</v>
      </c>
    </row>
    <row r="456" spans="2:9">
      <c r="B456" s="512">
        <v>45719</v>
      </c>
      <c r="C456" s="497" t="s">
        <v>117</v>
      </c>
      <c r="D456" s="498" t="s">
        <v>903</v>
      </c>
      <c r="E456" s="499"/>
      <c r="F456" s="500">
        <v>0.75</v>
      </c>
      <c r="G456" s="501" t="s">
        <v>272</v>
      </c>
      <c r="H456" s="527"/>
      <c r="I456" s="503">
        <f t="shared" si="6"/>
        <v>21225.830000000016</v>
      </c>
    </row>
    <row r="457" spans="2:9">
      <c r="B457" s="512">
        <v>45719</v>
      </c>
      <c r="C457" s="511" t="s">
        <v>1019</v>
      </c>
      <c r="D457" s="505" t="s">
        <v>329</v>
      </c>
      <c r="E457" s="499"/>
      <c r="F457" s="500">
        <f>445.34-F458</f>
        <v>350.01</v>
      </c>
      <c r="G457" s="501" t="s">
        <v>221</v>
      </c>
      <c r="H457" s="502"/>
      <c r="I457" s="503">
        <f t="shared" si="6"/>
        <v>20875.820000000018</v>
      </c>
    </row>
    <row r="458" spans="2:9">
      <c r="B458" s="512">
        <v>45719</v>
      </c>
      <c r="C458" s="511" t="s">
        <v>1019</v>
      </c>
      <c r="D458" s="505" t="s">
        <v>329</v>
      </c>
      <c r="E458" s="499"/>
      <c r="F458" s="500">
        <v>95.33</v>
      </c>
      <c r="G458" s="501" t="s">
        <v>274</v>
      </c>
      <c r="H458" s="502"/>
      <c r="I458" s="503">
        <f t="shared" ref="I458:I521" si="7">I457+E458-F458</f>
        <v>20780.490000000016</v>
      </c>
    </row>
    <row r="459" spans="2:9">
      <c r="B459" s="512">
        <v>45719</v>
      </c>
      <c r="C459" s="497" t="s">
        <v>117</v>
      </c>
      <c r="D459" s="498" t="s">
        <v>903</v>
      </c>
      <c r="E459" s="499"/>
      <c r="F459" s="500">
        <v>1</v>
      </c>
      <c r="G459" s="501" t="s">
        <v>272</v>
      </c>
      <c r="H459" s="502"/>
      <c r="I459" s="503">
        <f t="shared" si="7"/>
        <v>20779.490000000016</v>
      </c>
    </row>
    <row r="460" spans="2:9">
      <c r="B460" s="512">
        <v>45719</v>
      </c>
      <c r="C460" s="497" t="s">
        <v>117</v>
      </c>
      <c r="D460" s="498" t="s">
        <v>913</v>
      </c>
      <c r="E460" s="499"/>
      <c r="F460" s="500">
        <v>1.8</v>
      </c>
      <c r="G460" s="501" t="s">
        <v>262</v>
      </c>
      <c r="H460" s="502"/>
      <c r="I460" s="503">
        <f t="shared" si="7"/>
        <v>20777.690000000017</v>
      </c>
    </row>
    <row r="461" spans="2:9">
      <c r="B461" s="512">
        <v>45719</v>
      </c>
      <c r="C461" s="507" t="s">
        <v>391</v>
      </c>
      <c r="D461" s="505" t="s">
        <v>352</v>
      </c>
      <c r="E461" s="499"/>
      <c r="F461" s="500">
        <v>3111.7</v>
      </c>
      <c r="G461" s="501" t="s">
        <v>237</v>
      </c>
      <c r="H461" s="502"/>
      <c r="I461" s="503">
        <f t="shared" si="7"/>
        <v>17665.990000000016</v>
      </c>
    </row>
    <row r="462" spans="2:9">
      <c r="B462" s="512">
        <v>45719</v>
      </c>
      <c r="C462" s="507" t="s">
        <v>391</v>
      </c>
      <c r="D462" s="505" t="s">
        <v>352</v>
      </c>
      <c r="E462" s="499"/>
      <c r="F462" s="500">
        <v>684.57</v>
      </c>
      <c r="G462" s="501" t="s">
        <v>274</v>
      </c>
      <c r="H462" s="502"/>
      <c r="I462" s="503">
        <f t="shared" si="7"/>
        <v>16981.420000000016</v>
      </c>
    </row>
    <row r="463" spans="2:9">
      <c r="B463" s="775">
        <v>45688</v>
      </c>
      <c r="C463" s="507" t="s">
        <v>410</v>
      </c>
      <c r="D463" s="505" t="s">
        <v>361</v>
      </c>
      <c r="E463" s="499"/>
      <c r="F463" s="500">
        <v>779.79</v>
      </c>
      <c r="G463" s="501" t="s">
        <v>199</v>
      </c>
      <c r="H463" s="525" t="s">
        <v>753</v>
      </c>
      <c r="I463" s="503">
        <f t="shared" si="7"/>
        <v>16201.630000000016</v>
      </c>
    </row>
    <row r="464" spans="2:9">
      <c r="B464" s="775">
        <v>45688</v>
      </c>
      <c r="C464" s="497" t="s">
        <v>410</v>
      </c>
      <c r="D464" s="498" t="s">
        <v>361</v>
      </c>
      <c r="E464" s="499"/>
      <c r="F464" s="500">
        <v>63.45</v>
      </c>
      <c r="G464" s="501" t="s">
        <v>274</v>
      </c>
      <c r="H464" s="525" t="s">
        <v>753</v>
      </c>
      <c r="I464" s="503">
        <f t="shared" si="7"/>
        <v>16138.180000000015</v>
      </c>
    </row>
    <row r="465" spans="2:9">
      <c r="B465" s="775">
        <v>45688</v>
      </c>
      <c r="C465" s="497" t="s">
        <v>117</v>
      </c>
      <c r="D465" s="498" t="s">
        <v>903</v>
      </c>
      <c r="E465" s="499"/>
      <c r="F465" s="500">
        <v>1</v>
      </c>
      <c r="G465" s="501" t="s">
        <v>272</v>
      </c>
      <c r="H465" s="525" t="s">
        <v>753</v>
      </c>
      <c r="I465" s="503">
        <f t="shared" si="7"/>
        <v>16137.180000000015</v>
      </c>
    </row>
    <row r="466" spans="2:9">
      <c r="B466" s="775">
        <v>45688</v>
      </c>
      <c r="C466" s="497" t="s">
        <v>393</v>
      </c>
      <c r="D466" s="498" t="s">
        <v>394</v>
      </c>
      <c r="E466" s="499"/>
      <c r="F466" s="500">
        <v>254.93</v>
      </c>
      <c r="G466" s="501" t="s">
        <v>199</v>
      </c>
      <c r="H466" s="525" t="s">
        <v>753</v>
      </c>
      <c r="I466" s="503">
        <f t="shared" si="7"/>
        <v>15882.250000000015</v>
      </c>
    </row>
    <row r="467" spans="2:9">
      <c r="B467" s="775">
        <v>45688</v>
      </c>
      <c r="C467" s="497" t="s">
        <v>393</v>
      </c>
      <c r="D467" s="498" t="s">
        <v>394</v>
      </c>
      <c r="E467" s="499"/>
      <c r="F467" s="500">
        <v>22.79</v>
      </c>
      <c r="G467" s="501" t="s">
        <v>274</v>
      </c>
      <c r="H467" s="525" t="s">
        <v>753</v>
      </c>
      <c r="I467" s="503">
        <f t="shared" si="7"/>
        <v>15859.460000000014</v>
      </c>
    </row>
    <row r="468" spans="2:9">
      <c r="B468" s="775">
        <v>45688</v>
      </c>
      <c r="C468" s="497" t="s">
        <v>117</v>
      </c>
      <c r="D468" s="498" t="s">
        <v>903</v>
      </c>
      <c r="E468" s="499"/>
      <c r="F468" s="500">
        <v>0.75</v>
      </c>
      <c r="G468" s="501" t="s">
        <v>272</v>
      </c>
      <c r="H468" s="525" t="s">
        <v>753</v>
      </c>
      <c r="I468" s="503">
        <f t="shared" si="7"/>
        <v>15858.710000000014</v>
      </c>
    </row>
    <row r="469" spans="2:9">
      <c r="B469" s="775">
        <v>45688</v>
      </c>
      <c r="C469" s="497" t="s">
        <v>637</v>
      </c>
      <c r="D469" s="498" t="s">
        <v>530</v>
      </c>
      <c r="E469" s="499"/>
      <c r="F469" s="500">
        <v>2002</v>
      </c>
      <c r="G469" s="501"/>
      <c r="H469" s="508" t="s">
        <v>554</v>
      </c>
      <c r="I469" s="503">
        <f t="shared" si="7"/>
        <v>13856.710000000014</v>
      </c>
    </row>
    <row r="470" spans="2:9">
      <c r="B470" s="775">
        <v>45688</v>
      </c>
      <c r="C470" s="497" t="s">
        <v>117</v>
      </c>
      <c r="D470" s="498" t="s">
        <v>903</v>
      </c>
      <c r="E470" s="499"/>
      <c r="F470" s="500">
        <v>1</v>
      </c>
      <c r="G470" s="501" t="s">
        <v>272</v>
      </c>
      <c r="H470" s="525" t="s">
        <v>753</v>
      </c>
      <c r="I470" s="503">
        <f t="shared" si="7"/>
        <v>13855.710000000014</v>
      </c>
    </row>
    <row r="471" spans="2:9">
      <c r="B471" s="775">
        <v>45688</v>
      </c>
      <c r="C471" s="497" t="s">
        <v>117</v>
      </c>
      <c r="D471" s="498" t="s">
        <v>1002</v>
      </c>
      <c r="E471" s="499"/>
      <c r="F471" s="500">
        <v>3452</v>
      </c>
      <c r="G471" s="501" t="s">
        <v>241</v>
      </c>
      <c r="H471" s="525" t="s">
        <v>753</v>
      </c>
      <c r="I471" s="503">
        <f t="shared" si="7"/>
        <v>10403.710000000014</v>
      </c>
    </row>
    <row r="472" spans="2:9">
      <c r="B472" s="775">
        <v>45688</v>
      </c>
      <c r="C472" s="497" t="s">
        <v>117</v>
      </c>
      <c r="D472" s="498" t="s">
        <v>903</v>
      </c>
      <c r="E472" s="499"/>
      <c r="F472" s="500">
        <v>1</v>
      </c>
      <c r="G472" s="501" t="s">
        <v>272</v>
      </c>
      <c r="H472" s="525" t="s">
        <v>753</v>
      </c>
      <c r="I472" s="503">
        <f t="shared" si="7"/>
        <v>10402.710000000014</v>
      </c>
    </row>
    <row r="473" spans="2:9">
      <c r="B473" s="775">
        <v>45688</v>
      </c>
      <c r="C473" s="497">
        <v>22</v>
      </c>
      <c r="D473" s="498" t="s">
        <v>917</v>
      </c>
      <c r="E473" s="499"/>
      <c r="F473" s="500">
        <v>132</v>
      </c>
      <c r="G473" s="501" t="s">
        <v>227</v>
      </c>
      <c r="H473" s="525" t="s">
        <v>753</v>
      </c>
      <c r="I473" s="503">
        <f t="shared" si="7"/>
        <v>10270.710000000014</v>
      </c>
    </row>
    <row r="474" spans="2:9">
      <c r="B474" s="775">
        <v>45688</v>
      </c>
      <c r="C474" s="497" t="s">
        <v>117</v>
      </c>
      <c r="D474" s="498" t="s">
        <v>903</v>
      </c>
      <c r="E474" s="499"/>
      <c r="F474" s="500">
        <v>1</v>
      </c>
      <c r="G474" s="501" t="s">
        <v>272</v>
      </c>
      <c r="H474" s="525" t="s">
        <v>753</v>
      </c>
      <c r="I474" s="503">
        <f t="shared" si="7"/>
        <v>10269.710000000014</v>
      </c>
    </row>
    <row r="475" spans="2:9">
      <c r="B475" s="775">
        <v>45688</v>
      </c>
      <c r="C475" s="497" t="s">
        <v>409</v>
      </c>
      <c r="D475" s="498" t="s">
        <v>336</v>
      </c>
      <c r="E475" s="499"/>
      <c r="F475" s="500">
        <v>462.3</v>
      </c>
      <c r="G475" s="501" t="s">
        <v>198</v>
      </c>
      <c r="H475" s="525" t="s">
        <v>753</v>
      </c>
      <c r="I475" s="503">
        <f t="shared" si="7"/>
        <v>9807.4100000000144</v>
      </c>
    </row>
    <row r="476" spans="2:9">
      <c r="B476" s="775">
        <v>45688</v>
      </c>
      <c r="C476" s="497" t="s">
        <v>409</v>
      </c>
      <c r="D476" s="498" t="s">
        <v>336</v>
      </c>
      <c r="E476" s="499"/>
      <c r="F476" s="500">
        <v>82.33</v>
      </c>
      <c r="G476" s="501" t="s">
        <v>274</v>
      </c>
      <c r="H476" s="525" t="s">
        <v>753</v>
      </c>
      <c r="I476" s="503">
        <f t="shared" si="7"/>
        <v>9725.0800000000145</v>
      </c>
    </row>
    <row r="477" spans="2:9">
      <c r="B477" s="775">
        <v>45688</v>
      </c>
      <c r="C477" s="497" t="s">
        <v>117</v>
      </c>
      <c r="D477" s="498" t="s">
        <v>903</v>
      </c>
      <c r="E477" s="499"/>
      <c r="F477" s="500">
        <v>1</v>
      </c>
      <c r="G477" s="501" t="s">
        <v>272</v>
      </c>
      <c r="H477" s="525" t="s">
        <v>753</v>
      </c>
      <c r="I477" s="503">
        <f t="shared" si="7"/>
        <v>9724.0800000000145</v>
      </c>
    </row>
    <row r="478" spans="2:9">
      <c r="B478" s="775">
        <v>45688</v>
      </c>
      <c r="C478" s="497" t="s">
        <v>395</v>
      </c>
      <c r="D478" s="498" t="s">
        <v>396</v>
      </c>
      <c r="E478" s="499"/>
      <c r="F478" s="500">
        <v>286.2</v>
      </c>
      <c r="G478" s="501" t="s">
        <v>199</v>
      </c>
      <c r="H478" s="525" t="s">
        <v>753</v>
      </c>
      <c r="I478" s="503">
        <f t="shared" si="7"/>
        <v>9437.8800000000138</v>
      </c>
    </row>
    <row r="479" spans="2:9">
      <c r="B479" s="775">
        <v>45688</v>
      </c>
      <c r="C479" s="497" t="s">
        <v>395</v>
      </c>
      <c r="D479" s="498" t="s">
        <v>396</v>
      </c>
      <c r="E479" s="499"/>
      <c r="F479" s="500">
        <v>28.62</v>
      </c>
      <c r="G479" s="501" t="s">
        <v>274</v>
      </c>
      <c r="H479" s="525" t="s">
        <v>753</v>
      </c>
      <c r="I479" s="503">
        <f t="shared" si="7"/>
        <v>9409.260000000013</v>
      </c>
    </row>
    <row r="480" spans="2:9">
      <c r="B480" s="775">
        <v>45688</v>
      </c>
      <c r="C480" s="497" t="s">
        <v>117</v>
      </c>
      <c r="D480" s="498" t="s">
        <v>903</v>
      </c>
      <c r="E480" s="499"/>
      <c r="F480" s="500">
        <v>1</v>
      </c>
      <c r="G480" s="501" t="s">
        <v>272</v>
      </c>
      <c r="H480" s="525" t="s">
        <v>753</v>
      </c>
      <c r="I480" s="503">
        <f t="shared" si="7"/>
        <v>9408.260000000013</v>
      </c>
    </row>
    <row r="481" spans="2:9">
      <c r="B481" s="775">
        <v>45688</v>
      </c>
      <c r="C481" s="497" t="s">
        <v>117</v>
      </c>
      <c r="D481" s="498" t="s">
        <v>1020</v>
      </c>
      <c r="E481" s="499"/>
      <c r="F481" s="500">
        <v>5000</v>
      </c>
      <c r="G481" s="501" t="s">
        <v>197</v>
      </c>
      <c r="H481" s="526" t="s">
        <v>502</v>
      </c>
      <c r="I481" s="503">
        <f t="shared" si="7"/>
        <v>4408.260000000013</v>
      </c>
    </row>
    <row r="482" spans="2:9">
      <c r="B482" s="775">
        <v>45688</v>
      </c>
      <c r="C482" s="497" t="s">
        <v>117</v>
      </c>
      <c r="D482" s="498" t="s">
        <v>903</v>
      </c>
      <c r="E482" s="499"/>
      <c r="F482" s="500">
        <v>0.75</v>
      </c>
      <c r="G482" s="501" t="s">
        <v>272</v>
      </c>
      <c r="H482" s="508"/>
      <c r="I482" s="503">
        <f t="shared" si="7"/>
        <v>4407.510000000013</v>
      </c>
    </row>
    <row r="483" spans="2:9">
      <c r="B483" s="512">
        <v>45719</v>
      </c>
      <c r="C483" s="507" t="s">
        <v>283</v>
      </c>
      <c r="D483" s="505" t="s">
        <v>307</v>
      </c>
      <c r="E483" s="499">
        <v>130</v>
      </c>
      <c r="F483" s="500"/>
      <c r="G483" s="501" t="s">
        <v>190</v>
      </c>
      <c r="H483" s="508"/>
      <c r="I483" s="503">
        <f t="shared" si="7"/>
        <v>4537.510000000013</v>
      </c>
    </row>
    <row r="484" spans="2:9">
      <c r="B484" s="512">
        <v>45719</v>
      </c>
      <c r="C484" s="507" t="s">
        <v>283</v>
      </c>
      <c r="D484" s="505" t="s">
        <v>307</v>
      </c>
      <c r="E484" s="499">
        <v>450.7</v>
      </c>
      <c r="F484" s="500"/>
      <c r="G484" s="501" t="s">
        <v>190</v>
      </c>
      <c r="H484" s="508"/>
      <c r="I484" s="503">
        <f t="shared" si="7"/>
        <v>4988.2100000000128</v>
      </c>
    </row>
    <row r="485" spans="2:9">
      <c r="B485" s="512">
        <v>45719</v>
      </c>
      <c r="C485" s="507" t="s">
        <v>283</v>
      </c>
      <c r="D485" s="505" t="s">
        <v>307</v>
      </c>
      <c r="E485" s="499">
        <v>465.1</v>
      </c>
      <c r="F485" s="500"/>
      <c r="G485" s="501" t="s">
        <v>190</v>
      </c>
      <c r="H485" s="524"/>
      <c r="I485" s="503">
        <f t="shared" si="7"/>
        <v>5453.3100000000131</v>
      </c>
    </row>
    <row r="486" spans="2:9">
      <c r="B486" s="512">
        <v>45719</v>
      </c>
      <c r="C486" s="507" t="s">
        <v>1021</v>
      </c>
      <c r="D486" s="505" t="s">
        <v>952</v>
      </c>
      <c r="E486" s="499"/>
      <c r="F486" s="500">
        <v>200.5</v>
      </c>
      <c r="G486" s="501" t="s">
        <v>216</v>
      </c>
      <c r="H486" s="524"/>
      <c r="I486" s="503">
        <f t="shared" si="7"/>
        <v>5252.8100000000131</v>
      </c>
    </row>
    <row r="487" spans="2:9">
      <c r="B487" s="512">
        <v>45719</v>
      </c>
      <c r="C487" s="507" t="s">
        <v>1021</v>
      </c>
      <c r="D487" s="505" t="s">
        <v>952</v>
      </c>
      <c r="E487" s="499"/>
      <c r="F487" s="500">
        <v>44.11</v>
      </c>
      <c r="G487" s="501" t="s">
        <v>274</v>
      </c>
      <c r="H487" s="524"/>
      <c r="I487" s="503">
        <f t="shared" si="7"/>
        <v>5208.7000000000135</v>
      </c>
    </row>
    <row r="488" spans="2:9">
      <c r="B488" s="512">
        <v>45719</v>
      </c>
      <c r="C488" s="507" t="s">
        <v>283</v>
      </c>
      <c r="D488" s="505" t="s">
        <v>307</v>
      </c>
      <c r="E488" s="499">
        <v>472.5</v>
      </c>
      <c r="F488" s="500"/>
      <c r="G488" s="501" t="s">
        <v>190</v>
      </c>
      <c r="H488" s="524"/>
      <c r="I488" s="503">
        <f t="shared" si="7"/>
        <v>5681.2000000000135</v>
      </c>
    </row>
    <row r="489" spans="2:9">
      <c r="B489" s="512">
        <v>45719</v>
      </c>
      <c r="C489" s="507" t="s">
        <v>283</v>
      </c>
      <c r="D489" s="505" t="s">
        <v>307</v>
      </c>
      <c r="E489" s="499">
        <v>2495.9</v>
      </c>
      <c r="F489" s="500"/>
      <c r="G489" s="501" t="s">
        <v>190</v>
      </c>
      <c r="H489" s="524"/>
      <c r="I489" s="503">
        <f t="shared" si="7"/>
        <v>8177.1000000000131</v>
      </c>
    </row>
    <row r="490" spans="2:9">
      <c r="B490" s="512">
        <v>45719</v>
      </c>
      <c r="C490" s="507" t="s">
        <v>283</v>
      </c>
      <c r="D490" s="505" t="s">
        <v>307</v>
      </c>
      <c r="E490" s="499">
        <v>2438.1999999999998</v>
      </c>
      <c r="F490" s="500"/>
      <c r="G490" s="501" t="s">
        <v>190</v>
      </c>
      <c r="H490" s="524"/>
      <c r="I490" s="503">
        <f t="shared" si="7"/>
        <v>10615.300000000014</v>
      </c>
    </row>
    <row r="491" spans="2:9">
      <c r="B491" s="512">
        <v>45719</v>
      </c>
      <c r="C491" s="507" t="s">
        <v>283</v>
      </c>
      <c r="D491" s="505" t="s">
        <v>909</v>
      </c>
      <c r="E491" s="499">
        <v>30</v>
      </c>
      <c r="F491" s="500"/>
      <c r="G491" s="501" t="s">
        <v>190</v>
      </c>
      <c r="H491" s="502" t="s">
        <v>67</v>
      </c>
      <c r="I491" s="503">
        <f t="shared" si="7"/>
        <v>10645.300000000014</v>
      </c>
    </row>
    <row r="492" spans="2:9">
      <c r="B492" s="512">
        <v>45719</v>
      </c>
      <c r="C492" s="507" t="s">
        <v>117</v>
      </c>
      <c r="D492" s="505" t="s">
        <v>911</v>
      </c>
      <c r="E492" s="499"/>
      <c r="F492" s="500">
        <v>0.85</v>
      </c>
      <c r="G492" s="501" t="s">
        <v>269</v>
      </c>
      <c r="H492" s="508"/>
      <c r="I492" s="503">
        <f t="shared" si="7"/>
        <v>10644.450000000013</v>
      </c>
    </row>
    <row r="493" spans="2:9">
      <c r="B493" s="512">
        <v>45719</v>
      </c>
      <c r="C493" s="507" t="s">
        <v>283</v>
      </c>
      <c r="D493" s="505" t="s">
        <v>912</v>
      </c>
      <c r="E493" s="499">
        <v>512.5</v>
      </c>
      <c r="F493" s="500"/>
      <c r="G493" s="501" t="s">
        <v>190</v>
      </c>
      <c r="H493" s="508"/>
      <c r="I493" s="503">
        <f t="shared" si="7"/>
        <v>11156.950000000013</v>
      </c>
    </row>
    <row r="494" spans="2:9">
      <c r="B494" s="512">
        <v>45719</v>
      </c>
      <c r="C494" s="507" t="s">
        <v>117</v>
      </c>
      <c r="D494" s="505" t="s">
        <v>918</v>
      </c>
      <c r="E494" s="499"/>
      <c r="F494" s="500">
        <f>512.5-507.34</f>
        <v>5.160000000000025</v>
      </c>
      <c r="G494" s="501" t="s">
        <v>270</v>
      </c>
      <c r="H494" s="524"/>
      <c r="I494" s="503">
        <f t="shared" si="7"/>
        <v>11151.790000000014</v>
      </c>
    </row>
    <row r="495" spans="2:9">
      <c r="B495" s="512">
        <v>45719</v>
      </c>
      <c r="C495" s="507" t="s">
        <v>283</v>
      </c>
      <c r="D495" s="505" t="s">
        <v>909</v>
      </c>
      <c r="E495" s="499">
        <v>1142.5</v>
      </c>
      <c r="F495" s="500"/>
      <c r="G495" s="501" t="s">
        <v>190</v>
      </c>
      <c r="H495" s="524"/>
      <c r="I495" s="503">
        <f t="shared" si="7"/>
        <v>12294.290000000014</v>
      </c>
    </row>
    <row r="496" spans="2:9">
      <c r="B496" s="512">
        <v>45720</v>
      </c>
      <c r="C496" s="507" t="s">
        <v>117</v>
      </c>
      <c r="D496" s="505" t="s">
        <v>911</v>
      </c>
      <c r="E496" s="499"/>
      <c r="F496" s="500">
        <v>9.7899999999999991</v>
      </c>
      <c r="G496" s="501" t="s">
        <v>269</v>
      </c>
      <c r="H496" s="524"/>
      <c r="I496" s="503">
        <f t="shared" si="7"/>
        <v>12284.500000000013</v>
      </c>
    </row>
    <row r="497" spans="2:9">
      <c r="B497" s="512">
        <v>45720</v>
      </c>
      <c r="C497" s="497" t="s">
        <v>117</v>
      </c>
      <c r="D497" s="498" t="s">
        <v>914</v>
      </c>
      <c r="E497" s="499"/>
      <c r="F497" s="500">
        <v>40.03</v>
      </c>
      <c r="G497" s="501" t="s">
        <v>266</v>
      </c>
      <c r="H497" s="524"/>
      <c r="I497" s="503">
        <f t="shared" si="7"/>
        <v>12244.470000000012</v>
      </c>
    </row>
    <row r="498" spans="2:9">
      <c r="B498" s="512">
        <v>45720</v>
      </c>
      <c r="C498" s="497" t="s">
        <v>117</v>
      </c>
      <c r="D498" s="498" t="s">
        <v>915</v>
      </c>
      <c r="E498" s="499"/>
      <c r="F498" s="500">
        <v>187.76</v>
      </c>
      <c r="G498" s="501" t="s">
        <v>267</v>
      </c>
      <c r="H498" s="524"/>
      <c r="I498" s="503">
        <f t="shared" si="7"/>
        <v>12056.710000000012</v>
      </c>
    </row>
    <row r="499" spans="2:9">
      <c r="B499" s="512">
        <v>45720</v>
      </c>
      <c r="C499" s="507" t="s">
        <v>422</v>
      </c>
      <c r="D499" s="505" t="s">
        <v>423</v>
      </c>
      <c r="E499" s="499"/>
      <c r="F499" s="500">
        <v>1027.8</v>
      </c>
      <c r="G499" s="501" t="s">
        <v>204</v>
      </c>
      <c r="H499" s="524"/>
      <c r="I499" s="503">
        <f t="shared" si="7"/>
        <v>11028.910000000013</v>
      </c>
    </row>
    <row r="500" spans="2:9">
      <c r="B500" s="512">
        <v>45720</v>
      </c>
      <c r="C500" s="507" t="s">
        <v>422</v>
      </c>
      <c r="D500" s="505" t="s">
        <v>423</v>
      </c>
      <c r="E500" s="499"/>
      <c r="F500" s="500">
        <v>226.12</v>
      </c>
      <c r="G500" s="501" t="s">
        <v>274</v>
      </c>
      <c r="H500" s="524"/>
      <c r="I500" s="503">
        <f t="shared" si="7"/>
        <v>10802.790000000012</v>
      </c>
    </row>
    <row r="501" spans="2:9">
      <c r="B501" s="512">
        <v>45720</v>
      </c>
      <c r="C501" s="497" t="s">
        <v>117</v>
      </c>
      <c r="D501" s="498" t="s">
        <v>903</v>
      </c>
      <c r="E501" s="499"/>
      <c r="F501" s="500">
        <v>0.75</v>
      </c>
      <c r="G501" s="501" t="s">
        <v>272</v>
      </c>
      <c r="H501" s="524"/>
      <c r="I501" s="503">
        <f t="shared" si="7"/>
        <v>10802.040000000012</v>
      </c>
    </row>
    <row r="502" spans="2:9">
      <c r="B502" s="512">
        <v>45720</v>
      </c>
      <c r="C502" s="507" t="s">
        <v>283</v>
      </c>
      <c r="D502" s="505" t="s">
        <v>307</v>
      </c>
      <c r="E502" s="499">
        <v>444</v>
      </c>
      <c r="F502" s="500"/>
      <c r="G502" s="501" t="s">
        <v>190</v>
      </c>
      <c r="H502" s="524"/>
      <c r="I502" s="503">
        <f t="shared" si="7"/>
        <v>11246.040000000012</v>
      </c>
    </row>
    <row r="503" spans="2:9">
      <c r="B503" s="512">
        <v>45720</v>
      </c>
      <c r="C503" s="507" t="s">
        <v>283</v>
      </c>
      <c r="D503" s="505" t="s">
        <v>307</v>
      </c>
      <c r="E503" s="499">
        <v>85</v>
      </c>
      <c r="F503" s="500"/>
      <c r="G503" s="501" t="s">
        <v>190</v>
      </c>
      <c r="H503" s="524"/>
      <c r="I503" s="503">
        <f t="shared" si="7"/>
        <v>11331.040000000012</v>
      </c>
    </row>
    <row r="504" spans="2:9">
      <c r="B504" s="512">
        <v>45720</v>
      </c>
      <c r="C504" s="507" t="s">
        <v>283</v>
      </c>
      <c r="D504" s="505" t="s">
        <v>912</v>
      </c>
      <c r="E504" s="499">
        <v>518.5</v>
      </c>
      <c r="F504" s="500"/>
      <c r="G504" s="501" t="s">
        <v>190</v>
      </c>
      <c r="H504" s="524"/>
      <c r="I504" s="503">
        <f t="shared" si="7"/>
        <v>11849.540000000012</v>
      </c>
    </row>
    <row r="505" spans="2:9">
      <c r="B505" s="512">
        <v>45720</v>
      </c>
      <c r="C505" s="507" t="s">
        <v>117</v>
      </c>
      <c r="D505" s="505" t="s">
        <v>918</v>
      </c>
      <c r="E505" s="499"/>
      <c r="F505" s="500">
        <f>E504-513.29</f>
        <v>5.2100000000000364</v>
      </c>
      <c r="G505" s="501" t="s">
        <v>270</v>
      </c>
      <c r="H505" s="524"/>
      <c r="I505" s="503">
        <f t="shared" si="7"/>
        <v>11844.330000000013</v>
      </c>
    </row>
    <row r="506" spans="2:9">
      <c r="B506" s="512">
        <v>45720</v>
      </c>
      <c r="C506" s="507" t="s">
        <v>283</v>
      </c>
      <c r="D506" s="505" t="s">
        <v>909</v>
      </c>
      <c r="E506" s="499">
        <v>311</v>
      </c>
      <c r="F506" s="500"/>
      <c r="G506" s="501" t="s">
        <v>190</v>
      </c>
      <c r="H506" s="524"/>
      <c r="I506" s="503">
        <f t="shared" si="7"/>
        <v>12155.330000000013</v>
      </c>
    </row>
    <row r="507" spans="2:9">
      <c r="B507" s="512">
        <v>45720</v>
      </c>
      <c r="C507" s="507" t="s">
        <v>117</v>
      </c>
      <c r="D507" s="505" t="s">
        <v>911</v>
      </c>
      <c r="E507" s="499"/>
      <c r="F507" s="500">
        <v>3.63</v>
      </c>
      <c r="G507" s="501" t="s">
        <v>269</v>
      </c>
      <c r="H507" s="524"/>
      <c r="I507" s="503">
        <f t="shared" si="7"/>
        <v>12151.700000000013</v>
      </c>
    </row>
    <row r="508" spans="2:9">
      <c r="B508" s="512">
        <v>45721</v>
      </c>
      <c r="C508" s="507" t="s">
        <v>283</v>
      </c>
      <c r="D508" s="505" t="s">
        <v>307</v>
      </c>
      <c r="E508" s="499">
        <v>88.4</v>
      </c>
      <c r="F508" s="500"/>
      <c r="G508" s="501" t="s">
        <v>190</v>
      </c>
      <c r="H508" s="524"/>
      <c r="I508" s="503">
        <f t="shared" si="7"/>
        <v>12240.100000000013</v>
      </c>
    </row>
    <row r="509" spans="2:9">
      <c r="B509" s="512">
        <v>45721</v>
      </c>
      <c r="C509" s="507" t="s">
        <v>283</v>
      </c>
      <c r="D509" s="505" t="s">
        <v>307</v>
      </c>
      <c r="E509" s="499">
        <v>559.79999999999995</v>
      </c>
      <c r="F509" s="500"/>
      <c r="G509" s="501" t="s">
        <v>190</v>
      </c>
      <c r="H509" s="524"/>
      <c r="I509" s="503">
        <f t="shared" si="7"/>
        <v>12799.900000000012</v>
      </c>
    </row>
    <row r="510" spans="2:9">
      <c r="B510" s="512">
        <v>45722</v>
      </c>
      <c r="C510" s="507" t="s">
        <v>283</v>
      </c>
      <c r="D510" s="505" t="s">
        <v>307</v>
      </c>
      <c r="E510" s="499">
        <v>413.9</v>
      </c>
      <c r="F510" s="500"/>
      <c r="G510" s="501" t="s">
        <v>190</v>
      </c>
      <c r="H510" s="524"/>
      <c r="I510" s="503">
        <f t="shared" si="7"/>
        <v>13213.800000000012</v>
      </c>
    </row>
    <row r="511" spans="2:9">
      <c r="B511" s="512">
        <v>45722</v>
      </c>
      <c r="C511" s="507" t="s">
        <v>283</v>
      </c>
      <c r="D511" s="505" t="s">
        <v>307</v>
      </c>
      <c r="E511" s="499">
        <v>102.3</v>
      </c>
      <c r="F511" s="500"/>
      <c r="G511" s="501" t="s">
        <v>190</v>
      </c>
      <c r="H511" s="524"/>
      <c r="I511" s="503">
        <f t="shared" si="7"/>
        <v>13316.100000000011</v>
      </c>
    </row>
    <row r="512" spans="2:9">
      <c r="B512" s="528">
        <v>45716</v>
      </c>
      <c r="C512" s="507" t="s">
        <v>513</v>
      </c>
      <c r="D512" s="505" t="s">
        <v>25</v>
      </c>
      <c r="E512" s="499"/>
      <c r="F512" s="500">
        <v>1206</v>
      </c>
      <c r="G512" s="501" t="s">
        <v>246</v>
      </c>
      <c r="H512" s="524"/>
      <c r="I512" s="503">
        <f t="shared" si="7"/>
        <v>12110.100000000011</v>
      </c>
    </row>
    <row r="513" spans="2:9">
      <c r="B513" s="528">
        <v>45716</v>
      </c>
      <c r="C513" s="497" t="s">
        <v>513</v>
      </c>
      <c r="D513" s="498" t="s">
        <v>26</v>
      </c>
      <c r="E513" s="499"/>
      <c r="F513" s="500">
        <v>1039</v>
      </c>
      <c r="G513" s="501" t="s">
        <v>246</v>
      </c>
      <c r="H513" s="502"/>
      <c r="I513" s="503">
        <f t="shared" si="7"/>
        <v>11071.100000000011</v>
      </c>
    </row>
    <row r="514" spans="2:9">
      <c r="B514" s="528">
        <v>45716</v>
      </c>
      <c r="C514" s="507" t="s">
        <v>286</v>
      </c>
      <c r="D514" s="505" t="s">
        <v>520</v>
      </c>
      <c r="E514" s="499"/>
      <c r="F514" s="500">
        <v>1862</v>
      </c>
      <c r="G514" s="501" t="s">
        <v>139</v>
      </c>
      <c r="H514" s="502"/>
      <c r="I514" s="503">
        <f t="shared" si="7"/>
        <v>9209.1000000000113</v>
      </c>
    </row>
    <row r="515" spans="2:9">
      <c r="B515" s="528">
        <v>45716</v>
      </c>
      <c r="C515" s="507" t="s">
        <v>513</v>
      </c>
      <c r="D515" s="505" t="s">
        <v>29</v>
      </c>
      <c r="E515" s="499"/>
      <c r="F515" s="500">
        <v>1247</v>
      </c>
      <c r="G515" s="501" t="s">
        <v>243</v>
      </c>
      <c r="H515" s="502"/>
      <c r="I515" s="503">
        <f t="shared" si="7"/>
        <v>7962.1000000000113</v>
      </c>
    </row>
    <row r="516" spans="2:9">
      <c r="B516" s="528">
        <v>45716</v>
      </c>
      <c r="C516" s="507" t="s">
        <v>513</v>
      </c>
      <c r="D516" s="505" t="s">
        <v>28</v>
      </c>
      <c r="E516" s="499"/>
      <c r="F516" s="500">
        <v>1358</v>
      </c>
      <c r="G516" s="501" t="s">
        <v>243</v>
      </c>
      <c r="H516" s="502"/>
      <c r="I516" s="503">
        <f t="shared" si="7"/>
        <v>6604.1000000000113</v>
      </c>
    </row>
    <row r="517" spans="2:9">
      <c r="B517" s="528">
        <v>45716</v>
      </c>
      <c r="C517" s="507" t="s">
        <v>513</v>
      </c>
      <c r="D517" s="498" t="s">
        <v>559</v>
      </c>
      <c r="E517" s="499"/>
      <c r="F517" s="500">
        <v>819</v>
      </c>
      <c r="G517" s="501" t="s">
        <v>243</v>
      </c>
      <c r="H517" s="502"/>
      <c r="I517" s="503">
        <f t="shared" si="7"/>
        <v>5785.1000000000113</v>
      </c>
    </row>
    <row r="518" spans="2:9">
      <c r="B518" s="528">
        <v>45716</v>
      </c>
      <c r="C518" s="507" t="s">
        <v>513</v>
      </c>
      <c r="D518" s="505" t="s">
        <v>557</v>
      </c>
      <c r="E518" s="499"/>
      <c r="F518" s="500">
        <v>1059</v>
      </c>
      <c r="G518" s="501" t="s">
        <v>246</v>
      </c>
      <c r="H518" s="524"/>
      <c r="I518" s="503">
        <f t="shared" si="7"/>
        <v>4726.1000000000113</v>
      </c>
    </row>
    <row r="519" spans="2:9">
      <c r="B519" s="528">
        <v>45716</v>
      </c>
      <c r="C519" s="507" t="s">
        <v>513</v>
      </c>
      <c r="D519" s="505" t="s">
        <v>558</v>
      </c>
      <c r="E519" s="499"/>
      <c r="F519" s="500">
        <v>424</v>
      </c>
      <c r="G519" s="501" t="s">
        <v>245</v>
      </c>
      <c r="H519" s="502"/>
      <c r="I519" s="503">
        <f t="shared" si="7"/>
        <v>4302.1000000000113</v>
      </c>
    </row>
    <row r="520" spans="2:9">
      <c r="B520" s="528">
        <v>45716</v>
      </c>
      <c r="C520" s="507" t="s">
        <v>513</v>
      </c>
      <c r="D520" s="505" t="s">
        <v>537</v>
      </c>
      <c r="E520" s="499"/>
      <c r="F520" s="500">
        <v>42</v>
      </c>
      <c r="G520" s="501" t="s">
        <v>245</v>
      </c>
      <c r="H520" s="502"/>
      <c r="I520" s="503">
        <f t="shared" si="7"/>
        <v>4260.1000000000113</v>
      </c>
    </row>
    <row r="521" spans="2:9">
      <c r="B521" s="528">
        <v>45716</v>
      </c>
      <c r="C521" s="497" t="s">
        <v>513</v>
      </c>
      <c r="D521" s="498" t="s">
        <v>560</v>
      </c>
      <c r="E521" s="499"/>
      <c r="F521" s="500">
        <v>179.86</v>
      </c>
      <c r="G521" s="501" t="s">
        <v>245</v>
      </c>
      <c r="H521" s="502"/>
      <c r="I521" s="503">
        <f t="shared" si="7"/>
        <v>4080.2400000000112</v>
      </c>
    </row>
    <row r="522" spans="2:9">
      <c r="B522" s="512">
        <v>45722</v>
      </c>
      <c r="C522" s="497" t="s">
        <v>117</v>
      </c>
      <c r="D522" s="498" t="s">
        <v>903</v>
      </c>
      <c r="E522" s="499"/>
      <c r="F522" s="500">
        <v>6.4</v>
      </c>
      <c r="G522" s="501" t="s">
        <v>272</v>
      </c>
      <c r="H522" s="502"/>
      <c r="I522" s="503">
        <f t="shared" ref="I522:I585" si="8">I521+E522-F522</f>
        <v>4073.8400000000111</v>
      </c>
    </row>
    <row r="523" spans="2:9">
      <c r="B523" s="512">
        <v>45723</v>
      </c>
      <c r="C523" s="507" t="s">
        <v>283</v>
      </c>
      <c r="D523" s="505" t="s">
        <v>307</v>
      </c>
      <c r="E523" s="499">
        <v>457.1</v>
      </c>
      <c r="F523" s="500"/>
      <c r="G523" s="501" t="s">
        <v>190</v>
      </c>
      <c r="H523" s="502"/>
      <c r="I523" s="503">
        <f t="shared" si="8"/>
        <v>4530.9400000000114</v>
      </c>
    </row>
    <row r="524" spans="2:9">
      <c r="B524" s="512">
        <v>45723</v>
      </c>
      <c r="C524" s="507" t="s">
        <v>283</v>
      </c>
      <c r="D524" s="505" t="s">
        <v>307</v>
      </c>
      <c r="E524" s="499">
        <v>71.8</v>
      </c>
      <c r="F524" s="500"/>
      <c r="G524" s="501" t="s">
        <v>190</v>
      </c>
      <c r="H524" s="502"/>
      <c r="I524" s="503">
        <f t="shared" si="8"/>
        <v>4602.7400000000116</v>
      </c>
    </row>
    <row r="525" spans="2:9">
      <c r="B525" s="512">
        <v>45726</v>
      </c>
      <c r="C525" s="507" t="s">
        <v>1022</v>
      </c>
      <c r="D525" s="505" t="s">
        <v>968</v>
      </c>
      <c r="E525" s="499">
        <v>105.4</v>
      </c>
      <c r="F525" s="500"/>
      <c r="G525" s="501" t="s">
        <v>226</v>
      </c>
      <c r="H525" s="502"/>
      <c r="I525" s="503">
        <f t="shared" si="8"/>
        <v>4708.1400000000112</v>
      </c>
    </row>
    <row r="526" spans="2:9">
      <c r="B526" s="512">
        <v>45726</v>
      </c>
      <c r="C526" s="507" t="s">
        <v>1022</v>
      </c>
      <c r="D526" s="505" t="s">
        <v>968</v>
      </c>
      <c r="E526" s="499">
        <v>23.19</v>
      </c>
      <c r="F526" s="500"/>
      <c r="G526" s="501" t="s">
        <v>274</v>
      </c>
      <c r="H526" s="502"/>
      <c r="I526" s="503">
        <f t="shared" si="8"/>
        <v>4731.3300000000108</v>
      </c>
    </row>
    <row r="527" spans="2:9">
      <c r="B527" s="512">
        <v>45726</v>
      </c>
      <c r="C527" s="529" t="s">
        <v>1023</v>
      </c>
      <c r="D527" s="514" t="s">
        <v>100</v>
      </c>
      <c r="E527" s="515"/>
      <c r="F527" s="516">
        <v>314.44</v>
      </c>
      <c r="G527" s="501" t="s">
        <v>194</v>
      </c>
      <c r="H527" s="502"/>
      <c r="I527" s="503">
        <f t="shared" si="8"/>
        <v>4416.8900000000112</v>
      </c>
    </row>
    <row r="528" spans="2:9">
      <c r="B528" s="512">
        <v>45726</v>
      </c>
      <c r="C528" s="529" t="s">
        <v>1023</v>
      </c>
      <c r="D528" s="514" t="s">
        <v>100</v>
      </c>
      <c r="E528" s="515"/>
      <c r="F528" s="516">
        <v>69.180000000000007</v>
      </c>
      <c r="G528" s="501" t="s">
        <v>274</v>
      </c>
      <c r="H528" s="502"/>
      <c r="I528" s="503">
        <f t="shared" si="8"/>
        <v>4347.710000000011</v>
      </c>
    </row>
    <row r="529" spans="2:9">
      <c r="B529" s="512">
        <v>45726</v>
      </c>
      <c r="C529" s="513" t="s">
        <v>117</v>
      </c>
      <c r="D529" s="514" t="s">
        <v>903</v>
      </c>
      <c r="E529" s="515"/>
      <c r="F529" s="516">
        <v>1</v>
      </c>
      <c r="G529" s="501" t="s">
        <v>272</v>
      </c>
      <c r="H529" s="502"/>
      <c r="I529" s="503">
        <f t="shared" si="8"/>
        <v>4346.710000000011</v>
      </c>
    </row>
    <row r="530" spans="2:9">
      <c r="B530" s="512">
        <v>45726</v>
      </c>
      <c r="C530" s="507" t="s">
        <v>283</v>
      </c>
      <c r="D530" s="505" t="s">
        <v>307</v>
      </c>
      <c r="E530" s="499">
        <v>123</v>
      </c>
      <c r="F530" s="500"/>
      <c r="G530" s="501" t="s">
        <v>190</v>
      </c>
      <c r="H530" s="508"/>
      <c r="I530" s="503">
        <f t="shared" si="8"/>
        <v>4469.710000000011</v>
      </c>
    </row>
    <row r="531" spans="2:9">
      <c r="B531" s="512">
        <v>45726</v>
      </c>
      <c r="C531" s="507" t="s">
        <v>283</v>
      </c>
      <c r="D531" s="505" t="s">
        <v>307</v>
      </c>
      <c r="E531" s="499">
        <v>412.8</v>
      </c>
      <c r="F531" s="500"/>
      <c r="G531" s="501" t="s">
        <v>190</v>
      </c>
      <c r="H531" s="508"/>
      <c r="I531" s="503">
        <f t="shared" si="8"/>
        <v>4882.5100000000111</v>
      </c>
    </row>
    <row r="532" spans="2:9">
      <c r="B532" s="512">
        <v>45726</v>
      </c>
      <c r="C532" s="507" t="s">
        <v>283</v>
      </c>
      <c r="D532" s="505" t="s">
        <v>307</v>
      </c>
      <c r="E532" s="499">
        <v>240.1</v>
      </c>
      <c r="F532" s="500"/>
      <c r="G532" s="501" t="s">
        <v>190</v>
      </c>
      <c r="H532" s="502"/>
      <c r="I532" s="503">
        <f t="shared" si="8"/>
        <v>5122.6100000000115</v>
      </c>
    </row>
    <row r="533" spans="2:9">
      <c r="B533" s="512">
        <v>45726</v>
      </c>
      <c r="C533" s="507" t="s">
        <v>283</v>
      </c>
      <c r="D533" s="505" t="s">
        <v>307</v>
      </c>
      <c r="E533" s="499">
        <v>1174.3</v>
      </c>
      <c r="F533" s="500"/>
      <c r="G533" s="501" t="s">
        <v>190</v>
      </c>
      <c r="H533" s="524"/>
      <c r="I533" s="503">
        <f t="shared" si="8"/>
        <v>6296.9100000000117</v>
      </c>
    </row>
    <row r="534" spans="2:9">
      <c r="B534" s="512">
        <v>45726</v>
      </c>
      <c r="C534" s="507" t="s">
        <v>283</v>
      </c>
      <c r="D534" s="505" t="s">
        <v>307</v>
      </c>
      <c r="E534" s="499">
        <v>2174.5</v>
      </c>
      <c r="F534" s="500"/>
      <c r="G534" s="501" t="s">
        <v>190</v>
      </c>
      <c r="H534" s="524"/>
      <c r="I534" s="503">
        <f t="shared" si="8"/>
        <v>8471.4100000000108</v>
      </c>
    </row>
    <row r="535" spans="2:9">
      <c r="B535" s="512">
        <v>45726</v>
      </c>
      <c r="C535" s="507" t="s">
        <v>283</v>
      </c>
      <c r="D535" s="505" t="s">
        <v>307</v>
      </c>
      <c r="E535" s="499">
        <v>1169.8499999999999</v>
      </c>
      <c r="F535" s="500"/>
      <c r="G535" s="501" t="s">
        <v>190</v>
      </c>
      <c r="H535" s="524"/>
      <c r="I535" s="503">
        <f t="shared" si="8"/>
        <v>9641.2600000000111</v>
      </c>
    </row>
    <row r="536" spans="2:9">
      <c r="B536" s="512">
        <v>45726</v>
      </c>
      <c r="C536" s="507" t="s">
        <v>283</v>
      </c>
      <c r="D536" s="505" t="s">
        <v>912</v>
      </c>
      <c r="E536" s="499">
        <v>1379.5</v>
      </c>
      <c r="F536" s="500"/>
      <c r="G536" s="501" t="s">
        <v>190</v>
      </c>
      <c r="H536" s="502"/>
      <c r="I536" s="503">
        <f t="shared" si="8"/>
        <v>11020.760000000011</v>
      </c>
    </row>
    <row r="537" spans="2:9">
      <c r="B537" s="512">
        <v>45726</v>
      </c>
      <c r="C537" s="507" t="s">
        <v>117</v>
      </c>
      <c r="D537" s="505" t="s">
        <v>918</v>
      </c>
      <c r="E537" s="499"/>
      <c r="F537" s="500">
        <f>E536-1365.65</f>
        <v>13.849999999999909</v>
      </c>
      <c r="G537" s="501" t="s">
        <v>270</v>
      </c>
      <c r="H537" s="502"/>
      <c r="I537" s="503">
        <f t="shared" si="8"/>
        <v>11006.910000000011</v>
      </c>
    </row>
    <row r="538" spans="2:9">
      <c r="B538" s="512">
        <v>45726</v>
      </c>
      <c r="C538" s="507" t="s">
        <v>283</v>
      </c>
      <c r="D538" s="505" t="s">
        <v>909</v>
      </c>
      <c r="E538" s="499">
        <v>208.6</v>
      </c>
      <c r="F538" s="500"/>
      <c r="G538" s="501" t="s">
        <v>190</v>
      </c>
      <c r="H538" s="502"/>
      <c r="I538" s="503">
        <f t="shared" si="8"/>
        <v>11215.510000000011</v>
      </c>
    </row>
    <row r="539" spans="2:9">
      <c r="B539" s="512">
        <v>45726</v>
      </c>
      <c r="C539" s="507" t="s">
        <v>117</v>
      </c>
      <c r="D539" s="505" t="s">
        <v>911</v>
      </c>
      <c r="E539" s="499"/>
      <c r="F539" s="500">
        <v>4.01</v>
      </c>
      <c r="G539" s="501" t="s">
        <v>269</v>
      </c>
      <c r="H539" s="502"/>
      <c r="I539" s="503">
        <f t="shared" si="8"/>
        <v>11211.500000000011</v>
      </c>
    </row>
    <row r="540" spans="2:9">
      <c r="B540" s="512">
        <v>45727</v>
      </c>
      <c r="C540" s="507" t="s">
        <v>283</v>
      </c>
      <c r="D540" s="505" t="s">
        <v>307</v>
      </c>
      <c r="E540" s="499">
        <v>387.6</v>
      </c>
      <c r="F540" s="500"/>
      <c r="G540" s="501" t="s">
        <v>190</v>
      </c>
      <c r="H540" s="502"/>
      <c r="I540" s="503">
        <f t="shared" si="8"/>
        <v>11599.100000000011</v>
      </c>
    </row>
    <row r="541" spans="2:9">
      <c r="B541" s="512">
        <v>45727</v>
      </c>
      <c r="C541" s="507" t="s">
        <v>389</v>
      </c>
      <c r="D541" s="505" t="s">
        <v>390</v>
      </c>
      <c r="E541" s="499"/>
      <c r="F541" s="500">
        <v>100.8</v>
      </c>
      <c r="G541" s="501" t="s">
        <v>218</v>
      </c>
      <c r="H541" s="502"/>
      <c r="I541" s="503">
        <f t="shared" si="8"/>
        <v>11498.300000000012</v>
      </c>
    </row>
    <row r="542" spans="2:9">
      <c r="B542" s="512">
        <v>45727</v>
      </c>
      <c r="C542" s="507" t="s">
        <v>389</v>
      </c>
      <c r="D542" s="505" t="s">
        <v>390</v>
      </c>
      <c r="E542" s="499"/>
      <c r="F542" s="500">
        <v>22.18</v>
      </c>
      <c r="G542" s="501" t="s">
        <v>274</v>
      </c>
      <c r="H542" s="502"/>
      <c r="I542" s="503">
        <f t="shared" si="8"/>
        <v>11476.120000000012</v>
      </c>
    </row>
    <row r="543" spans="2:9">
      <c r="B543" s="512">
        <v>45727</v>
      </c>
      <c r="C543" s="513" t="s">
        <v>117</v>
      </c>
      <c r="D543" s="514" t="s">
        <v>903</v>
      </c>
      <c r="E543" s="515"/>
      <c r="F543" s="516">
        <v>1</v>
      </c>
      <c r="G543" s="501" t="s">
        <v>272</v>
      </c>
      <c r="H543" s="502"/>
      <c r="I543" s="503">
        <f t="shared" si="8"/>
        <v>11475.120000000012</v>
      </c>
    </row>
    <row r="544" spans="2:9">
      <c r="B544" s="512">
        <v>45728</v>
      </c>
      <c r="C544" s="507" t="s">
        <v>283</v>
      </c>
      <c r="D544" s="505" t="s">
        <v>307</v>
      </c>
      <c r="E544" s="499">
        <v>49.5</v>
      </c>
      <c r="F544" s="500"/>
      <c r="G544" s="501" t="s">
        <v>190</v>
      </c>
      <c r="H544" s="502"/>
      <c r="I544" s="503">
        <f t="shared" si="8"/>
        <v>11524.620000000012</v>
      </c>
    </row>
    <row r="545" spans="2:9">
      <c r="B545" s="512">
        <v>45728</v>
      </c>
      <c r="C545" s="507" t="s">
        <v>283</v>
      </c>
      <c r="D545" s="505" t="s">
        <v>307</v>
      </c>
      <c r="E545" s="499">
        <v>178.1</v>
      </c>
      <c r="F545" s="500"/>
      <c r="G545" s="501" t="s">
        <v>190</v>
      </c>
      <c r="H545" s="502"/>
      <c r="I545" s="503">
        <f t="shared" si="8"/>
        <v>11702.720000000012</v>
      </c>
    </row>
    <row r="546" spans="2:9">
      <c r="B546" s="528">
        <v>45688</v>
      </c>
      <c r="C546" s="507" t="s">
        <v>1024</v>
      </c>
      <c r="D546" s="505" t="s">
        <v>388</v>
      </c>
      <c r="E546" s="499"/>
      <c r="F546" s="500">
        <v>1588.02</v>
      </c>
      <c r="G546" s="501" t="s">
        <v>197</v>
      </c>
      <c r="H546" s="525" t="s">
        <v>753</v>
      </c>
      <c r="I546" s="503">
        <f t="shared" si="8"/>
        <v>10114.700000000012</v>
      </c>
    </row>
    <row r="547" spans="2:9">
      <c r="B547" s="528">
        <v>45688</v>
      </c>
      <c r="C547" s="497" t="s">
        <v>1024</v>
      </c>
      <c r="D547" s="498" t="s">
        <v>388</v>
      </c>
      <c r="E547" s="499"/>
      <c r="F547" s="500">
        <v>349.36</v>
      </c>
      <c r="G547" s="501" t="s">
        <v>197</v>
      </c>
      <c r="H547" s="525" t="s">
        <v>753</v>
      </c>
      <c r="I547" s="503">
        <f t="shared" si="8"/>
        <v>9765.3400000000111</v>
      </c>
    </row>
    <row r="548" spans="2:9">
      <c r="B548" s="512">
        <v>45729</v>
      </c>
      <c r="C548" s="497" t="s">
        <v>117</v>
      </c>
      <c r="D548" s="498" t="s">
        <v>921</v>
      </c>
      <c r="E548" s="499"/>
      <c r="F548" s="500">
        <v>1.25</v>
      </c>
      <c r="G548" s="501" t="s">
        <v>271</v>
      </c>
      <c r="H548" s="502"/>
      <c r="I548" s="503">
        <f t="shared" si="8"/>
        <v>9764.0900000000111</v>
      </c>
    </row>
    <row r="549" spans="2:9">
      <c r="B549" s="512">
        <v>45729</v>
      </c>
      <c r="C549" s="507" t="s">
        <v>283</v>
      </c>
      <c r="D549" s="505" t="s">
        <v>307</v>
      </c>
      <c r="E549" s="499">
        <v>23.5</v>
      </c>
      <c r="F549" s="500"/>
      <c r="G549" s="501" t="s">
        <v>190</v>
      </c>
      <c r="H549" s="502"/>
      <c r="I549" s="503">
        <f t="shared" si="8"/>
        <v>9787.5900000000111</v>
      </c>
    </row>
    <row r="550" spans="2:9">
      <c r="B550" s="512">
        <v>45729</v>
      </c>
      <c r="C550" s="507" t="s">
        <v>283</v>
      </c>
      <c r="D550" s="505" t="s">
        <v>307</v>
      </c>
      <c r="E550" s="499">
        <v>130.80000000000001</v>
      </c>
      <c r="F550" s="500"/>
      <c r="G550" s="501" t="s">
        <v>190</v>
      </c>
      <c r="H550" s="502"/>
      <c r="I550" s="503">
        <f t="shared" si="8"/>
        <v>9918.3900000000103</v>
      </c>
    </row>
    <row r="551" spans="2:9">
      <c r="B551" s="528">
        <v>45716</v>
      </c>
      <c r="C551" s="507" t="s">
        <v>1025</v>
      </c>
      <c r="D551" s="505" t="s">
        <v>412</v>
      </c>
      <c r="E551" s="499"/>
      <c r="F551" s="500">
        <v>55.72</v>
      </c>
      <c r="G551" s="501" t="s">
        <v>225</v>
      </c>
      <c r="H551" s="525" t="s">
        <v>753</v>
      </c>
      <c r="I551" s="503">
        <f t="shared" si="8"/>
        <v>9862.670000000011</v>
      </c>
    </row>
    <row r="552" spans="2:9">
      <c r="B552" s="528">
        <v>45716</v>
      </c>
      <c r="C552" s="507" t="s">
        <v>1025</v>
      </c>
      <c r="D552" s="498" t="s">
        <v>412</v>
      </c>
      <c r="E552" s="499"/>
      <c r="F552" s="500">
        <v>12.26</v>
      </c>
      <c r="G552" s="501" t="s">
        <v>274</v>
      </c>
      <c r="H552" s="525" t="s">
        <v>753</v>
      </c>
      <c r="I552" s="503">
        <f t="shared" si="8"/>
        <v>9850.4100000000108</v>
      </c>
    </row>
    <row r="553" spans="2:9">
      <c r="B553" s="496">
        <v>45730</v>
      </c>
      <c r="C553" s="497" t="s">
        <v>117</v>
      </c>
      <c r="D553" s="498" t="s">
        <v>921</v>
      </c>
      <c r="E553" s="499"/>
      <c r="F553" s="500">
        <v>1.25</v>
      </c>
      <c r="G553" s="501" t="s">
        <v>271</v>
      </c>
      <c r="H553" s="502"/>
      <c r="I553" s="503">
        <f t="shared" si="8"/>
        <v>9849.1600000000108</v>
      </c>
    </row>
    <row r="554" spans="2:9">
      <c r="B554" s="496">
        <v>45730</v>
      </c>
      <c r="C554" s="507" t="s">
        <v>283</v>
      </c>
      <c r="D554" s="505" t="s">
        <v>307</v>
      </c>
      <c r="E554" s="499">
        <v>113</v>
      </c>
      <c r="F554" s="500"/>
      <c r="G554" s="501" t="s">
        <v>190</v>
      </c>
      <c r="H554" s="502"/>
      <c r="I554" s="503">
        <f t="shared" si="8"/>
        <v>9962.1600000000108</v>
      </c>
    </row>
    <row r="555" spans="2:9">
      <c r="B555" s="496">
        <v>45730</v>
      </c>
      <c r="C555" s="507" t="s">
        <v>283</v>
      </c>
      <c r="D555" s="505" t="s">
        <v>307</v>
      </c>
      <c r="E555" s="499">
        <v>66.5</v>
      </c>
      <c r="F555" s="500"/>
      <c r="G555" s="501" t="s">
        <v>190</v>
      </c>
      <c r="H555" s="502"/>
      <c r="I555" s="503">
        <f t="shared" si="8"/>
        <v>10028.660000000011</v>
      </c>
    </row>
    <row r="556" spans="2:9">
      <c r="B556" s="496">
        <v>45733</v>
      </c>
      <c r="C556" s="507" t="s">
        <v>1026</v>
      </c>
      <c r="D556" s="498" t="s">
        <v>1027</v>
      </c>
      <c r="E556" s="499"/>
      <c r="F556" s="500">
        <v>293</v>
      </c>
      <c r="G556" s="501" t="s">
        <v>216</v>
      </c>
      <c r="H556" s="502"/>
      <c r="I556" s="503">
        <f t="shared" si="8"/>
        <v>9735.6600000000108</v>
      </c>
    </row>
    <row r="557" spans="2:9">
      <c r="B557" s="496">
        <v>45733</v>
      </c>
      <c r="C557" s="497" t="s">
        <v>1026</v>
      </c>
      <c r="D557" s="498" t="s">
        <v>1027</v>
      </c>
      <c r="E557" s="499"/>
      <c r="F557" s="500">
        <v>61.71</v>
      </c>
      <c r="G557" s="501" t="s">
        <v>274</v>
      </c>
      <c r="H557" s="502"/>
      <c r="I557" s="503">
        <f t="shared" si="8"/>
        <v>9673.9500000000116</v>
      </c>
    </row>
    <row r="558" spans="2:9">
      <c r="B558" s="496">
        <v>45733</v>
      </c>
      <c r="C558" s="513" t="s">
        <v>117</v>
      </c>
      <c r="D558" s="514" t="s">
        <v>903</v>
      </c>
      <c r="E558" s="515"/>
      <c r="F558" s="516">
        <v>1</v>
      </c>
      <c r="G558" s="501" t="s">
        <v>272</v>
      </c>
      <c r="H558" s="502"/>
      <c r="I558" s="503">
        <f t="shared" si="8"/>
        <v>9672.9500000000116</v>
      </c>
    </row>
    <row r="559" spans="2:9">
      <c r="B559" s="496">
        <v>45733</v>
      </c>
      <c r="C559" s="507" t="s">
        <v>1028</v>
      </c>
      <c r="D559" s="505" t="s">
        <v>917</v>
      </c>
      <c r="E559" s="499"/>
      <c r="F559" s="500">
        <v>132</v>
      </c>
      <c r="G559" s="501" t="s">
        <v>227</v>
      </c>
      <c r="H559" s="502"/>
      <c r="I559" s="503">
        <f t="shared" si="8"/>
        <v>9540.9500000000116</v>
      </c>
    </row>
    <row r="560" spans="2:9">
      <c r="B560" s="496">
        <v>45733</v>
      </c>
      <c r="C560" s="513" t="s">
        <v>117</v>
      </c>
      <c r="D560" s="514" t="s">
        <v>903</v>
      </c>
      <c r="E560" s="515"/>
      <c r="F560" s="516">
        <v>1</v>
      </c>
      <c r="G560" s="501" t="s">
        <v>272</v>
      </c>
      <c r="H560" s="502"/>
      <c r="I560" s="503">
        <f t="shared" si="8"/>
        <v>9539.9500000000116</v>
      </c>
    </row>
    <row r="561" spans="2:9">
      <c r="B561" s="496">
        <v>45733</v>
      </c>
      <c r="C561" s="507" t="s">
        <v>283</v>
      </c>
      <c r="D561" s="505" t="s">
        <v>307</v>
      </c>
      <c r="E561" s="499">
        <v>436</v>
      </c>
      <c r="F561" s="500"/>
      <c r="G561" s="501" t="s">
        <v>190</v>
      </c>
      <c r="H561" s="502"/>
      <c r="I561" s="503">
        <f t="shared" si="8"/>
        <v>9975.9500000000116</v>
      </c>
    </row>
    <row r="562" spans="2:9">
      <c r="B562" s="496">
        <v>45733</v>
      </c>
      <c r="C562" s="507" t="s">
        <v>283</v>
      </c>
      <c r="D562" s="505" t="s">
        <v>307</v>
      </c>
      <c r="E562" s="499">
        <v>189.3</v>
      </c>
      <c r="F562" s="500"/>
      <c r="G562" s="501" t="s">
        <v>190</v>
      </c>
      <c r="H562" s="502"/>
      <c r="I562" s="503">
        <f t="shared" si="8"/>
        <v>10165.250000000011</v>
      </c>
    </row>
    <row r="563" spans="2:9">
      <c r="B563" s="496">
        <v>45733</v>
      </c>
      <c r="C563" s="507" t="s">
        <v>283</v>
      </c>
      <c r="D563" s="505" t="s">
        <v>307</v>
      </c>
      <c r="E563" s="499">
        <v>421.3</v>
      </c>
      <c r="F563" s="500"/>
      <c r="G563" s="501" t="s">
        <v>190</v>
      </c>
      <c r="H563" s="502"/>
      <c r="I563" s="503">
        <f t="shared" si="8"/>
        <v>10586.55000000001</v>
      </c>
    </row>
    <row r="564" spans="2:9">
      <c r="B564" s="496">
        <v>45733</v>
      </c>
      <c r="C564" s="507" t="s">
        <v>283</v>
      </c>
      <c r="D564" s="505" t="s">
        <v>307</v>
      </c>
      <c r="E564" s="499">
        <v>628.6</v>
      </c>
      <c r="F564" s="500"/>
      <c r="G564" s="501" t="s">
        <v>190</v>
      </c>
      <c r="H564" s="502"/>
      <c r="I564" s="503">
        <f t="shared" si="8"/>
        <v>11215.150000000011</v>
      </c>
    </row>
    <row r="565" spans="2:9">
      <c r="B565" s="496">
        <v>45733</v>
      </c>
      <c r="C565" s="507" t="s">
        <v>283</v>
      </c>
      <c r="D565" s="505" t="s">
        <v>307</v>
      </c>
      <c r="E565" s="499">
        <v>1366.71</v>
      </c>
      <c r="F565" s="500"/>
      <c r="G565" s="501" t="s">
        <v>190</v>
      </c>
      <c r="H565" s="502"/>
      <c r="I565" s="503">
        <f t="shared" si="8"/>
        <v>12581.860000000011</v>
      </c>
    </row>
    <row r="566" spans="2:9">
      <c r="B566" s="496">
        <v>45733</v>
      </c>
      <c r="C566" s="507" t="s">
        <v>283</v>
      </c>
      <c r="D566" s="505" t="s">
        <v>307</v>
      </c>
      <c r="E566" s="499">
        <v>1413.8</v>
      </c>
      <c r="F566" s="500"/>
      <c r="G566" s="501" t="s">
        <v>190</v>
      </c>
      <c r="H566" s="502"/>
      <c r="I566" s="503">
        <f t="shared" si="8"/>
        <v>13995.660000000011</v>
      </c>
    </row>
    <row r="567" spans="2:9">
      <c r="B567" s="496">
        <v>45733</v>
      </c>
      <c r="C567" s="507" t="s">
        <v>283</v>
      </c>
      <c r="D567" s="505" t="s">
        <v>912</v>
      </c>
      <c r="E567" s="499">
        <v>2709</v>
      </c>
      <c r="F567" s="500"/>
      <c r="G567" s="501" t="s">
        <v>190</v>
      </c>
      <c r="H567" s="502"/>
      <c r="I567" s="503">
        <f t="shared" si="8"/>
        <v>16704.660000000011</v>
      </c>
    </row>
    <row r="568" spans="2:9">
      <c r="B568" s="496">
        <v>45733</v>
      </c>
      <c r="C568" s="507" t="s">
        <v>117</v>
      </c>
      <c r="D568" s="505" t="s">
        <v>918</v>
      </c>
      <c r="E568" s="499"/>
      <c r="F568" s="500">
        <f>2709-2681.79</f>
        <v>27.210000000000036</v>
      </c>
      <c r="G568" s="501" t="s">
        <v>270</v>
      </c>
      <c r="H568" s="502"/>
      <c r="I568" s="503">
        <f t="shared" si="8"/>
        <v>16677.450000000012</v>
      </c>
    </row>
    <row r="569" spans="2:9">
      <c r="B569" s="496">
        <v>45733</v>
      </c>
      <c r="C569" s="507" t="s">
        <v>283</v>
      </c>
      <c r="D569" s="505" t="s">
        <v>909</v>
      </c>
      <c r="E569" s="499">
        <v>780.5</v>
      </c>
      <c r="F569" s="500"/>
      <c r="G569" s="501" t="s">
        <v>190</v>
      </c>
      <c r="H569" s="502"/>
      <c r="I569" s="503">
        <f t="shared" si="8"/>
        <v>17457.950000000012</v>
      </c>
    </row>
    <row r="570" spans="2:9">
      <c r="B570" s="496">
        <v>45733</v>
      </c>
      <c r="C570" s="507" t="s">
        <v>117</v>
      </c>
      <c r="D570" s="505" t="s">
        <v>911</v>
      </c>
      <c r="E570" s="499"/>
      <c r="F570" s="500">
        <v>6.61</v>
      </c>
      <c r="G570" s="501" t="s">
        <v>269</v>
      </c>
      <c r="H570" s="502"/>
      <c r="I570" s="503">
        <f t="shared" si="8"/>
        <v>17451.340000000011</v>
      </c>
    </row>
    <row r="571" spans="2:9">
      <c r="B571" s="496">
        <v>45734</v>
      </c>
      <c r="C571" s="507" t="s">
        <v>1029</v>
      </c>
      <c r="D571" s="498" t="s">
        <v>1030</v>
      </c>
      <c r="E571" s="499"/>
      <c r="F571" s="500">
        <v>290</v>
      </c>
      <c r="G571" s="501" t="s">
        <v>216</v>
      </c>
      <c r="H571" s="502"/>
      <c r="I571" s="503">
        <f t="shared" si="8"/>
        <v>17161.340000000011</v>
      </c>
    </row>
    <row r="572" spans="2:9">
      <c r="B572" s="496">
        <v>45734</v>
      </c>
      <c r="C572" s="507" t="s">
        <v>1029</v>
      </c>
      <c r="D572" s="498" t="s">
        <v>1030</v>
      </c>
      <c r="E572" s="499"/>
      <c r="F572" s="500">
        <v>63.8</v>
      </c>
      <c r="G572" s="501" t="s">
        <v>274</v>
      </c>
      <c r="H572" s="502"/>
      <c r="I572" s="503">
        <f t="shared" si="8"/>
        <v>17097.540000000012</v>
      </c>
    </row>
    <row r="573" spans="2:9">
      <c r="B573" s="496">
        <v>45734</v>
      </c>
      <c r="C573" s="513" t="s">
        <v>117</v>
      </c>
      <c r="D573" s="514" t="s">
        <v>903</v>
      </c>
      <c r="E573" s="515"/>
      <c r="F573" s="516">
        <v>1</v>
      </c>
      <c r="G573" s="501" t="s">
        <v>272</v>
      </c>
      <c r="H573" s="502"/>
      <c r="I573" s="503">
        <f t="shared" si="8"/>
        <v>17096.540000000012</v>
      </c>
    </row>
    <row r="574" spans="2:9">
      <c r="B574" s="496">
        <v>45734</v>
      </c>
      <c r="C574" s="507" t="s">
        <v>283</v>
      </c>
      <c r="D574" s="505" t="s">
        <v>307</v>
      </c>
      <c r="E574" s="499">
        <v>62</v>
      </c>
      <c r="F574" s="500"/>
      <c r="G574" s="501" t="s">
        <v>190</v>
      </c>
      <c r="H574" s="502"/>
      <c r="I574" s="503">
        <f t="shared" si="8"/>
        <v>17158.540000000012</v>
      </c>
    </row>
    <row r="575" spans="2:9">
      <c r="B575" s="496">
        <v>45734</v>
      </c>
      <c r="C575" s="507" t="s">
        <v>283</v>
      </c>
      <c r="D575" s="505" t="s">
        <v>307</v>
      </c>
      <c r="E575" s="499">
        <v>699.5</v>
      </c>
      <c r="F575" s="500"/>
      <c r="G575" s="501" t="s">
        <v>190</v>
      </c>
      <c r="H575" s="502"/>
      <c r="I575" s="503">
        <f t="shared" si="8"/>
        <v>17858.040000000012</v>
      </c>
    </row>
    <row r="576" spans="2:9">
      <c r="B576" s="528">
        <v>45716</v>
      </c>
      <c r="C576" s="497" t="s">
        <v>1031</v>
      </c>
      <c r="D576" s="498" t="s">
        <v>1032</v>
      </c>
      <c r="E576" s="499"/>
      <c r="F576" s="500">
        <f>881.82-159.02</f>
        <v>722.80000000000007</v>
      </c>
      <c r="G576" s="501" t="s">
        <v>222</v>
      </c>
      <c r="H576" s="525" t="s">
        <v>753</v>
      </c>
      <c r="I576" s="503">
        <f t="shared" si="8"/>
        <v>17135.240000000013</v>
      </c>
    </row>
    <row r="577" spans="2:9">
      <c r="B577" s="528">
        <v>45716</v>
      </c>
      <c r="C577" s="497" t="s">
        <v>1031</v>
      </c>
      <c r="D577" s="498" t="s">
        <v>1032</v>
      </c>
      <c r="E577" s="499"/>
      <c r="F577" s="500">
        <v>159.02000000000001</v>
      </c>
      <c r="G577" s="501" t="s">
        <v>274</v>
      </c>
      <c r="H577" s="525" t="s">
        <v>753</v>
      </c>
      <c r="I577" s="503">
        <f t="shared" si="8"/>
        <v>16976.220000000012</v>
      </c>
    </row>
    <row r="578" spans="2:9">
      <c r="B578" s="528">
        <v>45716</v>
      </c>
      <c r="C578" s="513" t="s">
        <v>117</v>
      </c>
      <c r="D578" s="514" t="s">
        <v>903</v>
      </c>
      <c r="E578" s="515"/>
      <c r="F578" s="516">
        <v>1</v>
      </c>
      <c r="G578" s="501" t="s">
        <v>272</v>
      </c>
      <c r="H578" s="525" t="s">
        <v>753</v>
      </c>
      <c r="I578" s="503">
        <f t="shared" si="8"/>
        <v>16975.220000000012</v>
      </c>
    </row>
    <row r="579" spans="2:9">
      <c r="B579" s="528">
        <v>45716</v>
      </c>
      <c r="C579" s="497" t="s">
        <v>250</v>
      </c>
      <c r="D579" s="498" t="s">
        <v>250</v>
      </c>
      <c r="E579" s="499"/>
      <c r="F579" s="500">
        <v>2725.72</v>
      </c>
      <c r="G579" s="501" t="s">
        <v>250</v>
      </c>
      <c r="H579" s="525" t="s">
        <v>753</v>
      </c>
      <c r="I579" s="503">
        <f t="shared" si="8"/>
        <v>14249.500000000013</v>
      </c>
    </row>
    <row r="580" spans="2:9">
      <c r="B580" s="528">
        <v>45716</v>
      </c>
      <c r="C580" s="497" t="s">
        <v>117</v>
      </c>
      <c r="D580" s="498" t="s">
        <v>1033</v>
      </c>
      <c r="E580" s="499"/>
      <c r="F580" s="500">
        <v>309.87</v>
      </c>
      <c r="G580" s="501" t="s">
        <v>255</v>
      </c>
      <c r="H580" s="525" t="s">
        <v>753</v>
      </c>
      <c r="I580" s="503">
        <f t="shared" si="8"/>
        <v>13939.630000000012</v>
      </c>
    </row>
    <row r="581" spans="2:9">
      <c r="B581" s="528">
        <v>45716</v>
      </c>
      <c r="C581" s="497">
        <v>84</v>
      </c>
      <c r="D581" s="498" t="s">
        <v>1032</v>
      </c>
      <c r="E581" s="499"/>
      <c r="F581" s="500">
        <v>355</v>
      </c>
      <c r="G581" s="501"/>
      <c r="H581" s="508" t="s">
        <v>554</v>
      </c>
      <c r="I581" s="503">
        <f t="shared" si="8"/>
        <v>13584.630000000012</v>
      </c>
    </row>
    <row r="582" spans="2:9">
      <c r="B582" s="528">
        <v>45716</v>
      </c>
      <c r="C582" s="497" t="s">
        <v>117</v>
      </c>
      <c r="D582" s="498" t="s">
        <v>1032</v>
      </c>
      <c r="E582" s="499"/>
      <c r="F582" s="500">
        <v>222.06</v>
      </c>
      <c r="G582" s="501"/>
      <c r="H582" s="508" t="s">
        <v>554</v>
      </c>
      <c r="I582" s="503">
        <f t="shared" si="8"/>
        <v>13362.570000000012</v>
      </c>
    </row>
    <row r="583" spans="2:9">
      <c r="B583" s="528">
        <v>45716</v>
      </c>
      <c r="C583" s="497">
        <v>67</v>
      </c>
      <c r="D583" s="498" t="s">
        <v>329</v>
      </c>
      <c r="E583" s="499"/>
      <c r="F583" s="500">
        <v>83.33</v>
      </c>
      <c r="G583" s="501" t="s">
        <v>221</v>
      </c>
      <c r="H583" s="525" t="s">
        <v>753</v>
      </c>
      <c r="I583" s="503">
        <f t="shared" si="8"/>
        <v>13279.240000000013</v>
      </c>
    </row>
    <row r="584" spans="2:9">
      <c r="B584" s="496">
        <v>45734</v>
      </c>
      <c r="C584" s="497" t="s">
        <v>1034</v>
      </c>
      <c r="D584" s="498" t="s">
        <v>385</v>
      </c>
      <c r="E584" s="499"/>
      <c r="F584" s="500">
        <v>1728.96</v>
      </c>
      <c r="G584" s="530" t="s">
        <v>194</v>
      </c>
      <c r="H584" s="502"/>
      <c r="I584" s="503">
        <f t="shared" si="8"/>
        <v>11550.280000000013</v>
      </c>
    </row>
    <row r="585" spans="2:9">
      <c r="B585" s="496">
        <v>45734</v>
      </c>
      <c r="C585" s="497" t="s">
        <v>1034</v>
      </c>
      <c r="D585" s="498" t="s">
        <v>385</v>
      </c>
      <c r="E585" s="499"/>
      <c r="F585" s="500">
        <v>380.37</v>
      </c>
      <c r="G585" s="501" t="s">
        <v>274</v>
      </c>
      <c r="H585" s="502"/>
      <c r="I585" s="503">
        <f t="shared" si="8"/>
        <v>11169.910000000013</v>
      </c>
    </row>
    <row r="586" spans="2:9">
      <c r="B586" s="496">
        <v>45734</v>
      </c>
      <c r="C586" s="513" t="s">
        <v>117</v>
      </c>
      <c r="D586" s="514" t="s">
        <v>903</v>
      </c>
      <c r="E586" s="515"/>
      <c r="F586" s="516">
        <v>1</v>
      </c>
      <c r="G586" s="501" t="s">
        <v>272</v>
      </c>
      <c r="H586" s="502"/>
      <c r="I586" s="503">
        <f t="shared" ref="I586:I649" si="9">I585+E586-F586</f>
        <v>11168.910000000013</v>
      </c>
    </row>
    <row r="587" spans="2:9">
      <c r="B587" s="496">
        <v>45734</v>
      </c>
      <c r="C587" s="497" t="s">
        <v>1035</v>
      </c>
      <c r="D587" s="498" t="s">
        <v>383</v>
      </c>
      <c r="E587" s="499"/>
      <c r="F587" s="500">
        <v>281.67</v>
      </c>
      <c r="G587" s="501" t="s">
        <v>199</v>
      </c>
      <c r="H587" s="502"/>
      <c r="I587" s="503">
        <f t="shared" si="9"/>
        <v>10887.240000000013</v>
      </c>
    </row>
    <row r="588" spans="2:9">
      <c r="B588" s="496">
        <v>45734</v>
      </c>
      <c r="C588" s="497" t="s">
        <v>1035</v>
      </c>
      <c r="D588" s="498" t="s">
        <v>383</v>
      </c>
      <c r="E588" s="499"/>
      <c r="F588" s="500">
        <v>23.81</v>
      </c>
      <c r="G588" s="501" t="s">
        <v>274</v>
      </c>
      <c r="H588" s="502"/>
      <c r="I588" s="503">
        <f t="shared" si="9"/>
        <v>10863.430000000013</v>
      </c>
    </row>
    <row r="589" spans="2:9">
      <c r="B589" s="496">
        <v>45734</v>
      </c>
      <c r="C589" s="513" t="s">
        <v>117</v>
      </c>
      <c r="D589" s="514" t="s">
        <v>903</v>
      </c>
      <c r="E589" s="499"/>
      <c r="F589" s="500">
        <v>0.75</v>
      </c>
      <c r="G589" s="501" t="s">
        <v>272</v>
      </c>
      <c r="H589" s="502"/>
      <c r="I589" s="503">
        <f t="shared" si="9"/>
        <v>10862.680000000013</v>
      </c>
    </row>
    <row r="590" spans="2:9">
      <c r="B590" s="496">
        <v>45734</v>
      </c>
      <c r="C590" s="507" t="s">
        <v>117</v>
      </c>
      <c r="D590" s="498" t="s">
        <v>1002</v>
      </c>
      <c r="E590" s="499"/>
      <c r="F590" s="500">
        <v>3452</v>
      </c>
      <c r="G590" s="501" t="s">
        <v>241</v>
      </c>
      <c r="H590" s="502"/>
      <c r="I590" s="503">
        <f t="shared" si="9"/>
        <v>7410.680000000013</v>
      </c>
    </row>
    <row r="591" spans="2:9">
      <c r="B591" s="496">
        <v>45734</v>
      </c>
      <c r="C591" s="513" t="s">
        <v>117</v>
      </c>
      <c r="D591" s="514" t="s">
        <v>903</v>
      </c>
      <c r="E591" s="499"/>
      <c r="F591" s="500">
        <v>1</v>
      </c>
      <c r="G591" s="501" t="s">
        <v>272</v>
      </c>
      <c r="H591" s="502"/>
      <c r="I591" s="503">
        <f t="shared" si="9"/>
        <v>7409.680000000013</v>
      </c>
    </row>
    <row r="592" spans="2:9">
      <c r="B592" s="496">
        <v>45734</v>
      </c>
      <c r="C592" s="507" t="s">
        <v>283</v>
      </c>
      <c r="D592" s="505" t="s">
        <v>912</v>
      </c>
      <c r="E592" s="499">
        <f>298+133</f>
        <v>431</v>
      </c>
      <c r="F592" s="500"/>
      <c r="G592" s="501" t="s">
        <v>190</v>
      </c>
      <c r="H592" s="502"/>
      <c r="I592" s="503">
        <f t="shared" si="9"/>
        <v>7840.680000000013</v>
      </c>
    </row>
    <row r="593" spans="2:9">
      <c r="B593" s="496">
        <v>45734</v>
      </c>
      <c r="C593" s="507" t="s">
        <v>117</v>
      </c>
      <c r="D593" s="505" t="s">
        <v>918</v>
      </c>
      <c r="E593" s="499"/>
      <c r="F593" s="500">
        <f>3+1.33</f>
        <v>4.33</v>
      </c>
      <c r="G593" s="501" t="s">
        <v>270</v>
      </c>
      <c r="H593" s="502"/>
      <c r="I593" s="503">
        <f t="shared" si="9"/>
        <v>7836.3500000000131</v>
      </c>
    </row>
    <row r="594" spans="2:9">
      <c r="B594" s="496">
        <v>45734</v>
      </c>
      <c r="C594" s="511" t="s">
        <v>1036</v>
      </c>
      <c r="D594" s="498" t="s">
        <v>100</v>
      </c>
      <c r="E594" s="499"/>
      <c r="F594" s="500">
        <v>444.38</v>
      </c>
      <c r="G594" s="501" t="s">
        <v>194</v>
      </c>
      <c r="H594" s="502"/>
      <c r="I594" s="503">
        <f t="shared" si="9"/>
        <v>7391.970000000013</v>
      </c>
    </row>
    <row r="595" spans="2:9">
      <c r="B595" s="496">
        <v>45734</v>
      </c>
      <c r="C595" s="511" t="s">
        <v>1036</v>
      </c>
      <c r="D595" s="498" t="s">
        <v>100</v>
      </c>
      <c r="E595" s="499"/>
      <c r="F595" s="500">
        <v>97.76</v>
      </c>
      <c r="G595" s="501" t="s">
        <v>274</v>
      </c>
      <c r="H595" s="502"/>
      <c r="I595" s="503">
        <f t="shared" si="9"/>
        <v>7294.2100000000128</v>
      </c>
    </row>
    <row r="596" spans="2:9">
      <c r="B596" s="496">
        <v>45734</v>
      </c>
      <c r="C596" s="513" t="s">
        <v>117</v>
      </c>
      <c r="D596" s="514" t="s">
        <v>903</v>
      </c>
      <c r="E596" s="499"/>
      <c r="F596" s="500">
        <v>1</v>
      </c>
      <c r="G596" s="501" t="s">
        <v>272</v>
      </c>
      <c r="H596" s="502"/>
      <c r="I596" s="503">
        <f t="shared" si="9"/>
        <v>7293.2100000000128</v>
      </c>
    </row>
    <row r="597" spans="2:9">
      <c r="B597" s="496">
        <v>45734</v>
      </c>
      <c r="C597" s="507" t="s">
        <v>283</v>
      </c>
      <c r="D597" s="505" t="s">
        <v>909</v>
      </c>
      <c r="E597" s="499">
        <v>270</v>
      </c>
      <c r="F597" s="500"/>
      <c r="G597" s="501" t="s">
        <v>190</v>
      </c>
      <c r="H597" s="524"/>
      <c r="I597" s="503">
        <f t="shared" si="9"/>
        <v>7563.2100000000128</v>
      </c>
    </row>
    <row r="598" spans="2:9">
      <c r="B598" s="496">
        <v>45734</v>
      </c>
      <c r="C598" s="507" t="s">
        <v>117</v>
      </c>
      <c r="D598" s="505" t="s">
        <v>911</v>
      </c>
      <c r="E598" s="499"/>
      <c r="F598" s="500">
        <v>2.57</v>
      </c>
      <c r="G598" s="501" t="s">
        <v>269</v>
      </c>
      <c r="H598" s="524"/>
      <c r="I598" s="503">
        <f t="shared" si="9"/>
        <v>7560.6400000000131</v>
      </c>
    </row>
    <row r="599" spans="2:9">
      <c r="B599" s="496">
        <v>45735</v>
      </c>
      <c r="C599" s="507" t="s">
        <v>283</v>
      </c>
      <c r="D599" s="505" t="s">
        <v>307</v>
      </c>
      <c r="E599" s="499">
        <v>1212.7</v>
      </c>
      <c r="F599" s="500"/>
      <c r="G599" s="501" t="s">
        <v>190</v>
      </c>
      <c r="H599" s="524"/>
      <c r="I599" s="503">
        <f t="shared" si="9"/>
        <v>8773.3400000000129</v>
      </c>
    </row>
    <row r="600" spans="2:9">
      <c r="B600" s="496">
        <v>45735</v>
      </c>
      <c r="C600" s="507" t="s">
        <v>283</v>
      </c>
      <c r="D600" s="505" t="s">
        <v>307</v>
      </c>
      <c r="E600" s="499">
        <v>104.2</v>
      </c>
      <c r="F600" s="500"/>
      <c r="G600" s="501" t="s">
        <v>190</v>
      </c>
      <c r="H600" s="524"/>
      <c r="I600" s="503">
        <f t="shared" si="9"/>
        <v>8877.5400000000136</v>
      </c>
    </row>
    <row r="601" spans="2:9">
      <c r="B601" s="496">
        <v>45735</v>
      </c>
      <c r="C601" s="511" t="s">
        <v>1037</v>
      </c>
      <c r="D601" s="498" t="s">
        <v>1038</v>
      </c>
      <c r="E601" s="499"/>
      <c r="F601" s="500">
        <v>429.98</v>
      </c>
      <c r="G601" s="501" t="s">
        <v>194</v>
      </c>
      <c r="H601" s="524"/>
      <c r="I601" s="503">
        <f t="shared" si="9"/>
        <v>8447.560000000014</v>
      </c>
    </row>
    <row r="602" spans="2:9">
      <c r="B602" s="496">
        <v>45735</v>
      </c>
      <c r="C602" s="497" t="s">
        <v>1037</v>
      </c>
      <c r="D602" s="498" t="s">
        <v>1038</v>
      </c>
      <c r="E602" s="499"/>
      <c r="F602" s="500">
        <v>110.6</v>
      </c>
      <c r="G602" s="501" t="s">
        <v>274</v>
      </c>
      <c r="H602" s="502"/>
      <c r="I602" s="503">
        <f t="shared" si="9"/>
        <v>8336.9600000000137</v>
      </c>
    </row>
    <row r="603" spans="2:9">
      <c r="B603" s="496">
        <v>45735</v>
      </c>
      <c r="C603" s="513" t="s">
        <v>117</v>
      </c>
      <c r="D603" s="514" t="s">
        <v>903</v>
      </c>
      <c r="E603" s="499"/>
      <c r="F603" s="500">
        <v>1</v>
      </c>
      <c r="G603" s="501" t="s">
        <v>272</v>
      </c>
      <c r="H603" s="502"/>
      <c r="I603" s="503">
        <f t="shared" si="9"/>
        <v>8335.9600000000137</v>
      </c>
    </row>
    <row r="604" spans="2:9">
      <c r="B604" s="496">
        <v>45736</v>
      </c>
      <c r="C604" s="497">
        <v>10</v>
      </c>
      <c r="D604" s="498" t="s">
        <v>1039</v>
      </c>
      <c r="E604" s="499"/>
      <c r="F604" s="500">
        <v>702</v>
      </c>
      <c r="G604" s="501" t="s">
        <v>218</v>
      </c>
      <c r="H604" s="524"/>
      <c r="I604" s="503">
        <f t="shared" si="9"/>
        <v>7633.9600000000137</v>
      </c>
    </row>
    <row r="605" spans="2:9">
      <c r="B605" s="496">
        <v>45736</v>
      </c>
      <c r="C605" s="513" t="s">
        <v>117</v>
      </c>
      <c r="D605" s="514" t="s">
        <v>903</v>
      </c>
      <c r="E605" s="499"/>
      <c r="F605" s="500">
        <v>0.75</v>
      </c>
      <c r="G605" s="501" t="s">
        <v>272</v>
      </c>
      <c r="H605" s="524"/>
      <c r="I605" s="503">
        <f t="shared" si="9"/>
        <v>7633.2100000000137</v>
      </c>
    </row>
    <row r="606" spans="2:9">
      <c r="B606" s="496">
        <v>45736</v>
      </c>
      <c r="C606" s="507" t="s">
        <v>283</v>
      </c>
      <c r="D606" s="505" t="s">
        <v>307</v>
      </c>
      <c r="E606" s="499">
        <v>105.9</v>
      </c>
      <c r="F606" s="500"/>
      <c r="G606" s="501" t="s">
        <v>190</v>
      </c>
      <c r="H606" s="524"/>
      <c r="I606" s="503">
        <f t="shared" si="9"/>
        <v>7739.1100000000133</v>
      </c>
    </row>
    <row r="607" spans="2:9">
      <c r="B607" s="496">
        <v>45736</v>
      </c>
      <c r="C607" s="507" t="s">
        <v>283</v>
      </c>
      <c r="D607" s="505" t="s">
        <v>307</v>
      </c>
      <c r="E607" s="499">
        <v>732.2</v>
      </c>
      <c r="F607" s="500"/>
      <c r="G607" s="501" t="s">
        <v>190</v>
      </c>
      <c r="H607" s="524"/>
      <c r="I607" s="503">
        <f t="shared" si="9"/>
        <v>8471.310000000014</v>
      </c>
    </row>
    <row r="608" spans="2:9">
      <c r="B608" s="496">
        <v>45737</v>
      </c>
      <c r="C608" s="507" t="s">
        <v>283</v>
      </c>
      <c r="D608" s="505" t="s">
        <v>307</v>
      </c>
      <c r="E608" s="499">
        <v>501.6</v>
      </c>
      <c r="F608" s="500"/>
      <c r="G608" s="501" t="s">
        <v>190</v>
      </c>
      <c r="H608" s="502"/>
      <c r="I608" s="503">
        <f t="shared" si="9"/>
        <v>8972.9100000000144</v>
      </c>
    </row>
    <row r="609" spans="2:9">
      <c r="B609" s="496">
        <v>45737</v>
      </c>
      <c r="C609" s="507" t="s">
        <v>283</v>
      </c>
      <c r="D609" s="505" t="s">
        <v>307</v>
      </c>
      <c r="E609" s="499">
        <v>172.8</v>
      </c>
      <c r="F609" s="500"/>
      <c r="G609" s="501" t="s">
        <v>190</v>
      </c>
      <c r="H609" s="502"/>
      <c r="I609" s="503">
        <f t="shared" si="9"/>
        <v>9145.7100000000137</v>
      </c>
    </row>
    <row r="610" spans="2:9">
      <c r="B610" s="496">
        <v>45737</v>
      </c>
      <c r="C610" s="507" t="s">
        <v>1040</v>
      </c>
      <c r="D610" s="505" t="s">
        <v>917</v>
      </c>
      <c r="E610" s="499"/>
      <c r="F610" s="500">
        <v>132</v>
      </c>
      <c r="G610" s="501" t="s">
        <v>227</v>
      </c>
      <c r="H610" s="502"/>
      <c r="I610" s="503">
        <f t="shared" si="9"/>
        <v>9013.7100000000137</v>
      </c>
    </row>
    <row r="611" spans="2:9">
      <c r="B611" s="496">
        <v>45737</v>
      </c>
      <c r="C611" s="513" t="s">
        <v>117</v>
      </c>
      <c r="D611" s="514" t="s">
        <v>903</v>
      </c>
      <c r="E611" s="515"/>
      <c r="F611" s="516">
        <v>1</v>
      </c>
      <c r="G611" s="501" t="s">
        <v>272</v>
      </c>
      <c r="H611" s="502"/>
      <c r="I611" s="503">
        <f t="shared" si="9"/>
        <v>9012.7100000000137</v>
      </c>
    </row>
    <row r="612" spans="2:9">
      <c r="B612" s="496">
        <v>45740</v>
      </c>
      <c r="C612" s="507" t="s">
        <v>283</v>
      </c>
      <c r="D612" s="505" t="s">
        <v>307</v>
      </c>
      <c r="E612" s="499">
        <v>112.5</v>
      </c>
      <c r="F612" s="500"/>
      <c r="G612" s="501" t="s">
        <v>190</v>
      </c>
      <c r="H612" s="502"/>
      <c r="I612" s="503">
        <f t="shared" si="9"/>
        <v>9125.2100000000137</v>
      </c>
    </row>
    <row r="613" spans="2:9">
      <c r="B613" s="496">
        <v>45740</v>
      </c>
      <c r="C613" s="507" t="s">
        <v>283</v>
      </c>
      <c r="D613" s="505" t="s">
        <v>307</v>
      </c>
      <c r="E613" s="499">
        <v>185.8</v>
      </c>
      <c r="F613" s="500"/>
      <c r="G613" s="501" t="s">
        <v>190</v>
      </c>
      <c r="H613" s="502"/>
      <c r="I613" s="503">
        <f t="shared" si="9"/>
        <v>9311.010000000013</v>
      </c>
    </row>
    <row r="614" spans="2:9">
      <c r="B614" s="496">
        <v>45740</v>
      </c>
      <c r="C614" s="507" t="s">
        <v>283</v>
      </c>
      <c r="D614" s="505" t="s">
        <v>307</v>
      </c>
      <c r="E614" s="499">
        <v>382.9</v>
      </c>
      <c r="F614" s="500"/>
      <c r="G614" s="501" t="s">
        <v>190</v>
      </c>
      <c r="H614" s="502"/>
      <c r="I614" s="503">
        <f t="shared" si="9"/>
        <v>9693.9100000000126</v>
      </c>
    </row>
    <row r="615" spans="2:9">
      <c r="B615" s="496">
        <v>45740</v>
      </c>
      <c r="C615" s="507" t="s">
        <v>283</v>
      </c>
      <c r="D615" s="505" t="s">
        <v>307</v>
      </c>
      <c r="E615" s="499">
        <v>1102.2</v>
      </c>
      <c r="F615" s="500"/>
      <c r="G615" s="501" t="s">
        <v>190</v>
      </c>
      <c r="H615" s="502"/>
      <c r="I615" s="503">
        <f t="shared" si="9"/>
        <v>10796.110000000013</v>
      </c>
    </row>
    <row r="616" spans="2:9">
      <c r="B616" s="496">
        <v>45740</v>
      </c>
      <c r="C616" s="507" t="s">
        <v>283</v>
      </c>
      <c r="D616" s="505" t="s">
        <v>307</v>
      </c>
      <c r="E616" s="499">
        <v>2485.8000000000002</v>
      </c>
      <c r="F616" s="500"/>
      <c r="G616" s="501" t="s">
        <v>190</v>
      </c>
      <c r="H616" s="502"/>
      <c r="I616" s="503">
        <f t="shared" si="9"/>
        <v>13281.910000000014</v>
      </c>
    </row>
    <row r="617" spans="2:9">
      <c r="B617" s="496">
        <v>45740</v>
      </c>
      <c r="C617" s="507" t="s">
        <v>283</v>
      </c>
      <c r="D617" s="505" t="s">
        <v>307</v>
      </c>
      <c r="E617" s="499">
        <v>2277</v>
      </c>
      <c r="F617" s="500"/>
      <c r="G617" s="501" t="s">
        <v>190</v>
      </c>
      <c r="H617" s="502"/>
      <c r="I617" s="503">
        <f t="shared" si="9"/>
        <v>15558.910000000014</v>
      </c>
    </row>
    <row r="618" spans="2:9">
      <c r="B618" s="496">
        <v>45740</v>
      </c>
      <c r="C618" s="507" t="s">
        <v>283</v>
      </c>
      <c r="D618" s="505" t="s">
        <v>912</v>
      </c>
      <c r="E618" s="499">
        <f>923.5+375.5</f>
        <v>1299</v>
      </c>
      <c r="F618" s="500"/>
      <c r="G618" s="501" t="s">
        <v>190</v>
      </c>
      <c r="H618" s="502"/>
      <c r="I618" s="503">
        <f t="shared" si="9"/>
        <v>16857.910000000014</v>
      </c>
    </row>
    <row r="619" spans="2:9">
      <c r="B619" s="496">
        <v>45740</v>
      </c>
      <c r="C619" s="507" t="s">
        <v>117</v>
      </c>
      <c r="D619" s="505" t="s">
        <v>918</v>
      </c>
      <c r="E619" s="499"/>
      <c r="F619" s="500">
        <f>9.28+3.77</f>
        <v>13.049999999999999</v>
      </c>
      <c r="G619" s="501" t="s">
        <v>270</v>
      </c>
      <c r="H619" s="502"/>
      <c r="I619" s="503">
        <f t="shared" si="9"/>
        <v>16844.860000000015</v>
      </c>
    </row>
    <row r="620" spans="2:9">
      <c r="B620" s="496">
        <v>45740</v>
      </c>
      <c r="C620" s="507" t="s">
        <v>283</v>
      </c>
      <c r="D620" s="505" t="s">
        <v>909</v>
      </c>
      <c r="E620" s="499">
        <v>894</v>
      </c>
      <c r="F620" s="500"/>
      <c r="G620" s="501" t="s">
        <v>190</v>
      </c>
      <c r="H620" s="502"/>
      <c r="I620" s="503">
        <f t="shared" si="9"/>
        <v>17738.860000000015</v>
      </c>
    </row>
    <row r="621" spans="2:9">
      <c r="B621" s="496">
        <v>45741</v>
      </c>
      <c r="C621" s="507" t="s">
        <v>117</v>
      </c>
      <c r="D621" s="505" t="s">
        <v>911</v>
      </c>
      <c r="E621" s="499"/>
      <c r="F621" s="500">
        <v>9.07</v>
      </c>
      <c r="G621" s="501" t="s">
        <v>269</v>
      </c>
      <c r="H621" s="502"/>
      <c r="I621" s="503">
        <f t="shared" si="9"/>
        <v>17729.790000000015</v>
      </c>
    </row>
    <row r="622" spans="2:9">
      <c r="B622" s="496">
        <v>45741</v>
      </c>
      <c r="C622" s="507" t="s">
        <v>283</v>
      </c>
      <c r="D622" s="505" t="s">
        <v>307</v>
      </c>
      <c r="E622" s="499">
        <v>63.3</v>
      </c>
      <c r="F622" s="500"/>
      <c r="G622" s="501" t="s">
        <v>190</v>
      </c>
      <c r="H622" s="502"/>
      <c r="I622" s="503">
        <f t="shared" si="9"/>
        <v>17793.090000000015</v>
      </c>
    </row>
    <row r="623" spans="2:9">
      <c r="B623" s="496">
        <v>45741</v>
      </c>
      <c r="C623" s="507" t="s">
        <v>283</v>
      </c>
      <c r="D623" s="505" t="s">
        <v>307</v>
      </c>
      <c r="E623" s="499">
        <v>612.5</v>
      </c>
      <c r="F623" s="500"/>
      <c r="G623" s="501" t="s">
        <v>190</v>
      </c>
      <c r="H623" s="502"/>
      <c r="I623" s="503">
        <f t="shared" si="9"/>
        <v>18405.590000000015</v>
      </c>
    </row>
    <row r="624" spans="2:9">
      <c r="B624" s="496">
        <v>45741</v>
      </c>
      <c r="C624" s="497" t="s">
        <v>1041</v>
      </c>
      <c r="D624" s="498" t="s">
        <v>100</v>
      </c>
      <c r="E624" s="499"/>
      <c r="F624" s="500">
        <v>818.85</v>
      </c>
      <c r="G624" s="501" t="s">
        <v>194</v>
      </c>
      <c r="H624" s="502"/>
      <c r="I624" s="503">
        <f t="shared" si="9"/>
        <v>17586.740000000016</v>
      </c>
    </row>
    <row r="625" spans="2:9">
      <c r="B625" s="496">
        <v>45741</v>
      </c>
      <c r="C625" s="497" t="s">
        <v>1041</v>
      </c>
      <c r="D625" s="498" t="s">
        <v>100</v>
      </c>
      <c r="E625" s="499"/>
      <c r="F625" s="500">
        <v>180.15</v>
      </c>
      <c r="G625" s="501" t="s">
        <v>274</v>
      </c>
      <c r="H625" s="502"/>
      <c r="I625" s="503">
        <f t="shared" si="9"/>
        <v>17406.590000000015</v>
      </c>
    </row>
    <row r="626" spans="2:9">
      <c r="B626" s="496">
        <v>45741</v>
      </c>
      <c r="C626" s="513" t="s">
        <v>117</v>
      </c>
      <c r="D626" s="514" t="s">
        <v>903</v>
      </c>
      <c r="E626" s="515"/>
      <c r="F626" s="516">
        <v>1</v>
      </c>
      <c r="G626" s="501" t="s">
        <v>272</v>
      </c>
      <c r="H626" s="502"/>
      <c r="I626" s="503">
        <f t="shared" si="9"/>
        <v>17405.590000000015</v>
      </c>
    </row>
    <row r="627" spans="2:9">
      <c r="B627" s="496">
        <v>45741</v>
      </c>
      <c r="C627" s="510"/>
      <c r="D627" s="520"/>
      <c r="E627" s="499"/>
      <c r="F627" s="500">
        <v>314.58999999999997</v>
      </c>
      <c r="G627" s="531" t="s">
        <v>197</v>
      </c>
      <c r="H627" s="502"/>
      <c r="I627" s="503">
        <f t="shared" si="9"/>
        <v>17091.000000000015</v>
      </c>
    </row>
    <row r="628" spans="2:9">
      <c r="B628" s="496">
        <v>45741</v>
      </c>
      <c r="C628" s="507" t="s">
        <v>283</v>
      </c>
      <c r="D628" s="505" t="s">
        <v>912</v>
      </c>
      <c r="E628" s="499">
        <f>384.5+102.5</f>
        <v>487</v>
      </c>
      <c r="F628" s="500"/>
      <c r="G628" s="501" t="s">
        <v>190</v>
      </c>
      <c r="H628" s="502"/>
      <c r="I628" s="503">
        <f t="shared" si="9"/>
        <v>17578.000000000015</v>
      </c>
    </row>
    <row r="629" spans="2:9">
      <c r="B629" s="496">
        <v>45741</v>
      </c>
      <c r="C629" s="507" t="s">
        <v>117</v>
      </c>
      <c r="D629" s="505" t="s">
        <v>918</v>
      </c>
      <c r="E629" s="499"/>
      <c r="F629" s="500">
        <f>3.85+1.03</f>
        <v>4.88</v>
      </c>
      <c r="G629" s="501" t="s">
        <v>270</v>
      </c>
      <c r="H629" s="502"/>
      <c r="I629" s="503">
        <f t="shared" si="9"/>
        <v>17573.120000000014</v>
      </c>
    </row>
    <row r="630" spans="2:9">
      <c r="B630" s="496">
        <v>45741</v>
      </c>
      <c r="C630" s="497">
        <v>4701526679</v>
      </c>
      <c r="D630" s="498" t="s">
        <v>922</v>
      </c>
      <c r="E630" s="499"/>
      <c r="F630" s="500">
        <v>3013.51</v>
      </c>
      <c r="G630" s="501" t="s">
        <v>194</v>
      </c>
      <c r="H630" s="502"/>
      <c r="I630" s="503">
        <f t="shared" si="9"/>
        <v>14559.610000000013</v>
      </c>
    </row>
    <row r="631" spans="2:9">
      <c r="B631" s="496">
        <v>45741</v>
      </c>
      <c r="C631" s="497">
        <v>4701526679</v>
      </c>
      <c r="D631" s="498" t="s">
        <v>922</v>
      </c>
      <c r="E631" s="499"/>
      <c r="F631" s="500">
        <v>662.97</v>
      </c>
      <c r="G631" s="501" t="s">
        <v>274</v>
      </c>
      <c r="H631" s="502"/>
      <c r="I631" s="503">
        <f t="shared" si="9"/>
        <v>13896.640000000014</v>
      </c>
    </row>
    <row r="632" spans="2:9">
      <c r="B632" s="496">
        <v>45741</v>
      </c>
      <c r="C632" s="497" t="s">
        <v>1042</v>
      </c>
      <c r="D632" s="498" t="s">
        <v>922</v>
      </c>
      <c r="E632" s="499"/>
      <c r="F632" s="500">
        <v>559.44000000000005</v>
      </c>
      <c r="G632" s="501" t="s">
        <v>194</v>
      </c>
      <c r="H632" s="502"/>
      <c r="I632" s="503">
        <f t="shared" si="9"/>
        <v>13337.200000000013</v>
      </c>
    </row>
    <row r="633" spans="2:9">
      <c r="B633" s="496">
        <v>45741</v>
      </c>
      <c r="C633" s="497" t="s">
        <v>1042</v>
      </c>
      <c r="D633" s="498" t="s">
        <v>922</v>
      </c>
      <c r="E633" s="499"/>
      <c r="F633" s="500">
        <v>123.08</v>
      </c>
      <c r="G633" s="501" t="s">
        <v>274</v>
      </c>
      <c r="H633" s="502"/>
      <c r="I633" s="503">
        <f t="shared" si="9"/>
        <v>13214.120000000014</v>
      </c>
    </row>
    <row r="634" spans="2:9">
      <c r="B634" s="496">
        <v>45741</v>
      </c>
      <c r="C634" s="513" t="s">
        <v>117</v>
      </c>
      <c r="D634" s="514" t="s">
        <v>903</v>
      </c>
      <c r="E634" s="515"/>
      <c r="F634" s="516">
        <v>1</v>
      </c>
      <c r="G634" s="501" t="s">
        <v>272</v>
      </c>
      <c r="H634" s="502"/>
      <c r="I634" s="503">
        <f t="shared" si="9"/>
        <v>13213.120000000014</v>
      </c>
    </row>
    <row r="635" spans="2:9">
      <c r="B635" s="496">
        <v>45741</v>
      </c>
      <c r="C635" s="507" t="s">
        <v>283</v>
      </c>
      <c r="D635" s="505" t="s">
        <v>909</v>
      </c>
      <c r="E635" s="499">
        <v>85.5</v>
      </c>
      <c r="F635" s="500"/>
      <c r="G635" s="501" t="s">
        <v>190</v>
      </c>
      <c r="H635" s="502"/>
      <c r="I635" s="503">
        <f t="shared" si="9"/>
        <v>13298.620000000014</v>
      </c>
    </row>
    <row r="636" spans="2:9">
      <c r="B636" s="496">
        <v>45741</v>
      </c>
      <c r="C636" s="507" t="s">
        <v>117</v>
      </c>
      <c r="D636" s="505" t="s">
        <v>911</v>
      </c>
      <c r="E636" s="499"/>
      <c r="F636" s="500">
        <v>0.81</v>
      </c>
      <c r="G636" s="501" t="s">
        <v>269</v>
      </c>
      <c r="H636" s="502"/>
      <c r="I636" s="503">
        <f t="shared" si="9"/>
        <v>13297.810000000014</v>
      </c>
    </row>
    <row r="637" spans="2:9">
      <c r="B637" s="496">
        <v>45742</v>
      </c>
      <c r="C637" s="507" t="s">
        <v>283</v>
      </c>
      <c r="D637" s="505" t="s">
        <v>307</v>
      </c>
      <c r="E637" s="499">
        <v>68.8</v>
      </c>
      <c r="F637" s="500"/>
      <c r="G637" s="501" t="s">
        <v>190</v>
      </c>
      <c r="H637" s="502"/>
      <c r="I637" s="503">
        <f t="shared" si="9"/>
        <v>13366.610000000013</v>
      </c>
    </row>
    <row r="638" spans="2:9">
      <c r="B638" s="496">
        <v>45742</v>
      </c>
      <c r="C638" s="507" t="s">
        <v>283</v>
      </c>
      <c r="D638" s="505" t="s">
        <v>307</v>
      </c>
      <c r="E638" s="499">
        <v>331</v>
      </c>
      <c r="F638" s="500"/>
      <c r="G638" s="501" t="s">
        <v>190</v>
      </c>
      <c r="H638" s="502"/>
      <c r="I638" s="503">
        <f t="shared" si="9"/>
        <v>13697.610000000013</v>
      </c>
    </row>
    <row r="639" spans="2:9">
      <c r="B639" s="496">
        <v>45743</v>
      </c>
      <c r="C639" s="497" t="s">
        <v>1043</v>
      </c>
      <c r="D639" s="498" t="s">
        <v>381</v>
      </c>
      <c r="E639" s="499"/>
      <c r="F639" s="500">
        <v>588</v>
      </c>
      <c r="G639" s="501" t="s">
        <v>216</v>
      </c>
      <c r="H639" s="502"/>
      <c r="I639" s="503">
        <f t="shared" si="9"/>
        <v>13109.610000000013</v>
      </c>
    </row>
    <row r="640" spans="2:9">
      <c r="B640" s="496">
        <v>45743</v>
      </c>
      <c r="C640" s="497" t="s">
        <v>1043</v>
      </c>
      <c r="D640" s="498" t="s">
        <v>381</v>
      </c>
      <c r="E640" s="499"/>
      <c r="F640" s="500">
        <v>129.36000000000001</v>
      </c>
      <c r="G640" s="501" t="s">
        <v>274</v>
      </c>
      <c r="H640" s="502"/>
      <c r="I640" s="503">
        <f t="shared" si="9"/>
        <v>12980.250000000013</v>
      </c>
    </row>
    <row r="641" spans="2:9">
      <c r="B641" s="496">
        <v>45743</v>
      </c>
      <c r="C641" s="513" t="s">
        <v>117</v>
      </c>
      <c r="D641" s="514" t="s">
        <v>903</v>
      </c>
      <c r="E641" s="515"/>
      <c r="F641" s="516">
        <v>1</v>
      </c>
      <c r="G641" s="501" t="s">
        <v>272</v>
      </c>
      <c r="H641" s="502"/>
      <c r="I641" s="503">
        <f t="shared" si="9"/>
        <v>12979.250000000013</v>
      </c>
    </row>
    <row r="642" spans="2:9">
      <c r="B642" s="528">
        <v>45716</v>
      </c>
      <c r="C642" s="497" t="s">
        <v>1044</v>
      </c>
      <c r="D642" s="505" t="s">
        <v>1045</v>
      </c>
      <c r="E642" s="499"/>
      <c r="F642" s="500">
        <v>415.65</v>
      </c>
      <c r="G642" s="501" t="s">
        <v>232</v>
      </c>
      <c r="H642" s="502" t="s">
        <v>1046</v>
      </c>
      <c r="I642" s="503">
        <f t="shared" si="9"/>
        <v>12563.600000000013</v>
      </c>
    </row>
    <row r="643" spans="2:9">
      <c r="B643" s="528">
        <v>45716</v>
      </c>
      <c r="C643" s="497" t="s">
        <v>1047</v>
      </c>
      <c r="D643" s="498" t="s">
        <v>952</v>
      </c>
      <c r="E643" s="499"/>
      <c r="F643" s="500">
        <v>73.650000000000006</v>
      </c>
      <c r="G643" s="501" t="s">
        <v>230</v>
      </c>
      <c r="H643" s="502" t="s">
        <v>1046</v>
      </c>
      <c r="I643" s="503">
        <f t="shared" si="9"/>
        <v>12489.950000000013</v>
      </c>
    </row>
    <row r="644" spans="2:9">
      <c r="B644" s="528">
        <v>45716</v>
      </c>
      <c r="C644" s="497" t="s">
        <v>1047</v>
      </c>
      <c r="D644" s="498" t="s">
        <v>952</v>
      </c>
      <c r="E644" s="499"/>
      <c r="F644" s="500">
        <v>15.65</v>
      </c>
      <c r="G644" s="501" t="s">
        <v>274</v>
      </c>
      <c r="H644" s="502" t="s">
        <v>1046</v>
      </c>
      <c r="I644" s="503">
        <f t="shared" si="9"/>
        <v>12474.300000000014</v>
      </c>
    </row>
    <row r="645" spans="2:9">
      <c r="B645" s="528">
        <v>45716</v>
      </c>
      <c r="C645" s="497" t="s">
        <v>1048</v>
      </c>
      <c r="D645" s="498" t="s">
        <v>952</v>
      </c>
      <c r="E645" s="499"/>
      <c r="F645" s="500">
        <v>8.9700000000000006</v>
      </c>
      <c r="G645" s="501" t="s">
        <v>230</v>
      </c>
      <c r="H645" s="502" t="s">
        <v>1046</v>
      </c>
      <c r="I645" s="503">
        <f t="shared" si="9"/>
        <v>12465.330000000014</v>
      </c>
    </row>
    <row r="646" spans="2:9">
      <c r="B646" s="528">
        <v>45716</v>
      </c>
      <c r="C646" s="507" t="s">
        <v>1048</v>
      </c>
      <c r="D646" s="505" t="s">
        <v>952</v>
      </c>
      <c r="E646" s="499"/>
      <c r="F646" s="500">
        <v>1.97</v>
      </c>
      <c r="G646" s="501" t="s">
        <v>274</v>
      </c>
      <c r="H646" s="502" t="s">
        <v>1046</v>
      </c>
      <c r="I646" s="503">
        <f t="shared" si="9"/>
        <v>12463.360000000015</v>
      </c>
    </row>
    <row r="647" spans="2:9">
      <c r="B647" s="528">
        <v>45716</v>
      </c>
      <c r="C647" s="507" t="s">
        <v>1049</v>
      </c>
      <c r="D647" s="505" t="s">
        <v>545</v>
      </c>
      <c r="E647" s="499"/>
      <c r="F647" s="500">
        <v>21.62</v>
      </c>
      <c r="G647" s="501" t="s">
        <v>208</v>
      </c>
      <c r="H647" s="502" t="s">
        <v>1046</v>
      </c>
      <c r="I647" s="503">
        <f t="shared" si="9"/>
        <v>12441.740000000014</v>
      </c>
    </row>
    <row r="648" spans="2:9">
      <c r="B648" s="528">
        <v>45716</v>
      </c>
      <c r="C648" s="507" t="s">
        <v>1049</v>
      </c>
      <c r="D648" s="505" t="s">
        <v>545</v>
      </c>
      <c r="E648" s="499"/>
      <c r="F648" s="500">
        <v>4.76</v>
      </c>
      <c r="G648" s="501" t="s">
        <v>274</v>
      </c>
      <c r="H648" s="502" t="s">
        <v>1046</v>
      </c>
      <c r="I648" s="503">
        <f t="shared" si="9"/>
        <v>12436.980000000014</v>
      </c>
    </row>
    <row r="649" spans="2:9">
      <c r="B649" s="528">
        <v>45716</v>
      </c>
      <c r="C649" s="497" t="s">
        <v>1050</v>
      </c>
      <c r="D649" s="505" t="s">
        <v>545</v>
      </c>
      <c r="E649" s="499"/>
      <c r="F649" s="500">
        <v>27.86</v>
      </c>
      <c r="G649" s="501" t="s">
        <v>208</v>
      </c>
      <c r="H649" s="502" t="s">
        <v>1046</v>
      </c>
      <c r="I649" s="503">
        <f t="shared" si="9"/>
        <v>12409.120000000014</v>
      </c>
    </row>
    <row r="650" spans="2:9">
      <c r="B650" s="528">
        <v>45716</v>
      </c>
      <c r="C650" s="497" t="s">
        <v>1050</v>
      </c>
      <c r="D650" s="505" t="s">
        <v>545</v>
      </c>
      <c r="E650" s="499"/>
      <c r="F650" s="500">
        <v>6.13</v>
      </c>
      <c r="G650" s="501" t="s">
        <v>274</v>
      </c>
      <c r="H650" s="502" t="s">
        <v>1046</v>
      </c>
      <c r="I650" s="503">
        <f t="shared" ref="I650:I713" si="10">I649+E650-F650</f>
        <v>12402.990000000014</v>
      </c>
    </row>
    <row r="651" spans="2:9">
      <c r="B651" s="528">
        <v>45716</v>
      </c>
      <c r="C651" s="497" t="s">
        <v>1051</v>
      </c>
      <c r="D651" s="505" t="s">
        <v>545</v>
      </c>
      <c r="E651" s="499"/>
      <c r="F651" s="500">
        <v>13.93</v>
      </c>
      <c r="G651" s="501" t="s">
        <v>208</v>
      </c>
      <c r="H651" s="502" t="s">
        <v>1046</v>
      </c>
      <c r="I651" s="503">
        <f t="shared" si="10"/>
        <v>12389.060000000014</v>
      </c>
    </row>
    <row r="652" spans="2:9">
      <c r="B652" s="528">
        <v>45716</v>
      </c>
      <c r="C652" s="497" t="s">
        <v>1051</v>
      </c>
      <c r="D652" s="505" t="s">
        <v>545</v>
      </c>
      <c r="E652" s="499"/>
      <c r="F652" s="500">
        <v>3.06</v>
      </c>
      <c r="G652" s="501" t="s">
        <v>274</v>
      </c>
      <c r="H652" s="502" t="s">
        <v>1046</v>
      </c>
      <c r="I652" s="503">
        <f t="shared" si="10"/>
        <v>12386.000000000015</v>
      </c>
    </row>
    <row r="653" spans="2:9">
      <c r="B653" s="528">
        <v>45716</v>
      </c>
      <c r="C653" s="497" t="s">
        <v>1052</v>
      </c>
      <c r="D653" s="505" t="s">
        <v>545</v>
      </c>
      <c r="E653" s="499"/>
      <c r="F653" s="500">
        <v>25.28</v>
      </c>
      <c r="G653" s="501" t="s">
        <v>208</v>
      </c>
      <c r="H653" s="502" t="s">
        <v>1046</v>
      </c>
      <c r="I653" s="503">
        <f t="shared" si="10"/>
        <v>12360.720000000014</v>
      </c>
    </row>
    <row r="654" spans="2:9">
      <c r="B654" s="528">
        <v>45716</v>
      </c>
      <c r="C654" s="497" t="s">
        <v>1052</v>
      </c>
      <c r="D654" s="505" t="s">
        <v>545</v>
      </c>
      <c r="E654" s="499"/>
      <c r="F654" s="500">
        <v>5.56</v>
      </c>
      <c r="G654" s="501" t="s">
        <v>274</v>
      </c>
      <c r="H654" s="502" t="s">
        <v>1046</v>
      </c>
      <c r="I654" s="503">
        <f t="shared" si="10"/>
        <v>12355.160000000014</v>
      </c>
    </row>
    <row r="655" spans="2:9">
      <c r="B655" s="528">
        <v>45716</v>
      </c>
      <c r="C655" s="532">
        <v>202520305</v>
      </c>
      <c r="D655" s="519" t="s">
        <v>1053</v>
      </c>
      <c r="E655" s="515"/>
      <c r="F655" s="516">
        <v>134</v>
      </c>
      <c r="G655" s="501" t="s">
        <v>202</v>
      </c>
      <c r="H655" s="502" t="s">
        <v>1046</v>
      </c>
      <c r="I655" s="503">
        <f t="shared" si="10"/>
        <v>12221.160000000014</v>
      </c>
    </row>
    <row r="656" spans="2:9">
      <c r="B656" s="528">
        <v>45716</v>
      </c>
      <c r="C656" s="532" t="s">
        <v>1054</v>
      </c>
      <c r="D656" s="505" t="s">
        <v>545</v>
      </c>
      <c r="E656" s="515"/>
      <c r="F656" s="516">
        <v>20.41</v>
      </c>
      <c r="G656" s="501" t="s">
        <v>208</v>
      </c>
      <c r="H656" s="502" t="s">
        <v>1046</v>
      </c>
      <c r="I656" s="503">
        <f t="shared" si="10"/>
        <v>12200.750000000015</v>
      </c>
    </row>
    <row r="657" spans="2:9">
      <c r="B657" s="528">
        <v>45716</v>
      </c>
      <c r="C657" s="507" t="s">
        <v>1054</v>
      </c>
      <c r="D657" s="505" t="s">
        <v>545</v>
      </c>
      <c r="E657" s="499"/>
      <c r="F657" s="500">
        <v>4.49</v>
      </c>
      <c r="G657" s="501" t="s">
        <v>274</v>
      </c>
      <c r="H657" s="502" t="s">
        <v>1046</v>
      </c>
      <c r="I657" s="503">
        <f t="shared" si="10"/>
        <v>12196.260000000015</v>
      </c>
    </row>
    <row r="658" spans="2:9">
      <c r="B658" s="528">
        <v>45716</v>
      </c>
      <c r="C658" s="507" t="s">
        <v>1055</v>
      </c>
      <c r="D658" s="505" t="s">
        <v>545</v>
      </c>
      <c r="E658" s="499"/>
      <c r="F658" s="500">
        <v>171.32</v>
      </c>
      <c r="G658" s="501" t="s">
        <v>208</v>
      </c>
      <c r="H658" s="502" t="s">
        <v>1046</v>
      </c>
      <c r="I658" s="503">
        <f t="shared" si="10"/>
        <v>12024.940000000015</v>
      </c>
    </row>
    <row r="659" spans="2:9">
      <c r="B659" s="528">
        <v>45716</v>
      </c>
      <c r="C659" s="507" t="s">
        <v>1055</v>
      </c>
      <c r="D659" s="505" t="s">
        <v>545</v>
      </c>
      <c r="E659" s="499"/>
      <c r="F659" s="500">
        <v>37.69</v>
      </c>
      <c r="G659" s="501" t="s">
        <v>274</v>
      </c>
      <c r="H659" s="502" t="s">
        <v>1046</v>
      </c>
      <c r="I659" s="503">
        <f t="shared" si="10"/>
        <v>11987.250000000015</v>
      </c>
    </row>
    <row r="660" spans="2:9">
      <c r="B660" s="528">
        <v>45716</v>
      </c>
      <c r="C660" s="497">
        <v>7251139425</v>
      </c>
      <c r="D660" s="505" t="s">
        <v>943</v>
      </c>
      <c r="E660" s="499"/>
      <c r="F660" s="500">
        <v>47.88</v>
      </c>
      <c r="G660" s="501" t="s">
        <v>205</v>
      </c>
      <c r="H660" s="502" t="s">
        <v>1046</v>
      </c>
      <c r="I660" s="503">
        <f t="shared" si="10"/>
        <v>11939.370000000015</v>
      </c>
    </row>
    <row r="661" spans="2:9">
      <c r="B661" s="528">
        <v>45716</v>
      </c>
      <c r="C661" s="497">
        <v>7251139425</v>
      </c>
      <c r="D661" s="505" t="s">
        <v>943</v>
      </c>
      <c r="E661" s="499"/>
      <c r="F661" s="500">
        <v>10.53</v>
      </c>
      <c r="G661" s="501" t="s">
        <v>274</v>
      </c>
      <c r="H661" s="502" t="s">
        <v>1046</v>
      </c>
      <c r="I661" s="503">
        <f t="shared" si="10"/>
        <v>11928.840000000015</v>
      </c>
    </row>
    <row r="662" spans="2:9">
      <c r="B662" s="528">
        <v>45716</v>
      </c>
      <c r="C662" s="497">
        <v>9250336642</v>
      </c>
      <c r="D662" s="498" t="s">
        <v>952</v>
      </c>
      <c r="E662" s="499"/>
      <c r="F662" s="500">
        <v>73.650000000000006</v>
      </c>
      <c r="G662" s="501" t="s">
        <v>230</v>
      </c>
      <c r="H662" s="502" t="s">
        <v>1046</v>
      </c>
      <c r="I662" s="503">
        <f t="shared" si="10"/>
        <v>11855.190000000015</v>
      </c>
    </row>
    <row r="663" spans="2:9">
      <c r="B663" s="528">
        <v>45716</v>
      </c>
      <c r="C663" s="497">
        <v>9250336642</v>
      </c>
      <c r="D663" s="498" t="s">
        <v>952</v>
      </c>
      <c r="E663" s="499"/>
      <c r="F663" s="500">
        <v>15.65</v>
      </c>
      <c r="G663" s="501" t="s">
        <v>274</v>
      </c>
      <c r="H663" s="502" t="s">
        <v>1046</v>
      </c>
      <c r="I663" s="503">
        <f t="shared" si="10"/>
        <v>11839.540000000015</v>
      </c>
    </row>
    <row r="664" spans="2:9">
      <c r="B664" s="528">
        <v>45716</v>
      </c>
      <c r="C664" s="507" t="s">
        <v>1056</v>
      </c>
      <c r="D664" s="498" t="s">
        <v>952</v>
      </c>
      <c r="E664" s="499"/>
      <c r="F664" s="500">
        <v>8.9700000000000006</v>
      </c>
      <c r="G664" s="501" t="s">
        <v>230</v>
      </c>
      <c r="H664" s="502" t="s">
        <v>1046</v>
      </c>
      <c r="I664" s="503">
        <f t="shared" si="10"/>
        <v>11830.570000000016</v>
      </c>
    </row>
    <row r="665" spans="2:9">
      <c r="B665" s="528">
        <v>45716</v>
      </c>
      <c r="C665" s="497">
        <v>9250336641</v>
      </c>
      <c r="D665" s="505" t="s">
        <v>952</v>
      </c>
      <c r="E665" s="499"/>
      <c r="F665" s="500">
        <v>1.97</v>
      </c>
      <c r="G665" s="501" t="s">
        <v>274</v>
      </c>
      <c r="H665" s="502" t="s">
        <v>1046</v>
      </c>
      <c r="I665" s="503">
        <f t="shared" si="10"/>
        <v>11828.600000000017</v>
      </c>
    </row>
    <row r="666" spans="2:9">
      <c r="B666" s="528">
        <v>45716</v>
      </c>
      <c r="C666" s="497" t="s">
        <v>1057</v>
      </c>
      <c r="D666" s="498" t="s">
        <v>950</v>
      </c>
      <c r="E666" s="499"/>
      <c r="F666" s="500">
        <v>27.79</v>
      </c>
      <c r="G666" s="501" t="s">
        <v>256</v>
      </c>
      <c r="H666" s="502" t="s">
        <v>1046</v>
      </c>
      <c r="I666" s="503">
        <f t="shared" si="10"/>
        <v>11800.810000000016</v>
      </c>
    </row>
    <row r="667" spans="2:9">
      <c r="B667" s="528">
        <v>45716</v>
      </c>
      <c r="C667" s="497" t="s">
        <v>1057</v>
      </c>
      <c r="D667" s="498" t="s">
        <v>950</v>
      </c>
      <c r="E667" s="499"/>
      <c r="F667" s="500">
        <v>6.11</v>
      </c>
      <c r="G667" s="501" t="s">
        <v>274</v>
      </c>
      <c r="H667" s="502" t="s">
        <v>1046</v>
      </c>
      <c r="I667" s="503">
        <f t="shared" si="10"/>
        <v>11794.700000000015</v>
      </c>
    </row>
    <row r="668" spans="2:9">
      <c r="B668" s="528">
        <v>45716</v>
      </c>
      <c r="C668" s="507" t="s">
        <v>1058</v>
      </c>
      <c r="D668" s="498" t="s">
        <v>412</v>
      </c>
      <c r="E668" s="499"/>
      <c r="F668" s="500">
        <v>53.12</v>
      </c>
      <c r="G668" s="501" t="s">
        <v>225</v>
      </c>
      <c r="H668" s="502" t="s">
        <v>1046</v>
      </c>
      <c r="I668" s="503">
        <f t="shared" si="10"/>
        <v>11741.580000000014</v>
      </c>
    </row>
    <row r="669" spans="2:9">
      <c r="B669" s="528">
        <v>45716</v>
      </c>
      <c r="C669" s="507" t="s">
        <v>1058</v>
      </c>
      <c r="D669" s="498" t="s">
        <v>412</v>
      </c>
      <c r="E669" s="499"/>
      <c r="F669" s="500">
        <v>14.99</v>
      </c>
      <c r="G669" s="501" t="s">
        <v>274</v>
      </c>
      <c r="H669" s="502" t="s">
        <v>1046</v>
      </c>
      <c r="I669" s="503">
        <f t="shared" si="10"/>
        <v>11726.590000000015</v>
      </c>
    </row>
    <row r="670" spans="2:9">
      <c r="B670" s="528">
        <v>45716</v>
      </c>
      <c r="C670" s="507" t="s">
        <v>1059</v>
      </c>
      <c r="D670" s="498" t="s">
        <v>412</v>
      </c>
      <c r="E670" s="499"/>
      <c r="F670" s="500">
        <v>54.89</v>
      </c>
      <c r="G670" s="501" t="s">
        <v>225</v>
      </c>
      <c r="H670" s="502" t="s">
        <v>1046</v>
      </c>
      <c r="I670" s="503">
        <f t="shared" si="10"/>
        <v>11671.700000000015</v>
      </c>
    </row>
    <row r="671" spans="2:9">
      <c r="B671" s="528">
        <v>45716</v>
      </c>
      <c r="C671" s="497" t="s">
        <v>1059</v>
      </c>
      <c r="D671" s="498" t="s">
        <v>412</v>
      </c>
      <c r="E671" s="499"/>
      <c r="F671" s="500">
        <v>15.38</v>
      </c>
      <c r="G671" s="501" t="s">
        <v>274</v>
      </c>
      <c r="H671" s="502" t="s">
        <v>1046</v>
      </c>
      <c r="I671" s="503">
        <f t="shared" si="10"/>
        <v>11656.320000000016</v>
      </c>
    </row>
    <row r="672" spans="2:9">
      <c r="B672" s="528">
        <v>45716</v>
      </c>
      <c r="C672" s="507" t="s">
        <v>117</v>
      </c>
      <c r="D672" s="505" t="s">
        <v>908</v>
      </c>
      <c r="E672" s="499"/>
      <c r="F672" s="500">
        <v>2</v>
      </c>
      <c r="G672" s="501" t="s">
        <v>254</v>
      </c>
      <c r="H672" s="502" t="s">
        <v>1046</v>
      </c>
      <c r="I672" s="503">
        <f t="shared" si="10"/>
        <v>11654.320000000016</v>
      </c>
    </row>
    <row r="673" spans="2:9">
      <c r="B673" s="496">
        <v>45743</v>
      </c>
      <c r="C673" s="497" t="s">
        <v>117</v>
      </c>
      <c r="D673" s="498" t="s">
        <v>921</v>
      </c>
      <c r="E673" s="499"/>
      <c r="F673" s="500">
        <v>1.25</v>
      </c>
      <c r="G673" s="501" t="s">
        <v>271</v>
      </c>
      <c r="H673" s="524"/>
      <c r="I673" s="503">
        <f t="shared" si="10"/>
        <v>11653.070000000016</v>
      </c>
    </row>
    <row r="674" spans="2:9">
      <c r="B674" s="496">
        <v>45743</v>
      </c>
      <c r="C674" s="507" t="s">
        <v>283</v>
      </c>
      <c r="D674" s="505" t="s">
        <v>307</v>
      </c>
      <c r="E674" s="499">
        <v>271.5</v>
      </c>
      <c r="F674" s="500"/>
      <c r="G674" s="501" t="s">
        <v>190</v>
      </c>
      <c r="H674" s="524"/>
      <c r="I674" s="503">
        <f t="shared" si="10"/>
        <v>11924.570000000016</v>
      </c>
    </row>
    <row r="675" spans="2:9">
      <c r="B675" s="496">
        <v>45743</v>
      </c>
      <c r="C675" s="507" t="s">
        <v>283</v>
      </c>
      <c r="D675" s="505" t="s">
        <v>307</v>
      </c>
      <c r="E675" s="499">
        <v>38.4</v>
      </c>
      <c r="F675" s="500"/>
      <c r="G675" s="501" t="s">
        <v>190</v>
      </c>
      <c r="H675" s="524"/>
      <c r="I675" s="503">
        <f t="shared" si="10"/>
        <v>11962.970000000016</v>
      </c>
    </row>
    <row r="676" spans="2:9">
      <c r="B676" s="528">
        <v>45716</v>
      </c>
      <c r="C676" s="507" t="s">
        <v>1060</v>
      </c>
      <c r="D676" s="505" t="s">
        <v>1061</v>
      </c>
      <c r="E676" s="499"/>
      <c r="F676" s="500">
        <v>126.46</v>
      </c>
      <c r="G676" s="501" t="s">
        <v>207</v>
      </c>
      <c r="H676" s="502" t="s">
        <v>1062</v>
      </c>
      <c r="I676" s="503">
        <f t="shared" si="10"/>
        <v>11836.510000000017</v>
      </c>
    </row>
    <row r="677" spans="2:9">
      <c r="B677" s="528">
        <v>45716</v>
      </c>
      <c r="C677" s="507" t="s">
        <v>1060</v>
      </c>
      <c r="D677" s="505" t="s">
        <v>1061</v>
      </c>
      <c r="E677" s="499"/>
      <c r="F677" s="500">
        <v>27.82</v>
      </c>
      <c r="G677" s="501" t="s">
        <v>274</v>
      </c>
      <c r="H677" s="502" t="s">
        <v>1062</v>
      </c>
      <c r="I677" s="503">
        <f t="shared" si="10"/>
        <v>11808.690000000017</v>
      </c>
    </row>
    <row r="678" spans="2:9">
      <c r="B678" s="496">
        <v>45744</v>
      </c>
      <c r="C678" s="497" t="s">
        <v>117</v>
      </c>
      <c r="D678" s="498" t="s">
        <v>961</v>
      </c>
      <c r="E678" s="499"/>
      <c r="F678" s="500">
        <f>2132.38-2129.09</f>
        <v>3.2899999999999636</v>
      </c>
      <c r="G678" s="501" t="s">
        <v>265</v>
      </c>
      <c r="H678" s="502"/>
      <c r="I678" s="503">
        <f t="shared" si="10"/>
        <v>11805.400000000016</v>
      </c>
    </row>
    <row r="679" spans="2:9">
      <c r="B679" s="496">
        <v>45744</v>
      </c>
      <c r="C679" s="507" t="s">
        <v>283</v>
      </c>
      <c r="D679" s="505" t="s">
        <v>307</v>
      </c>
      <c r="E679" s="499">
        <v>481.6</v>
      </c>
      <c r="F679" s="500"/>
      <c r="G679" s="501" t="s">
        <v>190</v>
      </c>
      <c r="H679" s="502"/>
      <c r="I679" s="503">
        <f t="shared" si="10"/>
        <v>12287.000000000016</v>
      </c>
    </row>
    <row r="680" spans="2:9">
      <c r="B680" s="496">
        <v>45744</v>
      </c>
      <c r="C680" s="507" t="s">
        <v>283</v>
      </c>
      <c r="D680" s="505" t="s">
        <v>307</v>
      </c>
      <c r="E680" s="499">
        <v>134</v>
      </c>
      <c r="F680" s="500"/>
      <c r="G680" s="501" t="s">
        <v>190</v>
      </c>
      <c r="H680" s="502"/>
      <c r="I680" s="503">
        <f t="shared" si="10"/>
        <v>12421.000000000016</v>
      </c>
    </row>
    <row r="681" spans="2:9">
      <c r="B681" s="496">
        <v>45747</v>
      </c>
      <c r="C681" s="513" t="s">
        <v>962</v>
      </c>
      <c r="D681" s="514" t="s">
        <v>1063</v>
      </c>
      <c r="E681" s="515"/>
      <c r="F681" s="516">
        <v>1251.98</v>
      </c>
      <c r="G681" s="522" t="s">
        <v>279</v>
      </c>
      <c r="H681" s="502"/>
      <c r="I681" s="503">
        <f t="shared" si="10"/>
        <v>11169.020000000017</v>
      </c>
    </row>
    <row r="682" spans="2:9">
      <c r="B682" s="496">
        <v>45747</v>
      </c>
      <c r="C682" s="513" t="s">
        <v>962</v>
      </c>
      <c r="D682" s="514" t="s">
        <v>1064</v>
      </c>
      <c r="E682" s="515"/>
      <c r="F682" s="516">
        <v>119.9</v>
      </c>
      <c r="G682" s="522" t="s">
        <v>262</v>
      </c>
      <c r="H682" s="502"/>
      <c r="I682" s="503">
        <f t="shared" si="10"/>
        <v>11049.120000000017</v>
      </c>
    </row>
    <row r="683" spans="2:9">
      <c r="B683" s="496">
        <v>45747</v>
      </c>
      <c r="C683" s="513" t="s">
        <v>962</v>
      </c>
      <c r="D683" s="514" t="s">
        <v>965</v>
      </c>
      <c r="E683" s="515"/>
      <c r="F683" s="516">
        <v>2.5</v>
      </c>
      <c r="G683" s="522" t="s">
        <v>966</v>
      </c>
      <c r="H683" s="502"/>
      <c r="I683" s="503">
        <f t="shared" si="10"/>
        <v>11046.620000000017</v>
      </c>
    </row>
    <row r="684" spans="2:9">
      <c r="B684" s="528">
        <v>45716</v>
      </c>
      <c r="C684" s="513" t="s">
        <v>369</v>
      </c>
      <c r="D684" s="514" t="s">
        <v>341</v>
      </c>
      <c r="E684" s="515"/>
      <c r="F684" s="516">
        <v>512.51</v>
      </c>
      <c r="G684" s="501" t="s">
        <v>194</v>
      </c>
      <c r="H684" s="525" t="s">
        <v>753</v>
      </c>
      <c r="I684" s="503">
        <f t="shared" si="10"/>
        <v>10534.110000000017</v>
      </c>
    </row>
    <row r="685" spans="2:9">
      <c r="B685" s="528">
        <v>45716</v>
      </c>
      <c r="C685" s="513" t="s">
        <v>369</v>
      </c>
      <c r="D685" s="514" t="s">
        <v>341</v>
      </c>
      <c r="E685" s="515"/>
      <c r="F685" s="516">
        <v>112.31</v>
      </c>
      <c r="G685" s="501" t="s">
        <v>274</v>
      </c>
      <c r="H685" s="525" t="s">
        <v>753</v>
      </c>
      <c r="I685" s="503">
        <f t="shared" si="10"/>
        <v>10421.800000000017</v>
      </c>
    </row>
    <row r="686" spans="2:9">
      <c r="B686" s="528">
        <v>45716</v>
      </c>
      <c r="C686" s="513" t="s">
        <v>370</v>
      </c>
      <c r="D686" s="514" t="s">
        <v>341</v>
      </c>
      <c r="E686" s="515"/>
      <c r="F686" s="516">
        <v>2288.5</v>
      </c>
      <c r="G686" s="501" t="s">
        <v>194</v>
      </c>
      <c r="H686" s="525" t="s">
        <v>753</v>
      </c>
      <c r="I686" s="503">
        <f t="shared" si="10"/>
        <v>8133.3000000000175</v>
      </c>
    </row>
    <row r="687" spans="2:9">
      <c r="B687" s="528">
        <v>45716</v>
      </c>
      <c r="C687" s="513" t="s">
        <v>370</v>
      </c>
      <c r="D687" s="514" t="s">
        <v>341</v>
      </c>
      <c r="E687" s="499"/>
      <c r="F687" s="500">
        <v>510.07</v>
      </c>
      <c r="G687" s="501" t="s">
        <v>274</v>
      </c>
      <c r="H687" s="525" t="s">
        <v>753</v>
      </c>
      <c r="I687" s="503">
        <f t="shared" si="10"/>
        <v>7623.2300000000178</v>
      </c>
    </row>
    <row r="688" spans="2:9">
      <c r="B688" s="528">
        <v>45716</v>
      </c>
      <c r="C688" s="507" t="s">
        <v>372</v>
      </c>
      <c r="D688" s="514" t="s">
        <v>341</v>
      </c>
      <c r="E688" s="499"/>
      <c r="F688" s="500">
        <v>40.909999999999997</v>
      </c>
      <c r="G688" s="501" t="s">
        <v>194</v>
      </c>
      <c r="H688" s="525" t="s">
        <v>753</v>
      </c>
      <c r="I688" s="503">
        <f t="shared" si="10"/>
        <v>7582.3200000000179</v>
      </c>
    </row>
    <row r="689" spans="2:9">
      <c r="B689" s="528">
        <v>45716</v>
      </c>
      <c r="C689" s="507" t="s">
        <v>372</v>
      </c>
      <c r="D689" s="514" t="s">
        <v>341</v>
      </c>
      <c r="E689" s="499"/>
      <c r="F689" s="500">
        <v>9</v>
      </c>
      <c r="G689" s="501" t="s">
        <v>274</v>
      </c>
      <c r="H689" s="525" t="s">
        <v>753</v>
      </c>
      <c r="I689" s="503">
        <f t="shared" si="10"/>
        <v>7573.3200000000179</v>
      </c>
    </row>
    <row r="690" spans="2:9">
      <c r="B690" s="528">
        <v>45716</v>
      </c>
      <c r="C690" s="497" t="s">
        <v>1065</v>
      </c>
      <c r="D690" s="514" t="s">
        <v>341</v>
      </c>
      <c r="E690" s="499"/>
      <c r="F690" s="500">
        <v>511.23</v>
      </c>
      <c r="G690" s="501" t="s">
        <v>194</v>
      </c>
      <c r="H690" s="525" t="s">
        <v>753</v>
      </c>
      <c r="I690" s="503">
        <f t="shared" si="10"/>
        <v>7062.0900000000183</v>
      </c>
    </row>
    <row r="691" spans="2:9">
      <c r="B691" s="528">
        <v>45716</v>
      </c>
      <c r="C691" s="497" t="s">
        <v>1065</v>
      </c>
      <c r="D691" s="514" t="s">
        <v>341</v>
      </c>
      <c r="E691" s="499"/>
      <c r="F691" s="500">
        <v>125.67</v>
      </c>
      <c r="G691" s="501" t="s">
        <v>274</v>
      </c>
      <c r="H691" s="525" t="s">
        <v>753</v>
      </c>
      <c r="I691" s="503">
        <f t="shared" si="10"/>
        <v>6936.4200000000183</v>
      </c>
    </row>
    <row r="692" spans="2:9">
      <c r="B692" s="528">
        <v>45716</v>
      </c>
      <c r="C692" s="497" t="s">
        <v>373</v>
      </c>
      <c r="D692" s="514" t="s">
        <v>341</v>
      </c>
      <c r="E692" s="499"/>
      <c r="F692" s="500">
        <v>137.54</v>
      </c>
      <c r="G692" s="501" t="s">
        <v>194</v>
      </c>
      <c r="H692" s="525" t="s">
        <v>753</v>
      </c>
      <c r="I692" s="503">
        <f t="shared" si="10"/>
        <v>6798.8800000000183</v>
      </c>
    </row>
    <row r="693" spans="2:9">
      <c r="B693" s="528">
        <v>45716</v>
      </c>
      <c r="C693" s="507" t="s">
        <v>373</v>
      </c>
      <c r="D693" s="514" t="s">
        <v>341</v>
      </c>
      <c r="E693" s="499"/>
      <c r="F693" s="500">
        <v>23.66</v>
      </c>
      <c r="G693" s="501" t="s">
        <v>274</v>
      </c>
      <c r="H693" s="525" t="s">
        <v>753</v>
      </c>
      <c r="I693" s="503">
        <f t="shared" si="10"/>
        <v>6775.2200000000184</v>
      </c>
    </row>
    <row r="694" spans="2:9">
      <c r="B694" s="528">
        <v>45716</v>
      </c>
      <c r="C694" s="507" t="s">
        <v>374</v>
      </c>
      <c r="D694" s="514" t="s">
        <v>341</v>
      </c>
      <c r="E694" s="499"/>
      <c r="F694" s="500">
        <v>1884.94</v>
      </c>
      <c r="G694" s="501" t="s">
        <v>194</v>
      </c>
      <c r="H694" s="525" t="s">
        <v>753</v>
      </c>
      <c r="I694" s="503">
        <f t="shared" si="10"/>
        <v>4890.2800000000188</v>
      </c>
    </row>
    <row r="695" spans="2:9">
      <c r="B695" s="528">
        <v>45716</v>
      </c>
      <c r="C695" s="497" t="s">
        <v>374</v>
      </c>
      <c r="D695" s="514" t="s">
        <v>341</v>
      </c>
      <c r="E695" s="499"/>
      <c r="F695" s="500">
        <v>425.25</v>
      </c>
      <c r="G695" s="501" t="s">
        <v>274</v>
      </c>
      <c r="H695" s="525" t="s">
        <v>753</v>
      </c>
      <c r="I695" s="503">
        <f t="shared" si="10"/>
        <v>4465.0300000000188</v>
      </c>
    </row>
    <row r="696" spans="2:9">
      <c r="B696" s="528">
        <v>45716</v>
      </c>
      <c r="C696" s="507" t="s">
        <v>375</v>
      </c>
      <c r="D696" s="514" t="s">
        <v>341</v>
      </c>
      <c r="E696" s="499"/>
      <c r="F696" s="500">
        <v>166.8</v>
      </c>
      <c r="G696" s="501" t="s">
        <v>194</v>
      </c>
      <c r="H696" s="525" t="s">
        <v>753</v>
      </c>
      <c r="I696" s="503">
        <f t="shared" si="10"/>
        <v>4298.2300000000187</v>
      </c>
    </row>
    <row r="697" spans="2:9">
      <c r="B697" s="528">
        <v>45716</v>
      </c>
      <c r="C697" s="507" t="s">
        <v>375</v>
      </c>
      <c r="D697" s="514" t="s">
        <v>341</v>
      </c>
      <c r="E697" s="499"/>
      <c r="F697" s="500">
        <v>23.5</v>
      </c>
      <c r="G697" s="501" t="s">
        <v>274</v>
      </c>
      <c r="H697" s="525" t="s">
        <v>753</v>
      </c>
      <c r="I697" s="503">
        <f t="shared" si="10"/>
        <v>4274.7300000000187</v>
      </c>
    </row>
    <row r="698" spans="2:9">
      <c r="B698" s="528">
        <v>45716</v>
      </c>
      <c r="C698" s="507" t="s">
        <v>376</v>
      </c>
      <c r="D698" s="514" t="s">
        <v>341</v>
      </c>
      <c r="E698" s="499"/>
      <c r="F698" s="500">
        <v>533.16</v>
      </c>
      <c r="G698" s="501" t="s">
        <v>194</v>
      </c>
      <c r="H698" s="525" t="s">
        <v>753</v>
      </c>
      <c r="I698" s="503">
        <f t="shared" si="10"/>
        <v>3741.5700000000188</v>
      </c>
    </row>
    <row r="699" spans="2:9">
      <c r="B699" s="528">
        <v>45716</v>
      </c>
      <c r="C699" s="497" t="s">
        <v>376</v>
      </c>
      <c r="D699" s="514" t="s">
        <v>341</v>
      </c>
      <c r="E699" s="499"/>
      <c r="F699" s="500">
        <v>110.7</v>
      </c>
      <c r="G699" s="501" t="s">
        <v>274</v>
      </c>
      <c r="H699" s="525" t="s">
        <v>753</v>
      </c>
      <c r="I699" s="503">
        <f t="shared" si="10"/>
        <v>3630.870000000019</v>
      </c>
    </row>
    <row r="700" spans="2:9">
      <c r="B700" s="496">
        <v>45747</v>
      </c>
      <c r="C700" s="497" t="s">
        <v>117</v>
      </c>
      <c r="D700" s="498" t="s">
        <v>921</v>
      </c>
      <c r="E700" s="499"/>
      <c r="F700" s="500">
        <v>1.25</v>
      </c>
      <c r="G700" s="501" t="s">
        <v>271</v>
      </c>
      <c r="H700" s="524"/>
      <c r="I700" s="503">
        <f t="shared" si="10"/>
        <v>3629.620000000019</v>
      </c>
    </row>
    <row r="701" spans="2:9">
      <c r="B701" s="528">
        <v>45716</v>
      </c>
      <c r="C701" s="507" t="s">
        <v>367</v>
      </c>
      <c r="D701" s="505" t="s">
        <v>347</v>
      </c>
      <c r="E701" s="499"/>
      <c r="F701" s="500">
        <v>130</v>
      </c>
      <c r="G701" s="501" t="s">
        <v>238</v>
      </c>
      <c r="H701" s="525" t="s">
        <v>753</v>
      </c>
      <c r="I701" s="503">
        <f t="shared" si="10"/>
        <v>3499.620000000019</v>
      </c>
    </row>
    <row r="702" spans="2:9">
      <c r="B702" s="528">
        <v>45716</v>
      </c>
      <c r="C702" s="497" t="s">
        <v>367</v>
      </c>
      <c r="D702" s="498" t="s">
        <v>347</v>
      </c>
      <c r="E702" s="499"/>
      <c r="F702" s="500">
        <v>28.6</v>
      </c>
      <c r="G702" s="501" t="s">
        <v>274</v>
      </c>
      <c r="H702" s="525" t="s">
        <v>753</v>
      </c>
      <c r="I702" s="503">
        <f t="shared" si="10"/>
        <v>3471.0200000000191</v>
      </c>
    </row>
    <row r="703" spans="2:9">
      <c r="B703" s="496">
        <v>45747</v>
      </c>
      <c r="C703" s="497" t="s">
        <v>117</v>
      </c>
      <c r="D703" s="498" t="s">
        <v>921</v>
      </c>
      <c r="E703" s="499"/>
      <c r="F703" s="500">
        <v>1.25</v>
      </c>
      <c r="G703" s="501" t="s">
        <v>271</v>
      </c>
      <c r="H703" s="524"/>
      <c r="I703" s="503">
        <f t="shared" si="10"/>
        <v>3469.7700000000191</v>
      </c>
    </row>
    <row r="704" spans="2:9">
      <c r="B704" s="528">
        <v>45716</v>
      </c>
      <c r="C704" s="507" t="s">
        <v>377</v>
      </c>
      <c r="D704" s="505" t="s">
        <v>650</v>
      </c>
      <c r="E704" s="499"/>
      <c r="F704" s="500">
        <v>939.21</v>
      </c>
      <c r="G704" s="501" t="s">
        <v>194</v>
      </c>
      <c r="H704" s="525" t="s">
        <v>753</v>
      </c>
      <c r="I704" s="503">
        <f t="shared" si="10"/>
        <v>2530.560000000019</v>
      </c>
    </row>
    <row r="705" spans="2:9">
      <c r="B705" s="528">
        <v>45716</v>
      </c>
      <c r="C705" s="507" t="s">
        <v>377</v>
      </c>
      <c r="D705" s="505" t="s">
        <v>650</v>
      </c>
      <c r="E705" s="499"/>
      <c r="F705" s="500">
        <v>206.63</v>
      </c>
      <c r="G705" s="501" t="s">
        <v>274</v>
      </c>
      <c r="H705" s="525" t="s">
        <v>753</v>
      </c>
      <c r="I705" s="503">
        <f t="shared" si="10"/>
        <v>2323.9300000000189</v>
      </c>
    </row>
    <row r="706" spans="2:9">
      <c r="B706" s="496">
        <v>45747</v>
      </c>
      <c r="C706" s="497" t="s">
        <v>117</v>
      </c>
      <c r="D706" s="498" t="s">
        <v>921</v>
      </c>
      <c r="E706" s="499"/>
      <c r="F706" s="500">
        <v>1.25</v>
      </c>
      <c r="G706" s="501" t="s">
        <v>271</v>
      </c>
      <c r="H706" s="524"/>
      <c r="I706" s="503">
        <f t="shared" si="10"/>
        <v>2322.6800000000189</v>
      </c>
    </row>
    <row r="707" spans="2:9">
      <c r="B707" s="496">
        <v>45747</v>
      </c>
      <c r="C707" s="504"/>
      <c r="D707" s="498" t="s">
        <v>1066</v>
      </c>
      <c r="E707" s="499"/>
      <c r="F707" s="500">
        <v>400</v>
      </c>
      <c r="G707" s="501" t="s">
        <v>252</v>
      </c>
      <c r="H707" s="524"/>
      <c r="I707" s="503">
        <f t="shared" si="10"/>
        <v>1922.6800000000189</v>
      </c>
    </row>
    <row r="708" spans="2:9">
      <c r="B708" s="496">
        <v>45747</v>
      </c>
      <c r="C708" s="513" t="s">
        <v>117</v>
      </c>
      <c r="D708" s="514" t="s">
        <v>903</v>
      </c>
      <c r="E708" s="515"/>
      <c r="F708" s="516">
        <v>1</v>
      </c>
      <c r="G708" s="501" t="s">
        <v>272</v>
      </c>
      <c r="H708" s="524"/>
      <c r="I708" s="503">
        <f t="shared" si="10"/>
        <v>1921.6800000000189</v>
      </c>
    </row>
    <row r="709" spans="2:9">
      <c r="B709" s="496">
        <v>45747</v>
      </c>
      <c r="C709" s="507" t="s">
        <v>283</v>
      </c>
      <c r="D709" s="505" t="s">
        <v>307</v>
      </c>
      <c r="E709" s="499">
        <v>70.2</v>
      </c>
      <c r="F709" s="500"/>
      <c r="G709" s="501" t="s">
        <v>190</v>
      </c>
      <c r="H709" s="524"/>
      <c r="I709" s="503">
        <f t="shared" si="10"/>
        <v>1991.880000000019</v>
      </c>
    </row>
    <row r="710" spans="2:9">
      <c r="B710" s="496">
        <v>45747</v>
      </c>
      <c r="C710" s="507" t="s">
        <v>283</v>
      </c>
      <c r="D710" s="505" t="s">
        <v>307</v>
      </c>
      <c r="E710" s="499">
        <v>311.39999999999998</v>
      </c>
      <c r="F710" s="500"/>
      <c r="G710" s="501" t="s">
        <v>190</v>
      </c>
      <c r="H710" s="524"/>
      <c r="I710" s="503">
        <f t="shared" si="10"/>
        <v>2303.2800000000188</v>
      </c>
    </row>
    <row r="711" spans="2:9">
      <c r="B711" s="496">
        <v>45747</v>
      </c>
      <c r="C711" s="507" t="s">
        <v>283</v>
      </c>
      <c r="D711" s="505" t="s">
        <v>307</v>
      </c>
      <c r="E711" s="499">
        <v>278.8</v>
      </c>
      <c r="F711" s="500"/>
      <c r="G711" s="501" t="s">
        <v>190</v>
      </c>
      <c r="H711" s="524"/>
      <c r="I711" s="503">
        <f t="shared" si="10"/>
        <v>2582.080000000019</v>
      </c>
    </row>
    <row r="712" spans="2:9">
      <c r="B712" s="496">
        <v>45747</v>
      </c>
      <c r="C712" s="507" t="s">
        <v>283</v>
      </c>
      <c r="D712" s="505" t="s">
        <v>307</v>
      </c>
      <c r="E712" s="499">
        <v>898.3</v>
      </c>
      <c r="F712" s="500"/>
      <c r="G712" s="501" t="s">
        <v>190</v>
      </c>
      <c r="H712" s="524"/>
      <c r="I712" s="503">
        <f t="shared" si="10"/>
        <v>3480.3800000000192</v>
      </c>
    </row>
    <row r="713" spans="2:9">
      <c r="B713" s="496">
        <v>45747</v>
      </c>
      <c r="C713" s="507" t="s">
        <v>283</v>
      </c>
      <c r="D713" s="505" t="s">
        <v>307</v>
      </c>
      <c r="E713" s="499">
        <v>1343.7</v>
      </c>
      <c r="F713" s="500"/>
      <c r="G713" s="501" t="s">
        <v>190</v>
      </c>
      <c r="H713" s="524"/>
      <c r="I713" s="503">
        <f t="shared" si="10"/>
        <v>4824.080000000019</v>
      </c>
    </row>
    <row r="714" spans="2:9">
      <c r="B714" s="496">
        <v>45747</v>
      </c>
      <c r="C714" s="507" t="s">
        <v>283</v>
      </c>
      <c r="D714" s="505" t="s">
        <v>307</v>
      </c>
      <c r="E714" s="499">
        <v>1771.3</v>
      </c>
      <c r="F714" s="500"/>
      <c r="G714" s="501" t="s">
        <v>190</v>
      </c>
      <c r="H714" s="524"/>
      <c r="I714" s="503">
        <f t="shared" ref="I714:I777" si="11">I713+E714-F714</f>
        <v>6595.3800000000192</v>
      </c>
    </row>
    <row r="715" spans="2:9">
      <c r="B715" s="496">
        <v>45747</v>
      </c>
      <c r="C715" s="507" t="s">
        <v>283</v>
      </c>
      <c r="D715" s="505" t="s">
        <v>909</v>
      </c>
      <c r="E715" s="499">
        <v>90.5</v>
      </c>
      <c r="F715" s="500"/>
      <c r="G715" s="501" t="s">
        <v>190</v>
      </c>
      <c r="H715" s="524"/>
      <c r="I715" s="503">
        <f t="shared" si="11"/>
        <v>6685.8800000000192</v>
      </c>
    </row>
    <row r="716" spans="2:9">
      <c r="B716" s="496">
        <v>45748</v>
      </c>
      <c r="C716" s="507" t="s">
        <v>117</v>
      </c>
      <c r="D716" s="505" t="s">
        <v>911</v>
      </c>
      <c r="E716" s="499"/>
      <c r="F716" s="500">
        <v>0.83</v>
      </c>
      <c r="G716" s="501" t="s">
        <v>269</v>
      </c>
      <c r="H716" s="524"/>
      <c r="I716" s="503">
        <f t="shared" si="11"/>
        <v>6685.0500000000193</v>
      </c>
    </row>
    <row r="717" spans="2:9">
      <c r="B717" s="496">
        <v>45748</v>
      </c>
      <c r="C717" s="497" t="s">
        <v>117</v>
      </c>
      <c r="D717" s="498" t="s">
        <v>902</v>
      </c>
      <c r="E717" s="499"/>
      <c r="F717" s="500">
        <v>1250</v>
      </c>
      <c r="G717" s="501" t="s">
        <v>278</v>
      </c>
      <c r="H717" s="524"/>
      <c r="I717" s="503">
        <f t="shared" si="11"/>
        <v>5435.0500000000193</v>
      </c>
    </row>
    <row r="718" spans="2:9">
      <c r="B718" s="496">
        <v>45748</v>
      </c>
      <c r="C718" s="497" t="s">
        <v>117</v>
      </c>
      <c r="D718" s="498" t="s">
        <v>903</v>
      </c>
      <c r="E718" s="499"/>
      <c r="F718" s="500">
        <v>0.75</v>
      </c>
      <c r="G718" s="501" t="s">
        <v>272</v>
      </c>
      <c r="H718" s="524"/>
      <c r="I718" s="503">
        <f t="shared" si="11"/>
        <v>5434.3000000000193</v>
      </c>
    </row>
    <row r="719" spans="2:9">
      <c r="B719" s="496">
        <v>45748</v>
      </c>
      <c r="C719" s="497" t="s">
        <v>117</v>
      </c>
      <c r="D719" s="498" t="s">
        <v>320</v>
      </c>
      <c r="E719" s="499"/>
      <c r="F719" s="500">
        <v>500</v>
      </c>
      <c r="G719" s="501" t="s">
        <v>237</v>
      </c>
      <c r="H719" s="502"/>
      <c r="I719" s="503">
        <f t="shared" si="11"/>
        <v>4934.3000000000193</v>
      </c>
    </row>
    <row r="720" spans="2:9">
      <c r="B720" s="496">
        <v>45748</v>
      </c>
      <c r="C720" s="497" t="s">
        <v>117</v>
      </c>
      <c r="D720" s="498" t="s">
        <v>903</v>
      </c>
      <c r="E720" s="499"/>
      <c r="F720" s="500">
        <v>0.75</v>
      </c>
      <c r="G720" s="501" t="s">
        <v>272</v>
      </c>
      <c r="H720" s="502"/>
      <c r="I720" s="503">
        <f t="shared" si="11"/>
        <v>4933.5500000000193</v>
      </c>
    </row>
    <row r="721" spans="2:9">
      <c r="B721" s="496">
        <v>45748</v>
      </c>
      <c r="C721" s="511" t="s">
        <v>1067</v>
      </c>
      <c r="D721" s="505" t="s">
        <v>329</v>
      </c>
      <c r="E721" s="499"/>
      <c r="F721" s="500">
        <f>445.34-F722</f>
        <v>350.01</v>
      </c>
      <c r="G721" s="501" t="s">
        <v>221</v>
      </c>
      <c r="H721" s="502"/>
      <c r="I721" s="503">
        <f t="shared" si="11"/>
        <v>4583.5400000000191</v>
      </c>
    </row>
    <row r="722" spans="2:9">
      <c r="B722" s="496">
        <v>45748</v>
      </c>
      <c r="C722" s="511" t="s">
        <v>1067</v>
      </c>
      <c r="D722" s="505" t="s">
        <v>329</v>
      </c>
      <c r="E722" s="499"/>
      <c r="F722" s="500">
        <v>95.33</v>
      </c>
      <c r="G722" s="501" t="s">
        <v>274</v>
      </c>
      <c r="H722" s="502"/>
      <c r="I722" s="503">
        <f t="shared" si="11"/>
        <v>4488.2100000000191</v>
      </c>
    </row>
    <row r="723" spans="2:9">
      <c r="B723" s="496">
        <v>45748</v>
      </c>
      <c r="C723" s="497" t="s">
        <v>117</v>
      </c>
      <c r="D723" s="498" t="s">
        <v>903</v>
      </c>
      <c r="E723" s="499"/>
      <c r="F723" s="500">
        <v>1</v>
      </c>
      <c r="G723" s="501" t="s">
        <v>272</v>
      </c>
      <c r="H723" s="502"/>
      <c r="I723" s="503">
        <f t="shared" si="11"/>
        <v>4487.2100000000191</v>
      </c>
    </row>
    <row r="724" spans="2:9">
      <c r="B724" s="496">
        <v>45748</v>
      </c>
      <c r="C724" s="507" t="s">
        <v>391</v>
      </c>
      <c r="D724" s="505" t="s">
        <v>352</v>
      </c>
      <c r="E724" s="499"/>
      <c r="F724" s="500">
        <v>3111.7</v>
      </c>
      <c r="G724" s="501" t="s">
        <v>237</v>
      </c>
      <c r="H724" s="502"/>
      <c r="I724" s="503">
        <f t="shared" si="11"/>
        <v>1375.5100000000193</v>
      </c>
    </row>
    <row r="725" spans="2:9">
      <c r="B725" s="496">
        <v>45748</v>
      </c>
      <c r="C725" s="507" t="s">
        <v>391</v>
      </c>
      <c r="D725" s="505" t="s">
        <v>352</v>
      </c>
      <c r="E725" s="499"/>
      <c r="F725" s="500">
        <v>684.57</v>
      </c>
      <c r="G725" s="501" t="s">
        <v>274</v>
      </c>
      <c r="H725" s="502"/>
      <c r="I725" s="503">
        <f t="shared" si="11"/>
        <v>690.94000000001927</v>
      </c>
    </row>
    <row r="726" spans="2:9">
      <c r="B726" s="496">
        <v>45748</v>
      </c>
      <c r="C726" s="507" t="s">
        <v>283</v>
      </c>
      <c r="D726" s="505" t="s">
        <v>307</v>
      </c>
      <c r="E726" s="499">
        <v>360.8</v>
      </c>
      <c r="F726" s="500"/>
      <c r="G726" s="501" t="s">
        <v>190</v>
      </c>
      <c r="H726" s="502"/>
      <c r="I726" s="503">
        <f t="shared" si="11"/>
        <v>1051.7400000000193</v>
      </c>
    </row>
    <row r="727" spans="2:9">
      <c r="B727" s="496">
        <v>45748</v>
      </c>
      <c r="C727" s="507" t="s">
        <v>283</v>
      </c>
      <c r="D727" s="505" t="s">
        <v>307</v>
      </c>
      <c r="E727" s="499">
        <v>85</v>
      </c>
      <c r="F727" s="500"/>
      <c r="G727" s="501" t="s">
        <v>190</v>
      </c>
      <c r="H727" s="502"/>
      <c r="I727" s="503">
        <f t="shared" si="11"/>
        <v>1136.7400000000193</v>
      </c>
    </row>
    <row r="728" spans="2:9">
      <c r="B728" s="496">
        <v>45748</v>
      </c>
      <c r="C728" s="497" t="s">
        <v>541</v>
      </c>
      <c r="D728" s="498" t="s">
        <v>542</v>
      </c>
      <c r="E728" s="499">
        <v>10000</v>
      </c>
      <c r="F728" s="500"/>
      <c r="G728" s="501" t="s">
        <v>277</v>
      </c>
      <c r="H728" s="502"/>
      <c r="I728" s="503">
        <f t="shared" si="11"/>
        <v>11136.74000000002</v>
      </c>
    </row>
    <row r="729" spans="2:9">
      <c r="B729" s="496">
        <v>45748</v>
      </c>
      <c r="C729" s="511" t="s">
        <v>1068</v>
      </c>
      <c r="D729" s="498" t="s">
        <v>100</v>
      </c>
      <c r="E729" s="499"/>
      <c r="F729" s="500">
        <v>899.74</v>
      </c>
      <c r="G729" s="501" t="s">
        <v>194</v>
      </c>
      <c r="H729" s="502"/>
      <c r="I729" s="503">
        <f t="shared" si="11"/>
        <v>10237.00000000002</v>
      </c>
    </row>
    <row r="730" spans="2:9">
      <c r="B730" s="496">
        <v>45748</v>
      </c>
      <c r="C730" s="511" t="s">
        <v>1068</v>
      </c>
      <c r="D730" s="505" t="s">
        <v>100</v>
      </c>
      <c r="E730" s="499"/>
      <c r="F730" s="500">
        <v>197.94</v>
      </c>
      <c r="G730" s="501" t="s">
        <v>274</v>
      </c>
      <c r="H730" s="502"/>
      <c r="I730" s="503">
        <f t="shared" si="11"/>
        <v>10039.060000000019</v>
      </c>
    </row>
    <row r="731" spans="2:9">
      <c r="B731" s="496">
        <v>45748</v>
      </c>
      <c r="C731" s="497" t="s">
        <v>117</v>
      </c>
      <c r="D731" s="498" t="s">
        <v>903</v>
      </c>
      <c r="E731" s="499"/>
      <c r="F731" s="500">
        <v>1</v>
      </c>
      <c r="G731" s="501" t="s">
        <v>272</v>
      </c>
      <c r="H731" s="502"/>
      <c r="I731" s="503">
        <f t="shared" si="11"/>
        <v>10038.060000000019</v>
      </c>
    </row>
    <row r="732" spans="2:9">
      <c r="B732" s="496">
        <v>45748</v>
      </c>
      <c r="C732" s="507" t="s">
        <v>1069</v>
      </c>
      <c r="D732" s="505" t="s">
        <v>1006</v>
      </c>
      <c r="E732" s="499"/>
      <c r="F732" s="500">
        <v>6500</v>
      </c>
      <c r="G732" s="501" t="s">
        <v>137</v>
      </c>
      <c r="H732" s="502"/>
      <c r="I732" s="503">
        <f t="shared" si="11"/>
        <v>3538.0600000000195</v>
      </c>
    </row>
    <row r="733" spans="2:9">
      <c r="B733" s="496">
        <v>45748</v>
      </c>
      <c r="C733" s="507" t="s">
        <v>1069</v>
      </c>
      <c r="D733" s="505" t="s">
        <v>1006</v>
      </c>
      <c r="E733" s="499"/>
      <c r="F733" s="500">
        <v>1430</v>
      </c>
      <c r="G733" s="501" t="s">
        <v>274</v>
      </c>
      <c r="H733" s="502"/>
      <c r="I733" s="503">
        <f t="shared" si="11"/>
        <v>2108.0600000000195</v>
      </c>
    </row>
    <row r="734" spans="2:9">
      <c r="B734" s="496">
        <v>45748</v>
      </c>
      <c r="C734" s="497" t="s">
        <v>117</v>
      </c>
      <c r="D734" s="498" t="s">
        <v>903</v>
      </c>
      <c r="E734" s="499"/>
      <c r="F734" s="500">
        <v>1</v>
      </c>
      <c r="G734" s="501" t="s">
        <v>272</v>
      </c>
      <c r="H734" s="502"/>
      <c r="I734" s="503">
        <f t="shared" si="11"/>
        <v>2107.0600000000195</v>
      </c>
    </row>
    <row r="735" spans="2:9">
      <c r="B735" s="496">
        <v>45748</v>
      </c>
      <c r="C735" s="497" t="s">
        <v>117</v>
      </c>
      <c r="D735" s="498" t="s">
        <v>908</v>
      </c>
      <c r="E735" s="499"/>
      <c r="F735" s="500">
        <v>25</v>
      </c>
      <c r="G735" s="501" t="s">
        <v>254</v>
      </c>
      <c r="H735" s="502"/>
      <c r="I735" s="503">
        <f t="shared" si="11"/>
        <v>2082.0600000000195</v>
      </c>
    </row>
    <row r="736" spans="2:9">
      <c r="B736" s="496">
        <v>45749</v>
      </c>
      <c r="C736" s="497" t="s">
        <v>117</v>
      </c>
      <c r="D736" s="498" t="s">
        <v>914</v>
      </c>
      <c r="E736" s="499"/>
      <c r="F736" s="500">
        <v>46.11</v>
      </c>
      <c r="G736" s="501" t="s">
        <v>266</v>
      </c>
      <c r="H736" s="502"/>
      <c r="I736" s="503">
        <f t="shared" si="11"/>
        <v>2035.9500000000196</v>
      </c>
    </row>
    <row r="737" spans="2:9">
      <c r="B737" s="496">
        <v>45749</v>
      </c>
      <c r="C737" s="497" t="s">
        <v>117</v>
      </c>
      <c r="D737" s="498" t="s">
        <v>915</v>
      </c>
      <c r="E737" s="499"/>
      <c r="F737" s="500">
        <v>330.23</v>
      </c>
      <c r="G737" s="501" t="s">
        <v>267</v>
      </c>
      <c r="H737" s="502"/>
      <c r="I737" s="503">
        <f t="shared" si="11"/>
        <v>1705.7200000000196</v>
      </c>
    </row>
    <row r="738" spans="2:9">
      <c r="B738" s="496">
        <v>45749</v>
      </c>
      <c r="C738" s="507" t="s">
        <v>283</v>
      </c>
      <c r="D738" s="505" t="s">
        <v>307</v>
      </c>
      <c r="E738" s="499">
        <v>44</v>
      </c>
      <c r="F738" s="500"/>
      <c r="G738" s="501" t="s">
        <v>190</v>
      </c>
      <c r="H738" s="502"/>
      <c r="I738" s="503">
        <f t="shared" si="11"/>
        <v>1749.7200000000196</v>
      </c>
    </row>
    <row r="739" spans="2:9">
      <c r="B739" s="496">
        <v>45749</v>
      </c>
      <c r="C739" s="507" t="s">
        <v>283</v>
      </c>
      <c r="D739" s="505" t="s">
        <v>307</v>
      </c>
      <c r="E739" s="499">
        <v>261.2</v>
      </c>
      <c r="F739" s="500"/>
      <c r="G739" s="501" t="s">
        <v>190</v>
      </c>
      <c r="H739" s="502"/>
      <c r="I739" s="503">
        <f t="shared" si="11"/>
        <v>2010.9200000000196</v>
      </c>
    </row>
    <row r="740" spans="2:9">
      <c r="B740" s="496">
        <v>45750</v>
      </c>
      <c r="C740" s="507" t="s">
        <v>283</v>
      </c>
      <c r="D740" s="505" t="s">
        <v>307</v>
      </c>
      <c r="E740" s="499">
        <v>323.5</v>
      </c>
      <c r="F740" s="500"/>
      <c r="G740" s="501" t="s">
        <v>190</v>
      </c>
      <c r="H740" s="502"/>
      <c r="I740" s="503">
        <f t="shared" si="11"/>
        <v>2334.4200000000196</v>
      </c>
    </row>
    <row r="741" spans="2:9">
      <c r="B741" s="496">
        <v>45750</v>
      </c>
      <c r="C741" s="507" t="s">
        <v>283</v>
      </c>
      <c r="D741" s="505" t="s">
        <v>307</v>
      </c>
      <c r="E741" s="499">
        <v>577.1</v>
      </c>
      <c r="F741" s="500"/>
      <c r="G741" s="501" t="s">
        <v>190</v>
      </c>
      <c r="H741" s="502"/>
      <c r="I741" s="503">
        <f t="shared" si="11"/>
        <v>2911.5200000000195</v>
      </c>
    </row>
    <row r="742" spans="2:9">
      <c r="B742" s="496">
        <v>45750</v>
      </c>
      <c r="C742" s="511" t="s">
        <v>1070</v>
      </c>
      <c r="D742" s="498" t="s">
        <v>1071</v>
      </c>
      <c r="E742" s="499"/>
      <c r="F742" s="500">
        <f>1389.58-235.4</f>
        <v>1154.1799999999998</v>
      </c>
      <c r="G742" s="501" t="s">
        <v>137</v>
      </c>
      <c r="H742" s="502"/>
      <c r="I742" s="503">
        <f t="shared" si="11"/>
        <v>1757.3400000000197</v>
      </c>
    </row>
    <row r="743" spans="2:9">
      <c r="B743" s="496">
        <v>45750</v>
      </c>
      <c r="C743" s="511" t="s">
        <v>1070</v>
      </c>
      <c r="D743" s="505" t="s">
        <v>1071</v>
      </c>
      <c r="E743" s="499"/>
      <c r="F743" s="500">
        <v>235.4</v>
      </c>
      <c r="G743" s="501" t="s">
        <v>274</v>
      </c>
      <c r="H743" s="502"/>
      <c r="I743" s="503">
        <f t="shared" si="11"/>
        <v>1521.9400000000196</v>
      </c>
    </row>
    <row r="744" spans="2:9">
      <c r="B744" s="496">
        <v>45750</v>
      </c>
      <c r="C744" s="497" t="s">
        <v>117</v>
      </c>
      <c r="D744" s="498" t="s">
        <v>903</v>
      </c>
      <c r="E744" s="499"/>
      <c r="F744" s="500">
        <v>1</v>
      </c>
      <c r="G744" s="501" t="s">
        <v>272</v>
      </c>
      <c r="H744" s="502"/>
      <c r="I744" s="503">
        <f t="shared" si="11"/>
        <v>1520.9400000000196</v>
      </c>
    </row>
    <row r="745" spans="2:9">
      <c r="B745" s="496">
        <v>45751</v>
      </c>
      <c r="C745" s="507" t="s">
        <v>283</v>
      </c>
      <c r="D745" s="505" t="s">
        <v>307</v>
      </c>
      <c r="E745" s="499">
        <v>1261</v>
      </c>
      <c r="F745" s="500"/>
      <c r="G745" s="501" t="s">
        <v>190</v>
      </c>
      <c r="H745" s="502"/>
      <c r="I745" s="503">
        <f t="shared" si="11"/>
        <v>2781.9400000000196</v>
      </c>
    </row>
    <row r="746" spans="2:9">
      <c r="B746" s="496">
        <v>45751</v>
      </c>
      <c r="C746" s="507" t="s">
        <v>283</v>
      </c>
      <c r="D746" s="505" t="s">
        <v>307</v>
      </c>
      <c r="E746" s="499">
        <v>167</v>
      </c>
      <c r="F746" s="500"/>
      <c r="G746" s="501" t="s">
        <v>190</v>
      </c>
      <c r="H746" s="508"/>
      <c r="I746" s="503">
        <f t="shared" si="11"/>
        <v>2948.9400000000196</v>
      </c>
    </row>
    <row r="747" spans="2:9">
      <c r="B747" s="496">
        <v>45754</v>
      </c>
      <c r="C747" s="507" t="s">
        <v>1072</v>
      </c>
      <c r="D747" s="505" t="s">
        <v>917</v>
      </c>
      <c r="E747" s="499"/>
      <c r="F747" s="500">
        <v>132</v>
      </c>
      <c r="G747" s="501" t="s">
        <v>227</v>
      </c>
      <c r="H747" s="502"/>
      <c r="I747" s="503">
        <f t="shared" si="11"/>
        <v>2816.9400000000196</v>
      </c>
    </row>
    <row r="748" spans="2:9">
      <c r="B748" s="496">
        <v>45754</v>
      </c>
      <c r="C748" s="513" t="s">
        <v>117</v>
      </c>
      <c r="D748" s="514" t="s">
        <v>903</v>
      </c>
      <c r="E748" s="515"/>
      <c r="F748" s="516">
        <v>1</v>
      </c>
      <c r="G748" s="501" t="s">
        <v>272</v>
      </c>
      <c r="H748" s="502"/>
      <c r="I748" s="503">
        <f t="shared" si="11"/>
        <v>2815.9400000000196</v>
      </c>
    </row>
    <row r="749" spans="2:9">
      <c r="B749" s="496">
        <v>45754</v>
      </c>
      <c r="C749" s="507" t="s">
        <v>283</v>
      </c>
      <c r="D749" s="505" t="s">
        <v>307</v>
      </c>
      <c r="E749" s="499">
        <v>263.60000000000002</v>
      </c>
      <c r="F749" s="500"/>
      <c r="G749" s="501" t="s">
        <v>190</v>
      </c>
      <c r="H749" s="502"/>
      <c r="I749" s="503">
        <f t="shared" si="11"/>
        <v>3079.5400000000195</v>
      </c>
    </row>
    <row r="750" spans="2:9">
      <c r="B750" s="496">
        <v>45754</v>
      </c>
      <c r="C750" s="507" t="s">
        <v>283</v>
      </c>
      <c r="D750" s="505" t="s">
        <v>307</v>
      </c>
      <c r="E750" s="499">
        <v>556.79999999999995</v>
      </c>
      <c r="F750" s="500"/>
      <c r="G750" s="501" t="s">
        <v>190</v>
      </c>
      <c r="H750" s="502"/>
      <c r="I750" s="503">
        <f t="shared" si="11"/>
        <v>3636.3400000000192</v>
      </c>
    </row>
    <row r="751" spans="2:9">
      <c r="B751" s="496">
        <v>45754</v>
      </c>
      <c r="C751" s="507" t="s">
        <v>283</v>
      </c>
      <c r="D751" s="505" t="s">
        <v>307</v>
      </c>
      <c r="E751" s="499">
        <v>250.6</v>
      </c>
      <c r="F751" s="500"/>
      <c r="G751" s="501" t="s">
        <v>190</v>
      </c>
      <c r="H751" s="524"/>
      <c r="I751" s="503">
        <f t="shared" si="11"/>
        <v>3886.9400000000192</v>
      </c>
    </row>
    <row r="752" spans="2:9">
      <c r="B752" s="496">
        <v>45754</v>
      </c>
      <c r="C752" s="507" t="s">
        <v>283</v>
      </c>
      <c r="D752" s="505" t="s">
        <v>307</v>
      </c>
      <c r="E752" s="499">
        <v>1266.3</v>
      </c>
      <c r="F752" s="500"/>
      <c r="G752" s="501" t="s">
        <v>190</v>
      </c>
      <c r="H752" s="524"/>
      <c r="I752" s="503">
        <f t="shared" si="11"/>
        <v>5153.2400000000189</v>
      </c>
    </row>
    <row r="753" spans="2:9">
      <c r="B753" s="496">
        <v>45754</v>
      </c>
      <c r="C753" s="507" t="s">
        <v>283</v>
      </c>
      <c r="D753" s="505" t="s">
        <v>307</v>
      </c>
      <c r="E753" s="499">
        <v>1464.3</v>
      </c>
      <c r="F753" s="500"/>
      <c r="G753" s="501" t="s">
        <v>190</v>
      </c>
      <c r="H753" s="524"/>
      <c r="I753" s="503">
        <f t="shared" si="11"/>
        <v>6617.5400000000191</v>
      </c>
    </row>
    <row r="754" spans="2:9">
      <c r="B754" s="496">
        <v>45754</v>
      </c>
      <c r="C754" s="507" t="s">
        <v>283</v>
      </c>
      <c r="D754" s="505" t="s">
        <v>307</v>
      </c>
      <c r="E754" s="499">
        <v>1369.4</v>
      </c>
      <c r="F754" s="500"/>
      <c r="G754" s="501" t="s">
        <v>190</v>
      </c>
      <c r="H754" s="524"/>
      <c r="I754" s="503">
        <f t="shared" si="11"/>
        <v>7986.9400000000187</v>
      </c>
    </row>
    <row r="755" spans="2:9">
      <c r="B755" s="496">
        <v>45754</v>
      </c>
      <c r="C755" s="507" t="s">
        <v>283</v>
      </c>
      <c r="D755" s="505" t="s">
        <v>912</v>
      </c>
      <c r="E755" s="499">
        <f>980+149.5</f>
        <v>1129.5</v>
      </c>
      <c r="F755" s="500"/>
      <c r="G755" s="501" t="s">
        <v>190</v>
      </c>
      <c r="H755" s="524"/>
      <c r="I755" s="503">
        <f t="shared" si="11"/>
        <v>9116.4400000000187</v>
      </c>
    </row>
    <row r="756" spans="2:9">
      <c r="B756" s="496">
        <v>45754</v>
      </c>
      <c r="C756" s="507" t="s">
        <v>117</v>
      </c>
      <c r="D756" s="505" t="s">
        <v>918</v>
      </c>
      <c r="E756" s="499"/>
      <c r="F756" s="500">
        <f>9.85+1.52</f>
        <v>11.37</v>
      </c>
      <c r="G756" s="501" t="s">
        <v>270</v>
      </c>
      <c r="H756" s="524"/>
      <c r="I756" s="503">
        <f t="shared" si="11"/>
        <v>9105.0700000000179</v>
      </c>
    </row>
    <row r="757" spans="2:9">
      <c r="B757" s="496">
        <v>45755</v>
      </c>
      <c r="C757" s="507" t="s">
        <v>283</v>
      </c>
      <c r="D757" s="505" t="s">
        <v>909</v>
      </c>
      <c r="E757" s="499">
        <v>661</v>
      </c>
      <c r="F757" s="500"/>
      <c r="G757" s="501" t="s">
        <v>190</v>
      </c>
      <c r="H757" s="524"/>
      <c r="I757" s="503">
        <f t="shared" si="11"/>
        <v>9766.0700000000179</v>
      </c>
    </row>
    <row r="758" spans="2:9">
      <c r="B758" s="496">
        <v>45755</v>
      </c>
      <c r="C758" s="507" t="s">
        <v>117</v>
      </c>
      <c r="D758" s="505" t="s">
        <v>911</v>
      </c>
      <c r="E758" s="499"/>
      <c r="F758" s="500">
        <v>6.2</v>
      </c>
      <c r="G758" s="501" t="s">
        <v>269</v>
      </c>
      <c r="H758" s="524"/>
      <c r="I758" s="503">
        <f t="shared" si="11"/>
        <v>9759.8700000000172</v>
      </c>
    </row>
    <row r="759" spans="2:9">
      <c r="B759" s="496">
        <v>45755</v>
      </c>
      <c r="C759" s="507" t="s">
        <v>283</v>
      </c>
      <c r="D759" s="505" t="s">
        <v>307</v>
      </c>
      <c r="E759" s="499">
        <v>41.5</v>
      </c>
      <c r="F759" s="500"/>
      <c r="G759" s="501" t="s">
        <v>190</v>
      </c>
      <c r="H759" s="524"/>
      <c r="I759" s="503">
        <f t="shared" si="11"/>
        <v>9801.3700000000172</v>
      </c>
    </row>
    <row r="760" spans="2:9">
      <c r="B760" s="496">
        <v>45755</v>
      </c>
      <c r="C760" s="507" t="s">
        <v>283</v>
      </c>
      <c r="D760" s="505" t="s">
        <v>307</v>
      </c>
      <c r="E760" s="499">
        <v>236.4</v>
      </c>
      <c r="F760" s="500"/>
      <c r="G760" s="501" t="s">
        <v>190</v>
      </c>
      <c r="H760" s="502"/>
      <c r="I760" s="503">
        <f t="shared" si="11"/>
        <v>10037.770000000017</v>
      </c>
    </row>
    <row r="761" spans="2:9">
      <c r="B761" s="496">
        <v>45755</v>
      </c>
      <c r="C761" s="507" t="s">
        <v>283</v>
      </c>
      <c r="D761" s="505" t="s">
        <v>912</v>
      </c>
      <c r="E761" s="499">
        <f>462+79.5</f>
        <v>541.5</v>
      </c>
      <c r="F761" s="500"/>
      <c r="G761" s="501" t="s">
        <v>190</v>
      </c>
      <c r="H761" s="524"/>
      <c r="I761" s="503">
        <f t="shared" si="11"/>
        <v>10579.270000000017</v>
      </c>
    </row>
    <row r="762" spans="2:9">
      <c r="B762" s="496">
        <v>45755</v>
      </c>
      <c r="C762" s="507" t="s">
        <v>117</v>
      </c>
      <c r="D762" s="505" t="s">
        <v>918</v>
      </c>
      <c r="E762" s="499"/>
      <c r="F762" s="500">
        <f>4.63+0.8</f>
        <v>5.43</v>
      </c>
      <c r="G762" s="501" t="s">
        <v>270</v>
      </c>
      <c r="H762" s="502"/>
      <c r="I762" s="503">
        <f t="shared" si="11"/>
        <v>10573.840000000017</v>
      </c>
    </row>
    <row r="763" spans="2:9">
      <c r="B763" s="496">
        <v>45755</v>
      </c>
      <c r="C763" s="507" t="s">
        <v>283</v>
      </c>
      <c r="D763" s="505" t="s">
        <v>909</v>
      </c>
      <c r="E763" s="499">
        <v>160.5</v>
      </c>
      <c r="F763" s="500"/>
      <c r="G763" s="501" t="s">
        <v>190</v>
      </c>
      <c r="H763" s="502"/>
      <c r="I763" s="503">
        <f t="shared" si="11"/>
        <v>10734.340000000017</v>
      </c>
    </row>
    <row r="764" spans="2:9">
      <c r="B764" s="496">
        <v>45755</v>
      </c>
      <c r="C764" s="507" t="s">
        <v>117</v>
      </c>
      <c r="D764" s="505" t="s">
        <v>911</v>
      </c>
      <c r="E764" s="499"/>
      <c r="F764" s="500">
        <v>2.69</v>
      </c>
      <c r="G764" s="501" t="s">
        <v>269</v>
      </c>
      <c r="H764" s="502"/>
      <c r="I764" s="503">
        <f t="shared" si="11"/>
        <v>10731.650000000016</v>
      </c>
    </row>
    <row r="765" spans="2:9">
      <c r="B765" s="496">
        <v>45756</v>
      </c>
      <c r="C765" s="507"/>
      <c r="D765" s="505" t="s">
        <v>341</v>
      </c>
      <c r="E765" s="499">
        <v>998</v>
      </c>
      <c r="F765" s="500"/>
      <c r="G765" s="501" t="s">
        <v>197</v>
      </c>
      <c r="H765" s="508" t="s">
        <v>554</v>
      </c>
      <c r="I765" s="503">
        <f t="shared" si="11"/>
        <v>11729.650000000016</v>
      </c>
    </row>
    <row r="766" spans="2:9">
      <c r="B766" s="496">
        <v>45756</v>
      </c>
      <c r="C766" s="507" t="s">
        <v>283</v>
      </c>
      <c r="D766" s="505" t="s">
        <v>307</v>
      </c>
      <c r="E766" s="499">
        <v>221.4</v>
      </c>
      <c r="F766" s="500"/>
      <c r="G766" s="501" t="s">
        <v>190</v>
      </c>
      <c r="H766" s="502"/>
      <c r="I766" s="503">
        <f t="shared" si="11"/>
        <v>11951.050000000016</v>
      </c>
    </row>
    <row r="767" spans="2:9">
      <c r="B767" s="496">
        <v>45756</v>
      </c>
      <c r="C767" s="507" t="s">
        <v>283</v>
      </c>
      <c r="D767" s="505" t="s">
        <v>307</v>
      </c>
      <c r="E767" s="499">
        <v>91.5</v>
      </c>
      <c r="F767" s="500"/>
      <c r="G767" s="501" t="s">
        <v>190</v>
      </c>
      <c r="H767" s="502"/>
      <c r="I767" s="503">
        <f t="shared" si="11"/>
        <v>12042.550000000016</v>
      </c>
    </row>
    <row r="768" spans="2:9">
      <c r="B768" s="496">
        <v>45756</v>
      </c>
      <c r="C768" s="507" t="s">
        <v>1073</v>
      </c>
      <c r="D768" s="505" t="s">
        <v>318</v>
      </c>
      <c r="E768" s="499"/>
      <c r="F768" s="500">
        <v>529.84</v>
      </c>
      <c r="G768" s="501" t="s">
        <v>197</v>
      </c>
      <c r="H768" s="508" t="s">
        <v>554</v>
      </c>
      <c r="I768" s="503">
        <f t="shared" si="11"/>
        <v>11512.710000000015</v>
      </c>
    </row>
    <row r="769" spans="2:9">
      <c r="B769" s="496">
        <v>45756</v>
      </c>
      <c r="C769" s="507" t="s">
        <v>1073</v>
      </c>
      <c r="D769" s="505" t="s">
        <v>318</v>
      </c>
      <c r="E769" s="499"/>
      <c r="F769" s="500">
        <v>116.56</v>
      </c>
      <c r="G769" s="501" t="s">
        <v>197</v>
      </c>
      <c r="H769" s="508" t="s">
        <v>554</v>
      </c>
      <c r="I769" s="503">
        <f t="shared" si="11"/>
        <v>11396.150000000016</v>
      </c>
    </row>
    <row r="770" spans="2:9">
      <c r="B770" s="496">
        <v>45756</v>
      </c>
      <c r="C770" s="507" t="s">
        <v>1074</v>
      </c>
      <c r="D770" s="505" t="s">
        <v>318</v>
      </c>
      <c r="E770" s="499"/>
      <c r="F770" s="500">
        <v>305.39999999999998</v>
      </c>
      <c r="G770" s="501" t="s">
        <v>197</v>
      </c>
      <c r="H770" s="508" t="s">
        <v>554</v>
      </c>
      <c r="I770" s="503">
        <f t="shared" si="11"/>
        <v>11090.750000000016</v>
      </c>
    </row>
    <row r="771" spans="2:9">
      <c r="B771" s="496">
        <v>45756</v>
      </c>
      <c r="C771" s="507" t="s">
        <v>1074</v>
      </c>
      <c r="D771" s="505" t="s">
        <v>318</v>
      </c>
      <c r="E771" s="499"/>
      <c r="F771" s="500">
        <v>67.19</v>
      </c>
      <c r="G771" s="501" t="s">
        <v>197</v>
      </c>
      <c r="H771" s="508" t="s">
        <v>554</v>
      </c>
      <c r="I771" s="503">
        <f t="shared" si="11"/>
        <v>11023.560000000016</v>
      </c>
    </row>
    <row r="772" spans="2:9">
      <c r="B772" s="496">
        <v>45756</v>
      </c>
      <c r="C772" s="507" t="s">
        <v>1075</v>
      </c>
      <c r="D772" s="505" t="s">
        <v>318</v>
      </c>
      <c r="E772" s="499"/>
      <c r="F772" s="500">
        <v>94.04</v>
      </c>
      <c r="G772" s="501" t="s">
        <v>197</v>
      </c>
      <c r="H772" s="508" t="s">
        <v>554</v>
      </c>
      <c r="I772" s="503">
        <f t="shared" si="11"/>
        <v>10929.520000000015</v>
      </c>
    </row>
    <row r="773" spans="2:9">
      <c r="B773" s="496">
        <v>45756</v>
      </c>
      <c r="C773" s="507" t="s">
        <v>1075</v>
      </c>
      <c r="D773" s="505" t="s">
        <v>318</v>
      </c>
      <c r="E773" s="499"/>
      <c r="F773" s="500">
        <v>20.69</v>
      </c>
      <c r="G773" s="501" t="s">
        <v>197</v>
      </c>
      <c r="H773" s="508" t="s">
        <v>554</v>
      </c>
      <c r="I773" s="503">
        <f t="shared" si="11"/>
        <v>10908.830000000014</v>
      </c>
    </row>
    <row r="774" spans="2:9">
      <c r="B774" s="496">
        <v>45756</v>
      </c>
      <c r="C774" s="507" t="s">
        <v>1076</v>
      </c>
      <c r="D774" s="505" t="s">
        <v>318</v>
      </c>
      <c r="E774" s="499"/>
      <c r="F774" s="500">
        <v>381</v>
      </c>
      <c r="G774" s="501" t="s">
        <v>206</v>
      </c>
      <c r="H774" s="524"/>
      <c r="I774" s="503">
        <f t="shared" si="11"/>
        <v>10527.830000000014</v>
      </c>
    </row>
    <row r="775" spans="2:9">
      <c r="B775" s="496">
        <v>45756</v>
      </c>
      <c r="C775" s="507" t="s">
        <v>1076</v>
      </c>
      <c r="D775" s="505" t="s">
        <v>318</v>
      </c>
      <c r="E775" s="499"/>
      <c r="F775" s="500">
        <v>83.82</v>
      </c>
      <c r="G775" s="501" t="s">
        <v>274</v>
      </c>
      <c r="H775" s="502"/>
      <c r="I775" s="503">
        <f t="shared" si="11"/>
        <v>10444.010000000015</v>
      </c>
    </row>
    <row r="776" spans="2:9">
      <c r="B776" s="496">
        <v>45756</v>
      </c>
      <c r="C776" s="529" t="s">
        <v>117</v>
      </c>
      <c r="D776" s="514" t="s">
        <v>903</v>
      </c>
      <c r="E776" s="515"/>
      <c r="F776" s="516">
        <v>1</v>
      </c>
      <c r="G776" s="501" t="s">
        <v>272</v>
      </c>
      <c r="H776" s="502"/>
      <c r="I776" s="503">
        <f t="shared" si="11"/>
        <v>10443.010000000015</v>
      </c>
    </row>
    <row r="777" spans="2:9">
      <c r="B777" s="496">
        <v>45757</v>
      </c>
      <c r="C777" s="497" t="s">
        <v>541</v>
      </c>
      <c r="D777" s="498" t="s">
        <v>542</v>
      </c>
      <c r="E777" s="499">
        <v>6000</v>
      </c>
      <c r="F777" s="500"/>
      <c r="G777" s="501" t="s">
        <v>277</v>
      </c>
      <c r="H777" s="502"/>
      <c r="I777" s="503">
        <f t="shared" si="11"/>
        <v>16443.010000000017</v>
      </c>
    </row>
    <row r="778" spans="2:9">
      <c r="B778" s="528">
        <v>45747</v>
      </c>
      <c r="C778" s="497" t="s">
        <v>513</v>
      </c>
      <c r="D778" s="498" t="s">
        <v>26</v>
      </c>
      <c r="E778" s="499"/>
      <c r="F778" s="500">
        <v>1061</v>
      </c>
      <c r="G778" s="501" t="s">
        <v>246</v>
      </c>
      <c r="H778" s="525" t="s">
        <v>753</v>
      </c>
      <c r="I778" s="503">
        <f t="shared" ref="I778:I841" si="12">I777+E778-F778</f>
        <v>15382.010000000017</v>
      </c>
    </row>
    <row r="779" spans="2:9">
      <c r="B779" s="496">
        <v>45757</v>
      </c>
      <c r="C779" s="513" t="s">
        <v>117</v>
      </c>
      <c r="D779" s="514" t="s">
        <v>903</v>
      </c>
      <c r="E779" s="515"/>
      <c r="F779" s="516">
        <v>1</v>
      </c>
      <c r="G779" s="501" t="s">
        <v>272</v>
      </c>
      <c r="H779" s="502"/>
      <c r="I779" s="503">
        <f t="shared" si="12"/>
        <v>15381.010000000017</v>
      </c>
    </row>
    <row r="780" spans="2:9">
      <c r="B780" s="496">
        <v>45757</v>
      </c>
      <c r="C780" s="507" t="s">
        <v>117</v>
      </c>
      <c r="D780" s="505" t="s">
        <v>1077</v>
      </c>
      <c r="E780" s="499"/>
      <c r="F780" s="500">
        <v>1147.6199999999999</v>
      </c>
      <c r="G780" s="501" t="s">
        <v>240</v>
      </c>
      <c r="H780" s="502"/>
      <c r="I780" s="503">
        <f t="shared" si="12"/>
        <v>14233.390000000018</v>
      </c>
    </row>
    <row r="781" spans="2:9">
      <c r="B781" s="496">
        <v>45757</v>
      </c>
      <c r="C781" s="507" t="s">
        <v>283</v>
      </c>
      <c r="D781" s="505" t="s">
        <v>307</v>
      </c>
      <c r="E781" s="499">
        <v>97</v>
      </c>
      <c r="F781" s="500"/>
      <c r="G781" s="501" t="s">
        <v>190</v>
      </c>
      <c r="H781" s="502"/>
      <c r="I781" s="503">
        <f t="shared" si="12"/>
        <v>14330.390000000018</v>
      </c>
    </row>
    <row r="782" spans="2:9">
      <c r="B782" s="496">
        <v>45757</v>
      </c>
      <c r="C782" s="507" t="s">
        <v>283</v>
      </c>
      <c r="D782" s="505" t="s">
        <v>307</v>
      </c>
      <c r="E782" s="499">
        <v>418.8</v>
      </c>
      <c r="F782" s="500"/>
      <c r="G782" s="501" t="s">
        <v>190</v>
      </c>
      <c r="H782" s="502"/>
      <c r="I782" s="503">
        <f t="shared" si="12"/>
        <v>14749.190000000017</v>
      </c>
    </row>
    <row r="783" spans="2:9">
      <c r="B783" s="528">
        <v>45716</v>
      </c>
      <c r="C783" s="507" t="s">
        <v>1078</v>
      </c>
      <c r="D783" s="505" t="s">
        <v>388</v>
      </c>
      <c r="E783" s="499"/>
      <c r="F783" s="500">
        <v>1431.96</v>
      </c>
      <c r="G783" s="501" t="s">
        <v>224</v>
      </c>
      <c r="H783" s="525" t="s">
        <v>753</v>
      </c>
      <c r="I783" s="503">
        <f t="shared" si="12"/>
        <v>13317.230000000018</v>
      </c>
    </row>
    <row r="784" spans="2:9">
      <c r="B784" s="528">
        <v>45716</v>
      </c>
      <c r="C784" s="507" t="s">
        <v>1078</v>
      </c>
      <c r="D784" s="505" t="s">
        <v>388</v>
      </c>
      <c r="E784" s="499"/>
      <c r="F784" s="500">
        <v>315.02999999999997</v>
      </c>
      <c r="G784" s="501" t="s">
        <v>274</v>
      </c>
      <c r="H784" s="525" t="s">
        <v>753</v>
      </c>
      <c r="I784" s="503">
        <f t="shared" si="12"/>
        <v>13002.200000000017</v>
      </c>
    </row>
    <row r="785" spans="2:9">
      <c r="B785" s="496">
        <v>45757</v>
      </c>
      <c r="C785" s="497" t="s">
        <v>117</v>
      </c>
      <c r="D785" s="498" t="s">
        <v>921</v>
      </c>
      <c r="E785" s="499"/>
      <c r="F785" s="500">
        <v>1.25</v>
      </c>
      <c r="G785" s="501" t="s">
        <v>271</v>
      </c>
      <c r="H785" s="502"/>
      <c r="I785" s="503">
        <f t="shared" si="12"/>
        <v>13000.950000000017</v>
      </c>
    </row>
    <row r="786" spans="2:9">
      <c r="B786" s="528">
        <v>45747</v>
      </c>
      <c r="C786" s="507" t="s">
        <v>513</v>
      </c>
      <c r="D786" s="505" t="s">
        <v>25</v>
      </c>
      <c r="E786" s="499"/>
      <c r="F786" s="500">
        <v>1248</v>
      </c>
      <c r="G786" s="501" t="s">
        <v>246</v>
      </c>
      <c r="H786" s="525" t="s">
        <v>753</v>
      </c>
      <c r="I786" s="503">
        <f t="shared" si="12"/>
        <v>11752.950000000017</v>
      </c>
    </row>
    <row r="787" spans="2:9">
      <c r="B787" s="528">
        <v>45747</v>
      </c>
      <c r="C787" s="507" t="s">
        <v>286</v>
      </c>
      <c r="D787" s="505" t="s">
        <v>520</v>
      </c>
      <c r="E787" s="499"/>
      <c r="F787" s="500">
        <v>2140</v>
      </c>
      <c r="G787" s="501" t="s">
        <v>139</v>
      </c>
      <c r="H787" s="525" t="s">
        <v>753</v>
      </c>
      <c r="I787" s="503">
        <f t="shared" si="12"/>
        <v>9612.9500000000171</v>
      </c>
    </row>
    <row r="788" spans="2:9">
      <c r="B788" s="528">
        <v>45747</v>
      </c>
      <c r="C788" s="507" t="s">
        <v>513</v>
      </c>
      <c r="D788" s="505" t="s">
        <v>29</v>
      </c>
      <c r="E788" s="499"/>
      <c r="F788" s="500">
        <v>1308</v>
      </c>
      <c r="G788" s="501" t="s">
        <v>243</v>
      </c>
      <c r="H788" s="525" t="s">
        <v>753</v>
      </c>
      <c r="I788" s="503">
        <f t="shared" si="12"/>
        <v>8304.9500000000171</v>
      </c>
    </row>
    <row r="789" spans="2:9">
      <c r="B789" s="528">
        <v>45747</v>
      </c>
      <c r="C789" s="507" t="s">
        <v>513</v>
      </c>
      <c r="D789" s="505" t="s">
        <v>28</v>
      </c>
      <c r="E789" s="499"/>
      <c r="F789" s="500">
        <v>1440</v>
      </c>
      <c r="G789" s="501" t="s">
        <v>243</v>
      </c>
      <c r="H789" s="525" t="s">
        <v>753</v>
      </c>
      <c r="I789" s="503">
        <f t="shared" si="12"/>
        <v>6864.9500000000171</v>
      </c>
    </row>
    <row r="790" spans="2:9">
      <c r="B790" s="528">
        <v>45747</v>
      </c>
      <c r="C790" s="507" t="s">
        <v>513</v>
      </c>
      <c r="D790" s="498" t="s">
        <v>559</v>
      </c>
      <c r="E790" s="499"/>
      <c r="F790" s="500">
        <v>926</v>
      </c>
      <c r="G790" s="501" t="s">
        <v>243</v>
      </c>
      <c r="H790" s="525" t="s">
        <v>753</v>
      </c>
      <c r="I790" s="503">
        <f t="shared" si="12"/>
        <v>5938.9500000000171</v>
      </c>
    </row>
    <row r="791" spans="2:9">
      <c r="B791" s="528">
        <v>45747</v>
      </c>
      <c r="C791" s="507" t="s">
        <v>513</v>
      </c>
      <c r="D791" s="505" t="s">
        <v>557</v>
      </c>
      <c r="E791" s="499"/>
      <c r="F791" s="500">
        <v>1150</v>
      </c>
      <c r="G791" s="501" t="s">
        <v>246</v>
      </c>
      <c r="H791" s="525" t="s">
        <v>753</v>
      </c>
      <c r="I791" s="503">
        <f t="shared" si="12"/>
        <v>4788.9500000000171</v>
      </c>
    </row>
    <row r="792" spans="2:9">
      <c r="B792" s="528">
        <v>45747</v>
      </c>
      <c r="C792" s="507" t="s">
        <v>513</v>
      </c>
      <c r="D792" s="505" t="s">
        <v>558</v>
      </c>
      <c r="E792" s="499"/>
      <c r="F792" s="500">
        <v>438</v>
      </c>
      <c r="G792" s="501" t="s">
        <v>245</v>
      </c>
      <c r="H792" s="525" t="s">
        <v>753</v>
      </c>
      <c r="I792" s="503">
        <f t="shared" si="12"/>
        <v>4350.9500000000171</v>
      </c>
    </row>
    <row r="793" spans="2:9">
      <c r="B793" s="528">
        <v>45747</v>
      </c>
      <c r="C793" s="507" t="s">
        <v>513</v>
      </c>
      <c r="D793" s="505" t="s">
        <v>537</v>
      </c>
      <c r="E793" s="499"/>
      <c r="F793" s="500">
        <v>84</v>
      </c>
      <c r="G793" s="501" t="s">
        <v>245</v>
      </c>
      <c r="H793" s="525" t="s">
        <v>753</v>
      </c>
      <c r="I793" s="503">
        <f t="shared" si="12"/>
        <v>4266.9500000000171</v>
      </c>
    </row>
    <row r="794" spans="2:9">
      <c r="B794" s="528">
        <v>45747</v>
      </c>
      <c r="C794" s="497" t="s">
        <v>513</v>
      </c>
      <c r="D794" s="498" t="s">
        <v>560</v>
      </c>
      <c r="E794" s="499"/>
      <c r="F794" s="500">
        <v>82.17</v>
      </c>
      <c r="G794" s="501" t="s">
        <v>245</v>
      </c>
      <c r="H794" s="525" t="s">
        <v>753</v>
      </c>
      <c r="I794" s="503">
        <f t="shared" si="12"/>
        <v>4184.780000000017</v>
      </c>
    </row>
    <row r="795" spans="2:9">
      <c r="B795" s="496">
        <v>45757</v>
      </c>
      <c r="C795" s="513" t="s">
        <v>117</v>
      </c>
      <c r="D795" s="514" t="s">
        <v>903</v>
      </c>
      <c r="E795" s="515"/>
      <c r="F795" s="516">
        <v>6.4</v>
      </c>
      <c r="G795" s="501" t="s">
        <v>272</v>
      </c>
      <c r="H795" s="502"/>
      <c r="I795" s="503">
        <f t="shared" si="12"/>
        <v>4178.3800000000174</v>
      </c>
    </row>
    <row r="796" spans="2:9">
      <c r="B796" s="528">
        <v>45716</v>
      </c>
      <c r="C796" s="497">
        <v>1071</v>
      </c>
      <c r="D796" s="498" t="s">
        <v>336</v>
      </c>
      <c r="E796" s="499"/>
      <c r="F796" s="500">
        <v>473</v>
      </c>
      <c r="G796" s="501" t="s">
        <v>198</v>
      </c>
      <c r="H796" s="502"/>
      <c r="I796" s="503">
        <f t="shared" si="12"/>
        <v>3705.3800000000174</v>
      </c>
    </row>
    <row r="797" spans="2:9">
      <c r="B797" s="528">
        <v>45716</v>
      </c>
      <c r="C797" s="497">
        <v>1071</v>
      </c>
      <c r="D797" s="498" t="s">
        <v>336</v>
      </c>
      <c r="E797" s="499"/>
      <c r="F797" s="500">
        <v>104.06</v>
      </c>
      <c r="G797" s="501" t="s">
        <v>274</v>
      </c>
      <c r="H797" s="502"/>
      <c r="I797" s="503">
        <f t="shared" si="12"/>
        <v>3601.3200000000174</v>
      </c>
    </row>
    <row r="798" spans="2:9">
      <c r="B798" s="496">
        <v>45757</v>
      </c>
      <c r="C798" s="513" t="s">
        <v>117</v>
      </c>
      <c r="D798" s="514" t="s">
        <v>903</v>
      </c>
      <c r="E798" s="515"/>
      <c r="F798" s="516">
        <v>0.75</v>
      </c>
      <c r="G798" s="501" t="s">
        <v>272</v>
      </c>
      <c r="H798" s="502"/>
      <c r="I798" s="503">
        <f t="shared" si="12"/>
        <v>3600.5700000000174</v>
      </c>
    </row>
    <row r="799" spans="2:9">
      <c r="B799" s="496">
        <v>45757</v>
      </c>
      <c r="C799" s="497" t="s">
        <v>117</v>
      </c>
      <c r="D799" s="498" t="s">
        <v>535</v>
      </c>
      <c r="E799" s="499"/>
      <c r="F799" s="500">
        <v>500</v>
      </c>
      <c r="G799" s="501" t="s">
        <v>197</v>
      </c>
      <c r="H799" s="506"/>
      <c r="I799" s="503">
        <f t="shared" si="12"/>
        <v>3100.5700000000174</v>
      </c>
    </row>
    <row r="800" spans="2:9">
      <c r="B800" s="496">
        <v>45757</v>
      </c>
      <c r="C800" s="497" t="s">
        <v>117</v>
      </c>
      <c r="D800" s="498" t="s">
        <v>1079</v>
      </c>
      <c r="E800" s="499">
        <v>500</v>
      </c>
      <c r="F800" s="500"/>
      <c r="G800" s="501" t="s">
        <v>197</v>
      </c>
      <c r="H800" s="506"/>
      <c r="I800" s="503">
        <f t="shared" si="12"/>
        <v>3600.5700000000174</v>
      </c>
    </row>
    <row r="801" spans="2:9">
      <c r="B801" s="496">
        <v>45758</v>
      </c>
      <c r="C801" s="497" t="s">
        <v>1080</v>
      </c>
      <c r="D801" s="498" t="s">
        <v>412</v>
      </c>
      <c r="E801" s="499"/>
      <c r="F801" s="500">
        <v>35.799999999999997</v>
      </c>
      <c r="G801" s="501" t="s">
        <v>225</v>
      </c>
      <c r="H801" s="502"/>
      <c r="I801" s="503">
        <f t="shared" si="12"/>
        <v>3564.7700000000173</v>
      </c>
    </row>
    <row r="802" spans="2:9">
      <c r="B802" s="496">
        <v>45758</v>
      </c>
      <c r="C802" s="497" t="s">
        <v>1080</v>
      </c>
      <c r="D802" s="498" t="s">
        <v>412</v>
      </c>
      <c r="E802" s="499"/>
      <c r="F802" s="500">
        <v>7.88</v>
      </c>
      <c r="G802" s="501" t="s">
        <v>274</v>
      </c>
      <c r="H802" s="502"/>
      <c r="I802" s="503">
        <f t="shared" si="12"/>
        <v>3556.8900000000172</v>
      </c>
    </row>
    <row r="803" spans="2:9">
      <c r="B803" s="496">
        <v>45758</v>
      </c>
      <c r="C803" s="497" t="s">
        <v>117</v>
      </c>
      <c r="D803" s="498" t="s">
        <v>921</v>
      </c>
      <c r="E803" s="499"/>
      <c r="F803" s="500">
        <v>1.25</v>
      </c>
      <c r="G803" s="501" t="s">
        <v>271</v>
      </c>
      <c r="H803" s="502"/>
      <c r="I803" s="503">
        <f t="shared" si="12"/>
        <v>3555.6400000000172</v>
      </c>
    </row>
    <row r="804" spans="2:9">
      <c r="B804" s="496">
        <v>45758</v>
      </c>
      <c r="C804" s="507" t="s">
        <v>283</v>
      </c>
      <c r="D804" s="505" t="s">
        <v>307</v>
      </c>
      <c r="E804" s="499">
        <v>140.80000000000001</v>
      </c>
      <c r="F804" s="500"/>
      <c r="G804" s="501" t="s">
        <v>190</v>
      </c>
      <c r="H804" s="502"/>
      <c r="I804" s="503">
        <f t="shared" si="12"/>
        <v>3696.4400000000173</v>
      </c>
    </row>
    <row r="805" spans="2:9">
      <c r="B805" s="496">
        <v>45758</v>
      </c>
      <c r="C805" s="507" t="s">
        <v>283</v>
      </c>
      <c r="D805" s="505" t="s">
        <v>307</v>
      </c>
      <c r="E805" s="499">
        <v>314.3</v>
      </c>
      <c r="F805" s="500"/>
      <c r="G805" s="501" t="s">
        <v>190</v>
      </c>
      <c r="H805" s="502"/>
      <c r="I805" s="503">
        <f t="shared" si="12"/>
        <v>4010.7400000000175</v>
      </c>
    </row>
    <row r="806" spans="2:9">
      <c r="B806" s="496">
        <v>45758</v>
      </c>
      <c r="C806" s="497" t="s">
        <v>1081</v>
      </c>
      <c r="D806" s="498" t="s">
        <v>1082</v>
      </c>
      <c r="E806" s="499"/>
      <c r="F806" s="500">
        <v>108.18</v>
      </c>
      <c r="G806" s="501" t="s">
        <v>207</v>
      </c>
      <c r="H806" s="502"/>
      <c r="I806" s="503">
        <f t="shared" si="12"/>
        <v>3902.5600000000177</v>
      </c>
    </row>
    <row r="807" spans="2:9">
      <c r="B807" s="496">
        <v>45758</v>
      </c>
      <c r="C807" s="497" t="s">
        <v>1081</v>
      </c>
      <c r="D807" s="498" t="s">
        <v>1082</v>
      </c>
      <c r="E807" s="499"/>
      <c r="F807" s="500">
        <v>10.82</v>
      </c>
      <c r="G807" s="501" t="s">
        <v>274</v>
      </c>
      <c r="H807" s="502"/>
      <c r="I807" s="503">
        <f t="shared" si="12"/>
        <v>3891.7400000000175</v>
      </c>
    </row>
    <row r="808" spans="2:9">
      <c r="B808" s="496">
        <v>45758</v>
      </c>
      <c r="C808" s="513" t="s">
        <v>117</v>
      </c>
      <c r="D808" s="514" t="s">
        <v>903</v>
      </c>
      <c r="E808" s="515"/>
      <c r="F808" s="516">
        <v>1</v>
      </c>
      <c r="G808" s="501" t="s">
        <v>272</v>
      </c>
      <c r="H808" s="502"/>
      <c r="I808" s="503">
        <f t="shared" si="12"/>
        <v>3890.7400000000175</v>
      </c>
    </row>
    <row r="809" spans="2:9">
      <c r="B809" s="496">
        <v>45761</v>
      </c>
      <c r="C809" s="507" t="s">
        <v>283</v>
      </c>
      <c r="D809" s="505" t="s">
        <v>307</v>
      </c>
      <c r="E809" s="499">
        <v>309.10000000000002</v>
      </c>
      <c r="F809" s="500"/>
      <c r="G809" s="501" t="s">
        <v>190</v>
      </c>
      <c r="H809" s="502"/>
      <c r="I809" s="503">
        <f t="shared" si="12"/>
        <v>4199.8400000000174</v>
      </c>
    </row>
    <row r="810" spans="2:9">
      <c r="B810" s="496">
        <v>45761</v>
      </c>
      <c r="C810" s="507" t="s">
        <v>283</v>
      </c>
      <c r="D810" s="505" t="s">
        <v>307</v>
      </c>
      <c r="E810" s="499">
        <v>411.1</v>
      </c>
      <c r="F810" s="500"/>
      <c r="G810" s="501" t="s">
        <v>190</v>
      </c>
      <c r="H810" s="502"/>
      <c r="I810" s="503">
        <f t="shared" si="12"/>
        <v>4610.9400000000178</v>
      </c>
    </row>
    <row r="811" spans="2:9">
      <c r="B811" s="496">
        <v>45761</v>
      </c>
      <c r="C811" s="507" t="s">
        <v>283</v>
      </c>
      <c r="D811" s="505" t="s">
        <v>307</v>
      </c>
      <c r="E811" s="499">
        <v>941</v>
      </c>
      <c r="F811" s="500"/>
      <c r="G811" s="501" t="s">
        <v>190</v>
      </c>
      <c r="H811" s="502"/>
      <c r="I811" s="503">
        <f t="shared" si="12"/>
        <v>5551.9400000000178</v>
      </c>
    </row>
    <row r="812" spans="2:9">
      <c r="B812" s="496">
        <v>45761</v>
      </c>
      <c r="C812" s="507" t="s">
        <v>1083</v>
      </c>
      <c r="D812" s="505" t="s">
        <v>917</v>
      </c>
      <c r="E812" s="499"/>
      <c r="F812" s="500">
        <v>132</v>
      </c>
      <c r="G812" s="501" t="s">
        <v>227</v>
      </c>
      <c r="H812" s="502"/>
      <c r="I812" s="503">
        <f t="shared" si="12"/>
        <v>5419.9400000000178</v>
      </c>
    </row>
    <row r="813" spans="2:9">
      <c r="B813" s="496">
        <v>45761</v>
      </c>
      <c r="C813" s="507" t="s">
        <v>1084</v>
      </c>
      <c r="D813" s="505" t="s">
        <v>917</v>
      </c>
      <c r="E813" s="499"/>
      <c r="F813" s="500">
        <v>132</v>
      </c>
      <c r="G813" s="501" t="s">
        <v>227</v>
      </c>
      <c r="H813" s="502"/>
      <c r="I813" s="503">
        <f t="shared" si="12"/>
        <v>5287.9400000000178</v>
      </c>
    </row>
    <row r="814" spans="2:9">
      <c r="B814" s="496">
        <v>45761</v>
      </c>
      <c r="C814" s="513" t="s">
        <v>117</v>
      </c>
      <c r="D814" s="514" t="s">
        <v>903</v>
      </c>
      <c r="E814" s="515"/>
      <c r="F814" s="516">
        <v>1</v>
      </c>
      <c r="G814" s="501" t="s">
        <v>272</v>
      </c>
      <c r="H814" s="502"/>
      <c r="I814" s="503">
        <f t="shared" si="12"/>
        <v>5286.9400000000178</v>
      </c>
    </row>
    <row r="815" spans="2:9">
      <c r="B815" s="496">
        <v>45761</v>
      </c>
      <c r="C815" s="507" t="s">
        <v>283</v>
      </c>
      <c r="D815" s="505" t="s">
        <v>307</v>
      </c>
      <c r="E815" s="499">
        <v>839.3</v>
      </c>
      <c r="F815" s="500"/>
      <c r="G815" s="501" t="s">
        <v>190</v>
      </c>
      <c r="H815" s="502"/>
      <c r="I815" s="503">
        <f t="shared" si="12"/>
        <v>6126.240000000018</v>
      </c>
    </row>
    <row r="816" spans="2:9">
      <c r="B816" s="496">
        <v>45761</v>
      </c>
      <c r="C816" s="507" t="s">
        <v>283</v>
      </c>
      <c r="D816" s="505" t="s">
        <v>307</v>
      </c>
      <c r="E816" s="499">
        <v>1760.7</v>
      </c>
      <c r="F816" s="500"/>
      <c r="G816" s="501" t="s">
        <v>190</v>
      </c>
      <c r="H816" s="502"/>
      <c r="I816" s="503">
        <f t="shared" si="12"/>
        <v>7886.9400000000178</v>
      </c>
    </row>
    <row r="817" spans="2:9">
      <c r="B817" s="496">
        <v>45761</v>
      </c>
      <c r="C817" s="507" t="s">
        <v>283</v>
      </c>
      <c r="D817" s="505" t="s">
        <v>307</v>
      </c>
      <c r="E817" s="499">
        <v>1599.5</v>
      </c>
      <c r="F817" s="500"/>
      <c r="G817" s="501" t="s">
        <v>190</v>
      </c>
      <c r="H817" s="502"/>
      <c r="I817" s="503">
        <f t="shared" si="12"/>
        <v>9486.4400000000169</v>
      </c>
    </row>
    <row r="818" spans="2:9">
      <c r="B818" s="496">
        <v>45761</v>
      </c>
      <c r="C818" s="507" t="s">
        <v>283</v>
      </c>
      <c r="D818" s="505" t="s">
        <v>912</v>
      </c>
      <c r="E818" s="499">
        <f>847.5+234.5</f>
        <v>1082</v>
      </c>
      <c r="F818" s="500"/>
      <c r="G818" s="501" t="s">
        <v>190</v>
      </c>
      <c r="H818" s="502"/>
      <c r="I818" s="503">
        <f t="shared" si="12"/>
        <v>10568.440000000017</v>
      </c>
    </row>
    <row r="819" spans="2:9">
      <c r="B819" s="496">
        <v>45761</v>
      </c>
      <c r="C819" s="507" t="s">
        <v>117</v>
      </c>
      <c r="D819" s="505" t="s">
        <v>918</v>
      </c>
      <c r="E819" s="499"/>
      <c r="F819" s="500">
        <f>8.5+2.35</f>
        <v>10.85</v>
      </c>
      <c r="G819" s="501" t="s">
        <v>270</v>
      </c>
      <c r="H819" s="502"/>
      <c r="I819" s="503">
        <f t="shared" si="12"/>
        <v>10557.590000000017</v>
      </c>
    </row>
    <row r="820" spans="2:9">
      <c r="B820" s="496">
        <v>45761</v>
      </c>
      <c r="C820" s="511" t="s">
        <v>1085</v>
      </c>
      <c r="D820" s="505" t="s">
        <v>1086</v>
      </c>
      <c r="E820" s="499"/>
      <c r="F820" s="500">
        <v>435.05</v>
      </c>
      <c r="G820" s="501" t="s">
        <v>137</v>
      </c>
      <c r="H820" s="502"/>
      <c r="I820" s="503">
        <f t="shared" si="12"/>
        <v>10122.540000000017</v>
      </c>
    </row>
    <row r="821" spans="2:9">
      <c r="B821" s="496">
        <v>45761</v>
      </c>
      <c r="C821" s="511" t="s">
        <v>1085</v>
      </c>
      <c r="D821" s="505" t="s">
        <v>1086</v>
      </c>
      <c r="E821" s="499"/>
      <c r="F821" s="500">
        <v>95.71</v>
      </c>
      <c r="G821" s="501" t="s">
        <v>274</v>
      </c>
      <c r="H821" s="524"/>
      <c r="I821" s="503">
        <f t="shared" si="12"/>
        <v>10026.830000000018</v>
      </c>
    </row>
    <row r="822" spans="2:9">
      <c r="B822" s="496">
        <v>45761</v>
      </c>
      <c r="C822" s="513" t="s">
        <v>117</v>
      </c>
      <c r="D822" s="514" t="s">
        <v>903</v>
      </c>
      <c r="E822" s="515"/>
      <c r="F822" s="538">
        <v>1</v>
      </c>
      <c r="G822" s="501" t="s">
        <v>272</v>
      </c>
      <c r="H822" s="524"/>
      <c r="I822" s="503">
        <f t="shared" si="12"/>
        <v>10025.830000000018</v>
      </c>
    </row>
    <row r="823" spans="2:9">
      <c r="B823" s="496">
        <v>45762</v>
      </c>
      <c r="C823" s="507" t="s">
        <v>1087</v>
      </c>
      <c r="D823" s="505" t="s">
        <v>1088</v>
      </c>
      <c r="E823" s="499"/>
      <c r="F823" s="516">
        <v>626.58000000000004</v>
      </c>
      <c r="G823" s="501" t="s">
        <v>197</v>
      </c>
      <c r="H823" s="508" t="s">
        <v>554</v>
      </c>
      <c r="I823" s="503">
        <f t="shared" si="12"/>
        <v>9399.2500000000182</v>
      </c>
    </row>
    <row r="824" spans="2:9">
      <c r="B824" s="496">
        <v>45762</v>
      </c>
      <c r="C824" s="507" t="s">
        <v>1087</v>
      </c>
      <c r="D824" s="505" t="s">
        <v>1088</v>
      </c>
      <c r="E824" s="499"/>
      <c r="F824" s="500">
        <v>137.85</v>
      </c>
      <c r="G824" s="501" t="s">
        <v>197</v>
      </c>
      <c r="H824" s="508" t="s">
        <v>554</v>
      </c>
      <c r="I824" s="503">
        <f t="shared" si="12"/>
        <v>9261.4000000000178</v>
      </c>
    </row>
    <row r="825" spans="2:9">
      <c r="B825" s="496">
        <v>45762</v>
      </c>
      <c r="C825" s="513" t="s">
        <v>117</v>
      </c>
      <c r="D825" s="514" t="s">
        <v>903</v>
      </c>
      <c r="E825" s="515"/>
      <c r="F825" s="516">
        <v>1</v>
      </c>
      <c r="G825" s="501" t="s">
        <v>272</v>
      </c>
      <c r="H825" s="524"/>
      <c r="I825" s="503">
        <f t="shared" si="12"/>
        <v>9260.4000000000178</v>
      </c>
    </row>
    <row r="826" spans="2:9">
      <c r="B826" s="496">
        <v>45762</v>
      </c>
      <c r="C826" s="507" t="s">
        <v>283</v>
      </c>
      <c r="D826" s="505" t="s">
        <v>307</v>
      </c>
      <c r="E826" s="499">
        <v>95</v>
      </c>
      <c r="F826" s="500"/>
      <c r="G826" s="501" t="s">
        <v>190</v>
      </c>
      <c r="H826" s="524"/>
      <c r="I826" s="503">
        <f t="shared" si="12"/>
        <v>9355.4000000000178</v>
      </c>
    </row>
    <row r="827" spans="2:9">
      <c r="B827" s="496">
        <v>45762</v>
      </c>
      <c r="C827" s="507" t="s">
        <v>283</v>
      </c>
      <c r="D827" s="505" t="s">
        <v>307</v>
      </c>
      <c r="E827" s="499">
        <v>524</v>
      </c>
      <c r="F827" s="500"/>
      <c r="G827" s="501" t="s">
        <v>190</v>
      </c>
      <c r="H827" s="502"/>
      <c r="I827" s="503">
        <f t="shared" si="12"/>
        <v>9879.4000000000178</v>
      </c>
    </row>
    <row r="828" spans="2:9">
      <c r="B828" s="496">
        <v>45762</v>
      </c>
      <c r="C828" s="507" t="s">
        <v>283</v>
      </c>
      <c r="D828" s="505" t="s">
        <v>307</v>
      </c>
      <c r="E828" s="499">
        <v>610.65</v>
      </c>
      <c r="F828" s="500"/>
      <c r="G828" s="501" t="s">
        <v>190</v>
      </c>
      <c r="H828" s="502"/>
      <c r="I828" s="503">
        <f t="shared" si="12"/>
        <v>10490.050000000017</v>
      </c>
    </row>
    <row r="829" spans="2:9">
      <c r="B829" s="496">
        <v>45762</v>
      </c>
      <c r="C829" s="507" t="s">
        <v>283</v>
      </c>
      <c r="D829" s="505" t="s">
        <v>912</v>
      </c>
      <c r="E829" s="499">
        <f>234+14</f>
        <v>248</v>
      </c>
      <c r="F829" s="500"/>
      <c r="G829" s="501" t="s">
        <v>190</v>
      </c>
      <c r="H829" s="502"/>
      <c r="I829" s="503">
        <f t="shared" si="12"/>
        <v>10738.050000000017</v>
      </c>
    </row>
    <row r="830" spans="2:9">
      <c r="B830" s="729">
        <v>45746</v>
      </c>
      <c r="C830" s="776" t="s">
        <v>250</v>
      </c>
      <c r="D830" s="773" t="s">
        <v>250</v>
      </c>
      <c r="E830" s="499"/>
      <c r="F830" s="500">
        <v>3727.35</v>
      </c>
      <c r="G830" s="501" t="s">
        <v>250</v>
      </c>
      <c r="H830" s="502"/>
      <c r="I830" s="503">
        <f t="shared" si="12"/>
        <v>7010.7000000000171</v>
      </c>
    </row>
    <row r="831" spans="2:9">
      <c r="B831" s="729">
        <v>45746</v>
      </c>
      <c r="C831" s="776" t="s">
        <v>250</v>
      </c>
      <c r="D831" s="773" t="s">
        <v>329</v>
      </c>
      <c r="E831" s="499"/>
      <c r="F831" s="500">
        <v>83.33</v>
      </c>
      <c r="G831" s="501" t="s">
        <v>221</v>
      </c>
      <c r="H831" s="502"/>
      <c r="I831" s="503">
        <f t="shared" si="12"/>
        <v>6927.3700000000172</v>
      </c>
    </row>
    <row r="832" spans="2:9">
      <c r="B832" s="729">
        <v>45746</v>
      </c>
      <c r="C832" s="776" t="s">
        <v>250</v>
      </c>
      <c r="D832" s="773" t="s">
        <v>990</v>
      </c>
      <c r="E832" s="499"/>
      <c r="F832" s="500">
        <v>139</v>
      </c>
      <c r="G832" s="501" t="s">
        <v>222</v>
      </c>
      <c r="H832" s="502"/>
      <c r="I832" s="503">
        <f t="shared" si="12"/>
        <v>6788.3700000000172</v>
      </c>
    </row>
    <row r="833" spans="2:9">
      <c r="B833" s="729">
        <v>45746</v>
      </c>
      <c r="C833" s="777" t="s">
        <v>250</v>
      </c>
      <c r="D833" s="778" t="s">
        <v>1966</v>
      </c>
      <c r="E833" s="499">
        <v>3949.68</v>
      </c>
      <c r="F833" s="500"/>
      <c r="G833" s="501"/>
      <c r="H833" s="502"/>
      <c r="I833" s="503">
        <f t="shared" si="12"/>
        <v>10738.050000000017</v>
      </c>
    </row>
    <row r="834" spans="2:9">
      <c r="B834" s="496">
        <v>45762</v>
      </c>
      <c r="C834" s="507" t="s">
        <v>117</v>
      </c>
      <c r="D834" s="505" t="s">
        <v>918</v>
      </c>
      <c r="E834" s="499"/>
      <c r="F834" s="500">
        <f>0.14+2.34</f>
        <v>2.48</v>
      </c>
      <c r="G834" s="501" t="s">
        <v>270</v>
      </c>
      <c r="H834" s="502"/>
      <c r="I834" s="503">
        <f t="shared" si="12"/>
        <v>10735.570000000018</v>
      </c>
    </row>
    <row r="835" spans="2:9">
      <c r="B835" s="496">
        <v>45762</v>
      </c>
      <c r="C835" s="507" t="s">
        <v>283</v>
      </c>
      <c r="D835" s="505" t="s">
        <v>307</v>
      </c>
      <c r="E835" s="499">
        <v>35.159999999999997</v>
      </c>
      <c r="F835" s="500"/>
      <c r="G835" s="501" t="s">
        <v>190</v>
      </c>
      <c r="H835" s="502"/>
      <c r="I835" s="503">
        <f t="shared" si="12"/>
        <v>10770.730000000018</v>
      </c>
    </row>
    <row r="836" spans="2:9">
      <c r="B836" s="496">
        <v>45762</v>
      </c>
      <c r="C836" s="507" t="s">
        <v>283</v>
      </c>
      <c r="D836" s="505" t="s">
        <v>307</v>
      </c>
      <c r="E836" s="499">
        <v>25</v>
      </c>
      <c r="F836" s="500"/>
      <c r="G836" s="501" t="s">
        <v>190</v>
      </c>
      <c r="H836" s="502"/>
      <c r="I836" s="503">
        <f t="shared" si="12"/>
        <v>10795.730000000018</v>
      </c>
    </row>
    <row r="837" spans="2:9">
      <c r="B837" s="496">
        <v>45762</v>
      </c>
      <c r="C837" s="497">
        <v>4701528133</v>
      </c>
      <c r="D837" s="498" t="s">
        <v>892</v>
      </c>
      <c r="E837" s="499"/>
      <c r="F837" s="500">
        <v>1628.3</v>
      </c>
      <c r="G837" s="501" t="s">
        <v>196</v>
      </c>
      <c r="H837" s="502"/>
      <c r="I837" s="503">
        <f t="shared" si="12"/>
        <v>9167.4300000000185</v>
      </c>
    </row>
    <row r="838" spans="2:9">
      <c r="B838" s="496">
        <v>45762</v>
      </c>
      <c r="C838" s="497">
        <v>4701528133</v>
      </c>
      <c r="D838" s="498" t="s">
        <v>892</v>
      </c>
      <c r="E838" s="499"/>
      <c r="F838" s="500">
        <v>358.23</v>
      </c>
      <c r="G838" s="501" t="s">
        <v>274</v>
      </c>
      <c r="H838" s="502"/>
      <c r="I838" s="503">
        <f t="shared" si="12"/>
        <v>8809.2000000000189</v>
      </c>
    </row>
    <row r="839" spans="2:9">
      <c r="B839" s="496">
        <v>45762</v>
      </c>
      <c r="C839" s="513" t="s">
        <v>117</v>
      </c>
      <c r="D839" s="514" t="s">
        <v>903</v>
      </c>
      <c r="E839" s="515"/>
      <c r="F839" s="516">
        <v>1</v>
      </c>
      <c r="G839" s="501" t="s">
        <v>272</v>
      </c>
      <c r="H839" s="502"/>
      <c r="I839" s="503">
        <f t="shared" si="12"/>
        <v>8808.2000000000189</v>
      </c>
    </row>
    <row r="840" spans="2:9">
      <c r="B840" s="496">
        <v>45763</v>
      </c>
      <c r="C840" s="507" t="s">
        <v>283</v>
      </c>
      <c r="D840" s="505" t="s">
        <v>307</v>
      </c>
      <c r="E840" s="499">
        <v>272.3</v>
      </c>
      <c r="F840" s="500"/>
      <c r="G840" s="501" t="s">
        <v>190</v>
      </c>
      <c r="H840" s="502"/>
      <c r="I840" s="503">
        <f t="shared" si="12"/>
        <v>9080.5000000000182</v>
      </c>
    </row>
    <row r="841" spans="2:9">
      <c r="B841" s="496">
        <v>45764</v>
      </c>
      <c r="C841" s="507" t="s">
        <v>431</v>
      </c>
      <c r="D841" s="498" t="s">
        <v>432</v>
      </c>
      <c r="E841" s="499">
        <v>1800</v>
      </c>
      <c r="F841" s="500"/>
      <c r="G841" s="501" t="s">
        <v>190</v>
      </c>
      <c r="H841" s="502"/>
      <c r="I841" s="503">
        <f t="shared" si="12"/>
        <v>10880.500000000018</v>
      </c>
    </row>
    <row r="842" spans="2:9">
      <c r="B842" s="496">
        <v>45764</v>
      </c>
      <c r="C842" s="507" t="s">
        <v>431</v>
      </c>
      <c r="D842" s="498" t="s">
        <v>432</v>
      </c>
      <c r="E842" s="499">
        <v>396</v>
      </c>
      <c r="F842" s="500"/>
      <c r="G842" s="501" t="s">
        <v>276</v>
      </c>
      <c r="H842" s="502"/>
      <c r="I842" s="503">
        <f t="shared" ref="I842:I905" si="13">I841+E842-F842</f>
        <v>11276.500000000018</v>
      </c>
    </row>
    <row r="843" spans="2:9">
      <c r="B843" s="496">
        <v>45764</v>
      </c>
      <c r="C843" s="507" t="s">
        <v>283</v>
      </c>
      <c r="D843" s="505" t="s">
        <v>307</v>
      </c>
      <c r="E843" s="499">
        <v>100.9</v>
      </c>
      <c r="F843" s="500"/>
      <c r="G843" s="501" t="s">
        <v>190</v>
      </c>
      <c r="H843" s="502"/>
      <c r="I843" s="503">
        <f t="shared" si="13"/>
        <v>11377.400000000018</v>
      </c>
    </row>
    <row r="844" spans="2:9">
      <c r="B844" s="496">
        <v>45764</v>
      </c>
      <c r="C844" s="497">
        <v>456</v>
      </c>
      <c r="D844" s="498" t="s">
        <v>1082</v>
      </c>
      <c r="E844" s="499"/>
      <c r="F844" s="500">
        <v>40.98</v>
      </c>
      <c r="G844" s="501" t="s">
        <v>208</v>
      </c>
      <c r="H844" s="502"/>
      <c r="I844" s="503">
        <f t="shared" si="13"/>
        <v>11336.420000000018</v>
      </c>
    </row>
    <row r="845" spans="2:9">
      <c r="B845" s="496">
        <v>45764</v>
      </c>
      <c r="C845" s="497">
        <v>456</v>
      </c>
      <c r="D845" s="498" t="s">
        <v>1082</v>
      </c>
      <c r="E845" s="499"/>
      <c r="F845" s="500">
        <v>9.02</v>
      </c>
      <c r="G845" s="501" t="s">
        <v>274</v>
      </c>
      <c r="H845" s="502"/>
      <c r="I845" s="503">
        <f t="shared" si="13"/>
        <v>11327.400000000018</v>
      </c>
    </row>
    <row r="846" spans="2:9">
      <c r="B846" s="496">
        <v>45764</v>
      </c>
      <c r="C846" s="513" t="s">
        <v>117</v>
      </c>
      <c r="D846" s="514" t="s">
        <v>903</v>
      </c>
      <c r="E846" s="515"/>
      <c r="F846" s="516">
        <v>1</v>
      </c>
      <c r="G846" s="501" t="s">
        <v>272</v>
      </c>
      <c r="H846" s="502"/>
      <c r="I846" s="503">
        <f t="shared" si="13"/>
        <v>11326.400000000018</v>
      </c>
    </row>
    <row r="847" spans="2:9">
      <c r="B847" s="496">
        <v>45764</v>
      </c>
      <c r="C847" s="497" t="s">
        <v>117</v>
      </c>
      <c r="D847" s="498" t="s">
        <v>1089</v>
      </c>
      <c r="E847" s="499"/>
      <c r="F847" s="500">
        <v>2845.9</v>
      </c>
      <c r="G847" s="501" t="s">
        <v>137</v>
      </c>
      <c r="H847" s="502"/>
      <c r="I847" s="503">
        <f t="shared" si="13"/>
        <v>8480.5000000000182</v>
      </c>
    </row>
    <row r="848" spans="2:9">
      <c r="B848" s="496">
        <v>45764</v>
      </c>
      <c r="C848" s="513" t="s">
        <v>117</v>
      </c>
      <c r="D848" s="514" t="s">
        <v>903</v>
      </c>
      <c r="E848" s="515"/>
      <c r="F848" s="516">
        <v>1</v>
      </c>
      <c r="G848" s="501" t="s">
        <v>272</v>
      </c>
      <c r="H848" s="502"/>
      <c r="I848" s="503">
        <f t="shared" si="13"/>
        <v>8479.5000000000182</v>
      </c>
    </row>
    <row r="849" spans="2:9">
      <c r="B849" s="496">
        <v>45765</v>
      </c>
      <c r="C849" s="507" t="s">
        <v>283</v>
      </c>
      <c r="D849" s="505" t="s">
        <v>307</v>
      </c>
      <c r="E849" s="499">
        <v>470.5</v>
      </c>
      <c r="F849" s="500"/>
      <c r="G849" s="501" t="s">
        <v>190</v>
      </c>
      <c r="H849" s="502"/>
      <c r="I849" s="503">
        <f t="shared" si="13"/>
        <v>8950.0000000000182</v>
      </c>
    </row>
    <row r="850" spans="2:9">
      <c r="B850" s="496">
        <v>45765</v>
      </c>
      <c r="C850" s="507" t="s">
        <v>283</v>
      </c>
      <c r="D850" s="505" t="s">
        <v>307</v>
      </c>
      <c r="E850" s="499">
        <v>719.1</v>
      </c>
      <c r="F850" s="500"/>
      <c r="G850" s="501" t="s">
        <v>190</v>
      </c>
      <c r="H850" s="502"/>
      <c r="I850" s="503">
        <f t="shared" si="13"/>
        <v>9669.1000000000186</v>
      </c>
    </row>
    <row r="851" spans="2:9">
      <c r="B851" s="496">
        <v>45765</v>
      </c>
      <c r="C851" s="507" t="s">
        <v>283</v>
      </c>
      <c r="D851" s="505" t="s">
        <v>307</v>
      </c>
      <c r="E851" s="499">
        <v>77.400000000000006</v>
      </c>
      <c r="F851" s="500"/>
      <c r="G851" s="501" t="s">
        <v>190</v>
      </c>
      <c r="H851" s="502"/>
      <c r="I851" s="503">
        <f t="shared" si="13"/>
        <v>9746.5000000000182</v>
      </c>
    </row>
    <row r="852" spans="2:9">
      <c r="B852" s="496">
        <v>45766</v>
      </c>
      <c r="C852" s="497" t="s">
        <v>117</v>
      </c>
      <c r="D852" s="498" t="s">
        <v>535</v>
      </c>
      <c r="E852" s="499"/>
      <c r="F852" s="500">
        <v>500</v>
      </c>
      <c r="G852" s="501" t="s">
        <v>197</v>
      </c>
      <c r="H852" s="506"/>
      <c r="I852" s="503">
        <f t="shared" si="13"/>
        <v>9246.5000000000182</v>
      </c>
    </row>
    <row r="853" spans="2:9">
      <c r="B853" s="496">
        <v>45766</v>
      </c>
      <c r="C853" s="497" t="s">
        <v>117</v>
      </c>
      <c r="D853" s="498" t="s">
        <v>1079</v>
      </c>
      <c r="E853" s="499">
        <v>500</v>
      </c>
      <c r="F853" s="500"/>
      <c r="G853" s="501" t="s">
        <v>197</v>
      </c>
      <c r="H853" s="506"/>
      <c r="I853" s="503">
        <f t="shared" si="13"/>
        <v>9746.5000000000182</v>
      </c>
    </row>
    <row r="854" spans="2:9">
      <c r="B854" s="496">
        <v>45769</v>
      </c>
      <c r="C854" s="507" t="s">
        <v>1090</v>
      </c>
      <c r="D854" s="505" t="s">
        <v>1091</v>
      </c>
      <c r="E854" s="499"/>
      <c r="F854" s="500">
        <v>368</v>
      </c>
      <c r="G854" s="501" t="s">
        <v>219</v>
      </c>
      <c r="H854" s="502"/>
      <c r="I854" s="503">
        <f t="shared" si="13"/>
        <v>9378.5000000000182</v>
      </c>
    </row>
    <row r="855" spans="2:9">
      <c r="B855" s="496">
        <v>45769</v>
      </c>
      <c r="C855" s="513" t="s">
        <v>117</v>
      </c>
      <c r="D855" s="514" t="s">
        <v>903</v>
      </c>
      <c r="E855" s="515"/>
      <c r="F855" s="516">
        <v>1</v>
      </c>
      <c r="G855" s="501" t="s">
        <v>272</v>
      </c>
      <c r="H855" s="502"/>
      <c r="I855" s="503">
        <f t="shared" si="13"/>
        <v>9377.5000000000182</v>
      </c>
    </row>
    <row r="856" spans="2:9">
      <c r="B856" s="496">
        <v>45769</v>
      </c>
      <c r="C856" s="507" t="s">
        <v>977</v>
      </c>
      <c r="D856" s="505" t="s">
        <v>538</v>
      </c>
      <c r="E856" s="499"/>
      <c r="F856" s="500">
        <v>100</v>
      </c>
      <c r="G856" s="501" t="s">
        <v>227</v>
      </c>
      <c r="H856" s="502"/>
      <c r="I856" s="503">
        <f t="shared" si="13"/>
        <v>9277.5000000000182</v>
      </c>
    </row>
    <row r="857" spans="2:9">
      <c r="B857" s="496">
        <v>45769</v>
      </c>
      <c r="C857" s="513" t="s">
        <v>117</v>
      </c>
      <c r="D857" s="514" t="s">
        <v>903</v>
      </c>
      <c r="E857" s="515"/>
      <c r="F857" s="516">
        <v>1</v>
      </c>
      <c r="G857" s="501" t="s">
        <v>272</v>
      </c>
      <c r="H857" s="502"/>
      <c r="I857" s="503">
        <f t="shared" si="13"/>
        <v>9276.5000000000182</v>
      </c>
    </row>
    <row r="858" spans="2:9">
      <c r="B858" s="496">
        <v>45769</v>
      </c>
      <c r="C858" s="507" t="s">
        <v>283</v>
      </c>
      <c r="D858" s="505" t="s">
        <v>307</v>
      </c>
      <c r="E858" s="499">
        <v>539.85</v>
      </c>
      <c r="F858" s="500"/>
      <c r="G858" s="501" t="s">
        <v>190</v>
      </c>
      <c r="H858" s="502"/>
      <c r="I858" s="503">
        <f t="shared" si="13"/>
        <v>9816.3500000000186</v>
      </c>
    </row>
    <row r="859" spans="2:9">
      <c r="B859" s="496">
        <v>45769</v>
      </c>
      <c r="C859" s="507" t="s">
        <v>283</v>
      </c>
      <c r="D859" s="505" t="s">
        <v>307</v>
      </c>
      <c r="E859" s="499">
        <v>150.30000000000001</v>
      </c>
      <c r="F859" s="500"/>
      <c r="G859" s="501" t="s">
        <v>190</v>
      </c>
      <c r="H859" s="502"/>
      <c r="I859" s="503">
        <f t="shared" si="13"/>
        <v>9966.6500000000178</v>
      </c>
    </row>
    <row r="860" spans="2:9">
      <c r="B860" s="496">
        <v>45769</v>
      </c>
      <c r="C860" s="507" t="s">
        <v>283</v>
      </c>
      <c r="D860" s="505" t="s">
        <v>307</v>
      </c>
      <c r="E860" s="499">
        <v>364.6</v>
      </c>
      <c r="F860" s="500"/>
      <c r="G860" s="501" t="s">
        <v>190</v>
      </c>
      <c r="H860" s="502"/>
      <c r="I860" s="503">
        <f t="shared" si="13"/>
        <v>10331.250000000018</v>
      </c>
    </row>
    <row r="861" spans="2:9">
      <c r="B861" s="496">
        <v>45769</v>
      </c>
      <c r="C861" s="507" t="s">
        <v>283</v>
      </c>
      <c r="D861" s="505" t="s">
        <v>307</v>
      </c>
      <c r="E861" s="499">
        <v>610.20000000000005</v>
      </c>
      <c r="F861" s="500"/>
      <c r="G861" s="501" t="s">
        <v>190</v>
      </c>
      <c r="H861" s="502"/>
      <c r="I861" s="503">
        <f t="shared" si="13"/>
        <v>10941.450000000019</v>
      </c>
    </row>
    <row r="862" spans="2:9">
      <c r="B862" s="496">
        <v>45769</v>
      </c>
      <c r="C862" s="507" t="s">
        <v>283</v>
      </c>
      <c r="D862" s="505" t="s">
        <v>307</v>
      </c>
      <c r="E862" s="499">
        <v>262.89999999999998</v>
      </c>
      <c r="F862" s="500"/>
      <c r="G862" s="501" t="s">
        <v>190</v>
      </c>
      <c r="H862" s="502"/>
      <c r="I862" s="503">
        <f t="shared" si="13"/>
        <v>11204.350000000019</v>
      </c>
    </row>
    <row r="863" spans="2:9">
      <c r="B863" s="496">
        <v>45769</v>
      </c>
      <c r="C863" s="507" t="s">
        <v>283</v>
      </c>
      <c r="D863" s="505" t="s">
        <v>912</v>
      </c>
      <c r="E863" s="499">
        <f>2383.1-606</f>
        <v>1777.1</v>
      </c>
      <c r="F863" s="500"/>
      <c r="G863" s="501" t="s">
        <v>190</v>
      </c>
      <c r="H863" s="502"/>
      <c r="I863" s="503">
        <f t="shared" si="13"/>
        <v>12981.450000000019</v>
      </c>
    </row>
    <row r="864" spans="2:9">
      <c r="B864" s="496">
        <v>45769</v>
      </c>
      <c r="C864" s="507" t="s">
        <v>117</v>
      </c>
      <c r="D864" s="505" t="s">
        <v>918</v>
      </c>
      <c r="E864" s="499"/>
      <c r="F864" s="500">
        <f>23.91-6.06</f>
        <v>17.850000000000001</v>
      </c>
      <c r="G864" s="501" t="s">
        <v>270</v>
      </c>
      <c r="H864" s="502"/>
      <c r="I864" s="503">
        <f t="shared" si="13"/>
        <v>12963.600000000019</v>
      </c>
    </row>
    <row r="865" spans="2:9">
      <c r="B865" s="496">
        <v>45769</v>
      </c>
      <c r="C865" s="507" t="s">
        <v>283</v>
      </c>
      <c r="D865" s="505" t="s">
        <v>912</v>
      </c>
      <c r="E865" s="499">
        <v>606</v>
      </c>
      <c r="F865" s="500"/>
      <c r="G865" s="501"/>
      <c r="H865" s="596" t="s">
        <v>824</v>
      </c>
      <c r="I865" s="503">
        <f t="shared" si="13"/>
        <v>13569.600000000019</v>
      </c>
    </row>
    <row r="866" spans="2:9">
      <c r="B866" s="496">
        <v>45769</v>
      </c>
      <c r="C866" s="507" t="s">
        <v>117</v>
      </c>
      <c r="D866" s="505" t="s">
        <v>918</v>
      </c>
      <c r="E866" s="499"/>
      <c r="F866" s="500">
        <v>6.06</v>
      </c>
      <c r="G866" s="501" t="s">
        <v>270</v>
      </c>
      <c r="H866" s="596" t="s">
        <v>824</v>
      </c>
      <c r="I866" s="503">
        <f t="shared" si="13"/>
        <v>13563.540000000019</v>
      </c>
    </row>
    <row r="867" spans="2:9">
      <c r="B867" s="496">
        <v>45769</v>
      </c>
      <c r="C867" s="507" t="s">
        <v>283</v>
      </c>
      <c r="D867" s="505" t="s">
        <v>909</v>
      </c>
      <c r="E867" s="499">
        <v>3491</v>
      </c>
      <c r="F867" s="500"/>
      <c r="G867" s="501" t="s">
        <v>190</v>
      </c>
      <c r="H867" s="502"/>
      <c r="I867" s="503">
        <f t="shared" si="13"/>
        <v>17054.540000000019</v>
      </c>
    </row>
    <row r="868" spans="2:9">
      <c r="B868" s="496">
        <v>45769</v>
      </c>
      <c r="C868" s="507" t="s">
        <v>117</v>
      </c>
      <c r="D868" s="505" t="s">
        <v>911</v>
      </c>
      <c r="E868" s="499"/>
      <c r="F868" s="500">
        <v>37.700000000000003</v>
      </c>
      <c r="G868" s="501" t="s">
        <v>269</v>
      </c>
      <c r="H868" s="502"/>
      <c r="I868" s="503">
        <f t="shared" si="13"/>
        <v>17016.840000000018</v>
      </c>
    </row>
    <row r="869" spans="2:9">
      <c r="B869" s="496">
        <v>45770</v>
      </c>
      <c r="C869" s="507" t="s">
        <v>283</v>
      </c>
      <c r="D869" s="505" t="s">
        <v>307</v>
      </c>
      <c r="E869" s="499">
        <v>170.9</v>
      </c>
      <c r="F869" s="500"/>
      <c r="G869" s="501" t="s">
        <v>190</v>
      </c>
      <c r="H869" s="502"/>
      <c r="I869" s="503">
        <f t="shared" si="13"/>
        <v>17187.74000000002</v>
      </c>
    </row>
    <row r="870" spans="2:9">
      <c r="B870" s="496">
        <v>45770</v>
      </c>
      <c r="C870" s="507" t="s">
        <v>283</v>
      </c>
      <c r="D870" s="505" t="s">
        <v>307</v>
      </c>
      <c r="E870" s="499">
        <v>1298.5</v>
      </c>
      <c r="F870" s="500"/>
      <c r="G870" s="501" t="s">
        <v>190</v>
      </c>
      <c r="H870" s="502"/>
      <c r="I870" s="503">
        <f t="shared" si="13"/>
        <v>18486.24000000002</v>
      </c>
    </row>
    <row r="871" spans="2:9">
      <c r="B871" s="496">
        <v>45770</v>
      </c>
      <c r="C871" s="507" t="s">
        <v>283</v>
      </c>
      <c r="D871" s="505" t="s">
        <v>307</v>
      </c>
      <c r="E871" s="499">
        <v>3121.9</v>
      </c>
      <c r="F871" s="500"/>
      <c r="G871" s="501" t="s">
        <v>190</v>
      </c>
      <c r="H871" s="502"/>
      <c r="I871" s="503">
        <f t="shared" si="13"/>
        <v>21608.140000000021</v>
      </c>
    </row>
    <row r="872" spans="2:9">
      <c r="B872" s="496">
        <v>45770</v>
      </c>
      <c r="C872" s="507" t="s">
        <v>283</v>
      </c>
      <c r="D872" s="505" t="s">
        <v>307</v>
      </c>
      <c r="E872" s="499">
        <v>1161.8</v>
      </c>
      <c r="F872" s="500"/>
      <c r="G872" s="501" t="s">
        <v>190</v>
      </c>
      <c r="H872" s="502"/>
      <c r="I872" s="503">
        <f t="shared" si="13"/>
        <v>22769.940000000021</v>
      </c>
    </row>
    <row r="873" spans="2:9">
      <c r="B873" s="496">
        <v>45770</v>
      </c>
      <c r="C873" s="507" t="s">
        <v>283</v>
      </c>
      <c r="D873" s="505" t="s">
        <v>307</v>
      </c>
      <c r="E873" s="499">
        <v>795.3</v>
      </c>
      <c r="F873" s="500"/>
      <c r="G873" s="501" t="s">
        <v>190</v>
      </c>
      <c r="H873" s="502"/>
      <c r="I873" s="503">
        <f t="shared" si="13"/>
        <v>23565.24000000002</v>
      </c>
    </row>
    <row r="874" spans="2:9">
      <c r="B874" s="496">
        <v>45770</v>
      </c>
      <c r="C874" s="507" t="s">
        <v>283</v>
      </c>
      <c r="D874" s="505" t="s">
        <v>307</v>
      </c>
      <c r="E874" s="499">
        <v>470.8</v>
      </c>
      <c r="F874" s="500"/>
      <c r="G874" s="501" t="s">
        <v>190</v>
      </c>
      <c r="H874" s="502"/>
      <c r="I874" s="503">
        <f t="shared" si="13"/>
        <v>24036.040000000019</v>
      </c>
    </row>
    <row r="875" spans="2:9">
      <c r="B875" s="496">
        <v>45771</v>
      </c>
      <c r="C875" s="507" t="s">
        <v>283</v>
      </c>
      <c r="D875" s="505" t="s">
        <v>307</v>
      </c>
      <c r="E875" s="499">
        <v>504</v>
      </c>
      <c r="F875" s="500"/>
      <c r="G875" s="501" t="s">
        <v>190</v>
      </c>
      <c r="H875" s="502"/>
      <c r="I875" s="503">
        <f t="shared" si="13"/>
        <v>24540.040000000019</v>
      </c>
    </row>
    <row r="876" spans="2:9">
      <c r="B876" s="496">
        <v>45771</v>
      </c>
      <c r="C876" s="507" t="s">
        <v>283</v>
      </c>
      <c r="D876" s="505" t="s">
        <v>307</v>
      </c>
      <c r="E876" s="499">
        <v>64</v>
      </c>
      <c r="F876" s="500"/>
      <c r="G876" s="501" t="s">
        <v>190</v>
      </c>
      <c r="H876" s="502"/>
      <c r="I876" s="503">
        <f t="shared" si="13"/>
        <v>24604.040000000019</v>
      </c>
    </row>
    <row r="877" spans="2:9">
      <c r="B877" s="496">
        <v>45771</v>
      </c>
      <c r="C877" s="507" t="s">
        <v>1092</v>
      </c>
      <c r="D877" s="505" t="s">
        <v>1088</v>
      </c>
      <c r="E877" s="499"/>
      <c r="F877" s="500">
        <v>481.25</v>
      </c>
      <c r="G877" s="501" t="s">
        <v>196</v>
      </c>
      <c r="H877" s="502"/>
      <c r="I877" s="503">
        <f t="shared" si="13"/>
        <v>24122.790000000019</v>
      </c>
    </row>
    <row r="878" spans="2:9">
      <c r="B878" s="496">
        <v>45771</v>
      </c>
      <c r="C878" s="507" t="s">
        <v>1092</v>
      </c>
      <c r="D878" s="505" t="s">
        <v>1088</v>
      </c>
      <c r="E878" s="499"/>
      <c r="F878" s="500">
        <v>105.88</v>
      </c>
      <c r="G878" s="501" t="s">
        <v>274</v>
      </c>
      <c r="H878" s="502"/>
      <c r="I878" s="503">
        <f t="shared" si="13"/>
        <v>24016.910000000018</v>
      </c>
    </row>
    <row r="879" spans="2:9">
      <c r="B879" s="496">
        <v>45771</v>
      </c>
      <c r="C879" s="513" t="s">
        <v>117</v>
      </c>
      <c r="D879" s="514" t="s">
        <v>903</v>
      </c>
      <c r="E879" s="515"/>
      <c r="F879" s="516">
        <v>1</v>
      </c>
      <c r="G879" s="501" t="s">
        <v>272</v>
      </c>
      <c r="H879" s="502"/>
      <c r="I879" s="503">
        <f t="shared" si="13"/>
        <v>24015.910000000018</v>
      </c>
    </row>
    <row r="880" spans="2:9">
      <c r="B880" s="496">
        <v>45775</v>
      </c>
      <c r="C880" s="532">
        <v>40</v>
      </c>
      <c r="D880" s="514" t="s">
        <v>917</v>
      </c>
      <c r="E880" s="515"/>
      <c r="F880" s="516">
        <v>150</v>
      </c>
      <c r="G880" s="501" t="s">
        <v>227</v>
      </c>
      <c r="H880" s="502"/>
      <c r="I880" s="503">
        <f t="shared" si="13"/>
        <v>23865.910000000018</v>
      </c>
    </row>
    <row r="881" spans="2:9">
      <c r="B881" s="496">
        <v>45775</v>
      </c>
      <c r="C881" s="513" t="s">
        <v>117</v>
      </c>
      <c r="D881" s="514" t="s">
        <v>903</v>
      </c>
      <c r="E881" s="515"/>
      <c r="F881" s="516">
        <v>1</v>
      </c>
      <c r="G881" s="501" t="s">
        <v>272</v>
      </c>
      <c r="H881" s="502"/>
      <c r="I881" s="503">
        <f t="shared" si="13"/>
        <v>23864.910000000018</v>
      </c>
    </row>
    <row r="882" spans="2:9">
      <c r="B882" s="496">
        <v>45775</v>
      </c>
      <c r="C882" s="513" t="s">
        <v>541</v>
      </c>
      <c r="D882" s="519" t="s">
        <v>542</v>
      </c>
      <c r="E882" s="515">
        <v>10000</v>
      </c>
      <c r="F882" s="516"/>
      <c r="G882" s="501" t="s">
        <v>277</v>
      </c>
      <c r="H882" s="502"/>
      <c r="I882" s="503">
        <f t="shared" si="13"/>
        <v>33864.910000000018</v>
      </c>
    </row>
    <row r="883" spans="2:9">
      <c r="B883" s="496">
        <v>45775</v>
      </c>
      <c r="C883" s="507" t="s">
        <v>283</v>
      </c>
      <c r="D883" s="505" t="s">
        <v>909</v>
      </c>
      <c r="E883" s="499">
        <v>987</v>
      </c>
      <c r="F883" s="500"/>
      <c r="G883" s="501" t="s">
        <v>190</v>
      </c>
      <c r="H883" s="502"/>
      <c r="I883" s="503">
        <f t="shared" si="13"/>
        <v>34851.910000000018</v>
      </c>
    </row>
    <row r="884" spans="2:9">
      <c r="B884" s="496">
        <v>45775</v>
      </c>
      <c r="C884" s="507" t="s">
        <v>117</v>
      </c>
      <c r="D884" s="505" t="s">
        <v>911</v>
      </c>
      <c r="E884" s="499"/>
      <c r="F884" s="500">
        <v>8.5399999999999991</v>
      </c>
      <c r="G884" s="501" t="s">
        <v>269</v>
      </c>
      <c r="H884" s="502"/>
      <c r="I884" s="503">
        <f t="shared" si="13"/>
        <v>34843.370000000017</v>
      </c>
    </row>
    <row r="885" spans="2:9">
      <c r="B885" s="496">
        <v>45775</v>
      </c>
      <c r="C885" s="513" t="s">
        <v>117</v>
      </c>
      <c r="D885" s="514" t="s">
        <v>908</v>
      </c>
      <c r="E885" s="515"/>
      <c r="F885" s="516">
        <v>2</v>
      </c>
      <c r="G885" s="501" t="s">
        <v>254</v>
      </c>
      <c r="H885" s="502"/>
      <c r="I885" s="503">
        <f t="shared" si="13"/>
        <v>34841.370000000017</v>
      </c>
    </row>
    <row r="886" spans="2:9">
      <c r="B886" s="528">
        <v>45747</v>
      </c>
      <c r="C886" s="507" t="s">
        <v>1093</v>
      </c>
      <c r="D886" s="505" t="s">
        <v>1094</v>
      </c>
      <c r="E886" s="499"/>
      <c r="F886" s="500">
        <v>305.05</v>
      </c>
      <c r="G886" s="501" t="s">
        <v>208</v>
      </c>
      <c r="H886" s="502" t="s">
        <v>1095</v>
      </c>
      <c r="I886" s="503">
        <f t="shared" si="13"/>
        <v>34536.320000000014</v>
      </c>
    </row>
    <row r="887" spans="2:9">
      <c r="B887" s="528">
        <v>45747</v>
      </c>
      <c r="C887" s="507" t="s">
        <v>1093</v>
      </c>
      <c r="D887" s="505" t="s">
        <v>1094</v>
      </c>
      <c r="E887" s="499"/>
      <c r="F887" s="500">
        <v>67.11</v>
      </c>
      <c r="G887" s="501" t="s">
        <v>274</v>
      </c>
      <c r="H887" s="502" t="s">
        <v>1095</v>
      </c>
      <c r="I887" s="503">
        <f t="shared" si="13"/>
        <v>34469.210000000014</v>
      </c>
    </row>
    <row r="888" spans="2:9">
      <c r="B888" s="528">
        <v>45747</v>
      </c>
      <c r="C888" s="507"/>
      <c r="D888" s="505" t="s">
        <v>1045</v>
      </c>
      <c r="E888" s="499"/>
      <c r="F888" s="500">
        <v>504.91</v>
      </c>
      <c r="G888" s="501" t="s">
        <v>232</v>
      </c>
      <c r="H888" s="502" t="s">
        <v>1095</v>
      </c>
      <c r="I888" s="503">
        <f t="shared" si="13"/>
        <v>33964.30000000001</v>
      </c>
    </row>
    <row r="889" spans="2:9">
      <c r="B889" s="528">
        <v>45747</v>
      </c>
      <c r="C889" s="507" t="s">
        <v>1096</v>
      </c>
      <c r="D889" s="505" t="s">
        <v>943</v>
      </c>
      <c r="E889" s="499">
        <v>82.82</v>
      </c>
      <c r="F889" s="500"/>
      <c r="G889" s="501" t="s">
        <v>205</v>
      </c>
      <c r="H889" s="502" t="s">
        <v>1095</v>
      </c>
      <c r="I889" s="503">
        <f t="shared" si="13"/>
        <v>34047.12000000001</v>
      </c>
    </row>
    <row r="890" spans="2:9">
      <c r="B890" s="528">
        <v>45747</v>
      </c>
      <c r="C890" s="507" t="s">
        <v>1096</v>
      </c>
      <c r="D890" s="505" t="s">
        <v>943</v>
      </c>
      <c r="E890" s="499">
        <v>18.21</v>
      </c>
      <c r="F890" s="500"/>
      <c r="G890" s="501" t="s">
        <v>276</v>
      </c>
      <c r="H890" s="502" t="s">
        <v>1095</v>
      </c>
      <c r="I890" s="503">
        <f t="shared" si="13"/>
        <v>34065.330000000009</v>
      </c>
    </row>
    <row r="891" spans="2:9">
      <c r="B891" s="528">
        <v>45747</v>
      </c>
      <c r="C891" s="507" t="s">
        <v>1097</v>
      </c>
      <c r="D891" s="505" t="s">
        <v>943</v>
      </c>
      <c r="E891" s="499">
        <v>169.01</v>
      </c>
      <c r="F891" s="500"/>
      <c r="G891" s="501" t="s">
        <v>205</v>
      </c>
      <c r="H891" s="502" t="s">
        <v>1095</v>
      </c>
      <c r="I891" s="503">
        <f t="shared" si="13"/>
        <v>34234.340000000011</v>
      </c>
    </row>
    <row r="892" spans="2:9">
      <c r="B892" s="528">
        <v>45747</v>
      </c>
      <c r="C892" s="507" t="s">
        <v>1097</v>
      </c>
      <c r="D892" s="505" t="s">
        <v>943</v>
      </c>
      <c r="E892" s="499">
        <v>37.18</v>
      </c>
      <c r="F892" s="500"/>
      <c r="G892" s="501" t="s">
        <v>276</v>
      </c>
      <c r="H892" s="502" t="s">
        <v>1095</v>
      </c>
      <c r="I892" s="503">
        <f t="shared" si="13"/>
        <v>34271.520000000011</v>
      </c>
    </row>
    <row r="893" spans="2:9">
      <c r="B893" s="528">
        <v>45747</v>
      </c>
      <c r="C893" s="507" t="s">
        <v>1098</v>
      </c>
      <c r="D893" s="505" t="s">
        <v>1099</v>
      </c>
      <c r="E893" s="499"/>
      <c r="F893" s="500">
        <v>441.84</v>
      </c>
      <c r="G893" s="501" t="s">
        <v>208</v>
      </c>
      <c r="H893" s="502" t="s">
        <v>1095</v>
      </c>
      <c r="I893" s="503">
        <f t="shared" si="13"/>
        <v>33829.680000000015</v>
      </c>
    </row>
    <row r="894" spans="2:9">
      <c r="B894" s="528">
        <v>45747</v>
      </c>
      <c r="C894" s="507" t="s">
        <v>1098</v>
      </c>
      <c r="D894" s="505" t="s">
        <v>1099</v>
      </c>
      <c r="E894" s="499"/>
      <c r="F894" s="500">
        <v>97.2</v>
      </c>
      <c r="G894" s="501" t="s">
        <v>274</v>
      </c>
      <c r="H894" s="502" t="s">
        <v>1095</v>
      </c>
      <c r="I894" s="503">
        <f t="shared" si="13"/>
        <v>33732.480000000018</v>
      </c>
    </row>
    <row r="895" spans="2:9">
      <c r="B895" s="528">
        <v>45747</v>
      </c>
      <c r="C895" s="507" t="s">
        <v>1100</v>
      </c>
      <c r="D895" s="505" t="s">
        <v>1101</v>
      </c>
      <c r="E895" s="499"/>
      <c r="F895" s="500">
        <v>53.44</v>
      </c>
      <c r="G895" s="501" t="s">
        <v>199</v>
      </c>
      <c r="H895" s="502" t="s">
        <v>1095</v>
      </c>
      <c r="I895" s="503">
        <f t="shared" si="13"/>
        <v>33679.040000000015</v>
      </c>
    </row>
    <row r="896" spans="2:9">
      <c r="B896" s="528">
        <v>45747</v>
      </c>
      <c r="C896" s="507" t="s">
        <v>1100</v>
      </c>
      <c r="D896" s="505" t="s">
        <v>1101</v>
      </c>
      <c r="E896" s="499"/>
      <c r="F896" s="500">
        <v>6.33</v>
      </c>
      <c r="G896" s="501" t="s">
        <v>274</v>
      </c>
      <c r="H896" s="502" t="s">
        <v>1095</v>
      </c>
      <c r="I896" s="503">
        <f t="shared" si="13"/>
        <v>33672.710000000014</v>
      </c>
    </row>
    <row r="897" spans="2:9">
      <c r="B897" s="528">
        <v>45747</v>
      </c>
      <c r="C897" s="507" t="s">
        <v>1102</v>
      </c>
      <c r="D897" s="505" t="s">
        <v>1103</v>
      </c>
      <c r="E897" s="499"/>
      <c r="F897" s="500">
        <v>29.39</v>
      </c>
      <c r="G897" s="501" t="s">
        <v>199</v>
      </c>
      <c r="H897" s="502" t="s">
        <v>1095</v>
      </c>
      <c r="I897" s="503">
        <f t="shared" si="13"/>
        <v>33643.320000000014</v>
      </c>
    </row>
    <row r="898" spans="2:9">
      <c r="B898" s="528">
        <v>45747</v>
      </c>
      <c r="C898" s="507" t="s">
        <v>1102</v>
      </c>
      <c r="D898" s="505" t="s">
        <v>1103</v>
      </c>
      <c r="E898" s="499"/>
      <c r="F898" s="500">
        <v>2.94</v>
      </c>
      <c r="G898" s="501" t="s">
        <v>274</v>
      </c>
      <c r="H898" s="502" t="s">
        <v>1095</v>
      </c>
      <c r="I898" s="503">
        <f t="shared" si="13"/>
        <v>33640.380000000012</v>
      </c>
    </row>
    <row r="899" spans="2:9">
      <c r="B899" s="528">
        <v>45747</v>
      </c>
      <c r="C899" s="507" t="s">
        <v>1104</v>
      </c>
      <c r="D899" s="505" t="s">
        <v>1105</v>
      </c>
      <c r="E899" s="499"/>
      <c r="F899" s="500">
        <v>207.64</v>
      </c>
      <c r="G899" s="501" t="s">
        <v>208</v>
      </c>
      <c r="H899" s="502" t="s">
        <v>1095</v>
      </c>
      <c r="I899" s="503">
        <f t="shared" si="13"/>
        <v>33432.740000000013</v>
      </c>
    </row>
    <row r="900" spans="2:9">
      <c r="B900" s="528">
        <v>45747</v>
      </c>
      <c r="C900" s="507" t="s">
        <v>1104</v>
      </c>
      <c r="D900" s="505" t="s">
        <v>1105</v>
      </c>
      <c r="E900" s="499"/>
      <c r="F900" s="500">
        <v>45.68</v>
      </c>
      <c r="G900" s="501" t="s">
        <v>274</v>
      </c>
      <c r="H900" s="502" t="s">
        <v>1095</v>
      </c>
      <c r="I900" s="503">
        <f t="shared" si="13"/>
        <v>33387.060000000012</v>
      </c>
    </row>
    <row r="901" spans="2:9">
      <c r="B901" s="528">
        <v>45747</v>
      </c>
      <c r="C901" s="507" t="s">
        <v>1106</v>
      </c>
      <c r="D901" s="505" t="s">
        <v>952</v>
      </c>
      <c r="E901" s="499"/>
      <c r="F901" s="500">
        <f>8.97+73.65</f>
        <v>82.62</v>
      </c>
      <c r="G901" s="501" t="s">
        <v>230</v>
      </c>
      <c r="H901" s="502" t="s">
        <v>1095</v>
      </c>
      <c r="I901" s="503">
        <f t="shared" si="13"/>
        <v>33304.44000000001</v>
      </c>
    </row>
    <row r="902" spans="2:9">
      <c r="B902" s="528">
        <v>45747</v>
      </c>
      <c r="C902" s="507" t="s">
        <v>1106</v>
      </c>
      <c r="D902" s="505" t="s">
        <v>952</v>
      </c>
      <c r="E902" s="499"/>
      <c r="F902" s="500">
        <f>1.97+15.65</f>
        <v>17.62</v>
      </c>
      <c r="G902" s="501" t="s">
        <v>274</v>
      </c>
      <c r="H902" s="502" t="s">
        <v>1095</v>
      </c>
      <c r="I902" s="503">
        <f t="shared" si="13"/>
        <v>33286.820000000007</v>
      </c>
    </row>
    <row r="903" spans="2:9">
      <c r="B903" s="528">
        <v>45747</v>
      </c>
      <c r="C903" s="507" t="s">
        <v>1107</v>
      </c>
      <c r="D903" s="505" t="s">
        <v>1108</v>
      </c>
      <c r="E903" s="499"/>
      <c r="F903" s="500">
        <v>283.99</v>
      </c>
      <c r="G903" s="501" t="s">
        <v>137</v>
      </c>
      <c r="H903" s="502" t="s">
        <v>1095</v>
      </c>
      <c r="I903" s="503">
        <f t="shared" si="13"/>
        <v>33002.830000000009</v>
      </c>
    </row>
    <row r="904" spans="2:9">
      <c r="B904" s="528">
        <v>45747</v>
      </c>
      <c r="C904" s="507" t="s">
        <v>1109</v>
      </c>
      <c r="D904" s="505" t="s">
        <v>1110</v>
      </c>
      <c r="E904" s="499"/>
      <c r="F904" s="500">
        <v>79</v>
      </c>
      <c r="G904" s="501" t="s">
        <v>257</v>
      </c>
      <c r="H904" s="502" t="s">
        <v>1095</v>
      </c>
      <c r="I904" s="503">
        <f t="shared" si="13"/>
        <v>32923.830000000009</v>
      </c>
    </row>
    <row r="905" spans="2:9">
      <c r="B905" s="528">
        <v>45747</v>
      </c>
      <c r="C905" s="507" t="s">
        <v>1109</v>
      </c>
      <c r="D905" s="505" t="s">
        <v>1110</v>
      </c>
      <c r="E905" s="499"/>
      <c r="F905" s="500">
        <v>17.38</v>
      </c>
      <c r="G905" s="501" t="s">
        <v>274</v>
      </c>
      <c r="H905" s="502" t="s">
        <v>1095</v>
      </c>
      <c r="I905" s="503">
        <f t="shared" si="13"/>
        <v>32906.450000000012</v>
      </c>
    </row>
    <row r="906" spans="2:9">
      <c r="B906" s="528">
        <v>45747</v>
      </c>
      <c r="C906" s="507" t="s">
        <v>1111</v>
      </c>
      <c r="D906" s="505" t="s">
        <v>1013</v>
      </c>
      <c r="E906" s="499"/>
      <c r="F906" s="500">
        <v>434.02</v>
      </c>
      <c r="G906" s="501" t="s">
        <v>202</v>
      </c>
      <c r="H906" s="502" t="s">
        <v>1095</v>
      </c>
      <c r="I906" s="503">
        <f t="shared" ref="I906:I969" si="14">I905+E906-F906</f>
        <v>32472.430000000011</v>
      </c>
    </row>
    <row r="907" spans="2:9">
      <c r="B907" s="528">
        <v>45747</v>
      </c>
      <c r="C907" s="507" t="s">
        <v>1111</v>
      </c>
      <c r="D907" s="505" t="s">
        <v>1013</v>
      </c>
      <c r="E907" s="499"/>
      <c r="F907" s="500">
        <v>95.48</v>
      </c>
      <c r="G907" s="501" t="s">
        <v>274</v>
      </c>
      <c r="H907" s="502" t="s">
        <v>1095</v>
      </c>
      <c r="I907" s="503">
        <f t="shared" si="14"/>
        <v>32376.950000000012</v>
      </c>
    </row>
    <row r="908" spans="2:9">
      <c r="B908" s="528">
        <v>45747</v>
      </c>
      <c r="C908" s="507" t="s">
        <v>1112</v>
      </c>
      <c r="D908" s="505" t="s">
        <v>952</v>
      </c>
      <c r="E908" s="499"/>
      <c r="F908" s="500">
        <f>8.97+73.65</f>
        <v>82.62</v>
      </c>
      <c r="G908" s="501" t="s">
        <v>230</v>
      </c>
      <c r="H908" s="502" t="s">
        <v>1095</v>
      </c>
      <c r="I908" s="503">
        <f t="shared" si="14"/>
        <v>32294.330000000013</v>
      </c>
    </row>
    <row r="909" spans="2:9">
      <c r="B909" s="528">
        <v>45747</v>
      </c>
      <c r="C909" s="507" t="s">
        <v>1112</v>
      </c>
      <c r="D909" s="505" t="s">
        <v>952</v>
      </c>
      <c r="E909" s="499"/>
      <c r="F909" s="500">
        <f>1.97+15.65</f>
        <v>17.62</v>
      </c>
      <c r="G909" s="501" t="s">
        <v>274</v>
      </c>
      <c r="H909" s="502" t="s">
        <v>1095</v>
      </c>
      <c r="I909" s="503">
        <f t="shared" si="14"/>
        <v>32276.710000000014</v>
      </c>
    </row>
    <row r="910" spans="2:9">
      <c r="B910" s="528">
        <v>45747</v>
      </c>
      <c r="C910" s="507" t="s">
        <v>1113</v>
      </c>
      <c r="D910" s="505" t="s">
        <v>950</v>
      </c>
      <c r="E910" s="499"/>
      <c r="F910" s="500">
        <v>27.79</v>
      </c>
      <c r="G910" s="501" t="s">
        <v>256</v>
      </c>
      <c r="H910" s="502" t="s">
        <v>1095</v>
      </c>
      <c r="I910" s="503">
        <f t="shared" si="14"/>
        <v>32248.920000000013</v>
      </c>
    </row>
    <row r="911" spans="2:9">
      <c r="B911" s="528">
        <v>45747</v>
      </c>
      <c r="C911" s="507" t="s">
        <v>1113</v>
      </c>
      <c r="D911" s="505" t="s">
        <v>950</v>
      </c>
      <c r="E911" s="499"/>
      <c r="F911" s="500">
        <v>6.11</v>
      </c>
      <c r="G911" s="501" t="s">
        <v>274</v>
      </c>
      <c r="H911" s="502" t="s">
        <v>1095</v>
      </c>
      <c r="I911" s="503">
        <f t="shared" si="14"/>
        <v>32242.810000000012</v>
      </c>
    </row>
    <row r="912" spans="2:9">
      <c r="B912" s="528">
        <v>45747</v>
      </c>
      <c r="C912" s="507" t="s">
        <v>1114</v>
      </c>
      <c r="D912" s="505" t="s">
        <v>1115</v>
      </c>
      <c r="E912" s="499"/>
      <c r="F912" s="500">
        <v>287.91000000000003</v>
      </c>
      <c r="G912" s="501" t="s">
        <v>137</v>
      </c>
      <c r="H912" s="502" t="s">
        <v>1095</v>
      </c>
      <c r="I912" s="503">
        <f t="shared" si="14"/>
        <v>31954.900000000012</v>
      </c>
    </row>
    <row r="913" spans="2:9">
      <c r="B913" s="528">
        <v>45747</v>
      </c>
      <c r="C913" s="507" t="s">
        <v>1116</v>
      </c>
      <c r="D913" s="505" t="s">
        <v>1115</v>
      </c>
      <c r="E913" s="499"/>
      <c r="F913" s="500">
        <v>1190.92</v>
      </c>
      <c r="G913" s="501" t="s">
        <v>137</v>
      </c>
      <c r="H913" s="502" t="s">
        <v>1095</v>
      </c>
      <c r="I913" s="503">
        <f t="shared" si="14"/>
        <v>30763.98000000001</v>
      </c>
    </row>
    <row r="914" spans="2:9">
      <c r="B914" s="528">
        <v>45747</v>
      </c>
      <c r="C914" s="507" t="s">
        <v>1117</v>
      </c>
      <c r="D914" s="505" t="s">
        <v>689</v>
      </c>
      <c r="E914" s="499"/>
      <c r="F914" s="500">
        <v>457.44</v>
      </c>
      <c r="G914" s="501" t="s">
        <v>252</v>
      </c>
      <c r="H914" s="502" t="s">
        <v>1095</v>
      </c>
      <c r="I914" s="503">
        <f t="shared" si="14"/>
        <v>30306.540000000012</v>
      </c>
    </row>
    <row r="915" spans="2:9">
      <c r="B915" s="528">
        <v>45747</v>
      </c>
      <c r="C915" s="507" t="s">
        <v>1118</v>
      </c>
      <c r="D915" s="505" t="s">
        <v>952</v>
      </c>
      <c r="E915" s="499"/>
      <c r="F915" s="500">
        <f>8.97+73.65</f>
        <v>82.62</v>
      </c>
      <c r="G915" s="501" t="s">
        <v>230</v>
      </c>
      <c r="H915" s="502" t="s">
        <v>1095</v>
      </c>
      <c r="I915" s="503">
        <f t="shared" si="14"/>
        <v>30223.920000000013</v>
      </c>
    </row>
    <row r="916" spans="2:9">
      <c r="B916" s="528">
        <v>45747</v>
      </c>
      <c r="C916" s="507" t="s">
        <v>1119</v>
      </c>
      <c r="D916" s="505" t="s">
        <v>952</v>
      </c>
      <c r="E916" s="499"/>
      <c r="F916" s="500">
        <f>1.97+15.65</f>
        <v>17.62</v>
      </c>
      <c r="G916" s="501" t="s">
        <v>274</v>
      </c>
      <c r="H916" s="502" t="s">
        <v>1095</v>
      </c>
      <c r="I916" s="503">
        <f t="shared" si="14"/>
        <v>30206.300000000014</v>
      </c>
    </row>
    <row r="917" spans="2:9">
      <c r="B917" s="528">
        <v>45747</v>
      </c>
      <c r="C917" s="507" t="s">
        <v>1120</v>
      </c>
      <c r="D917" s="505" t="s">
        <v>952</v>
      </c>
      <c r="E917" s="499"/>
      <c r="F917" s="500">
        <f>8.97+73.65</f>
        <v>82.62</v>
      </c>
      <c r="G917" s="501" t="s">
        <v>230</v>
      </c>
      <c r="H917" s="502" t="s">
        <v>1095</v>
      </c>
      <c r="I917" s="503">
        <f t="shared" si="14"/>
        <v>30123.680000000015</v>
      </c>
    </row>
    <row r="918" spans="2:9">
      <c r="B918" s="528">
        <v>45747</v>
      </c>
      <c r="C918" s="507" t="s">
        <v>1121</v>
      </c>
      <c r="D918" s="505" t="s">
        <v>952</v>
      </c>
      <c r="E918" s="499"/>
      <c r="F918" s="500">
        <f>1.97+15.65</f>
        <v>17.62</v>
      </c>
      <c r="G918" s="501" t="s">
        <v>274</v>
      </c>
      <c r="H918" s="502" t="s">
        <v>1095</v>
      </c>
      <c r="I918" s="503">
        <f t="shared" si="14"/>
        <v>30106.060000000016</v>
      </c>
    </row>
    <row r="919" spans="2:9">
      <c r="B919" s="528">
        <v>45747</v>
      </c>
      <c r="C919" s="513" t="s">
        <v>117</v>
      </c>
      <c r="D919" s="514" t="s">
        <v>908</v>
      </c>
      <c r="E919" s="515"/>
      <c r="F919" s="516">
        <v>2</v>
      </c>
      <c r="G919" s="501" t="s">
        <v>254</v>
      </c>
      <c r="H919" s="502"/>
      <c r="I919" s="503">
        <f t="shared" si="14"/>
        <v>30104.060000000016</v>
      </c>
    </row>
    <row r="920" spans="2:9">
      <c r="B920" s="496">
        <v>45775</v>
      </c>
      <c r="C920" s="497" t="s">
        <v>117</v>
      </c>
      <c r="D920" s="498" t="s">
        <v>921</v>
      </c>
      <c r="E920" s="499"/>
      <c r="F920" s="500">
        <v>1.25</v>
      </c>
      <c r="G920" s="501" t="s">
        <v>271</v>
      </c>
      <c r="H920" s="502"/>
      <c r="I920" s="503">
        <f t="shared" si="14"/>
        <v>30102.810000000016</v>
      </c>
    </row>
    <row r="921" spans="2:9">
      <c r="B921" s="496">
        <v>45775</v>
      </c>
      <c r="C921" s="507" t="s">
        <v>283</v>
      </c>
      <c r="D921" s="505" t="s">
        <v>307</v>
      </c>
      <c r="E921" s="499">
        <v>521.4</v>
      </c>
      <c r="F921" s="500"/>
      <c r="G921" s="501" t="s">
        <v>190</v>
      </c>
      <c r="H921" s="502"/>
      <c r="I921" s="503">
        <f t="shared" si="14"/>
        <v>30624.210000000017</v>
      </c>
    </row>
    <row r="922" spans="2:9">
      <c r="B922" s="496">
        <v>45775</v>
      </c>
      <c r="C922" s="507" t="s">
        <v>283</v>
      </c>
      <c r="D922" s="505" t="s">
        <v>307</v>
      </c>
      <c r="E922" s="499">
        <v>417.7</v>
      </c>
      <c r="F922" s="500"/>
      <c r="G922" s="501" t="s">
        <v>190</v>
      </c>
      <c r="H922" s="502"/>
      <c r="I922" s="503">
        <f t="shared" si="14"/>
        <v>31041.910000000018</v>
      </c>
    </row>
    <row r="923" spans="2:9">
      <c r="B923" s="496">
        <v>45775</v>
      </c>
      <c r="C923" s="507" t="s">
        <v>283</v>
      </c>
      <c r="D923" s="505" t="s">
        <v>307</v>
      </c>
      <c r="E923" s="499">
        <v>446.7</v>
      </c>
      <c r="F923" s="500"/>
      <c r="G923" s="501" t="s">
        <v>190</v>
      </c>
      <c r="H923" s="502"/>
      <c r="I923" s="503">
        <f t="shared" si="14"/>
        <v>31488.610000000019</v>
      </c>
    </row>
    <row r="924" spans="2:9">
      <c r="B924" s="496">
        <v>45775</v>
      </c>
      <c r="C924" s="507" t="s">
        <v>283</v>
      </c>
      <c r="D924" s="505" t="s">
        <v>307</v>
      </c>
      <c r="E924" s="499">
        <v>626.4</v>
      </c>
      <c r="F924" s="500"/>
      <c r="G924" s="501" t="s">
        <v>190</v>
      </c>
      <c r="H924" s="502"/>
      <c r="I924" s="503">
        <f t="shared" si="14"/>
        <v>32115.01000000002</v>
      </c>
    </row>
    <row r="925" spans="2:9">
      <c r="B925" s="496">
        <v>45775</v>
      </c>
      <c r="C925" s="507" t="s">
        <v>117</v>
      </c>
      <c r="D925" s="505" t="s">
        <v>1122</v>
      </c>
      <c r="E925" s="499">
        <v>769</v>
      </c>
      <c r="F925" s="500"/>
      <c r="G925" s="501" t="s">
        <v>250</v>
      </c>
      <c r="H925" s="502"/>
      <c r="I925" s="503">
        <f t="shared" si="14"/>
        <v>32884.010000000024</v>
      </c>
    </row>
    <row r="926" spans="2:9">
      <c r="B926" s="496">
        <v>45775</v>
      </c>
      <c r="C926" s="507" t="s">
        <v>283</v>
      </c>
      <c r="D926" s="505" t="s">
        <v>307</v>
      </c>
      <c r="E926" s="499">
        <v>770.4</v>
      </c>
      <c r="F926" s="500"/>
      <c r="G926" s="501" t="s">
        <v>190</v>
      </c>
      <c r="H926" s="502"/>
      <c r="I926" s="503">
        <f t="shared" si="14"/>
        <v>33654.410000000025</v>
      </c>
    </row>
    <row r="927" spans="2:9">
      <c r="B927" s="496">
        <v>45775</v>
      </c>
      <c r="C927" s="507" t="s">
        <v>283</v>
      </c>
      <c r="D927" s="505" t="s">
        <v>307</v>
      </c>
      <c r="E927" s="499">
        <v>1772.4</v>
      </c>
      <c r="F927" s="500"/>
      <c r="G927" s="501" t="s">
        <v>190</v>
      </c>
      <c r="H927" s="502"/>
      <c r="I927" s="503">
        <f t="shared" si="14"/>
        <v>35426.810000000027</v>
      </c>
    </row>
    <row r="928" spans="2:9">
      <c r="B928" s="496">
        <v>45775</v>
      </c>
      <c r="C928" s="507" t="s">
        <v>283</v>
      </c>
      <c r="D928" s="505" t="s">
        <v>307</v>
      </c>
      <c r="E928" s="499">
        <v>1424.1</v>
      </c>
      <c r="F928" s="500"/>
      <c r="G928" s="501" t="s">
        <v>190</v>
      </c>
      <c r="H928" s="502"/>
      <c r="I928" s="503">
        <f t="shared" si="14"/>
        <v>36850.910000000025</v>
      </c>
    </row>
    <row r="929" spans="2:9">
      <c r="B929" s="496">
        <v>45775</v>
      </c>
      <c r="C929" s="507" t="s">
        <v>283</v>
      </c>
      <c r="D929" s="505" t="s">
        <v>307</v>
      </c>
      <c r="E929" s="499">
        <v>2047.1</v>
      </c>
      <c r="F929" s="500"/>
      <c r="G929" s="501" t="s">
        <v>190</v>
      </c>
      <c r="H929" s="502"/>
      <c r="I929" s="503">
        <f t="shared" si="14"/>
        <v>38898.010000000024</v>
      </c>
    </row>
    <row r="930" spans="2:9">
      <c r="B930" s="496">
        <v>45775</v>
      </c>
      <c r="C930" s="507" t="s">
        <v>283</v>
      </c>
      <c r="D930" s="505" t="s">
        <v>912</v>
      </c>
      <c r="E930" s="499">
        <v>1449</v>
      </c>
      <c r="F930" s="500"/>
      <c r="G930" s="501" t="s">
        <v>190</v>
      </c>
      <c r="H930" s="502"/>
      <c r="I930" s="503">
        <f t="shared" si="14"/>
        <v>40347.010000000024</v>
      </c>
    </row>
    <row r="931" spans="2:9">
      <c r="B931" s="496">
        <v>45775</v>
      </c>
      <c r="C931" s="507" t="s">
        <v>117</v>
      </c>
      <c r="D931" s="505" t="s">
        <v>918</v>
      </c>
      <c r="E931" s="499"/>
      <c r="F931" s="500">
        <v>14.54</v>
      </c>
      <c r="G931" s="501" t="s">
        <v>270</v>
      </c>
      <c r="H931" s="502"/>
      <c r="I931" s="503">
        <f t="shared" si="14"/>
        <v>40332.470000000023</v>
      </c>
    </row>
    <row r="932" spans="2:9">
      <c r="B932" s="496">
        <v>45775</v>
      </c>
      <c r="C932" s="507" t="s">
        <v>283</v>
      </c>
      <c r="D932" s="505" t="s">
        <v>912</v>
      </c>
      <c r="E932" s="499">
        <v>5376.5</v>
      </c>
      <c r="F932" s="500"/>
      <c r="G932" s="501" t="s">
        <v>197</v>
      </c>
      <c r="H932" s="596" t="s">
        <v>824</v>
      </c>
      <c r="I932" s="503">
        <f t="shared" si="14"/>
        <v>45708.970000000023</v>
      </c>
    </row>
    <row r="933" spans="2:9">
      <c r="B933" s="496">
        <v>45775</v>
      </c>
      <c r="C933" s="507" t="s">
        <v>117</v>
      </c>
      <c r="D933" s="505" t="s">
        <v>918</v>
      </c>
      <c r="E933" s="499"/>
      <c r="F933" s="500">
        <v>53.78</v>
      </c>
      <c r="G933" s="501" t="s">
        <v>270</v>
      </c>
      <c r="H933" s="596" t="s">
        <v>824</v>
      </c>
      <c r="I933" s="503">
        <f t="shared" si="14"/>
        <v>45655.190000000024</v>
      </c>
    </row>
    <row r="934" spans="2:9">
      <c r="B934" s="496">
        <v>45775</v>
      </c>
      <c r="C934" s="507" t="s">
        <v>283</v>
      </c>
      <c r="D934" s="505" t="s">
        <v>912</v>
      </c>
      <c r="E934" s="499">
        <v>3318.5</v>
      </c>
      <c r="F934" s="500"/>
      <c r="G934" s="501" t="s">
        <v>190</v>
      </c>
      <c r="H934" s="589" t="s">
        <v>714</v>
      </c>
      <c r="I934" s="503">
        <f t="shared" si="14"/>
        <v>48973.690000000024</v>
      </c>
    </row>
    <row r="935" spans="2:9">
      <c r="B935" s="496">
        <v>45775</v>
      </c>
      <c r="C935" s="507" t="s">
        <v>117</v>
      </c>
      <c r="D935" s="505" t="s">
        <v>918</v>
      </c>
      <c r="E935" s="499"/>
      <c r="F935" s="500">
        <v>33.33</v>
      </c>
      <c r="G935" s="501" t="s">
        <v>270</v>
      </c>
      <c r="H935" s="589" t="s">
        <v>714</v>
      </c>
      <c r="I935" s="503">
        <f t="shared" si="14"/>
        <v>48940.360000000022</v>
      </c>
    </row>
    <row r="936" spans="2:9">
      <c r="B936" s="496">
        <v>45775</v>
      </c>
      <c r="C936" s="507" t="s">
        <v>283</v>
      </c>
      <c r="D936" s="505" t="s">
        <v>909</v>
      </c>
      <c r="E936" s="499">
        <v>3289</v>
      </c>
      <c r="F936" s="500"/>
      <c r="G936" s="501" t="s">
        <v>190</v>
      </c>
      <c r="H936" s="589" t="s">
        <v>714</v>
      </c>
      <c r="I936" s="503">
        <f t="shared" si="14"/>
        <v>52229.360000000022</v>
      </c>
    </row>
    <row r="937" spans="2:9">
      <c r="B937" s="496">
        <v>45775</v>
      </c>
      <c r="C937" s="507" t="s">
        <v>117</v>
      </c>
      <c r="D937" s="505" t="s">
        <v>911</v>
      </c>
      <c r="E937" s="499"/>
      <c r="F937" s="500">
        <v>35.28</v>
      </c>
      <c r="G937" s="501" t="s">
        <v>269</v>
      </c>
      <c r="H937" s="589" t="s">
        <v>714</v>
      </c>
      <c r="I937" s="503">
        <f t="shared" si="14"/>
        <v>52194.080000000024</v>
      </c>
    </row>
    <row r="938" spans="2:9">
      <c r="B938" s="496">
        <v>45776</v>
      </c>
      <c r="C938" s="513" t="s">
        <v>962</v>
      </c>
      <c r="D938" s="514" t="s">
        <v>1123</v>
      </c>
      <c r="E938" s="515"/>
      <c r="F938" s="516">
        <v>1257.72</v>
      </c>
      <c r="G938" s="522" t="s">
        <v>279</v>
      </c>
      <c r="H938" s="502"/>
      <c r="I938" s="503">
        <f t="shared" si="14"/>
        <v>50936.360000000022</v>
      </c>
    </row>
    <row r="939" spans="2:9">
      <c r="B939" s="496">
        <v>45776</v>
      </c>
      <c r="C939" s="513" t="s">
        <v>962</v>
      </c>
      <c r="D939" s="514" t="s">
        <v>1124</v>
      </c>
      <c r="E939" s="515"/>
      <c r="F939" s="516">
        <v>114.16</v>
      </c>
      <c r="G939" s="522" t="s">
        <v>262</v>
      </c>
      <c r="H939" s="502"/>
      <c r="I939" s="503">
        <f t="shared" si="14"/>
        <v>50822.200000000019</v>
      </c>
    </row>
    <row r="940" spans="2:9">
      <c r="B940" s="496">
        <v>45776</v>
      </c>
      <c r="C940" s="513" t="s">
        <v>962</v>
      </c>
      <c r="D940" s="514" t="s">
        <v>965</v>
      </c>
      <c r="E940" s="515"/>
      <c r="F940" s="516">
        <v>2.5</v>
      </c>
      <c r="G940" s="522" t="s">
        <v>966</v>
      </c>
      <c r="H940" s="502"/>
      <c r="I940" s="503">
        <f t="shared" si="14"/>
        <v>50819.700000000019</v>
      </c>
    </row>
    <row r="941" spans="2:9">
      <c r="B941" s="496">
        <v>45776</v>
      </c>
      <c r="C941" s="507" t="s">
        <v>283</v>
      </c>
      <c r="D941" s="505" t="s">
        <v>307</v>
      </c>
      <c r="E941" s="499">
        <v>9</v>
      </c>
      <c r="F941" s="500"/>
      <c r="G941" s="501" t="s">
        <v>190</v>
      </c>
      <c r="H941" s="502"/>
      <c r="I941" s="503">
        <f t="shared" si="14"/>
        <v>50828.700000000019</v>
      </c>
    </row>
    <row r="942" spans="2:9">
      <c r="B942" s="496">
        <v>45776</v>
      </c>
      <c r="C942" s="507" t="s">
        <v>283</v>
      </c>
      <c r="D942" s="505" t="s">
        <v>307</v>
      </c>
      <c r="E942" s="499">
        <v>238</v>
      </c>
      <c r="F942" s="500"/>
      <c r="G942" s="501" t="s">
        <v>190</v>
      </c>
      <c r="H942" s="502"/>
      <c r="I942" s="503">
        <f t="shared" si="14"/>
        <v>51066.700000000019</v>
      </c>
    </row>
    <row r="943" spans="2:9">
      <c r="B943" s="496">
        <v>45776</v>
      </c>
      <c r="C943" s="507" t="s">
        <v>1085</v>
      </c>
      <c r="D943" s="505" t="s">
        <v>1125</v>
      </c>
      <c r="E943" s="499"/>
      <c r="F943" s="500">
        <v>38.58</v>
      </c>
      <c r="G943" s="501" t="s">
        <v>137</v>
      </c>
      <c r="H943" s="502"/>
      <c r="I943" s="503">
        <f t="shared" si="14"/>
        <v>51028.120000000017</v>
      </c>
    </row>
    <row r="944" spans="2:9">
      <c r="B944" s="496">
        <v>45776</v>
      </c>
      <c r="C944" s="507" t="s">
        <v>1085</v>
      </c>
      <c r="D944" s="505" t="s">
        <v>1125</v>
      </c>
      <c r="E944" s="499"/>
      <c r="F944" s="500">
        <f>47.07-F943</f>
        <v>8.490000000000002</v>
      </c>
      <c r="G944" s="501" t="s">
        <v>137</v>
      </c>
      <c r="H944" s="502"/>
      <c r="I944" s="503">
        <f t="shared" si="14"/>
        <v>51019.630000000019</v>
      </c>
    </row>
    <row r="945" spans="2:9">
      <c r="B945" s="496">
        <v>45776</v>
      </c>
      <c r="C945" s="513" t="s">
        <v>117</v>
      </c>
      <c r="D945" s="514" t="s">
        <v>903</v>
      </c>
      <c r="E945" s="515"/>
      <c r="F945" s="516">
        <v>1</v>
      </c>
      <c r="G945" s="501" t="s">
        <v>272</v>
      </c>
      <c r="H945" s="502"/>
      <c r="I945" s="503">
        <f t="shared" si="14"/>
        <v>51018.630000000019</v>
      </c>
    </row>
    <row r="946" spans="2:9">
      <c r="B946" s="496">
        <v>45776</v>
      </c>
      <c r="C946" s="507" t="s">
        <v>1126</v>
      </c>
      <c r="D946" s="505" t="s">
        <v>1127</v>
      </c>
      <c r="E946" s="499"/>
      <c r="F946" s="500">
        <v>1500</v>
      </c>
      <c r="G946" s="501" t="s">
        <v>237</v>
      </c>
      <c r="H946" s="502" t="s">
        <v>1128</v>
      </c>
      <c r="I946" s="503">
        <f t="shared" si="14"/>
        <v>49518.630000000019</v>
      </c>
    </row>
    <row r="947" spans="2:9">
      <c r="B947" s="496">
        <v>45776</v>
      </c>
      <c r="C947" s="507" t="s">
        <v>1126</v>
      </c>
      <c r="D947" s="505" t="s">
        <v>1127</v>
      </c>
      <c r="E947" s="499"/>
      <c r="F947" s="500">
        <v>330</v>
      </c>
      <c r="G947" s="501" t="s">
        <v>274</v>
      </c>
      <c r="H947" s="502"/>
      <c r="I947" s="503">
        <f t="shared" si="14"/>
        <v>49188.630000000019</v>
      </c>
    </row>
    <row r="948" spans="2:9">
      <c r="B948" s="496">
        <v>45776</v>
      </c>
      <c r="C948" s="513" t="s">
        <v>117</v>
      </c>
      <c r="D948" s="514" t="s">
        <v>903</v>
      </c>
      <c r="E948" s="515"/>
      <c r="F948" s="516">
        <v>1</v>
      </c>
      <c r="G948" s="501" t="s">
        <v>272</v>
      </c>
      <c r="H948" s="502"/>
      <c r="I948" s="503">
        <f t="shared" si="14"/>
        <v>49187.630000000019</v>
      </c>
    </row>
    <row r="949" spans="2:9">
      <c r="B949" s="496">
        <v>45777</v>
      </c>
      <c r="C949" s="507" t="s">
        <v>1129</v>
      </c>
      <c r="D949" s="505" t="s">
        <v>379</v>
      </c>
      <c r="E949" s="499"/>
      <c r="F949" s="500">
        <v>88.99</v>
      </c>
      <c r="G949" s="501" t="s">
        <v>237</v>
      </c>
      <c r="H949" s="502"/>
      <c r="I949" s="503">
        <f t="shared" si="14"/>
        <v>49098.640000000021</v>
      </c>
    </row>
    <row r="950" spans="2:9">
      <c r="B950" s="496">
        <v>45777</v>
      </c>
      <c r="C950" s="507" t="s">
        <v>1129</v>
      </c>
      <c r="D950" s="505" t="s">
        <v>379</v>
      </c>
      <c r="E950" s="499"/>
      <c r="F950" s="500">
        <v>19.579999999999998</v>
      </c>
      <c r="G950" s="501" t="s">
        <v>274</v>
      </c>
      <c r="H950" s="502"/>
      <c r="I950" s="503">
        <f t="shared" si="14"/>
        <v>49079.060000000019</v>
      </c>
    </row>
    <row r="951" spans="2:9">
      <c r="B951" s="496">
        <v>45777</v>
      </c>
      <c r="C951" s="507" t="s">
        <v>1130</v>
      </c>
      <c r="D951" s="505" t="s">
        <v>743</v>
      </c>
      <c r="E951" s="499"/>
      <c r="F951" s="500">
        <v>192</v>
      </c>
      <c r="G951" s="501" t="s">
        <v>216</v>
      </c>
      <c r="H951" s="502"/>
      <c r="I951" s="503">
        <f t="shared" si="14"/>
        <v>48887.060000000019</v>
      </c>
    </row>
    <row r="952" spans="2:9">
      <c r="B952" s="496">
        <v>45777</v>
      </c>
      <c r="C952" s="507" t="s">
        <v>1130</v>
      </c>
      <c r="D952" s="505" t="s">
        <v>743</v>
      </c>
      <c r="E952" s="499"/>
      <c r="F952" s="500">
        <v>42.24</v>
      </c>
      <c r="G952" s="501" t="s">
        <v>274</v>
      </c>
      <c r="H952" s="502"/>
      <c r="I952" s="503">
        <f t="shared" si="14"/>
        <v>48844.820000000022</v>
      </c>
    </row>
    <row r="953" spans="2:9">
      <c r="B953" s="496">
        <v>45777</v>
      </c>
      <c r="C953" s="497" t="s">
        <v>117</v>
      </c>
      <c r="D953" s="498" t="s">
        <v>921</v>
      </c>
      <c r="E953" s="499"/>
      <c r="F953" s="500">
        <v>1.25</v>
      </c>
      <c r="G953" s="501" t="s">
        <v>271</v>
      </c>
      <c r="H953" s="502"/>
      <c r="I953" s="503">
        <f t="shared" si="14"/>
        <v>48843.570000000022</v>
      </c>
    </row>
    <row r="954" spans="2:9">
      <c r="B954" s="528">
        <v>45747</v>
      </c>
      <c r="C954" s="507" t="s">
        <v>1131</v>
      </c>
      <c r="D954" s="505" t="s">
        <v>650</v>
      </c>
      <c r="E954" s="499"/>
      <c r="F954" s="500">
        <v>4051.15</v>
      </c>
      <c r="G954" s="501" t="s">
        <v>194</v>
      </c>
      <c r="H954" s="525" t="s">
        <v>753</v>
      </c>
      <c r="I954" s="503">
        <f t="shared" si="14"/>
        <v>44792.42000000002</v>
      </c>
    </row>
    <row r="955" spans="2:9">
      <c r="B955" s="528">
        <v>45747</v>
      </c>
      <c r="C955" s="497" t="s">
        <v>1131</v>
      </c>
      <c r="D955" s="498" t="s">
        <v>650</v>
      </c>
      <c r="E955" s="499"/>
      <c r="F955" s="500">
        <v>891.25</v>
      </c>
      <c r="G955" s="501" t="s">
        <v>274</v>
      </c>
      <c r="H955" s="525" t="s">
        <v>753</v>
      </c>
      <c r="I955" s="503">
        <f t="shared" si="14"/>
        <v>43901.17000000002</v>
      </c>
    </row>
    <row r="956" spans="2:9">
      <c r="B956" s="528">
        <v>45747</v>
      </c>
      <c r="C956" s="497" t="s">
        <v>331</v>
      </c>
      <c r="D956" s="498" t="s">
        <v>650</v>
      </c>
      <c r="E956" s="499">
        <v>1600</v>
      </c>
      <c r="F956" s="500"/>
      <c r="G956" s="501" t="s">
        <v>194</v>
      </c>
      <c r="H956" s="525" t="s">
        <v>753</v>
      </c>
      <c r="I956" s="503">
        <f t="shared" si="14"/>
        <v>45501.17000000002</v>
      </c>
    </row>
    <row r="957" spans="2:9">
      <c r="B957" s="528">
        <v>45747</v>
      </c>
      <c r="C957" s="497" t="s">
        <v>331</v>
      </c>
      <c r="D957" s="498" t="s">
        <v>650</v>
      </c>
      <c r="E957" s="499">
        <v>352</v>
      </c>
      <c r="F957" s="500"/>
      <c r="G957" s="501" t="s">
        <v>276</v>
      </c>
      <c r="H957" s="525" t="s">
        <v>753</v>
      </c>
      <c r="I957" s="503">
        <f t="shared" si="14"/>
        <v>45853.17000000002</v>
      </c>
    </row>
    <row r="958" spans="2:9">
      <c r="B958" s="496">
        <v>45777</v>
      </c>
      <c r="C958" s="497" t="s">
        <v>117</v>
      </c>
      <c r="D958" s="498" t="s">
        <v>921</v>
      </c>
      <c r="E958" s="499"/>
      <c r="F958" s="500">
        <v>1.25</v>
      </c>
      <c r="G958" s="501" t="s">
        <v>271</v>
      </c>
      <c r="H958" s="502"/>
      <c r="I958" s="503">
        <f t="shared" si="14"/>
        <v>45851.92000000002</v>
      </c>
    </row>
    <row r="959" spans="2:9">
      <c r="B959" s="528">
        <v>45747</v>
      </c>
      <c r="C959" s="497" t="s">
        <v>1132</v>
      </c>
      <c r="D959" s="498" t="s">
        <v>347</v>
      </c>
      <c r="E959" s="499"/>
      <c r="F959" s="500">
        <v>130</v>
      </c>
      <c r="G959" s="501" t="s">
        <v>238</v>
      </c>
      <c r="H959" s="525" t="s">
        <v>753</v>
      </c>
      <c r="I959" s="503">
        <f t="shared" si="14"/>
        <v>45721.92000000002</v>
      </c>
    </row>
    <row r="960" spans="2:9">
      <c r="B960" s="528">
        <v>45747</v>
      </c>
      <c r="C960" s="497" t="s">
        <v>1132</v>
      </c>
      <c r="D960" s="498" t="s">
        <v>347</v>
      </c>
      <c r="E960" s="499"/>
      <c r="F960" s="500">
        <v>28.6</v>
      </c>
      <c r="G960" s="501" t="s">
        <v>274</v>
      </c>
      <c r="H960" s="525" t="s">
        <v>753</v>
      </c>
      <c r="I960" s="503">
        <f t="shared" si="14"/>
        <v>45693.320000000022</v>
      </c>
    </row>
    <row r="961" spans="2:9">
      <c r="B961" s="496">
        <v>45777</v>
      </c>
      <c r="C961" s="497" t="s">
        <v>117</v>
      </c>
      <c r="D961" s="498" t="s">
        <v>921</v>
      </c>
      <c r="E961" s="499"/>
      <c r="F961" s="500">
        <v>1.25</v>
      </c>
      <c r="G961" s="501" t="s">
        <v>271</v>
      </c>
      <c r="H961" s="502"/>
      <c r="I961" s="503">
        <f t="shared" si="14"/>
        <v>45692.070000000022</v>
      </c>
    </row>
    <row r="962" spans="2:9">
      <c r="B962" s="528">
        <v>45747</v>
      </c>
      <c r="C962" s="507" t="s">
        <v>923</v>
      </c>
      <c r="D962" s="505" t="s">
        <v>341</v>
      </c>
      <c r="E962" s="499"/>
      <c r="F962" s="500">
        <v>3238.53</v>
      </c>
      <c r="G962" s="501" t="s">
        <v>194</v>
      </c>
      <c r="H962" s="525" t="s">
        <v>753</v>
      </c>
      <c r="I962" s="503">
        <f t="shared" si="14"/>
        <v>42453.540000000023</v>
      </c>
    </row>
    <row r="963" spans="2:9">
      <c r="B963" s="528">
        <v>45747</v>
      </c>
      <c r="C963" s="507" t="s">
        <v>923</v>
      </c>
      <c r="D963" s="505" t="s">
        <v>341</v>
      </c>
      <c r="E963" s="499"/>
      <c r="F963" s="500">
        <v>712.48</v>
      </c>
      <c r="G963" s="501" t="s">
        <v>274</v>
      </c>
      <c r="H963" s="525" t="s">
        <v>753</v>
      </c>
      <c r="I963" s="503">
        <f t="shared" si="14"/>
        <v>41741.060000000019</v>
      </c>
    </row>
    <row r="964" spans="2:9">
      <c r="B964" s="496">
        <v>45777</v>
      </c>
      <c r="C964" s="497" t="s">
        <v>117</v>
      </c>
      <c r="D964" s="498" t="s">
        <v>921</v>
      </c>
      <c r="E964" s="499"/>
      <c r="F964" s="500">
        <v>1.25</v>
      </c>
      <c r="G964" s="501" t="s">
        <v>271</v>
      </c>
      <c r="H964" s="502"/>
      <c r="I964" s="503">
        <f t="shared" si="14"/>
        <v>41739.810000000019</v>
      </c>
    </row>
    <row r="965" spans="2:9">
      <c r="B965" s="496">
        <v>45777</v>
      </c>
      <c r="C965" s="507" t="s">
        <v>283</v>
      </c>
      <c r="D965" s="505" t="s">
        <v>307</v>
      </c>
      <c r="E965" s="499">
        <v>522.20000000000005</v>
      </c>
      <c r="F965" s="500"/>
      <c r="G965" s="501" t="s">
        <v>190</v>
      </c>
      <c r="H965" s="502"/>
      <c r="I965" s="503">
        <f t="shared" si="14"/>
        <v>42262.010000000017</v>
      </c>
    </row>
    <row r="966" spans="2:9">
      <c r="B966" s="496">
        <v>45777</v>
      </c>
      <c r="C966" s="507" t="s">
        <v>283</v>
      </c>
      <c r="D966" s="505" t="s">
        <v>307</v>
      </c>
      <c r="E966" s="499">
        <v>119</v>
      </c>
      <c r="F966" s="500"/>
      <c r="G966" s="501" t="s">
        <v>190</v>
      </c>
      <c r="H966" s="502"/>
      <c r="I966" s="503">
        <f t="shared" si="14"/>
        <v>42381.010000000017</v>
      </c>
    </row>
    <row r="967" spans="2:9">
      <c r="B967" s="496">
        <v>45777</v>
      </c>
      <c r="C967" s="511" t="s">
        <v>1133</v>
      </c>
      <c r="D967" s="505" t="s">
        <v>100</v>
      </c>
      <c r="E967" s="499"/>
      <c r="F967" s="500">
        <v>1110.74</v>
      </c>
      <c r="G967" s="501" t="s">
        <v>194</v>
      </c>
      <c r="H967" s="502"/>
      <c r="I967" s="503">
        <f t="shared" si="14"/>
        <v>41270.270000000019</v>
      </c>
    </row>
    <row r="968" spans="2:9">
      <c r="B968" s="496">
        <v>45777</v>
      </c>
      <c r="C968" s="511" t="s">
        <v>1133</v>
      </c>
      <c r="D968" s="505" t="s">
        <v>100</v>
      </c>
      <c r="E968" s="499"/>
      <c r="F968" s="500">
        <v>244.36</v>
      </c>
      <c r="G968" s="501" t="s">
        <v>274</v>
      </c>
      <c r="H968" s="502"/>
      <c r="I968" s="503">
        <f t="shared" si="14"/>
        <v>41025.910000000018</v>
      </c>
    </row>
    <row r="969" spans="2:9">
      <c r="B969" s="496">
        <v>45777</v>
      </c>
      <c r="C969" s="513" t="s">
        <v>117</v>
      </c>
      <c r="D969" s="514" t="s">
        <v>903</v>
      </c>
      <c r="E969" s="515"/>
      <c r="F969" s="516">
        <v>1</v>
      </c>
      <c r="G969" s="501" t="s">
        <v>272</v>
      </c>
      <c r="H969" s="502"/>
      <c r="I969" s="503">
        <f t="shared" si="14"/>
        <v>41024.910000000018</v>
      </c>
    </row>
    <row r="970" spans="2:9">
      <c r="B970" s="496">
        <v>45779</v>
      </c>
      <c r="C970" s="511" t="s">
        <v>293</v>
      </c>
      <c r="D970" s="498" t="s">
        <v>1134</v>
      </c>
      <c r="E970" s="499"/>
      <c r="F970" s="500">
        <v>775</v>
      </c>
      <c r="G970" s="531"/>
      <c r="H970" s="589" t="s">
        <v>714</v>
      </c>
      <c r="I970" s="503">
        <f t="shared" ref="I970:I1033" si="15">I969+E970-F970</f>
        <v>40249.910000000018</v>
      </c>
    </row>
    <row r="971" spans="2:9">
      <c r="B971" s="496">
        <v>45779</v>
      </c>
      <c r="C971" s="513" t="s">
        <v>117</v>
      </c>
      <c r="D971" s="514" t="s">
        <v>903</v>
      </c>
      <c r="E971" s="515"/>
      <c r="F971" s="516">
        <v>0.75</v>
      </c>
      <c r="G971" s="501" t="s">
        <v>272</v>
      </c>
      <c r="H971" s="502"/>
      <c r="I971" s="503">
        <f t="shared" si="15"/>
        <v>40249.160000000018</v>
      </c>
    </row>
    <row r="972" spans="2:9">
      <c r="B972" s="496">
        <v>45779</v>
      </c>
      <c r="C972" s="507" t="s">
        <v>1135</v>
      </c>
      <c r="D972" s="505" t="s">
        <v>1136</v>
      </c>
      <c r="E972" s="499"/>
      <c r="F972" s="500">
        <v>907.15</v>
      </c>
      <c r="G972" s="501" t="s">
        <v>194</v>
      </c>
      <c r="H972" s="502"/>
      <c r="I972" s="503">
        <f t="shared" si="15"/>
        <v>39342.010000000017</v>
      </c>
    </row>
    <row r="973" spans="2:9">
      <c r="B973" s="496">
        <v>45779</v>
      </c>
      <c r="C973" s="507" t="s">
        <v>1135</v>
      </c>
      <c r="D973" s="505" t="s">
        <v>1136</v>
      </c>
      <c r="E973" s="499"/>
      <c r="F973" s="500">
        <v>199.57</v>
      </c>
      <c r="G973" s="501" t="s">
        <v>274</v>
      </c>
      <c r="H973" s="502"/>
      <c r="I973" s="503">
        <f t="shared" si="15"/>
        <v>39142.440000000017</v>
      </c>
    </row>
    <row r="974" spans="2:9">
      <c r="B974" s="496">
        <v>45779</v>
      </c>
      <c r="C974" s="513" t="s">
        <v>117</v>
      </c>
      <c r="D974" s="514" t="s">
        <v>903</v>
      </c>
      <c r="E974" s="515"/>
      <c r="F974" s="516">
        <v>1</v>
      </c>
      <c r="G974" s="501" t="s">
        <v>272</v>
      </c>
      <c r="H974" s="502"/>
      <c r="I974" s="503">
        <f t="shared" si="15"/>
        <v>39141.440000000017</v>
      </c>
    </row>
    <row r="975" spans="2:9">
      <c r="B975" s="496">
        <v>45779</v>
      </c>
      <c r="C975" s="507" t="s">
        <v>1137</v>
      </c>
      <c r="D975" s="505" t="s">
        <v>385</v>
      </c>
      <c r="E975" s="499"/>
      <c r="F975" s="500">
        <v>847.64</v>
      </c>
      <c r="G975" s="501" t="s">
        <v>194</v>
      </c>
      <c r="H975" s="502"/>
      <c r="I975" s="503">
        <f t="shared" si="15"/>
        <v>38293.800000000017</v>
      </c>
    </row>
    <row r="976" spans="2:9">
      <c r="B976" s="496">
        <v>45779</v>
      </c>
      <c r="C976" s="507" t="s">
        <v>1137</v>
      </c>
      <c r="D976" s="505" t="s">
        <v>385</v>
      </c>
      <c r="E976" s="499"/>
      <c r="F976" s="500">
        <v>186.48</v>
      </c>
      <c r="G976" s="501" t="s">
        <v>274</v>
      </c>
      <c r="H976" s="502"/>
      <c r="I976" s="503">
        <f t="shared" si="15"/>
        <v>38107.320000000014</v>
      </c>
    </row>
    <row r="977" spans="2:9">
      <c r="B977" s="496">
        <v>45779</v>
      </c>
      <c r="C977" s="513" t="s">
        <v>117</v>
      </c>
      <c r="D977" s="514" t="s">
        <v>903</v>
      </c>
      <c r="E977" s="515"/>
      <c r="F977" s="516">
        <v>1</v>
      </c>
      <c r="G977" s="501" t="s">
        <v>272</v>
      </c>
      <c r="H977" s="502"/>
      <c r="I977" s="503">
        <f t="shared" si="15"/>
        <v>38106.320000000014</v>
      </c>
    </row>
    <row r="978" spans="2:9">
      <c r="B978" s="496">
        <v>45779</v>
      </c>
      <c r="C978" s="507" t="s">
        <v>362</v>
      </c>
      <c r="D978" s="505" t="s">
        <v>363</v>
      </c>
      <c r="E978" s="499"/>
      <c r="F978" s="500">
        <v>1166.4000000000001</v>
      </c>
      <c r="G978" s="501" t="s">
        <v>196</v>
      </c>
      <c r="H978" s="502"/>
      <c r="I978" s="503">
        <f t="shared" si="15"/>
        <v>36939.920000000013</v>
      </c>
    </row>
    <row r="979" spans="2:9">
      <c r="B979" s="496">
        <v>45779</v>
      </c>
      <c r="C979" s="507" t="s">
        <v>362</v>
      </c>
      <c r="D979" s="505" t="s">
        <v>363</v>
      </c>
      <c r="E979" s="499"/>
      <c r="F979" s="500">
        <v>256.61</v>
      </c>
      <c r="G979" s="501" t="s">
        <v>274</v>
      </c>
      <c r="H979" s="502"/>
      <c r="I979" s="503">
        <f t="shared" si="15"/>
        <v>36683.310000000012</v>
      </c>
    </row>
    <row r="980" spans="2:9">
      <c r="B980" s="496">
        <v>45779</v>
      </c>
      <c r="C980" s="513" t="s">
        <v>117</v>
      </c>
      <c r="D980" s="514" t="s">
        <v>903</v>
      </c>
      <c r="E980" s="515"/>
      <c r="F980" s="516">
        <v>1</v>
      </c>
      <c r="G980" s="501" t="s">
        <v>272</v>
      </c>
      <c r="H980" s="502"/>
      <c r="I980" s="503">
        <f t="shared" si="15"/>
        <v>36682.310000000012</v>
      </c>
    </row>
    <row r="981" spans="2:9">
      <c r="B981" s="729">
        <v>45747</v>
      </c>
      <c r="C981" s="507" t="s">
        <v>364</v>
      </c>
      <c r="D981" s="505" t="s">
        <v>361</v>
      </c>
      <c r="E981" s="499"/>
      <c r="F981" s="500">
        <v>522.9</v>
      </c>
      <c r="G981" s="501" t="s">
        <v>199</v>
      </c>
      <c r="H981" s="502"/>
      <c r="I981" s="503">
        <f t="shared" si="15"/>
        <v>36159.410000000011</v>
      </c>
    </row>
    <row r="982" spans="2:9">
      <c r="B982" s="729">
        <v>45747</v>
      </c>
      <c r="C982" s="507" t="s">
        <v>364</v>
      </c>
      <c r="D982" s="505" t="s">
        <v>361</v>
      </c>
      <c r="E982" s="499"/>
      <c r="F982" s="500">
        <v>39.82</v>
      </c>
      <c r="G982" s="501" t="s">
        <v>274</v>
      </c>
      <c r="H982" s="502"/>
      <c r="I982" s="503">
        <f t="shared" si="15"/>
        <v>36119.590000000011</v>
      </c>
    </row>
    <row r="983" spans="2:9">
      <c r="B983" s="729">
        <v>45716</v>
      </c>
      <c r="C983" s="507" t="s">
        <v>360</v>
      </c>
      <c r="D983" s="505" t="s">
        <v>361</v>
      </c>
      <c r="E983" s="499"/>
      <c r="F983" s="500">
        <v>547.80999999999995</v>
      </c>
      <c r="G983" s="501" t="s">
        <v>194</v>
      </c>
      <c r="H983" s="502"/>
      <c r="I983" s="503">
        <f t="shared" si="15"/>
        <v>35571.780000000013</v>
      </c>
    </row>
    <row r="984" spans="2:9">
      <c r="B984" s="729">
        <v>45716</v>
      </c>
      <c r="C984" s="507" t="s">
        <v>360</v>
      </c>
      <c r="D984" s="505" t="s">
        <v>361</v>
      </c>
      <c r="E984" s="499"/>
      <c r="F984" s="500">
        <v>41.59</v>
      </c>
      <c r="G984" s="501" t="s">
        <v>274</v>
      </c>
      <c r="H984" s="502"/>
      <c r="I984" s="503">
        <f t="shared" si="15"/>
        <v>35530.190000000017</v>
      </c>
    </row>
    <row r="985" spans="2:9">
      <c r="B985" s="496">
        <v>45779</v>
      </c>
      <c r="C985" s="513" t="s">
        <v>117</v>
      </c>
      <c r="D985" s="514" t="s">
        <v>903</v>
      </c>
      <c r="E985" s="515"/>
      <c r="F985" s="516">
        <v>1</v>
      </c>
      <c r="G985" s="501" t="s">
        <v>272</v>
      </c>
      <c r="H985" s="502"/>
      <c r="I985" s="503">
        <f t="shared" si="15"/>
        <v>35529.190000000017</v>
      </c>
    </row>
    <row r="986" spans="2:9">
      <c r="B986" s="496">
        <v>45779</v>
      </c>
      <c r="C986" s="507" t="s">
        <v>358</v>
      </c>
      <c r="D986" s="505" t="s">
        <v>359</v>
      </c>
      <c r="E986" s="499"/>
      <c r="F986" s="500">
        <v>167.48</v>
      </c>
      <c r="G986" s="501" t="s">
        <v>216</v>
      </c>
      <c r="H986" s="502"/>
      <c r="I986" s="503">
        <f t="shared" si="15"/>
        <v>35361.710000000014</v>
      </c>
    </row>
    <row r="987" spans="2:9">
      <c r="B987" s="496">
        <v>45779</v>
      </c>
      <c r="C987" s="507" t="s">
        <v>358</v>
      </c>
      <c r="D987" s="505" t="s">
        <v>359</v>
      </c>
      <c r="E987" s="499"/>
      <c r="F987" s="500">
        <v>36.85</v>
      </c>
      <c r="G987" s="501" t="s">
        <v>274</v>
      </c>
      <c r="H987" s="502"/>
      <c r="I987" s="503">
        <f t="shared" si="15"/>
        <v>35324.860000000015</v>
      </c>
    </row>
    <row r="988" spans="2:9">
      <c r="B988" s="496">
        <v>45779</v>
      </c>
      <c r="C988" s="513" t="s">
        <v>117</v>
      </c>
      <c r="D988" s="514" t="s">
        <v>903</v>
      </c>
      <c r="E988" s="515"/>
      <c r="F988" s="516">
        <v>0.75</v>
      </c>
      <c r="G988" s="501" t="s">
        <v>272</v>
      </c>
      <c r="H988" s="502"/>
      <c r="I988" s="503">
        <f t="shared" si="15"/>
        <v>35324.110000000015</v>
      </c>
    </row>
    <row r="989" spans="2:9">
      <c r="B989" s="496">
        <v>45779</v>
      </c>
      <c r="C989" s="497" t="s">
        <v>117</v>
      </c>
      <c r="D989" s="498" t="s">
        <v>902</v>
      </c>
      <c r="E989" s="499"/>
      <c r="F989" s="500">
        <v>1250</v>
      </c>
      <c r="G989" s="501" t="s">
        <v>278</v>
      </c>
      <c r="H989" s="502"/>
      <c r="I989" s="503">
        <f t="shared" si="15"/>
        <v>34074.110000000015</v>
      </c>
    </row>
    <row r="990" spans="2:9">
      <c r="B990" s="496">
        <v>45779</v>
      </c>
      <c r="C990" s="497" t="s">
        <v>117</v>
      </c>
      <c r="D990" s="498" t="s">
        <v>903</v>
      </c>
      <c r="E990" s="499"/>
      <c r="F990" s="500">
        <v>0.75</v>
      </c>
      <c r="G990" s="501" t="s">
        <v>272</v>
      </c>
      <c r="H990" s="502"/>
      <c r="I990" s="503">
        <f t="shared" si="15"/>
        <v>34073.360000000015</v>
      </c>
    </row>
    <row r="991" spans="2:9">
      <c r="B991" s="496">
        <v>45779</v>
      </c>
      <c r="C991" s="497" t="s">
        <v>117</v>
      </c>
      <c r="D991" s="498" t="s">
        <v>320</v>
      </c>
      <c r="E991" s="499"/>
      <c r="F991" s="500">
        <v>500</v>
      </c>
      <c r="G991" s="501" t="s">
        <v>237</v>
      </c>
      <c r="H991" s="502"/>
      <c r="I991" s="503">
        <f t="shared" si="15"/>
        <v>33573.360000000015</v>
      </c>
    </row>
    <row r="992" spans="2:9">
      <c r="B992" s="496">
        <v>45779</v>
      </c>
      <c r="C992" s="497" t="s">
        <v>117</v>
      </c>
      <c r="D992" s="498" t="s">
        <v>903</v>
      </c>
      <c r="E992" s="499"/>
      <c r="F992" s="500">
        <v>0.75</v>
      </c>
      <c r="G992" s="501" t="s">
        <v>272</v>
      </c>
      <c r="H992" s="502"/>
      <c r="I992" s="503">
        <f t="shared" si="15"/>
        <v>33572.610000000015</v>
      </c>
    </row>
    <row r="993" spans="2:9">
      <c r="B993" s="496">
        <v>45779</v>
      </c>
      <c r="C993" s="511" t="s">
        <v>1138</v>
      </c>
      <c r="D993" s="505" t="s">
        <v>329</v>
      </c>
      <c r="E993" s="499"/>
      <c r="F993" s="500">
        <f>445.34-F994</f>
        <v>350.01</v>
      </c>
      <c r="G993" s="501" t="s">
        <v>221</v>
      </c>
      <c r="H993" s="502"/>
      <c r="I993" s="503">
        <f t="shared" si="15"/>
        <v>33222.600000000013</v>
      </c>
    </row>
    <row r="994" spans="2:9">
      <c r="B994" s="496">
        <v>45779</v>
      </c>
      <c r="C994" s="511" t="s">
        <v>1138</v>
      </c>
      <c r="D994" s="505" t="s">
        <v>329</v>
      </c>
      <c r="E994" s="499"/>
      <c r="F994" s="500">
        <v>95.33</v>
      </c>
      <c r="G994" s="501" t="s">
        <v>274</v>
      </c>
      <c r="H994" s="502"/>
      <c r="I994" s="503">
        <f t="shared" si="15"/>
        <v>33127.270000000011</v>
      </c>
    </row>
    <row r="995" spans="2:9">
      <c r="B995" s="496">
        <v>45779</v>
      </c>
      <c r="C995" s="497" t="s">
        <v>117</v>
      </c>
      <c r="D995" s="498" t="s">
        <v>903</v>
      </c>
      <c r="E995" s="499"/>
      <c r="F995" s="500">
        <v>1</v>
      </c>
      <c r="G995" s="501" t="s">
        <v>272</v>
      </c>
      <c r="H995" s="502"/>
      <c r="I995" s="503">
        <f t="shared" si="15"/>
        <v>33126.270000000011</v>
      </c>
    </row>
    <row r="996" spans="2:9">
      <c r="B996" s="496">
        <v>45779</v>
      </c>
      <c r="C996" s="497" t="s">
        <v>351</v>
      </c>
      <c r="D996" s="498" t="s">
        <v>379</v>
      </c>
      <c r="E996" s="499"/>
      <c r="F996" s="500">
        <v>3111.7</v>
      </c>
      <c r="G996" s="501" t="s">
        <v>237</v>
      </c>
      <c r="H996" s="502"/>
      <c r="I996" s="503">
        <f t="shared" si="15"/>
        <v>30014.570000000011</v>
      </c>
    </row>
    <row r="997" spans="2:9">
      <c r="B997" s="496">
        <v>45779</v>
      </c>
      <c r="C997" s="507" t="s">
        <v>351</v>
      </c>
      <c r="D997" s="505" t="s">
        <v>379</v>
      </c>
      <c r="E997" s="499"/>
      <c r="F997" s="500">
        <v>684.57</v>
      </c>
      <c r="G997" s="501" t="s">
        <v>274</v>
      </c>
      <c r="H997" s="502"/>
      <c r="I997" s="503">
        <f t="shared" si="15"/>
        <v>29330.000000000011</v>
      </c>
    </row>
    <row r="998" spans="2:9">
      <c r="B998" s="729">
        <v>45747</v>
      </c>
      <c r="C998" s="497">
        <v>505</v>
      </c>
      <c r="D998" s="533" t="s">
        <v>349</v>
      </c>
      <c r="E998" s="499"/>
      <c r="F998" s="500">
        <v>300.07</v>
      </c>
      <c r="G998" s="501" t="s">
        <v>199</v>
      </c>
      <c r="H998" s="502"/>
      <c r="I998" s="503">
        <f t="shared" si="15"/>
        <v>29029.930000000011</v>
      </c>
    </row>
    <row r="999" spans="2:9">
      <c r="B999" s="729">
        <v>45747</v>
      </c>
      <c r="C999" s="507" t="s">
        <v>1139</v>
      </c>
      <c r="D999" s="505" t="s">
        <v>349</v>
      </c>
      <c r="E999" s="499"/>
      <c r="F999" s="500">
        <v>30.01</v>
      </c>
      <c r="G999" s="501" t="s">
        <v>274</v>
      </c>
      <c r="H999" s="502"/>
      <c r="I999" s="503">
        <f t="shared" si="15"/>
        <v>28999.920000000013</v>
      </c>
    </row>
    <row r="1000" spans="2:9">
      <c r="B1000" s="729">
        <v>45716</v>
      </c>
      <c r="C1000" s="497">
        <v>317</v>
      </c>
      <c r="D1000" s="498" t="s">
        <v>349</v>
      </c>
      <c r="E1000" s="499"/>
      <c r="F1000" s="500">
        <v>551</v>
      </c>
      <c r="G1000" s="501" t="s">
        <v>199</v>
      </c>
      <c r="H1000" s="502"/>
      <c r="I1000" s="503">
        <f t="shared" si="15"/>
        <v>28448.920000000013</v>
      </c>
    </row>
    <row r="1001" spans="2:9">
      <c r="B1001" s="729">
        <v>45716</v>
      </c>
      <c r="C1001" s="497">
        <v>317</v>
      </c>
      <c r="D1001" s="498" t="s">
        <v>349</v>
      </c>
      <c r="E1001" s="499"/>
      <c r="F1001" s="500">
        <v>56.7</v>
      </c>
      <c r="G1001" s="501" t="s">
        <v>274</v>
      </c>
      <c r="H1001" s="502"/>
      <c r="I1001" s="503">
        <f t="shared" si="15"/>
        <v>28392.220000000012</v>
      </c>
    </row>
    <row r="1002" spans="2:9">
      <c r="B1002" s="496">
        <v>45779</v>
      </c>
      <c r="C1002" s="497" t="s">
        <v>117</v>
      </c>
      <c r="D1002" s="498" t="s">
        <v>903</v>
      </c>
      <c r="E1002" s="499"/>
      <c r="F1002" s="500">
        <v>1</v>
      </c>
      <c r="G1002" s="501" t="s">
        <v>272</v>
      </c>
      <c r="H1002" s="502"/>
      <c r="I1002" s="503">
        <f t="shared" si="15"/>
        <v>28391.220000000012</v>
      </c>
    </row>
    <row r="1003" spans="2:9">
      <c r="B1003" s="496">
        <v>45779</v>
      </c>
      <c r="C1003" s="507" t="s">
        <v>283</v>
      </c>
      <c r="D1003" s="505" t="s">
        <v>307</v>
      </c>
      <c r="E1003" s="499">
        <v>186</v>
      </c>
      <c r="F1003" s="500"/>
      <c r="G1003" s="501" t="s">
        <v>190</v>
      </c>
      <c r="H1003" s="502"/>
      <c r="I1003" s="503">
        <f t="shared" si="15"/>
        <v>28577.220000000012</v>
      </c>
    </row>
    <row r="1004" spans="2:9">
      <c r="B1004" s="496">
        <v>45779</v>
      </c>
      <c r="C1004" s="507" t="s">
        <v>283</v>
      </c>
      <c r="D1004" s="505" t="s">
        <v>307</v>
      </c>
      <c r="E1004" s="499">
        <v>531.75</v>
      </c>
      <c r="F1004" s="500"/>
      <c r="G1004" s="501" t="s">
        <v>190</v>
      </c>
      <c r="H1004" s="502"/>
      <c r="I1004" s="503">
        <f t="shared" si="15"/>
        <v>29108.970000000012</v>
      </c>
    </row>
    <row r="1005" spans="2:9">
      <c r="B1005" s="496">
        <v>45779</v>
      </c>
      <c r="C1005" s="507" t="s">
        <v>283</v>
      </c>
      <c r="D1005" s="505" t="s">
        <v>307</v>
      </c>
      <c r="E1005" s="499">
        <v>890.6</v>
      </c>
      <c r="F1005" s="500"/>
      <c r="G1005" s="501" t="s">
        <v>190</v>
      </c>
      <c r="H1005" s="502"/>
      <c r="I1005" s="503">
        <f t="shared" si="15"/>
        <v>29999.570000000011</v>
      </c>
    </row>
    <row r="1006" spans="2:9">
      <c r="B1006" s="496">
        <v>45779</v>
      </c>
      <c r="C1006" s="507" t="s">
        <v>283</v>
      </c>
      <c r="D1006" s="505" t="s">
        <v>307</v>
      </c>
      <c r="E1006" s="499">
        <v>1900.95</v>
      </c>
      <c r="F1006" s="500"/>
      <c r="G1006" s="501" t="s">
        <v>190</v>
      </c>
      <c r="H1006" s="502"/>
      <c r="I1006" s="503">
        <f t="shared" si="15"/>
        <v>31900.520000000011</v>
      </c>
    </row>
    <row r="1007" spans="2:9">
      <c r="B1007" s="496">
        <v>45779</v>
      </c>
      <c r="C1007" s="507" t="s">
        <v>283</v>
      </c>
      <c r="D1007" s="505" t="s">
        <v>912</v>
      </c>
      <c r="E1007" s="499">
        <v>2923</v>
      </c>
      <c r="F1007" s="500"/>
      <c r="G1007" s="501" t="s">
        <v>197</v>
      </c>
      <c r="H1007" s="596" t="s">
        <v>824</v>
      </c>
      <c r="I1007" s="503">
        <f t="shared" si="15"/>
        <v>34823.520000000011</v>
      </c>
    </row>
    <row r="1008" spans="2:9">
      <c r="B1008" s="496">
        <v>45779</v>
      </c>
      <c r="C1008" s="507" t="s">
        <v>117</v>
      </c>
      <c r="D1008" s="505" t="s">
        <v>918</v>
      </c>
      <c r="E1008" s="499"/>
      <c r="F1008" s="500">
        <f>2923-2893.77</f>
        <v>29.230000000000018</v>
      </c>
      <c r="G1008" s="501" t="s">
        <v>270</v>
      </c>
      <c r="H1008" s="596" t="s">
        <v>824</v>
      </c>
      <c r="I1008" s="503">
        <f t="shared" si="15"/>
        <v>34794.290000000008</v>
      </c>
    </row>
    <row r="1009" spans="2:9">
      <c r="B1009" s="496">
        <v>45782</v>
      </c>
      <c r="C1009" s="497" t="s">
        <v>117</v>
      </c>
      <c r="D1009" s="498" t="s">
        <v>914</v>
      </c>
      <c r="E1009" s="499"/>
      <c r="F1009" s="500">
        <v>53.98</v>
      </c>
      <c r="G1009" s="501" t="s">
        <v>266</v>
      </c>
      <c r="H1009" s="502"/>
      <c r="I1009" s="503">
        <f t="shared" si="15"/>
        <v>34740.310000000005</v>
      </c>
    </row>
    <row r="1010" spans="2:9">
      <c r="B1010" s="496">
        <v>45782</v>
      </c>
      <c r="C1010" s="497" t="s">
        <v>117</v>
      </c>
      <c r="D1010" s="498" t="s">
        <v>915</v>
      </c>
      <c r="E1010" s="499"/>
      <c r="F1010" s="500">
        <v>300.02999999999997</v>
      </c>
      <c r="G1010" s="501" t="s">
        <v>267</v>
      </c>
      <c r="H1010" s="502"/>
      <c r="I1010" s="503">
        <f t="shared" si="15"/>
        <v>34440.280000000006</v>
      </c>
    </row>
    <row r="1011" spans="2:9">
      <c r="B1011" s="496">
        <v>45782</v>
      </c>
      <c r="C1011" s="507" t="s">
        <v>117</v>
      </c>
      <c r="D1011" s="505" t="s">
        <v>1140</v>
      </c>
      <c r="E1011" s="499"/>
      <c r="F1011" s="500">
        <v>15</v>
      </c>
      <c r="G1011" s="501" t="s">
        <v>265</v>
      </c>
      <c r="H1011" s="502"/>
      <c r="I1011" s="503">
        <f t="shared" si="15"/>
        <v>34425.280000000006</v>
      </c>
    </row>
    <row r="1012" spans="2:9">
      <c r="B1012" s="496">
        <v>45782</v>
      </c>
      <c r="C1012" s="507" t="s">
        <v>1141</v>
      </c>
      <c r="D1012" s="505" t="s">
        <v>986</v>
      </c>
      <c r="E1012" s="499"/>
      <c r="F1012" s="500">
        <v>77</v>
      </c>
      <c r="G1012" s="501" t="s">
        <v>266</v>
      </c>
      <c r="H1012" s="502"/>
      <c r="I1012" s="503">
        <f t="shared" si="15"/>
        <v>34348.280000000006</v>
      </c>
    </row>
    <row r="1013" spans="2:9">
      <c r="B1013" s="496">
        <v>45782</v>
      </c>
      <c r="C1013" s="497" t="s">
        <v>1141</v>
      </c>
      <c r="D1013" s="498" t="s">
        <v>986</v>
      </c>
      <c r="E1013" s="499"/>
      <c r="F1013" s="500">
        <v>16.940000000000001</v>
      </c>
      <c r="G1013" s="501" t="s">
        <v>274</v>
      </c>
      <c r="H1013" s="502"/>
      <c r="I1013" s="503">
        <f t="shared" si="15"/>
        <v>34331.340000000004</v>
      </c>
    </row>
    <row r="1014" spans="2:9">
      <c r="B1014" s="496">
        <v>45782</v>
      </c>
      <c r="C1014" s="507" t="s">
        <v>283</v>
      </c>
      <c r="D1014" s="505" t="s">
        <v>307</v>
      </c>
      <c r="E1014" s="499">
        <v>278.3</v>
      </c>
      <c r="F1014" s="500"/>
      <c r="G1014" s="501" t="s">
        <v>190</v>
      </c>
      <c r="H1014" s="502"/>
      <c r="I1014" s="503">
        <f t="shared" si="15"/>
        <v>34609.640000000007</v>
      </c>
    </row>
    <row r="1015" spans="2:9">
      <c r="B1015" s="496">
        <v>45782</v>
      </c>
      <c r="C1015" s="507" t="s">
        <v>283</v>
      </c>
      <c r="D1015" s="505" t="s">
        <v>307</v>
      </c>
      <c r="E1015" s="499">
        <v>251.3</v>
      </c>
      <c r="F1015" s="500"/>
      <c r="G1015" s="501" t="s">
        <v>190</v>
      </c>
      <c r="H1015" s="502"/>
      <c r="I1015" s="503">
        <f t="shared" si="15"/>
        <v>34860.94000000001</v>
      </c>
    </row>
    <row r="1016" spans="2:9">
      <c r="B1016" s="496">
        <v>45782</v>
      </c>
      <c r="C1016" s="507" t="s">
        <v>283</v>
      </c>
      <c r="D1016" s="505" t="s">
        <v>307</v>
      </c>
      <c r="E1016" s="499">
        <v>341.9</v>
      </c>
      <c r="F1016" s="500"/>
      <c r="G1016" s="501" t="s">
        <v>190</v>
      </c>
      <c r="H1016" s="502"/>
      <c r="I1016" s="503">
        <f t="shared" si="15"/>
        <v>35202.840000000011</v>
      </c>
    </row>
    <row r="1017" spans="2:9">
      <c r="B1017" s="496">
        <v>45782</v>
      </c>
      <c r="C1017" s="507" t="s">
        <v>283</v>
      </c>
      <c r="D1017" s="505" t="s">
        <v>307</v>
      </c>
      <c r="E1017" s="499">
        <v>1030.4000000000001</v>
      </c>
      <c r="F1017" s="500"/>
      <c r="G1017" s="501" t="s">
        <v>190</v>
      </c>
      <c r="H1017" s="502"/>
      <c r="I1017" s="503">
        <f t="shared" si="15"/>
        <v>36233.240000000013</v>
      </c>
    </row>
    <row r="1018" spans="2:9">
      <c r="B1018" s="496">
        <v>45782</v>
      </c>
      <c r="C1018" s="507" t="s">
        <v>283</v>
      </c>
      <c r="D1018" s="505" t="s">
        <v>307</v>
      </c>
      <c r="E1018" s="499">
        <v>2236.5</v>
      </c>
      <c r="F1018" s="500"/>
      <c r="G1018" s="501" t="s">
        <v>190</v>
      </c>
      <c r="H1018" s="502"/>
      <c r="I1018" s="503">
        <f t="shared" si="15"/>
        <v>38469.740000000013</v>
      </c>
    </row>
    <row r="1019" spans="2:9">
      <c r="B1019" s="496">
        <v>45782</v>
      </c>
      <c r="C1019" s="507" t="s">
        <v>283</v>
      </c>
      <c r="D1019" s="505" t="s">
        <v>307</v>
      </c>
      <c r="E1019" s="499">
        <v>1300.5999999999999</v>
      </c>
      <c r="F1019" s="500"/>
      <c r="G1019" s="501" t="s">
        <v>190</v>
      </c>
      <c r="H1019" s="502"/>
      <c r="I1019" s="503">
        <f t="shared" si="15"/>
        <v>39770.340000000011</v>
      </c>
    </row>
    <row r="1020" spans="2:9">
      <c r="B1020" s="496">
        <v>45782</v>
      </c>
      <c r="C1020" s="507" t="s">
        <v>283</v>
      </c>
      <c r="D1020" s="505" t="s">
        <v>912</v>
      </c>
      <c r="E1020" s="499">
        <v>4698</v>
      </c>
      <c r="F1020" s="500"/>
      <c r="G1020" s="501" t="s">
        <v>197</v>
      </c>
      <c r="H1020" s="596" t="s">
        <v>824</v>
      </c>
      <c r="I1020" s="503">
        <f t="shared" si="15"/>
        <v>44468.340000000011</v>
      </c>
    </row>
    <row r="1021" spans="2:9">
      <c r="B1021" s="496">
        <v>45782</v>
      </c>
      <c r="C1021" s="507" t="s">
        <v>117</v>
      </c>
      <c r="D1021" s="505" t="s">
        <v>918</v>
      </c>
      <c r="E1021" s="499"/>
      <c r="F1021" s="500">
        <f>4698-4651.02</f>
        <v>46.979999999999563</v>
      </c>
      <c r="G1021" s="501" t="s">
        <v>270</v>
      </c>
      <c r="H1021" s="596" t="s">
        <v>824</v>
      </c>
      <c r="I1021" s="503">
        <f t="shared" si="15"/>
        <v>44421.360000000015</v>
      </c>
    </row>
    <row r="1022" spans="2:9">
      <c r="B1022" s="496">
        <v>45783</v>
      </c>
      <c r="C1022" s="507" t="s">
        <v>283</v>
      </c>
      <c r="D1022" s="505" t="s">
        <v>307</v>
      </c>
      <c r="E1022" s="499">
        <v>65</v>
      </c>
      <c r="F1022" s="500"/>
      <c r="G1022" s="501" t="s">
        <v>190</v>
      </c>
      <c r="H1022" s="502"/>
      <c r="I1022" s="503">
        <f t="shared" si="15"/>
        <v>44486.360000000015</v>
      </c>
    </row>
    <row r="1023" spans="2:9">
      <c r="B1023" s="496">
        <v>45783</v>
      </c>
      <c r="C1023" s="507" t="s">
        <v>283</v>
      </c>
      <c r="D1023" s="505" t="s">
        <v>307</v>
      </c>
      <c r="E1023" s="499">
        <v>182.5</v>
      </c>
      <c r="F1023" s="500"/>
      <c r="G1023" s="501" t="s">
        <v>190</v>
      </c>
      <c r="H1023" s="502"/>
      <c r="I1023" s="503">
        <f t="shared" si="15"/>
        <v>44668.860000000015</v>
      </c>
    </row>
    <row r="1024" spans="2:9">
      <c r="B1024" s="496">
        <v>45784</v>
      </c>
      <c r="C1024" s="507" t="s">
        <v>283</v>
      </c>
      <c r="D1024" s="505" t="s">
        <v>307</v>
      </c>
      <c r="E1024" s="499">
        <v>68</v>
      </c>
      <c r="F1024" s="500"/>
      <c r="G1024" s="501" t="s">
        <v>190</v>
      </c>
      <c r="H1024" s="502"/>
      <c r="I1024" s="503">
        <f t="shared" si="15"/>
        <v>44736.860000000015</v>
      </c>
    </row>
    <row r="1025" spans="2:9">
      <c r="B1025" s="496">
        <v>45784</v>
      </c>
      <c r="C1025" s="507" t="s">
        <v>283</v>
      </c>
      <c r="D1025" s="505" t="s">
        <v>307</v>
      </c>
      <c r="E1025" s="499">
        <v>272.10000000000002</v>
      </c>
      <c r="F1025" s="500"/>
      <c r="G1025" s="501" t="s">
        <v>190</v>
      </c>
      <c r="H1025" s="502"/>
      <c r="I1025" s="503">
        <f t="shared" si="15"/>
        <v>45008.960000000014</v>
      </c>
    </row>
    <row r="1026" spans="2:9">
      <c r="B1026" s="496">
        <v>45785</v>
      </c>
      <c r="C1026" s="507" t="s">
        <v>283</v>
      </c>
      <c r="D1026" s="505" t="s">
        <v>307</v>
      </c>
      <c r="E1026" s="499">
        <v>160.4</v>
      </c>
      <c r="F1026" s="500"/>
      <c r="G1026" s="501" t="s">
        <v>190</v>
      </c>
      <c r="H1026" s="502"/>
      <c r="I1026" s="503">
        <f t="shared" si="15"/>
        <v>45169.360000000015</v>
      </c>
    </row>
    <row r="1027" spans="2:9">
      <c r="B1027" s="496">
        <v>45785</v>
      </c>
      <c r="C1027" s="507" t="s">
        <v>283</v>
      </c>
      <c r="D1027" s="505" t="s">
        <v>307</v>
      </c>
      <c r="E1027" s="499">
        <v>27.8</v>
      </c>
      <c r="F1027" s="500"/>
      <c r="G1027" s="501" t="s">
        <v>190</v>
      </c>
      <c r="H1027" s="502"/>
      <c r="I1027" s="503">
        <f t="shared" si="15"/>
        <v>45197.160000000018</v>
      </c>
    </row>
    <row r="1028" spans="2:9">
      <c r="B1028" s="729">
        <v>45746</v>
      </c>
      <c r="C1028" s="507" t="s">
        <v>1142</v>
      </c>
      <c r="D1028" s="505" t="s">
        <v>394</v>
      </c>
      <c r="E1028" s="499"/>
      <c r="F1028" s="500">
        <v>88.82</v>
      </c>
      <c r="G1028" s="501" t="s">
        <v>199</v>
      </c>
      <c r="H1028" s="502"/>
      <c r="I1028" s="503">
        <f t="shared" si="15"/>
        <v>45108.340000000018</v>
      </c>
    </row>
    <row r="1029" spans="2:9">
      <c r="B1029" s="729">
        <v>45746</v>
      </c>
      <c r="C1029" s="497" t="s">
        <v>1142</v>
      </c>
      <c r="D1029" s="498" t="s">
        <v>394</v>
      </c>
      <c r="E1029" s="499"/>
      <c r="F1029" s="500">
        <v>7.57</v>
      </c>
      <c r="G1029" s="501" t="s">
        <v>274</v>
      </c>
      <c r="H1029" s="502"/>
      <c r="I1029" s="503">
        <f t="shared" si="15"/>
        <v>45100.770000000019</v>
      </c>
    </row>
    <row r="1030" spans="2:9">
      <c r="B1030" s="729">
        <v>45777</v>
      </c>
      <c r="C1030" s="497" t="s">
        <v>1143</v>
      </c>
      <c r="D1030" s="498" t="s">
        <v>394</v>
      </c>
      <c r="E1030" s="499"/>
      <c r="F1030" s="500">
        <v>319.58</v>
      </c>
      <c r="G1030" s="501" t="s">
        <v>199</v>
      </c>
      <c r="H1030" s="502"/>
      <c r="I1030" s="503">
        <f t="shared" si="15"/>
        <v>44781.190000000017</v>
      </c>
    </row>
    <row r="1031" spans="2:9">
      <c r="B1031" s="729">
        <v>45777</v>
      </c>
      <c r="C1031" s="497" t="s">
        <v>1143</v>
      </c>
      <c r="D1031" s="498" t="s">
        <v>394</v>
      </c>
      <c r="E1031" s="499"/>
      <c r="F1031" s="500">
        <v>26.7</v>
      </c>
      <c r="G1031" s="501" t="s">
        <v>274</v>
      </c>
      <c r="H1031" s="502"/>
      <c r="I1031" s="503">
        <f t="shared" si="15"/>
        <v>44754.49000000002</v>
      </c>
    </row>
    <row r="1032" spans="2:9">
      <c r="B1032" s="496">
        <v>45785</v>
      </c>
      <c r="C1032" s="497" t="s">
        <v>117</v>
      </c>
      <c r="D1032" s="498" t="s">
        <v>903</v>
      </c>
      <c r="E1032" s="499"/>
      <c r="F1032" s="500">
        <v>0.75</v>
      </c>
      <c r="G1032" s="501" t="s">
        <v>272</v>
      </c>
      <c r="H1032" s="502"/>
      <c r="I1032" s="503">
        <f t="shared" si="15"/>
        <v>44753.74000000002</v>
      </c>
    </row>
    <row r="1033" spans="2:9">
      <c r="B1033" s="496">
        <v>45785</v>
      </c>
      <c r="C1033" s="497">
        <v>743</v>
      </c>
      <c r="D1033" s="498" t="s">
        <v>1144</v>
      </c>
      <c r="E1033" s="499"/>
      <c r="F1033" s="500">
        <v>241</v>
      </c>
      <c r="G1033" s="501" t="s">
        <v>216</v>
      </c>
      <c r="H1033" s="502"/>
      <c r="I1033" s="503">
        <f t="shared" si="15"/>
        <v>44512.74000000002</v>
      </c>
    </row>
    <row r="1034" spans="2:9">
      <c r="B1034" s="496">
        <v>45785</v>
      </c>
      <c r="C1034" s="497">
        <v>743</v>
      </c>
      <c r="D1034" s="498" t="s">
        <v>1144</v>
      </c>
      <c r="E1034" s="499"/>
      <c r="F1034" s="500">
        <v>53.02</v>
      </c>
      <c r="G1034" s="501" t="s">
        <v>274</v>
      </c>
      <c r="H1034" s="502"/>
      <c r="I1034" s="503">
        <f t="shared" ref="I1034:I1097" si="16">I1033+E1034-F1034</f>
        <v>44459.720000000023</v>
      </c>
    </row>
    <row r="1035" spans="2:9">
      <c r="B1035" s="496">
        <v>45785</v>
      </c>
      <c r="C1035" s="497" t="s">
        <v>117</v>
      </c>
      <c r="D1035" s="498" t="s">
        <v>903</v>
      </c>
      <c r="E1035" s="499"/>
      <c r="F1035" s="500">
        <v>1</v>
      </c>
      <c r="G1035" s="501" t="s">
        <v>272</v>
      </c>
      <c r="H1035" s="502"/>
      <c r="I1035" s="503">
        <f t="shared" si="16"/>
        <v>44458.720000000023</v>
      </c>
    </row>
    <row r="1036" spans="2:9">
      <c r="B1036" s="496">
        <v>45785</v>
      </c>
      <c r="C1036" s="497">
        <v>235</v>
      </c>
      <c r="D1036" s="498" t="s">
        <v>1145</v>
      </c>
      <c r="E1036" s="499"/>
      <c r="F1036" s="500">
        <v>91</v>
      </c>
      <c r="G1036" s="501" t="s">
        <v>208</v>
      </c>
      <c r="H1036" s="502"/>
      <c r="I1036" s="503">
        <f t="shared" si="16"/>
        <v>44367.720000000023</v>
      </c>
    </row>
    <row r="1037" spans="2:9">
      <c r="B1037" s="496">
        <v>45785</v>
      </c>
      <c r="C1037" s="497">
        <v>235</v>
      </c>
      <c r="D1037" s="498" t="s">
        <v>1145</v>
      </c>
      <c r="E1037" s="499"/>
      <c r="F1037" s="500">
        <v>20.02</v>
      </c>
      <c r="G1037" s="501" t="s">
        <v>274</v>
      </c>
      <c r="H1037" s="502"/>
      <c r="I1037" s="503">
        <f t="shared" si="16"/>
        <v>44347.700000000026</v>
      </c>
    </row>
    <row r="1038" spans="2:9">
      <c r="B1038" s="496">
        <v>45785</v>
      </c>
      <c r="C1038" s="497" t="s">
        <v>117</v>
      </c>
      <c r="D1038" s="498" t="s">
        <v>903</v>
      </c>
      <c r="E1038" s="499"/>
      <c r="F1038" s="500">
        <v>1</v>
      </c>
      <c r="G1038" s="501" t="s">
        <v>272</v>
      </c>
      <c r="H1038" s="502"/>
      <c r="I1038" s="503">
        <f t="shared" si="16"/>
        <v>44346.700000000026</v>
      </c>
    </row>
    <row r="1039" spans="2:9">
      <c r="B1039" s="496">
        <v>45786</v>
      </c>
      <c r="C1039" s="507" t="s">
        <v>283</v>
      </c>
      <c r="D1039" s="505" t="s">
        <v>307</v>
      </c>
      <c r="E1039" s="499">
        <v>430.6</v>
      </c>
      <c r="F1039" s="500"/>
      <c r="G1039" s="501" t="s">
        <v>190</v>
      </c>
      <c r="H1039" s="502"/>
      <c r="I1039" s="503">
        <f t="shared" si="16"/>
        <v>44777.300000000025</v>
      </c>
    </row>
    <row r="1040" spans="2:9">
      <c r="B1040" s="496">
        <v>45786</v>
      </c>
      <c r="C1040" s="507" t="s">
        <v>283</v>
      </c>
      <c r="D1040" s="505" t="s">
        <v>307</v>
      </c>
      <c r="E1040" s="499">
        <v>95.1</v>
      </c>
      <c r="F1040" s="500"/>
      <c r="G1040" s="501" t="s">
        <v>190</v>
      </c>
      <c r="H1040" s="502"/>
      <c r="I1040" s="503">
        <f t="shared" si="16"/>
        <v>44872.400000000023</v>
      </c>
    </row>
    <row r="1041" spans="2:10">
      <c r="B1041" s="496">
        <v>45789</v>
      </c>
      <c r="C1041" s="497" t="s">
        <v>1146</v>
      </c>
      <c r="D1041" s="498" t="s">
        <v>412</v>
      </c>
      <c r="E1041" s="499"/>
      <c r="F1041" s="500">
        <v>73.78</v>
      </c>
      <c r="G1041" s="501" t="s">
        <v>225</v>
      </c>
      <c r="H1041" s="502"/>
      <c r="I1041" s="503">
        <f t="shared" si="16"/>
        <v>44798.620000000024</v>
      </c>
    </row>
    <row r="1042" spans="2:10">
      <c r="B1042" s="496">
        <v>45789</v>
      </c>
      <c r="C1042" s="507" t="s">
        <v>1146</v>
      </c>
      <c r="D1042" s="505" t="s">
        <v>412</v>
      </c>
      <c r="E1042" s="499"/>
      <c r="F1042" s="500">
        <v>16.23</v>
      </c>
      <c r="G1042" s="501" t="s">
        <v>274</v>
      </c>
      <c r="H1042" s="502"/>
      <c r="I1042" s="503">
        <f t="shared" si="16"/>
        <v>44782.390000000021</v>
      </c>
    </row>
    <row r="1043" spans="2:10">
      <c r="B1043" s="496">
        <v>45789</v>
      </c>
      <c r="C1043" s="497" t="s">
        <v>117</v>
      </c>
      <c r="D1043" s="498" t="s">
        <v>921</v>
      </c>
      <c r="E1043" s="499"/>
      <c r="F1043" s="500">
        <v>1.25</v>
      </c>
      <c r="G1043" s="501" t="s">
        <v>271</v>
      </c>
      <c r="H1043" s="502"/>
      <c r="I1043" s="503">
        <f t="shared" si="16"/>
        <v>44781.140000000021</v>
      </c>
    </row>
    <row r="1044" spans="2:10">
      <c r="B1044" s="496">
        <v>45789</v>
      </c>
      <c r="C1044" s="507" t="s">
        <v>283</v>
      </c>
      <c r="D1044" s="505" t="s">
        <v>307</v>
      </c>
      <c r="E1044" s="499">
        <v>175.1</v>
      </c>
      <c r="F1044" s="500"/>
      <c r="G1044" s="501" t="s">
        <v>190</v>
      </c>
      <c r="H1044" s="502"/>
      <c r="I1044" s="503">
        <f t="shared" si="16"/>
        <v>44956.24000000002</v>
      </c>
    </row>
    <row r="1045" spans="2:10">
      <c r="B1045" s="496">
        <v>45789</v>
      </c>
      <c r="C1045" s="507" t="s">
        <v>283</v>
      </c>
      <c r="D1045" s="505" t="s">
        <v>307</v>
      </c>
      <c r="E1045" s="499">
        <v>355.9</v>
      </c>
      <c r="F1045" s="500"/>
      <c r="G1045" s="501" t="s">
        <v>190</v>
      </c>
      <c r="H1045" s="502"/>
      <c r="I1045" s="503">
        <f t="shared" si="16"/>
        <v>45312.140000000021</v>
      </c>
    </row>
    <row r="1046" spans="2:10">
      <c r="B1046" s="496">
        <v>45789</v>
      </c>
      <c r="C1046" s="507" t="s">
        <v>283</v>
      </c>
      <c r="D1046" s="505" t="s">
        <v>307</v>
      </c>
      <c r="E1046" s="499">
        <v>461.5</v>
      </c>
      <c r="F1046" s="500"/>
      <c r="G1046" s="501" t="s">
        <v>190</v>
      </c>
      <c r="H1046" s="502"/>
      <c r="I1046" s="503">
        <f t="shared" si="16"/>
        <v>45773.640000000021</v>
      </c>
    </row>
    <row r="1047" spans="2:10">
      <c r="B1047" s="496">
        <v>45789</v>
      </c>
      <c r="C1047" s="507" t="s">
        <v>283</v>
      </c>
      <c r="D1047" s="505" t="s">
        <v>307</v>
      </c>
      <c r="E1047" s="499">
        <v>953.4</v>
      </c>
      <c r="F1047" s="500"/>
      <c r="G1047" s="501" t="s">
        <v>190</v>
      </c>
      <c r="H1047" s="502"/>
      <c r="I1047" s="503">
        <f t="shared" si="16"/>
        <v>46727.040000000023</v>
      </c>
    </row>
    <row r="1048" spans="2:10">
      <c r="B1048" s="496">
        <v>45789</v>
      </c>
      <c r="C1048" s="507" t="s">
        <v>283</v>
      </c>
      <c r="D1048" s="505" t="s">
        <v>307</v>
      </c>
      <c r="E1048" s="499">
        <v>1748.2</v>
      </c>
      <c r="F1048" s="500"/>
      <c r="G1048" s="501" t="s">
        <v>190</v>
      </c>
      <c r="H1048" s="502"/>
      <c r="I1048" s="503">
        <f t="shared" si="16"/>
        <v>48475.24000000002</v>
      </c>
    </row>
    <row r="1049" spans="2:10">
      <c r="B1049" s="496">
        <v>45789</v>
      </c>
      <c r="C1049" s="507" t="s">
        <v>283</v>
      </c>
      <c r="D1049" s="505" t="s">
        <v>307</v>
      </c>
      <c r="E1049" s="499">
        <v>2288.3000000000002</v>
      </c>
      <c r="F1049" s="500"/>
      <c r="G1049" s="501" t="s">
        <v>190</v>
      </c>
      <c r="H1049" s="502"/>
      <c r="I1049" s="503">
        <f t="shared" si="16"/>
        <v>50763.540000000023</v>
      </c>
    </row>
    <row r="1050" spans="2:10">
      <c r="B1050" s="496">
        <v>45789</v>
      </c>
      <c r="C1050" s="507" t="s">
        <v>283</v>
      </c>
      <c r="D1050" s="505" t="s">
        <v>912</v>
      </c>
      <c r="E1050" s="499">
        <f>1076+1631</f>
        <v>2707</v>
      </c>
      <c r="F1050" s="500"/>
      <c r="G1050" s="501" t="s">
        <v>197</v>
      </c>
      <c r="H1050" s="596" t="s">
        <v>824</v>
      </c>
      <c r="I1050" s="503">
        <f t="shared" si="16"/>
        <v>53470.540000000023</v>
      </c>
    </row>
    <row r="1051" spans="2:10">
      <c r="B1051" s="496">
        <v>45789</v>
      </c>
      <c r="C1051" s="507" t="s">
        <v>117</v>
      </c>
      <c r="D1051" s="505" t="s">
        <v>918</v>
      </c>
      <c r="E1051" s="499"/>
      <c r="F1051" s="500">
        <v>27.07</v>
      </c>
      <c r="G1051" s="501" t="s">
        <v>270</v>
      </c>
      <c r="H1051" s="596" t="s">
        <v>824</v>
      </c>
      <c r="I1051" s="503">
        <f t="shared" si="16"/>
        <v>53443.470000000023</v>
      </c>
    </row>
    <row r="1052" spans="2:10">
      <c r="B1052" s="496">
        <v>45789</v>
      </c>
      <c r="C1052" s="507" t="s">
        <v>283</v>
      </c>
      <c r="D1052" s="505" t="s">
        <v>912</v>
      </c>
      <c r="E1052" s="499">
        <v>4567</v>
      </c>
      <c r="F1052" s="500"/>
      <c r="G1052" s="501" t="s">
        <v>197</v>
      </c>
      <c r="H1052" s="607" t="s">
        <v>742</v>
      </c>
      <c r="I1052" s="503">
        <f t="shared" si="16"/>
        <v>58010.470000000023</v>
      </c>
    </row>
    <row r="1053" spans="2:10">
      <c r="B1053" s="496">
        <v>45789</v>
      </c>
      <c r="C1053" s="507" t="s">
        <v>117</v>
      </c>
      <c r="D1053" s="505" t="s">
        <v>918</v>
      </c>
      <c r="E1053" s="499"/>
      <c r="F1053" s="500">
        <v>45.67</v>
      </c>
      <c r="G1053" s="501" t="s">
        <v>270</v>
      </c>
      <c r="H1053" s="502"/>
      <c r="I1053" s="503">
        <f t="shared" si="16"/>
        <v>57964.800000000025</v>
      </c>
      <c r="J1053" s="534"/>
    </row>
    <row r="1054" spans="2:10">
      <c r="B1054" s="496">
        <v>45789</v>
      </c>
      <c r="C1054" s="507" t="s">
        <v>283</v>
      </c>
      <c r="D1054" s="505" t="s">
        <v>909</v>
      </c>
      <c r="E1054" s="499">
        <v>400</v>
      </c>
      <c r="F1054" s="500"/>
      <c r="G1054" s="501" t="s">
        <v>190</v>
      </c>
      <c r="H1054" s="502"/>
      <c r="I1054" s="503">
        <f t="shared" si="16"/>
        <v>58364.800000000025</v>
      </c>
    </row>
    <row r="1055" spans="2:10">
      <c r="B1055" s="496">
        <v>45789</v>
      </c>
      <c r="C1055" s="507" t="s">
        <v>117</v>
      </c>
      <c r="D1055" s="505" t="s">
        <v>911</v>
      </c>
      <c r="E1055" s="499"/>
      <c r="F1055" s="500">
        <v>3.8</v>
      </c>
      <c r="G1055" s="501" t="s">
        <v>269</v>
      </c>
      <c r="H1055" s="502"/>
      <c r="I1055" s="503">
        <f t="shared" si="16"/>
        <v>58361.000000000022</v>
      </c>
    </row>
    <row r="1056" spans="2:10">
      <c r="B1056" s="496">
        <v>45790</v>
      </c>
      <c r="C1056" s="507" t="s">
        <v>283</v>
      </c>
      <c r="D1056" s="505" t="s">
        <v>307</v>
      </c>
      <c r="E1056" s="499">
        <v>754.5</v>
      </c>
      <c r="F1056" s="500"/>
      <c r="G1056" s="501" t="s">
        <v>190</v>
      </c>
      <c r="H1056" s="502"/>
      <c r="I1056" s="503">
        <f t="shared" si="16"/>
        <v>59115.500000000022</v>
      </c>
    </row>
    <row r="1057" spans="2:9">
      <c r="B1057" s="496">
        <v>45790</v>
      </c>
      <c r="C1057" s="507" t="s">
        <v>283</v>
      </c>
      <c r="D1057" s="505" t="s">
        <v>307</v>
      </c>
      <c r="E1057" s="499">
        <v>60</v>
      </c>
      <c r="F1057" s="500"/>
      <c r="G1057" s="501" t="s">
        <v>190</v>
      </c>
      <c r="H1057" s="502"/>
      <c r="I1057" s="503">
        <f t="shared" si="16"/>
        <v>59175.500000000022</v>
      </c>
    </row>
    <row r="1058" spans="2:9">
      <c r="B1058" s="528">
        <v>45777</v>
      </c>
      <c r="C1058" s="507" t="s">
        <v>513</v>
      </c>
      <c r="D1058" s="505" t="s">
        <v>25</v>
      </c>
      <c r="E1058" s="499"/>
      <c r="F1058" s="500">
        <v>1183</v>
      </c>
      <c r="G1058" s="501" t="s">
        <v>246</v>
      </c>
      <c r="H1058" s="525" t="s">
        <v>753</v>
      </c>
      <c r="I1058" s="503">
        <f t="shared" si="16"/>
        <v>57992.500000000022</v>
      </c>
    </row>
    <row r="1059" spans="2:9">
      <c r="B1059" s="528">
        <v>45777</v>
      </c>
      <c r="C1059" s="507" t="s">
        <v>286</v>
      </c>
      <c r="D1059" s="505" t="s">
        <v>520</v>
      </c>
      <c r="E1059" s="499"/>
      <c r="F1059" s="500">
        <v>1873</v>
      </c>
      <c r="G1059" s="501" t="s">
        <v>139</v>
      </c>
      <c r="H1059" s="525" t="s">
        <v>753</v>
      </c>
      <c r="I1059" s="503">
        <f t="shared" si="16"/>
        <v>56119.500000000022</v>
      </c>
    </row>
    <row r="1060" spans="2:9">
      <c r="B1060" s="528">
        <v>45777</v>
      </c>
      <c r="C1060" s="507" t="s">
        <v>513</v>
      </c>
      <c r="D1060" s="505" t="s">
        <v>29</v>
      </c>
      <c r="E1060" s="499"/>
      <c r="F1060" s="500">
        <v>1306</v>
      </c>
      <c r="G1060" s="501" t="s">
        <v>243</v>
      </c>
      <c r="H1060" s="525" t="s">
        <v>753</v>
      </c>
      <c r="I1060" s="503">
        <f t="shared" si="16"/>
        <v>54813.500000000022</v>
      </c>
    </row>
    <row r="1061" spans="2:9">
      <c r="B1061" s="528">
        <v>45777</v>
      </c>
      <c r="C1061" s="507" t="s">
        <v>513</v>
      </c>
      <c r="D1061" s="505" t="s">
        <v>28</v>
      </c>
      <c r="E1061" s="499"/>
      <c r="F1061" s="500">
        <v>1423</v>
      </c>
      <c r="G1061" s="501" t="s">
        <v>243</v>
      </c>
      <c r="H1061" s="525" t="s">
        <v>753</v>
      </c>
      <c r="I1061" s="503">
        <f t="shared" si="16"/>
        <v>53390.500000000022</v>
      </c>
    </row>
    <row r="1062" spans="2:9">
      <c r="B1062" s="528">
        <v>45777</v>
      </c>
      <c r="C1062" s="507" t="s">
        <v>513</v>
      </c>
      <c r="D1062" s="498" t="s">
        <v>559</v>
      </c>
      <c r="E1062" s="499"/>
      <c r="F1062" s="500">
        <v>841</v>
      </c>
      <c r="G1062" s="501" t="s">
        <v>243</v>
      </c>
      <c r="H1062" s="525" t="s">
        <v>753</v>
      </c>
      <c r="I1062" s="503">
        <f t="shared" si="16"/>
        <v>52549.500000000022</v>
      </c>
    </row>
    <row r="1063" spans="2:9">
      <c r="B1063" s="528">
        <v>45777</v>
      </c>
      <c r="C1063" s="507" t="s">
        <v>513</v>
      </c>
      <c r="D1063" s="505" t="s">
        <v>557</v>
      </c>
      <c r="E1063" s="499"/>
      <c r="F1063" s="500">
        <v>1081</v>
      </c>
      <c r="G1063" s="501" t="s">
        <v>246</v>
      </c>
      <c r="H1063" s="525" t="s">
        <v>753</v>
      </c>
      <c r="I1063" s="503">
        <f t="shared" si="16"/>
        <v>51468.500000000022</v>
      </c>
    </row>
    <row r="1064" spans="2:9">
      <c r="B1064" s="528">
        <v>45777</v>
      </c>
      <c r="C1064" s="507" t="s">
        <v>513</v>
      </c>
      <c r="D1064" s="505" t="s">
        <v>558</v>
      </c>
      <c r="E1064" s="499"/>
      <c r="F1064" s="500">
        <v>425</v>
      </c>
      <c r="G1064" s="501" t="s">
        <v>245</v>
      </c>
      <c r="H1064" s="525" t="s">
        <v>753</v>
      </c>
      <c r="I1064" s="503">
        <f t="shared" si="16"/>
        <v>51043.500000000022</v>
      </c>
    </row>
    <row r="1065" spans="2:9">
      <c r="B1065" s="528">
        <v>45777</v>
      </c>
      <c r="C1065" s="497" t="s">
        <v>513</v>
      </c>
      <c r="D1065" s="498" t="s">
        <v>26</v>
      </c>
      <c r="E1065" s="499"/>
      <c r="F1065" s="500">
        <v>913</v>
      </c>
      <c r="G1065" s="501" t="s">
        <v>246</v>
      </c>
      <c r="H1065" s="525" t="s">
        <v>753</v>
      </c>
      <c r="I1065" s="503">
        <f t="shared" si="16"/>
        <v>50130.500000000022</v>
      </c>
    </row>
    <row r="1066" spans="2:9">
      <c r="B1066" s="528">
        <v>45777</v>
      </c>
      <c r="C1066" s="513" t="s">
        <v>117</v>
      </c>
      <c r="D1066" s="514" t="s">
        <v>903</v>
      </c>
      <c r="E1066" s="515"/>
      <c r="F1066" s="516">
        <v>4.8</v>
      </c>
      <c r="G1066" s="501" t="s">
        <v>272</v>
      </c>
      <c r="H1066" s="502"/>
      <c r="I1066" s="503">
        <f t="shared" si="16"/>
        <v>50125.700000000019</v>
      </c>
    </row>
    <row r="1067" spans="2:9">
      <c r="B1067" s="496">
        <v>45790</v>
      </c>
      <c r="C1067" s="507" t="s">
        <v>1147</v>
      </c>
      <c r="D1067" s="505" t="s">
        <v>318</v>
      </c>
      <c r="E1067" s="499"/>
      <c r="F1067" s="500">
        <v>1017.7</v>
      </c>
      <c r="G1067" s="501" t="s">
        <v>197</v>
      </c>
      <c r="H1067" s="508" t="s">
        <v>554</v>
      </c>
      <c r="I1067" s="503">
        <f t="shared" si="16"/>
        <v>49108.000000000022</v>
      </c>
    </row>
    <row r="1068" spans="2:9">
      <c r="B1068" s="496">
        <v>45790</v>
      </c>
      <c r="C1068" s="497" t="s">
        <v>1147</v>
      </c>
      <c r="D1068" s="498" t="s">
        <v>318</v>
      </c>
      <c r="E1068" s="499"/>
      <c r="F1068" s="500">
        <v>223.89</v>
      </c>
      <c r="G1068" s="501" t="s">
        <v>197</v>
      </c>
      <c r="H1068" s="508" t="s">
        <v>554</v>
      </c>
      <c r="I1068" s="503">
        <f t="shared" si="16"/>
        <v>48884.110000000022</v>
      </c>
    </row>
    <row r="1069" spans="2:9">
      <c r="B1069" s="496">
        <v>45790</v>
      </c>
      <c r="C1069" s="507" t="s">
        <v>1148</v>
      </c>
      <c r="D1069" s="505" t="s">
        <v>318</v>
      </c>
      <c r="E1069" s="499">
        <v>791.34</v>
      </c>
      <c r="F1069" s="500"/>
      <c r="G1069" s="501"/>
      <c r="H1069" s="508" t="s">
        <v>554</v>
      </c>
      <c r="I1069" s="503">
        <f t="shared" si="16"/>
        <v>49675.450000000019</v>
      </c>
    </row>
    <row r="1070" spans="2:9">
      <c r="B1070" s="496">
        <v>45790</v>
      </c>
      <c r="C1070" s="497" t="s">
        <v>1148</v>
      </c>
      <c r="D1070" s="498" t="s">
        <v>318</v>
      </c>
      <c r="E1070" s="499">
        <v>174.09</v>
      </c>
      <c r="F1070" s="500"/>
      <c r="G1070" s="501"/>
      <c r="H1070" s="508" t="s">
        <v>554</v>
      </c>
      <c r="I1070" s="503">
        <f t="shared" si="16"/>
        <v>49849.540000000015</v>
      </c>
    </row>
    <row r="1071" spans="2:9">
      <c r="B1071" s="496">
        <v>45790</v>
      </c>
      <c r="C1071" s="497" t="s">
        <v>1149</v>
      </c>
      <c r="D1071" s="498" t="s">
        <v>318</v>
      </c>
      <c r="E1071" s="499"/>
      <c r="F1071" s="500">
        <v>1567.07</v>
      </c>
      <c r="G1071" s="501" t="s">
        <v>197</v>
      </c>
      <c r="H1071" s="508" t="s">
        <v>554</v>
      </c>
      <c r="I1071" s="503">
        <f t="shared" si="16"/>
        <v>48282.470000000016</v>
      </c>
    </row>
    <row r="1072" spans="2:9">
      <c r="B1072" s="496">
        <v>45790</v>
      </c>
      <c r="C1072" s="497" t="s">
        <v>1149</v>
      </c>
      <c r="D1072" s="498" t="s">
        <v>318</v>
      </c>
      <c r="E1072" s="499"/>
      <c r="F1072" s="500">
        <v>344.76</v>
      </c>
      <c r="G1072" s="501" t="s">
        <v>197</v>
      </c>
      <c r="H1072" s="508" t="s">
        <v>554</v>
      </c>
      <c r="I1072" s="503">
        <f t="shared" si="16"/>
        <v>47937.710000000014</v>
      </c>
    </row>
    <row r="1073" spans="2:9">
      <c r="B1073" s="496">
        <v>45790</v>
      </c>
      <c r="C1073" s="513" t="s">
        <v>117</v>
      </c>
      <c r="D1073" s="514" t="s">
        <v>903</v>
      </c>
      <c r="E1073" s="515"/>
      <c r="F1073" s="516">
        <v>1</v>
      </c>
      <c r="G1073" s="501" t="s">
        <v>272</v>
      </c>
      <c r="H1073" s="502"/>
      <c r="I1073" s="503">
        <f t="shared" si="16"/>
        <v>47936.710000000014</v>
      </c>
    </row>
    <row r="1074" spans="2:9">
      <c r="B1074" s="729">
        <v>45790</v>
      </c>
      <c r="C1074" s="497" t="s">
        <v>333</v>
      </c>
      <c r="D1074" s="498" t="s">
        <v>334</v>
      </c>
      <c r="E1074" s="499"/>
      <c r="F1074" s="500">
        <f>5100/6</f>
        <v>850</v>
      </c>
      <c r="G1074" s="501" t="s">
        <v>196</v>
      </c>
      <c r="H1074" s="502"/>
      <c r="I1074" s="503">
        <f t="shared" si="16"/>
        <v>47086.710000000014</v>
      </c>
    </row>
    <row r="1075" spans="2:9">
      <c r="B1075" s="729">
        <v>45821</v>
      </c>
      <c r="C1075" s="497" t="s">
        <v>333</v>
      </c>
      <c r="D1075" s="498" t="s">
        <v>334</v>
      </c>
      <c r="E1075" s="499"/>
      <c r="F1075" s="500">
        <v>850</v>
      </c>
      <c r="G1075" s="501" t="s">
        <v>196</v>
      </c>
      <c r="H1075" s="502"/>
      <c r="I1075" s="503">
        <f t="shared" si="16"/>
        <v>46236.710000000014</v>
      </c>
    </row>
    <row r="1076" spans="2:9">
      <c r="B1076" s="729">
        <v>45851</v>
      </c>
      <c r="C1076" s="497" t="s">
        <v>333</v>
      </c>
      <c r="D1076" s="498" t="s">
        <v>334</v>
      </c>
      <c r="E1076" s="499"/>
      <c r="F1076" s="500">
        <v>850</v>
      </c>
      <c r="G1076" s="501" t="s">
        <v>196</v>
      </c>
      <c r="H1076" s="502"/>
      <c r="I1076" s="503">
        <f t="shared" si="16"/>
        <v>45386.710000000014</v>
      </c>
    </row>
    <row r="1077" spans="2:9">
      <c r="B1077" s="729">
        <v>45882</v>
      </c>
      <c r="C1077" s="497" t="s">
        <v>333</v>
      </c>
      <c r="D1077" s="498" t="s">
        <v>334</v>
      </c>
      <c r="E1077" s="499"/>
      <c r="F1077" s="500">
        <v>850</v>
      </c>
      <c r="G1077" s="501" t="s">
        <v>196</v>
      </c>
      <c r="H1077" s="502"/>
      <c r="I1077" s="503">
        <f t="shared" si="16"/>
        <v>44536.710000000014</v>
      </c>
    </row>
    <row r="1078" spans="2:9">
      <c r="B1078" s="729">
        <v>45913</v>
      </c>
      <c r="C1078" s="497" t="s">
        <v>333</v>
      </c>
      <c r="D1078" s="498" t="s">
        <v>334</v>
      </c>
      <c r="E1078" s="499"/>
      <c r="F1078" s="500">
        <v>850</v>
      </c>
      <c r="G1078" s="501" t="s">
        <v>196</v>
      </c>
      <c r="H1078" s="502"/>
      <c r="I1078" s="503">
        <f t="shared" si="16"/>
        <v>43686.710000000014</v>
      </c>
    </row>
    <row r="1079" spans="2:9">
      <c r="B1079" s="729">
        <v>45943</v>
      </c>
      <c r="C1079" s="497" t="s">
        <v>333</v>
      </c>
      <c r="D1079" s="498" t="s">
        <v>334</v>
      </c>
      <c r="E1079" s="499"/>
      <c r="F1079" s="500">
        <v>850</v>
      </c>
      <c r="G1079" s="501" t="s">
        <v>196</v>
      </c>
      <c r="H1079" s="502"/>
      <c r="I1079" s="503">
        <f t="shared" si="16"/>
        <v>42836.710000000014</v>
      </c>
    </row>
    <row r="1080" spans="2:9">
      <c r="B1080" s="496">
        <v>45790</v>
      </c>
      <c r="C1080" s="497" t="s">
        <v>333</v>
      </c>
      <c r="D1080" s="498" t="s">
        <v>334</v>
      </c>
      <c r="E1080" s="499"/>
      <c r="F1080" s="500">
        <v>1122</v>
      </c>
      <c r="G1080" s="501" t="s">
        <v>274</v>
      </c>
      <c r="H1080" s="502"/>
      <c r="I1080" s="503">
        <f t="shared" si="16"/>
        <v>41714.710000000014</v>
      </c>
    </row>
    <row r="1081" spans="2:9">
      <c r="B1081" s="496">
        <v>45790</v>
      </c>
      <c r="C1081" s="513" t="s">
        <v>117</v>
      </c>
      <c r="D1081" s="514" t="s">
        <v>903</v>
      </c>
      <c r="E1081" s="515"/>
      <c r="F1081" s="516">
        <v>1</v>
      </c>
      <c r="G1081" s="501" t="s">
        <v>272</v>
      </c>
      <c r="H1081" s="502"/>
      <c r="I1081" s="503">
        <f t="shared" si="16"/>
        <v>41713.710000000014</v>
      </c>
    </row>
    <row r="1082" spans="2:9">
      <c r="B1082" s="496">
        <v>45791</v>
      </c>
      <c r="C1082" s="497" t="s">
        <v>1150</v>
      </c>
      <c r="D1082" s="498" t="s">
        <v>1151</v>
      </c>
      <c r="E1082" s="499"/>
      <c r="F1082" s="500">
        <v>54.85</v>
      </c>
      <c r="G1082" s="501" t="s">
        <v>208</v>
      </c>
      <c r="H1082" s="502"/>
      <c r="I1082" s="503">
        <f t="shared" si="16"/>
        <v>41658.860000000015</v>
      </c>
    </row>
    <row r="1083" spans="2:9">
      <c r="B1083" s="496">
        <v>45791</v>
      </c>
      <c r="C1083" s="497" t="s">
        <v>1150</v>
      </c>
      <c r="D1083" s="498" t="s">
        <v>1151</v>
      </c>
      <c r="E1083" s="499"/>
      <c r="F1083" s="500">
        <v>12.07</v>
      </c>
      <c r="G1083" s="501" t="s">
        <v>274</v>
      </c>
      <c r="H1083" s="502"/>
      <c r="I1083" s="503">
        <f t="shared" si="16"/>
        <v>41646.790000000015</v>
      </c>
    </row>
    <row r="1084" spans="2:9">
      <c r="B1084" s="496">
        <v>45791</v>
      </c>
      <c r="C1084" s="507" t="s">
        <v>283</v>
      </c>
      <c r="D1084" s="505" t="s">
        <v>307</v>
      </c>
      <c r="E1084" s="499">
        <v>397.4</v>
      </c>
      <c r="F1084" s="500"/>
      <c r="G1084" s="501" t="s">
        <v>190</v>
      </c>
      <c r="H1084" s="502"/>
      <c r="I1084" s="503">
        <f t="shared" si="16"/>
        <v>42044.190000000017</v>
      </c>
    </row>
    <row r="1085" spans="2:9">
      <c r="B1085" s="496">
        <v>45791</v>
      </c>
      <c r="C1085" s="507" t="s">
        <v>283</v>
      </c>
      <c r="D1085" s="505" t="s">
        <v>307</v>
      </c>
      <c r="E1085" s="499">
        <v>370</v>
      </c>
      <c r="F1085" s="500"/>
      <c r="G1085" s="501" t="s">
        <v>190</v>
      </c>
      <c r="H1085" s="502"/>
      <c r="I1085" s="503">
        <f t="shared" si="16"/>
        <v>42414.190000000017</v>
      </c>
    </row>
    <row r="1086" spans="2:9">
      <c r="B1086" s="496">
        <v>45791</v>
      </c>
      <c r="C1086" s="507" t="s">
        <v>286</v>
      </c>
      <c r="D1086" s="505" t="s">
        <v>520</v>
      </c>
      <c r="E1086" s="499"/>
      <c r="F1086" s="500">
        <v>9006</v>
      </c>
      <c r="G1086" s="501" t="s">
        <v>139</v>
      </c>
      <c r="H1086" s="502"/>
      <c r="I1086" s="503">
        <f t="shared" si="16"/>
        <v>33408.190000000017</v>
      </c>
    </row>
    <row r="1087" spans="2:9">
      <c r="B1087" s="496">
        <v>45791</v>
      </c>
      <c r="C1087" s="513" t="s">
        <v>117</v>
      </c>
      <c r="D1087" s="514" t="s">
        <v>903</v>
      </c>
      <c r="E1087" s="515"/>
      <c r="F1087" s="516">
        <v>0.75</v>
      </c>
      <c r="G1087" s="501" t="s">
        <v>272</v>
      </c>
      <c r="H1087" s="502"/>
      <c r="I1087" s="503">
        <f t="shared" si="16"/>
        <v>33407.440000000017</v>
      </c>
    </row>
    <row r="1088" spans="2:9">
      <c r="B1088" s="496">
        <v>45791</v>
      </c>
      <c r="C1088" s="497">
        <v>24</v>
      </c>
      <c r="D1088" s="498" t="s">
        <v>538</v>
      </c>
      <c r="E1088" s="499"/>
      <c r="F1088" s="500">
        <v>300</v>
      </c>
      <c r="G1088" s="501" t="s">
        <v>197</v>
      </c>
      <c r="H1088" s="607" t="s">
        <v>742</v>
      </c>
      <c r="I1088" s="503">
        <f t="shared" si="16"/>
        <v>33107.440000000017</v>
      </c>
    </row>
    <row r="1089" spans="2:9">
      <c r="B1089" s="496">
        <v>45791</v>
      </c>
      <c r="C1089" s="513" t="s">
        <v>117</v>
      </c>
      <c r="D1089" s="514" t="s">
        <v>903</v>
      </c>
      <c r="E1089" s="515"/>
      <c r="F1089" s="516">
        <v>1</v>
      </c>
      <c r="G1089" s="501" t="s">
        <v>272</v>
      </c>
      <c r="H1089" s="502"/>
      <c r="I1089" s="503">
        <f t="shared" si="16"/>
        <v>33106.440000000017</v>
      </c>
    </row>
    <row r="1090" spans="2:9">
      <c r="B1090" s="729">
        <v>45777</v>
      </c>
      <c r="C1090" s="776" t="s">
        <v>250</v>
      </c>
      <c r="D1090" s="773" t="s">
        <v>250</v>
      </c>
      <c r="E1090" s="499"/>
      <c r="F1090" s="500">
        <v>3233.35</v>
      </c>
      <c r="G1090" s="501" t="s">
        <v>250</v>
      </c>
      <c r="H1090" s="502"/>
      <c r="I1090" s="503">
        <f t="shared" si="16"/>
        <v>29873.090000000018</v>
      </c>
    </row>
    <row r="1091" spans="2:9">
      <c r="B1091" s="729">
        <v>45777</v>
      </c>
      <c r="C1091" s="776" t="s">
        <v>250</v>
      </c>
      <c r="D1091" s="773" t="s">
        <v>329</v>
      </c>
      <c r="E1091" s="499"/>
      <c r="F1091" s="500">
        <v>83.33</v>
      </c>
      <c r="G1091" s="501" t="s">
        <v>221</v>
      </c>
      <c r="H1091" s="502"/>
      <c r="I1091" s="503">
        <f t="shared" si="16"/>
        <v>29789.760000000017</v>
      </c>
    </row>
    <row r="1092" spans="2:9">
      <c r="B1092" s="729">
        <v>45777</v>
      </c>
      <c r="C1092" s="777" t="s">
        <v>250</v>
      </c>
      <c r="D1092" s="778" t="s">
        <v>1966</v>
      </c>
      <c r="E1092" s="499">
        <v>3316.68</v>
      </c>
      <c r="F1092" s="500"/>
      <c r="G1092" s="501"/>
      <c r="H1092" s="502"/>
      <c r="I1092" s="503">
        <f t="shared" si="16"/>
        <v>33106.440000000017</v>
      </c>
    </row>
    <row r="1093" spans="2:9">
      <c r="B1093" s="496">
        <v>45792</v>
      </c>
      <c r="C1093" s="507" t="s">
        <v>283</v>
      </c>
      <c r="D1093" s="505" t="s">
        <v>307</v>
      </c>
      <c r="E1093" s="499">
        <v>615</v>
      </c>
      <c r="F1093" s="500"/>
      <c r="G1093" s="501" t="s">
        <v>190</v>
      </c>
      <c r="H1093" s="502"/>
      <c r="I1093" s="503">
        <f t="shared" si="16"/>
        <v>33721.440000000017</v>
      </c>
    </row>
    <row r="1094" spans="2:9">
      <c r="B1094" s="496">
        <v>45792</v>
      </c>
      <c r="C1094" s="507" t="s">
        <v>283</v>
      </c>
      <c r="D1094" s="505" t="s">
        <v>307</v>
      </c>
      <c r="E1094" s="499">
        <v>195.5</v>
      </c>
      <c r="F1094" s="500"/>
      <c r="G1094" s="501" t="s">
        <v>190</v>
      </c>
      <c r="H1094" s="502"/>
      <c r="I1094" s="503">
        <f t="shared" si="16"/>
        <v>33916.940000000017</v>
      </c>
    </row>
    <row r="1095" spans="2:9">
      <c r="B1095" s="496">
        <v>45793</v>
      </c>
      <c r="C1095" s="507" t="s">
        <v>283</v>
      </c>
      <c r="D1095" s="505" t="s">
        <v>307</v>
      </c>
      <c r="E1095" s="499">
        <v>322.5</v>
      </c>
      <c r="F1095" s="500"/>
      <c r="G1095" s="501" t="s">
        <v>190</v>
      </c>
      <c r="H1095" s="502"/>
      <c r="I1095" s="503">
        <f t="shared" si="16"/>
        <v>34239.440000000017</v>
      </c>
    </row>
    <row r="1096" spans="2:9">
      <c r="B1096" s="496">
        <v>45793</v>
      </c>
      <c r="C1096" s="507" t="s">
        <v>283</v>
      </c>
      <c r="D1096" s="505" t="s">
        <v>307</v>
      </c>
      <c r="E1096" s="499">
        <v>116.4</v>
      </c>
      <c r="F1096" s="500"/>
      <c r="G1096" s="501" t="s">
        <v>190</v>
      </c>
      <c r="H1096" s="502"/>
      <c r="I1096" s="503">
        <f t="shared" si="16"/>
        <v>34355.840000000018</v>
      </c>
    </row>
    <row r="1097" spans="2:9">
      <c r="B1097" s="496">
        <v>45796</v>
      </c>
      <c r="C1097" s="507" t="s">
        <v>283</v>
      </c>
      <c r="D1097" s="505" t="s">
        <v>307</v>
      </c>
      <c r="E1097" s="499">
        <v>4191.0200000000004</v>
      </c>
      <c r="F1097" s="500"/>
      <c r="G1097" s="501"/>
      <c r="H1097" s="596" t="s">
        <v>824</v>
      </c>
      <c r="I1097" s="503">
        <f t="shared" si="16"/>
        <v>38546.860000000015</v>
      </c>
    </row>
    <row r="1098" spans="2:9">
      <c r="B1098" s="496">
        <v>45796</v>
      </c>
      <c r="C1098" s="507" t="s">
        <v>283</v>
      </c>
      <c r="D1098" s="505" t="s">
        <v>307</v>
      </c>
      <c r="E1098" s="499">
        <f>3760.41-877.11</f>
        <v>2883.2999999999997</v>
      </c>
      <c r="F1098" s="500"/>
      <c r="G1098" s="501" t="s">
        <v>190</v>
      </c>
      <c r="H1098" s="502"/>
      <c r="I1098" s="503">
        <f t="shared" ref="I1098:I1161" si="17">I1097+E1098-F1098</f>
        <v>41430.160000000018</v>
      </c>
    </row>
    <row r="1099" spans="2:9">
      <c r="B1099" s="496">
        <v>45796</v>
      </c>
      <c r="C1099" s="507" t="s">
        <v>283</v>
      </c>
      <c r="D1099" s="505" t="s">
        <v>307</v>
      </c>
      <c r="E1099" s="499">
        <v>380</v>
      </c>
      <c r="F1099" s="500"/>
      <c r="G1099" s="501" t="s">
        <v>190</v>
      </c>
      <c r="H1099" s="502"/>
      <c r="I1099" s="503">
        <f t="shared" si="17"/>
        <v>41810.160000000018</v>
      </c>
    </row>
    <row r="1100" spans="2:9">
      <c r="B1100" s="496">
        <v>45796</v>
      </c>
      <c r="C1100" s="507" t="s">
        <v>283</v>
      </c>
      <c r="D1100" s="505" t="s">
        <v>307</v>
      </c>
      <c r="E1100" s="499">
        <v>802</v>
      </c>
      <c r="F1100" s="500"/>
      <c r="G1100" s="501" t="s">
        <v>190</v>
      </c>
      <c r="H1100" s="502"/>
      <c r="I1100" s="503">
        <f t="shared" si="17"/>
        <v>42612.160000000018</v>
      </c>
    </row>
    <row r="1101" spans="2:9">
      <c r="B1101" s="496">
        <v>45796</v>
      </c>
      <c r="C1101" s="507" t="s">
        <v>283</v>
      </c>
      <c r="D1101" s="505" t="s">
        <v>307</v>
      </c>
      <c r="E1101" s="499">
        <v>54</v>
      </c>
      <c r="F1101" s="500"/>
      <c r="G1101" s="501" t="s">
        <v>190</v>
      </c>
      <c r="H1101" s="502"/>
      <c r="I1101" s="503">
        <f t="shared" si="17"/>
        <v>42666.160000000018</v>
      </c>
    </row>
    <row r="1102" spans="2:9">
      <c r="B1102" s="496">
        <v>45796</v>
      </c>
      <c r="C1102" s="507" t="s">
        <v>283</v>
      </c>
      <c r="D1102" s="505" t="s">
        <v>307</v>
      </c>
      <c r="E1102" s="499">
        <v>432</v>
      </c>
      <c r="F1102" s="500"/>
      <c r="G1102" s="501" t="s">
        <v>190</v>
      </c>
      <c r="H1102" s="502"/>
      <c r="I1102" s="503">
        <f t="shared" si="17"/>
        <v>43098.160000000018</v>
      </c>
    </row>
    <row r="1103" spans="2:9">
      <c r="B1103" s="528">
        <v>45747</v>
      </c>
      <c r="C1103" s="507" t="s">
        <v>1152</v>
      </c>
      <c r="D1103" s="505" t="s">
        <v>388</v>
      </c>
      <c r="E1103" s="499"/>
      <c r="F1103" s="500">
        <v>1479.87</v>
      </c>
      <c r="G1103" s="501" t="s">
        <v>224</v>
      </c>
      <c r="H1103" s="525" t="s">
        <v>753</v>
      </c>
      <c r="I1103" s="503">
        <f t="shared" si="17"/>
        <v>41618.290000000015</v>
      </c>
    </row>
    <row r="1104" spans="2:9">
      <c r="B1104" s="528">
        <v>45747</v>
      </c>
      <c r="C1104" s="507" t="s">
        <v>1152</v>
      </c>
      <c r="D1104" s="505" t="s">
        <v>388</v>
      </c>
      <c r="E1104" s="499"/>
      <c r="F1104" s="500">
        <v>325.57</v>
      </c>
      <c r="G1104" s="501" t="s">
        <v>274</v>
      </c>
      <c r="H1104" s="525" t="s">
        <v>753</v>
      </c>
      <c r="I1104" s="503">
        <f t="shared" si="17"/>
        <v>41292.720000000016</v>
      </c>
    </row>
    <row r="1105" spans="2:9">
      <c r="B1105" s="496">
        <v>45796</v>
      </c>
      <c r="C1105" s="497" t="s">
        <v>117</v>
      </c>
      <c r="D1105" s="498" t="s">
        <v>921</v>
      </c>
      <c r="E1105" s="499"/>
      <c r="F1105" s="500">
        <v>1.25</v>
      </c>
      <c r="G1105" s="501" t="s">
        <v>271</v>
      </c>
      <c r="H1105" s="502"/>
      <c r="I1105" s="503">
        <f t="shared" si="17"/>
        <v>41291.470000000016</v>
      </c>
    </row>
    <row r="1106" spans="2:9">
      <c r="B1106" s="496">
        <v>45796</v>
      </c>
      <c r="C1106" s="497" t="s">
        <v>1153</v>
      </c>
      <c r="D1106" s="498" t="s">
        <v>952</v>
      </c>
      <c r="E1106" s="499"/>
      <c r="F1106" s="500">
        <v>58.58</v>
      </c>
      <c r="G1106" s="501" t="s">
        <v>234</v>
      </c>
      <c r="H1106" s="502"/>
      <c r="I1106" s="503">
        <f t="shared" si="17"/>
        <v>41232.890000000014</v>
      </c>
    </row>
    <row r="1107" spans="2:9">
      <c r="B1107" s="496">
        <v>45796</v>
      </c>
      <c r="C1107" s="497" t="s">
        <v>1153</v>
      </c>
      <c r="D1107" s="498" t="s">
        <v>952</v>
      </c>
      <c r="E1107" s="499"/>
      <c r="F1107" s="500">
        <v>12.89</v>
      </c>
      <c r="G1107" s="501" t="s">
        <v>274</v>
      </c>
      <c r="H1107" s="502"/>
      <c r="I1107" s="503">
        <f t="shared" si="17"/>
        <v>41220.000000000015</v>
      </c>
    </row>
    <row r="1108" spans="2:9">
      <c r="B1108" s="496">
        <v>45796</v>
      </c>
      <c r="C1108" s="511" t="s">
        <v>1154</v>
      </c>
      <c r="D1108" s="505" t="s">
        <v>984</v>
      </c>
      <c r="E1108" s="499"/>
      <c r="F1108" s="500">
        <v>1847.1</v>
      </c>
      <c r="G1108" s="501" t="s">
        <v>137</v>
      </c>
      <c r="H1108" s="502"/>
      <c r="I1108" s="503">
        <f t="shared" si="17"/>
        <v>39372.900000000016</v>
      </c>
    </row>
    <row r="1109" spans="2:9">
      <c r="B1109" s="496">
        <v>45796</v>
      </c>
      <c r="C1109" s="497">
        <v>53</v>
      </c>
      <c r="D1109" s="498" t="s">
        <v>984</v>
      </c>
      <c r="E1109" s="499"/>
      <c r="F1109" s="500">
        <v>406.36</v>
      </c>
      <c r="G1109" s="501" t="s">
        <v>274</v>
      </c>
      <c r="H1109" s="502"/>
      <c r="I1109" s="503">
        <f t="shared" si="17"/>
        <v>38966.540000000015</v>
      </c>
    </row>
    <row r="1110" spans="2:9">
      <c r="B1110" s="496">
        <v>45796</v>
      </c>
      <c r="C1110" s="513" t="s">
        <v>117</v>
      </c>
      <c r="D1110" s="514" t="s">
        <v>903</v>
      </c>
      <c r="E1110" s="515"/>
      <c r="F1110" s="516">
        <v>1</v>
      </c>
      <c r="G1110" s="501" t="s">
        <v>272</v>
      </c>
      <c r="H1110" s="502"/>
      <c r="I1110" s="503">
        <f t="shared" si="17"/>
        <v>38965.540000000015</v>
      </c>
    </row>
    <row r="1111" spans="2:9">
      <c r="B1111" s="496">
        <v>45796</v>
      </c>
      <c r="C1111" s="510"/>
      <c r="D1111" s="498" t="s">
        <v>1155</v>
      </c>
      <c r="E1111" s="499"/>
      <c r="F1111" s="500">
        <v>3000</v>
      </c>
      <c r="G1111" s="501" t="s">
        <v>216</v>
      </c>
      <c r="H1111" s="502"/>
      <c r="I1111" s="503">
        <f t="shared" si="17"/>
        <v>35965.540000000015</v>
      </c>
    </row>
    <row r="1112" spans="2:9">
      <c r="B1112" s="496">
        <v>45796</v>
      </c>
      <c r="C1112" s="513" t="s">
        <v>117</v>
      </c>
      <c r="D1112" s="514" t="s">
        <v>903</v>
      </c>
      <c r="E1112" s="515"/>
      <c r="F1112" s="516">
        <v>1</v>
      </c>
      <c r="G1112" s="501" t="s">
        <v>272</v>
      </c>
      <c r="H1112" s="502"/>
      <c r="I1112" s="503">
        <f t="shared" si="17"/>
        <v>35964.540000000015</v>
      </c>
    </row>
    <row r="1113" spans="2:9">
      <c r="B1113" s="496">
        <v>45797</v>
      </c>
      <c r="C1113" s="507" t="s">
        <v>283</v>
      </c>
      <c r="D1113" s="505" t="s">
        <v>307</v>
      </c>
      <c r="E1113" s="499">
        <v>824</v>
      </c>
      <c r="F1113" s="500"/>
      <c r="G1113" s="501" t="s">
        <v>190</v>
      </c>
      <c r="H1113" s="502"/>
      <c r="I1113" s="503">
        <f t="shared" si="17"/>
        <v>36788.540000000015</v>
      </c>
    </row>
    <row r="1114" spans="2:9">
      <c r="B1114" s="729">
        <v>45746</v>
      </c>
      <c r="C1114" s="497">
        <v>1895</v>
      </c>
      <c r="D1114" s="498" t="s">
        <v>336</v>
      </c>
      <c r="E1114" s="499"/>
      <c r="F1114" s="500">
        <v>996</v>
      </c>
      <c r="G1114" s="501" t="s">
        <v>198</v>
      </c>
      <c r="H1114" s="502"/>
      <c r="I1114" s="503">
        <f t="shared" si="17"/>
        <v>35792.540000000015</v>
      </c>
    </row>
    <row r="1115" spans="2:9">
      <c r="B1115" s="729">
        <v>45746</v>
      </c>
      <c r="C1115" s="497">
        <v>1895</v>
      </c>
      <c r="D1115" s="498" t="s">
        <v>336</v>
      </c>
      <c r="E1115" s="499"/>
      <c r="F1115" s="500">
        <v>217.68</v>
      </c>
      <c r="G1115" s="501" t="s">
        <v>274</v>
      </c>
      <c r="H1115" s="502"/>
      <c r="I1115" s="503">
        <f t="shared" si="17"/>
        <v>35574.860000000015</v>
      </c>
    </row>
    <row r="1116" spans="2:9">
      <c r="B1116" s="729">
        <v>45777</v>
      </c>
      <c r="C1116" s="507" t="s">
        <v>1156</v>
      </c>
      <c r="D1116" s="505" t="s">
        <v>336</v>
      </c>
      <c r="E1116" s="499"/>
      <c r="F1116" s="500">
        <v>759.5</v>
      </c>
      <c r="G1116" s="501" t="s">
        <v>198</v>
      </c>
      <c r="H1116" s="502"/>
      <c r="I1116" s="503">
        <f t="shared" si="17"/>
        <v>34815.360000000015</v>
      </c>
    </row>
    <row r="1117" spans="2:9">
      <c r="B1117" s="729">
        <v>45777</v>
      </c>
      <c r="C1117" s="507" t="s">
        <v>1156</v>
      </c>
      <c r="D1117" s="505" t="s">
        <v>336</v>
      </c>
      <c r="E1117" s="499"/>
      <c r="F1117" s="500">
        <v>165.23</v>
      </c>
      <c r="G1117" s="501" t="s">
        <v>274</v>
      </c>
      <c r="H1117" s="502"/>
      <c r="I1117" s="503">
        <f t="shared" si="17"/>
        <v>34650.130000000012</v>
      </c>
    </row>
    <row r="1118" spans="2:9">
      <c r="B1118" s="496">
        <v>45797</v>
      </c>
      <c r="C1118" s="513" t="s">
        <v>117</v>
      </c>
      <c r="D1118" s="514" t="s">
        <v>903</v>
      </c>
      <c r="E1118" s="515"/>
      <c r="F1118" s="516">
        <v>1</v>
      </c>
      <c r="G1118" s="501" t="s">
        <v>272</v>
      </c>
      <c r="H1118" s="502"/>
      <c r="I1118" s="503">
        <f t="shared" si="17"/>
        <v>34649.130000000012</v>
      </c>
    </row>
    <row r="1119" spans="2:9">
      <c r="B1119" s="496">
        <v>45798</v>
      </c>
      <c r="C1119" s="507" t="s">
        <v>117</v>
      </c>
      <c r="D1119" s="505" t="s">
        <v>492</v>
      </c>
      <c r="E1119" s="499">
        <v>2845.9</v>
      </c>
      <c r="F1119" s="500"/>
      <c r="G1119" s="501" t="s">
        <v>190</v>
      </c>
      <c r="H1119" s="502" t="s">
        <v>1157</v>
      </c>
      <c r="I1119" s="503">
        <f t="shared" si="17"/>
        <v>37495.030000000013</v>
      </c>
    </row>
    <row r="1120" spans="2:9">
      <c r="B1120" s="496">
        <v>45798</v>
      </c>
      <c r="C1120" s="507" t="s">
        <v>283</v>
      </c>
      <c r="D1120" s="505" t="s">
        <v>307</v>
      </c>
      <c r="E1120" s="499">
        <v>236.7</v>
      </c>
      <c r="F1120" s="500"/>
      <c r="G1120" s="501" t="s">
        <v>190</v>
      </c>
      <c r="H1120" s="502"/>
      <c r="I1120" s="503">
        <f t="shared" si="17"/>
        <v>37731.73000000001</v>
      </c>
    </row>
    <row r="1121" spans="2:9">
      <c r="B1121" s="496">
        <v>45799</v>
      </c>
      <c r="C1121" s="507" t="s">
        <v>283</v>
      </c>
      <c r="D1121" s="505" t="s">
        <v>307</v>
      </c>
      <c r="E1121" s="499">
        <v>777.4</v>
      </c>
      <c r="F1121" s="500"/>
      <c r="G1121" s="501" t="s">
        <v>190</v>
      </c>
      <c r="H1121" s="502"/>
      <c r="I1121" s="503">
        <f t="shared" si="17"/>
        <v>38509.130000000012</v>
      </c>
    </row>
    <row r="1122" spans="2:9">
      <c r="B1122" s="496">
        <v>45800</v>
      </c>
      <c r="C1122" s="507" t="s">
        <v>283</v>
      </c>
      <c r="D1122" s="505" t="s">
        <v>307</v>
      </c>
      <c r="E1122" s="499">
        <v>372.4</v>
      </c>
      <c r="F1122" s="500"/>
      <c r="G1122" s="501" t="s">
        <v>190</v>
      </c>
      <c r="H1122" s="502"/>
      <c r="I1122" s="503">
        <f t="shared" si="17"/>
        <v>38881.530000000013</v>
      </c>
    </row>
    <row r="1123" spans="2:9">
      <c r="B1123" s="496">
        <v>45803</v>
      </c>
      <c r="C1123" s="507" t="s">
        <v>117</v>
      </c>
      <c r="D1123" s="505" t="s">
        <v>1158</v>
      </c>
      <c r="E1123" s="499"/>
      <c r="F1123" s="500">
        <v>107.32</v>
      </c>
      <c r="G1123" s="501" t="s">
        <v>257</v>
      </c>
      <c r="H1123" s="502" t="s">
        <v>1159</v>
      </c>
      <c r="I1123" s="503">
        <f t="shared" si="17"/>
        <v>38774.210000000014</v>
      </c>
    </row>
    <row r="1124" spans="2:9">
      <c r="B1124" s="496">
        <v>45803</v>
      </c>
      <c r="C1124" s="507" t="s">
        <v>1160</v>
      </c>
      <c r="D1124" s="505" t="s">
        <v>1161</v>
      </c>
      <c r="E1124" s="499"/>
      <c r="F1124" s="500">
        <v>307.2</v>
      </c>
      <c r="G1124" s="501" t="s">
        <v>208</v>
      </c>
      <c r="H1124" s="502" t="s">
        <v>1159</v>
      </c>
      <c r="I1124" s="503">
        <f t="shared" si="17"/>
        <v>38467.010000000017</v>
      </c>
    </row>
    <row r="1125" spans="2:9">
      <c r="B1125" s="496">
        <v>45803</v>
      </c>
      <c r="C1125" s="507" t="s">
        <v>1162</v>
      </c>
      <c r="D1125" s="505" t="s">
        <v>1161</v>
      </c>
      <c r="E1125" s="499"/>
      <c r="F1125" s="500">
        <v>67.58</v>
      </c>
      <c r="G1125" s="501" t="s">
        <v>274</v>
      </c>
      <c r="H1125" s="502" t="s">
        <v>1159</v>
      </c>
      <c r="I1125" s="503">
        <f t="shared" si="17"/>
        <v>38399.430000000015</v>
      </c>
    </row>
    <row r="1126" spans="2:9">
      <c r="B1126" s="496">
        <v>45803</v>
      </c>
      <c r="C1126" s="507" t="s">
        <v>117</v>
      </c>
      <c r="D1126" s="505" t="s">
        <v>1163</v>
      </c>
      <c r="E1126" s="499"/>
      <c r="F1126" s="500">
        <v>501.36</v>
      </c>
      <c r="G1126" s="531" t="s">
        <v>197</v>
      </c>
      <c r="H1126" s="502" t="s">
        <v>1159</v>
      </c>
      <c r="I1126" s="503">
        <f t="shared" si="17"/>
        <v>37898.070000000014</v>
      </c>
    </row>
    <row r="1127" spans="2:9">
      <c r="B1127" s="496">
        <v>45803</v>
      </c>
      <c r="C1127" s="507" t="s">
        <v>117</v>
      </c>
      <c r="D1127" s="505" t="s">
        <v>1163</v>
      </c>
      <c r="E1127" s="499"/>
      <c r="F1127" s="500">
        <v>1001.4</v>
      </c>
      <c r="G1127" s="531" t="s">
        <v>197</v>
      </c>
      <c r="H1127" s="502" t="s">
        <v>1159</v>
      </c>
      <c r="I1127" s="503">
        <f t="shared" si="17"/>
        <v>36896.670000000013</v>
      </c>
    </row>
    <row r="1128" spans="2:9">
      <c r="B1128" s="496">
        <v>45803</v>
      </c>
      <c r="C1128" s="497" t="s">
        <v>117</v>
      </c>
      <c r="D1128" s="498" t="s">
        <v>1140</v>
      </c>
      <c r="E1128" s="499"/>
      <c r="F1128" s="500">
        <v>43.29</v>
      </c>
      <c r="G1128" s="531" t="s">
        <v>265</v>
      </c>
      <c r="H1128" s="508" t="s">
        <v>1164</v>
      </c>
      <c r="I1128" s="503">
        <f t="shared" si="17"/>
        <v>36853.380000000012</v>
      </c>
    </row>
    <row r="1129" spans="2:9">
      <c r="B1129" s="496">
        <v>45803</v>
      </c>
      <c r="C1129" s="507" t="s">
        <v>283</v>
      </c>
      <c r="D1129" s="505" t="s">
        <v>307</v>
      </c>
      <c r="E1129" s="499">
        <v>1225.0999999999999</v>
      </c>
      <c r="F1129" s="500"/>
      <c r="G1129" s="501" t="s">
        <v>190</v>
      </c>
      <c r="H1129" s="502"/>
      <c r="I1129" s="503">
        <f t="shared" si="17"/>
        <v>38078.48000000001</v>
      </c>
    </row>
    <row r="1130" spans="2:9">
      <c r="B1130" s="496">
        <v>45803</v>
      </c>
      <c r="C1130" s="507" t="s">
        <v>283</v>
      </c>
      <c r="D1130" s="505" t="s">
        <v>307</v>
      </c>
      <c r="E1130" s="499">
        <v>1842.1</v>
      </c>
      <c r="F1130" s="500"/>
      <c r="G1130" s="501" t="s">
        <v>190</v>
      </c>
      <c r="H1130" s="502"/>
      <c r="I1130" s="503">
        <f t="shared" si="17"/>
        <v>39920.580000000009</v>
      </c>
    </row>
    <row r="1131" spans="2:9">
      <c r="B1131" s="496">
        <v>45803</v>
      </c>
      <c r="C1131" s="507" t="s">
        <v>283</v>
      </c>
      <c r="D1131" s="505" t="s">
        <v>307</v>
      </c>
      <c r="E1131" s="499">
        <v>2172.6</v>
      </c>
      <c r="F1131" s="500"/>
      <c r="G1131" s="501" t="s">
        <v>190</v>
      </c>
      <c r="H1131" s="502"/>
      <c r="I1131" s="503">
        <f t="shared" si="17"/>
        <v>42093.180000000008</v>
      </c>
    </row>
    <row r="1132" spans="2:9">
      <c r="B1132" s="496">
        <v>45803</v>
      </c>
      <c r="C1132" s="507" t="s">
        <v>283</v>
      </c>
      <c r="D1132" s="505" t="s">
        <v>307</v>
      </c>
      <c r="E1132" s="499">
        <v>19.8</v>
      </c>
      <c r="F1132" s="500"/>
      <c r="G1132" s="501" t="s">
        <v>190</v>
      </c>
      <c r="H1132" s="502"/>
      <c r="I1132" s="503">
        <f t="shared" si="17"/>
        <v>42112.98000000001</v>
      </c>
    </row>
    <row r="1133" spans="2:9">
      <c r="B1133" s="496">
        <v>45803</v>
      </c>
      <c r="C1133" s="507" t="s">
        <v>1165</v>
      </c>
      <c r="D1133" s="505" t="s">
        <v>1166</v>
      </c>
      <c r="E1133" s="499"/>
      <c r="F1133" s="500">
        <v>2023.5</v>
      </c>
      <c r="G1133" s="501" t="s">
        <v>137</v>
      </c>
      <c r="H1133" s="502"/>
      <c r="I1133" s="503">
        <f t="shared" si="17"/>
        <v>40089.48000000001</v>
      </c>
    </row>
    <row r="1134" spans="2:9">
      <c r="B1134" s="496">
        <v>45803</v>
      </c>
      <c r="C1134" s="497">
        <v>346</v>
      </c>
      <c r="D1134" s="498" t="s">
        <v>1166</v>
      </c>
      <c r="E1134" s="499"/>
      <c r="F1134" s="500">
        <v>445.17</v>
      </c>
      <c r="G1134" s="501" t="s">
        <v>274</v>
      </c>
      <c r="H1134" s="502"/>
      <c r="I1134" s="503">
        <f t="shared" si="17"/>
        <v>39644.310000000012</v>
      </c>
    </row>
    <row r="1135" spans="2:9">
      <c r="B1135" s="496">
        <v>45803</v>
      </c>
      <c r="C1135" s="513" t="s">
        <v>117</v>
      </c>
      <c r="D1135" s="514" t="s">
        <v>903</v>
      </c>
      <c r="E1135" s="515"/>
      <c r="F1135" s="516">
        <v>1</v>
      </c>
      <c r="G1135" s="501" t="s">
        <v>272</v>
      </c>
      <c r="H1135" s="502"/>
      <c r="I1135" s="503">
        <f t="shared" si="17"/>
        <v>39643.310000000012</v>
      </c>
    </row>
    <row r="1136" spans="2:9">
      <c r="B1136" s="496">
        <v>45804</v>
      </c>
      <c r="C1136" s="507" t="s">
        <v>1167</v>
      </c>
      <c r="D1136" s="505" t="s">
        <v>1168</v>
      </c>
      <c r="E1136" s="499"/>
      <c r="F1136" s="500">
        <v>57.6</v>
      </c>
      <c r="G1136" s="501" t="s">
        <v>207</v>
      </c>
      <c r="H1136" s="502" t="s">
        <v>1169</v>
      </c>
      <c r="I1136" s="503">
        <f t="shared" si="17"/>
        <v>39585.710000000014</v>
      </c>
    </row>
    <row r="1137" spans="2:9">
      <c r="B1137" s="496">
        <v>45804</v>
      </c>
      <c r="C1137" s="497" t="s">
        <v>1170</v>
      </c>
      <c r="D1137" s="498" t="s">
        <v>669</v>
      </c>
      <c r="E1137" s="499"/>
      <c r="F1137" s="500">
        <v>189</v>
      </c>
      <c r="G1137" s="501" t="s">
        <v>202</v>
      </c>
      <c r="H1137" s="502" t="s">
        <v>1169</v>
      </c>
      <c r="I1137" s="503">
        <f t="shared" si="17"/>
        <v>39396.710000000014</v>
      </c>
    </row>
    <row r="1138" spans="2:9">
      <c r="B1138" s="496">
        <v>45804</v>
      </c>
      <c r="C1138" s="507" t="s">
        <v>1171</v>
      </c>
      <c r="D1138" s="505" t="s">
        <v>1172</v>
      </c>
      <c r="E1138" s="499"/>
      <c r="F1138" s="500">
        <v>22.13</v>
      </c>
      <c r="G1138" s="501" t="s">
        <v>216</v>
      </c>
      <c r="H1138" s="502" t="s">
        <v>1169</v>
      </c>
      <c r="I1138" s="503">
        <f t="shared" si="17"/>
        <v>39374.580000000016</v>
      </c>
    </row>
    <row r="1139" spans="2:9">
      <c r="B1139" s="496">
        <v>45804</v>
      </c>
      <c r="C1139" s="507" t="s">
        <v>1171</v>
      </c>
      <c r="D1139" s="505" t="s">
        <v>1172</v>
      </c>
      <c r="E1139" s="499"/>
      <c r="F1139" s="500">
        <v>4.87</v>
      </c>
      <c r="G1139" s="501" t="s">
        <v>274</v>
      </c>
      <c r="H1139" s="502" t="s">
        <v>1169</v>
      </c>
      <c r="I1139" s="503">
        <f t="shared" si="17"/>
        <v>39369.710000000014</v>
      </c>
    </row>
    <row r="1140" spans="2:9">
      <c r="B1140" s="496">
        <v>45804</v>
      </c>
      <c r="C1140" s="497" t="s">
        <v>1173</v>
      </c>
      <c r="D1140" s="498" t="s">
        <v>1174</v>
      </c>
      <c r="E1140" s="499"/>
      <c r="F1140" s="500">
        <v>252.94</v>
      </c>
      <c r="G1140" s="501" t="s">
        <v>207</v>
      </c>
      <c r="H1140" s="502" t="s">
        <v>1169</v>
      </c>
      <c r="I1140" s="503">
        <f t="shared" si="17"/>
        <v>39116.770000000011</v>
      </c>
    </row>
    <row r="1141" spans="2:9">
      <c r="B1141" s="496">
        <v>45804</v>
      </c>
      <c r="C1141" s="507" t="s">
        <v>1173</v>
      </c>
      <c r="D1141" s="505" t="s">
        <v>1174</v>
      </c>
      <c r="E1141" s="499"/>
      <c r="F1141" s="500">
        <v>55.65</v>
      </c>
      <c r="G1141" s="501" t="s">
        <v>274</v>
      </c>
      <c r="H1141" s="502" t="s">
        <v>1169</v>
      </c>
      <c r="I1141" s="503">
        <f t="shared" si="17"/>
        <v>39061.12000000001</v>
      </c>
    </row>
    <row r="1142" spans="2:9">
      <c r="B1142" s="496">
        <v>45804</v>
      </c>
      <c r="C1142" s="497" t="s">
        <v>1175</v>
      </c>
      <c r="D1142" s="498" t="s">
        <v>1176</v>
      </c>
      <c r="E1142" s="499"/>
      <c r="F1142" s="500">
        <v>163.11000000000001</v>
      </c>
      <c r="G1142" s="501" t="s">
        <v>207</v>
      </c>
      <c r="H1142" s="502" t="s">
        <v>1169</v>
      </c>
      <c r="I1142" s="503">
        <f t="shared" si="17"/>
        <v>38898.010000000009</v>
      </c>
    </row>
    <row r="1143" spans="2:9">
      <c r="B1143" s="496">
        <v>45804</v>
      </c>
      <c r="C1143" s="497" t="s">
        <v>1175</v>
      </c>
      <c r="D1143" s="498" t="s">
        <v>1176</v>
      </c>
      <c r="E1143" s="499"/>
      <c r="F1143" s="500">
        <v>35.89</v>
      </c>
      <c r="G1143" s="501" t="s">
        <v>274</v>
      </c>
      <c r="H1143" s="502" t="s">
        <v>1169</v>
      </c>
      <c r="I1143" s="503">
        <f t="shared" si="17"/>
        <v>38862.12000000001</v>
      </c>
    </row>
    <row r="1144" spans="2:9">
      <c r="B1144" s="496">
        <v>45804</v>
      </c>
      <c r="C1144" s="507" t="s">
        <v>1177</v>
      </c>
      <c r="D1144" s="505" t="s">
        <v>1045</v>
      </c>
      <c r="E1144" s="499"/>
      <c r="F1144" s="500">
        <v>471.58</v>
      </c>
      <c r="G1144" s="501" t="s">
        <v>232</v>
      </c>
      <c r="H1144" s="502" t="s">
        <v>1169</v>
      </c>
      <c r="I1144" s="503">
        <f t="shared" si="17"/>
        <v>38390.540000000008</v>
      </c>
    </row>
    <row r="1145" spans="2:9">
      <c r="B1145" s="496">
        <v>45804</v>
      </c>
      <c r="C1145" s="513" t="s">
        <v>1178</v>
      </c>
      <c r="D1145" s="514" t="s">
        <v>950</v>
      </c>
      <c r="E1145" s="515"/>
      <c r="F1145" s="516">
        <v>27.79</v>
      </c>
      <c r="G1145" s="501" t="s">
        <v>256</v>
      </c>
      <c r="H1145" s="502" t="s">
        <v>1169</v>
      </c>
      <c r="I1145" s="503">
        <f t="shared" si="17"/>
        <v>38362.750000000007</v>
      </c>
    </row>
    <row r="1146" spans="2:9">
      <c r="B1146" s="496">
        <v>45804</v>
      </c>
      <c r="C1146" s="513" t="s">
        <v>1178</v>
      </c>
      <c r="D1146" s="514" t="s">
        <v>950</v>
      </c>
      <c r="E1146" s="515"/>
      <c r="F1146" s="516">
        <v>6.11</v>
      </c>
      <c r="G1146" s="501" t="s">
        <v>274</v>
      </c>
      <c r="H1146" s="502" t="s">
        <v>1169</v>
      </c>
      <c r="I1146" s="503">
        <f t="shared" si="17"/>
        <v>38356.640000000007</v>
      </c>
    </row>
    <row r="1147" spans="2:9">
      <c r="B1147" s="496">
        <v>45804</v>
      </c>
      <c r="C1147" s="507" t="s">
        <v>117</v>
      </c>
      <c r="D1147" s="505" t="s">
        <v>908</v>
      </c>
      <c r="E1147" s="499"/>
      <c r="F1147" s="500">
        <v>2</v>
      </c>
      <c r="G1147" s="501" t="s">
        <v>254</v>
      </c>
      <c r="H1147" s="502" t="s">
        <v>1169</v>
      </c>
      <c r="I1147" s="503">
        <f t="shared" si="17"/>
        <v>38354.640000000007</v>
      </c>
    </row>
    <row r="1148" spans="2:9">
      <c r="B1148" s="496">
        <v>45804</v>
      </c>
      <c r="C1148" s="497" t="s">
        <v>117</v>
      </c>
      <c r="D1148" s="498" t="s">
        <v>921</v>
      </c>
      <c r="E1148" s="499"/>
      <c r="F1148" s="500">
        <v>1.25</v>
      </c>
      <c r="G1148" s="501" t="s">
        <v>271</v>
      </c>
      <c r="H1148" s="524"/>
      <c r="I1148" s="503">
        <f t="shared" si="17"/>
        <v>38353.390000000007</v>
      </c>
    </row>
    <row r="1149" spans="2:9">
      <c r="B1149" s="496">
        <v>45804</v>
      </c>
      <c r="C1149" s="507" t="s">
        <v>283</v>
      </c>
      <c r="D1149" s="505" t="s">
        <v>307</v>
      </c>
      <c r="E1149" s="499">
        <v>628.9</v>
      </c>
      <c r="F1149" s="500"/>
      <c r="G1149" s="501" t="s">
        <v>190</v>
      </c>
      <c r="H1149" s="502"/>
      <c r="I1149" s="503">
        <f t="shared" si="17"/>
        <v>38982.290000000008</v>
      </c>
    </row>
    <row r="1150" spans="2:9">
      <c r="B1150" s="496">
        <v>45805</v>
      </c>
      <c r="C1150" s="507" t="s">
        <v>1179</v>
      </c>
      <c r="D1150" s="505" t="s">
        <v>990</v>
      </c>
      <c r="E1150" s="499"/>
      <c r="F1150" s="500">
        <v>884</v>
      </c>
      <c r="G1150" s="501" t="s">
        <v>222</v>
      </c>
      <c r="H1150" s="502"/>
      <c r="I1150" s="503">
        <f t="shared" si="17"/>
        <v>38098.290000000008</v>
      </c>
    </row>
    <row r="1151" spans="2:9">
      <c r="B1151" s="496">
        <v>45805</v>
      </c>
      <c r="C1151" s="507" t="s">
        <v>1179</v>
      </c>
      <c r="D1151" s="505" t="s">
        <v>990</v>
      </c>
      <c r="E1151" s="499"/>
      <c r="F1151" s="500">
        <v>194.48</v>
      </c>
      <c r="G1151" s="501" t="s">
        <v>274</v>
      </c>
      <c r="H1151" s="502"/>
      <c r="I1151" s="503">
        <f t="shared" si="17"/>
        <v>37903.810000000005</v>
      </c>
    </row>
    <row r="1152" spans="2:9">
      <c r="B1152" s="496">
        <v>45805</v>
      </c>
      <c r="C1152" s="513" t="s">
        <v>117</v>
      </c>
      <c r="D1152" s="514" t="s">
        <v>903</v>
      </c>
      <c r="E1152" s="515"/>
      <c r="F1152" s="516">
        <v>1</v>
      </c>
      <c r="G1152" s="501" t="s">
        <v>272</v>
      </c>
      <c r="H1152" s="502"/>
      <c r="I1152" s="503">
        <f t="shared" si="17"/>
        <v>37902.810000000005</v>
      </c>
    </row>
    <row r="1153" spans="2:9">
      <c r="B1153" s="496">
        <v>45805</v>
      </c>
      <c r="C1153" s="507" t="s">
        <v>283</v>
      </c>
      <c r="D1153" s="505" t="s">
        <v>307</v>
      </c>
      <c r="E1153" s="499">
        <v>610.9</v>
      </c>
      <c r="F1153" s="500"/>
      <c r="G1153" s="501" t="s">
        <v>190</v>
      </c>
      <c r="H1153" s="502"/>
      <c r="I1153" s="503">
        <f t="shared" si="17"/>
        <v>38513.710000000006</v>
      </c>
    </row>
    <row r="1154" spans="2:9">
      <c r="B1154" s="496">
        <v>45806</v>
      </c>
      <c r="C1154" s="513" t="s">
        <v>962</v>
      </c>
      <c r="D1154" s="514" t="s">
        <v>1180</v>
      </c>
      <c r="E1154" s="515"/>
      <c r="F1154" s="516">
        <v>1264.3800000000001</v>
      </c>
      <c r="G1154" s="522" t="s">
        <v>279</v>
      </c>
      <c r="H1154" s="502"/>
      <c r="I1154" s="503">
        <f t="shared" si="17"/>
        <v>37249.330000000009</v>
      </c>
    </row>
    <row r="1155" spans="2:9">
      <c r="B1155" s="496">
        <v>45806</v>
      </c>
      <c r="C1155" s="513" t="s">
        <v>962</v>
      </c>
      <c r="D1155" s="514" t="s">
        <v>1181</v>
      </c>
      <c r="E1155" s="515"/>
      <c r="F1155" s="516">
        <v>106.43</v>
      </c>
      <c r="G1155" s="522" t="s">
        <v>262</v>
      </c>
      <c r="H1155" s="502"/>
      <c r="I1155" s="503">
        <f t="shared" si="17"/>
        <v>37142.900000000009</v>
      </c>
    </row>
    <row r="1156" spans="2:9">
      <c r="B1156" s="496">
        <v>45806</v>
      </c>
      <c r="C1156" s="513" t="s">
        <v>962</v>
      </c>
      <c r="D1156" s="514" t="s">
        <v>965</v>
      </c>
      <c r="E1156" s="515"/>
      <c r="F1156" s="516">
        <v>2.5</v>
      </c>
      <c r="G1156" s="522" t="s">
        <v>966</v>
      </c>
      <c r="H1156" s="502"/>
      <c r="I1156" s="503">
        <f t="shared" si="17"/>
        <v>37140.400000000009</v>
      </c>
    </row>
    <row r="1157" spans="2:9">
      <c r="B1157" s="496">
        <v>45806</v>
      </c>
      <c r="C1157" s="507" t="s">
        <v>283</v>
      </c>
      <c r="D1157" s="505" t="s">
        <v>307</v>
      </c>
      <c r="E1157" s="499">
        <v>511.1</v>
      </c>
      <c r="F1157" s="500"/>
      <c r="G1157" s="501" t="s">
        <v>190</v>
      </c>
      <c r="H1157" s="502"/>
      <c r="I1157" s="503">
        <f t="shared" si="17"/>
        <v>37651.500000000007</v>
      </c>
    </row>
    <row r="1158" spans="2:9">
      <c r="B1158" s="496">
        <v>45807</v>
      </c>
      <c r="C1158" s="535" t="s">
        <v>117</v>
      </c>
      <c r="D1158" s="498" t="s">
        <v>1182</v>
      </c>
      <c r="E1158" s="499"/>
      <c r="F1158" s="500">
        <v>4029.57</v>
      </c>
      <c r="G1158" s="501" t="s">
        <v>259</v>
      </c>
      <c r="H1158" s="502"/>
      <c r="I1158" s="503">
        <f t="shared" si="17"/>
        <v>33621.930000000008</v>
      </c>
    </row>
    <row r="1159" spans="2:9">
      <c r="B1159" s="496">
        <v>45807</v>
      </c>
      <c r="C1159" s="513" t="s">
        <v>117</v>
      </c>
      <c r="D1159" s="514" t="s">
        <v>903</v>
      </c>
      <c r="E1159" s="515"/>
      <c r="F1159" s="516">
        <v>1</v>
      </c>
      <c r="G1159" s="501" t="s">
        <v>272</v>
      </c>
      <c r="H1159" s="502"/>
      <c r="I1159" s="503">
        <f t="shared" si="17"/>
        <v>33620.930000000008</v>
      </c>
    </row>
    <row r="1160" spans="2:9">
      <c r="B1160" s="496">
        <v>45807</v>
      </c>
      <c r="C1160" s="507" t="s">
        <v>283</v>
      </c>
      <c r="D1160" s="505" t="s">
        <v>307</v>
      </c>
      <c r="E1160" s="499">
        <v>3105</v>
      </c>
      <c r="F1160" s="500"/>
      <c r="G1160" s="501"/>
      <c r="H1160" s="596" t="s">
        <v>824</v>
      </c>
      <c r="I1160" s="503">
        <f t="shared" si="17"/>
        <v>36725.930000000008</v>
      </c>
    </row>
    <row r="1161" spans="2:9">
      <c r="B1161" s="496">
        <v>45811</v>
      </c>
      <c r="C1161" s="507" t="s">
        <v>283</v>
      </c>
      <c r="D1161" s="505" t="s">
        <v>909</v>
      </c>
      <c r="E1161" s="499">
        <f>1192+80.7</f>
        <v>1272.7</v>
      </c>
      <c r="F1161" s="500"/>
      <c r="G1161" s="501" t="s">
        <v>190</v>
      </c>
      <c r="H1161" s="502"/>
      <c r="I1161" s="503">
        <f t="shared" si="17"/>
        <v>37998.630000000005</v>
      </c>
    </row>
    <row r="1162" spans="2:9">
      <c r="B1162" s="496">
        <v>45811</v>
      </c>
      <c r="C1162" s="507" t="s">
        <v>117</v>
      </c>
      <c r="D1162" s="505" t="s">
        <v>911</v>
      </c>
      <c r="E1162" s="499"/>
      <c r="F1162" s="500">
        <v>12.58</v>
      </c>
      <c r="G1162" s="501" t="s">
        <v>269</v>
      </c>
      <c r="H1162" s="502"/>
      <c r="I1162" s="503">
        <f t="shared" ref="I1162:I1225" si="18">I1161+E1162-F1162</f>
        <v>37986.050000000003</v>
      </c>
    </row>
    <row r="1163" spans="2:9">
      <c r="B1163" s="496">
        <v>45811</v>
      </c>
      <c r="C1163" s="497" t="s">
        <v>117</v>
      </c>
      <c r="D1163" s="498" t="s">
        <v>902</v>
      </c>
      <c r="E1163" s="499"/>
      <c r="F1163" s="500">
        <v>1250</v>
      </c>
      <c r="G1163" s="501" t="s">
        <v>278</v>
      </c>
      <c r="H1163" s="502"/>
      <c r="I1163" s="503">
        <f t="shared" si="18"/>
        <v>36736.050000000003</v>
      </c>
    </row>
    <row r="1164" spans="2:9">
      <c r="B1164" s="496">
        <v>45811</v>
      </c>
      <c r="C1164" s="497" t="s">
        <v>117</v>
      </c>
      <c r="D1164" s="498" t="s">
        <v>903</v>
      </c>
      <c r="E1164" s="499"/>
      <c r="F1164" s="500">
        <v>0.75</v>
      </c>
      <c r="G1164" s="501" t="s">
        <v>272</v>
      </c>
      <c r="H1164" s="502"/>
      <c r="I1164" s="503">
        <f t="shared" si="18"/>
        <v>36735.300000000003</v>
      </c>
    </row>
    <row r="1165" spans="2:9">
      <c r="B1165" s="496">
        <v>45811</v>
      </c>
      <c r="C1165" s="497" t="s">
        <v>117</v>
      </c>
      <c r="D1165" s="498" t="s">
        <v>320</v>
      </c>
      <c r="E1165" s="499"/>
      <c r="F1165" s="500">
        <v>504.9</v>
      </c>
      <c r="G1165" s="501" t="s">
        <v>237</v>
      </c>
      <c r="H1165" s="502"/>
      <c r="I1165" s="503">
        <f t="shared" si="18"/>
        <v>36230.400000000001</v>
      </c>
    </row>
    <row r="1166" spans="2:9">
      <c r="B1166" s="496">
        <v>45811</v>
      </c>
      <c r="C1166" s="497" t="s">
        <v>117</v>
      </c>
      <c r="D1166" s="498" t="s">
        <v>903</v>
      </c>
      <c r="E1166" s="499"/>
      <c r="F1166" s="500">
        <v>0.75</v>
      </c>
      <c r="G1166" s="501" t="s">
        <v>272</v>
      </c>
      <c r="H1166" s="502"/>
      <c r="I1166" s="503">
        <f t="shared" si="18"/>
        <v>36229.65</v>
      </c>
    </row>
    <row r="1167" spans="2:9">
      <c r="B1167" s="496">
        <v>45811</v>
      </c>
      <c r="C1167" s="511" t="s">
        <v>1183</v>
      </c>
      <c r="D1167" s="505" t="s">
        <v>329</v>
      </c>
      <c r="E1167" s="499"/>
      <c r="F1167" s="500">
        <f>445.34-F1168</f>
        <v>350.01</v>
      </c>
      <c r="G1167" s="501" t="s">
        <v>221</v>
      </c>
      <c r="H1167" s="502"/>
      <c r="I1167" s="503">
        <f t="shared" si="18"/>
        <v>35879.64</v>
      </c>
    </row>
    <row r="1168" spans="2:9">
      <c r="B1168" s="496">
        <v>45811</v>
      </c>
      <c r="C1168" s="511" t="s">
        <v>1183</v>
      </c>
      <c r="D1168" s="505" t="s">
        <v>329</v>
      </c>
      <c r="E1168" s="499"/>
      <c r="F1168" s="500">
        <v>95.33</v>
      </c>
      <c r="G1168" s="501" t="s">
        <v>274</v>
      </c>
      <c r="H1168" s="502"/>
      <c r="I1168" s="503">
        <f t="shared" si="18"/>
        <v>35784.31</v>
      </c>
    </row>
    <row r="1169" spans="2:9">
      <c r="B1169" s="496">
        <v>45811</v>
      </c>
      <c r="C1169" s="497" t="s">
        <v>117</v>
      </c>
      <c r="D1169" s="498" t="s">
        <v>903</v>
      </c>
      <c r="E1169" s="499"/>
      <c r="F1169" s="500">
        <v>1</v>
      </c>
      <c r="G1169" s="501" t="s">
        <v>272</v>
      </c>
      <c r="H1169" s="502"/>
      <c r="I1169" s="503">
        <f t="shared" si="18"/>
        <v>35783.31</v>
      </c>
    </row>
    <row r="1170" spans="2:9">
      <c r="B1170" s="496">
        <v>45811</v>
      </c>
      <c r="C1170" s="497" t="s">
        <v>1184</v>
      </c>
      <c r="D1170" s="498" t="s">
        <v>379</v>
      </c>
      <c r="E1170" s="499"/>
      <c r="F1170" s="500">
        <v>3111.7</v>
      </c>
      <c r="G1170" s="501" t="s">
        <v>237</v>
      </c>
      <c r="H1170" s="502"/>
      <c r="I1170" s="503">
        <f t="shared" si="18"/>
        <v>32671.609999999997</v>
      </c>
    </row>
    <row r="1171" spans="2:9">
      <c r="B1171" s="496">
        <v>45811</v>
      </c>
      <c r="C1171" s="507" t="s">
        <v>1184</v>
      </c>
      <c r="D1171" s="505" t="s">
        <v>379</v>
      </c>
      <c r="E1171" s="499"/>
      <c r="F1171" s="500">
        <v>684.57</v>
      </c>
      <c r="G1171" s="501" t="s">
        <v>274</v>
      </c>
      <c r="H1171" s="502"/>
      <c r="I1171" s="503">
        <f t="shared" si="18"/>
        <v>31987.039999999997</v>
      </c>
    </row>
    <row r="1172" spans="2:9">
      <c r="B1172" s="626">
        <v>45777</v>
      </c>
      <c r="C1172" s="507" t="s">
        <v>356</v>
      </c>
      <c r="D1172" s="505" t="s">
        <v>341</v>
      </c>
      <c r="E1172" s="499"/>
      <c r="F1172" s="500">
        <v>1143.25</v>
      </c>
      <c r="G1172" s="501" t="s">
        <v>194</v>
      </c>
      <c r="H1172" s="502"/>
      <c r="I1172" s="503">
        <f t="shared" si="18"/>
        <v>30843.789999999997</v>
      </c>
    </row>
    <row r="1173" spans="2:9">
      <c r="B1173" s="626">
        <v>45777</v>
      </c>
      <c r="C1173" s="507" t="s">
        <v>356</v>
      </c>
      <c r="D1173" s="505" t="s">
        <v>341</v>
      </c>
      <c r="E1173" s="499"/>
      <c r="F1173" s="500">
        <v>251.08</v>
      </c>
      <c r="G1173" s="501" t="s">
        <v>274</v>
      </c>
      <c r="H1173" s="502"/>
      <c r="I1173" s="503">
        <f t="shared" si="18"/>
        <v>30592.709999999995</v>
      </c>
    </row>
    <row r="1174" spans="2:9">
      <c r="B1174" s="626">
        <v>45777</v>
      </c>
      <c r="C1174" s="507" t="s">
        <v>1185</v>
      </c>
      <c r="D1174" s="505" t="s">
        <v>341</v>
      </c>
      <c r="E1174" s="499"/>
      <c r="F1174" s="500">
        <v>478.85</v>
      </c>
      <c r="G1174" s="501" t="s">
        <v>194</v>
      </c>
      <c r="H1174" s="502"/>
      <c r="I1174" s="503">
        <f t="shared" si="18"/>
        <v>30113.859999999997</v>
      </c>
    </row>
    <row r="1175" spans="2:9">
      <c r="B1175" s="626">
        <v>45777</v>
      </c>
      <c r="C1175" s="507" t="s">
        <v>1185</v>
      </c>
      <c r="D1175" s="505" t="s">
        <v>341</v>
      </c>
      <c r="E1175" s="499"/>
      <c r="F1175" s="500">
        <v>98.31</v>
      </c>
      <c r="G1175" s="501" t="s">
        <v>274</v>
      </c>
      <c r="H1175" s="502"/>
      <c r="I1175" s="503">
        <f t="shared" si="18"/>
        <v>30015.549999999996</v>
      </c>
    </row>
    <row r="1176" spans="2:9">
      <c r="B1176" s="626">
        <v>45777</v>
      </c>
      <c r="C1176" s="507" t="s">
        <v>1186</v>
      </c>
      <c r="D1176" s="505" t="s">
        <v>341</v>
      </c>
      <c r="E1176" s="499"/>
      <c r="F1176" s="500">
        <v>783.34</v>
      </c>
      <c r="G1176" s="501" t="s">
        <v>194</v>
      </c>
      <c r="H1176" s="502"/>
      <c r="I1176" s="503">
        <f t="shared" si="18"/>
        <v>29232.209999999995</v>
      </c>
    </row>
    <row r="1177" spans="2:9">
      <c r="B1177" s="626">
        <v>45777</v>
      </c>
      <c r="C1177" s="507" t="s">
        <v>1186</v>
      </c>
      <c r="D1177" s="505" t="s">
        <v>341</v>
      </c>
      <c r="E1177" s="499"/>
      <c r="F1177" s="500">
        <v>152.09</v>
      </c>
      <c r="G1177" s="501" t="s">
        <v>274</v>
      </c>
      <c r="H1177" s="502"/>
      <c r="I1177" s="503">
        <f t="shared" si="18"/>
        <v>29080.119999999995</v>
      </c>
    </row>
    <row r="1178" spans="2:9">
      <c r="B1178" s="626">
        <v>45777</v>
      </c>
      <c r="C1178" s="497" t="s">
        <v>1187</v>
      </c>
      <c r="D1178" s="505" t="s">
        <v>341</v>
      </c>
      <c r="E1178" s="499"/>
      <c r="F1178" s="500">
        <v>51.09</v>
      </c>
      <c r="G1178" s="501" t="s">
        <v>194</v>
      </c>
      <c r="H1178" s="502"/>
      <c r="I1178" s="503">
        <f t="shared" si="18"/>
        <v>29029.029999999995</v>
      </c>
    </row>
    <row r="1179" spans="2:9">
      <c r="B1179" s="626">
        <v>45777</v>
      </c>
      <c r="C1179" s="497" t="s">
        <v>1187</v>
      </c>
      <c r="D1179" s="505" t="s">
        <v>341</v>
      </c>
      <c r="E1179" s="499"/>
      <c r="F1179" s="500">
        <v>11.24</v>
      </c>
      <c r="G1179" s="501" t="s">
        <v>274</v>
      </c>
      <c r="H1179" s="502"/>
      <c r="I1179" s="503">
        <f t="shared" si="18"/>
        <v>29017.789999999994</v>
      </c>
    </row>
    <row r="1180" spans="2:9">
      <c r="B1180" s="496">
        <v>45811</v>
      </c>
      <c r="C1180" s="497" t="s">
        <v>117</v>
      </c>
      <c r="D1180" s="498" t="s">
        <v>921</v>
      </c>
      <c r="E1180" s="499"/>
      <c r="F1180" s="500">
        <v>1.25</v>
      </c>
      <c r="G1180" s="501" t="s">
        <v>271</v>
      </c>
      <c r="H1180" s="502"/>
      <c r="I1180" s="503">
        <f t="shared" si="18"/>
        <v>29016.539999999994</v>
      </c>
    </row>
    <row r="1181" spans="2:9">
      <c r="B1181" s="626">
        <v>45777</v>
      </c>
      <c r="C1181" s="507" t="s">
        <v>1188</v>
      </c>
      <c r="D1181" s="498" t="s">
        <v>650</v>
      </c>
      <c r="E1181" s="499"/>
      <c r="F1181" s="500">
        <v>15593.99</v>
      </c>
      <c r="G1181" s="501" t="s">
        <v>194</v>
      </c>
      <c r="H1181" s="502"/>
      <c r="I1181" s="503">
        <f t="shared" si="18"/>
        <v>13422.549999999994</v>
      </c>
    </row>
    <row r="1182" spans="2:9">
      <c r="B1182" s="626">
        <v>45777</v>
      </c>
      <c r="C1182" s="507" t="s">
        <v>1188</v>
      </c>
      <c r="D1182" s="498" t="s">
        <v>650</v>
      </c>
      <c r="E1182" s="499"/>
      <c r="F1182" s="500">
        <v>3164.92</v>
      </c>
      <c r="G1182" s="501" t="s">
        <v>274</v>
      </c>
      <c r="H1182" s="502"/>
      <c r="I1182" s="503">
        <f t="shared" si="18"/>
        <v>10257.629999999994</v>
      </c>
    </row>
    <row r="1183" spans="2:9">
      <c r="B1183" s="496">
        <v>45811</v>
      </c>
      <c r="C1183" s="497" t="s">
        <v>117</v>
      </c>
      <c r="D1183" s="498" t="s">
        <v>921</v>
      </c>
      <c r="E1183" s="499"/>
      <c r="F1183" s="500">
        <v>1.25</v>
      </c>
      <c r="G1183" s="501" t="s">
        <v>271</v>
      </c>
      <c r="H1183" s="502"/>
      <c r="I1183" s="503">
        <f t="shared" si="18"/>
        <v>10256.379999999994</v>
      </c>
    </row>
    <row r="1184" spans="2:9">
      <c r="B1184" s="626">
        <v>45777</v>
      </c>
      <c r="C1184" s="507" t="s">
        <v>1189</v>
      </c>
      <c r="D1184" s="498" t="s">
        <v>650</v>
      </c>
      <c r="E1184" s="499"/>
      <c r="F1184" s="500">
        <v>3654.67</v>
      </c>
      <c r="G1184" s="501"/>
      <c r="H1184" s="589" t="s">
        <v>714</v>
      </c>
      <c r="I1184" s="503">
        <f t="shared" si="18"/>
        <v>6601.7099999999937</v>
      </c>
    </row>
    <row r="1185" spans="2:9">
      <c r="B1185" s="626">
        <v>45777</v>
      </c>
      <c r="C1185" s="507" t="s">
        <v>1189</v>
      </c>
      <c r="D1185" s="498" t="s">
        <v>650</v>
      </c>
      <c r="E1185" s="499"/>
      <c r="F1185" s="500">
        <v>715.59</v>
      </c>
      <c r="G1185" s="501" t="s">
        <v>274</v>
      </c>
      <c r="H1185" s="589" t="s">
        <v>714</v>
      </c>
      <c r="I1185" s="503">
        <f t="shared" si="18"/>
        <v>5886.1199999999935</v>
      </c>
    </row>
    <row r="1186" spans="2:9">
      <c r="B1186" s="496">
        <v>45811</v>
      </c>
      <c r="C1186" s="497" t="s">
        <v>117</v>
      </c>
      <c r="D1186" s="498" t="s">
        <v>921</v>
      </c>
      <c r="E1186" s="499"/>
      <c r="F1186" s="500">
        <v>1.25</v>
      </c>
      <c r="G1186" s="501" t="s">
        <v>271</v>
      </c>
      <c r="H1186" s="589" t="s">
        <v>714</v>
      </c>
      <c r="I1186" s="503">
        <f t="shared" si="18"/>
        <v>5884.8699999999935</v>
      </c>
    </row>
    <row r="1187" spans="2:9">
      <c r="B1187" s="496">
        <v>45811</v>
      </c>
      <c r="C1187" s="504"/>
      <c r="D1187" s="505" t="s">
        <v>347</v>
      </c>
      <c r="E1187" s="499"/>
      <c r="F1187" s="500">
        <v>438</v>
      </c>
      <c r="G1187" s="501" t="s">
        <v>238</v>
      </c>
      <c r="H1187" s="506" t="s">
        <v>1190</v>
      </c>
      <c r="I1187" s="503">
        <f t="shared" si="18"/>
        <v>5446.8699999999935</v>
      </c>
    </row>
    <row r="1188" spans="2:9">
      <c r="B1188" s="496">
        <v>45811</v>
      </c>
      <c r="C1188" s="504"/>
      <c r="D1188" s="505" t="s">
        <v>347</v>
      </c>
      <c r="E1188" s="499"/>
      <c r="F1188" s="500">
        <v>96.36</v>
      </c>
      <c r="G1188" s="501" t="s">
        <v>274</v>
      </c>
      <c r="H1188" s="506" t="s">
        <v>1190</v>
      </c>
      <c r="I1188" s="503">
        <f t="shared" si="18"/>
        <v>5350.5099999999939</v>
      </c>
    </row>
    <row r="1189" spans="2:9">
      <c r="B1189" s="496">
        <v>45811</v>
      </c>
      <c r="C1189" s="497" t="s">
        <v>117</v>
      </c>
      <c r="D1189" s="498" t="s">
        <v>921</v>
      </c>
      <c r="E1189" s="499"/>
      <c r="F1189" s="500">
        <v>1.25</v>
      </c>
      <c r="G1189" s="501" t="s">
        <v>271</v>
      </c>
      <c r="H1189" s="502"/>
      <c r="I1189" s="503">
        <f t="shared" si="18"/>
        <v>5349.2599999999939</v>
      </c>
    </row>
    <row r="1190" spans="2:9">
      <c r="B1190" s="496">
        <v>45811</v>
      </c>
      <c r="C1190" s="504"/>
      <c r="D1190" s="505" t="s">
        <v>347</v>
      </c>
      <c r="E1190" s="499"/>
      <c r="F1190" s="500">
        <v>130</v>
      </c>
      <c r="G1190" s="501" t="s">
        <v>238</v>
      </c>
      <c r="H1190" s="506" t="s">
        <v>1190</v>
      </c>
      <c r="I1190" s="503">
        <f t="shared" si="18"/>
        <v>5219.2599999999939</v>
      </c>
    </row>
    <row r="1191" spans="2:9">
      <c r="B1191" s="496">
        <v>45811</v>
      </c>
      <c r="C1191" s="504"/>
      <c r="D1191" s="505" t="s">
        <v>347</v>
      </c>
      <c r="E1191" s="499"/>
      <c r="F1191" s="500">
        <v>28.6</v>
      </c>
      <c r="G1191" s="501" t="s">
        <v>274</v>
      </c>
      <c r="H1191" s="506" t="s">
        <v>1190</v>
      </c>
      <c r="I1191" s="503">
        <f t="shared" si="18"/>
        <v>5190.6599999999935</v>
      </c>
    </row>
    <row r="1192" spans="2:9">
      <c r="B1192" s="496">
        <v>45811</v>
      </c>
      <c r="C1192" s="497" t="s">
        <v>117</v>
      </c>
      <c r="D1192" s="498" t="s">
        <v>921</v>
      </c>
      <c r="E1192" s="499"/>
      <c r="F1192" s="500">
        <v>1.25</v>
      </c>
      <c r="G1192" s="501" t="s">
        <v>271</v>
      </c>
      <c r="H1192" s="502"/>
      <c r="I1192" s="503">
        <f t="shared" si="18"/>
        <v>5189.4099999999935</v>
      </c>
    </row>
    <row r="1193" spans="2:9">
      <c r="B1193" s="626">
        <v>45777</v>
      </c>
      <c r="C1193" s="497" t="s">
        <v>1191</v>
      </c>
      <c r="D1193" s="498" t="s">
        <v>1192</v>
      </c>
      <c r="E1193" s="499"/>
      <c r="F1193" s="500">
        <v>800</v>
      </c>
      <c r="G1193" s="501" t="s">
        <v>197</v>
      </c>
      <c r="H1193" s="589" t="s">
        <v>714</v>
      </c>
      <c r="I1193" s="503">
        <f t="shared" si="18"/>
        <v>4389.4099999999935</v>
      </c>
    </row>
    <row r="1194" spans="2:9">
      <c r="B1194" s="626">
        <v>45777</v>
      </c>
      <c r="C1194" s="507" t="s">
        <v>1191</v>
      </c>
      <c r="D1194" s="505" t="s">
        <v>1192</v>
      </c>
      <c r="E1194" s="499"/>
      <c r="F1194" s="500">
        <v>80</v>
      </c>
      <c r="G1194" s="501" t="s">
        <v>274</v>
      </c>
      <c r="H1194" s="589" t="s">
        <v>714</v>
      </c>
      <c r="I1194" s="503">
        <f t="shared" si="18"/>
        <v>4309.4099999999935</v>
      </c>
    </row>
    <row r="1195" spans="2:9">
      <c r="B1195" s="496">
        <v>45811</v>
      </c>
      <c r="C1195" s="497" t="s">
        <v>117</v>
      </c>
      <c r="D1195" s="498" t="s">
        <v>903</v>
      </c>
      <c r="E1195" s="499"/>
      <c r="F1195" s="500">
        <v>1</v>
      </c>
      <c r="G1195" s="501" t="s">
        <v>272</v>
      </c>
      <c r="H1195" s="502"/>
      <c r="I1195" s="503">
        <f t="shared" si="18"/>
        <v>4308.4099999999935</v>
      </c>
    </row>
    <row r="1196" spans="2:9">
      <c r="B1196" s="496">
        <v>45811</v>
      </c>
      <c r="C1196" s="507" t="s">
        <v>283</v>
      </c>
      <c r="D1196" s="505" t="s">
        <v>307</v>
      </c>
      <c r="E1196" s="499">
        <f>2055-729</f>
        <v>1326</v>
      </c>
      <c r="F1196" s="500"/>
      <c r="G1196" s="501" t="s">
        <v>190</v>
      </c>
      <c r="H1196" s="502"/>
      <c r="I1196" s="503">
        <f t="shared" si="18"/>
        <v>5634.4099999999935</v>
      </c>
    </row>
    <row r="1197" spans="2:9">
      <c r="B1197" s="496">
        <v>45811</v>
      </c>
      <c r="C1197" s="507" t="s">
        <v>283</v>
      </c>
      <c r="D1197" s="505" t="s">
        <v>307</v>
      </c>
      <c r="E1197" s="499">
        <v>729</v>
      </c>
      <c r="F1197" s="500"/>
      <c r="G1197" s="501"/>
      <c r="H1197" s="596" t="s">
        <v>824</v>
      </c>
      <c r="I1197" s="503">
        <f t="shared" si="18"/>
        <v>6363.4099999999935</v>
      </c>
    </row>
    <row r="1198" spans="2:9">
      <c r="B1198" s="496">
        <v>45811</v>
      </c>
      <c r="C1198" s="507" t="s">
        <v>283</v>
      </c>
      <c r="D1198" s="505" t="s">
        <v>307</v>
      </c>
      <c r="E1198" s="499">
        <v>1828.7</v>
      </c>
      <c r="F1198" s="500"/>
      <c r="G1198" s="501" t="s">
        <v>190</v>
      </c>
      <c r="H1198" s="502"/>
      <c r="I1198" s="503">
        <f t="shared" si="18"/>
        <v>8192.1099999999933</v>
      </c>
    </row>
    <row r="1199" spans="2:9">
      <c r="B1199" s="496">
        <v>45811</v>
      </c>
      <c r="C1199" s="507" t="s">
        <v>283</v>
      </c>
      <c r="D1199" s="505" t="s">
        <v>307</v>
      </c>
      <c r="E1199" s="499">
        <v>3179.6</v>
      </c>
      <c r="F1199" s="500"/>
      <c r="G1199" s="501" t="s">
        <v>190</v>
      </c>
      <c r="H1199" s="502"/>
      <c r="I1199" s="503">
        <f t="shared" si="18"/>
        <v>11371.709999999994</v>
      </c>
    </row>
    <row r="1200" spans="2:9">
      <c r="B1200" s="496">
        <v>45811</v>
      </c>
      <c r="C1200" s="507" t="s">
        <v>283</v>
      </c>
      <c r="D1200" s="505" t="s">
        <v>307</v>
      </c>
      <c r="E1200" s="499">
        <v>4232.6000000000004</v>
      </c>
      <c r="F1200" s="500"/>
      <c r="G1200" s="501" t="s">
        <v>190</v>
      </c>
      <c r="H1200" s="502"/>
      <c r="I1200" s="503">
        <f t="shared" si="18"/>
        <v>15604.309999999994</v>
      </c>
    </row>
    <row r="1201" spans="2:9">
      <c r="B1201" s="496">
        <v>45811</v>
      </c>
      <c r="C1201" s="507" t="s">
        <v>283</v>
      </c>
      <c r="D1201" s="505" t="s">
        <v>912</v>
      </c>
      <c r="E1201" s="499">
        <f>976+265.5</f>
        <v>1241.5</v>
      </c>
      <c r="F1201" s="500"/>
      <c r="G1201" s="501" t="s">
        <v>190</v>
      </c>
      <c r="H1201" s="502"/>
      <c r="I1201" s="503">
        <f t="shared" si="18"/>
        <v>16845.809999999994</v>
      </c>
    </row>
    <row r="1202" spans="2:9">
      <c r="B1202" s="496">
        <v>45811</v>
      </c>
      <c r="C1202" s="507" t="s">
        <v>117</v>
      </c>
      <c r="D1202" s="505" t="s">
        <v>918</v>
      </c>
      <c r="E1202" s="499"/>
      <c r="F1202" s="500">
        <f>9.82+2.66</f>
        <v>12.48</v>
      </c>
      <c r="G1202" s="501" t="s">
        <v>270</v>
      </c>
      <c r="H1202" s="502"/>
      <c r="I1202" s="503">
        <f t="shared" si="18"/>
        <v>16833.329999999994</v>
      </c>
    </row>
    <row r="1203" spans="2:9">
      <c r="B1203" s="496">
        <v>45811</v>
      </c>
      <c r="C1203" s="497" t="s">
        <v>117</v>
      </c>
      <c r="D1203" s="498" t="s">
        <v>914</v>
      </c>
      <c r="E1203" s="499"/>
      <c r="F1203" s="500">
        <v>39.9</v>
      </c>
      <c r="G1203" s="501" t="s">
        <v>266</v>
      </c>
      <c r="H1203" s="502"/>
      <c r="I1203" s="503">
        <f t="shared" si="18"/>
        <v>16793.429999999993</v>
      </c>
    </row>
    <row r="1204" spans="2:9">
      <c r="B1204" s="496">
        <v>45812</v>
      </c>
      <c r="C1204" s="497" t="s">
        <v>117</v>
      </c>
      <c r="D1204" s="498" t="s">
        <v>915</v>
      </c>
      <c r="E1204" s="499"/>
      <c r="F1204" s="500">
        <v>178.74</v>
      </c>
      <c r="G1204" s="501" t="s">
        <v>267</v>
      </c>
      <c r="H1204" s="502"/>
      <c r="I1204" s="503">
        <f t="shared" si="18"/>
        <v>16614.689999999991</v>
      </c>
    </row>
    <row r="1205" spans="2:9">
      <c r="B1205" s="496">
        <v>45812</v>
      </c>
      <c r="C1205" s="507" t="s">
        <v>283</v>
      </c>
      <c r="D1205" s="505" t="s">
        <v>307</v>
      </c>
      <c r="E1205" s="499">
        <v>7.12</v>
      </c>
      <c r="F1205" s="500"/>
      <c r="G1205" s="501" t="s">
        <v>190</v>
      </c>
      <c r="H1205" s="502" t="s">
        <v>1193</v>
      </c>
      <c r="I1205" s="503">
        <f t="shared" si="18"/>
        <v>16621.80999999999</v>
      </c>
    </row>
    <row r="1206" spans="2:9">
      <c r="B1206" s="496">
        <v>45812</v>
      </c>
      <c r="C1206" s="497" t="s">
        <v>1194</v>
      </c>
      <c r="D1206" s="498" t="s">
        <v>100</v>
      </c>
      <c r="E1206" s="499"/>
      <c r="F1206" s="500">
        <v>2319.84</v>
      </c>
      <c r="G1206" s="501" t="s">
        <v>194</v>
      </c>
      <c r="H1206" s="502"/>
      <c r="I1206" s="503">
        <f t="shared" si="18"/>
        <v>14301.96999999999</v>
      </c>
    </row>
    <row r="1207" spans="2:9">
      <c r="B1207" s="496">
        <v>45812</v>
      </c>
      <c r="C1207" s="497" t="s">
        <v>1194</v>
      </c>
      <c r="D1207" s="498" t="s">
        <v>100</v>
      </c>
      <c r="E1207" s="499"/>
      <c r="F1207" s="500">
        <v>510.36</v>
      </c>
      <c r="G1207" s="501" t="s">
        <v>274</v>
      </c>
      <c r="H1207" s="502"/>
      <c r="I1207" s="503">
        <f t="shared" si="18"/>
        <v>13791.60999999999</v>
      </c>
    </row>
    <row r="1208" spans="2:9">
      <c r="B1208" s="496">
        <v>45812</v>
      </c>
      <c r="C1208" s="497" t="s">
        <v>117</v>
      </c>
      <c r="D1208" s="498" t="s">
        <v>903</v>
      </c>
      <c r="E1208" s="499"/>
      <c r="F1208" s="500">
        <v>1</v>
      </c>
      <c r="G1208" s="501" t="s">
        <v>272</v>
      </c>
      <c r="H1208" s="502"/>
      <c r="I1208" s="503">
        <f t="shared" si="18"/>
        <v>13790.60999999999</v>
      </c>
    </row>
    <row r="1209" spans="2:9">
      <c r="B1209" s="496">
        <v>45812</v>
      </c>
      <c r="C1209" s="507" t="s">
        <v>283</v>
      </c>
      <c r="D1209" s="505" t="s">
        <v>307</v>
      </c>
      <c r="E1209" s="499">
        <v>60</v>
      </c>
      <c r="F1209" s="500"/>
      <c r="G1209" s="501" t="s">
        <v>190</v>
      </c>
      <c r="H1209" s="502"/>
      <c r="I1209" s="503">
        <f t="shared" si="18"/>
        <v>13850.60999999999</v>
      </c>
    </row>
    <row r="1210" spans="2:9">
      <c r="B1210" s="496">
        <v>45812</v>
      </c>
      <c r="C1210" s="497" t="s">
        <v>353</v>
      </c>
      <c r="D1210" s="498" t="s">
        <v>100</v>
      </c>
      <c r="E1210" s="499"/>
      <c r="F1210" s="500">
        <v>2128.0500000000002</v>
      </c>
      <c r="G1210" s="501" t="s">
        <v>194</v>
      </c>
      <c r="H1210" s="502"/>
      <c r="I1210" s="503">
        <f t="shared" si="18"/>
        <v>11722.55999999999</v>
      </c>
    </row>
    <row r="1211" spans="2:9">
      <c r="B1211" s="496">
        <v>45812</v>
      </c>
      <c r="C1211" s="497" t="s">
        <v>353</v>
      </c>
      <c r="D1211" s="498" t="s">
        <v>100</v>
      </c>
      <c r="E1211" s="499"/>
      <c r="F1211" s="500">
        <v>468.17</v>
      </c>
      <c r="G1211" s="501" t="s">
        <v>274</v>
      </c>
      <c r="H1211" s="502"/>
      <c r="I1211" s="503">
        <f t="shared" si="18"/>
        <v>11254.38999999999</v>
      </c>
    </row>
    <row r="1212" spans="2:9">
      <c r="B1212" s="496">
        <v>45812</v>
      </c>
      <c r="C1212" s="497" t="s">
        <v>117</v>
      </c>
      <c r="D1212" s="498" t="s">
        <v>903</v>
      </c>
      <c r="E1212" s="499"/>
      <c r="F1212" s="500">
        <v>1</v>
      </c>
      <c r="G1212" s="501" t="s">
        <v>272</v>
      </c>
      <c r="H1212" s="502"/>
      <c r="I1212" s="503">
        <f t="shared" si="18"/>
        <v>11253.38999999999</v>
      </c>
    </row>
    <row r="1213" spans="2:9">
      <c r="B1213" s="496">
        <v>45813</v>
      </c>
      <c r="C1213" s="507" t="s">
        <v>283</v>
      </c>
      <c r="D1213" s="505" t="s">
        <v>307</v>
      </c>
      <c r="E1213" s="499">
        <v>4.5999999999999996</v>
      </c>
      <c r="F1213" s="500"/>
      <c r="G1213" s="501" t="s">
        <v>190</v>
      </c>
      <c r="H1213" s="502" t="s">
        <v>1193</v>
      </c>
      <c r="I1213" s="503">
        <f t="shared" si="18"/>
        <v>11257.989999999991</v>
      </c>
    </row>
    <row r="1214" spans="2:9">
      <c r="B1214" s="496">
        <v>45813</v>
      </c>
      <c r="C1214" s="507" t="s">
        <v>283</v>
      </c>
      <c r="D1214" s="505" t="s">
        <v>307</v>
      </c>
      <c r="E1214" s="499">
        <v>450.3</v>
      </c>
      <c r="F1214" s="500"/>
      <c r="G1214" s="501" t="s">
        <v>190</v>
      </c>
      <c r="H1214" s="502"/>
      <c r="I1214" s="503">
        <f t="shared" si="18"/>
        <v>11708.28999999999</v>
      </c>
    </row>
    <row r="1215" spans="2:9">
      <c r="B1215" s="496">
        <v>45814</v>
      </c>
      <c r="C1215" s="507" t="s">
        <v>283</v>
      </c>
      <c r="D1215" s="505" t="s">
        <v>307</v>
      </c>
      <c r="E1215" s="499">
        <v>2.27</v>
      </c>
      <c r="F1215" s="500"/>
      <c r="G1215" s="501" t="s">
        <v>190</v>
      </c>
      <c r="H1215" s="502" t="s">
        <v>1193</v>
      </c>
      <c r="I1215" s="503">
        <f t="shared" si="18"/>
        <v>11710.55999999999</v>
      </c>
    </row>
    <row r="1216" spans="2:9">
      <c r="B1216" s="496">
        <v>45814</v>
      </c>
      <c r="C1216" s="507" t="s">
        <v>283</v>
      </c>
      <c r="D1216" s="505" t="s">
        <v>307</v>
      </c>
      <c r="E1216" s="499">
        <v>2993.01</v>
      </c>
      <c r="F1216" s="500"/>
      <c r="G1216" s="501" t="s">
        <v>190</v>
      </c>
      <c r="H1216" s="502"/>
      <c r="I1216" s="503">
        <f t="shared" si="18"/>
        <v>14703.569999999991</v>
      </c>
    </row>
    <row r="1217" spans="2:9">
      <c r="B1217" s="496">
        <v>45817</v>
      </c>
      <c r="C1217" s="507" t="s">
        <v>283</v>
      </c>
      <c r="D1217" s="505" t="s">
        <v>307</v>
      </c>
      <c r="E1217" s="499">
        <v>9.51</v>
      </c>
      <c r="F1217" s="500"/>
      <c r="G1217" s="501" t="s">
        <v>190</v>
      </c>
      <c r="H1217" s="502" t="s">
        <v>1193</v>
      </c>
      <c r="I1217" s="503">
        <f t="shared" si="18"/>
        <v>14713.079999999991</v>
      </c>
    </row>
    <row r="1218" spans="2:9">
      <c r="B1218" s="616">
        <v>45817</v>
      </c>
      <c r="C1218" s="617" t="s">
        <v>283</v>
      </c>
      <c r="D1218" s="618" t="s">
        <v>307</v>
      </c>
      <c r="E1218" s="619">
        <v>2999.1</v>
      </c>
      <c r="F1218" s="620"/>
      <c r="G1218" s="621" t="s">
        <v>190</v>
      </c>
      <c r="H1218" s="502"/>
      <c r="I1218" s="503">
        <f t="shared" si="18"/>
        <v>17712.179999999989</v>
      </c>
    </row>
    <row r="1219" spans="2:9">
      <c r="B1219" s="616">
        <v>45817</v>
      </c>
      <c r="C1219" s="617" t="s">
        <v>283</v>
      </c>
      <c r="D1219" s="618" t="s">
        <v>307</v>
      </c>
      <c r="E1219" s="619">
        <v>2662</v>
      </c>
      <c r="F1219" s="620"/>
      <c r="G1219" s="621" t="s">
        <v>190</v>
      </c>
      <c r="H1219" s="502"/>
      <c r="I1219" s="503">
        <f t="shared" si="18"/>
        <v>20374.179999999989</v>
      </c>
    </row>
    <row r="1220" spans="2:9">
      <c r="B1220" s="616">
        <v>45817</v>
      </c>
      <c r="C1220" s="617" t="s">
        <v>283</v>
      </c>
      <c r="D1220" s="618" t="s">
        <v>307</v>
      </c>
      <c r="E1220" s="619">
        <v>2568.4</v>
      </c>
      <c r="F1220" s="620"/>
      <c r="G1220" s="501"/>
      <c r="H1220" s="596" t="s">
        <v>824</v>
      </c>
      <c r="I1220" s="503">
        <f t="shared" si="18"/>
        <v>22942.579999999991</v>
      </c>
    </row>
    <row r="1221" spans="2:9">
      <c r="B1221" s="616">
        <v>45817</v>
      </c>
      <c r="C1221" s="617" t="s">
        <v>283</v>
      </c>
      <c r="D1221" s="618" t="s">
        <v>909</v>
      </c>
      <c r="E1221" s="619">
        <v>10</v>
      </c>
      <c r="F1221" s="620"/>
      <c r="G1221" s="621" t="s">
        <v>190</v>
      </c>
      <c r="H1221" s="502"/>
      <c r="I1221" s="503">
        <f t="shared" si="18"/>
        <v>22952.579999999991</v>
      </c>
    </row>
    <row r="1222" spans="2:9">
      <c r="B1222" s="496">
        <v>45817</v>
      </c>
      <c r="C1222" s="497">
        <v>24023558</v>
      </c>
      <c r="D1222" s="498" t="s">
        <v>1195</v>
      </c>
      <c r="E1222" s="499"/>
      <c r="F1222" s="500">
        <v>136.59</v>
      </c>
      <c r="G1222" s="501"/>
      <c r="H1222" s="508" t="s">
        <v>554</v>
      </c>
      <c r="I1222" s="503">
        <f t="shared" si="18"/>
        <v>22815.989999999991</v>
      </c>
    </row>
    <row r="1223" spans="2:9">
      <c r="B1223" s="496">
        <v>45817</v>
      </c>
      <c r="C1223" s="497">
        <v>24023558</v>
      </c>
      <c r="D1223" s="498" t="s">
        <v>1195</v>
      </c>
      <c r="E1223" s="499"/>
      <c r="F1223" s="500">
        <v>30.05</v>
      </c>
      <c r="G1223" s="501"/>
      <c r="H1223" s="508" t="s">
        <v>554</v>
      </c>
      <c r="I1223" s="503">
        <f t="shared" si="18"/>
        <v>22785.939999999991</v>
      </c>
    </row>
    <row r="1224" spans="2:9">
      <c r="B1224" s="496">
        <v>45817</v>
      </c>
      <c r="C1224" s="497">
        <v>24026807</v>
      </c>
      <c r="D1224" s="498" t="s">
        <v>1195</v>
      </c>
      <c r="E1224" s="499"/>
      <c r="F1224" s="500">
        <v>135.06</v>
      </c>
      <c r="G1224" s="501"/>
      <c r="H1224" s="508" t="s">
        <v>554</v>
      </c>
      <c r="I1224" s="503">
        <f t="shared" si="18"/>
        <v>22650.87999999999</v>
      </c>
    </row>
    <row r="1225" spans="2:9">
      <c r="B1225" s="496">
        <v>45817</v>
      </c>
      <c r="C1225" s="497">
        <v>24026807</v>
      </c>
      <c r="D1225" s="498" t="s">
        <v>1195</v>
      </c>
      <c r="E1225" s="499"/>
      <c r="F1225" s="500">
        <v>29.71</v>
      </c>
      <c r="G1225" s="501"/>
      <c r="H1225" s="508" t="s">
        <v>554</v>
      </c>
      <c r="I1225" s="503">
        <f t="shared" si="18"/>
        <v>22621.169999999991</v>
      </c>
    </row>
    <row r="1226" spans="2:9">
      <c r="B1226" s="496">
        <v>45817</v>
      </c>
      <c r="C1226" s="497" t="s">
        <v>117</v>
      </c>
      <c r="D1226" s="498" t="s">
        <v>903</v>
      </c>
      <c r="E1226" s="499"/>
      <c r="F1226" s="500">
        <v>1</v>
      </c>
      <c r="G1226" s="501" t="s">
        <v>272</v>
      </c>
      <c r="H1226" s="502"/>
      <c r="I1226" s="503">
        <f t="shared" ref="I1226:I1289" si="19">I1225+E1226-F1226</f>
        <v>22620.169999999991</v>
      </c>
    </row>
    <row r="1227" spans="2:9">
      <c r="B1227" s="496">
        <v>45818</v>
      </c>
      <c r="C1227" s="497" t="s">
        <v>1196</v>
      </c>
      <c r="D1227" s="498" t="s">
        <v>412</v>
      </c>
      <c r="E1227" s="499"/>
      <c r="F1227" s="500">
        <v>55.18</v>
      </c>
      <c r="G1227" s="501" t="s">
        <v>225</v>
      </c>
      <c r="H1227" s="502"/>
      <c r="I1227" s="503">
        <f t="shared" si="19"/>
        <v>22564.989999999991</v>
      </c>
    </row>
    <row r="1228" spans="2:9">
      <c r="B1228" s="496">
        <v>45818</v>
      </c>
      <c r="C1228" s="497" t="s">
        <v>1196</v>
      </c>
      <c r="D1228" s="498" t="s">
        <v>412</v>
      </c>
      <c r="E1228" s="499"/>
      <c r="F1228" s="500">
        <v>12.14</v>
      </c>
      <c r="G1228" s="501" t="s">
        <v>274</v>
      </c>
      <c r="H1228" s="502"/>
      <c r="I1228" s="503">
        <f t="shared" si="19"/>
        <v>22552.849999999991</v>
      </c>
    </row>
    <row r="1229" spans="2:9">
      <c r="B1229" s="496">
        <v>45818</v>
      </c>
      <c r="C1229" s="497" t="s">
        <v>117</v>
      </c>
      <c r="D1229" s="498" t="s">
        <v>921</v>
      </c>
      <c r="E1229" s="499"/>
      <c r="F1229" s="500">
        <v>1.25</v>
      </c>
      <c r="G1229" s="501" t="s">
        <v>271</v>
      </c>
      <c r="H1229" s="502"/>
      <c r="I1229" s="503">
        <f t="shared" si="19"/>
        <v>22551.599999999991</v>
      </c>
    </row>
    <row r="1230" spans="2:9">
      <c r="B1230" s="496">
        <v>45818</v>
      </c>
      <c r="C1230" s="507" t="s">
        <v>117</v>
      </c>
      <c r="D1230" s="498" t="s">
        <v>1197</v>
      </c>
      <c r="E1230" s="499"/>
      <c r="F1230" s="500">
        <v>1500</v>
      </c>
      <c r="G1230" s="501" t="s">
        <v>237</v>
      </c>
      <c r="H1230" s="502"/>
      <c r="I1230" s="503">
        <f t="shared" si="19"/>
        <v>21051.599999999991</v>
      </c>
    </row>
    <row r="1231" spans="2:9">
      <c r="B1231" s="496">
        <v>45818</v>
      </c>
      <c r="C1231" s="507" t="s">
        <v>1198</v>
      </c>
      <c r="D1231" s="505" t="s">
        <v>1199</v>
      </c>
      <c r="E1231" s="499"/>
      <c r="F1231" s="500">
        <v>2223.44</v>
      </c>
      <c r="G1231" s="501" t="s">
        <v>219</v>
      </c>
      <c r="H1231" s="502"/>
      <c r="I1231" s="503">
        <f t="shared" si="19"/>
        <v>18828.159999999993</v>
      </c>
    </row>
    <row r="1232" spans="2:9">
      <c r="B1232" s="496">
        <v>45818</v>
      </c>
      <c r="C1232" s="497" t="s">
        <v>117</v>
      </c>
      <c r="D1232" s="498" t="s">
        <v>903</v>
      </c>
      <c r="E1232" s="499"/>
      <c r="F1232" s="500">
        <v>0.75</v>
      </c>
      <c r="G1232" s="501" t="s">
        <v>272</v>
      </c>
      <c r="H1232" s="502"/>
      <c r="I1232" s="503">
        <f t="shared" si="19"/>
        <v>18827.409999999993</v>
      </c>
    </row>
    <row r="1233" spans="2:9">
      <c r="B1233" s="626">
        <v>45777</v>
      </c>
      <c r="C1233" s="497">
        <v>3824</v>
      </c>
      <c r="D1233" s="498" t="s">
        <v>361</v>
      </c>
      <c r="E1233" s="499"/>
      <c r="F1233" s="500">
        <v>945.13</v>
      </c>
      <c r="G1233" s="501" t="s">
        <v>199</v>
      </c>
      <c r="H1233" s="502"/>
      <c r="I1233" s="503">
        <f t="shared" si="19"/>
        <v>17882.279999999992</v>
      </c>
    </row>
    <row r="1234" spans="2:9">
      <c r="B1234" s="626">
        <v>45777</v>
      </c>
      <c r="C1234" s="497">
        <v>3824</v>
      </c>
      <c r="D1234" s="498" t="s">
        <v>361</v>
      </c>
      <c r="E1234" s="499"/>
      <c r="F1234" s="500">
        <v>68.61</v>
      </c>
      <c r="G1234" s="501" t="s">
        <v>274</v>
      </c>
      <c r="H1234" s="502"/>
      <c r="I1234" s="503">
        <f t="shared" si="19"/>
        <v>17813.669999999991</v>
      </c>
    </row>
    <row r="1235" spans="2:9">
      <c r="B1235" s="496">
        <v>45818</v>
      </c>
      <c r="C1235" s="497" t="s">
        <v>117</v>
      </c>
      <c r="D1235" s="498" t="s">
        <v>903</v>
      </c>
      <c r="E1235" s="499"/>
      <c r="F1235" s="500">
        <v>1</v>
      </c>
      <c r="G1235" s="501" t="s">
        <v>272</v>
      </c>
      <c r="H1235" s="502"/>
      <c r="I1235" s="503">
        <f t="shared" si="19"/>
        <v>17812.669999999991</v>
      </c>
    </row>
    <row r="1236" spans="2:9">
      <c r="B1236" s="496">
        <v>45818</v>
      </c>
      <c r="C1236" s="497" t="s">
        <v>283</v>
      </c>
      <c r="D1236" s="498" t="s">
        <v>307</v>
      </c>
      <c r="E1236" s="499">
        <v>438.3</v>
      </c>
      <c r="F1236" s="500"/>
      <c r="G1236" s="501" t="s">
        <v>190</v>
      </c>
      <c r="H1236" s="502"/>
      <c r="I1236" s="503">
        <f t="shared" si="19"/>
        <v>18250.96999999999</v>
      </c>
    </row>
    <row r="1237" spans="2:9">
      <c r="B1237" s="496">
        <v>45819</v>
      </c>
      <c r="C1237" s="497" t="s">
        <v>283</v>
      </c>
      <c r="D1237" s="498" t="s">
        <v>307</v>
      </c>
      <c r="E1237" s="499">
        <v>1532</v>
      </c>
      <c r="F1237" s="500"/>
      <c r="G1237" s="501" t="s">
        <v>190</v>
      </c>
      <c r="H1237" s="502"/>
      <c r="I1237" s="503">
        <f t="shared" si="19"/>
        <v>19782.96999999999</v>
      </c>
    </row>
    <row r="1238" spans="2:9">
      <c r="B1238" s="626">
        <v>45808</v>
      </c>
      <c r="C1238" s="507" t="s">
        <v>513</v>
      </c>
      <c r="D1238" s="505" t="s">
        <v>25</v>
      </c>
      <c r="E1238" s="499"/>
      <c r="F1238" s="500">
        <v>1243</v>
      </c>
      <c r="G1238" s="501" t="s">
        <v>246</v>
      </c>
      <c r="H1238" s="502"/>
      <c r="I1238" s="503">
        <f t="shared" si="19"/>
        <v>18539.96999999999</v>
      </c>
    </row>
    <row r="1239" spans="2:9">
      <c r="B1239" s="626">
        <v>45808</v>
      </c>
      <c r="C1239" s="507" t="s">
        <v>286</v>
      </c>
      <c r="D1239" s="505" t="s">
        <v>520</v>
      </c>
      <c r="E1239" s="499"/>
      <c r="F1239" s="500">
        <v>2141</v>
      </c>
      <c r="G1239" s="501" t="s">
        <v>139</v>
      </c>
      <c r="H1239" s="502"/>
      <c r="I1239" s="503">
        <f t="shared" si="19"/>
        <v>16398.96999999999</v>
      </c>
    </row>
    <row r="1240" spans="2:9">
      <c r="B1240" s="626">
        <v>45808</v>
      </c>
      <c r="C1240" s="507" t="s">
        <v>513</v>
      </c>
      <c r="D1240" s="505" t="s">
        <v>29</v>
      </c>
      <c r="E1240" s="499"/>
      <c r="F1240" s="500">
        <v>1211</v>
      </c>
      <c r="G1240" s="501" t="s">
        <v>243</v>
      </c>
      <c r="H1240" s="502"/>
      <c r="I1240" s="503">
        <f t="shared" si="19"/>
        <v>15187.96999999999</v>
      </c>
    </row>
    <row r="1241" spans="2:9">
      <c r="B1241" s="626">
        <v>45808</v>
      </c>
      <c r="C1241" s="507" t="s">
        <v>513</v>
      </c>
      <c r="D1241" s="505" t="s">
        <v>28</v>
      </c>
      <c r="E1241" s="499"/>
      <c r="F1241" s="500">
        <v>1448</v>
      </c>
      <c r="G1241" s="501" t="s">
        <v>243</v>
      </c>
      <c r="H1241" s="502"/>
      <c r="I1241" s="503">
        <f t="shared" si="19"/>
        <v>13739.96999999999</v>
      </c>
    </row>
    <row r="1242" spans="2:9">
      <c r="B1242" s="626">
        <v>45808</v>
      </c>
      <c r="C1242" s="507" t="s">
        <v>513</v>
      </c>
      <c r="D1242" s="498" t="s">
        <v>559</v>
      </c>
      <c r="E1242" s="499"/>
      <c r="F1242" s="500">
        <v>947</v>
      </c>
      <c r="G1242" s="501" t="s">
        <v>243</v>
      </c>
      <c r="H1242" s="502"/>
      <c r="I1242" s="503">
        <f t="shared" si="19"/>
        <v>12792.96999999999</v>
      </c>
    </row>
    <row r="1243" spans="2:9">
      <c r="B1243" s="626">
        <v>45808</v>
      </c>
      <c r="C1243" s="507" t="s">
        <v>513</v>
      </c>
      <c r="D1243" s="505" t="s">
        <v>557</v>
      </c>
      <c r="E1243" s="499"/>
      <c r="F1243" s="500">
        <v>1219</v>
      </c>
      <c r="G1243" s="501" t="s">
        <v>246</v>
      </c>
      <c r="H1243" s="502"/>
      <c r="I1243" s="503">
        <f t="shared" si="19"/>
        <v>11573.96999999999</v>
      </c>
    </row>
    <row r="1244" spans="2:9">
      <c r="B1244" s="626">
        <v>45808</v>
      </c>
      <c r="C1244" s="507" t="s">
        <v>513</v>
      </c>
      <c r="D1244" s="505" t="s">
        <v>558</v>
      </c>
      <c r="E1244" s="499"/>
      <c r="F1244" s="500">
        <v>571</v>
      </c>
      <c r="G1244" s="501" t="s">
        <v>245</v>
      </c>
      <c r="H1244" s="502"/>
      <c r="I1244" s="503">
        <f t="shared" si="19"/>
        <v>11002.96999999999</v>
      </c>
    </row>
    <row r="1245" spans="2:9">
      <c r="B1245" s="626">
        <v>45808</v>
      </c>
      <c r="C1245" s="497" t="s">
        <v>513</v>
      </c>
      <c r="D1245" s="498" t="s">
        <v>26</v>
      </c>
      <c r="E1245" s="499"/>
      <c r="F1245" s="500">
        <v>656</v>
      </c>
      <c r="G1245" s="501" t="s">
        <v>246</v>
      </c>
      <c r="H1245" s="502"/>
      <c r="I1245" s="503">
        <f t="shared" si="19"/>
        <v>10346.96999999999</v>
      </c>
    </row>
    <row r="1246" spans="2:9">
      <c r="B1246" s="626">
        <v>45808</v>
      </c>
      <c r="C1246" s="507" t="s">
        <v>513</v>
      </c>
      <c r="D1246" s="498" t="s">
        <v>24</v>
      </c>
      <c r="E1246" s="499"/>
      <c r="F1246" s="500">
        <v>79</v>
      </c>
      <c r="G1246" s="501" t="s">
        <v>245</v>
      </c>
      <c r="H1246" s="502"/>
      <c r="I1246" s="503">
        <f t="shared" si="19"/>
        <v>10267.96999999999</v>
      </c>
    </row>
    <row r="1247" spans="2:9">
      <c r="B1247" s="496">
        <v>45861</v>
      </c>
      <c r="C1247" s="497" t="s">
        <v>117</v>
      </c>
      <c r="D1247" s="498" t="s">
        <v>903</v>
      </c>
      <c r="E1247" s="499"/>
      <c r="F1247" s="500">
        <v>0.8</v>
      </c>
      <c r="G1247" s="501" t="s">
        <v>272</v>
      </c>
      <c r="H1247" s="506" t="s">
        <v>1901</v>
      </c>
      <c r="I1247" s="503">
        <f t="shared" si="19"/>
        <v>10267.169999999991</v>
      </c>
    </row>
    <row r="1248" spans="2:9">
      <c r="B1248" s="626">
        <v>45808</v>
      </c>
      <c r="C1248" s="497" t="s">
        <v>513</v>
      </c>
      <c r="D1248" s="498" t="s">
        <v>537</v>
      </c>
      <c r="E1248" s="499"/>
      <c r="F1248" s="500">
        <v>19.48</v>
      </c>
      <c r="G1248" s="501" t="s">
        <v>245</v>
      </c>
      <c r="H1248" s="502"/>
      <c r="I1248" s="503">
        <f t="shared" si="19"/>
        <v>10247.689999999991</v>
      </c>
    </row>
    <row r="1249" spans="2:9">
      <c r="B1249" s="496">
        <v>45820</v>
      </c>
      <c r="C1249" s="497" t="s">
        <v>117</v>
      </c>
      <c r="D1249" s="498" t="s">
        <v>903</v>
      </c>
      <c r="E1249" s="499"/>
      <c r="F1249" s="500">
        <v>5.6</v>
      </c>
      <c r="G1249" s="501" t="s">
        <v>272</v>
      </c>
      <c r="H1249" s="502"/>
      <c r="I1249" s="503">
        <f t="shared" si="19"/>
        <v>10242.089999999991</v>
      </c>
    </row>
    <row r="1250" spans="2:9">
      <c r="B1250" s="496">
        <v>45820</v>
      </c>
      <c r="C1250" s="507" t="s">
        <v>283</v>
      </c>
      <c r="D1250" s="505" t="s">
        <v>307</v>
      </c>
      <c r="E1250" s="499">
        <v>40.79</v>
      </c>
      <c r="F1250" s="500"/>
      <c r="G1250" s="501" t="s">
        <v>190</v>
      </c>
      <c r="H1250" s="502" t="s">
        <v>1193</v>
      </c>
      <c r="I1250" s="503">
        <f t="shared" si="19"/>
        <v>10282.879999999992</v>
      </c>
    </row>
    <row r="1251" spans="2:9">
      <c r="B1251" s="496">
        <v>45820</v>
      </c>
      <c r="C1251" s="497" t="s">
        <v>283</v>
      </c>
      <c r="D1251" s="498" t="s">
        <v>307</v>
      </c>
      <c r="E1251" s="499">
        <v>847.1</v>
      </c>
      <c r="F1251" s="500"/>
      <c r="G1251" s="501" t="s">
        <v>190</v>
      </c>
      <c r="H1251" s="502"/>
      <c r="I1251" s="503">
        <f t="shared" si="19"/>
        <v>11129.979999999992</v>
      </c>
    </row>
    <row r="1252" spans="2:9">
      <c r="B1252" s="496">
        <v>45820</v>
      </c>
      <c r="C1252" s="497">
        <v>1266</v>
      </c>
      <c r="D1252" s="498" t="s">
        <v>857</v>
      </c>
      <c r="E1252" s="499"/>
      <c r="F1252" s="500">
        <v>1600</v>
      </c>
      <c r="G1252" s="501" t="s">
        <v>219</v>
      </c>
      <c r="H1252" s="524"/>
      <c r="I1252" s="503">
        <f t="shared" si="19"/>
        <v>9529.9799999999923</v>
      </c>
    </row>
    <row r="1253" spans="2:9">
      <c r="B1253" s="496">
        <v>45820</v>
      </c>
      <c r="C1253" s="497">
        <v>1266</v>
      </c>
      <c r="D1253" s="498" t="s">
        <v>857</v>
      </c>
      <c r="E1253" s="499"/>
      <c r="F1253" s="500">
        <v>352</v>
      </c>
      <c r="G1253" s="501" t="s">
        <v>274</v>
      </c>
      <c r="H1253" s="502"/>
      <c r="I1253" s="503">
        <f t="shared" si="19"/>
        <v>9177.9799999999923</v>
      </c>
    </row>
    <row r="1254" spans="2:9">
      <c r="B1254" s="496">
        <v>45820</v>
      </c>
      <c r="C1254" s="497" t="s">
        <v>117</v>
      </c>
      <c r="D1254" s="498" t="s">
        <v>903</v>
      </c>
      <c r="E1254" s="499"/>
      <c r="F1254" s="500">
        <v>1</v>
      </c>
      <c r="G1254" s="501" t="s">
        <v>272</v>
      </c>
      <c r="H1254" s="502"/>
      <c r="I1254" s="503">
        <f t="shared" si="19"/>
        <v>9176.9799999999923</v>
      </c>
    </row>
    <row r="1255" spans="2:9">
      <c r="B1255" s="496">
        <v>45821</v>
      </c>
      <c r="C1255" s="497" t="s">
        <v>283</v>
      </c>
      <c r="D1255" s="498" t="s">
        <v>307</v>
      </c>
      <c r="E1255" s="499">
        <v>3259.3</v>
      </c>
      <c r="F1255" s="500"/>
      <c r="G1255" s="501"/>
      <c r="H1255" s="596" t="s">
        <v>824</v>
      </c>
      <c r="I1255" s="503">
        <f t="shared" si="19"/>
        <v>12436.279999999992</v>
      </c>
    </row>
    <row r="1256" spans="2:9">
      <c r="B1256" s="729">
        <v>45807</v>
      </c>
      <c r="C1256" s="776" t="s">
        <v>250</v>
      </c>
      <c r="D1256" s="773" t="s">
        <v>250</v>
      </c>
      <c r="E1256" s="499"/>
      <c r="F1256" s="500">
        <v>3365.81</v>
      </c>
      <c r="G1256" s="501" t="s">
        <v>250</v>
      </c>
      <c r="H1256" s="502"/>
      <c r="I1256" s="503">
        <f t="shared" si="19"/>
        <v>9070.4699999999921</v>
      </c>
    </row>
    <row r="1257" spans="2:9">
      <c r="B1257" s="729">
        <v>45807</v>
      </c>
      <c r="C1257" s="776" t="s">
        <v>250</v>
      </c>
      <c r="D1257" s="773" t="s">
        <v>329</v>
      </c>
      <c r="E1257" s="499"/>
      <c r="F1257" s="500">
        <v>83.33</v>
      </c>
      <c r="G1257" s="501" t="s">
        <v>221</v>
      </c>
      <c r="H1257" s="502"/>
      <c r="I1257" s="503">
        <f t="shared" si="19"/>
        <v>8987.1399999999921</v>
      </c>
    </row>
    <row r="1258" spans="2:9">
      <c r="B1258" s="729">
        <v>45807</v>
      </c>
      <c r="C1258" s="776" t="s">
        <v>250</v>
      </c>
      <c r="D1258" s="773" t="s">
        <v>990</v>
      </c>
      <c r="E1258" s="499"/>
      <c r="F1258" s="500">
        <v>170</v>
      </c>
      <c r="G1258" s="501" t="s">
        <v>222</v>
      </c>
      <c r="H1258" s="502"/>
      <c r="I1258" s="503">
        <f t="shared" si="19"/>
        <v>8817.1399999999921</v>
      </c>
    </row>
    <row r="1259" spans="2:9">
      <c r="B1259" s="729">
        <v>45807</v>
      </c>
      <c r="C1259" s="777" t="s">
        <v>250</v>
      </c>
      <c r="D1259" s="778" t="s">
        <v>1966</v>
      </c>
      <c r="E1259" s="499">
        <f>SUM(F1256:F1258)</f>
        <v>3619.14</v>
      </c>
      <c r="F1259" s="500"/>
      <c r="G1259" s="501"/>
      <c r="H1259" s="502"/>
      <c r="I1259" s="503">
        <f t="shared" si="19"/>
        <v>12436.279999999992</v>
      </c>
    </row>
    <row r="1260" spans="2:9">
      <c r="B1260" s="626">
        <v>45777</v>
      </c>
      <c r="C1260" s="497" t="s">
        <v>1200</v>
      </c>
      <c r="D1260" s="498" t="s">
        <v>349</v>
      </c>
      <c r="E1260" s="499"/>
      <c r="F1260" s="500">
        <v>403.64</v>
      </c>
      <c r="G1260" s="501" t="s">
        <v>199</v>
      </c>
      <c r="H1260" s="502"/>
      <c r="I1260" s="503">
        <f t="shared" si="19"/>
        <v>12032.639999999992</v>
      </c>
    </row>
    <row r="1261" spans="2:9">
      <c r="B1261" s="626">
        <v>45777</v>
      </c>
      <c r="C1261" s="507" t="s">
        <v>1200</v>
      </c>
      <c r="D1261" s="498" t="s">
        <v>349</v>
      </c>
      <c r="E1261" s="499"/>
      <c r="F1261" s="500">
        <v>40.36</v>
      </c>
      <c r="G1261" s="501" t="s">
        <v>274</v>
      </c>
      <c r="H1261" s="502"/>
      <c r="I1261" s="503">
        <f t="shared" si="19"/>
        <v>11992.279999999992</v>
      </c>
    </row>
    <row r="1262" spans="2:9">
      <c r="B1262" s="626">
        <v>45808</v>
      </c>
      <c r="C1262" s="507" t="s">
        <v>1201</v>
      </c>
      <c r="D1262" s="498" t="s">
        <v>349</v>
      </c>
      <c r="E1262" s="499"/>
      <c r="F1262" s="500">
        <v>1206.8800000000001</v>
      </c>
      <c r="G1262" s="501" t="s">
        <v>199</v>
      </c>
      <c r="H1262" s="502"/>
      <c r="I1262" s="503">
        <f t="shared" si="19"/>
        <v>10785.399999999991</v>
      </c>
    </row>
    <row r="1263" spans="2:9">
      <c r="B1263" s="626">
        <v>45808</v>
      </c>
      <c r="C1263" s="497" t="s">
        <v>1201</v>
      </c>
      <c r="D1263" s="498" t="s">
        <v>349</v>
      </c>
      <c r="E1263" s="499"/>
      <c r="F1263" s="500">
        <v>122.29</v>
      </c>
      <c r="G1263" s="501" t="s">
        <v>274</v>
      </c>
      <c r="H1263" s="502"/>
      <c r="I1263" s="503">
        <f t="shared" si="19"/>
        <v>10663.10999999999</v>
      </c>
    </row>
    <row r="1264" spans="2:9">
      <c r="B1264" s="496">
        <v>45821</v>
      </c>
      <c r="C1264" s="497" t="s">
        <v>117</v>
      </c>
      <c r="D1264" s="498" t="s">
        <v>903</v>
      </c>
      <c r="E1264" s="499"/>
      <c r="F1264" s="500">
        <v>1</v>
      </c>
      <c r="G1264" s="501" t="s">
        <v>272</v>
      </c>
      <c r="H1264" s="502"/>
      <c r="I1264" s="503">
        <f t="shared" si="19"/>
        <v>10662.10999999999</v>
      </c>
    </row>
    <row r="1265" spans="2:9">
      <c r="B1265" s="496">
        <v>45824</v>
      </c>
      <c r="C1265" s="507" t="s">
        <v>1202</v>
      </c>
      <c r="D1265" s="505" t="s">
        <v>338</v>
      </c>
      <c r="E1265" s="499"/>
      <c r="F1265" s="500">
        <v>515.4</v>
      </c>
      <c r="G1265" s="501" t="s">
        <v>196</v>
      </c>
      <c r="H1265" s="502"/>
      <c r="I1265" s="503">
        <f t="shared" si="19"/>
        <v>10146.70999999999</v>
      </c>
    </row>
    <row r="1266" spans="2:9">
      <c r="B1266" s="496">
        <v>45824</v>
      </c>
      <c r="C1266" s="535" t="s">
        <v>1202</v>
      </c>
      <c r="D1266" s="498" t="s">
        <v>338</v>
      </c>
      <c r="E1266" s="499"/>
      <c r="F1266" s="500">
        <v>113.39</v>
      </c>
      <c r="G1266" s="501" t="s">
        <v>274</v>
      </c>
      <c r="H1266" s="502"/>
      <c r="I1266" s="503">
        <f t="shared" si="19"/>
        <v>10033.319999999991</v>
      </c>
    </row>
    <row r="1267" spans="2:9">
      <c r="B1267" s="496">
        <v>45824</v>
      </c>
      <c r="C1267" s="497" t="s">
        <v>117</v>
      </c>
      <c r="D1267" s="498" t="s">
        <v>903</v>
      </c>
      <c r="E1267" s="499"/>
      <c r="F1267" s="500">
        <v>1</v>
      </c>
      <c r="G1267" s="501" t="s">
        <v>272</v>
      </c>
      <c r="H1267" s="502"/>
      <c r="I1267" s="503">
        <f t="shared" si="19"/>
        <v>10032.319999999991</v>
      </c>
    </row>
    <row r="1268" spans="2:9">
      <c r="B1268" s="496">
        <v>45824</v>
      </c>
      <c r="C1268" s="497" t="s">
        <v>283</v>
      </c>
      <c r="D1268" s="498" t="s">
        <v>307</v>
      </c>
      <c r="E1268" s="499">
        <v>205.7</v>
      </c>
      <c r="F1268" s="500"/>
      <c r="G1268" s="501"/>
      <c r="H1268" s="596" t="s">
        <v>824</v>
      </c>
      <c r="I1268" s="503">
        <f t="shared" si="19"/>
        <v>10238.019999999991</v>
      </c>
    </row>
    <row r="1269" spans="2:9">
      <c r="B1269" s="496">
        <v>45824</v>
      </c>
      <c r="C1269" s="497" t="s">
        <v>283</v>
      </c>
      <c r="D1269" s="498" t="s">
        <v>307</v>
      </c>
      <c r="E1269" s="499">
        <f>2810.1-205.7</f>
        <v>2604.4</v>
      </c>
      <c r="F1269" s="500"/>
      <c r="G1269" s="501" t="s">
        <v>190</v>
      </c>
      <c r="H1269" s="502"/>
      <c r="I1269" s="503">
        <f t="shared" si="19"/>
        <v>12842.419999999991</v>
      </c>
    </row>
    <row r="1270" spans="2:9">
      <c r="B1270" s="496">
        <v>45824</v>
      </c>
      <c r="C1270" s="497" t="s">
        <v>283</v>
      </c>
      <c r="D1270" s="498" t="s">
        <v>307</v>
      </c>
      <c r="E1270" s="499">
        <v>1719</v>
      </c>
      <c r="F1270" s="500"/>
      <c r="G1270" s="501" t="s">
        <v>190</v>
      </c>
      <c r="H1270" s="502"/>
      <c r="I1270" s="503">
        <f t="shared" si="19"/>
        <v>14561.419999999991</v>
      </c>
    </row>
    <row r="1271" spans="2:9">
      <c r="B1271" s="496">
        <v>45824</v>
      </c>
      <c r="C1271" s="497" t="s">
        <v>283</v>
      </c>
      <c r="D1271" s="498" t="s">
        <v>307</v>
      </c>
      <c r="E1271" s="499">
        <v>3204.43</v>
      </c>
      <c r="F1271" s="500"/>
      <c r="G1271" s="501" t="s">
        <v>190</v>
      </c>
      <c r="H1271" s="502"/>
      <c r="I1271" s="503">
        <f t="shared" si="19"/>
        <v>17765.849999999991</v>
      </c>
    </row>
    <row r="1272" spans="2:9">
      <c r="B1272" s="496">
        <v>45824</v>
      </c>
      <c r="C1272" s="497" t="s">
        <v>250</v>
      </c>
      <c r="D1272" s="498" t="s">
        <v>250</v>
      </c>
      <c r="E1272" s="499"/>
      <c r="F1272" s="500">
        <v>3365.81</v>
      </c>
      <c r="G1272" s="501" t="s">
        <v>250</v>
      </c>
      <c r="H1272" s="502"/>
      <c r="I1272" s="503">
        <f t="shared" si="19"/>
        <v>14400.039999999992</v>
      </c>
    </row>
    <row r="1273" spans="2:9">
      <c r="B1273" s="496">
        <v>45824</v>
      </c>
      <c r="C1273" s="497" t="s">
        <v>250</v>
      </c>
      <c r="D1273" s="498" t="s">
        <v>1203</v>
      </c>
      <c r="E1273" s="499"/>
      <c r="F1273" s="500">
        <v>3469</v>
      </c>
      <c r="G1273" s="501" t="s">
        <v>151</v>
      </c>
      <c r="H1273" s="502"/>
      <c r="I1273" s="503">
        <f t="shared" si="19"/>
        <v>10931.039999999992</v>
      </c>
    </row>
    <row r="1274" spans="2:9">
      <c r="B1274" s="496">
        <v>45824</v>
      </c>
      <c r="C1274" s="497" t="s">
        <v>117</v>
      </c>
      <c r="D1274" s="498" t="s">
        <v>823</v>
      </c>
      <c r="E1274" s="499">
        <v>6834.81</v>
      </c>
      <c r="F1274" s="500"/>
      <c r="G1274" s="501"/>
      <c r="H1274" s="596" t="s">
        <v>824</v>
      </c>
      <c r="I1274" s="503">
        <f t="shared" si="19"/>
        <v>17765.849999999991</v>
      </c>
    </row>
    <row r="1275" spans="2:9">
      <c r="B1275" s="496">
        <v>45825</v>
      </c>
      <c r="C1275" s="497" t="s">
        <v>1204</v>
      </c>
      <c r="D1275" s="498" t="s">
        <v>1205</v>
      </c>
      <c r="E1275" s="499"/>
      <c r="F1275" s="500">
        <v>450.36</v>
      </c>
      <c r="G1275" s="501"/>
      <c r="H1275" s="502" t="s">
        <v>1206</v>
      </c>
      <c r="I1275" s="503">
        <f t="shared" si="19"/>
        <v>17315.489999999991</v>
      </c>
    </row>
    <row r="1276" spans="2:9">
      <c r="B1276" s="496">
        <v>45825</v>
      </c>
      <c r="C1276" s="497" t="s">
        <v>1204</v>
      </c>
      <c r="D1276" s="498" t="s">
        <v>1205</v>
      </c>
      <c r="E1276" s="499"/>
      <c r="F1276" s="500">
        <v>99.08</v>
      </c>
      <c r="G1276" s="501" t="s">
        <v>197</v>
      </c>
      <c r="H1276" s="502" t="s">
        <v>1206</v>
      </c>
      <c r="I1276" s="503">
        <f t="shared" si="19"/>
        <v>17216.409999999989</v>
      </c>
    </row>
    <row r="1277" spans="2:9">
      <c r="B1277" s="496">
        <v>45825</v>
      </c>
      <c r="C1277" s="497" t="s">
        <v>117</v>
      </c>
      <c r="D1277" s="498" t="s">
        <v>903</v>
      </c>
      <c r="E1277" s="499"/>
      <c r="F1277" s="500">
        <v>1</v>
      </c>
      <c r="G1277" s="501" t="s">
        <v>272</v>
      </c>
      <c r="H1277" s="502"/>
      <c r="I1277" s="503">
        <f t="shared" si="19"/>
        <v>17215.409999999989</v>
      </c>
    </row>
    <row r="1278" spans="2:9">
      <c r="B1278" s="496">
        <v>45825</v>
      </c>
      <c r="C1278" s="497" t="s">
        <v>283</v>
      </c>
      <c r="D1278" s="498" t="s">
        <v>307</v>
      </c>
      <c r="E1278" s="499">
        <v>497.8</v>
      </c>
      <c r="F1278" s="500"/>
      <c r="G1278" s="501" t="s">
        <v>190</v>
      </c>
      <c r="H1278" s="502"/>
      <c r="I1278" s="503">
        <f t="shared" si="19"/>
        <v>17713.209999999988</v>
      </c>
    </row>
    <row r="1279" spans="2:9">
      <c r="B1279" s="626">
        <v>45777</v>
      </c>
      <c r="C1279" s="507" t="s">
        <v>1207</v>
      </c>
      <c r="D1279" s="505" t="s">
        <v>388</v>
      </c>
      <c r="E1279" s="499"/>
      <c r="F1279" s="500">
        <v>1184.3399999999999</v>
      </c>
      <c r="G1279" s="501" t="s">
        <v>224</v>
      </c>
      <c r="H1279" s="502"/>
      <c r="I1279" s="503">
        <f t="shared" si="19"/>
        <v>16528.869999999988</v>
      </c>
    </row>
    <row r="1280" spans="2:9">
      <c r="B1280" s="528">
        <v>45777</v>
      </c>
      <c r="C1280" s="507" t="s">
        <v>1207</v>
      </c>
      <c r="D1280" s="505" t="s">
        <v>388</v>
      </c>
      <c r="E1280" s="499"/>
      <c r="F1280" s="500">
        <v>260.55</v>
      </c>
      <c r="G1280" s="501" t="s">
        <v>274</v>
      </c>
      <c r="H1280" s="502"/>
      <c r="I1280" s="503">
        <f t="shared" si="19"/>
        <v>16268.319999999989</v>
      </c>
    </row>
    <row r="1281" spans="2:9">
      <c r="B1281" s="496">
        <v>45826</v>
      </c>
      <c r="C1281" s="497" t="s">
        <v>117</v>
      </c>
      <c r="D1281" s="498" t="s">
        <v>921</v>
      </c>
      <c r="E1281" s="499"/>
      <c r="F1281" s="500">
        <v>1.25</v>
      </c>
      <c r="G1281" s="501" t="s">
        <v>271</v>
      </c>
      <c r="H1281" s="502"/>
      <c r="I1281" s="503">
        <f t="shared" si="19"/>
        <v>16267.069999999989</v>
      </c>
    </row>
    <row r="1282" spans="2:9">
      <c r="B1282" s="496">
        <v>45826</v>
      </c>
      <c r="C1282" s="535">
        <v>26</v>
      </c>
      <c r="D1282" s="498" t="s">
        <v>1208</v>
      </c>
      <c r="E1282" s="499"/>
      <c r="F1282" s="500">
        <v>750</v>
      </c>
      <c r="G1282" s="501" t="s">
        <v>137</v>
      </c>
      <c r="H1282" s="502"/>
      <c r="I1282" s="503">
        <f t="shared" si="19"/>
        <v>15517.069999999989</v>
      </c>
    </row>
    <row r="1283" spans="2:9">
      <c r="B1283" s="496">
        <v>45826</v>
      </c>
      <c r="C1283" s="497" t="s">
        <v>117</v>
      </c>
      <c r="D1283" s="498" t="s">
        <v>903</v>
      </c>
      <c r="E1283" s="499"/>
      <c r="F1283" s="500">
        <v>1</v>
      </c>
      <c r="G1283" s="501" t="s">
        <v>272</v>
      </c>
      <c r="H1283" s="502"/>
      <c r="I1283" s="503">
        <f t="shared" si="19"/>
        <v>15516.069999999989</v>
      </c>
    </row>
    <row r="1284" spans="2:9">
      <c r="B1284" s="496">
        <v>45826</v>
      </c>
      <c r="C1284" s="507" t="s">
        <v>283</v>
      </c>
      <c r="D1284" s="505" t="s">
        <v>912</v>
      </c>
      <c r="E1284" s="499">
        <f>384+108</f>
        <v>492</v>
      </c>
      <c r="F1284" s="500"/>
      <c r="G1284" s="628"/>
      <c r="H1284" s="629" t="s">
        <v>841</v>
      </c>
      <c r="I1284" s="503">
        <f t="shared" si="19"/>
        <v>16008.069999999989</v>
      </c>
    </row>
    <row r="1285" spans="2:9">
      <c r="B1285" s="496">
        <v>45826</v>
      </c>
      <c r="C1285" s="507" t="s">
        <v>117</v>
      </c>
      <c r="D1285" s="505" t="s">
        <v>918</v>
      </c>
      <c r="E1285" s="499"/>
      <c r="F1285" s="500">
        <f>3.84+1.08</f>
        <v>4.92</v>
      </c>
      <c r="G1285" s="628"/>
      <c r="H1285" s="629" t="s">
        <v>841</v>
      </c>
      <c r="I1285" s="503">
        <f t="shared" si="19"/>
        <v>16003.149999999989</v>
      </c>
    </row>
    <row r="1286" spans="2:9">
      <c r="B1286" s="496">
        <v>45826</v>
      </c>
      <c r="C1286" s="497" t="s">
        <v>283</v>
      </c>
      <c r="D1286" s="498" t="s">
        <v>307</v>
      </c>
      <c r="E1286" s="499">
        <v>707</v>
      </c>
      <c r="F1286" s="500"/>
      <c r="G1286" s="501" t="s">
        <v>190</v>
      </c>
      <c r="H1286" s="502"/>
      <c r="I1286" s="503">
        <f t="shared" si="19"/>
        <v>16710.149999999987</v>
      </c>
    </row>
    <row r="1287" spans="2:9">
      <c r="B1287" s="496">
        <v>45826</v>
      </c>
      <c r="C1287" s="507" t="s">
        <v>1209</v>
      </c>
      <c r="D1287" s="505" t="s">
        <v>100</v>
      </c>
      <c r="E1287" s="499"/>
      <c r="F1287" s="500">
        <v>713.86</v>
      </c>
      <c r="G1287" s="501" t="s">
        <v>194</v>
      </c>
      <c r="H1287" s="502"/>
      <c r="I1287" s="503">
        <f t="shared" si="19"/>
        <v>15996.289999999986</v>
      </c>
    </row>
    <row r="1288" spans="2:9">
      <c r="B1288" s="496">
        <v>45826</v>
      </c>
      <c r="C1288" s="535" t="s">
        <v>1209</v>
      </c>
      <c r="D1288" s="498" t="s">
        <v>100</v>
      </c>
      <c r="E1288" s="499"/>
      <c r="F1288" s="500">
        <v>157.05000000000001</v>
      </c>
      <c r="G1288" s="501" t="s">
        <v>274</v>
      </c>
      <c r="H1288" s="502"/>
      <c r="I1288" s="503">
        <f t="shared" si="19"/>
        <v>15839.239999999987</v>
      </c>
    </row>
    <row r="1289" spans="2:9">
      <c r="B1289" s="496">
        <v>45826</v>
      </c>
      <c r="C1289" s="497" t="s">
        <v>117</v>
      </c>
      <c r="D1289" s="498" t="s">
        <v>903</v>
      </c>
      <c r="E1289" s="499"/>
      <c r="F1289" s="500">
        <v>1</v>
      </c>
      <c r="G1289" s="501" t="s">
        <v>272</v>
      </c>
      <c r="H1289" s="502"/>
      <c r="I1289" s="503">
        <f t="shared" si="19"/>
        <v>15838.239999999987</v>
      </c>
    </row>
    <row r="1290" spans="2:9">
      <c r="B1290" s="496">
        <v>45827</v>
      </c>
      <c r="C1290" s="497" t="s">
        <v>117</v>
      </c>
      <c r="D1290" s="498" t="s">
        <v>1210</v>
      </c>
      <c r="E1290" s="499"/>
      <c r="F1290" s="500">
        <v>247.95</v>
      </c>
      <c r="G1290" s="501" t="s">
        <v>266</v>
      </c>
      <c r="H1290" s="502"/>
      <c r="I1290" s="503">
        <f t="shared" ref="I1290:I1353" si="20">I1289+E1290-F1290</f>
        <v>15590.289999999986</v>
      </c>
    </row>
    <row r="1291" spans="2:9">
      <c r="B1291" s="496">
        <v>45827</v>
      </c>
      <c r="C1291" s="497" t="s">
        <v>117</v>
      </c>
      <c r="D1291" s="498" t="s">
        <v>921</v>
      </c>
      <c r="E1291" s="499"/>
      <c r="F1291" s="500">
        <v>1.25</v>
      </c>
      <c r="G1291" s="501" t="s">
        <v>271</v>
      </c>
      <c r="H1291" s="502"/>
      <c r="I1291" s="503">
        <f t="shared" si="20"/>
        <v>15589.039999999986</v>
      </c>
    </row>
    <row r="1292" spans="2:9">
      <c r="B1292" s="496">
        <v>45827</v>
      </c>
      <c r="C1292" s="507" t="s">
        <v>283</v>
      </c>
      <c r="D1292" s="505" t="s">
        <v>912</v>
      </c>
      <c r="E1292" s="499">
        <v>70</v>
      </c>
      <c r="F1292" s="500"/>
      <c r="G1292" s="628"/>
      <c r="H1292" s="629" t="s">
        <v>841</v>
      </c>
      <c r="I1292" s="503">
        <f t="shared" si="20"/>
        <v>15659.039999999986</v>
      </c>
    </row>
    <row r="1293" spans="2:9">
      <c r="B1293" s="496">
        <v>45827</v>
      </c>
      <c r="C1293" s="507" t="s">
        <v>117</v>
      </c>
      <c r="D1293" s="505" t="s">
        <v>918</v>
      </c>
      <c r="E1293" s="499"/>
      <c r="F1293" s="500">
        <v>0.7</v>
      </c>
      <c r="G1293" s="628"/>
      <c r="H1293" s="629" t="s">
        <v>841</v>
      </c>
      <c r="I1293" s="503">
        <f t="shared" si="20"/>
        <v>15658.339999999986</v>
      </c>
    </row>
    <row r="1294" spans="2:9">
      <c r="B1294" s="496">
        <v>45827</v>
      </c>
      <c r="C1294" s="497" t="s">
        <v>283</v>
      </c>
      <c r="D1294" s="498" t="s">
        <v>307</v>
      </c>
      <c r="E1294" s="499">
        <v>1751.4</v>
      </c>
      <c r="F1294" s="500"/>
      <c r="G1294" s="501" t="s">
        <v>190</v>
      </c>
      <c r="H1294" s="502"/>
      <c r="I1294" s="503">
        <f t="shared" si="20"/>
        <v>17409.739999999987</v>
      </c>
    </row>
    <row r="1295" spans="2:9">
      <c r="B1295" s="496">
        <v>45828</v>
      </c>
      <c r="C1295" s="497" t="s">
        <v>283</v>
      </c>
      <c r="D1295" s="498" t="s">
        <v>307</v>
      </c>
      <c r="E1295" s="499">
        <v>4139</v>
      </c>
      <c r="F1295" s="500"/>
      <c r="G1295" s="501"/>
      <c r="H1295" s="596" t="s">
        <v>824</v>
      </c>
      <c r="I1295" s="503">
        <f t="shared" si="20"/>
        <v>21548.739999999987</v>
      </c>
    </row>
    <row r="1296" spans="2:9">
      <c r="B1296" s="496">
        <v>45831</v>
      </c>
      <c r="C1296" s="497" t="s">
        <v>283</v>
      </c>
      <c r="D1296" s="498" t="s">
        <v>307</v>
      </c>
      <c r="E1296" s="499">
        <f>4671.5-4139</f>
        <v>532.5</v>
      </c>
      <c r="F1296" s="500"/>
      <c r="G1296" s="501" t="s">
        <v>190</v>
      </c>
      <c r="H1296" s="502"/>
      <c r="I1296" s="503">
        <f t="shared" si="20"/>
        <v>22081.239999999987</v>
      </c>
    </row>
    <row r="1297" spans="2:9">
      <c r="B1297" s="496">
        <v>45831</v>
      </c>
      <c r="C1297" s="497" t="s">
        <v>283</v>
      </c>
      <c r="D1297" s="498" t="s">
        <v>307</v>
      </c>
      <c r="E1297" s="499">
        <v>1786.2</v>
      </c>
      <c r="F1297" s="500"/>
      <c r="G1297" s="501" t="s">
        <v>190</v>
      </c>
      <c r="H1297" s="502"/>
      <c r="I1297" s="503">
        <f t="shared" si="20"/>
        <v>23867.439999999988</v>
      </c>
    </row>
    <row r="1298" spans="2:9">
      <c r="B1298" s="496">
        <v>45831</v>
      </c>
      <c r="C1298" s="497" t="s">
        <v>283</v>
      </c>
      <c r="D1298" s="498" t="s">
        <v>307</v>
      </c>
      <c r="E1298" s="499">
        <v>2103</v>
      </c>
      <c r="F1298" s="500"/>
      <c r="G1298" s="501"/>
      <c r="H1298" s="596" t="s">
        <v>824</v>
      </c>
      <c r="I1298" s="503">
        <f t="shared" si="20"/>
        <v>25970.439999999988</v>
      </c>
    </row>
    <row r="1299" spans="2:9">
      <c r="B1299" s="496">
        <v>45831</v>
      </c>
      <c r="C1299" s="497" t="s">
        <v>283</v>
      </c>
      <c r="D1299" s="498" t="s">
        <v>307</v>
      </c>
      <c r="E1299" s="499">
        <f>2548-2103</f>
        <v>445</v>
      </c>
      <c r="F1299" s="500"/>
      <c r="G1299" s="501" t="s">
        <v>190</v>
      </c>
      <c r="H1299" s="502"/>
      <c r="I1299" s="503">
        <f t="shared" si="20"/>
        <v>26415.439999999988</v>
      </c>
    </row>
    <row r="1300" spans="2:9">
      <c r="B1300" s="496">
        <v>45831</v>
      </c>
      <c r="C1300" s="497" t="s">
        <v>283</v>
      </c>
      <c r="D1300" s="498" t="s">
        <v>307</v>
      </c>
      <c r="E1300" s="499">
        <v>3037.2</v>
      </c>
      <c r="F1300" s="500"/>
      <c r="G1300" s="501" t="s">
        <v>190</v>
      </c>
      <c r="H1300" s="502"/>
      <c r="I1300" s="503">
        <f t="shared" si="20"/>
        <v>29452.639999999989</v>
      </c>
    </row>
    <row r="1301" spans="2:9">
      <c r="B1301" s="626">
        <v>45808</v>
      </c>
      <c r="C1301" s="497" t="s">
        <v>1211</v>
      </c>
      <c r="D1301" s="498" t="s">
        <v>394</v>
      </c>
      <c r="E1301" s="499"/>
      <c r="F1301" s="500">
        <v>821.57</v>
      </c>
      <c r="G1301" s="501" t="s">
        <v>194</v>
      </c>
      <c r="H1301" s="502"/>
      <c r="I1301" s="503">
        <f t="shared" si="20"/>
        <v>28631.069999999989</v>
      </c>
    </row>
    <row r="1302" spans="2:9">
      <c r="B1302" s="626">
        <v>45808</v>
      </c>
      <c r="C1302" s="497" t="s">
        <v>1211</v>
      </c>
      <c r="D1302" s="498" t="s">
        <v>394</v>
      </c>
      <c r="E1302" s="499"/>
      <c r="F1302" s="500">
        <v>69.83</v>
      </c>
      <c r="G1302" s="501" t="s">
        <v>274</v>
      </c>
      <c r="H1302" s="502"/>
      <c r="I1302" s="503">
        <f t="shared" si="20"/>
        <v>28561.239999999987</v>
      </c>
    </row>
    <row r="1303" spans="2:9">
      <c r="B1303" s="496">
        <v>45832</v>
      </c>
      <c r="C1303" s="497" t="s">
        <v>117</v>
      </c>
      <c r="D1303" s="498" t="s">
        <v>903</v>
      </c>
      <c r="E1303" s="499"/>
      <c r="F1303" s="500">
        <v>0.75</v>
      </c>
      <c r="G1303" s="501" t="s">
        <v>272</v>
      </c>
      <c r="H1303" s="502"/>
      <c r="I1303" s="503">
        <f t="shared" si="20"/>
        <v>28560.489999999987</v>
      </c>
    </row>
    <row r="1304" spans="2:9">
      <c r="B1304" s="496">
        <v>45832</v>
      </c>
      <c r="C1304" s="497" t="s">
        <v>283</v>
      </c>
      <c r="D1304" s="498" t="s">
        <v>307</v>
      </c>
      <c r="E1304" s="499">
        <v>1056.4000000000001</v>
      </c>
      <c r="F1304" s="500"/>
      <c r="G1304" s="501" t="s">
        <v>190</v>
      </c>
      <c r="H1304" s="502"/>
      <c r="I1304" s="503">
        <f t="shared" si="20"/>
        <v>29616.889999999989</v>
      </c>
    </row>
    <row r="1305" spans="2:9">
      <c r="B1305" s="496">
        <v>45833</v>
      </c>
      <c r="C1305" s="497" t="s">
        <v>283</v>
      </c>
      <c r="D1305" s="498" t="s">
        <v>307</v>
      </c>
      <c r="E1305" s="499">
        <v>1059.5</v>
      </c>
      <c r="F1305" s="500"/>
      <c r="G1305" s="501" t="s">
        <v>190</v>
      </c>
      <c r="H1305" s="502"/>
      <c r="I1305" s="503">
        <f t="shared" si="20"/>
        <v>30676.389999999989</v>
      </c>
    </row>
    <row r="1306" spans="2:9">
      <c r="B1306" s="496">
        <v>45833</v>
      </c>
      <c r="C1306" s="507" t="s">
        <v>283</v>
      </c>
      <c r="D1306" s="505" t="s">
        <v>912</v>
      </c>
      <c r="E1306" s="499">
        <v>53</v>
      </c>
      <c r="F1306" s="500"/>
      <c r="G1306" s="628"/>
      <c r="H1306" s="629" t="s">
        <v>841</v>
      </c>
      <c r="I1306" s="503">
        <f t="shared" si="20"/>
        <v>30729.389999999989</v>
      </c>
    </row>
    <row r="1307" spans="2:9">
      <c r="B1307" s="496">
        <v>45833</v>
      </c>
      <c r="C1307" s="507" t="s">
        <v>117</v>
      </c>
      <c r="D1307" s="505" t="s">
        <v>918</v>
      </c>
      <c r="E1307" s="499"/>
      <c r="F1307" s="500">
        <v>0.53</v>
      </c>
      <c r="G1307" s="628"/>
      <c r="H1307" s="629" t="s">
        <v>841</v>
      </c>
      <c r="I1307" s="503">
        <f t="shared" si="20"/>
        <v>30728.85999999999</v>
      </c>
    </row>
    <row r="1308" spans="2:9">
      <c r="B1308" s="496">
        <v>45834</v>
      </c>
      <c r="C1308" s="507" t="s">
        <v>283</v>
      </c>
      <c r="D1308" s="505" t="s">
        <v>912</v>
      </c>
      <c r="E1308" s="499">
        <f>265+60</f>
        <v>325</v>
      </c>
      <c r="F1308" s="500"/>
      <c r="G1308" s="628"/>
      <c r="H1308" s="629" t="s">
        <v>841</v>
      </c>
      <c r="I1308" s="503">
        <f t="shared" si="20"/>
        <v>31053.85999999999</v>
      </c>
    </row>
    <row r="1309" spans="2:9">
      <c r="B1309" s="496">
        <v>45834</v>
      </c>
      <c r="C1309" s="507" t="s">
        <v>117</v>
      </c>
      <c r="D1309" s="505" t="s">
        <v>918</v>
      </c>
      <c r="E1309" s="499"/>
      <c r="F1309" s="500">
        <f>2.65+0.6</f>
        <v>3.25</v>
      </c>
      <c r="G1309" s="628"/>
      <c r="H1309" s="629" t="s">
        <v>841</v>
      </c>
      <c r="I1309" s="503">
        <f t="shared" si="20"/>
        <v>31050.60999999999</v>
      </c>
    </row>
    <row r="1310" spans="2:9">
      <c r="B1310" s="496">
        <v>45834</v>
      </c>
      <c r="C1310" s="497" t="s">
        <v>283</v>
      </c>
      <c r="D1310" s="498" t="s">
        <v>307</v>
      </c>
      <c r="E1310" s="499">
        <v>1437.2</v>
      </c>
      <c r="F1310" s="500"/>
      <c r="G1310" s="501" t="s">
        <v>190</v>
      </c>
      <c r="H1310" s="502"/>
      <c r="I1310" s="503">
        <f t="shared" si="20"/>
        <v>32487.80999999999</v>
      </c>
    </row>
    <row r="1311" spans="2:9">
      <c r="B1311" s="496">
        <v>45835</v>
      </c>
      <c r="C1311" s="510"/>
      <c r="D1311" s="520" t="s">
        <v>943</v>
      </c>
      <c r="E1311" s="499"/>
      <c r="F1311" s="500">
        <v>22.55</v>
      </c>
      <c r="G1311" s="501" t="s">
        <v>197</v>
      </c>
      <c r="H1311" s="506" t="s">
        <v>1157</v>
      </c>
      <c r="I1311" s="503">
        <f t="shared" si="20"/>
        <v>32465.259999999991</v>
      </c>
    </row>
    <row r="1312" spans="2:9">
      <c r="B1312" s="496">
        <v>45835</v>
      </c>
      <c r="C1312" s="497">
        <v>7251339428</v>
      </c>
      <c r="D1312" s="498" t="s">
        <v>943</v>
      </c>
      <c r="E1312" s="499"/>
      <c r="F1312" s="500">
        <v>177.05</v>
      </c>
      <c r="G1312" s="501" t="s">
        <v>197</v>
      </c>
      <c r="H1312" s="506" t="s">
        <v>502</v>
      </c>
      <c r="I1312" s="503">
        <f t="shared" si="20"/>
        <v>32288.209999999992</v>
      </c>
    </row>
    <row r="1313" spans="2:9">
      <c r="B1313" s="496">
        <v>45835</v>
      </c>
      <c r="C1313" s="497">
        <v>7251339428</v>
      </c>
      <c r="D1313" s="498" t="s">
        <v>943</v>
      </c>
      <c r="E1313" s="499"/>
      <c r="F1313" s="500">
        <v>38.950000000000003</v>
      </c>
      <c r="G1313" s="501" t="s">
        <v>197</v>
      </c>
      <c r="H1313" s="506" t="s">
        <v>502</v>
      </c>
      <c r="I1313" s="503">
        <f t="shared" si="20"/>
        <v>32249.259999999991</v>
      </c>
    </row>
    <row r="1314" spans="2:9">
      <c r="B1314" s="496">
        <v>45835</v>
      </c>
      <c r="C1314" s="497" t="s">
        <v>1212</v>
      </c>
      <c r="D1314" s="498" t="s">
        <v>1213</v>
      </c>
      <c r="E1314" s="499"/>
      <c r="F1314" s="500">
        <v>254.02</v>
      </c>
      <c r="G1314" s="501" t="s">
        <v>204</v>
      </c>
      <c r="H1314" s="502" t="s">
        <v>1214</v>
      </c>
      <c r="I1314" s="503">
        <f t="shared" si="20"/>
        <v>31995.239999999991</v>
      </c>
    </row>
    <row r="1315" spans="2:9">
      <c r="B1315" s="496">
        <v>45835</v>
      </c>
      <c r="C1315" s="497" t="s">
        <v>1212</v>
      </c>
      <c r="D1315" s="498" t="s">
        <v>1213</v>
      </c>
      <c r="E1315" s="499"/>
      <c r="F1315" s="500">
        <v>55.88</v>
      </c>
      <c r="G1315" s="501" t="s">
        <v>274</v>
      </c>
      <c r="H1315" s="502" t="s">
        <v>1214</v>
      </c>
      <c r="I1315" s="503">
        <f t="shared" si="20"/>
        <v>31939.35999999999</v>
      </c>
    </row>
    <row r="1316" spans="2:9">
      <c r="B1316" s="496">
        <v>45835</v>
      </c>
      <c r="C1316" s="497" t="s">
        <v>1215</v>
      </c>
      <c r="D1316" s="498" t="s">
        <v>1216</v>
      </c>
      <c r="E1316" s="499"/>
      <c r="F1316" s="500">
        <v>157.57</v>
      </c>
      <c r="G1316" s="501" t="s">
        <v>208</v>
      </c>
      <c r="H1316" s="502" t="s">
        <v>1214</v>
      </c>
      <c r="I1316" s="503">
        <f t="shared" si="20"/>
        <v>31781.78999999999</v>
      </c>
    </row>
    <row r="1317" spans="2:9">
      <c r="B1317" s="496">
        <v>45835</v>
      </c>
      <c r="C1317" s="497" t="s">
        <v>1215</v>
      </c>
      <c r="D1317" s="498" t="s">
        <v>1216</v>
      </c>
      <c r="E1317" s="499"/>
      <c r="F1317" s="500">
        <v>34.67</v>
      </c>
      <c r="G1317" s="501" t="s">
        <v>274</v>
      </c>
      <c r="H1317" s="502" t="s">
        <v>1214</v>
      </c>
      <c r="I1317" s="503">
        <f t="shared" si="20"/>
        <v>31747.119999999992</v>
      </c>
    </row>
    <row r="1318" spans="2:9">
      <c r="B1318" s="496">
        <v>45835</v>
      </c>
      <c r="C1318" s="510"/>
      <c r="D1318" s="520" t="s">
        <v>943</v>
      </c>
      <c r="E1318" s="499"/>
      <c r="F1318" s="500">
        <v>45.1</v>
      </c>
      <c r="G1318" s="501" t="s">
        <v>197</v>
      </c>
      <c r="H1318" s="506" t="s">
        <v>1157</v>
      </c>
      <c r="I1318" s="503">
        <f t="shared" si="20"/>
        <v>31702.019999999993</v>
      </c>
    </row>
    <row r="1319" spans="2:9">
      <c r="B1319" s="496">
        <v>45835</v>
      </c>
      <c r="C1319" s="497" t="s">
        <v>117</v>
      </c>
      <c r="D1319" s="498" t="s">
        <v>1217</v>
      </c>
      <c r="E1319" s="499"/>
      <c r="F1319" s="500">
        <v>173.17</v>
      </c>
      <c r="G1319" s="501" t="s">
        <v>202</v>
      </c>
      <c r="H1319" s="502" t="s">
        <v>1214</v>
      </c>
      <c r="I1319" s="503">
        <f t="shared" si="20"/>
        <v>31528.849999999995</v>
      </c>
    </row>
    <row r="1320" spans="2:9">
      <c r="B1320" s="496">
        <v>45835</v>
      </c>
      <c r="C1320" s="497" t="s">
        <v>117</v>
      </c>
      <c r="D1320" s="498" t="s">
        <v>1045</v>
      </c>
      <c r="E1320" s="499"/>
      <c r="F1320" s="500">
        <v>345.43</v>
      </c>
      <c r="G1320" s="501" t="s">
        <v>232</v>
      </c>
      <c r="H1320" s="502" t="s">
        <v>1214</v>
      </c>
      <c r="I1320" s="503">
        <f t="shared" si="20"/>
        <v>31183.419999999995</v>
      </c>
    </row>
    <row r="1321" spans="2:9">
      <c r="B1321" s="496">
        <v>45835</v>
      </c>
      <c r="C1321" s="497" t="s">
        <v>1218</v>
      </c>
      <c r="D1321" s="498" t="s">
        <v>1219</v>
      </c>
      <c r="E1321" s="499"/>
      <c r="F1321" s="500">
        <v>99</v>
      </c>
      <c r="G1321" s="501" t="s">
        <v>216</v>
      </c>
      <c r="H1321" s="502" t="s">
        <v>1214</v>
      </c>
      <c r="I1321" s="503">
        <f t="shared" si="20"/>
        <v>31084.419999999995</v>
      </c>
    </row>
    <row r="1322" spans="2:9">
      <c r="B1322" s="496">
        <v>45835</v>
      </c>
      <c r="C1322" s="497" t="s">
        <v>1218</v>
      </c>
      <c r="D1322" s="498" t="s">
        <v>1219</v>
      </c>
      <c r="E1322" s="499"/>
      <c r="F1322" s="500">
        <v>21.78</v>
      </c>
      <c r="G1322" s="501" t="s">
        <v>274</v>
      </c>
      <c r="H1322" s="502" t="s">
        <v>1214</v>
      </c>
      <c r="I1322" s="503">
        <f t="shared" si="20"/>
        <v>31062.639999999996</v>
      </c>
    </row>
    <row r="1323" spans="2:9">
      <c r="B1323" s="496">
        <v>45835</v>
      </c>
      <c r="C1323" s="497" t="s">
        <v>1220</v>
      </c>
      <c r="D1323" s="498" t="s">
        <v>545</v>
      </c>
      <c r="E1323" s="499"/>
      <c r="F1323" s="500">
        <v>810.66</v>
      </c>
      <c r="G1323" s="501" t="s">
        <v>137</v>
      </c>
      <c r="H1323" s="502" t="s">
        <v>1214</v>
      </c>
      <c r="I1323" s="503">
        <f t="shared" si="20"/>
        <v>30251.979999999996</v>
      </c>
    </row>
    <row r="1324" spans="2:9">
      <c r="B1324" s="496">
        <v>45835</v>
      </c>
      <c r="C1324" s="497">
        <v>6223</v>
      </c>
      <c r="D1324" s="498" t="s">
        <v>1221</v>
      </c>
      <c r="E1324" s="499"/>
      <c r="F1324" s="500">
        <v>385.76</v>
      </c>
      <c r="G1324" s="501"/>
      <c r="H1324" s="506" t="s">
        <v>502</v>
      </c>
      <c r="I1324" s="503">
        <f t="shared" si="20"/>
        <v>29866.219999999998</v>
      </c>
    </row>
    <row r="1325" spans="2:9">
      <c r="B1325" s="496">
        <v>45835</v>
      </c>
      <c r="C1325" s="497">
        <v>6223</v>
      </c>
      <c r="D1325" s="498" t="s">
        <v>1221</v>
      </c>
      <c r="E1325" s="499"/>
      <c r="F1325" s="500">
        <v>84.87</v>
      </c>
      <c r="G1325" s="501"/>
      <c r="H1325" s="506" t="s">
        <v>502</v>
      </c>
      <c r="I1325" s="503">
        <f t="shared" si="20"/>
        <v>29781.35</v>
      </c>
    </row>
    <row r="1326" spans="2:9">
      <c r="B1326" s="496">
        <v>45835</v>
      </c>
      <c r="C1326" s="497" t="s">
        <v>1222</v>
      </c>
      <c r="D1326" s="498" t="s">
        <v>950</v>
      </c>
      <c r="E1326" s="499"/>
      <c r="F1326" s="500">
        <v>27.79</v>
      </c>
      <c r="G1326" s="501" t="s">
        <v>256</v>
      </c>
      <c r="H1326" s="502" t="s">
        <v>1214</v>
      </c>
      <c r="I1326" s="503">
        <f t="shared" si="20"/>
        <v>29753.559999999998</v>
      </c>
    </row>
    <row r="1327" spans="2:9">
      <c r="B1327" s="496">
        <v>45835</v>
      </c>
      <c r="C1327" s="497" t="s">
        <v>1222</v>
      </c>
      <c r="D1327" s="498" t="s">
        <v>950</v>
      </c>
      <c r="E1327" s="499"/>
      <c r="F1327" s="500">
        <v>6.11</v>
      </c>
      <c r="G1327" s="501" t="s">
        <v>274</v>
      </c>
      <c r="H1327" s="502" t="s">
        <v>1214</v>
      </c>
      <c r="I1327" s="503">
        <f t="shared" si="20"/>
        <v>29747.449999999997</v>
      </c>
    </row>
    <row r="1328" spans="2:9">
      <c r="B1328" s="496">
        <v>45835</v>
      </c>
      <c r="C1328" s="497" t="s">
        <v>117</v>
      </c>
      <c r="D1328" s="498" t="s">
        <v>1223</v>
      </c>
      <c r="E1328" s="499"/>
      <c r="F1328" s="500">
        <v>501.5</v>
      </c>
      <c r="G1328" s="501" t="s">
        <v>257</v>
      </c>
      <c r="H1328" s="502" t="s">
        <v>1214</v>
      </c>
      <c r="I1328" s="503">
        <f t="shared" si="20"/>
        <v>29245.949999999997</v>
      </c>
    </row>
    <row r="1329" spans="2:9">
      <c r="B1329" s="496">
        <v>45835</v>
      </c>
      <c r="C1329" s="497" t="s">
        <v>1224</v>
      </c>
      <c r="D1329" s="498" t="s">
        <v>545</v>
      </c>
      <c r="E1329" s="499"/>
      <c r="F1329" s="500">
        <v>20.100000000000001</v>
      </c>
      <c r="G1329" s="501" t="s">
        <v>207</v>
      </c>
      <c r="H1329" s="502" t="s">
        <v>1214</v>
      </c>
      <c r="I1329" s="503">
        <f t="shared" si="20"/>
        <v>29225.85</v>
      </c>
    </row>
    <row r="1330" spans="2:9">
      <c r="B1330" s="496">
        <v>45835</v>
      </c>
      <c r="C1330" s="497" t="s">
        <v>1224</v>
      </c>
      <c r="D1330" s="498" t="s">
        <v>545</v>
      </c>
      <c r="E1330" s="499"/>
      <c r="F1330" s="500">
        <v>0.8</v>
      </c>
      <c r="G1330" s="501" t="s">
        <v>274</v>
      </c>
      <c r="H1330" s="502" t="s">
        <v>1214</v>
      </c>
      <c r="I1330" s="503">
        <f t="shared" si="20"/>
        <v>29225.05</v>
      </c>
    </row>
    <row r="1331" spans="2:9">
      <c r="B1331" s="496">
        <v>45835</v>
      </c>
      <c r="C1331" s="497" t="s">
        <v>1225</v>
      </c>
      <c r="D1331" s="498" t="s">
        <v>545</v>
      </c>
      <c r="E1331" s="499"/>
      <c r="F1331" s="500">
        <f>27.22-1.05</f>
        <v>26.169999999999998</v>
      </c>
      <c r="G1331" s="501" t="s">
        <v>207</v>
      </c>
      <c r="H1331" s="502" t="s">
        <v>1214</v>
      </c>
      <c r="I1331" s="503">
        <f t="shared" si="20"/>
        <v>29198.880000000001</v>
      </c>
    </row>
    <row r="1332" spans="2:9">
      <c r="B1332" s="496">
        <v>45835</v>
      </c>
      <c r="C1332" s="497" t="s">
        <v>1225</v>
      </c>
      <c r="D1332" s="498" t="s">
        <v>545</v>
      </c>
      <c r="E1332" s="499"/>
      <c r="F1332" s="500">
        <v>1.05</v>
      </c>
      <c r="G1332" s="501" t="s">
        <v>274</v>
      </c>
      <c r="H1332" s="502" t="s">
        <v>1214</v>
      </c>
      <c r="I1332" s="503">
        <f t="shared" si="20"/>
        <v>29197.83</v>
      </c>
    </row>
    <row r="1333" spans="2:9">
      <c r="B1333" s="496">
        <v>45835</v>
      </c>
      <c r="C1333" s="497">
        <v>9250867001</v>
      </c>
      <c r="D1333" s="498" t="s">
        <v>952</v>
      </c>
      <c r="E1333" s="499"/>
      <c r="F1333" s="500">
        <v>8.9700000000000006</v>
      </c>
      <c r="G1333" s="501" t="s">
        <v>230</v>
      </c>
      <c r="H1333" s="502" t="s">
        <v>1214</v>
      </c>
      <c r="I1333" s="503">
        <f t="shared" si="20"/>
        <v>29188.86</v>
      </c>
    </row>
    <row r="1334" spans="2:9">
      <c r="B1334" s="496">
        <v>45835</v>
      </c>
      <c r="C1334" s="497">
        <v>9250867001</v>
      </c>
      <c r="D1334" s="498" t="s">
        <v>952</v>
      </c>
      <c r="E1334" s="499"/>
      <c r="F1334" s="500">
        <v>1.97</v>
      </c>
      <c r="G1334" s="501" t="s">
        <v>274</v>
      </c>
      <c r="H1334" s="502" t="s">
        <v>1214</v>
      </c>
      <c r="I1334" s="503">
        <f t="shared" si="20"/>
        <v>29186.89</v>
      </c>
    </row>
    <row r="1335" spans="2:9">
      <c r="B1335" s="496">
        <v>45835</v>
      </c>
      <c r="C1335" s="497" t="s">
        <v>1226</v>
      </c>
      <c r="D1335" s="498" t="s">
        <v>952</v>
      </c>
      <c r="E1335" s="499"/>
      <c r="F1335" s="500">
        <v>73.650000000000006</v>
      </c>
      <c r="G1335" s="501" t="s">
        <v>230</v>
      </c>
      <c r="H1335" s="502" t="s">
        <v>1214</v>
      </c>
      <c r="I1335" s="503">
        <f t="shared" si="20"/>
        <v>29113.239999999998</v>
      </c>
    </row>
    <row r="1336" spans="2:9">
      <c r="B1336" s="496">
        <v>45835</v>
      </c>
      <c r="C1336" s="497" t="s">
        <v>1226</v>
      </c>
      <c r="D1336" s="498" t="s">
        <v>952</v>
      </c>
      <c r="E1336" s="499"/>
      <c r="F1336" s="500">
        <v>15.65</v>
      </c>
      <c r="G1336" s="501" t="s">
        <v>274</v>
      </c>
      <c r="H1336" s="502" t="s">
        <v>1214</v>
      </c>
      <c r="I1336" s="503">
        <f t="shared" si="20"/>
        <v>29097.589999999997</v>
      </c>
    </row>
    <row r="1337" spans="2:9">
      <c r="B1337" s="496">
        <v>45835</v>
      </c>
      <c r="C1337" s="497" t="s">
        <v>1227</v>
      </c>
      <c r="D1337" s="498" t="s">
        <v>1228</v>
      </c>
      <c r="E1337" s="499"/>
      <c r="F1337" s="500">
        <v>97.87</v>
      </c>
      <c r="G1337" s="501" t="s">
        <v>207</v>
      </c>
      <c r="H1337" s="502" t="s">
        <v>1214</v>
      </c>
      <c r="I1337" s="503">
        <f t="shared" si="20"/>
        <v>28999.719999999998</v>
      </c>
    </row>
    <row r="1338" spans="2:9">
      <c r="B1338" s="496">
        <v>45835</v>
      </c>
      <c r="C1338" s="497" t="s">
        <v>1227</v>
      </c>
      <c r="D1338" s="498" t="s">
        <v>1228</v>
      </c>
      <c r="E1338" s="499"/>
      <c r="F1338" s="500">
        <v>21.53</v>
      </c>
      <c r="G1338" s="501" t="s">
        <v>274</v>
      </c>
      <c r="H1338" s="502" t="s">
        <v>1214</v>
      </c>
      <c r="I1338" s="503">
        <f t="shared" si="20"/>
        <v>28978.19</v>
      </c>
    </row>
    <row r="1339" spans="2:9">
      <c r="B1339" s="496">
        <v>45747</v>
      </c>
      <c r="C1339" s="511" t="s">
        <v>1229</v>
      </c>
      <c r="D1339" s="498" t="s">
        <v>412</v>
      </c>
      <c r="E1339" s="499"/>
      <c r="F1339" s="500">
        <v>54.89</v>
      </c>
      <c r="G1339" s="501" t="s">
        <v>225</v>
      </c>
      <c r="H1339" s="502" t="s">
        <v>1214</v>
      </c>
      <c r="I1339" s="503">
        <f t="shared" si="20"/>
        <v>28923.3</v>
      </c>
    </row>
    <row r="1340" spans="2:9">
      <c r="B1340" s="496">
        <v>45747</v>
      </c>
      <c r="C1340" s="511" t="s">
        <v>1229</v>
      </c>
      <c r="D1340" s="498" t="s">
        <v>412</v>
      </c>
      <c r="E1340" s="499"/>
      <c r="F1340" s="500">
        <v>15.38</v>
      </c>
      <c r="G1340" s="501" t="s">
        <v>274</v>
      </c>
      <c r="H1340" s="502" t="s">
        <v>1214</v>
      </c>
      <c r="I1340" s="503">
        <f t="shared" si="20"/>
        <v>28907.919999999998</v>
      </c>
    </row>
    <row r="1341" spans="2:9">
      <c r="B1341" s="496">
        <v>45777</v>
      </c>
      <c r="C1341" s="511" t="s">
        <v>1230</v>
      </c>
      <c r="D1341" s="498" t="s">
        <v>412</v>
      </c>
      <c r="E1341" s="499"/>
      <c r="F1341" s="500">
        <v>58.96</v>
      </c>
      <c r="G1341" s="501" t="s">
        <v>225</v>
      </c>
      <c r="H1341" s="502" t="s">
        <v>1214</v>
      </c>
      <c r="I1341" s="503">
        <f t="shared" si="20"/>
        <v>28848.959999999999</v>
      </c>
    </row>
    <row r="1342" spans="2:9">
      <c r="B1342" s="496">
        <v>45777</v>
      </c>
      <c r="C1342" s="511" t="s">
        <v>1230</v>
      </c>
      <c r="D1342" s="498" t="s">
        <v>412</v>
      </c>
      <c r="E1342" s="499"/>
      <c r="F1342" s="500">
        <v>15.38</v>
      </c>
      <c r="G1342" s="501" t="s">
        <v>274</v>
      </c>
      <c r="H1342" s="502" t="s">
        <v>1214</v>
      </c>
      <c r="I1342" s="503">
        <f t="shared" si="20"/>
        <v>28833.579999999998</v>
      </c>
    </row>
    <row r="1343" spans="2:9">
      <c r="B1343" s="496">
        <v>45808</v>
      </c>
      <c r="C1343" s="511" t="s">
        <v>1231</v>
      </c>
      <c r="D1343" s="498" t="s">
        <v>412</v>
      </c>
      <c r="E1343" s="499"/>
      <c r="F1343" s="500">
        <v>56.3</v>
      </c>
      <c r="G1343" s="501" t="s">
        <v>225</v>
      </c>
      <c r="H1343" s="502" t="s">
        <v>1214</v>
      </c>
      <c r="I1343" s="503">
        <f t="shared" si="20"/>
        <v>28777.279999999999</v>
      </c>
    </row>
    <row r="1344" spans="2:9">
      <c r="B1344" s="496">
        <v>45808</v>
      </c>
      <c r="C1344" s="511" t="s">
        <v>1231</v>
      </c>
      <c r="D1344" s="498" t="s">
        <v>412</v>
      </c>
      <c r="E1344" s="499"/>
      <c r="F1344" s="500">
        <v>15.38</v>
      </c>
      <c r="G1344" s="501" t="s">
        <v>274</v>
      </c>
      <c r="H1344" s="502" t="s">
        <v>1214</v>
      </c>
      <c r="I1344" s="503">
        <f t="shared" si="20"/>
        <v>28761.899999999998</v>
      </c>
    </row>
    <row r="1345" spans="2:9">
      <c r="B1345" s="496">
        <v>45835</v>
      </c>
      <c r="C1345" s="511" t="s">
        <v>1232</v>
      </c>
      <c r="D1345" s="498" t="s">
        <v>1233</v>
      </c>
      <c r="E1345" s="499"/>
      <c r="F1345" s="500">
        <v>259.83999999999997</v>
      </c>
      <c r="G1345" s="501" t="s">
        <v>194</v>
      </c>
      <c r="H1345" s="502" t="s">
        <v>1214</v>
      </c>
      <c r="I1345" s="503">
        <f t="shared" si="20"/>
        <v>28502.059999999998</v>
      </c>
    </row>
    <row r="1346" spans="2:9">
      <c r="B1346" s="496">
        <v>45835</v>
      </c>
      <c r="C1346" s="511" t="s">
        <v>1232</v>
      </c>
      <c r="D1346" s="498" t="s">
        <v>1233</v>
      </c>
      <c r="E1346" s="499"/>
      <c r="F1346" s="500">
        <v>57.16</v>
      </c>
      <c r="G1346" s="501" t="s">
        <v>274</v>
      </c>
      <c r="H1346" s="502" t="s">
        <v>1214</v>
      </c>
      <c r="I1346" s="503">
        <f t="shared" si="20"/>
        <v>28444.899999999998</v>
      </c>
    </row>
    <row r="1347" spans="2:9">
      <c r="B1347" s="496">
        <v>45835</v>
      </c>
      <c r="C1347" s="507" t="s">
        <v>117</v>
      </c>
      <c r="D1347" s="505" t="s">
        <v>908</v>
      </c>
      <c r="E1347" s="499"/>
      <c r="F1347" s="500">
        <v>2</v>
      </c>
      <c r="G1347" s="501" t="s">
        <v>254</v>
      </c>
      <c r="H1347" s="502" t="s">
        <v>1214</v>
      </c>
      <c r="I1347" s="503">
        <f t="shared" si="20"/>
        <v>28442.899999999998</v>
      </c>
    </row>
    <row r="1348" spans="2:9">
      <c r="B1348" s="496">
        <v>45835</v>
      </c>
      <c r="C1348" s="497" t="s">
        <v>117</v>
      </c>
      <c r="D1348" s="498" t="s">
        <v>921</v>
      </c>
      <c r="E1348" s="499"/>
      <c r="F1348" s="500">
        <v>1.25</v>
      </c>
      <c r="G1348" s="501" t="s">
        <v>271</v>
      </c>
      <c r="H1348" s="502"/>
      <c r="I1348" s="503">
        <f t="shared" si="20"/>
        <v>28441.649999999998</v>
      </c>
    </row>
    <row r="1349" spans="2:9">
      <c r="B1349" s="496">
        <v>45835</v>
      </c>
      <c r="C1349" s="497" t="s">
        <v>283</v>
      </c>
      <c r="D1349" s="498" t="s">
        <v>307</v>
      </c>
      <c r="E1349" s="499">
        <v>950.9</v>
      </c>
      <c r="F1349" s="500"/>
      <c r="G1349" s="501" t="s">
        <v>190</v>
      </c>
      <c r="H1349" s="502"/>
      <c r="I1349" s="503">
        <f t="shared" si="20"/>
        <v>29392.55</v>
      </c>
    </row>
    <row r="1350" spans="2:9">
      <c r="B1350" s="496">
        <v>45838</v>
      </c>
      <c r="C1350" s="513" t="s">
        <v>962</v>
      </c>
      <c r="D1350" s="514" t="s">
        <v>1234</v>
      </c>
      <c r="E1350" s="515"/>
      <c r="F1350" s="516">
        <v>1270.93</v>
      </c>
      <c r="G1350" s="522" t="s">
        <v>279</v>
      </c>
      <c r="H1350" s="502"/>
      <c r="I1350" s="503">
        <f t="shared" si="20"/>
        <v>28121.62</v>
      </c>
    </row>
    <row r="1351" spans="2:9">
      <c r="B1351" s="496">
        <v>45838</v>
      </c>
      <c r="C1351" s="513" t="s">
        <v>962</v>
      </c>
      <c r="D1351" s="514" t="s">
        <v>1235</v>
      </c>
      <c r="E1351" s="515"/>
      <c r="F1351" s="516">
        <v>98.87</v>
      </c>
      <c r="G1351" s="522" t="s">
        <v>262</v>
      </c>
      <c r="H1351" s="502"/>
      <c r="I1351" s="503">
        <f t="shared" si="20"/>
        <v>28022.75</v>
      </c>
    </row>
    <row r="1352" spans="2:9">
      <c r="B1352" s="496">
        <v>45838</v>
      </c>
      <c r="C1352" s="513" t="s">
        <v>962</v>
      </c>
      <c r="D1352" s="514" t="s">
        <v>965</v>
      </c>
      <c r="E1352" s="515"/>
      <c r="F1352" s="516">
        <v>2.5</v>
      </c>
      <c r="G1352" s="522" t="s">
        <v>966</v>
      </c>
      <c r="H1352" s="502"/>
      <c r="I1352" s="503">
        <f t="shared" si="20"/>
        <v>28020.25</v>
      </c>
    </row>
    <row r="1353" spans="2:9">
      <c r="B1353" s="729">
        <v>45808</v>
      </c>
      <c r="C1353" s="497" t="s">
        <v>1236</v>
      </c>
      <c r="D1353" s="498" t="s">
        <v>650</v>
      </c>
      <c r="E1353" s="499"/>
      <c r="F1353" s="500">
        <v>4115.66</v>
      </c>
      <c r="G1353" s="501" t="s">
        <v>197</v>
      </c>
      <c r="H1353" s="502" t="s">
        <v>742</v>
      </c>
      <c r="I1353" s="503">
        <f t="shared" si="20"/>
        <v>23904.59</v>
      </c>
    </row>
    <row r="1354" spans="2:9">
      <c r="B1354" s="729">
        <v>45808</v>
      </c>
      <c r="C1354" s="535" t="s">
        <v>1236</v>
      </c>
      <c r="D1354" s="498" t="s">
        <v>650</v>
      </c>
      <c r="E1354" s="499"/>
      <c r="F1354" s="500">
        <v>803.59</v>
      </c>
      <c r="G1354" s="501" t="s">
        <v>274</v>
      </c>
      <c r="H1354" s="502" t="s">
        <v>742</v>
      </c>
      <c r="I1354" s="503">
        <f t="shared" ref="I1354:I1417" si="21">I1353+E1354-F1354</f>
        <v>23101</v>
      </c>
    </row>
    <row r="1355" spans="2:9">
      <c r="B1355" s="496">
        <v>45838</v>
      </c>
      <c r="C1355" s="497" t="s">
        <v>117</v>
      </c>
      <c r="D1355" s="498" t="s">
        <v>921</v>
      </c>
      <c r="E1355" s="499"/>
      <c r="F1355" s="500">
        <v>1.25</v>
      </c>
      <c r="G1355" s="501" t="s">
        <v>271</v>
      </c>
      <c r="H1355" s="502"/>
      <c r="I1355" s="503">
        <f t="shared" si="21"/>
        <v>23099.75</v>
      </c>
    </row>
    <row r="1356" spans="2:9">
      <c r="B1356" s="496">
        <v>45838</v>
      </c>
      <c r="C1356" s="497"/>
      <c r="D1356" s="498" t="s">
        <v>347</v>
      </c>
      <c r="E1356" s="499"/>
      <c r="F1356" s="500">
        <v>146</v>
      </c>
      <c r="G1356" s="501" t="s">
        <v>238</v>
      </c>
      <c r="H1356" s="502"/>
      <c r="I1356" s="503">
        <f t="shared" si="21"/>
        <v>22953.75</v>
      </c>
    </row>
    <row r="1357" spans="2:9">
      <c r="B1357" s="496">
        <v>45838</v>
      </c>
      <c r="C1357" s="497"/>
      <c r="D1357" s="498" t="s">
        <v>347</v>
      </c>
      <c r="E1357" s="499"/>
      <c r="F1357" s="500">
        <f>F1356*0.22</f>
        <v>32.119999999999997</v>
      </c>
      <c r="G1357" s="501" t="s">
        <v>274</v>
      </c>
      <c r="H1357" s="502"/>
      <c r="I1357" s="503">
        <f t="shared" si="21"/>
        <v>22921.63</v>
      </c>
    </row>
    <row r="1358" spans="2:9">
      <c r="B1358" s="496">
        <v>45838</v>
      </c>
      <c r="C1358" s="497" t="s">
        <v>117</v>
      </c>
      <c r="D1358" s="498" t="s">
        <v>921</v>
      </c>
      <c r="E1358" s="499"/>
      <c r="F1358" s="500">
        <v>1.25</v>
      </c>
      <c r="G1358" s="501" t="s">
        <v>271</v>
      </c>
      <c r="H1358" s="502"/>
      <c r="I1358" s="503">
        <f t="shared" si="21"/>
        <v>22920.38</v>
      </c>
    </row>
    <row r="1359" spans="2:9">
      <c r="B1359" s="729">
        <v>45808</v>
      </c>
      <c r="C1359" s="497" t="s">
        <v>1237</v>
      </c>
      <c r="D1359" s="498" t="s">
        <v>650</v>
      </c>
      <c r="E1359" s="499"/>
      <c r="F1359" s="500">
        <f>(18360.76-8690.29)+(8690.29/7)</f>
        <v>10911.939999999997</v>
      </c>
      <c r="G1359" s="501" t="s">
        <v>194</v>
      </c>
      <c r="H1359" s="502"/>
      <c r="I1359" s="503">
        <f t="shared" si="21"/>
        <v>12008.440000000004</v>
      </c>
    </row>
    <row r="1360" spans="2:9">
      <c r="B1360" s="729">
        <v>45838</v>
      </c>
      <c r="C1360" s="497" t="s">
        <v>1237</v>
      </c>
      <c r="D1360" s="498" t="s">
        <v>650</v>
      </c>
      <c r="E1360" s="499"/>
      <c r="F1360" s="500">
        <f>8690.29/7</f>
        <v>1241.47</v>
      </c>
      <c r="G1360" s="501" t="s">
        <v>194</v>
      </c>
      <c r="H1360" s="502"/>
      <c r="I1360" s="503">
        <f t="shared" si="21"/>
        <v>10766.970000000005</v>
      </c>
    </row>
    <row r="1361" spans="2:9">
      <c r="B1361" s="729">
        <v>45869</v>
      </c>
      <c r="C1361" s="497" t="s">
        <v>1237</v>
      </c>
      <c r="D1361" s="498" t="s">
        <v>650</v>
      </c>
      <c r="E1361" s="499"/>
      <c r="F1361" s="500">
        <f t="shared" ref="F1361:F1365" si="22">8690.29/7</f>
        <v>1241.47</v>
      </c>
      <c r="G1361" s="501" t="s">
        <v>194</v>
      </c>
      <c r="H1361" s="502"/>
      <c r="I1361" s="503">
        <f t="shared" si="21"/>
        <v>9525.5000000000055</v>
      </c>
    </row>
    <row r="1362" spans="2:9">
      <c r="B1362" s="729">
        <v>45900</v>
      </c>
      <c r="C1362" s="497" t="s">
        <v>1237</v>
      </c>
      <c r="D1362" s="498" t="s">
        <v>650</v>
      </c>
      <c r="E1362" s="499"/>
      <c r="F1362" s="500">
        <f t="shared" si="22"/>
        <v>1241.47</v>
      </c>
      <c r="G1362" s="501" t="s">
        <v>194</v>
      </c>
      <c r="H1362" s="502"/>
      <c r="I1362" s="503">
        <f t="shared" si="21"/>
        <v>8284.0300000000061</v>
      </c>
    </row>
    <row r="1363" spans="2:9">
      <c r="B1363" s="729">
        <v>45930</v>
      </c>
      <c r="C1363" s="497" t="s">
        <v>1237</v>
      </c>
      <c r="D1363" s="498" t="s">
        <v>650</v>
      </c>
      <c r="E1363" s="499"/>
      <c r="F1363" s="500">
        <f t="shared" si="22"/>
        <v>1241.47</v>
      </c>
      <c r="G1363" s="501" t="s">
        <v>194</v>
      </c>
      <c r="H1363" s="502"/>
      <c r="I1363" s="503">
        <f t="shared" si="21"/>
        <v>7042.5600000000059</v>
      </c>
    </row>
    <row r="1364" spans="2:9">
      <c r="B1364" s="729">
        <v>45961</v>
      </c>
      <c r="C1364" s="497" t="s">
        <v>1237</v>
      </c>
      <c r="D1364" s="498" t="s">
        <v>650</v>
      </c>
      <c r="E1364" s="499"/>
      <c r="F1364" s="500">
        <f t="shared" si="22"/>
        <v>1241.47</v>
      </c>
      <c r="G1364" s="501" t="s">
        <v>194</v>
      </c>
      <c r="H1364" s="502"/>
      <c r="I1364" s="503">
        <f t="shared" si="21"/>
        <v>5801.0900000000056</v>
      </c>
    </row>
    <row r="1365" spans="2:9">
      <c r="B1365" s="729">
        <v>45991</v>
      </c>
      <c r="C1365" s="497" t="s">
        <v>1237</v>
      </c>
      <c r="D1365" s="498" t="s">
        <v>650</v>
      </c>
      <c r="E1365" s="499"/>
      <c r="F1365" s="500">
        <f t="shared" si="22"/>
        <v>1241.47</v>
      </c>
      <c r="G1365" s="501" t="s">
        <v>194</v>
      </c>
      <c r="H1365" s="502"/>
      <c r="I1365" s="503">
        <f t="shared" si="21"/>
        <v>4559.6200000000053</v>
      </c>
    </row>
    <row r="1366" spans="2:9">
      <c r="B1366" s="729">
        <v>45808</v>
      </c>
      <c r="C1366" s="497" t="s">
        <v>1237</v>
      </c>
      <c r="D1366" s="498" t="s">
        <v>650</v>
      </c>
      <c r="E1366" s="499"/>
      <c r="F1366" s="500">
        <v>4145.8500000000004</v>
      </c>
      <c r="G1366" s="501" t="s">
        <v>274</v>
      </c>
      <c r="H1366" s="502"/>
      <c r="I1366" s="503">
        <f t="shared" si="21"/>
        <v>413.77000000000498</v>
      </c>
    </row>
    <row r="1367" spans="2:9">
      <c r="B1367" s="496">
        <v>45838</v>
      </c>
      <c r="C1367" s="497" t="s">
        <v>117</v>
      </c>
      <c r="D1367" s="498" t="s">
        <v>921</v>
      </c>
      <c r="E1367" s="499"/>
      <c r="F1367" s="500">
        <v>1.25</v>
      </c>
      <c r="G1367" s="501" t="s">
        <v>271</v>
      </c>
      <c r="H1367" s="502"/>
      <c r="I1367" s="503">
        <f t="shared" si="21"/>
        <v>412.52000000000498</v>
      </c>
    </row>
    <row r="1368" spans="2:9">
      <c r="B1368" s="496">
        <v>45838</v>
      </c>
      <c r="C1368" s="507"/>
      <c r="D1368" s="498" t="s">
        <v>347</v>
      </c>
      <c r="E1368" s="499"/>
      <c r="F1368" s="500">
        <v>130</v>
      </c>
      <c r="G1368" s="501" t="s">
        <v>238</v>
      </c>
      <c r="H1368" s="502"/>
      <c r="I1368" s="503">
        <f t="shared" si="21"/>
        <v>282.52000000000498</v>
      </c>
    </row>
    <row r="1369" spans="2:9">
      <c r="B1369" s="496">
        <v>45838</v>
      </c>
      <c r="C1369" s="507"/>
      <c r="D1369" s="498" t="s">
        <v>347</v>
      </c>
      <c r="E1369" s="499"/>
      <c r="F1369" s="500">
        <v>28.6</v>
      </c>
      <c r="G1369" s="501" t="s">
        <v>274</v>
      </c>
      <c r="H1369" s="502"/>
      <c r="I1369" s="503">
        <f t="shared" si="21"/>
        <v>253.92000000000499</v>
      </c>
    </row>
    <row r="1370" spans="2:9">
      <c r="B1370" s="496">
        <v>45838</v>
      </c>
      <c r="C1370" s="497" t="s">
        <v>117</v>
      </c>
      <c r="D1370" s="498" t="s">
        <v>921</v>
      </c>
      <c r="E1370" s="499"/>
      <c r="F1370" s="500">
        <v>1.25</v>
      </c>
      <c r="G1370" s="501" t="s">
        <v>271</v>
      </c>
      <c r="H1370" s="502"/>
      <c r="I1370" s="503">
        <f t="shared" si="21"/>
        <v>252.67000000000499</v>
      </c>
    </row>
    <row r="1371" spans="2:9">
      <c r="B1371" s="496">
        <v>45838</v>
      </c>
      <c r="C1371" s="497" t="s">
        <v>283</v>
      </c>
      <c r="D1371" s="498" t="s">
        <v>307</v>
      </c>
      <c r="E1371" s="499">
        <v>1683.4</v>
      </c>
      <c r="F1371" s="500"/>
      <c r="G1371" s="501" t="s">
        <v>190</v>
      </c>
      <c r="H1371" s="502"/>
      <c r="I1371" s="503">
        <f t="shared" si="21"/>
        <v>1936.0700000000052</v>
      </c>
    </row>
    <row r="1372" spans="2:9">
      <c r="B1372" s="496">
        <v>45838</v>
      </c>
      <c r="C1372" s="497" t="s">
        <v>283</v>
      </c>
      <c r="D1372" s="498" t="s">
        <v>307</v>
      </c>
      <c r="E1372" s="499">
        <v>2395.1</v>
      </c>
      <c r="F1372" s="500"/>
      <c r="G1372" s="501" t="s">
        <v>190</v>
      </c>
      <c r="H1372" s="502"/>
      <c r="I1372" s="503">
        <f t="shared" si="21"/>
        <v>4331.1700000000055</v>
      </c>
    </row>
    <row r="1373" spans="2:9">
      <c r="B1373" s="496">
        <v>45838</v>
      </c>
      <c r="C1373" s="497" t="s">
        <v>283</v>
      </c>
      <c r="D1373" s="498" t="s">
        <v>307</v>
      </c>
      <c r="E1373" s="499">
        <v>1549.4</v>
      </c>
      <c r="F1373" s="500"/>
      <c r="G1373" s="501" t="s">
        <v>190</v>
      </c>
      <c r="H1373" s="502"/>
      <c r="I1373" s="503">
        <f t="shared" si="21"/>
        <v>5880.5700000000052</v>
      </c>
    </row>
    <row r="1374" spans="2:9">
      <c r="B1374" s="496">
        <v>45839</v>
      </c>
      <c r="C1374" s="497" t="s">
        <v>117</v>
      </c>
      <c r="D1374" s="498" t="s">
        <v>902</v>
      </c>
      <c r="E1374" s="499"/>
      <c r="F1374" s="500">
        <v>1250</v>
      </c>
      <c r="G1374" s="501" t="s">
        <v>278</v>
      </c>
      <c r="H1374" s="502"/>
      <c r="I1374" s="503">
        <f t="shared" si="21"/>
        <v>4630.5700000000052</v>
      </c>
    </row>
    <row r="1375" spans="2:9">
      <c r="B1375" s="496">
        <v>45839</v>
      </c>
      <c r="C1375" s="497" t="s">
        <v>117</v>
      </c>
      <c r="D1375" s="498" t="s">
        <v>903</v>
      </c>
      <c r="E1375" s="499"/>
      <c r="F1375" s="500">
        <v>0.75</v>
      </c>
      <c r="G1375" s="501" t="s">
        <v>272</v>
      </c>
      <c r="H1375" s="502"/>
      <c r="I1375" s="503">
        <f t="shared" si="21"/>
        <v>4629.8200000000052</v>
      </c>
    </row>
    <row r="1376" spans="2:9">
      <c r="B1376" s="496">
        <v>45839</v>
      </c>
      <c r="C1376" s="497" t="s">
        <v>117</v>
      </c>
      <c r="D1376" s="498" t="s">
        <v>320</v>
      </c>
      <c r="E1376" s="499"/>
      <c r="F1376" s="500"/>
      <c r="G1376" s="501" t="s">
        <v>237</v>
      </c>
      <c r="H1376" s="506" t="s">
        <v>1238</v>
      </c>
      <c r="I1376" s="503">
        <f t="shared" si="21"/>
        <v>4629.8200000000052</v>
      </c>
    </row>
    <row r="1377" spans="2:9">
      <c r="B1377" s="496">
        <v>45839</v>
      </c>
      <c r="C1377" s="497" t="s">
        <v>117</v>
      </c>
      <c r="D1377" s="498" t="s">
        <v>903</v>
      </c>
      <c r="E1377" s="499"/>
      <c r="F1377" s="500"/>
      <c r="G1377" s="501" t="s">
        <v>272</v>
      </c>
      <c r="H1377" s="502"/>
      <c r="I1377" s="503">
        <f t="shared" si="21"/>
        <v>4629.8200000000052</v>
      </c>
    </row>
    <row r="1378" spans="2:9">
      <c r="B1378" s="496">
        <v>45839</v>
      </c>
      <c r="C1378" s="511" t="s">
        <v>1239</v>
      </c>
      <c r="D1378" s="505" t="s">
        <v>329</v>
      </c>
      <c r="E1378" s="499"/>
      <c r="F1378" s="500">
        <f>445.34-F1379</f>
        <v>350.01</v>
      </c>
      <c r="G1378" s="501" t="s">
        <v>221</v>
      </c>
      <c r="H1378" s="502"/>
      <c r="I1378" s="503">
        <f t="shared" si="21"/>
        <v>4279.8100000000049</v>
      </c>
    </row>
    <row r="1379" spans="2:9">
      <c r="B1379" s="496">
        <v>45839</v>
      </c>
      <c r="C1379" s="511" t="s">
        <v>1239</v>
      </c>
      <c r="D1379" s="505" t="s">
        <v>329</v>
      </c>
      <c r="E1379" s="499"/>
      <c r="F1379" s="500">
        <v>95.33</v>
      </c>
      <c r="G1379" s="501" t="s">
        <v>274</v>
      </c>
      <c r="H1379" s="502"/>
      <c r="I1379" s="503">
        <f t="shared" si="21"/>
        <v>4184.480000000005</v>
      </c>
    </row>
    <row r="1380" spans="2:9">
      <c r="B1380" s="496">
        <v>45839</v>
      </c>
      <c r="C1380" s="497" t="s">
        <v>117</v>
      </c>
      <c r="D1380" s="498" t="s">
        <v>903</v>
      </c>
      <c r="E1380" s="499"/>
      <c r="F1380" s="500">
        <v>1</v>
      </c>
      <c r="G1380" s="501" t="s">
        <v>272</v>
      </c>
      <c r="H1380" s="502"/>
      <c r="I1380" s="503">
        <f t="shared" si="21"/>
        <v>4183.480000000005</v>
      </c>
    </row>
    <row r="1381" spans="2:9">
      <c r="B1381" s="496">
        <v>45839</v>
      </c>
      <c r="C1381" s="497" t="s">
        <v>1240</v>
      </c>
      <c r="D1381" s="498" t="s">
        <v>379</v>
      </c>
      <c r="E1381" s="499"/>
      <c r="F1381" s="500">
        <v>3111.7</v>
      </c>
      <c r="G1381" s="501" t="s">
        <v>237</v>
      </c>
      <c r="H1381" s="502"/>
      <c r="I1381" s="503">
        <f t="shared" si="21"/>
        <v>1071.7800000000052</v>
      </c>
    </row>
    <row r="1382" spans="2:9">
      <c r="B1382" s="496">
        <v>45839</v>
      </c>
      <c r="C1382" s="507" t="s">
        <v>1241</v>
      </c>
      <c r="D1382" s="505" t="s">
        <v>379</v>
      </c>
      <c r="E1382" s="499"/>
      <c r="F1382" s="500">
        <v>684.57</v>
      </c>
      <c r="G1382" s="501" t="s">
        <v>274</v>
      </c>
      <c r="H1382" s="502"/>
      <c r="I1382" s="503">
        <f t="shared" si="21"/>
        <v>387.21000000000515</v>
      </c>
    </row>
    <row r="1383" spans="2:9">
      <c r="B1383" s="496">
        <v>45839</v>
      </c>
      <c r="C1383" s="513" t="s">
        <v>117</v>
      </c>
      <c r="D1383" s="514" t="s">
        <v>1242</v>
      </c>
      <c r="E1383" s="515">
        <v>57.5</v>
      </c>
      <c r="F1383" s="516"/>
      <c r="G1383" s="501" t="s">
        <v>1858</v>
      </c>
      <c r="H1383" s="502"/>
      <c r="I1383" s="503">
        <f t="shared" si="21"/>
        <v>444.71000000000515</v>
      </c>
    </row>
    <row r="1384" spans="2:9">
      <c r="B1384" s="496">
        <v>45839</v>
      </c>
      <c r="C1384" s="497" t="s">
        <v>541</v>
      </c>
      <c r="D1384" s="498" t="s">
        <v>542</v>
      </c>
      <c r="E1384" s="499">
        <v>10000</v>
      </c>
      <c r="F1384" s="500"/>
      <c r="G1384" s="501" t="s">
        <v>277</v>
      </c>
      <c r="H1384" s="502"/>
      <c r="I1384" s="503">
        <f t="shared" si="21"/>
        <v>10444.710000000005</v>
      </c>
    </row>
    <row r="1385" spans="2:9">
      <c r="B1385" s="496">
        <v>45839</v>
      </c>
      <c r="C1385" s="497" t="s">
        <v>283</v>
      </c>
      <c r="D1385" s="498" t="s">
        <v>307</v>
      </c>
      <c r="E1385" s="499">
        <v>503.5</v>
      </c>
      <c r="F1385" s="500"/>
      <c r="G1385" s="501" t="s">
        <v>190</v>
      </c>
      <c r="H1385" s="502"/>
      <c r="I1385" s="503">
        <f t="shared" si="21"/>
        <v>10948.210000000005</v>
      </c>
    </row>
    <row r="1386" spans="2:9">
      <c r="B1386" s="496">
        <v>45839</v>
      </c>
      <c r="C1386" s="535" t="s">
        <v>1243</v>
      </c>
      <c r="D1386" s="498" t="s">
        <v>1244</v>
      </c>
      <c r="E1386" s="499"/>
      <c r="F1386" s="500">
        <v>618</v>
      </c>
      <c r="G1386" s="501" t="s">
        <v>207</v>
      </c>
      <c r="H1386" s="502"/>
      <c r="I1386" s="503">
        <f t="shared" si="21"/>
        <v>10330.210000000005</v>
      </c>
    </row>
    <row r="1387" spans="2:9">
      <c r="B1387" s="496">
        <v>45839</v>
      </c>
      <c r="C1387" s="497" t="s">
        <v>1243</v>
      </c>
      <c r="D1387" s="498" t="s">
        <v>1244</v>
      </c>
      <c r="E1387" s="499"/>
      <c r="F1387" s="500">
        <v>135.96</v>
      </c>
      <c r="G1387" s="501" t="s">
        <v>274</v>
      </c>
      <c r="H1387" s="502"/>
      <c r="I1387" s="503">
        <f t="shared" si="21"/>
        <v>10194.250000000005</v>
      </c>
    </row>
    <row r="1388" spans="2:9">
      <c r="B1388" s="496">
        <v>45839</v>
      </c>
      <c r="C1388" s="497" t="s">
        <v>1245</v>
      </c>
      <c r="D1388" s="498" t="s">
        <v>1244</v>
      </c>
      <c r="E1388" s="499"/>
      <c r="F1388" s="500">
        <v>70</v>
      </c>
      <c r="G1388" s="501" t="s">
        <v>218</v>
      </c>
      <c r="H1388" s="502"/>
      <c r="I1388" s="503">
        <f t="shared" si="21"/>
        <v>10124.250000000005</v>
      </c>
    </row>
    <row r="1389" spans="2:9">
      <c r="B1389" s="496">
        <v>45839</v>
      </c>
      <c r="C1389" s="497" t="s">
        <v>1245</v>
      </c>
      <c r="D1389" s="498" t="s">
        <v>1244</v>
      </c>
      <c r="E1389" s="499"/>
      <c r="F1389" s="500">
        <v>15.4</v>
      </c>
      <c r="G1389" s="501" t="s">
        <v>274</v>
      </c>
      <c r="H1389" s="502"/>
      <c r="I1389" s="503">
        <f t="shared" si="21"/>
        <v>10108.850000000006</v>
      </c>
    </row>
    <row r="1390" spans="2:9">
      <c r="B1390" s="496">
        <v>45839</v>
      </c>
      <c r="C1390" s="497" t="s">
        <v>117</v>
      </c>
      <c r="D1390" s="498" t="s">
        <v>903</v>
      </c>
      <c r="E1390" s="499"/>
      <c r="F1390" s="500">
        <v>1</v>
      </c>
      <c r="G1390" s="501" t="s">
        <v>272</v>
      </c>
      <c r="H1390" s="502"/>
      <c r="I1390" s="503">
        <f t="shared" si="21"/>
        <v>10107.850000000006</v>
      </c>
    </row>
    <row r="1391" spans="2:9">
      <c r="B1391" s="496">
        <v>45839</v>
      </c>
      <c r="C1391" s="507" t="s">
        <v>283</v>
      </c>
      <c r="D1391" s="505" t="s">
        <v>909</v>
      </c>
      <c r="E1391" s="499">
        <v>25</v>
      </c>
      <c r="F1391" s="500"/>
      <c r="G1391" s="501" t="s">
        <v>190</v>
      </c>
      <c r="H1391" s="502"/>
      <c r="I1391" s="503">
        <f t="shared" si="21"/>
        <v>10132.850000000006</v>
      </c>
    </row>
    <row r="1392" spans="2:9">
      <c r="B1392" s="496">
        <v>45839</v>
      </c>
      <c r="C1392" s="507" t="s">
        <v>117</v>
      </c>
      <c r="D1392" s="505" t="s">
        <v>911</v>
      </c>
      <c r="E1392" s="499"/>
      <c r="F1392" s="500">
        <v>0.24</v>
      </c>
      <c r="G1392" s="501" t="s">
        <v>269</v>
      </c>
      <c r="H1392" s="502"/>
      <c r="I1392" s="503">
        <f t="shared" si="21"/>
        <v>10132.610000000006</v>
      </c>
    </row>
    <row r="1393" spans="2:9">
      <c r="B1393" s="496">
        <v>45839</v>
      </c>
      <c r="C1393" s="497" t="s">
        <v>117</v>
      </c>
      <c r="D1393" s="498" t="s">
        <v>908</v>
      </c>
      <c r="E1393" s="499"/>
      <c r="F1393" s="500">
        <v>25</v>
      </c>
      <c r="G1393" s="501" t="s">
        <v>254</v>
      </c>
      <c r="H1393" s="502"/>
      <c r="I1393" s="503">
        <f t="shared" si="21"/>
        <v>10107.610000000006</v>
      </c>
    </row>
    <row r="1394" spans="2:9">
      <c r="B1394" s="496">
        <v>45840</v>
      </c>
      <c r="C1394" s="535" t="s">
        <v>117</v>
      </c>
      <c r="D1394" s="498" t="s">
        <v>1246</v>
      </c>
      <c r="E1394" s="499"/>
      <c r="F1394" s="500">
        <v>500</v>
      </c>
      <c r="G1394" s="501" t="s">
        <v>237</v>
      </c>
      <c r="H1394" s="502"/>
      <c r="I1394" s="503">
        <f t="shared" si="21"/>
        <v>9607.610000000006</v>
      </c>
    </row>
    <row r="1395" spans="2:9">
      <c r="B1395" s="496">
        <v>45840</v>
      </c>
      <c r="C1395" s="497" t="s">
        <v>117</v>
      </c>
      <c r="D1395" s="498" t="s">
        <v>903</v>
      </c>
      <c r="E1395" s="499"/>
      <c r="F1395" s="500">
        <v>1</v>
      </c>
      <c r="G1395" s="501" t="s">
        <v>272</v>
      </c>
      <c r="H1395" s="502"/>
      <c r="I1395" s="503">
        <f t="shared" si="21"/>
        <v>9606.610000000006</v>
      </c>
    </row>
    <row r="1396" spans="2:9">
      <c r="B1396" s="496">
        <v>45840</v>
      </c>
      <c r="C1396" s="507" t="s">
        <v>283</v>
      </c>
      <c r="D1396" s="505" t="s">
        <v>912</v>
      </c>
      <c r="E1396" s="499">
        <f>309+144</f>
        <v>453</v>
      </c>
      <c r="F1396" s="500"/>
      <c r="G1396" s="628"/>
      <c r="H1396" s="629" t="s">
        <v>841</v>
      </c>
      <c r="I1396" s="503">
        <f t="shared" si="21"/>
        <v>10059.610000000006</v>
      </c>
    </row>
    <row r="1397" spans="2:9">
      <c r="B1397" s="496">
        <v>45840</v>
      </c>
      <c r="C1397" s="507" t="s">
        <v>117</v>
      </c>
      <c r="D1397" s="505" t="s">
        <v>918</v>
      </c>
      <c r="E1397" s="499"/>
      <c r="F1397" s="500">
        <f>3.09+1.44</f>
        <v>4.5299999999999994</v>
      </c>
      <c r="G1397" s="628"/>
      <c r="H1397" s="629" t="s">
        <v>841</v>
      </c>
      <c r="I1397" s="503">
        <f t="shared" si="21"/>
        <v>10055.080000000005</v>
      </c>
    </row>
    <row r="1398" spans="2:9">
      <c r="B1398" s="496">
        <v>45840</v>
      </c>
      <c r="C1398" s="497" t="s">
        <v>283</v>
      </c>
      <c r="D1398" s="498" t="s">
        <v>307</v>
      </c>
      <c r="E1398" s="499">
        <v>2431.4</v>
      </c>
      <c r="F1398" s="500"/>
      <c r="G1398" s="501" t="s">
        <v>190</v>
      </c>
      <c r="H1398" s="502"/>
      <c r="I1398" s="503">
        <f t="shared" si="21"/>
        <v>12486.480000000005</v>
      </c>
    </row>
    <row r="1399" spans="2:9">
      <c r="B1399" s="496">
        <v>45841</v>
      </c>
      <c r="C1399" s="497" t="s">
        <v>283</v>
      </c>
      <c r="D1399" s="498" t="s">
        <v>307</v>
      </c>
      <c r="E1399" s="499">
        <v>8.94</v>
      </c>
      <c r="F1399" s="500"/>
      <c r="G1399" s="501" t="s">
        <v>190</v>
      </c>
      <c r="H1399" s="502"/>
      <c r="I1399" s="503">
        <f t="shared" si="21"/>
        <v>12495.420000000006</v>
      </c>
    </row>
    <row r="1400" spans="2:9">
      <c r="B1400" s="496">
        <v>45841</v>
      </c>
      <c r="C1400" s="507" t="s">
        <v>1247</v>
      </c>
      <c r="D1400" s="505" t="s">
        <v>859</v>
      </c>
      <c r="E1400" s="499"/>
      <c r="F1400" s="500">
        <v>99</v>
      </c>
      <c r="G1400" s="501" t="s">
        <v>159</v>
      </c>
      <c r="H1400" s="502"/>
      <c r="I1400" s="503">
        <f t="shared" si="21"/>
        <v>12396.420000000006</v>
      </c>
    </row>
    <row r="1401" spans="2:9">
      <c r="B1401" s="496">
        <v>45841</v>
      </c>
      <c r="C1401" s="497" t="s">
        <v>117</v>
      </c>
      <c r="D1401" s="498" t="s">
        <v>903</v>
      </c>
      <c r="E1401" s="499"/>
      <c r="F1401" s="500">
        <v>1</v>
      </c>
      <c r="G1401" s="501" t="s">
        <v>272</v>
      </c>
      <c r="H1401" s="502"/>
      <c r="I1401" s="503">
        <f t="shared" si="21"/>
        <v>12395.420000000006</v>
      </c>
    </row>
    <row r="1402" spans="2:9">
      <c r="B1402" s="496">
        <v>45841</v>
      </c>
      <c r="C1402" s="507" t="s">
        <v>283</v>
      </c>
      <c r="D1402" s="505" t="s">
        <v>912</v>
      </c>
      <c r="E1402" s="499">
        <v>180</v>
      </c>
      <c r="F1402" s="500"/>
      <c r="G1402" s="628"/>
      <c r="H1402" s="629" t="s">
        <v>841</v>
      </c>
      <c r="I1402" s="503">
        <f t="shared" si="21"/>
        <v>12575.420000000006</v>
      </c>
    </row>
    <row r="1403" spans="2:9">
      <c r="B1403" s="496">
        <v>45841</v>
      </c>
      <c r="C1403" s="507" t="s">
        <v>117</v>
      </c>
      <c r="D1403" s="505" t="s">
        <v>918</v>
      </c>
      <c r="E1403" s="499"/>
      <c r="F1403" s="500">
        <v>1.8</v>
      </c>
      <c r="G1403" s="628"/>
      <c r="H1403" s="629" t="s">
        <v>841</v>
      </c>
      <c r="I1403" s="503">
        <f t="shared" si="21"/>
        <v>12573.620000000006</v>
      </c>
    </row>
    <row r="1404" spans="2:9">
      <c r="B1404" s="496">
        <v>45841</v>
      </c>
      <c r="C1404" s="497" t="s">
        <v>283</v>
      </c>
      <c r="D1404" s="498" t="s">
        <v>307</v>
      </c>
      <c r="E1404" s="499">
        <v>695.6</v>
      </c>
      <c r="F1404" s="500"/>
      <c r="G1404" s="501" t="s">
        <v>190</v>
      </c>
      <c r="H1404" s="502"/>
      <c r="I1404" s="503">
        <f t="shared" si="21"/>
        <v>13269.220000000007</v>
      </c>
    </row>
    <row r="1405" spans="2:9">
      <c r="B1405" s="496">
        <v>45842</v>
      </c>
      <c r="C1405" s="507" t="s">
        <v>1248</v>
      </c>
      <c r="D1405" s="505" t="s">
        <v>1136</v>
      </c>
      <c r="E1405" s="499">
        <f>276.84-0.27</f>
        <v>276.57</v>
      </c>
      <c r="F1405" s="500"/>
      <c r="G1405" s="501" t="s">
        <v>197</v>
      </c>
      <c r="H1405" s="508" t="s">
        <v>554</v>
      </c>
      <c r="I1405" s="503">
        <f t="shared" si="21"/>
        <v>13545.790000000006</v>
      </c>
    </row>
    <row r="1406" spans="2:9">
      <c r="B1406" s="496">
        <v>45842</v>
      </c>
      <c r="C1406" s="507" t="s">
        <v>1248</v>
      </c>
      <c r="D1406" s="505" t="s">
        <v>1136</v>
      </c>
      <c r="E1406" s="499">
        <v>60.9</v>
      </c>
      <c r="F1406" s="500"/>
      <c r="G1406" s="501" t="s">
        <v>197</v>
      </c>
      <c r="H1406" s="508" t="s">
        <v>554</v>
      </c>
      <c r="I1406" s="503">
        <f t="shared" si="21"/>
        <v>13606.690000000006</v>
      </c>
    </row>
    <row r="1407" spans="2:9">
      <c r="B1407" s="496">
        <v>45842</v>
      </c>
      <c r="C1407" s="497">
        <v>3731</v>
      </c>
      <c r="D1407" s="505" t="s">
        <v>1136</v>
      </c>
      <c r="E1407" s="499"/>
      <c r="F1407" s="500">
        <v>299.48</v>
      </c>
      <c r="G1407" s="501" t="s">
        <v>194</v>
      </c>
      <c r="H1407" s="502"/>
      <c r="I1407" s="503">
        <f t="shared" si="21"/>
        <v>13307.210000000006</v>
      </c>
    </row>
    <row r="1408" spans="2:9">
      <c r="B1408" s="496">
        <v>45842</v>
      </c>
      <c r="C1408" s="497">
        <v>3731</v>
      </c>
      <c r="D1408" s="505" t="s">
        <v>1136</v>
      </c>
      <c r="E1408" s="499"/>
      <c r="F1408" s="500">
        <v>65.89</v>
      </c>
      <c r="G1408" s="501" t="s">
        <v>274</v>
      </c>
      <c r="H1408" s="502"/>
      <c r="I1408" s="503">
        <f t="shared" si="21"/>
        <v>13241.320000000007</v>
      </c>
    </row>
    <row r="1409" spans="2:9">
      <c r="B1409" s="496">
        <v>45842</v>
      </c>
      <c r="C1409" s="497" t="s">
        <v>117</v>
      </c>
      <c r="D1409" s="498" t="s">
        <v>903</v>
      </c>
      <c r="E1409" s="499"/>
      <c r="F1409" s="500">
        <v>1</v>
      </c>
      <c r="G1409" s="501" t="s">
        <v>272</v>
      </c>
      <c r="H1409" s="502"/>
      <c r="I1409" s="503">
        <f t="shared" si="21"/>
        <v>13240.320000000007</v>
      </c>
    </row>
    <row r="1410" spans="2:9">
      <c r="B1410" s="496">
        <v>45842</v>
      </c>
      <c r="C1410" s="497" t="s">
        <v>1249</v>
      </c>
      <c r="D1410" s="498" t="s">
        <v>1250</v>
      </c>
      <c r="E1410" s="499"/>
      <c r="F1410" s="500">
        <v>2249.1</v>
      </c>
      <c r="G1410" s="501" t="s">
        <v>137</v>
      </c>
      <c r="H1410" s="502"/>
      <c r="I1410" s="503">
        <f t="shared" si="21"/>
        <v>10991.220000000007</v>
      </c>
    </row>
    <row r="1411" spans="2:9">
      <c r="B1411" s="496">
        <v>45842</v>
      </c>
      <c r="C1411" s="535" t="s">
        <v>1249</v>
      </c>
      <c r="D1411" s="498" t="s">
        <v>1250</v>
      </c>
      <c r="E1411" s="499"/>
      <c r="F1411" s="500">
        <v>494.8</v>
      </c>
      <c r="G1411" s="501" t="s">
        <v>274</v>
      </c>
      <c r="H1411" s="502"/>
      <c r="I1411" s="503">
        <f t="shared" si="21"/>
        <v>10496.420000000007</v>
      </c>
    </row>
    <row r="1412" spans="2:9">
      <c r="B1412" s="496">
        <v>45842</v>
      </c>
      <c r="C1412" s="497" t="s">
        <v>117</v>
      </c>
      <c r="D1412" s="498" t="s">
        <v>903</v>
      </c>
      <c r="E1412" s="499"/>
      <c r="F1412" s="500">
        <v>1</v>
      </c>
      <c r="G1412" s="501" t="s">
        <v>272</v>
      </c>
      <c r="H1412" s="502"/>
      <c r="I1412" s="503">
        <f t="shared" si="21"/>
        <v>10495.420000000007</v>
      </c>
    </row>
    <row r="1413" spans="2:9">
      <c r="B1413" s="496">
        <v>45842</v>
      </c>
      <c r="C1413" s="497" t="s">
        <v>283</v>
      </c>
      <c r="D1413" s="498" t="s">
        <v>307</v>
      </c>
      <c r="E1413" s="499">
        <f>4011.4-3031</f>
        <v>980.40000000000009</v>
      </c>
      <c r="F1413" s="500"/>
      <c r="G1413" s="501" t="s">
        <v>190</v>
      </c>
      <c r="H1413" s="502"/>
      <c r="I1413" s="503">
        <f t="shared" si="21"/>
        <v>11475.820000000007</v>
      </c>
    </row>
    <row r="1414" spans="2:9">
      <c r="B1414" s="496">
        <v>45842</v>
      </c>
      <c r="C1414" s="497" t="s">
        <v>283</v>
      </c>
      <c r="D1414" s="498" t="s">
        <v>307</v>
      </c>
      <c r="E1414" s="499">
        <v>3031</v>
      </c>
      <c r="F1414" s="500"/>
      <c r="G1414" s="501"/>
      <c r="H1414" s="596" t="s">
        <v>824</v>
      </c>
      <c r="I1414" s="503">
        <f t="shared" si="21"/>
        <v>14506.820000000007</v>
      </c>
    </row>
    <row r="1415" spans="2:9">
      <c r="B1415" s="729">
        <v>45747</v>
      </c>
      <c r="C1415" s="497">
        <v>706</v>
      </c>
      <c r="D1415" s="498" t="s">
        <v>744</v>
      </c>
      <c r="E1415" s="499"/>
      <c r="F1415" s="500">
        <v>148.06</v>
      </c>
      <c r="G1415" s="501" t="s">
        <v>199</v>
      </c>
      <c r="H1415" s="502"/>
      <c r="I1415" s="503">
        <f t="shared" si="21"/>
        <v>14358.760000000007</v>
      </c>
    </row>
    <row r="1416" spans="2:9">
      <c r="B1416" s="729">
        <v>45747</v>
      </c>
      <c r="C1416" s="535">
        <v>706</v>
      </c>
      <c r="D1416" s="498" t="s">
        <v>744</v>
      </c>
      <c r="E1416" s="499"/>
      <c r="F1416" s="500">
        <v>16.07</v>
      </c>
      <c r="G1416" s="501" t="s">
        <v>274</v>
      </c>
      <c r="H1416" s="502"/>
      <c r="I1416" s="503">
        <f t="shared" si="21"/>
        <v>14342.690000000008</v>
      </c>
    </row>
    <row r="1417" spans="2:9">
      <c r="B1417" s="729">
        <v>45777</v>
      </c>
      <c r="C1417" s="497">
        <v>1015</v>
      </c>
      <c r="D1417" s="498" t="s">
        <v>744</v>
      </c>
      <c r="E1417" s="499"/>
      <c r="F1417" s="500">
        <v>132.32</v>
      </c>
      <c r="G1417" s="501" t="s">
        <v>199</v>
      </c>
      <c r="H1417" s="502"/>
      <c r="I1417" s="503">
        <f t="shared" si="21"/>
        <v>14210.370000000008</v>
      </c>
    </row>
    <row r="1418" spans="2:9">
      <c r="B1418" s="729">
        <v>45777</v>
      </c>
      <c r="C1418" s="497">
        <v>1015</v>
      </c>
      <c r="D1418" s="498" t="s">
        <v>744</v>
      </c>
      <c r="E1418" s="499"/>
      <c r="F1418" s="500">
        <v>13.23</v>
      </c>
      <c r="G1418" s="501" t="s">
        <v>274</v>
      </c>
      <c r="H1418" s="502"/>
      <c r="I1418" s="503">
        <f t="shared" ref="I1418:I1482" si="23">I1417+E1418-F1418</f>
        <v>14197.140000000009</v>
      </c>
    </row>
    <row r="1419" spans="2:9">
      <c r="B1419" s="729">
        <v>45808</v>
      </c>
      <c r="C1419" s="507" t="s">
        <v>1251</v>
      </c>
      <c r="D1419" s="498" t="s">
        <v>744</v>
      </c>
      <c r="E1419" s="499"/>
      <c r="F1419" s="500">
        <v>18.52</v>
      </c>
      <c r="G1419" s="501" t="s">
        <v>199</v>
      </c>
      <c r="H1419" s="502"/>
      <c r="I1419" s="503">
        <f t="shared" si="23"/>
        <v>14178.620000000008</v>
      </c>
    </row>
    <row r="1420" spans="2:9">
      <c r="B1420" s="729">
        <v>45808</v>
      </c>
      <c r="C1420" s="497">
        <v>1359</v>
      </c>
      <c r="D1420" s="498" t="s">
        <v>744</v>
      </c>
      <c r="E1420" s="499"/>
      <c r="F1420" s="500">
        <v>1.85</v>
      </c>
      <c r="G1420" s="501" t="s">
        <v>274</v>
      </c>
      <c r="H1420" s="502"/>
      <c r="I1420" s="503">
        <f t="shared" si="23"/>
        <v>14176.770000000008</v>
      </c>
    </row>
    <row r="1421" spans="2:9">
      <c r="B1421" s="496">
        <v>45845</v>
      </c>
      <c r="C1421" s="497" t="s">
        <v>117</v>
      </c>
      <c r="D1421" s="498" t="s">
        <v>903</v>
      </c>
      <c r="E1421" s="499"/>
      <c r="F1421" s="500">
        <v>1</v>
      </c>
      <c r="G1421" s="501" t="s">
        <v>272</v>
      </c>
      <c r="H1421" s="502"/>
      <c r="I1421" s="503">
        <f t="shared" si="23"/>
        <v>14175.770000000008</v>
      </c>
    </row>
    <row r="1422" spans="2:9">
      <c r="B1422" s="496">
        <v>45845</v>
      </c>
      <c r="C1422" s="497">
        <v>31024</v>
      </c>
      <c r="D1422" s="498" t="s">
        <v>1252</v>
      </c>
      <c r="E1422" s="499"/>
      <c r="F1422" s="500">
        <v>1130.05</v>
      </c>
      <c r="G1422" s="501" t="s">
        <v>194</v>
      </c>
      <c r="H1422" s="502"/>
      <c r="I1422" s="503">
        <f t="shared" si="23"/>
        <v>13045.720000000008</v>
      </c>
    </row>
    <row r="1423" spans="2:9">
      <c r="B1423" s="496">
        <v>45845</v>
      </c>
      <c r="C1423" s="497">
        <v>31024</v>
      </c>
      <c r="D1423" s="498" t="s">
        <v>1252</v>
      </c>
      <c r="E1423" s="499"/>
      <c r="F1423" s="500">
        <v>248.61</v>
      </c>
      <c r="G1423" s="501" t="s">
        <v>274</v>
      </c>
      <c r="H1423" s="502"/>
      <c r="I1423" s="503">
        <f t="shared" si="23"/>
        <v>12797.110000000008</v>
      </c>
    </row>
    <row r="1424" spans="2:9">
      <c r="B1424" s="496">
        <v>45845</v>
      </c>
      <c r="C1424" s="497" t="s">
        <v>117</v>
      </c>
      <c r="D1424" s="498" t="s">
        <v>903</v>
      </c>
      <c r="E1424" s="499"/>
      <c r="F1424" s="500">
        <v>1</v>
      </c>
      <c r="G1424" s="501" t="s">
        <v>272</v>
      </c>
      <c r="H1424" s="502"/>
      <c r="I1424" s="503">
        <f t="shared" si="23"/>
        <v>12796.110000000008</v>
      </c>
    </row>
    <row r="1425" spans="2:9">
      <c r="B1425" s="729">
        <v>45838</v>
      </c>
      <c r="C1425" s="497">
        <v>4515</v>
      </c>
      <c r="D1425" s="498" t="s">
        <v>394</v>
      </c>
      <c r="E1425" s="499"/>
      <c r="F1425" s="500">
        <v>650.39</v>
      </c>
      <c r="G1425" s="501" t="s">
        <v>199</v>
      </c>
      <c r="H1425" s="502"/>
      <c r="I1425" s="503">
        <f t="shared" si="23"/>
        <v>12145.720000000008</v>
      </c>
    </row>
    <row r="1426" spans="2:9">
      <c r="B1426" s="729">
        <v>45838</v>
      </c>
      <c r="C1426" s="497">
        <v>4515</v>
      </c>
      <c r="D1426" s="498" t="s">
        <v>394</v>
      </c>
      <c r="E1426" s="499"/>
      <c r="F1426" s="500">
        <v>58.44</v>
      </c>
      <c r="G1426" s="501" t="s">
        <v>274</v>
      </c>
      <c r="H1426" s="502"/>
      <c r="I1426" s="503">
        <f t="shared" si="23"/>
        <v>12087.280000000008</v>
      </c>
    </row>
    <row r="1427" spans="2:9">
      <c r="B1427" s="496">
        <v>45845</v>
      </c>
      <c r="C1427" s="497" t="s">
        <v>117</v>
      </c>
      <c r="D1427" s="498" t="s">
        <v>903</v>
      </c>
      <c r="E1427" s="499"/>
      <c r="F1427" s="500">
        <v>0.75</v>
      </c>
      <c r="G1427" s="501" t="s">
        <v>272</v>
      </c>
      <c r="H1427" s="502"/>
      <c r="I1427" s="503">
        <f t="shared" si="23"/>
        <v>12086.530000000008</v>
      </c>
    </row>
    <row r="1428" spans="2:9">
      <c r="B1428" s="496">
        <v>45846</v>
      </c>
      <c r="C1428" s="497" t="s">
        <v>117</v>
      </c>
      <c r="D1428" s="498" t="s">
        <v>320</v>
      </c>
      <c r="E1428" s="499"/>
      <c r="F1428" s="500">
        <v>504.9</v>
      </c>
      <c r="G1428" s="501" t="s">
        <v>237</v>
      </c>
      <c r="H1428" s="502"/>
      <c r="I1428" s="503">
        <f t="shared" si="23"/>
        <v>11581.630000000008</v>
      </c>
    </row>
    <row r="1429" spans="2:9">
      <c r="B1429" s="496">
        <v>45846</v>
      </c>
      <c r="C1429" s="497" t="s">
        <v>117</v>
      </c>
      <c r="D1429" s="498" t="s">
        <v>903</v>
      </c>
      <c r="E1429" s="499"/>
      <c r="F1429" s="500">
        <v>0.75</v>
      </c>
      <c r="G1429" s="501" t="s">
        <v>272</v>
      </c>
      <c r="H1429" s="502"/>
      <c r="I1429" s="503">
        <f t="shared" si="23"/>
        <v>11580.880000000008</v>
      </c>
    </row>
    <row r="1430" spans="2:9">
      <c r="B1430" s="496">
        <v>45846</v>
      </c>
      <c r="C1430" s="507" t="s">
        <v>2223</v>
      </c>
      <c r="D1430" s="498" t="s">
        <v>1256</v>
      </c>
      <c r="E1430" s="499">
        <v>150</v>
      </c>
      <c r="F1430" s="500"/>
      <c r="G1430" s="501" t="s">
        <v>194</v>
      </c>
      <c r="H1430" s="502"/>
      <c r="I1430" s="503">
        <f t="shared" si="23"/>
        <v>11730.880000000008</v>
      </c>
    </row>
    <row r="1431" spans="2:9">
      <c r="B1431" s="496">
        <v>45846</v>
      </c>
      <c r="C1431" s="507" t="s">
        <v>2223</v>
      </c>
      <c r="D1431" s="498" t="s">
        <v>1256</v>
      </c>
      <c r="E1431" s="499">
        <v>33</v>
      </c>
      <c r="F1431" s="500"/>
      <c r="G1431" s="501" t="s">
        <v>276</v>
      </c>
      <c r="H1431" s="502"/>
      <c r="I1431" s="503"/>
    </row>
    <row r="1432" spans="2:9">
      <c r="B1432" s="496">
        <v>45846</v>
      </c>
      <c r="C1432" s="497" t="s">
        <v>283</v>
      </c>
      <c r="D1432" s="498" t="s">
        <v>307</v>
      </c>
      <c r="E1432" s="499">
        <v>1398.2</v>
      </c>
      <c r="F1432" s="500"/>
      <c r="G1432" s="501" t="s">
        <v>190</v>
      </c>
      <c r="H1432" s="502"/>
      <c r="I1432" s="503">
        <f>I1430+E1432-F1432</f>
        <v>13129.080000000009</v>
      </c>
    </row>
    <row r="1433" spans="2:9">
      <c r="B1433" s="496">
        <v>45846</v>
      </c>
      <c r="C1433" s="507" t="s">
        <v>283</v>
      </c>
      <c r="D1433" s="505" t="s">
        <v>307</v>
      </c>
      <c r="E1433" s="499">
        <v>2349.9</v>
      </c>
      <c r="F1433" s="500"/>
      <c r="G1433" s="501" t="s">
        <v>190</v>
      </c>
      <c r="H1433" s="502"/>
      <c r="I1433" s="503">
        <f t="shared" si="23"/>
        <v>15478.980000000009</v>
      </c>
    </row>
    <row r="1434" spans="2:9">
      <c r="B1434" s="496">
        <v>45846</v>
      </c>
      <c r="C1434" s="497" t="s">
        <v>283</v>
      </c>
      <c r="D1434" s="498" t="s">
        <v>307</v>
      </c>
      <c r="E1434" s="499">
        <v>2255.3000000000002</v>
      </c>
      <c r="F1434" s="500"/>
      <c r="G1434" s="501" t="s">
        <v>190</v>
      </c>
      <c r="H1434" s="502"/>
      <c r="I1434" s="503">
        <f t="shared" si="23"/>
        <v>17734.28000000001</v>
      </c>
    </row>
    <row r="1435" spans="2:9">
      <c r="B1435" s="496">
        <v>45846</v>
      </c>
      <c r="C1435" s="497">
        <v>417</v>
      </c>
      <c r="D1435" s="498" t="s">
        <v>1253</v>
      </c>
      <c r="E1435" s="499"/>
      <c r="F1435" s="500">
        <v>1046.52</v>
      </c>
      <c r="G1435" s="501" t="s">
        <v>194</v>
      </c>
      <c r="H1435" s="502"/>
      <c r="I1435" s="503">
        <f t="shared" si="23"/>
        <v>16687.760000000009</v>
      </c>
    </row>
    <row r="1436" spans="2:9">
      <c r="B1436" s="496">
        <v>45846</v>
      </c>
      <c r="C1436" s="497">
        <v>417</v>
      </c>
      <c r="D1436" s="498" t="s">
        <v>1253</v>
      </c>
      <c r="E1436" s="499"/>
      <c r="F1436" s="500">
        <v>230.23</v>
      </c>
      <c r="G1436" s="501" t="s">
        <v>274</v>
      </c>
      <c r="H1436" s="502"/>
      <c r="I1436" s="503">
        <f t="shared" si="23"/>
        <v>16457.53000000001</v>
      </c>
    </row>
    <row r="1437" spans="2:9">
      <c r="B1437" s="496">
        <v>45846</v>
      </c>
      <c r="C1437" s="497" t="s">
        <v>117</v>
      </c>
      <c r="D1437" s="498" t="s">
        <v>903</v>
      </c>
      <c r="E1437" s="499"/>
      <c r="F1437" s="500">
        <v>1</v>
      </c>
      <c r="G1437" s="501" t="s">
        <v>272</v>
      </c>
      <c r="H1437" s="502"/>
      <c r="I1437" s="503">
        <f t="shared" si="23"/>
        <v>16456.53000000001</v>
      </c>
    </row>
    <row r="1438" spans="2:9">
      <c r="B1438" s="729">
        <v>45808</v>
      </c>
      <c r="C1438" s="507" t="s">
        <v>1254</v>
      </c>
      <c r="D1438" s="505" t="s">
        <v>361</v>
      </c>
      <c r="E1438" s="499"/>
      <c r="F1438" s="500">
        <v>724.99</v>
      </c>
      <c r="G1438" s="501" t="s">
        <v>199</v>
      </c>
      <c r="H1438" s="502"/>
      <c r="I1438" s="503">
        <f t="shared" si="23"/>
        <v>15731.54000000001</v>
      </c>
    </row>
    <row r="1439" spans="2:9">
      <c r="B1439" s="729">
        <v>45808</v>
      </c>
      <c r="C1439" s="507" t="s">
        <v>1254</v>
      </c>
      <c r="D1439" s="505" t="s">
        <v>361</v>
      </c>
      <c r="E1439" s="499"/>
      <c r="F1439" s="500">
        <v>52.05</v>
      </c>
      <c r="G1439" s="501" t="s">
        <v>274</v>
      </c>
      <c r="H1439" s="502"/>
      <c r="I1439" s="503">
        <f t="shared" si="23"/>
        <v>15679.490000000011</v>
      </c>
    </row>
    <row r="1440" spans="2:9">
      <c r="B1440" s="729">
        <v>45838</v>
      </c>
      <c r="C1440" s="497">
        <v>5871</v>
      </c>
      <c r="D1440" s="498" t="s">
        <v>361</v>
      </c>
      <c r="E1440" s="499"/>
      <c r="F1440" s="500">
        <v>884.6</v>
      </c>
      <c r="G1440" s="501" t="s">
        <v>199</v>
      </c>
      <c r="H1440" s="502"/>
      <c r="I1440" s="503">
        <f t="shared" si="23"/>
        <v>14794.89000000001</v>
      </c>
    </row>
    <row r="1441" spans="2:9">
      <c r="B1441" s="729">
        <v>45838</v>
      </c>
      <c r="C1441" s="497">
        <v>5871</v>
      </c>
      <c r="D1441" s="498" t="s">
        <v>1255</v>
      </c>
      <c r="E1441" s="499"/>
      <c r="F1441" s="500">
        <v>64.73</v>
      </c>
      <c r="G1441" s="501" t="s">
        <v>274</v>
      </c>
      <c r="H1441" s="502"/>
      <c r="I1441" s="503">
        <f t="shared" si="23"/>
        <v>14730.160000000011</v>
      </c>
    </row>
    <row r="1442" spans="2:9">
      <c r="B1442" s="496">
        <v>45846</v>
      </c>
      <c r="C1442" s="497" t="s">
        <v>117</v>
      </c>
      <c r="D1442" s="498" t="s">
        <v>903</v>
      </c>
      <c r="E1442" s="499"/>
      <c r="F1442" s="500">
        <v>1</v>
      </c>
      <c r="G1442" s="501" t="s">
        <v>272</v>
      </c>
      <c r="H1442" s="502"/>
      <c r="I1442" s="503">
        <f t="shared" si="23"/>
        <v>14729.160000000011</v>
      </c>
    </row>
    <row r="1443" spans="2:9">
      <c r="B1443" s="496">
        <v>45846</v>
      </c>
      <c r="C1443" s="497" t="s">
        <v>283</v>
      </c>
      <c r="D1443" s="498" t="s">
        <v>307</v>
      </c>
      <c r="E1443" s="499">
        <v>700</v>
      </c>
      <c r="F1443" s="500"/>
      <c r="G1443" s="501" t="s">
        <v>190</v>
      </c>
      <c r="H1443" s="502"/>
      <c r="I1443" s="503">
        <f t="shared" si="23"/>
        <v>15429.160000000011</v>
      </c>
    </row>
    <row r="1444" spans="2:9">
      <c r="B1444" s="496">
        <v>45846</v>
      </c>
      <c r="C1444" s="497">
        <v>4701533211</v>
      </c>
      <c r="D1444" s="498" t="s">
        <v>1256</v>
      </c>
      <c r="E1444" s="499"/>
      <c r="F1444" s="500">
        <v>1963.56</v>
      </c>
      <c r="G1444" s="501" t="s">
        <v>194</v>
      </c>
      <c r="H1444" s="502"/>
      <c r="I1444" s="503">
        <f t="shared" si="23"/>
        <v>13465.600000000011</v>
      </c>
    </row>
    <row r="1445" spans="2:9">
      <c r="B1445" s="496">
        <v>45846</v>
      </c>
      <c r="C1445" s="497">
        <v>4701533211</v>
      </c>
      <c r="D1445" s="498" t="s">
        <v>1256</v>
      </c>
      <c r="E1445" s="499"/>
      <c r="F1445" s="500">
        <v>431.98</v>
      </c>
      <c r="G1445" s="501" t="s">
        <v>274</v>
      </c>
      <c r="H1445" s="502"/>
      <c r="I1445" s="503">
        <f t="shared" si="23"/>
        <v>13033.620000000012</v>
      </c>
    </row>
    <row r="1446" spans="2:9">
      <c r="B1446" s="496">
        <v>45846</v>
      </c>
      <c r="C1446" s="497" t="s">
        <v>117</v>
      </c>
      <c r="D1446" s="498" t="s">
        <v>903</v>
      </c>
      <c r="E1446" s="499"/>
      <c r="F1446" s="500">
        <v>1</v>
      </c>
      <c r="G1446" s="501" t="s">
        <v>272</v>
      </c>
      <c r="H1446" s="502"/>
      <c r="I1446" s="503">
        <f t="shared" si="23"/>
        <v>13032.620000000012</v>
      </c>
    </row>
    <row r="1447" spans="2:9">
      <c r="B1447" s="496">
        <v>45847</v>
      </c>
      <c r="C1447" s="535">
        <v>4620</v>
      </c>
      <c r="D1447" s="498" t="s">
        <v>1257</v>
      </c>
      <c r="E1447" s="499"/>
      <c r="F1447" s="500">
        <v>788.2</v>
      </c>
      <c r="G1447" s="501" t="s">
        <v>202</v>
      </c>
      <c r="H1447" s="502"/>
      <c r="I1447" s="503">
        <f t="shared" si="23"/>
        <v>12244.420000000011</v>
      </c>
    </row>
    <row r="1448" spans="2:9">
      <c r="B1448" s="496">
        <v>45847</v>
      </c>
      <c r="C1448" s="497">
        <v>4620</v>
      </c>
      <c r="D1448" s="498" t="s">
        <v>1257</v>
      </c>
      <c r="E1448" s="499"/>
      <c r="F1448" s="500">
        <v>173.4</v>
      </c>
      <c r="G1448" s="501" t="s">
        <v>274</v>
      </c>
      <c r="H1448" s="502"/>
      <c r="I1448" s="503">
        <f t="shared" si="23"/>
        <v>12071.020000000011</v>
      </c>
    </row>
    <row r="1449" spans="2:9">
      <c r="B1449" s="496">
        <v>45847</v>
      </c>
      <c r="C1449" s="497" t="s">
        <v>117</v>
      </c>
      <c r="D1449" s="498" t="s">
        <v>903</v>
      </c>
      <c r="E1449" s="499"/>
      <c r="F1449" s="500">
        <v>1</v>
      </c>
      <c r="G1449" s="501" t="s">
        <v>272</v>
      </c>
      <c r="H1449" s="502"/>
      <c r="I1449" s="503">
        <f t="shared" si="23"/>
        <v>12070.020000000011</v>
      </c>
    </row>
    <row r="1450" spans="2:9">
      <c r="B1450" s="496">
        <v>45847</v>
      </c>
      <c r="C1450" s="497" t="s">
        <v>117</v>
      </c>
      <c r="D1450" s="498" t="s">
        <v>320</v>
      </c>
      <c r="E1450" s="499"/>
      <c r="F1450" s="500">
        <v>504.9</v>
      </c>
      <c r="G1450" s="501" t="s">
        <v>237</v>
      </c>
      <c r="H1450" s="502"/>
      <c r="I1450" s="503">
        <f t="shared" si="23"/>
        <v>11565.120000000012</v>
      </c>
    </row>
    <row r="1451" spans="2:9">
      <c r="B1451" s="496">
        <v>45847</v>
      </c>
      <c r="C1451" s="497" t="s">
        <v>117</v>
      </c>
      <c r="D1451" s="498" t="s">
        <v>903</v>
      </c>
      <c r="E1451" s="499"/>
      <c r="F1451" s="500">
        <v>0.75</v>
      </c>
      <c r="G1451" s="501" t="s">
        <v>272</v>
      </c>
      <c r="H1451" s="502"/>
      <c r="I1451" s="503">
        <f t="shared" si="23"/>
        <v>11564.370000000012</v>
      </c>
    </row>
    <row r="1452" spans="2:9">
      <c r="B1452" s="496">
        <v>45847</v>
      </c>
      <c r="C1452" s="497">
        <v>957</v>
      </c>
      <c r="D1452" s="498" t="s">
        <v>1258</v>
      </c>
      <c r="E1452" s="499"/>
      <c r="F1452" s="500">
        <v>594.86</v>
      </c>
      <c r="G1452" s="501" t="s">
        <v>196</v>
      </c>
      <c r="H1452" s="502"/>
      <c r="I1452" s="503">
        <f t="shared" si="23"/>
        <v>10969.510000000011</v>
      </c>
    </row>
    <row r="1453" spans="2:9">
      <c r="B1453" s="496">
        <v>45847</v>
      </c>
      <c r="C1453" s="497">
        <v>957</v>
      </c>
      <c r="D1453" s="498" t="s">
        <v>1258</v>
      </c>
      <c r="E1453" s="499"/>
      <c r="F1453" s="500">
        <v>130.87</v>
      </c>
      <c r="G1453" s="501" t="s">
        <v>274</v>
      </c>
      <c r="H1453" s="502"/>
      <c r="I1453" s="503">
        <f t="shared" si="23"/>
        <v>10838.64000000001</v>
      </c>
    </row>
    <row r="1454" spans="2:9">
      <c r="B1454" s="496">
        <v>45847</v>
      </c>
      <c r="C1454" s="497" t="s">
        <v>117</v>
      </c>
      <c r="D1454" s="498" t="s">
        <v>903</v>
      </c>
      <c r="E1454" s="499"/>
      <c r="F1454" s="500">
        <v>1</v>
      </c>
      <c r="G1454" s="501" t="s">
        <v>272</v>
      </c>
      <c r="H1454" s="502"/>
      <c r="I1454" s="503">
        <f t="shared" si="23"/>
        <v>10837.64000000001</v>
      </c>
    </row>
    <row r="1455" spans="2:9">
      <c r="B1455" s="496">
        <v>45847</v>
      </c>
      <c r="C1455" s="497" t="s">
        <v>541</v>
      </c>
      <c r="D1455" s="498" t="s">
        <v>542</v>
      </c>
      <c r="E1455" s="499">
        <v>10000</v>
      </c>
      <c r="F1455" s="500"/>
      <c r="G1455" s="501" t="s">
        <v>277</v>
      </c>
      <c r="H1455" s="502"/>
      <c r="I1455" s="503">
        <f t="shared" si="23"/>
        <v>20837.64000000001</v>
      </c>
    </row>
    <row r="1456" spans="2:9">
      <c r="B1456" s="496">
        <v>45847</v>
      </c>
      <c r="C1456" s="507" t="s">
        <v>1259</v>
      </c>
      <c r="D1456" s="505" t="s">
        <v>1260</v>
      </c>
      <c r="E1456" s="499"/>
      <c r="F1456" s="500">
        <v>16500</v>
      </c>
      <c r="G1456" s="501" t="s">
        <v>137</v>
      </c>
      <c r="H1456" s="502"/>
      <c r="I1456" s="503">
        <f t="shared" si="23"/>
        <v>4337.6400000000103</v>
      </c>
    </row>
    <row r="1457" spans="2:9">
      <c r="B1457" s="496">
        <v>45847</v>
      </c>
      <c r="C1457" s="497">
        <v>28</v>
      </c>
      <c r="D1457" s="505" t="s">
        <v>1260</v>
      </c>
      <c r="E1457" s="499"/>
      <c r="F1457" s="500">
        <v>3630</v>
      </c>
      <c r="G1457" s="501" t="s">
        <v>274</v>
      </c>
      <c r="H1457" s="502"/>
      <c r="I1457" s="503">
        <f t="shared" si="23"/>
        <v>707.64000000001033</v>
      </c>
    </row>
    <row r="1458" spans="2:9">
      <c r="B1458" s="496">
        <v>45847</v>
      </c>
      <c r="C1458" s="497" t="s">
        <v>117</v>
      </c>
      <c r="D1458" s="498" t="s">
        <v>903</v>
      </c>
      <c r="E1458" s="499"/>
      <c r="F1458" s="500">
        <v>1</v>
      </c>
      <c r="G1458" s="501" t="s">
        <v>272</v>
      </c>
      <c r="H1458" s="502"/>
      <c r="I1458" s="503">
        <f t="shared" si="23"/>
        <v>706.64000000001033</v>
      </c>
    </row>
    <row r="1459" spans="2:9">
      <c r="B1459" s="496">
        <v>45847</v>
      </c>
      <c r="C1459" s="497" t="s">
        <v>283</v>
      </c>
      <c r="D1459" s="498" t="s">
        <v>307</v>
      </c>
      <c r="E1459" s="499">
        <v>178.2</v>
      </c>
      <c r="F1459" s="500"/>
      <c r="G1459" s="501" t="s">
        <v>190</v>
      </c>
      <c r="H1459" s="502"/>
      <c r="I1459" s="503">
        <f t="shared" si="23"/>
        <v>884.84000000001038</v>
      </c>
    </row>
    <row r="1460" spans="2:9">
      <c r="B1460" s="496">
        <v>45848</v>
      </c>
      <c r="C1460" s="507" t="s">
        <v>283</v>
      </c>
      <c r="D1460" s="505" t="s">
        <v>307</v>
      </c>
      <c r="E1460" s="499">
        <v>1013.7</v>
      </c>
      <c r="F1460" s="500"/>
      <c r="G1460" s="501" t="s">
        <v>190</v>
      </c>
      <c r="H1460" s="502"/>
      <c r="I1460" s="503">
        <f t="shared" si="23"/>
        <v>1898.5400000000104</v>
      </c>
    </row>
    <row r="1461" spans="2:9">
      <c r="B1461" s="729">
        <v>45838</v>
      </c>
      <c r="C1461" s="497" t="s">
        <v>117</v>
      </c>
      <c r="D1461" s="505" t="s">
        <v>1261</v>
      </c>
      <c r="E1461" s="499"/>
      <c r="F1461" s="500">
        <v>539.33000000000004</v>
      </c>
      <c r="G1461" s="630" t="s">
        <v>266</v>
      </c>
      <c r="H1461" s="502"/>
      <c r="I1461" s="503">
        <f t="shared" si="23"/>
        <v>1359.2100000000105</v>
      </c>
    </row>
    <row r="1462" spans="2:9">
      <c r="B1462" s="496">
        <v>45849</v>
      </c>
      <c r="C1462" s="497" t="s">
        <v>117</v>
      </c>
      <c r="D1462" s="505" t="s">
        <v>921</v>
      </c>
      <c r="E1462" s="499"/>
      <c r="F1462" s="500">
        <v>1.25</v>
      </c>
      <c r="G1462" s="501" t="s">
        <v>271</v>
      </c>
      <c r="H1462" s="502"/>
      <c r="I1462" s="503">
        <f t="shared" si="23"/>
        <v>1357.9600000000105</v>
      </c>
    </row>
    <row r="1463" spans="2:9">
      <c r="B1463" s="496">
        <v>45849</v>
      </c>
      <c r="C1463" s="497" t="s">
        <v>283</v>
      </c>
      <c r="D1463" s="505" t="s">
        <v>307</v>
      </c>
      <c r="E1463" s="499">
        <f>3223.3-3164</f>
        <v>59.300000000000182</v>
      </c>
      <c r="F1463" s="500"/>
      <c r="G1463" s="501" t="s">
        <v>190</v>
      </c>
      <c r="H1463" s="502"/>
      <c r="I1463" s="503">
        <f t="shared" si="23"/>
        <v>1417.2600000000107</v>
      </c>
    </row>
    <row r="1464" spans="2:9">
      <c r="B1464" s="496">
        <v>45849</v>
      </c>
      <c r="C1464" s="497" t="s">
        <v>283</v>
      </c>
      <c r="D1464" s="498" t="s">
        <v>307</v>
      </c>
      <c r="E1464" s="499">
        <v>3164</v>
      </c>
      <c r="F1464" s="500"/>
      <c r="G1464" s="501"/>
      <c r="H1464" s="596" t="s">
        <v>824</v>
      </c>
      <c r="I1464" s="503">
        <f t="shared" si="23"/>
        <v>4581.2600000000111</v>
      </c>
    </row>
    <row r="1465" spans="2:9">
      <c r="B1465" s="496">
        <v>45852</v>
      </c>
      <c r="C1465" s="497" t="s">
        <v>1262</v>
      </c>
      <c r="D1465" s="498" t="s">
        <v>1263</v>
      </c>
      <c r="E1465" s="499"/>
      <c r="F1465" s="500">
        <v>54.79</v>
      </c>
      <c r="G1465" s="501" t="s">
        <v>225</v>
      </c>
      <c r="H1465" s="502"/>
      <c r="I1465" s="503">
        <f t="shared" si="23"/>
        <v>4526.4700000000112</v>
      </c>
    </row>
    <row r="1466" spans="2:9">
      <c r="B1466" s="496">
        <v>45852</v>
      </c>
      <c r="C1466" s="497" t="s">
        <v>1262</v>
      </c>
      <c r="D1466" s="498" t="s">
        <v>1263</v>
      </c>
      <c r="E1466" s="499"/>
      <c r="F1466" s="500">
        <v>12.05</v>
      </c>
      <c r="G1466" s="501" t="s">
        <v>274</v>
      </c>
      <c r="H1466" s="502"/>
      <c r="I1466" s="503">
        <f t="shared" si="23"/>
        <v>4514.420000000011</v>
      </c>
    </row>
    <row r="1467" spans="2:9">
      <c r="B1467" s="496">
        <v>45852</v>
      </c>
      <c r="C1467" s="497" t="s">
        <v>117</v>
      </c>
      <c r="D1467" s="498" t="s">
        <v>921</v>
      </c>
      <c r="E1467" s="499"/>
      <c r="F1467" s="500">
        <v>1.25</v>
      </c>
      <c r="G1467" s="501" t="s">
        <v>271</v>
      </c>
      <c r="H1467" s="502"/>
      <c r="I1467" s="503">
        <f t="shared" si="23"/>
        <v>4513.170000000011</v>
      </c>
    </row>
    <row r="1468" spans="2:9">
      <c r="B1468" s="496">
        <v>45852</v>
      </c>
      <c r="C1468" s="497" t="s">
        <v>283</v>
      </c>
      <c r="D1468" s="498" t="s">
        <v>307</v>
      </c>
      <c r="E1468" s="499">
        <v>2214.3000000000002</v>
      </c>
      <c r="F1468" s="500"/>
      <c r="G1468" s="501" t="s">
        <v>190</v>
      </c>
      <c r="H1468" s="502"/>
      <c r="I1468" s="503">
        <f t="shared" si="23"/>
        <v>6727.4700000000112</v>
      </c>
    </row>
    <row r="1469" spans="2:9">
      <c r="B1469" s="496">
        <v>45852</v>
      </c>
      <c r="C1469" s="497" t="s">
        <v>283</v>
      </c>
      <c r="D1469" s="498" t="s">
        <v>307</v>
      </c>
      <c r="E1469" s="499">
        <v>2074.1</v>
      </c>
      <c r="F1469" s="500"/>
      <c r="G1469" s="501" t="s">
        <v>190</v>
      </c>
      <c r="H1469" s="502"/>
      <c r="I1469" s="503">
        <f t="shared" si="23"/>
        <v>8801.5700000000106</v>
      </c>
    </row>
    <row r="1470" spans="2:9">
      <c r="B1470" s="496">
        <v>45852</v>
      </c>
      <c r="C1470" s="497" t="s">
        <v>283</v>
      </c>
      <c r="D1470" s="498" t="s">
        <v>307</v>
      </c>
      <c r="E1470" s="499">
        <v>1735.4</v>
      </c>
      <c r="F1470" s="500"/>
      <c r="G1470" s="501" t="s">
        <v>190</v>
      </c>
      <c r="H1470" s="502"/>
      <c r="I1470" s="503">
        <f t="shared" si="23"/>
        <v>10536.97000000001</v>
      </c>
    </row>
    <row r="1471" spans="2:9">
      <c r="B1471" s="496">
        <v>45853</v>
      </c>
      <c r="C1471" s="497" t="s">
        <v>283</v>
      </c>
      <c r="D1471" s="498" t="s">
        <v>307</v>
      </c>
      <c r="E1471" s="499">
        <v>590.79999999999995</v>
      </c>
      <c r="F1471" s="500"/>
      <c r="G1471" s="501" t="s">
        <v>190</v>
      </c>
      <c r="H1471" s="502"/>
      <c r="I1471" s="503">
        <f t="shared" si="23"/>
        <v>11127.77000000001</v>
      </c>
    </row>
    <row r="1472" spans="2:9">
      <c r="B1472" s="729">
        <v>45777</v>
      </c>
      <c r="C1472" s="776" t="s">
        <v>250</v>
      </c>
      <c r="D1472" s="773" t="s">
        <v>250</v>
      </c>
      <c r="E1472" s="499"/>
      <c r="F1472" s="500">
        <v>2807.57</v>
      </c>
      <c r="G1472" s="501" t="s">
        <v>250</v>
      </c>
      <c r="H1472" s="502"/>
      <c r="I1472" s="503">
        <f t="shared" si="23"/>
        <v>8320.2000000000098</v>
      </c>
    </row>
    <row r="1473" spans="2:9">
      <c r="B1473" s="729">
        <v>45777</v>
      </c>
      <c r="C1473" s="776" t="s">
        <v>250</v>
      </c>
      <c r="D1473" s="773" t="s">
        <v>329</v>
      </c>
      <c r="E1473" s="499"/>
      <c r="F1473" s="500">
        <v>83.33</v>
      </c>
      <c r="G1473" s="501" t="s">
        <v>221</v>
      </c>
      <c r="H1473" s="502"/>
      <c r="I1473" s="503">
        <f t="shared" si="23"/>
        <v>8236.8700000000099</v>
      </c>
    </row>
    <row r="1474" spans="2:9">
      <c r="B1474" s="729">
        <v>45777</v>
      </c>
      <c r="C1474" s="777" t="s">
        <v>250</v>
      </c>
      <c r="D1474" s="778" t="s">
        <v>1966</v>
      </c>
      <c r="E1474" s="499">
        <v>3316.68</v>
      </c>
      <c r="F1474" s="500"/>
      <c r="G1474" s="501"/>
      <c r="H1474" s="502"/>
      <c r="I1474" s="503">
        <f t="shared" si="23"/>
        <v>11553.55000000001</v>
      </c>
    </row>
    <row r="1475" spans="2:9">
      <c r="B1475" s="496">
        <v>45853</v>
      </c>
      <c r="C1475" s="497" t="s">
        <v>117</v>
      </c>
      <c r="D1475" s="498" t="s">
        <v>1264</v>
      </c>
      <c r="E1475" s="499"/>
      <c r="F1475" s="500">
        <v>500</v>
      </c>
      <c r="G1475" s="501" t="s">
        <v>1858</v>
      </c>
      <c r="H1475" s="502"/>
      <c r="I1475" s="503">
        <f t="shared" si="23"/>
        <v>11053.55000000001</v>
      </c>
    </row>
    <row r="1476" spans="2:9">
      <c r="B1476" s="626">
        <v>45838</v>
      </c>
      <c r="C1476" s="507" t="s">
        <v>513</v>
      </c>
      <c r="D1476" s="505" t="s">
        <v>25</v>
      </c>
      <c r="E1476" s="499"/>
      <c r="F1476" s="500">
        <v>1506</v>
      </c>
      <c r="G1476" s="501" t="s">
        <v>246</v>
      </c>
      <c r="H1476" s="502"/>
      <c r="I1476" s="503">
        <f t="shared" si="23"/>
        <v>9547.5500000000102</v>
      </c>
    </row>
    <row r="1477" spans="2:9">
      <c r="B1477" s="626">
        <v>45838</v>
      </c>
      <c r="C1477" s="507" t="s">
        <v>286</v>
      </c>
      <c r="D1477" s="505" t="s">
        <v>520</v>
      </c>
      <c r="E1477" s="499"/>
      <c r="F1477" s="500">
        <v>1873</v>
      </c>
      <c r="G1477" s="501" t="s">
        <v>139</v>
      </c>
      <c r="H1477" s="502"/>
      <c r="I1477" s="503">
        <f t="shared" si="23"/>
        <v>7674.5500000000102</v>
      </c>
    </row>
    <row r="1478" spans="2:9">
      <c r="B1478" s="626">
        <v>45838</v>
      </c>
      <c r="C1478" s="507" t="s">
        <v>513</v>
      </c>
      <c r="D1478" s="505" t="s">
        <v>29</v>
      </c>
      <c r="E1478" s="499"/>
      <c r="F1478" s="500">
        <v>1357</v>
      </c>
      <c r="G1478" s="501" t="s">
        <v>243</v>
      </c>
      <c r="H1478" s="502"/>
      <c r="I1478" s="503">
        <f t="shared" si="23"/>
        <v>6317.5500000000102</v>
      </c>
    </row>
    <row r="1479" spans="2:9">
      <c r="B1479" s="626">
        <v>45838</v>
      </c>
      <c r="C1479" s="507" t="s">
        <v>513</v>
      </c>
      <c r="D1479" s="505" t="s">
        <v>28</v>
      </c>
      <c r="E1479" s="499"/>
      <c r="F1479" s="500">
        <v>1481</v>
      </c>
      <c r="G1479" s="501" t="s">
        <v>243</v>
      </c>
      <c r="H1479" s="502"/>
      <c r="I1479" s="503">
        <f t="shared" si="23"/>
        <v>4836.5500000000102</v>
      </c>
    </row>
    <row r="1480" spans="2:9">
      <c r="B1480" s="626">
        <v>45838</v>
      </c>
      <c r="C1480" s="507" t="s">
        <v>513</v>
      </c>
      <c r="D1480" s="498" t="s">
        <v>559</v>
      </c>
      <c r="E1480" s="499"/>
      <c r="F1480" s="500">
        <v>1030</v>
      </c>
      <c r="G1480" s="501" t="s">
        <v>243</v>
      </c>
      <c r="H1480" s="502"/>
      <c r="I1480" s="503">
        <f t="shared" si="23"/>
        <v>3806.5500000000102</v>
      </c>
    </row>
    <row r="1481" spans="2:9">
      <c r="B1481" s="626">
        <v>45838</v>
      </c>
      <c r="C1481" s="507" t="s">
        <v>513</v>
      </c>
      <c r="D1481" s="505" t="s">
        <v>557</v>
      </c>
      <c r="E1481" s="499"/>
      <c r="F1481" s="500">
        <v>1217</v>
      </c>
      <c r="G1481" s="501" t="s">
        <v>1859</v>
      </c>
      <c r="H1481" s="502"/>
      <c r="I1481" s="503">
        <f t="shared" si="23"/>
        <v>2589.5500000000102</v>
      </c>
    </row>
    <row r="1482" spans="2:9">
      <c r="B1482" s="626">
        <v>45838</v>
      </c>
      <c r="C1482" s="507" t="s">
        <v>513</v>
      </c>
      <c r="D1482" s="505" t="s">
        <v>26</v>
      </c>
      <c r="E1482" s="499"/>
      <c r="F1482" s="500">
        <v>386</v>
      </c>
      <c r="G1482" s="501" t="s">
        <v>246</v>
      </c>
      <c r="H1482" s="502"/>
      <c r="I1482" s="503">
        <f t="shared" si="23"/>
        <v>2203.5500000000102</v>
      </c>
    </row>
    <row r="1483" spans="2:9">
      <c r="B1483" s="626">
        <v>45838</v>
      </c>
      <c r="C1483" s="507" t="s">
        <v>513</v>
      </c>
      <c r="D1483" s="498" t="s">
        <v>24</v>
      </c>
      <c r="E1483" s="499"/>
      <c r="F1483" s="500">
        <v>405</v>
      </c>
      <c r="G1483" s="501" t="s">
        <v>245</v>
      </c>
      <c r="H1483" s="502"/>
      <c r="I1483" s="503">
        <f t="shared" ref="I1483:I1546" si="24">I1482+E1483-F1483</f>
        <v>1798.5500000000102</v>
      </c>
    </row>
    <row r="1484" spans="2:9">
      <c r="B1484" s="496">
        <v>45853</v>
      </c>
      <c r="C1484" s="497" t="s">
        <v>117</v>
      </c>
      <c r="D1484" s="498" t="s">
        <v>903</v>
      </c>
      <c r="E1484" s="499"/>
      <c r="F1484" s="500">
        <v>4.8</v>
      </c>
      <c r="G1484" s="501" t="s">
        <v>272</v>
      </c>
      <c r="H1484" s="502"/>
      <c r="I1484" s="503">
        <f t="shared" si="24"/>
        <v>1793.7500000000102</v>
      </c>
    </row>
    <row r="1485" spans="2:9">
      <c r="B1485" s="626">
        <v>45838</v>
      </c>
      <c r="C1485" s="497" t="s">
        <v>513</v>
      </c>
      <c r="D1485" s="498" t="s">
        <v>1265</v>
      </c>
      <c r="E1485" s="499"/>
      <c r="F1485" s="500">
        <v>641</v>
      </c>
      <c r="G1485" s="501" t="s">
        <v>248</v>
      </c>
      <c r="H1485" s="502"/>
      <c r="I1485" s="503">
        <f t="shared" si="24"/>
        <v>1152.7500000000102</v>
      </c>
    </row>
    <row r="1486" spans="2:9">
      <c r="B1486" s="496">
        <v>45853</v>
      </c>
      <c r="C1486" s="497" t="s">
        <v>117</v>
      </c>
      <c r="D1486" s="498" t="s">
        <v>903</v>
      </c>
      <c r="E1486" s="499"/>
      <c r="F1486" s="500">
        <v>0.8</v>
      </c>
      <c r="G1486" s="501" t="s">
        <v>272</v>
      </c>
      <c r="H1486" s="502"/>
      <c r="I1486" s="503">
        <f t="shared" si="24"/>
        <v>1151.9500000000103</v>
      </c>
    </row>
    <row r="1487" spans="2:9">
      <c r="B1487" s="496">
        <v>45854</v>
      </c>
      <c r="C1487" s="507" t="s">
        <v>283</v>
      </c>
      <c r="D1487" s="505" t="s">
        <v>912</v>
      </c>
      <c r="E1487" s="499">
        <f>287+180</f>
        <v>467</v>
      </c>
      <c r="F1487" s="500"/>
      <c r="G1487" s="628"/>
      <c r="H1487" s="629" t="s">
        <v>841</v>
      </c>
      <c r="I1487" s="503">
        <f t="shared" si="24"/>
        <v>1618.9500000000103</v>
      </c>
    </row>
    <row r="1488" spans="2:9">
      <c r="B1488" s="496">
        <v>45854</v>
      </c>
      <c r="C1488" s="507" t="s">
        <v>117</v>
      </c>
      <c r="D1488" s="505" t="s">
        <v>918</v>
      </c>
      <c r="E1488" s="499"/>
      <c r="F1488" s="500">
        <f>2.87+1.8</f>
        <v>4.67</v>
      </c>
      <c r="G1488" s="628"/>
      <c r="H1488" s="629" t="s">
        <v>841</v>
      </c>
      <c r="I1488" s="503">
        <f t="shared" si="24"/>
        <v>1614.2800000000102</v>
      </c>
    </row>
    <row r="1489" spans="2:9">
      <c r="B1489" s="496">
        <v>45854</v>
      </c>
      <c r="C1489" s="497" t="s">
        <v>283</v>
      </c>
      <c r="D1489" s="498" t="s">
        <v>307</v>
      </c>
      <c r="E1489" s="499">
        <v>661.2</v>
      </c>
      <c r="F1489" s="500"/>
      <c r="G1489" s="501" t="s">
        <v>190</v>
      </c>
      <c r="H1489" s="502"/>
      <c r="I1489" s="503">
        <f t="shared" si="24"/>
        <v>2275.4800000000105</v>
      </c>
    </row>
    <row r="1490" spans="2:9">
      <c r="B1490" s="496">
        <v>45854</v>
      </c>
      <c r="C1490" s="497" t="s">
        <v>1266</v>
      </c>
      <c r="D1490" s="505" t="s">
        <v>1267</v>
      </c>
      <c r="E1490" s="499"/>
      <c r="F1490" s="500">
        <v>108</v>
      </c>
      <c r="G1490" s="501" t="s">
        <v>199</v>
      </c>
      <c r="H1490" s="502"/>
      <c r="I1490" s="503">
        <f t="shared" si="24"/>
        <v>2167.4800000000105</v>
      </c>
    </row>
    <row r="1491" spans="2:9">
      <c r="B1491" s="496">
        <v>45854</v>
      </c>
      <c r="C1491" s="497" t="s">
        <v>1266</v>
      </c>
      <c r="D1491" s="498" t="s">
        <v>1267</v>
      </c>
      <c r="E1491" s="499"/>
      <c r="F1491" s="500">
        <v>10.8</v>
      </c>
      <c r="G1491" s="501" t="s">
        <v>274</v>
      </c>
      <c r="H1491" s="524"/>
      <c r="I1491" s="503">
        <f t="shared" si="24"/>
        <v>2156.6800000000103</v>
      </c>
    </row>
    <row r="1492" spans="2:9">
      <c r="B1492" s="496">
        <v>45854</v>
      </c>
      <c r="C1492" s="497" t="s">
        <v>117</v>
      </c>
      <c r="D1492" s="498" t="s">
        <v>903</v>
      </c>
      <c r="E1492" s="499"/>
      <c r="F1492" s="500">
        <v>1</v>
      </c>
      <c r="G1492" s="501" t="s">
        <v>272</v>
      </c>
      <c r="H1492" s="502"/>
      <c r="I1492" s="503">
        <f t="shared" si="24"/>
        <v>2155.6800000000103</v>
      </c>
    </row>
    <row r="1493" spans="2:9">
      <c r="B1493" s="729">
        <v>45808</v>
      </c>
      <c r="C1493" s="507" t="s">
        <v>1268</v>
      </c>
      <c r="D1493" s="505" t="s">
        <v>388</v>
      </c>
      <c r="E1493" s="499"/>
      <c r="F1493" s="500">
        <v>1219.4100000000001</v>
      </c>
      <c r="G1493" s="501" t="s">
        <v>224</v>
      </c>
      <c r="H1493" s="502"/>
      <c r="I1493" s="503">
        <f t="shared" si="24"/>
        <v>936.27000000001021</v>
      </c>
    </row>
    <row r="1494" spans="2:9">
      <c r="B1494" s="729">
        <v>45808</v>
      </c>
      <c r="C1494" s="507" t="s">
        <v>1268</v>
      </c>
      <c r="D1494" s="505" t="s">
        <v>388</v>
      </c>
      <c r="E1494" s="499"/>
      <c r="F1494" s="500">
        <v>268.27</v>
      </c>
      <c r="G1494" s="501" t="s">
        <v>274</v>
      </c>
      <c r="H1494" s="502"/>
      <c r="I1494" s="503">
        <f t="shared" si="24"/>
        <v>668.00000000001023</v>
      </c>
    </row>
    <row r="1495" spans="2:9">
      <c r="B1495" s="496">
        <v>45855</v>
      </c>
      <c r="C1495" s="497" t="s">
        <v>117</v>
      </c>
      <c r="D1495" s="498" t="s">
        <v>921</v>
      </c>
      <c r="E1495" s="499"/>
      <c r="F1495" s="500">
        <v>1.25</v>
      </c>
      <c r="G1495" s="501" t="s">
        <v>271</v>
      </c>
      <c r="H1495" s="502"/>
      <c r="I1495" s="503">
        <f t="shared" si="24"/>
        <v>666.75000000001023</v>
      </c>
    </row>
    <row r="1496" spans="2:9">
      <c r="B1496" s="496">
        <v>45855</v>
      </c>
      <c r="C1496" s="776" t="s">
        <v>250</v>
      </c>
      <c r="D1496" s="773" t="s">
        <v>250</v>
      </c>
      <c r="E1496" s="499"/>
      <c r="F1496" s="500">
        <v>140.33000000000001</v>
      </c>
      <c r="G1496" s="501" t="s">
        <v>250</v>
      </c>
      <c r="H1496" s="502"/>
      <c r="I1496" s="503">
        <f t="shared" si="24"/>
        <v>526.42000000001019</v>
      </c>
    </row>
    <row r="1497" spans="2:9">
      <c r="B1497" s="496">
        <v>45855</v>
      </c>
      <c r="C1497" s="507" t="s">
        <v>1269</v>
      </c>
      <c r="D1497" s="505" t="s">
        <v>1270</v>
      </c>
      <c r="E1497" s="499"/>
      <c r="F1497" s="500">
        <v>84.54</v>
      </c>
      <c r="G1497" s="501" t="s">
        <v>216</v>
      </c>
      <c r="H1497" s="502"/>
      <c r="I1497" s="503">
        <f t="shared" si="24"/>
        <v>441.88000000001017</v>
      </c>
    </row>
    <row r="1498" spans="2:9">
      <c r="B1498" s="496">
        <v>45855</v>
      </c>
      <c r="C1498" s="507" t="s">
        <v>1269</v>
      </c>
      <c r="D1498" s="505" t="s">
        <v>1270</v>
      </c>
      <c r="E1498" s="499"/>
      <c r="F1498" s="500">
        <v>8.4600000000000009</v>
      </c>
      <c r="G1498" s="501" t="s">
        <v>274</v>
      </c>
      <c r="H1498" s="502"/>
      <c r="I1498" s="503">
        <f t="shared" si="24"/>
        <v>433.42000000001019</v>
      </c>
    </row>
    <row r="1499" spans="2:9">
      <c r="B1499" s="496">
        <v>45855</v>
      </c>
      <c r="C1499" s="497" t="s">
        <v>117</v>
      </c>
      <c r="D1499" s="498" t="s">
        <v>903</v>
      </c>
      <c r="E1499" s="499"/>
      <c r="F1499" s="500">
        <v>1</v>
      </c>
      <c r="G1499" s="501" t="s">
        <v>272</v>
      </c>
      <c r="H1499" s="502"/>
      <c r="I1499" s="503">
        <f t="shared" si="24"/>
        <v>432.42000000001019</v>
      </c>
    </row>
    <row r="1500" spans="2:9">
      <c r="B1500" s="496">
        <v>45855</v>
      </c>
      <c r="C1500" s="507" t="s">
        <v>283</v>
      </c>
      <c r="D1500" s="505" t="s">
        <v>912</v>
      </c>
      <c r="E1500" s="499">
        <v>96</v>
      </c>
      <c r="F1500" s="500"/>
      <c r="G1500" s="628"/>
      <c r="H1500" s="629" t="s">
        <v>841</v>
      </c>
      <c r="I1500" s="503">
        <f t="shared" si="24"/>
        <v>528.42000000001019</v>
      </c>
    </row>
    <row r="1501" spans="2:9">
      <c r="B1501" s="496">
        <v>45855</v>
      </c>
      <c r="C1501" s="507" t="s">
        <v>117</v>
      </c>
      <c r="D1501" s="505" t="s">
        <v>918</v>
      </c>
      <c r="E1501" s="499"/>
      <c r="F1501" s="500">
        <v>0.96</v>
      </c>
      <c r="G1501" s="628"/>
      <c r="H1501" s="629" t="s">
        <v>841</v>
      </c>
      <c r="I1501" s="503">
        <f t="shared" si="24"/>
        <v>527.46000000001015</v>
      </c>
    </row>
    <row r="1502" spans="2:9">
      <c r="B1502" s="496">
        <v>45855</v>
      </c>
      <c r="C1502" s="497" t="s">
        <v>283</v>
      </c>
      <c r="D1502" s="498" t="s">
        <v>307</v>
      </c>
      <c r="E1502" s="499">
        <v>1081.9000000000001</v>
      </c>
      <c r="F1502" s="500"/>
      <c r="G1502" s="501" t="s">
        <v>190</v>
      </c>
      <c r="H1502" s="502"/>
      <c r="I1502" s="503">
        <f t="shared" si="24"/>
        <v>1609.3600000000101</v>
      </c>
    </row>
    <row r="1503" spans="2:9">
      <c r="B1503" s="496">
        <v>45856</v>
      </c>
      <c r="C1503" s="507" t="s">
        <v>283</v>
      </c>
      <c r="D1503" s="505" t="s">
        <v>912</v>
      </c>
      <c r="E1503" s="499">
        <f>90+47.5</f>
        <v>137.5</v>
      </c>
      <c r="F1503" s="500"/>
      <c r="G1503" s="501" t="s">
        <v>190</v>
      </c>
      <c r="H1503" s="502"/>
      <c r="I1503" s="503">
        <f t="shared" si="24"/>
        <v>1746.8600000000101</v>
      </c>
    </row>
    <row r="1504" spans="2:9">
      <c r="B1504" s="496">
        <v>45856</v>
      </c>
      <c r="C1504" s="507" t="s">
        <v>117</v>
      </c>
      <c r="D1504" s="505" t="s">
        <v>918</v>
      </c>
      <c r="E1504" s="499"/>
      <c r="F1504" s="500">
        <f>0.9+0.48</f>
        <v>1.38</v>
      </c>
      <c r="G1504" s="501" t="s">
        <v>270</v>
      </c>
      <c r="H1504" s="502"/>
      <c r="I1504" s="503">
        <f t="shared" si="24"/>
        <v>1745.48000000001</v>
      </c>
    </row>
    <row r="1505" spans="2:9">
      <c r="B1505" s="496">
        <v>45856</v>
      </c>
      <c r="C1505" s="497" t="s">
        <v>283</v>
      </c>
      <c r="D1505" s="498" t="s">
        <v>307</v>
      </c>
      <c r="E1505" s="499">
        <f>2634-E1506</f>
        <v>393</v>
      </c>
      <c r="F1505" s="500"/>
      <c r="G1505" s="501" t="s">
        <v>190</v>
      </c>
      <c r="H1505" s="502"/>
      <c r="I1505" s="503">
        <f t="shared" si="24"/>
        <v>2138.48000000001</v>
      </c>
    </row>
    <row r="1506" spans="2:9">
      <c r="B1506" s="496">
        <v>45856</v>
      </c>
      <c r="C1506" s="497" t="s">
        <v>283</v>
      </c>
      <c r="D1506" s="498" t="s">
        <v>307</v>
      </c>
      <c r="E1506" s="499">
        <v>2241</v>
      </c>
      <c r="F1506" s="500"/>
      <c r="G1506" s="501"/>
      <c r="H1506" s="596" t="s">
        <v>824</v>
      </c>
      <c r="I1506" s="503">
        <f t="shared" si="24"/>
        <v>4379.4800000000105</v>
      </c>
    </row>
    <row r="1507" spans="2:9">
      <c r="B1507" s="496">
        <v>45859</v>
      </c>
      <c r="C1507" s="497">
        <v>1113</v>
      </c>
      <c r="D1507" s="505" t="s">
        <v>1271</v>
      </c>
      <c r="E1507" s="499"/>
      <c r="F1507" s="500">
        <v>115</v>
      </c>
      <c r="G1507" s="501" t="s">
        <v>219</v>
      </c>
      <c r="H1507" s="502"/>
      <c r="I1507" s="503">
        <f t="shared" si="24"/>
        <v>4264.4800000000105</v>
      </c>
    </row>
    <row r="1508" spans="2:9">
      <c r="B1508" s="496">
        <v>45859</v>
      </c>
      <c r="C1508" s="497">
        <v>1113</v>
      </c>
      <c r="D1508" s="505" t="s">
        <v>1272</v>
      </c>
      <c r="E1508" s="499"/>
      <c r="F1508" s="500">
        <v>25.3</v>
      </c>
      <c r="G1508" s="501" t="s">
        <v>274</v>
      </c>
      <c r="H1508" s="502"/>
      <c r="I1508" s="503">
        <f t="shared" si="24"/>
        <v>4239.1800000000103</v>
      </c>
    </row>
    <row r="1509" spans="2:9">
      <c r="B1509" s="496">
        <v>45859</v>
      </c>
      <c r="C1509" s="507" t="s">
        <v>117</v>
      </c>
      <c r="D1509" s="505" t="s">
        <v>903</v>
      </c>
      <c r="E1509" s="499"/>
      <c r="F1509" s="500">
        <v>1</v>
      </c>
      <c r="G1509" s="501" t="s">
        <v>272</v>
      </c>
      <c r="H1509" s="502"/>
      <c r="I1509" s="503">
        <f t="shared" si="24"/>
        <v>4238.1800000000103</v>
      </c>
    </row>
    <row r="1510" spans="2:9">
      <c r="B1510" s="496">
        <v>45859</v>
      </c>
      <c r="C1510" s="497" t="s">
        <v>1279</v>
      </c>
      <c r="D1510" s="498" t="s">
        <v>912</v>
      </c>
      <c r="E1510" s="499">
        <f>1136+250</f>
        <v>1386</v>
      </c>
      <c r="F1510" s="500"/>
      <c r="G1510" s="633"/>
      <c r="H1510" s="634" t="s">
        <v>556</v>
      </c>
      <c r="I1510" s="503">
        <f t="shared" si="24"/>
        <v>5624.1800000000103</v>
      </c>
    </row>
    <row r="1511" spans="2:9">
      <c r="B1511" s="496">
        <v>45859</v>
      </c>
      <c r="C1511" s="497" t="s">
        <v>117</v>
      </c>
      <c r="D1511" s="498" t="s">
        <v>1280</v>
      </c>
      <c r="E1511" s="499"/>
      <c r="F1511" s="500">
        <f>11.46+2.55</f>
        <v>14.010000000000002</v>
      </c>
      <c r="G1511" s="633"/>
      <c r="H1511" s="634" t="s">
        <v>556</v>
      </c>
      <c r="I1511" s="503">
        <f t="shared" si="24"/>
        <v>5610.1700000000101</v>
      </c>
    </row>
    <row r="1512" spans="2:9">
      <c r="B1512" s="496">
        <v>45859</v>
      </c>
      <c r="C1512" s="507" t="s">
        <v>283</v>
      </c>
      <c r="D1512" s="505" t="s">
        <v>307</v>
      </c>
      <c r="E1512" s="499">
        <v>3371.2</v>
      </c>
      <c r="F1512" s="500"/>
      <c r="G1512" s="501" t="s">
        <v>190</v>
      </c>
      <c r="H1512" s="502"/>
      <c r="I1512" s="503">
        <f t="shared" si="24"/>
        <v>8981.3700000000099</v>
      </c>
    </row>
    <row r="1513" spans="2:9">
      <c r="B1513" s="496">
        <v>45859</v>
      </c>
      <c r="C1513" s="507" t="s">
        <v>1273</v>
      </c>
      <c r="D1513" s="505" t="s">
        <v>1252</v>
      </c>
      <c r="E1513" s="499"/>
      <c r="F1513" s="500">
        <v>992.4</v>
      </c>
      <c r="G1513" s="501" t="s">
        <v>194</v>
      </c>
      <c r="H1513" s="502"/>
      <c r="I1513" s="503">
        <f t="shared" si="24"/>
        <v>7988.9700000000103</v>
      </c>
    </row>
    <row r="1514" spans="2:9">
      <c r="B1514" s="496">
        <v>45859</v>
      </c>
      <c r="C1514" s="507" t="s">
        <v>1273</v>
      </c>
      <c r="D1514" s="505" t="s">
        <v>1274</v>
      </c>
      <c r="E1514" s="499"/>
      <c r="F1514" s="500">
        <v>218.33</v>
      </c>
      <c r="G1514" s="501" t="s">
        <v>274</v>
      </c>
      <c r="H1514" s="502"/>
      <c r="I1514" s="503">
        <f t="shared" si="24"/>
        <v>7770.6400000000103</v>
      </c>
    </row>
    <row r="1515" spans="2:9">
      <c r="B1515" s="496">
        <v>45859</v>
      </c>
      <c r="C1515" s="507" t="s">
        <v>117</v>
      </c>
      <c r="D1515" s="505" t="s">
        <v>903</v>
      </c>
      <c r="E1515" s="499"/>
      <c r="F1515" s="500">
        <v>1</v>
      </c>
      <c r="G1515" s="501" t="s">
        <v>272</v>
      </c>
      <c r="H1515" s="502"/>
      <c r="I1515" s="503">
        <f t="shared" si="24"/>
        <v>7769.6400000000103</v>
      </c>
    </row>
    <row r="1516" spans="2:9">
      <c r="B1516" s="496">
        <v>45859</v>
      </c>
      <c r="C1516" s="497" t="s">
        <v>283</v>
      </c>
      <c r="D1516" s="498" t="s">
        <v>307</v>
      </c>
      <c r="E1516" s="499">
        <v>1955.1</v>
      </c>
      <c r="F1516" s="500"/>
      <c r="G1516" s="501" t="s">
        <v>190</v>
      </c>
      <c r="H1516" s="502"/>
      <c r="I1516" s="503">
        <f t="shared" si="24"/>
        <v>9724.7400000000107</v>
      </c>
    </row>
    <row r="1517" spans="2:9">
      <c r="B1517" s="496">
        <v>45859</v>
      </c>
      <c r="C1517" s="497" t="s">
        <v>283</v>
      </c>
      <c r="D1517" s="498" t="s">
        <v>307</v>
      </c>
      <c r="E1517" s="499">
        <v>2509.1</v>
      </c>
      <c r="F1517" s="500"/>
      <c r="G1517" s="501" t="s">
        <v>190</v>
      </c>
      <c r="H1517" s="502"/>
      <c r="I1517" s="503">
        <f t="shared" si="24"/>
        <v>12233.840000000011</v>
      </c>
    </row>
    <row r="1518" spans="2:9">
      <c r="B1518" s="496">
        <v>45860</v>
      </c>
      <c r="C1518" s="507" t="s">
        <v>1275</v>
      </c>
      <c r="D1518" s="498" t="s">
        <v>1276</v>
      </c>
      <c r="E1518" s="499"/>
      <c r="F1518" s="500">
        <v>1538.91</v>
      </c>
      <c r="G1518" s="501" t="s">
        <v>139</v>
      </c>
      <c r="H1518" s="502"/>
      <c r="I1518" s="503">
        <f t="shared" si="24"/>
        <v>10694.930000000011</v>
      </c>
    </row>
    <row r="1519" spans="2:9">
      <c r="B1519" s="496">
        <v>45860</v>
      </c>
      <c r="C1519" s="507" t="s">
        <v>1275</v>
      </c>
      <c r="D1519" s="505" t="s">
        <v>1277</v>
      </c>
      <c r="E1519" s="499"/>
      <c r="F1519" s="500">
        <v>338.56</v>
      </c>
      <c r="G1519" s="501" t="s">
        <v>274</v>
      </c>
      <c r="H1519" s="502"/>
      <c r="I1519" s="503">
        <f t="shared" si="24"/>
        <v>10356.370000000012</v>
      </c>
    </row>
    <row r="1520" spans="2:9">
      <c r="B1520" s="496">
        <v>45860</v>
      </c>
      <c r="C1520" s="507" t="s">
        <v>117</v>
      </c>
      <c r="D1520" s="505" t="s">
        <v>903</v>
      </c>
      <c r="E1520" s="499"/>
      <c r="F1520" s="500">
        <v>1</v>
      </c>
      <c r="G1520" s="501" t="s">
        <v>272</v>
      </c>
      <c r="H1520" s="502"/>
      <c r="I1520" s="503">
        <f t="shared" si="24"/>
        <v>10355.370000000012</v>
      </c>
    </row>
    <row r="1521" spans="2:9">
      <c r="B1521" s="496">
        <v>45860</v>
      </c>
      <c r="C1521" s="507" t="s">
        <v>1852</v>
      </c>
      <c r="D1521" s="505" t="s">
        <v>1278</v>
      </c>
      <c r="E1521" s="499"/>
      <c r="F1521" s="632">
        <v>1865.68</v>
      </c>
      <c r="G1521" s="501" t="s">
        <v>219</v>
      </c>
      <c r="H1521" s="502"/>
      <c r="I1521" s="503">
        <f t="shared" si="24"/>
        <v>8489.6900000000114</v>
      </c>
    </row>
    <row r="1522" spans="2:9">
      <c r="B1522" s="496">
        <v>45860</v>
      </c>
      <c r="C1522" s="507" t="s">
        <v>117</v>
      </c>
      <c r="D1522" s="505" t="s">
        <v>903</v>
      </c>
      <c r="E1522" s="499"/>
      <c r="F1522" s="500">
        <v>1</v>
      </c>
      <c r="G1522" s="501" t="s">
        <v>272</v>
      </c>
      <c r="H1522" s="502"/>
      <c r="I1522" s="503">
        <f t="shared" si="24"/>
        <v>8488.6900000000114</v>
      </c>
    </row>
    <row r="1523" spans="2:9">
      <c r="B1523" s="496">
        <v>45860</v>
      </c>
      <c r="C1523" s="497" t="s">
        <v>283</v>
      </c>
      <c r="D1523" s="498" t="s">
        <v>307</v>
      </c>
      <c r="E1523" s="499">
        <v>657.3</v>
      </c>
      <c r="F1523" s="500"/>
      <c r="G1523" s="501" t="s">
        <v>190</v>
      </c>
      <c r="H1523" s="502"/>
      <c r="I1523" s="503">
        <f t="shared" si="24"/>
        <v>9145.9900000000107</v>
      </c>
    </row>
    <row r="1524" spans="2:9">
      <c r="B1524" s="496">
        <v>45861</v>
      </c>
      <c r="C1524" s="497" t="s">
        <v>283</v>
      </c>
      <c r="D1524" s="498" t="s">
        <v>307</v>
      </c>
      <c r="E1524" s="499">
        <v>1164</v>
      </c>
      <c r="F1524" s="500"/>
      <c r="G1524" s="501" t="s">
        <v>190</v>
      </c>
      <c r="H1524" s="502"/>
      <c r="I1524" s="503">
        <f t="shared" si="24"/>
        <v>10309.990000000011</v>
      </c>
    </row>
    <row r="1525" spans="2:9">
      <c r="B1525" s="496">
        <v>45861</v>
      </c>
      <c r="C1525" s="497" t="s">
        <v>1279</v>
      </c>
      <c r="D1525" s="498" t="s">
        <v>912</v>
      </c>
      <c r="E1525" s="499">
        <v>456</v>
      </c>
      <c r="F1525" s="500"/>
      <c r="G1525" s="628"/>
      <c r="H1525" s="629" t="s">
        <v>841</v>
      </c>
      <c r="I1525" s="503">
        <f t="shared" si="24"/>
        <v>10765.990000000011</v>
      </c>
    </row>
    <row r="1526" spans="2:9">
      <c r="B1526" s="496">
        <v>45861</v>
      </c>
      <c r="C1526" s="497" t="s">
        <v>117</v>
      </c>
      <c r="D1526" s="498" t="s">
        <v>1280</v>
      </c>
      <c r="E1526" s="499"/>
      <c r="F1526" s="500">
        <v>4.5599999999999996</v>
      </c>
      <c r="G1526" s="628"/>
      <c r="H1526" s="629" t="s">
        <v>841</v>
      </c>
      <c r="I1526" s="503">
        <f t="shared" si="24"/>
        <v>10761.430000000011</v>
      </c>
    </row>
    <row r="1527" spans="2:9">
      <c r="B1527" s="496">
        <v>45861</v>
      </c>
      <c r="C1527" s="507" t="s">
        <v>1281</v>
      </c>
      <c r="D1527" s="498" t="s">
        <v>1282</v>
      </c>
      <c r="E1527" s="499"/>
      <c r="F1527" s="500">
        <v>63.64</v>
      </c>
      <c r="G1527" s="501" t="s">
        <v>216</v>
      </c>
      <c r="H1527" s="502"/>
      <c r="I1527" s="503">
        <f t="shared" si="24"/>
        <v>10697.790000000012</v>
      </c>
    </row>
    <row r="1528" spans="2:9">
      <c r="B1528" s="496">
        <v>45861</v>
      </c>
      <c r="C1528" s="507" t="s">
        <v>1281</v>
      </c>
      <c r="D1528" s="498" t="s">
        <v>1282</v>
      </c>
      <c r="E1528" s="499"/>
      <c r="F1528" s="500">
        <v>6.36</v>
      </c>
      <c r="G1528" s="501" t="s">
        <v>274</v>
      </c>
      <c r="H1528" s="502"/>
      <c r="I1528" s="503">
        <f t="shared" si="24"/>
        <v>10691.430000000011</v>
      </c>
    </row>
    <row r="1529" spans="2:9">
      <c r="B1529" s="496">
        <v>45861</v>
      </c>
      <c r="C1529" s="507" t="s">
        <v>117</v>
      </c>
      <c r="D1529" s="505" t="s">
        <v>903</v>
      </c>
      <c r="E1529" s="499"/>
      <c r="F1529" s="500">
        <v>1</v>
      </c>
      <c r="G1529" s="501" t="s">
        <v>272</v>
      </c>
      <c r="H1529" s="502"/>
      <c r="I1529" s="503">
        <f t="shared" si="24"/>
        <v>10690.430000000011</v>
      </c>
    </row>
    <row r="1530" spans="2:9">
      <c r="B1530" s="496">
        <v>45862</v>
      </c>
      <c r="C1530" s="507" t="s">
        <v>117</v>
      </c>
      <c r="D1530" s="498" t="s">
        <v>903</v>
      </c>
      <c r="E1530" s="499"/>
      <c r="F1530" s="500">
        <v>0.75</v>
      </c>
      <c r="G1530" s="501" t="s">
        <v>272</v>
      </c>
      <c r="H1530" s="506" t="s">
        <v>1835</v>
      </c>
      <c r="I1530" s="503">
        <f t="shared" si="24"/>
        <v>10689.680000000011</v>
      </c>
    </row>
    <row r="1531" spans="2:9">
      <c r="B1531" s="496">
        <v>45862</v>
      </c>
      <c r="C1531" s="507" t="s">
        <v>1279</v>
      </c>
      <c r="D1531" s="498" t="s">
        <v>912</v>
      </c>
      <c r="E1531" s="499">
        <v>168</v>
      </c>
      <c r="F1531" s="500"/>
      <c r="G1531" s="531"/>
      <c r="H1531" s="502"/>
      <c r="I1531" s="503">
        <f t="shared" si="24"/>
        <v>10857.680000000011</v>
      </c>
    </row>
    <row r="1532" spans="2:9">
      <c r="B1532" s="496">
        <v>45862</v>
      </c>
      <c r="C1532" s="507" t="s">
        <v>117</v>
      </c>
      <c r="D1532" s="498" t="s">
        <v>918</v>
      </c>
      <c r="E1532" s="499"/>
      <c r="F1532" s="500">
        <v>1.68</v>
      </c>
      <c r="G1532" s="531"/>
      <c r="H1532" s="502"/>
      <c r="I1532" s="503">
        <f t="shared" si="24"/>
        <v>10856.000000000011</v>
      </c>
    </row>
    <row r="1533" spans="2:9">
      <c r="B1533" s="496">
        <v>45862</v>
      </c>
      <c r="C1533" s="497" t="s">
        <v>283</v>
      </c>
      <c r="D1533" s="498" t="s">
        <v>307</v>
      </c>
      <c r="E1533" s="499">
        <v>782.5</v>
      </c>
      <c r="F1533" s="500"/>
      <c r="G1533" s="501" t="s">
        <v>190</v>
      </c>
      <c r="H1533" s="502"/>
      <c r="I1533" s="503">
        <f t="shared" si="24"/>
        <v>11638.500000000011</v>
      </c>
    </row>
    <row r="1534" spans="2:9">
      <c r="B1534" s="496">
        <v>45862</v>
      </c>
      <c r="C1534" s="535">
        <v>30</v>
      </c>
      <c r="D1534" s="498" t="s">
        <v>1836</v>
      </c>
      <c r="E1534" s="499"/>
      <c r="F1534" s="500">
        <v>1030</v>
      </c>
      <c r="G1534" s="501" t="s">
        <v>218</v>
      </c>
      <c r="H1534" s="502"/>
      <c r="I1534" s="503">
        <f t="shared" si="24"/>
        <v>10608.500000000011</v>
      </c>
    </row>
    <row r="1535" spans="2:9">
      <c r="B1535" s="496">
        <v>45862</v>
      </c>
      <c r="C1535" s="497">
        <v>30</v>
      </c>
      <c r="D1535" s="498" t="s">
        <v>1837</v>
      </c>
      <c r="E1535" s="499"/>
      <c r="F1535" s="500">
        <v>226.6</v>
      </c>
      <c r="G1535" s="501" t="s">
        <v>274</v>
      </c>
      <c r="H1535" s="502"/>
      <c r="I1535" s="503">
        <f t="shared" si="24"/>
        <v>10381.900000000011</v>
      </c>
    </row>
    <row r="1536" spans="2:9">
      <c r="B1536" s="496">
        <v>45862</v>
      </c>
      <c r="C1536" s="497" t="s">
        <v>117</v>
      </c>
      <c r="D1536" s="498" t="s">
        <v>1838</v>
      </c>
      <c r="E1536" s="499"/>
      <c r="F1536" s="500">
        <v>1</v>
      </c>
      <c r="G1536" s="501" t="s">
        <v>272</v>
      </c>
      <c r="H1536" s="502"/>
      <c r="I1536" s="503">
        <f t="shared" si="24"/>
        <v>10380.900000000011</v>
      </c>
    </row>
    <row r="1537" spans="2:9">
      <c r="B1537" s="496">
        <v>45863</v>
      </c>
      <c r="C1537" s="497" t="s">
        <v>1279</v>
      </c>
      <c r="D1537" s="498" t="s">
        <v>307</v>
      </c>
      <c r="E1537" s="499">
        <f>2430.1-1605</f>
        <v>825.09999999999991</v>
      </c>
      <c r="F1537" s="500"/>
      <c r="G1537" s="501" t="s">
        <v>190</v>
      </c>
      <c r="H1537" s="502"/>
      <c r="I1537" s="503">
        <f t="shared" si="24"/>
        <v>11206.000000000011</v>
      </c>
    </row>
    <row r="1538" spans="2:9">
      <c r="B1538" s="496">
        <v>45863</v>
      </c>
      <c r="C1538" s="497" t="s">
        <v>283</v>
      </c>
      <c r="D1538" s="498" t="s">
        <v>307</v>
      </c>
      <c r="E1538" s="499">
        <v>1605</v>
      </c>
      <c r="F1538" s="500"/>
      <c r="G1538" s="501"/>
      <c r="H1538" s="596" t="s">
        <v>824</v>
      </c>
      <c r="I1538" s="503">
        <f t="shared" si="24"/>
        <v>12811.000000000011</v>
      </c>
    </row>
    <row r="1539" spans="2:9">
      <c r="B1539" s="729">
        <v>45838</v>
      </c>
      <c r="C1539" s="497">
        <v>1122</v>
      </c>
      <c r="D1539" s="498" t="s">
        <v>349</v>
      </c>
      <c r="E1539" s="499"/>
      <c r="F1539" s="500">
        <v>309.06</v>
      </c>
      <c r="G1539" s="501" t="s">
        <v>199</v>
      </c>
      <c r="H1539" s="502"/>
      <c r="I1539" s="503">
        <f t="shared" si="24"/>
        <v>12501.940000000011</v>
      </c>
    </row>
    <row r="1540" spans="2:9">
      <c r="B1540" s="729">
        <v>45838</v>
      </c>
      <c r="C1540" s="497">
        <v>1122</v>
      </c>
      <c r="D1540" s="498" t="s">
        <v>349</v>
      </c>
      <c r="E1540" s="499"/>
      <c r="F1540" s="500">
        <v>30.91</v>
      </c>
      <c r="G1540" s="501" t="s">
        <v>274</v>
      </c>
      <c r="H1540" s="502"/>
      <c r="I1540" s="503">
        <f t="shared" si="24"/>
        <v>12471.030000000012</v>
      </c>
    </row>
    <row r="1541" spans="2:9">
      <c r="B1541" s="496">
        <v>45863</v>
      </c>
      <c r="C1541" s="497" t="s">
        <v>117</v>
      </c>
      <c r="D1541" s="498" t="s">
        <v>1838</v>
      </c>
      <c r="E1541" s="499"/>
      <c r="F1541" s="500">
        <v>1</v>
      </c>
      <c r="G1541" s="501" t="s">
        <v>272</v>
      </c>
      <c r="H1541" s="502"/>
      <c r="I1541" s="503">
        <f t="shared" si="24"/>
        <v>12470.030000000012</v>
      </c>
    </row>
    <row r="1542" spans="2:9">
      <c r="B1542" s="496">
        <v>45866</v>
      </c>
      <c r="C1542" s="641">
        <v>432</v>
      </c>
      <c r="D1542" s="498" t="s">
        <v>990</v>
      </c>
      <c r="E1542" s="499"/>
      <c r="F1542" s="500">
        <v>774.8</v>
      </c>
      <c r="G1542" s="501" t="s">
        <v>222</v>
      </c>
      <c r="H1542" s="502"/>
      <c r="I1542" s="503">
        <f t="shared" si="24"/>
        <v>11695.230000000012</v>
      </c>
    </row>
    <row r="1543" spans="2:9">
      <c r="B1543" s="496">
        <v>45866</v>
      </c>
      <c r="C1543" s="641">
        <v>432</v>
      </c>
      <c r="D1543" s="498" t="s">
        <v>1839</v>
      </c>
      <c r="E1543" s="499"/>
      <c r="F1543" s="500">
        <v>170.46</v>
      </c>
      <c r="G1543" s="501" t="s">
        <v>274</v>
      </c>
      <c r="H1543" s="502"/>
      <c r="I1543" s="503">
        <f t="shared" si="24"/>
        <v>11524.770000000013</v>
      </c>
    </row>
    <row r="1544" spans="2:9">
      <c r="B1544" s="496">
        <v>45866</v>
      </c>
      <c r="C1544" s="497" t="s">
        <v>117</v>
      </c>
      <c r="D1544" s="498" t="s">
        <v>1838</v>
      </c>
      <c r="E1544" s="499"/>
      <c r="F1544" s="500">
        <v>1</v>
      </c>
      <c r="G1544" s="501" t="s">
        <v>272</v>
      </c>
      <c r="H1544" s="502"/>
      <c r="I1544" s="503">
        <f t="shared" si="24"/>
        <v>11523.770000000013</v>
      </c>
    </row>
    <row r="1545" spans="2:9">
      <c r="B1545" s="496">
        <v>45866</v>
      </c>
      <c r="C1545" s="497">
        <v>332</v>
      </c>
      <c r="D1545" s="498" t="s">
        <v>97</v>
      </c>
      <c r="E1545" s="499"/>
      <c r="F1545" s="500">
        <v>2108</v>
      </c>
      <c r="G1545" s="501" t="s">
        <v>194</v>
      </c>
      <c r="H1545" s="502"/>
      <c r="I1545" s="503">
        <f t="shared" si="24"/>
        <v>9415.7700000000132</v>
      </c>
    </row>
    <row r="1546" spans="2:9">
      <c r="B1546" s="496">
        <v>45866</v>
      </c>
      <c r="C1546" s="497">
        <v>332</v>
      </c>
      <c r="D1546" s="498" t="s">
        <v>1840</v>
      </c>
      <c r="E1546" s="499"/>
      <c r="F1546" s="500">
        <v>463.76</v>
      </c>
      <c r="G1546" s="501" t="s">
        <v>274</v>
      </c>
      <c r="H1546" s="502"/>
      <c r="I1546" s="503">
        <f t="shared" si="24"/>
        <v>8952.010000000013</v>
      </c>
    </row>
    <row r="1547" spans="2:9">
      <c r="B1547" s="496">
        <v>45866</v>
      </c>
      <c r="C1547" s="497" t="s">
        <v>117</v>
      </c>
      <c r="D1547" s="498" t="s">
        <v>1838</v>
      </c>
      <c r="E1547" s="499"/>
      <c r="F1547" s="500">
        <v>1</v>
      </c>
      <c r="G1547" s="501" t="s">
        <v>272</v>
      </c>
      <c r="H1547" s="502"/>
      <c r="I1547" s="503">
        <f t="shared" ref="I1547:I1611" si="25">I1546+E1547-F1547</f>
        <v>8951.010000000013</v>
      </c>
    </row>
    <row r="1548" spans="2:9">
      <c r="B1548" s="496">
        <v>45866</v>
      </c>
      <c r="C1548" s="535" t="s">
        <v>117</v>
      </c>
      <c r="D1548" s="498" t="s">
        <v>1045</v>
      </c>
      <c r="E1548" s="499"/>
      <c r="F1548" s="500">
        <v>139.72</v>
      </c>
      <c r="G1548" s="501" t="s">
        <v>232</v>
      </c>
      <c r="H1548" s="502"/>
      <c r="I1548" s="503">
        <f t="shared" si="25"/>
        <v>8811.2900000000136</v>
      </c>
    </row>
    <row r="1549" spans="2:9">
      <c r="B1549" s="496">
        <v>45866</v>
      </c>
      <c r="C1549" s="507" t="s">
        <v>1283</v>
      </c>
      <c r="D1549" s="505" t="s">
        <v>545</v>
      </c>
      <c r="E1549" s="499"/>
      <c r="F1549" s="500">
        <v>77.86</v>
      </c>
      <c r="G1549" s="501" t="s">
        <v>208</v>
      </c>
      <c r="H1549" s="502"/>
      <c r="I1549" s="503">
        <f t="shared" si="25"/>
        <v>8733.430000000013</v>
      </c>
    </row>
    <row r="1550" spans="2:9">
      <c r="B1550" s="496">
        <v>45866</v>
      </c>
      <c r="C1550" s="507" t="s">
        <v>1283</v>
      </c>
      <c r="D1550" s="505" t="s">
        <v>545</v>
      </c>
      <c r="E1550" s="499"/>
      <c r="F1550" s="500">
        <v>17.12</v>
      </c>
      <c r="G1550" s="501" t="s">
        <v>274</v>
      </c>
      <c r="H1550" s="502"/>
      <c r="I1550" s="503">
        <f t="shared" si="25"/>
        <v>8716.3100000000122</v>
      </c>
    </row>
    <row r="1551" spans="2:9">
      <c r="B1551" s="496">
        <v>45866</v>
      </c>
      <c r="C1551" s="535" t="s">
        <v>1284</v>
      </c>
      <c r="D1551" s="498" t="s">
        <v>545</v>
      </c>
      <c r="E1551" s="499"/>
      <c r="F1551" s="500">
        <v>93.48</v>
      </c>
      <c r="G1551" s="501" t="s">
        <v>208</v>
      </c>
      <c r="H1551" s="502"/>
      <c r="I1551" s="503">
        <f t="shared" si="25"/>
        <v>8622.8300000000127</v>
      </c>
    </row>
    <row r="1552" spans="2:9">
      <c r="B1552" s="496">
        <v>45866</v>
      </c>
      <c r="C1552" s="497" t="s">
        <v>1284</v>
      </c>
      <c r="D1552" s="498" t="s">
        <v>545</v>
      </c>
      <c r="E1552" s="499"/>
      <c r="F1552" s="500">
        <v>20.57</v>
      </c>
      <c r="G1552" s="501" t="s">
        <v>274</v>
      </c>
      <c r="H1552" s="502"/>
      <c r="I1552" s="503">
        <f t="shared" si="25"/>
        <v>8602.260000000013</v>
      </c>
    </row>
    <row r="1553" spans="2:9">
      <c r="B1553" s="496">
        <v>45866</v>
      </c>
      <c r="C1553" s="497" t="s">
        <v>1285</v>
      </c>
      <c r="D1553" s="498" t="s">
        <v>545</v>
      </c>
      <c r="E1553" s="499"/>
      <c r="F1553" s="500">
        <v>89.34</v>
      </c>
      <c r="G1553" s="501" t="s">
        <v>208</v>
      </c>
      <c r="H1553" s="502"/>
      <c r="I1553" s="503">
        <f t="shared" si="25"/>
        <v>8512.9200000000128</v>
      </c>
    </row>
    <row r="1554" spans="2:9">
      <c r="B1554" s="496">
        <v>45866</v>
      </c>
      <c r="C1554" s="497" t="s">
        <v>1285</v>
      </c>
      <c r="D1554" s="498" t="s">
        <v>545</v>
      </c>
      <c r="E1554" s="499"/>
      <c r="F1554" s="500">
        <v>19.66</v>
      </c>
      <c r="G1554" s="501" t="s">
        <v>274</v>
      </c>
      <c r="H1554" s="502"/>
      <c r="I1554" s="503">
        <f t="shared" si="25"/>
        <v>8493.260000000013</v>
      </c>
    </row>
    <row r="1555" spans="2:9">
      <c r="B1555" s="496">
        <v>45866</v>
      </c>
      <c r="C1555" s="497" t="s">
        <v>1286</v>
      </c>
      <c r="D1555" s="498" t="s">
        <v>545</v>
      </c>
      <c r="E1555" s="499"/>
      <c r="F1555" s="500">
        <v>216.19</v>
      </c>
      <c r="G1555" s="501" t="s">
        <v>208</v>
      </c>
      <c r="H1555" s="502"/>
      <c r="I1555" s="503">
        <f t="shared" si="25"/>
        <v>8277.0700000000124</v>
      </c>
    </row>
    <row r="1556" spans="2:9">
      <c r="B1556" s="496">
        <v>45866</v>
      </c>
      <c r="C1556" s="497" t="s">
        <v>1286</v>
      </c>
      <c r="D1556" s="498" t="s">
        <v>545</v>
      </c>
      <c r="E1556" s="499"/>
      <c r="F1556" s="500">
        <v>47.56</v>
      </c>
      <c r="G1556" s="501" t="s">
        <v>274</v>
      </c>
      <c r="H1556" s="502"/>
      <c r="I1556" s="503">
        <f t="shared" si="25"/>
        <v>8229.510000000013</v>
      </c>
    </row>
    <row r="1557" spans="2:9">
      <c r="B1557" s="496">
        <v>45866</v>
      </c>
      <c r="C1557" s="497" t="s">
        <v>117</v>
      </c>
      <c r="D1557" s="498" t="s">
        <v>669</v>
      </c>
      <c r="E1557" s="499"/>
      <c r="F1557" s="500">
        <v>181.95</v>
      </c>
      <c r="G1557" s="501" t="s">
        <v>202</v>
      </c>
      <c r="H1557" s="502"/>
      <c r="I1557" s="503">
        <f t="shared" si="25"/>
        <v>8047.5600000000131</v>
      </c>
    </row>
    <row r="1558" spans="2:9">
      <c r="B1558" s="496">
        <v>45866</v>
      </c>
      <c r="C1558" s="497">
        <v>333</v>
      </c>
      <c r="D1558" s="498" t="s">
        <v>1287</v>
      </c>
      <c r="E1558" s="499"/>
      <c r="F1558" s="500">
        <v>293.44</v>
      </c>
      <c r="G1558" s="501" t="s">
        <v>216</v>
      </c>
      <c r="H1558" s="502"/>
      <c r="I1558" s="503">
        <f t="shared" si="25"/>
        <v>7754.1200000000135</v>
      </c>
    </row>
    <row r="1559" spans="2:9">
      <c r="B1559" s="496">
        <v>45866</v>
      </c>
      <c r="C1559" s="497">
        <v>333</v>
      </c>
      <c r="D1559" s="498" t="s">
        <v>1287</v>
      </c>
      <c r="E1559" s="499"/>
      <c r="F1559" s="500">
        <v>64.56</v>
      </c>
      <c r="G1559" s="501" t="s">
        <v>274</v>
      </c>
      <c r="H1559" s="502"/>
      <c r="I1559" s="503">
        <f t="shared" si="25"/>
        <v>7689.5600000000131</v>
      </c>
    </row>
    <row r="1560" spans="2:9">
      <c r="B1560" s="496">
        <v>45866</v>
      </c>
      <c r="C1560" s="507" t="s">
        <v>1288</v>
      </c>
      <c r="D1560" s="505" t="s">
        <v>1289</v>
      </c>
      <c r="E1560" s="499"/>
      <c r="F1560" s="500">
        <v>95.24</v>
      </c>
      <c r="G1560" s="501" t="s">
        <v>1861</v>
      </c>
      <c r="H1560" s="502"/>
      <c r="I1560" s="503">
        <f t="shared" si="25"/>
        <v>7594.3200000000134</v>
      </c>
    </row>
    <row r="1561" spans="2:9">
      <c r="B1561" s="496">
        <v>45866</v>
      </c>
      <c r="C1561" s="507" t="s">
        <v>1288</v>
      </c>
      <c r="D1561" s="505" t="s">
        <v>1289</v>
      </c>
      <c r="E1561" s="499"/>
      <c r="F1561" s="500">
        <v>20.96</v>
      </c>
      <c r="G1561" s="501" t="s">
        <v>274</v>
      </c>
      <c r="H1561" s="502"/>
      <c r="I1561" s="503">
        <f t="shared" si="25"/>
        <v>7573.3600000000133</v>
      </c>
    </row>
    <row r="1562" spans="2:9">
      <c r="B1562" s="496">
        <v>45866</v>
      </c>
      <c r="C1562" s="497" t="s">
        <v>117</v>
      </c>
      <c r="D1562" s="498" t="s">
        <v>1223</v>
      </c>
      <c r="E1562" s="499"/>
      <c r="F1562" s="500">
        <v>501.5</v>
      </c>
      <c r="G1562" s="501" t="s">
        <v>257</v>
      </c>
      <c r="H1562" s="502"/>
      <c r="I1562" s="503">
        <f t="shared" si="25"/>
        <v>7071.8600000000133</v>
      </c>
    </row>
    <row r="1563" spans="2:9">
      <c r="B1563" s="496">
        <v>45866</v>
      </c>
      <c r="C1563" s="497" t="s">
        <v>1290</v>
      </c>
      <c r="D1563" s="498" t="s">
        <v>950</v>
      </c>
      <c r="E1563" s="499"/>
      <c r="F1563" s="500">
        <v>27.79</v>
      </c>
      <c r="G1563" s="501" t="s">
        <v>256</v>
      </c>
      <c r="H1563" s="502"/>
      <c r="I1563" s="503">
        <f t="shared" si="25"/>
        <v>7044.0700000000134</v>
      </c>
    </row>
    <row r="1564" spans="2:9">
      <c r="B1564" s="496">
        <v>45866</v>
      </c>
      <c r="C1564" s="497" t="s">
        <v>1290</v>
      </c>
      <c r="D1564" s="498" t="s">
        <v>950</v>
      </c>
      <c r="E1564" s="499"/>
      <c r="F1564" s="500">
        <v>6.11</v>
      </c>
      <c r="G1564" s="501" t="s">
        <v>274</v>
      </c>
      <c r="H1564" s="502"/>
      <c r="I1564" s="503">
        <f t="shared" si="25"/>
        <v>7037.9600000000137</v>
      </c>
    </row>
    <row r="1565" spans="2:9">
      <c r="B1565" s="496">
        <v>45866</v>
      </c>
      <c r="C1565" s="497" t="s">
        <v>1291</v>
      </c>
      <c r="D1565" s="498" t="s">
        <v>1013</v>
      </c>
      <c r="E1565" s="499"/>
      <c r="F1565" s="500">
        <v>1188.6099999999999</v>
      </c>
      <c r="G1565" s="501" t="s">
        <v>202</v>
      </c>
      <c r="H1565" s="502"/>
      <c r="I1565" s="503">
        <f t="shared" si="25"/>
        <v>5849.350000000014</v>
      </c>
    </row>
    <row r="1566" spans="2:9">
      <c r="B1566" s="496">
        <v>45866</v>
      </c>
      <c r="C1566" s="497" t="s">
        <v>1291</v>
      </c>
      <c r="D1566" s="498" t="s">
        <v>1013</v>
      </c>
      <c r="E1566" s="499"/>
      <c r="F1566" s="500">
        <v>261.49</v>
      </c>
      <c r="G1566" s="501" t="s">
        <v>274</v>
      </c>
      <c r="H1566" s="502"/>
      <c r="I1566" s="503">
        <f t="shared" si="25"/>
        <v>5587.8600000000142</v>
      </c>
    </row>
    <row r="1567" spans="2:9">
      <c r="B1567" s="496">
        <v>45866</v>
      </c>
      <c r="C1567" s="507" t="s">
        <v>1292</v>
      </c>
      <c r="D1567" s="505" t="s">
        <v>1293</v>
      </c>
      <c r="E1567" s="499"/>
      <c r="F1567" s="500">
        <v>766</v>
      </c>
      <c r="G1567" s="501" t="s">
        <v>202</v>
      </c>
      <c r="H1567" s="502"/>
      <c r="I1567" s="503">
        <f t="shared" si="25"/>
        <v>4821.8600000000142</v>
      </c>
    </row>
    <row r="1568" spans="2:9">
      <c r="B1568" s="496">
        <v>45866</v>
      </c>
      <c r="C1568" s="507" t="s">
        <v>1292</v>
      </c>
      <c r="D1568" s="505" t="s">
        <v>1293</v>
      </c>
      <c r="E1568" s="499"/>
      <c r="F1568" s="500">
        <v>168.52</v>
      </c>
      <c r="G1568" s="501" t="s">
        <v>274</v>
      </c>
      <c r="H1568" s="502"/>
      <c r="I1568" s="503">
        <f t="shared" si="25"/>
        <v>4653.3400000000138</v>
      </c>
    </row>
    <row r="1569" spans="2:9">
      <c r="B1569" s="496">
        <v>45866</v>
      </c>
      <c r="C1569" s="497" t="s">
        <v>117</v>
      </c>
      <c r="D1569" s="498" t="s">
        <v>689</v>
      </c>
      <c r="E1569" s="499"/>
      <c r="F1569" s="500">
        <v>60</v>
      </c>
      <c r="G1569" s="501" t="s">
        <v>256</v>
      </c>
      <c r="H1569" s="502"/>
      <c r="I1569" s="503">
        <f t="shared" si="25"/>
        <v>4593.3400000000138</v>
      </c>
    </row>
    <row r="1570" spans="2:9">
      <c r="B1570" s="496">
        <v>45866</v>
      </c>
      <c r="C1570" s="497" t="s">
        <v>117</v>
      </c>
      <c r="D1570" s="498" t="s">
        <v>908</v>
      </c>
      <c r="E1570" s="499"/>
      <c r="F1570" s="500">
        <v>2</v>
      </c>
      <c r="G1570" s="501" t="s">
        <v>254</v>
      </c>
      <c r="H1570" s="502"/>
      <c r="I1570" s="503">
        <f t="shared" si="25"/>
        <v>4591.3400000000138</v>
      </c>
    </row>
    <row r="1571" spans="2:9">
      <c r="B1571" s="496">
        <v>45866</v>
      </c>
      <c r="C1571" s="507" t="s">
        <v>117</v>
      </c>
      <c r="D1571" s="505" t="s">
        <v>921</v>
      </c>
      <c r="E1571" s="499"/>
      <c r="F1571" s="500">
        <v>1.25</v>
      </c>
      <c r="G1571" s="501" t="s">
        <v>271</v>
      </c>
      <c r="H1571" s="502"/>
      <c r="I1571" s="503">
        <f t="shared" si="25"/>
        <v>4590.0900000000138</v>
      </c>
    </row>
    <row r="1572" spans="2:9">
      <c r="B1572" s="496">
        <v>45866</v>
      </c>
      <c r="C1572" s="535" t="s">
        <v>283</v>
      </c>
      <c r="D1572" s="498" t="s">
        <v>307</v>
      </c>
      <c r="E1572" s="499">
        <v>1780.2</v>
      </c>
      <c r="F1572" s="500"/>
      <c r="G1572" s="501" t="s">
        <v>190</v>
      </c>
      <c r="H1572" s="502"/>
      <c r="I1572" s="503">
        <f t="shared" si="25"/>
        <v>6370.2900000000136</v>
      </c>
    </row>
    <row r="1573" spans="2:9">
      <c r="B1573" s="496">
        <v>45866</v>
      </c>
      <c r="C1573" s="507" t="s">
        <v>1279</v>
      </c>
      <c r="D1573" s="498" t="s">
        <v>307</v>
      </c>
      <c r="E1573" s="499">
        <v>1256.5999999999999</v>
      </c>
      <c r="F1573" s="500"/>
      <c r="G1573" s="501" t="s">
        <v>190</v>
      </c>
      <c r="H1573" s="536"/>
      <c r="I1573" s="503">
        <f t="shared" si="25"/>
        <v>7626.890000000014</v>
      </c>
    </row>
    <row r="1574" spans="2:9">
      <c r="B1574" s="496">
        <v>45866</v>
      </c>
      <c r="C1574" s="507" t="s">
        <v>1279</v>
      </c>
      <c r="D1574" s="498" t="s">
        <v>307</v>
      </c>
      <c r="E1574" s="499">
        <v>3483.1</v>
      </c>
      <c r="F1574" s="500"/>
      <c r="G1574" s="501" t="s">
        <v>190</v>
      </c>
      <c r="H1574" s="536"/>
      <c r="I1574" s="503">
        <f t="shared" si="25"/>
        <v>11109.990000000014</v>
      </c>
    </row>
    <row r="1575" spans="2:9">
      <c r="B1575" s="496">
        <v>45867</v>
      </c>
      <c r="C1575" s="513" t="s">
        <v>962</v>
      </c>
      <c r="D1575" s="514" t="s">
        <v>1180</v>
      </c>
      <c r="E1575" s="515"/>
      <c r="F1575" s="516">
        <v>1277.3499999999999</v>
      </c>
      <c r="G1575" s="522" t="s">
        <v>279</v>
      </c>
      <c r="H1575" s="536"/>
      <c r="I1575" s="503">
        <f t="shared" si="25"/>
        <v>9832.640000000014</v>
      </c>
    </row>
    <row r="1576" spans="2:9">
      <c r="B1576" s="496">
        <v>45867</v>
      </c>
      <c r="C1576" s="513" t="s">
        <v>962</v>
      </c>
      <c r="D1576" s="514" t="s">
        <v>1181</v>
      </c>
      <c r="E1576" s="515"/>
      <c r="F1576" s="516">
        <v>91.5</v>
      </c>
      <c r="G1576" s="522" t="s">
        <v>262</v>
      </c>
      <c r="H1576" s="536"/>
      <c r="I1576" s="503">
        <f t="shared" si="25"/>
        <v>9741.140000000014</v>
      </c>
    </row>
    <row r="1577" spans="2:9">
      <c r="B1577" s="496">
        <v>45867</v>
      </c>
      <c r="C1577" s="513" t="s">
        <v>962</v>
      </c>
      <c r="D1577" s="514" t="s">
        <v>965</v>
      </c>
      <c r="E1577" s="515"/>
      <c r="F1577" s="516">
        <v>2.5</v>
      </c>
      <c r="G1577" s="522" t="s">
        <v>966</v>
      </c>
      <c r="H1577" s="502"/>
      <c r="I1577" s="503">
        <f t="shared" si="25"/>
        <v>9738.640000000014</v>
      </c>
    </row>
    <row r="1578" spans="2:9">
      <c r="B1578" s="729">
        <v>45807</v>
      </c>
      <c r="C1578" s="507" t="s">
        <v>1842</v>
      </c>
      <c r="D1578" s="505" t="s">
        <v>1841</v>
      </c>
      <c r="E1578" s="499"/>
      <c r="F1578" s="500">
        <v>410.16</v>
      </c>
      <c r="G1578" s="501" t="s">
        <v>198</v>
      </c>
      <c r="H1578" s="502"/>
      <c r="I1578" s="503">
        <f t="shared" si="25"/>
        <v>9328.4800000000141</v>
      </c>
    </row>
    <row r="1579" spans="2:9">
      <c r="B1579" s="729">
        <v>45807</v>
      </c>
      <c r="C1579" s="507" t="s">
        <v>1842</v>
      </c>
      <c r="D1579" s="505" t="s">
        <v>1843</v>
      </c>
      <c r="E1579" s="499"/>
      <c r="F1579" s="500">
        <v>90.24</v>
      </c>
      <c r="G1579" s="501" t="s">
        <v>274</v>
      </c>
      <c r="H1579" s="502"/>
      <c r="I1579" s="503">
        <f t="shared" si="25"/>
        <v>9238.2400000000143</v>
      </c>
    </row>
    <row r="1580" spans="2:9">
      <c r="B1580" s="729">
        <v>45838</v>
      </c>
      <c r="C1580" s="507">
        <v>4366</v>
      </c>
      <c r="D1580" s="498" t="s">
        <v>1841</v>
      </c>
      <c r="E1580" s="499"/>
      <c r="F1580" s="500">
        <v>456</v>
      </c>
      <c r="G1580" s="501" t="s">
        <v>198</v>
      </c>
      <c r="H1580" s="502"/>
      <c r="I1580" s="503">
        <f t="shared" si="25"/>
        <v>8782.2400000000143</v>
      </c>
    </row>
    <row r="1581" spans="2:9">
      <c r="B1581" s="729">
        <v>45838</v>
      </c>
      <c r="C1581" s="507">
        <v>4366</v>
      </c>
      <c r="D1581" s="498" t="s">
        <v>1843</v>
      </c>
      <c r="E1581" s="499"/>
      <c r="F1581" s="500">
        <v>100.32</v>
      </c>
      <c r="G1581" s="501" t="s">
        <v>274</v>
      </c>
      <c r="H1581" s="502"/>
      <c r="I1581" s="503">
        <f t="shared" si="25"/>
        <v>8681.9200000000146</v>
      </c>
    </row>
    <row r="1582" spans="2:9">
      <c r="B1582" s="496">
        <v>45867</v>
      </c>
      <c r="C1582" s="497" t="s">
        <v>117</v>
      </c>
      <c r="D1582" s="498" t="s">
        <v>1959</v>
      </c>
      <c r="E1582" s="499"/>
      <c r="F1582" s="500">
        <v>1</v>
      </c>
      <c r="G1582" s="501" t="s">
        <v>272</v>
      </c>
      <c r="H1582" s="502"/>
      <c r="I1582" s="503">
        <f t="shared" si="25"/>
        <v>8680.9200000000146</v>
      </c>
    </row>
    <row r="1583" spans="2:9">
      <c r="B1583" s="496">
        <v>45867</v>
      </c>
      <c r="C1583" s="497" t="s">
        <v>283</v>
      </c>
      <c r="D1583" s="498" t="s">
        <v>307</v>
      </c>
      <c r="E1583" s="499">
        <v>482.3</v>
      </c>
      <c r="F1583" s="500"/>
      <c r="G1583" s="501" t="s">
        <v>190</v>
      </c>
      <c r="H1583" s="502"/>
      <c r="I1583" s="503">
        <f t="shared" si="25"/>
        <v>9163.2200000000139</v>
      </c>
    </row>
    <row r="1584" spans="2:9">
      <c r="B1584" s="496">
        <v>45868</v>
      </c>
      <c r="C1584" s="497">
        <v>36255</v>
      </c>
      <c r="D1584" s="498" t="s">
        <v>100</v>
      </c>
      <c r="E1584" s="499"/>
      <c r="F1584" s="538">
        <v>366.98</v>
      </c>
      <c r="G1584" s="501" t="s">
        <v>194</v>
      </c>
      <c r="H1584" s="502"/>
      <c r="I1584" s="503">
        <f t="shared" si="25"/>
        <v>8796.2400000000143</v>
      </c>
    </row>
    <row r="1585" spans="2:9">
      <c r="B1585" s="496">
        <v>45868</v>
      </c>
      <c r="C1585" s="497">
        <v>36255</v>
      </c>
      <c r="D1585" s="498" t="s">
        <v>1274</v>
      </c>
      <c r="E1585" s="499"/>
      <c r="F1585" s="500">
        <v>80.739999999999995</v>
      </c>
      <c r="G1585" s="501" t="s">
        <v>274</v>
      </c>
      <c r="H1585" s="502"/>
      <c r="I1585" s="503">
        <f t="shared" si="25"/>
        <v>8715.5000000000146</v>
      </c>
    </row>
    <row r="1586" spans="2:9">
      <c r="B1586" s="496">
        <v>45868</v>
      </c>
      <c r="C1586" s="497" t="s">
        <v>117</v>
      </c>
      <c r="D1586" s="498" t="s">
        <v>1959</v>
      </c>
      <c r="E1586" s="499"/>
      <c r="F1586" s="500">
        <v>1</v>
      </c>
      <c r="G1586" s="501" t="s">
        <v>272</v>
      </c>
      <c r="H1586" s="502"/>
      <c r="I1586" s="503">
        <f t="shared" si="25"/>
        <v>8714.5000000000146</v>
      </c>
    </row>
    <row r="1587" spans="2:9">
      <c r="B1587" s="496">
        <v>45868</v>
      </c>
      <c r="C1587" s="497" t="s">
        <v>2228</v>
      </c>
      <c r="D1587" s="498" t="s">
        <v>379</v>
      </c>
      <c r="E1587" s="499">
        <v>227.21</v>
      </c>
      <c r="G1587" s="501" t="s">
        <v>237</v>
      </c>
      <c r="H1587" s="502"/>
      <c r="I1587" s="503">
        <f t="shared" si="25"/>
        <v>8941.7100000000137</v>
      </c>
    </row>
    <row r="1588" spans="2:9">
      <c r="B1588" s="496">
        <v>45868</v>
      </c>
      <c r="C1588" s="497" t="s">
        <v>2228</v>
      </c>
      <c r="D1588" s="498" t="s">
        <v>379</v>
      </c>
      <c r="E1588" s="499">
        <v>49.99</v>
      </c>
      <c r="F1588" s="500"/>
      <c r="G1588" s="501" t="s">
        <v>276</v>
      </c>
      <c r="H1588" s="502"/>
      <c r="I1588" s="503">
        <f t="shared" si="25"/>
        <v>8991.7000000000135</v>
      </c>
    </row>
    <row r="1589" spans="2:9">
      <c r="B1589" s="496">
        <v>45868</v>
      </c>
      <c r="C1589" s="497" t="s">
        <v>1279</v>
      </c>
      <c r="D1589" s="498" t="s">
        <v>912</v>
      </c>
      <c r="E1589" s="499">
        <v>696</v>
      </c>
      <c r="F1589" s="500"/>
      <c r="G1589" s="628"/>
      <c r="H1589" s="629" t="s">
        <v>841</v>
      </c>
      <c r="I1589" s="503">
        <f>I1587+E1589-F1589</f>
        <v>9637.7100000000137</v>
      </c>
    </row>
    <row r="1590" spans="2:9">
      <c r="B1590" s="496">
        <v>45868</v>
      </c>
      <c r="C1590" s="497" t="s">
        <v>117</v>
      </c>
      <c r="D1590" s="498" t="s">
        <v>918</v>
      </c>
      <c r="E1590" s="499"/>
      <c r="F1590" s="500">
        <v>6.96</v>
      </c>
      <c r="G1590" s="628"/>
      <c r="H1590" s="629" t="s">
        <v>841</v>
      </c>
      <c r="I1590" s="503">
        <f t="shared" si="25"/>
        <v>9630.7500000000146</v>
      </c>
    </row>
    <row r="1591" spans="2:9">
      <c r="B1591" s="496">
        <v>45868</v>
      </c>
      <c r="C1591" s="507" t="s">
        <v>1279</v>
      </c>
      <c r="D1591" s="505" t="s">
        <v>307</v>
      </c>
      <c r="E1591" s="499">
        <v>971.1</v>
      </c>
      <c r="F1591" s="500"/>
      <c r="G1591" s="501" t="s">
        <v>190</v>
      </c>
      <c r="H1591" s="502"/>
      <c r="I1591" s="503">
        <f t="shared" si="25"/>
        <v>10601.850000000015</v>
      </c>
    </row>
    <row r="1592" spans="2:9">
      <c r="B1592" s="496">
        <v>45869</v>
      </c>
      <c r="C1592" s="497" t="s">
        <v>1844</v>
      </c>
      <c r="D1592" s="505" t="s">
        <v>1845</v>
      </c>
      <c r="E1592" s="499"/>
      <c r="F1592" s="500">
        <v>130</v>
      </c>
      <c r="G1592" s="630" t="s">
        <v>238</v>
      </c>
      <c r="H1592" s="502"/>
      <c r="I1592" s="503">
        <f t="shared" si="25"/>
        <v>10471.850000000015</v>
      </c>
    </row>
    <row r="1593" spans="2:9">
      <c r="B1593" s="496">
        <v>45869</v>
      </c>
      <c r="C1593" s="497" t="s">
        <v>1844</v>
      </c>
      <c r="D1593" s="498" t="s">
        <v>1846</v>
      </c>
      <c r="E1593" s="499"/>
      <c r="F1593" s="500">
        <v>28.6</v>
      </c>
      <c r="G1593" s="501" t="s">
        <v>274</v>
      </c>
      <c r="H1593" s="502"/>
      <c r="I1593" s="503">
        <f t="shared" si="25"/>
        <v>10443.250000000015</v>
      </c>
    </row>
    <row r="1594" spans="2:9">
      <c r="B1594" s="496">
        <v>45869</v>
      </c>
      <c r="C1594" s="497" t="s">
        <v>117</v>
      </c>
      <c r="D1594" s="498" t="s">
        <v>921</v>
      </c>
      <c r="E1594" s="499"/>
      <c r="F1594" s="500">
        <v>1.25</v>
      </c>
      <c r="G1594" s="501" t="s">
        <v>271</v>
      </c>
      <c r="H1594" s="502"/>
      <c r="I1594" s="503">
        <f t="shared" si="25"/>
        <v>10442.000000000015</v>
      </c>
    </row>
    <row r="1595" spans="2:9">
      <c r="B1595" s="496">
        <v>45869</v>
      </c>
      <c r="C1595" s="497" t="s">
        <v>1847</v>
      </c>
      <c r="D1595" s="505" t="s">
        <v>1845</v>
      </c>
      <c r="E1595" s="499"/>
      <c r="F1595" s="500">
        <v>146</v>
      </c>
      <c r="G1595" s="630" t="s">
        <v>238</v>
      </c>
      <c r="H1595" s="506" t="s">
        <v>1190</v>
      </c>
      <c r="I1595" s="503">
        <f t="shared" si="25"/>
        <v>10296.000000000015</v>
      </c>
    </row>
    <row r="1596" spans="2:9">
      <c r="B1596" s="496">
        <v>45869</v>
      </c>
      <c r="C1596" s="497" t="s">
        <v>1847</v>
      </c>
      <c r="D1596" s="498" t="s">
        <v>1846</v>
      </c>
      <c r="E1596" s="499"/>
      <c r="F1596" s="500">
        <v>31.12</v>
      </c>
      <c r="G1596" s="501" t="s">
        <v>274</v>
      </c>
      <c r="H1596" s="502"/>
      <c r="I1596" s="503">
        <f t="shared" si="25"/>
        <v>10264.880000000014</v>
      </c>
    </row>
    <row r="1597" spans="2:9">
      <c r="B1597" s="496">
        <v>45869</v>
      </c>
      <c r="C1597" s="497" t="s">
        <v>117</v>
      </c>
      <c r="D1597" s="498" t="s">
        <v>921</v>
      </c>
      <c r="E1597" s="499"/>
      <c r="F1597" s="500">
        <v>1.25</v>
      </c>
      <c r="G1597" s="501" t="s">
        <v>271</v>
      </c>
      <c r="H1597" s="502"/>
      <c r="I1597" s="503">
        <f t="shared" si="25"/>
        <v>10263.630000000014</v>
      </c>
    </row>
    <row r="1598" spans="2:9">
      <c r="B1598" s="496">
        <v>45869</v>
      </c>
      <c r="C1598" s="497" t="s">
        <v>117</v>
      </c>
      <c r="D1598" s="505" t="s">
        <v>1848</v>
      </c>
      <c r="E1598" s="499"/>
      <c r="F1598" s="500">
        <v>2300.12</v>
      </c>
      <c r="G1598" s="501" t="s">
        <v>1957</v>
      </c>
      <c r="H1598" s="502"/>
      <c r="I1598" s="503">
        <f t="shared" si="25"/>
        <v>7963.5100000000139</v>
      </c>
    </row>
    <row r="1599" spans="2:9">
      <c r="B1599" s="496">
        <v>45869</v>
      </c>
      <c r="C1599" s="507" t="s">
        <v>541</v>
      </c>
      <c r="D1599" s="505" t="s">
        <v>542</v>
      </c>
      <c r="E1599" s="499">
        <v>10000</v>
      </c>
      <c r="F1599" s="500"/>
      <c r="G1599" s="501" t="s">
        <v>277</v>
      </c>
      <c r="H1599" s="502"/>
      <c r="I1599" s="503">
        <f t="shared" si="25"/>
        <v>17963.510000000013</v>
      </c>
    </row>
    <row r="1600" spans="2:9">
      <c r="B1600" s="729">
        <v>45838</v>
      </c>
      <c r="C1600" s="497" t="s">
        <v>1849</v>
      </c>
      <c r="D1600" s="498" t="s">
        <v>650</v>
      </c>
      <c r="E1600" s="499"/>
      <c r="F1600" s="500">
        <v>9771.32</v>
      </c>
      <c r="G1600" s="501" t="s">
        <v>194</v>
      </c>
      <c r="H1600" s="502"/>
      <c r="I1600" s="503">
        <f t="shared" si="25"/>
        <v>8192.1900000000132</v>
      </c>
    </row>
    <row r="1601" spans="2:9">
      <c r="B1601" s="729">
        <v>45838</v>
      </c>
      <c r="C1601" s="497" t="s">
        <v>1849</v>
      </c>
      <c r="D1601" s="498" t="s">
        <v>650</v>
      </c>
      <c r="E1601" s="499"/>
      <c r="F1601" s="500">
        <v>2116.0300000000002</v>
      </c>
      <c r="G1601" s="501" t="s">
        <v>274</v>
      </c>
      <c r="H1601" s="502"/>
      <c r="I1601" s="503">
        <f t="shared" si="25"/>
        <v>6076.1600000000126</v>
      </c>
    </row>
    <row r="1602" spans="2:9">
      <c r="B1602" s="496">
        <v>45869</v>
      </c>
      <c r="C1602" s="497" t="s">
        <v>117</v>
      </c>
      <c r="D1602" s="498" t="s">
        <v>921</v>
      </c>
      <c r="E1602" s="499"/>
      <c r="F1602" s="500">
        <v>1.25</v>
      </c>
      <c r="G1602" s="501" t="s">
        <v>271</v>
      </c>
      <c r="H1602" s="502"/>
      <c r="I1602" s="503">
        <f t="shared" si="25"/>
        <v>6074.9100000000126</v>
      </c>
    </row>
    <row r="1603" spans="2:9">
      <c r="B1603" s="496">
        <v>45869</v>
      </c>
      <c r="C1603" s="497" t="s">
        <v>283</v>
      </c>
      <c r="D1603" s="498" t="s">
        <v>912</v>
      </c>
      <c r="E1603" s="499">
        <v>403.5</v>
      </c>
      <c r="F1603" s="500"/>
      <c r="G1603" s="628"/>
      <c r="H1603" s="629" t="s">
        <v>841</v>
      </c>
      <c r="I1603" s="503">
        <f t="shared" si="25"/>
        <v>6478.4100000000126</v>
      </c>
    </row>
    <row r="1604" spans="2:9">
      <c r="B1604" s="496">
        <v>45869</v>
      </c>
      <c r="C1604" s="513" t="s">
        <v>117</v>
      </c>
      <c r="D1604" s="514" t="s">
        <v>918</v>
      </c>
      <c r="E1604" s="515"/>
      <c r="F1604" s="516">
        <v>4.04</v>
      </c>
      <c r="G1604" s="628"/>
      <c r="H1604" s="629" t="s">
        <v>841</v>
      </c>
      <c r="I1604" s="503">
        <f t="shared" si="25"/>
        <v>6474.3700000000126</v>
      </c>
    </row>
    <row r="1605" spans="2:9">
      <c r="B1605" s="496">
        <v>45869</v>
      </c>
      <c r="C1605" s="507" t="s">
        <v>1279</v>
      </c>
      <c r="D1605" s="505" t="s">
        <v>307</v>
      </c>
      <c r="E1605" s="499">
        <v>692.46</v>
      </c>
      <c r="F1605" s="500"/>
      <c r="G1605" s="501" t="s">
        <v>190</v>
      </c>
      <c r="H1605" s="502"/>
      <c r="I1605" s="503">
        <f t="shared" si="25"/>
        <v>7166.8300000000127</v>
      </c>
    </row>
    <row r="1606" spans="2:9">
      <c r="B1606" s="496">
        <v>45870</v>
      </c>
      <c r="C1606" s="513" t="s">
        <v>2019</v>
      </c>
      <c r="D1606" s="514" t="s">
        <v>1850</v>
      </c>
      <c r="E1606" s="515"/>
      <c r="F1606" s="516">
        <v>3111.7</v>
      </c>
      <c r="G1606" s="501" t="s">
        <v>237</v>
      </c>
      <c r="H1606" s="502"/>
      <c r="I1606" s="503">
        <f t="shared" si="25"/>
        <v>4055.1300000000128</v>
      </c>
    </row>
    <row r="1607" spans="2:9">
      <c r="B1607" s="496">
        <v>45870</v>
      </c>
      <c r="C1607" s="513" t="s">
        <v>2019</v>
      </c>
      <c r="D1607" s="514" t="s">
        <v>1850</v>
      </c>
      <c r="E1607" s="499"/>
      <c r="F1607" s="500">
        <v>684.57</v>
      </c>
      <c r="G1607" s="501" t="s">
        <v>274</v>
      </c>
      <c r="H1607" s="502"/>
      <c r="I1607" s="503">
        <f t="shared" si="25"/>
        <v>3370.5600000000127</v>
      </c>
    </row>
    <row r="1608" spans="2:9">
      <c r="B1608" s="496">
        <v>45870</v>
      </c>
      <c r="C1608" s="507" t="s">
        <v>117</v>
      </c>
      <c r="D1608" s="505" t="s">
        <v>1246</v>
      </c>
      <c r="E1608" s="499"/>
      <c r="F1608" s="500">
        <v>500</v>
      </c>
      <c r="G1608" s="501" t="s">
        <v>1858</v>
      </c>
      <c r="H1608" s="502"/>
      <c r="I1608" s="503">
        <f t="shared" si="25"/>
        <v>2870.5600000000127</v>
      </c>
    </row>
    <row r="1609" spans="2:9">
      <c r="B1609" s="496">
        <v>45870</v>
      </c>
      <c r="C1609" s="507" t="s">
        <v>117</v>
      </c>
      <c r="D1609" s="169" t="s">
        <v>1838</v>
      </c>
      <c r="E1609" s="499"/>
      <c r="F1609" s="500">
        <v>1</v>
      </c>
      <c r="G1609" s="501" t="s">
        <v>272</v>
      </c>
      <c r="H1609" s="502"/>
      <c r="I1609" s="503">
        <f t="shared" si="25"/>
        <v>2869.5600000000127</v>
      </c>
    </row>
    <row r="1610" spans="2:9">
      <c r="B1610" s="496">
        <v>45870</v>
      </c>
      <c r="C1610" s="497">
        <v>337</v>
      </c>
      <c r="D1610" s="498" t="s">
        <v>1851</v>
      </c>
      <c r="E1610" s="499"/>
      <c r="F1610" s="500">
        <v>350.01</v>
      </c>
      <c r="G1610" s="501" t="s">
        <v>222</v>
      </c>
      <c r="H1610" s="502"/>
      <c r="I1610" s="503">
        <f t="shared" si="25"/>
        <v>2519.5500000000129</v>
      </c>
    </row>
    <row r="1611" spans="2:9">
      <c r="B1611" s="496">
        <v>45870</v>
      </c>
      <c r="C1611" s="497">
        <v>337</v>
      </c>
      <c r="D1611" s="498" t="s">
        <v>1851</v>
      </c>
      <c r="E1611" s="499"/>
      <c r="F1611" s="500">
        <v>95.33</v>
      </c>
      <c r="G1611" s="501" t="s">
        <v>274</v>
      </c>
      <c r="H1611" s="502"/>
      <c r="I1611" s="503">
        <f t="shared" si="25"/>
        <v>2424.220000000013</v>
      </c>
    </row>
    <row r="1612" spans="2:9">
      <c r="B1612" s="496">
        <v>45870</v>
      </c>
      <c r="C1612" s="507" t="s">
        <v>117</v>
      </c>
      <c r="D1612" s="505" t="s">
        <v>1838</v>
      </c>
      <c r="E1612" s="499"/>
      <c r="F1612" s="500">
        <v>1</v>
      </c>
      <c r="G1612" s="501" t="s">
        <v>272</v>
      </c>
      <c r="H1612" s="502"/>
      <c r="I1612" s="503">
        <f t="shared" ref="I1612:I1675" si="26">I1611+E1612-F1612</f>
        <v>2423.220000000013</v>
      </c>
    </row>
    <row r="1613" spans="2:9">
      <c r="B1613" s="496">
        <v>45870</v>
      </c>
      <c r="C1613" s="507" t="s">
        <v>117</v>
      </c>
      <c r="D1613" s="505" t="s">
        <v>320</v>
      </c>
      <c r="E1613" s="499"/>
      <c r="F1613" s="500">
        <v>1250</v>
      </c>
      <c r="G1613" s="501" t="s">
        <v>278</v>
      </c>
      <c r="H1613" s="502"/>
      <c r="I1613" s="503">
        <f t="shared" si="26"/>
        <v>1173.220000000013</v>
      </c>
    </row>
    <row r="1614" spans="2:9">
      <c r="B1614" s="496">
        <v>45870</v>
      </c>
      <c r="C1614" s="507" t="s">
        <v>117</v>
      </c>
      <c r="D1614" s="505" t="s">
        <v>1838</v>
      </c>
      <c r="E1614" s="499"/>
      <c r="F1614" s="500">
        <v>0.75</v>
      </c>
      <c r="G1614" s="501" t="s">
        <v>272</v>
      </c>
      <c r="H1614" s="502"/>
      <c r="I1614" s="503">
        <f t="shared" si="26"/>
        <v>1172.470000000013</v>
      </c>
    </row>
    <row r="1615" spans="2:9">
      <c r="B1615" s="496">
        <v>45870</v>
      </c>
      <c r="C1615" s="507" t="s">
        <v>1279</v>
      </c>
      <c r="D1615" s="505" t="s">
        <v>307</v>
      </c>
      <c r="E1615" s="499">
        <v>3675</v>
      </c>
      <c r="F1615" s="500"/>
      <c r="G1615" s="501" t="s">
        <v>190</v>
      </c>
      <c r="H1615" s="502"/>
      <c r="I1615" s="503">
        <f t="shared" si="26"/>
        <v>4847.470000000013</v>
      </c>
    </row>
    <row r="1616" spans="2:9">
      <c r="B1616" s="496">
        <v>45873</v>
      </c>
      <c r="C1616" s="507" t="s">
        <v>541</v>
      </c>
      <c r="D1616" s="505" t="s">
        <v>542</v>
      </c>
      <c r="E1616" s="499">
        <v>10000</v>
      </c>
      <c r="F1616" s="500"/>
      <c r="G1616" s="501" t="s">
        <v>277</v>
      </c>
      <c r="H1616" s="502"/>
      <c r="I1616" s="503">
        <f t="shared" si="26"/>
        <v>14847.470000000012</v>
      </c>
    </row>
    <row r="1617" spans="2:9">
      <c r="B1617" s="496">
        <v>45873</v>
      </c>
      <c r="C1617" s="497" t="s">
        <v>283</v>
      </c>
      <c r="D1617" s="498" t="s">
        <v>912</v>
      </c>
      <c r="E1617" s="499">
        <v>162</v>
      </c>
      <c r="F1617" s="500"/>
      <c r="G1617" s="501" t="s">
        <v>190</v>
      </c>
      <c r="H1617" s="502"/>
      <c r="I1617" s="503">
        <f t="shared" si="26"/>
        <v>15009.470000000012</v>
      </c>
    </row>
    <row r="1618" spans="2:9">
      <c r="B1618" s="496">
        <v>45873</v>
      </c>
      <c r="C1618" s="513" t="s">
        <v>117</v>
      </c>
      <c r="D1618" s="514" t="s">
        <v>918</v>
      </c>
      <c r="E1618" s="515"/>
      <c r="F1618" s="516">
        <v>1.62</v>
      </c>
      <c r="G1618" s="501" t="s">
        <v>270</v>
      </c>
      <c r="H1618" s="502"/>
      <c r="I1618" s="503">
        <f t="shared" si="26"/>
        <v>15007.850000000011</v>
      </c>
    </row>
    <row r="1619" spans="2:9">
      <c r="B1619" s="496">
        <v>45873</v>
      </c>
      <c r="C1619" s="507" t="s">
        <v>1897</v>
      </c>
      <c r="D1619" s="505" t="s">
        <v>1896</v>
      </c>
      <c r="E1619" s="499"/>
      <c r="F1619" s="500">
        <v>768</v>
      </c>
      <c r="G1619" s="501" t="s">
        <v>1861</v>
      </c>
      <c r="H1619" s="502"/>
      <c r="I1619" s="503">
        <f t="shared" si="26"/>
        <v>14239.850000000011</v>
      </c>
    </row>
    <row r="1620" spans="2:9">
      <c r="B1620" s="496">
        <v>45873</v>
      </c>
      <c r="C1620" s="507" t="s">
        <v>1897</v>
      </c>
      <c r="D1620" s="498" t="s">
        <v>1921</v>
      </c>
      <c r="E1620" s="499"/>
      <c r="F1620" s="500">
        <v>168.96</v>
      </c>
      <c r="G1620" s="501" t="s">
        <v>274</v>
      </c>
      <c r="H1620" s="502"/>
      <c r="I1620" s="503">
        <f t="shared" si="26"/>
        <v>14070.890000000012</v>
      </c>
    </row>
    <row r="1621" spans="2:9">
      <c r="B1621" s="496">
        <v>45873</v>
      </c>
      <c r="C1621" s="507" t="s">
        <v>117</v>
      </c>
      <c r="D1621" s="169" t="s">
        <v>1838</v>
      </c>
      <c r="E1621" s="499"/>
      <c r="F1621" s="500">
        <v>1</v>
      </c>
      <c r="G1621" s="501" t="s">
        <v>272</v>
      </c>
      <c r="H1621" s="502"/>
      <c r="I1621" s="503">
        <f t="shared" si="26"/>
        <v>14069.890000000012</v>
      </c>
    </row>
    <row r="1622" spans="2:9">
      <c r="B1622" s="496">
        <v>45873</v>
      </c>
      <c r="C1622" s="507" t="s">
        <v>1279</v>
      </c>
      <c r="D1622" s="505" t="s">
        <v>307</v>
      </c>
      <c r="E1622" s="499">
        <v>3778</v>
      </c>
      <c r="F1622" s="500"/>
      <c r="G1622" s="501"/>
      <c r="H1622" s="596" t="s">
        <v>824</v>
      </c>
      <c r="I1622" s="503">
        <f t="shared" si="26"/>
        <v>17847.890000000014</v>
      </c>
    </row>
    <row r="1623" spans="2:9">
      <c r="B1623" s="496">
        <v>45873</v>
      </c>
      <c r="C1623" s="507" t="s">
        <v>1279</v>
      </c>
      <c r="D1623" s="505" t="s">
        <v>307</v>
      </c>
      <c r="E1623" s="499">
        <f>1737.7-73.3</f>
        <v>1664.4</v>
      </c>
      <c r="F1623" s="500"/>
      <c r="G1623" s="501" t="s">
        <v>190</v>
      </c>
      <c r="H1623" s="502"/>
      <c r="I1623" s="503">
        <f t="shared" si="26"/>
        <v>19512.290000000015</v>
      </c>
    </row>
    <row r="1624" spans="2:9">
      <c r="B1624" s="496">
        <v>45873</v>
      </c>
      <c r="C1624" s="507" t="s">
        <v>1279</v>
      </c>
      <c r="D1624" s="505" t="s">
        <v>307</v>
      </c>
      <c r="E1624" s="499">
        <v>2946.2</v>
      </c>
      <c r="F1624" s="500"/>
      <c r="G1624" s="501" t="s">
        <v>190</v>
      </c>
      <c r="H1624" s="502"/>
      <c r="I1624" s="503">
        <f t="shared" si="26"/>
        <v>22458.490000000016</v>
      </c>
    </row>
    <row r="1625" spans="2:9">
      <c r="B1625" s="496">
        <v>45874</v>
      </c>
      <c r="C1625" s="497">
        <v>27565</v>
      </c>
      <c r="D1625" s="498" t="s">
        <v>1898</v>
      </c>
      <c r="E1625" s="499"/>
      <c r="F1625" s="500">
        <v>31</v>
      </c>
      <c r="G1625" s="501" t="s">
        <v>266</v>
      </c>
      <c r="H1625" s="502"/>
      <c r="I1625" s="503">
        <f t="shared" si="26"/>
        <v>22427.490000000016</v>
      </c>
    </row>
    <row r="1626" spans="2:9">
      <c r="B1626" s="496">
        <v>45874</v>
      </c>
      <c r="C1626" s="497">
        <v>27565</v>
      </c>
      <c r="D1626" s="498" t="s">
        <v>1898</v>
      </c>
      <c r="E1626" s="499"/>
      <c r="F1626" s="500">
        <v>6.82</v>
      </c>
      <c r="G1626" s="501" t="s">
        <v>274</v>
      </c>
      <c r="H1626" s="502"/>
      <c r="I1626" s="503">
        <f t="shared" si="26"/>
        <v>22420.670000000016</v>
      </c>
    </row>
    <row r="1627" spans="2:9">
      <c r="B1627" s="496">
        <v>45874</v>
      </c>
      <c r="C1627" s="507" t="s">
        <v>1279</v>
      </c>
      <c r="D1627" s="505" t="s">
        <v>307</v>
      </c>
      <c r="E1627" s="499">
        <v>762.2</v>
      </c>
      <c r="F1627" s="500"/>
      <c r="G1627" s="501" t="s">
        <v>190</v>
      </c>
      <c r="H1627" s="502"/>
      <c r="I1627" s="503">
        <f t="shared" si="26"/>
        <v>23182.870000000017</v>
      </c>
    </row>
    <row r="1628" spans="2:9">
      <c r="B1628" s="729">
        <v>45868</v>
      </c>
      <c r="C1628" s="497">
        <v>50</v>
      </c>
      <c r="D1628" s="498" t="s">
        <v>1899</v>
      </c>
      <c r="E1628" s="499"/>
      <c r="F1628" s="500">
        <v>507.6</v>
      </c>
      <c r="G1628" s="501" t="s">
        <v>199</v>
      </c>
      <c r="H1628" s="502"/>
      <c r="I1628" s="503">
        <f t="shared" si="26"/>
        <v>22675.270000000019</v>
      </c>
    </row>
    <row r="1629" spans="2:9">
      <c r="B1629" s="729">
        <v>45868</v>
      </c>
      <c r="C1629" s="507" t="s">
        <v>1900</v>
      </c>
      <c r="D1629" s="498" t="s">
        <v>1899</v>
      </c>
      <c r="E1629" s="499"/>
      <c r="F1629" s="500">
        <v>50.76</v>
      </c>
      <c r="G1629" s="501" t="s">
        <v>274</v>
      </c>
      <c r="H1629" s="502"/>
      <c r="I1629" s="503">
        <f t="shared" si="26"/>
        <v>22624.51000000002</v>
      </c>
    </row>
    <row r="1630" spans="2:9">
      <c r="B1630" s="496">
        <v>45875</v>
      </c>
      <c r="C1630" s="507" t="s">
        <v>117</v>
      </c>
      <c r="D1630" s="169" t="s">
        <v>1838</v>
      </c>
      <c r="E1630" s="499"/>
      <c r="F1630" s="500">
        <v>1</v>
      </c>
      <c r="G1630" s="501" t="s">
        <v>272</v>
      </c>
      <c r="H1630" s="502"/>
      <c r="I1630" s="503">
        <f t="shared" si="26"/>
        <v>22623.51000000002</v>
      </c>
    </row>
    <row r="1631" spans="2:9">
      <c r="B1631" s="496">
        <v>45875</v>
      </c>
      <c r="C1631" s="507" t="s">
        <v>1279</v>
      </c>
      <c r="D1631" s="505" t="s">
        <v>307</v>
      </c>
      <c r="E1631" s="499">
        <v>1163.8</v>
      </c>
      <c r="F1631" s="500"/>
      <c r="G1631" s="501" t="s">
        <v>190</v>
      </c>
      <c r="H1631" s="502"/>
      <c r="I1631" s="503">
        <f t="shared" si="26"/>
        <v>23787.310000000019</v>
      </c>
    </row>
    <row r="1632" spans="2:9">
      <c r="B1632" s="496">
        <v>45876</v>
      </c>
      <c r="C1632" s="641" t="s">
        <v>2150</v>
      </c>
      <c r="D1632" s="498" t="s">
        <v>97</v>
      </c>
      <c r="E1632" s="499"/>
      <c r="F1632" s="500">
        <v>575</v>
      </c>
      <c r="G1632" s="501" t="s">
        <v>202</v>
      </c>
      <c r="H1632" s="502"/>
      <c r="I1632" s="503">
        <f t="shared" si="26"/>
        <v>23212.310000000019</v>
      </c>
    </row>
    <row r="1633" spans="2:9">
      <c r="B1633" s="496">
        <v>45876</v>
      </c>
      <c r="C1633" s="641" t="s">
        <v>2150</v>
      </c>
      <c r="D1633" s="498" t="s">
        <v>97</v>
      </c>
      <c r="E1633" s="499"/>
      <c r="F1633" s="500">
        <v>57.5</v>
      </c>
      <c r="G1633" s="501" t="s">
        <v>274</v>
      </c>
      <c r="H1633" s="502"/>
      <c r="I1633" s="503">
        <f t="shared" si="26"/>
        <v>23154.810000000019</v>
      </c>
    </row>
    <row r="1634" spans="2:9">
      <c r="B1634" s="496">
        <v>45876</v>
      </c>
      <c r="C1634" s="507" t="s">
        <v>117</v>
      </c>
      <c r="D1634" s="169" t="s">
        <v>1838</v>
      </c>
      <c r="E1634" s="499"/>
      <c r="F1634" s="500">
        <v>1</v>
      </c>
      <c r="G1634" s="501" t="s">
        <v>272</v>
      </c>
      <c r="H1634" s="502"/>
      <c r="I1634" s="503">
        <f t="shared" si="26"/>
        <v>23153.810000000019</v>
      </c>
    </row>
    <row r="1635" spans="2:9">
      <c r="B1635" s="496">
        <v>45876</v>
      </c>
      <c r="C1635" s="507" t="s">
        <v>117</v>
      </c>
      <c r="D1635" s="680" t="s">
        <v>320</v>
      </c>
      <c r="E1635" s="619"/>
      <c r="F1635" s="620">
        <v>504.9</v>
      </c>
      <c r="G1635" s="621" t="s">
        <v>237</v>
      </c>
      <c r="H1635" s="502"/>
      <c r="I1635" s="503">
        <f t="shared" si="26"/>
        <v>22648.910000000018</v>
      </c>
    </row>
    <row r="1636" spans="2:9">
      <c r="B1636" s="496">
        <v>45876</v>
      </c>
      <c r="C1636" s="507" t="s">
        <v>117</v>
      </c>
      <c r="D1636" s="169" t="s">
        <v>1838</v>
      </c>
      <c r="E1636" s="499"/>
      <c r="F1636" s="500">
        <v>0.75</v>
      </c>
      <c r="G1636" s="501" t="s">
        <v>272</v>
      </c>
      <c r="H1636" s="502"/>
      <c r="I1636" s="503">
        <f t="shared" si="26"/>
        <v>22648.160000000018</v>
      </c>
    </row>
    <row r="1637" spans="2:9">
      <c r="B1637" s="496">
        <v>45876</v>
      </c>
      <c r="C1637" s="511" t="s">
        <v>1922</v>
      </c>
      <c r="D1637" s="505" t="s">
        <v>1916</v>
      </c>
      <c r="E1637" s="499"/>
      <c r="F1637" s="500">
        <v>440</v>
      </c>
      <c r="G1637" s="501" t="s">
        <v>137</v>
      </c>
      <c r="H1637" s="502"/>
      <c r="I1637" s="503">
        <f t="shared" si="26"/>
        <v>22208.160000000018</v>
      </c>
    </row>
    <row r="1638" spans="2:9">
      <c r="B1638" s="496">
        <v>45876</v>
      </c>
      <c r="C1638" s="497">
        <v>158</v>
      </c>
      <c r="D1638" s="498" t="s">
        <v>1916</v>
      </c>
      <c r="E1638" s="499"/>
      <c r="F1638" s="500">
        <v>96.8</v>
      </c>
      <c r="G1638" s="501" t="s">
        <v>274</v>
      </c>
      <c r="H1638" s="502"/>
      <c r="I1638" s="503">
        <f t="shared" si="26"/>
        <v>22111.360000000019</v>
      </c>
    </row>
    <row r="1639" spans="2:9">
      <c r="B1639" s="496">
        <v>45876</v>
      </c>
      <c r="C1639" s="507" t="s">
        <v>117</v>
      </c>
      <c r="D1639" s="169" t="s">
        <v>1838</v>
      </c>
      <c r="E1639" s="499"/>
      <c r="F1639" s="500">
        <v>1</v>
      </c>
      <c r="G1639" s="501" t="s">
        <v>272</v>
      </c>
      <c r="H1639" s="502"/>
      <c r="I1639" s="503">
        <f t="shared" si="26"/>
        <v>22110.360000000019</v>
      </c>
    </row>
    <row r="1640" spans="2:9">
      <c r="B1640" s="496">
        <v>45876</v>
      </c>
      <c r="C1640" s="507" t="s">
        <v>1279</v>
      </c>
      <c r="D1640" s="505" t="s">
        <v>307</v>
      </c>
      <c r="E1640" s="499">
        <v>1385.1</v>
      </c>
      <c r="F1640" s="500"/>
      <c r="G1640" s="501" t="s">
        <v>190</v>
      </c>
      <c r="H1640" s="502"/>
      <c r="I1640" s="503">
        <f t="shared" si="26"/>
        <v>23495.460000000017</v>
      </c>
    </row>
    <row r="1641" spans="2:9">
      <c r="B1641" s="496">
        <v>45877</v>
      </c>
      <c r="C1641" s="497" t="s">
        <v>1923</v>
      </c>
      <c r="D1641" s="498" t="s">
        <v>892</v>
      </c>
      <c r="E1641" s="499">
        <v>150</v>
      </c>
      <c r="F1641" s="500"/>
      <c r="G1641" s="501" t="s">
        <v>194</v>
      </c>
      <c r="H1641" s="502"/>
      <c r="I1641" s="503">
        <f t="shared" si="26"/>
        <v>23645.460000000017</v>
      </c>
    </row>
    <row r="1642" spans="2:9">
      <c r="B1642" s="496">
        <v>45877</v>
      </c>
      <c r="C1642" s="497" t="s">
        <v>1923</v>
      </c>
      <c r="D1642" s="498" t="s">
        <v>892</v>
      </c>
      <c r="E1642" s="499">
        <v>33</v>
      </c>
      <c r="F1642" s="500"/>
      <c r="G1642" s="501" t="s">
        <v>276</v>
      </c>
      <c r="H1642" s="502"/>
      <c r="I1642" s="503">
        <f t="shared" si="26"/>
        <v>23678.460000000017</v>
      </c>
    </row>
    <row r="1643" spans="2:9">
      <c r="B1643" s="496">
        <v>45877</v>
      </c>
      <c r="C1643" s="507" t="s">
        <v>1279</v>
      </c>
      <c r="D1643" s="505" t="s">
        <v>307</v>
      </c>
      <c r="E1643" s="499">
        <v>3233.9</v>
      </c>
      <c r="F1643" s="500"/>
      <c r="G1643" s="501" t="s">
        <v>190</v>
      </c>
      <c r="H1643" s="502"/>
      <c r="I1643" s="503">
        <f t="shared" si="26"/>
        <v>26912.360000000019</v>
      </c>
    </row>
    <row r="1644" spans="2:9">
      <c r="B1644" s="729">
        <v>45868</v>
      </c>
      <c r="C1644" s="497" t="s">
        <v>1924</v>
      </c>
      <c r="D1644" s="498" t="s">
        <v>349</v>
      </c>
      <c r="E1644" s="499"/>
      <c r="F1644" s="500">
        <v>558.58000000000004</v>
      </c>
      <c r="G1644" s="501" t="s">
        <v>199</v>
      </c>
      <c r="H1644" s="502"/>
      <c r="I1644" s="503">
        <f t="shared" si="26"/>
        <v>26353.780000000017</v>
      </c>
    </row>
    <row r="1645" spans="2:9">
      <c r="B1645" s="729">
        <v>45868</v>
      </c>
      <c r="C1645" s="497" t="s">
        <v>1924</v>
      </c>
      <c r="D1645" s="498" t="s">
        <v>349</v>
      </c>
      <c r="E1645" s="499"/>
      <c r="F1645" s="500">
        <v>57.46</v>
      </c>
      <c r="G1645" s="501" t="s">
        <v>274</v>
      </c>
      <c r="H1645" s="502"/>
      <c r="I1645" s="503">
        <f t="shared" si="26"/>
        <v>26296.320000000018</v>
      </c>
    </row>
    <row r="1646" spans="2:9">
      <c r="B1646" s="496">
        <v>45877</v>
      </c>
      <c r="C1646" s="507" t="s">
        <v>117</v>
      </c>
      <c r="D1646" s="169" t="s">
        <v>1838</v>
      </c>
      <c r="E1646" s="499"/>
      <c r="F1646" s="500">
        <v>1</v>
      </c>
      <c r="G1646" s="501" t="s">
        <v>272</v>
      </c>
      <c r="H1646" s="502"/>
      <c r="I1646" s="503">
        <f t="shared" si="26"/>
        <v>26295.320000000018</v>
      </c>
    </row>
    <row r="1647" spans="2:9">
      <c r="B1647" s="496">
        <v>45877</v>
      </c>
      <c r="C1647" s="507" t="s">
        <v>117</v>
      </c>
      <c r="D1647" s="680" t="s">
        <v>320</v>
      </c>
      <c r="E1647" s="619"/>
      <c r="F1647" s="620">
        <v>504.9</v>
      </c>
      <c r="G1647" s="621" t="s">
        <v>237</v>
      </c>
      <c r="H1647" s="502"/>
      <c r="I1647" s="503">
        <f t="shared" si="26"/>
        <v>25790.420000000016</v>
      </c>
    </row>
    <row r="1648" spans="2:9">
      <c r="B1648" s="496">
        <v>45877</v>
      </c>
      <c r="C1648" s="507" t="s">
        <v>117</v>
      </c>
      <c r="D1648" s="169" t="s">
        <v>1838</v>
      </c>
      <c r="E1648" s="499"/>
      <c r="F1648" s="500">
        <v>0.75</v>
      </c>
      <c r="G1648" s="501" t="s">
        <v>272</v>
      </c>
      <c r="H1648" s="502"/>
      <c r="I1648" s="503">
        <f t="shared" si="26"/>
        <v>25789.670000000016</v>
      </c>
    </row>
    <row r="1649" spans="2:9">
      <c r="B1649" s="496">
        <v>45880</v>
      </c>
      <c r="C1649" s="497" t="s">
        <v>1925</v>
      </c>
      <c r="D1649" s="498" t="s">
        <v>412</v>
      </c>
      <c r="E1649" s="499"/>
      <c r="F1649" s="500">
        <v>35.799999999999997</v>
      </c>
      <c r="G1649" s="501" t="s">
        <v>225</v>
      </c>
      <c r="H1649" s="502"/>
      <c r="I1649" s="503">
        <f t="shared" si="26"/>
        <v>25753.870000000017</v>
      </c>
    </row>
    <row r="1650" spans="2:9">
      <c r="B1650" s="496">
        <v>45880</v>
      </c>
      <c r="C1650" s="497" t="s">
        <v>1925</v>
      </c>
      <c r="D1650" s="498" t="s">
        <v>412</v>
      </c>
      <c r="E1650" s="499"/>
      <c r="F1650" s="500">
        <v>7.88</v>
      </c>
      <c r="G1650" s="501" t="s">
        <v>274</v>
      </c>
      <c r="H1650" s="502"/>
      <c r="I1650" s="503">
        <f t="shared" si="26"/>
        <v>25745.990000000016</v>
      </c>
    </row>
    <row r="1651" spans="2:9">
      <c r="B1651" s="496">
        <v>45880</v>
      </c>
      <c r="C1651" s="497" t="s">
        <v>117</v>
      </c>
      <c r="D1651" s="498" t="s">
        <v>921</v>
      </c>
      <c r="E1651" s="499"/>
      <c r="F1651" s="500">
        <v>1.25</v>
      </c>
      <c r="G1651" s="501" t="s">
        <v>271</v>
      </c>
      <c r="H1651" s="502"/>
      <c r="I1651" s="503">
        <f t="shared" si="26"/>
        <v>25744.740000000016</v>
      </c>
    </row>
    <row r="1652" spans="2:9">
      <c r="B1652" s="729">
        <v>45868</v>
      </c>
      <c r="C1652" s="507" t="s">
        <v>513</v>
      </c>
      <c r="D1652" s="505" t="s">
        <v>25</v>
      </c>
      <c r="E1652" s="499"/>
      <c r="F1652" s="500">
        <v>1285</v>
      </c>
      <c r="G1652" s="501" t="s">
        <v>246</v>
      </c>
      <c r="H1652" s="502"/>
      <c r="I1652" s="503">
        <f t="shared" si="26"/>
        <v>24459.740000000016</v>
      </c>
    </row>
    <row r="1653" spans="2:9">
      <c r="B1653" s="729">
        <v>45868</v>
      </c>
      <c r="C1653" s="507" t="s">
        <v>286</v>
      </c>
      <c r="D1653" s="505" t="s">
        <v>520</v>
      </c>
      <c r="E1653" s="499"/>
      <c r="F1653" s="500">
        <v>4202</v>
      </c>
      <c r="G1653" s="501" t="s">
        <v>139</v>
      </c>
      <c r="H1653" s="502"/>
      <c r="I1653" s="503">
        <f t="shared" si="26"/>
        <v>20257.740000000016</v>
      </c>
    </row>
    <row r="1654" spans="2:9">
      <c r="B1654" s="729">
        <v>45868</v>
      </c>
      <c r="C1654" s="507" t="s">
        <v>513</v>
      </c>
      <c r="D1654" s="505" t="s">
        <v>29</v>
      </c>
      <c r="E1654" s="499"/>
      <c r="F1654" s="500">
        <v>1293</v>
      </c>
      <c r="G1654" s="501" t="s">
        <v>243</v>
      </c>
      <c r="H1654" s="502"/>
      <c r="I1654" s="503">
        <f t="shared" si="26"/>
        <v>18964.740000000016</v>
      </c>
    </row>
    <row r="1655" spans="2:9">
      <c r="B1655" s="729">
        <v>45868</v>
      </c>
      <c r="C1655" s="507" t="s">
        <v>513</v>
      </c>
      <c r="D1655" s="505" t="s">
        <v>28</v>
      </c>
      <c r="E1655" s="499"/>
      <c r="F1655" s="500">
        <v>1444</v>
      </c>
      <c r="G1655" s="501" t="s">
        <v>243</v>
      </c>
      <c r="H1655" s="502"/>
      <c r="I1655" s="503">
        <f t="shared" si="26"/>
        <v>17520.740000000016</v>
      </c>
    </row>
    <row r="1656" spans="2:9">
      <c r="B1656" s="729">
        <v>45868</v>
      </c>
      <c r="C1656" s="507" t="s">
        <v>513</v>
      </c>
      <c r="D1656" s="498" t="s">
        <v>559</v>
      </c>
      <c r="E1656" s="499"/>
      <c r="F1656" s="500">
        <v>954</v>
      </c>
      <c r="G1656" s="501" t="s">
        <v>243</v>
      </c>
      <c r="H1656" s="502"/>
      <c r="I1656" s="503">
        <f t="shared" si="26"/>
        <v>16566.740000000016</v>
      </c>
    </row>
    <row r="1657" spans="2:9">
      <c r="B1657" s="729">
        <v>45868</v>
      </c>
      <c r="C1657" s="507" t="s">
        <v>513</v>
      </c>
      <c r="D1657" s="505" t="s">
        <v>557</v>
      </c>
      <c r="E1657" s="499"/>
      <c r="F1657" s="500">
        <v>943</v>
      </c>
      <c r="G1657" s="501" t="s">
        <v>1859</v>
      </c>
      <c r="H1657" s="502"/>
      <c r="I1657" s="503">
        <f t="shared" si="26"/>
        <v>15623.740000000016</v>
      </c>
    </row>
    <row r="1658" spans="2:9">
      <c r="B1658" s="729">
        <v>45868</v>
      </c>
      <c r="C1658" s="507" t="s">
        <v>513</v>
      </c>
      <c r="D1658" s="505" t="s">
        <v>26</v>
      </c>
      <c r="E1658" s="499"/>
      <c r="F1658" s="500">
        <v>3055.27</v>
      </c>
      <c r="G1658" s="501" t="s">
        <v>246</v>
      </c>
      <c r="H1658" s="502"/>
      <c r="I1658" s="503">
        <f t="shared" si="26"/>
        <v>12568.470000000016</v>
      </c>
    </row>
    <row r="1659" spans="2:9">
      <c r="B1659" s="729">
        <v>45868</v>
      </c>
      <c r="C1659" s="507" t="s">
        <v>513</v>
      </c>
      <c r="D1659" s="498" t="s">
        <v>24</v>
      </c>
      <c r="E1659" s="499"/>
      <c r="F1659" s="500">
        <v>330</v>
      </c>
      <c r="G1659" s="501" t="s">
        <v>245</v>
      </c>
      <c r="H1659" s="502"/>
      <c r="I1659" s="503">
        <f t="shared" si="26"/>
        <v>12238.470000000016</v>
      </c>
    </row>
    <row r="1660" spans="2:9">
      <c r="B1660" s="729">
        <v>45868</v>
      </c>
      <c r="C1660" s="497" t="s">
        <v>513</v>
      </c>
      <c r="D1660" s="498" t="s">
        <v>1265</v>
      </c>
      <c r="E1660" s="499"/>
      <c r="F1660" s="500">
        <v>690</v>
      </c>
      <c r="G1660" s="501" t="s">
        <v>248</v>
      </c>
      <c r="H1660" s="502"/>
      <c r="I1660" s="503">
        <f t="shared" si="26"/>
        <v>11548.470000000016</v>
      </c>
    </row>
    <row r="1661" spans="2:9">
      <c r="B1661" s="729">
        <v>45868</v>
      </c>
      <c r="C1661" s="497" t="s">
        <v>117</v>
      </c>
      <c r="D1661" s="498" t="s">
        <v>903</v>
      </c>
      <c r="E1661" s="499"/>
      <c r="F1661" s="500">
        <v>5.6</v>
      </c>
      <c r="G1661" s="501" t="s">
        <v>272</v>
      </c>
      <c r="H1661" s="502"/>
      <c r="I1661" s="503">
        <f t="shared" si="26"/>
        <v>11542.870000000015</v>
      </c>
    </row>
    <row r="1662" spans="2:9">
      <c r="B1662" s="496">
        <v>45880</v>
      </c>
      <c r="C1662" s="507" t="s">
        <v>1279</v>
      </c>
      <c r="D1662" s="505" t="s">
        <v>307</v>
      </c>
      <c r="E1662" s="499">
        <v>2208</v>
      </c>
      <c r="F1662" s="500"/>
      <c r="G1662" s="501"/>
      <c r="H1662" s="596" t="s">
        <v>824</v>
      </c>
      <c r="I1662" s="503">
        <f t="shared" si="26"/>
        <v>13750.870000000015</v>
      </c>
    </row>
    <row r="1663" spans="2:9">
      <c r="B1663" s="496">
        <v>45880</v>
      </c>
      <c r="C1663" s="507" t="s">
        <v>1279</v>
      </c>
      <c r="D1663" s="505" t="s">
        <v>307</v>
      </c>
      <c r="E1663" s="499">
        <f>2775.7-2208</f>
        <v>567.69999999999982</v>
      </c>
      <c r="F1663" s="500"/>
      <c r="G1663" s="501" t="s">
        <v>190</v>
      </c>
      <c r="H1663" s="502"/>
      <c r="I1663" s="503">
        <f t="shared" si="26"/>
        <v>14318.570000000014</v>
      </c>
    </row>
    <row r="1664" spans="2:9">
      <c r="B1664" s="496">
        <v>45880</v>
      </c>
      <c r="C1664" s="507" t="s">
        <v>1279</v>
      </c>
      <c r="D1664" s="505" t="s">
        <v>307</v>
      </c>
      <c r="E1664" s="499">
        <v>1767.7</v>
      </c>
      <c r="F1664" s="500"/>
      <c r="G1664" s="501" t="s">
        <v>190</v>
      </c>
      <c r="H1664" s="502"/>
      <c r="I1664" s="503">
        <f t="shared" si="26"/>
        <v>16086.270000000015</v>
      </c>
    </row>
    <row r="1665" spans="2:9">
      <c r="B1665" s="496">
        <v>45880</v>
      </c>
      <c r="C1665" s="507" t="s">
        <v>283</v>
      </c>
      <c r="D1665" s="505" t="s">
        <v>909</v>
      </c>
      <c r="E1665" s="499">
        <v>949</v>
      </c>
      <c r="F1665" s="500"/>
      <c r="G1665" s="501" t="s">
        <v>190</v>
      </c>
      <c r="H1665" s="502"/>
      <c r="I1665" s="503">
        <f t="shared" si="26"/>
        <v>17035.270000000015</v>
      </c>
    </row>
    <row r="1666" spans="2:9">
      <c r="B1666" s="496">
        <v>45880</v>
      </c>
      <c r="C1666" s="507" t="s">
        <v>117</v>
      </c>
      <c r="D1666" s="505" t="s">
        <v>911</v>
      </c>
      <c r="E1666" s="499"/>
      <c r="F1666" s="500">
        <v>17.149999999999999</v>
      </c>
      <c r="G1666" s="501" t="s">
        <v>269</v>
      </c>
      <c r="H1666" s="502"/>
      <c r="I1666" s="503">
        <f t="shared" si="26"/>
        <v>17018.120000000014</v>
      </c>
    </row>
    <row r="1667" spans="2:9">
      <c r="B1667" s="496">
        <v>45880</v>
      </c>
      <c r="C1667" s="507" t="s">
        <v>1279</v>
      </c>
      <c r="D1667" s="505" t="s">
        <v>307</v>
      </c>
      <c r="E1667" s="499">
        <v>4022</v>
      </c>
      <c r="F1667" s="500"/>
      <c r="G1667" s="501"/>
      <c r="H1667" s="596" t="s">
        <v>824</v>
      </c>
      <c r="I1667" s="503">
        <f t="shared" si="26"/>
        <v>21040.120000000014</v>
      </c>
    </row>
    <row r="1668" spans="2:9">
      <c r="B1668" s="496">
        <v>45880</v>
      </c>
      <c r="C1668" s="507" t="s">
        <v>1279</v>
      </c>
      <c r="D1668" s="505" t="s">
        <v>307</v>
      </c>
      <c r="E1668" s="499">
        <v>5.3</v>
      </c>
      <c r="F1668" s="500"/>
      <c r="G1668" s="501" t="s">
        <v>190</v>
      </c>
      <c r="H1668" s="502"/>
      <c r="I1668" s="503">
        <f t="shared" si="26"/>
        <v>21045.420000000013</v>
      </c>
    </row>
    <row r="1669" spans="2:9">
      <c r="B1669" s="496">
        <v>45881</v>
      </c>
      <c r="C1669" s="507" t="s">
        <v>1279</v>
      </c>
      <c r="D1669" s="505" t="s">
        <v>307</v>
      </c>
      <c r="E1669" s="499">
        <v>870.9</v>
      </c>
      <c r="F1669" s="500"/>
      <c r="G1669" s="501" t="s">
        <v>190</v>
      </c>
      <c r="H1669" s="502"/>
      <c r="I1669" s="503">
        <f t="shared" si="26"/>
        <v>21916.320000000014</v>
      </c>
    </row>
    <row r="1670" spans="2:9">
      <c r="B1670" s="496">
        <v>45882</v>
      </c>
      <c r="C1670" s="507" t="s">
        <v>1279</v>
      </c>
      <c r="D1670" s="505" t="s">
        <v>307</v>
      </c>
      <c r="E1670" s="499">
        <f>3225.2-2778</f>
        <v>447.19999999999982</v>
      </c>
      <c r="F1670" s="500"/>
      <c r="G1670" s="501" t="s">
        <v>190</v>
      </c>
      <c r="H1670" s="502"/>
      <c r="I1670" s="503">
        <f t="shared" si="26"/>
        <v>22363.520000000015</v>
      </c>
    </row>
    <row r="1671" spans="2:9">
      <c r="B1671" s="496">
        <v>45882</v>
      </c>
      <c r="C1671" s="507" t="s">
        <v>1279</v>
      </c>
      <c r="D1671" s="505" t="s">
        <v>307</v>
      </c>
      <c r="E1671" s="499">
        <v>2778</v>
      </c>
      <c r="F1671" s="500"/>
      <c r="G1671" s="501"/>
      <c r="H1671" s="596" t="s">
        <v>824</v>
      </c>
      <c r="I1671" s="503">
        <f t="shared" si="26"/>
        <v>25141.520000000015</v>
      </c>
    </row>
    <row r="1672" spans="2:9">
      <c r="B1672" s="496">
        <v>45883</v>
      </c>
      <c r="C1672" s="507" t="s">
        <v>1279</v>
      </c>
      <c r="D1672" s="505" t="s">
        <v>307</v>
      </c>
      <c r="E1672" s="499">
        <v>2299</v>
      </c>
      <c r="F1672" s="500"/>
      <c r="G1672" s="501" t="s">
        <v>190</v>
      </c>
      <c r="H1672" s="502"/>
      <c r="I1672" s="503">
        <f t="shared" si="26"/>
        <v>27440.520000000015</v>
      </c>
    </row>
    <row r="1673" spans="2:9">
      <c r="B1673" s="496">
        <v>45887</v>
      </c>
      <c r="C1673" s="497">
        <v>5811</v>
      </c>
      <c r="D1673" s="498" t="s">
        <v>1964</v>
      </c>
      <c r="E1673" s="499"/>
      <c r="F1673" s="500">
        <v>597.92999999999995</v>
      </c>
      <c r="G1673" s="501" t="s">
        <v>206</v>
      </c>
      <c r="H1673" s="502"/>
      <c r="I1673" s="503">
        <f t="shared" si="26"/>
        <v>26842.590000000015</v>
      </c>
    </row>
    <row r="1674" spans="2:9">
      <c r="B1674" s="496">
        <v>45887</v>
      </c>
      <c r="C1674" s="497">
        <v>5811</v>
      </c>
      <c r="D1674" s="498" t="s">
        <v>1964</v>
      </c>
      <c r="E1674" s="499"/>
      <c r="F1674" s="500">
        <v>131.54</v>
      </c>
      <c r="G1674" s="501" t="s">
        <v>274</v>
      </c>
      <c r="H1674" s="502"/>
      <c r="I1674" s="503">
        <f t="shared" si="26"/>
        <v>26711.050000000014</v>
      </c>
    </row>
    <row r="1675" spans="2:9">
      <c r="B1675" s="496">
        <v>45887</v>
      </c>
      <c r="C1675" s="497">
        <v>3999</v>
      </c>
      <c r="D1675" s="498" t="s">
        <v>1964</v>
      </c>
      <c r="E1675" s="499"/>
      <c r="F1675" s="500">
        <v>227.7</v>
      </c>
      <c r="G1675" s="501" t="s">
        <v>206</v>
      </c>
      <c r="H1675" s="502"/>
      <c r="I1675" s="503">
        <f t="shared" si="26"/>
        <v>26483.350000000013</v>
      </c>
    </row>
    <row r="1676" spans="2:9">
      <c r="B1676" s="496">
        <v>45887</v>
      </c>
      <c r="C1676" s="497">
        <v>3999</v>
      </c>
      <c r="D1676" s="498" t="s">
        <v>1964</v>
      </c>
      <c r="E1676" s="499"/>
      <c r="F1676" s="500">
        <v>50.09</v>
      </c>
      <c r="G1676" s="501" t="s">
        <v>274</v>
      </c>
      <c r="H1676" s="502"/>
      <c r="I1676" s="503">
        <f t="shared" ref="I1676:I1739" si="27">I1675+E1676-F1676</f>
        <v>26433.260000000013</v>
      </c>
    </row>
    <row r="1677" spans="2:9">
      <c r="B1677" s="496">
        <v>45887</v>
      </c>
      <c r="C1677" s="497">
        <v>3415</v>
      </c>
      <c r="D1677" s="498" t="s">
        <v>1964</v>
      </c>
      <c r="E1677" s="499"/>
      <c r="F1677" s="500">
        <v>193.74</v>
      </c>
      <c r="G1677" s="501" t="s">
        <v>206</v>
      </c>
      <c r="H1677" s="502"/>
      <c r="I1677" s="503">
        <f t="shared" si="27"/>
        <v>26239.520000000011</v>
      </c>
    </row>
    <row r="1678" spans="2:9">
      <c r="B1678" s="496">
        <v>45887</v>
      </c>
      <c r="C1678" s="497">
        <v>3415</v>
      </c>
      <c r="D1678" s="498" t="s">
        <v>1964</v>
      </c>
      <c r="E1678" s="499"/>
      <c r="F1678" s="500">
        <v>42.62</v>
      </c>
      <c r="G1678" s="501" t="s">
        <v>274</v>
      </c>
      <c r="H1678" s="502"/>
      <c r="I1678" s="503">
        <f t="shared" si="27"/>
        <v>26196.900000000012</v>
      </c>
    </row>
    <row r="1679" spans="2:9">
      <c r="B1679" s="496">
        <v>45887</v>
      </c>
      <c r="C1679" s="497">
        <v>6275</v>
      </c>
      <c r="D1679" s="498" t="s">
        <v>1964</v>
      </c>
      <c r="E1679" s="499">
        <v>700</v>
      </c>
      <c r="F1679" s="500"/>
      <c r="G1679" s="501" t="s">
        <v>206</v>
      </c>
      <c r="H1679" s="502"/>
      <c r="I1679" s="503">
        <f t="shared" si="27"/>
        <v>26896.900000000012</v>
      </c>
    </row>
    <row r="1680" spans="2:9">
      <c r="B1680" s="496">
        <v>45887</v>
      </c>
      <c r="C1680" s="497" t="s">
        <v>117</v>
      </c>
      <c r="D1680" s="498" t="s">
        <v>903</v>
      </c>
      <c r="E1680" s="499"/>
      <c r="F1680" s="500">
        <v>1</v>
      </c>
      <c r="G1680" s="501" t="s">
        <v>272</v>
      </c>
      <c r="H1680" s="502"/>
      <c r="I1680" s="503">
        <f t="shared" si="27"/>
        <v>26895.900000000012</v>
      </c>
    </row>
    <row r="1681" spans="2:9">
      <c r="B1681" s="496">
        <v>45887</v>
      </c>
      <c r="C1681" s="497">
        <v>5378</v>
      </c>
      <c r="D1681" s="498" t="s">
        <v>394</v>
      </c>
      <c r="E1681" s="499"/>
      <c r="F1681" s="500">
        <v>223.66</v>
      </c>
      <c r="G1681" s="501" t="s">
        <v>199</v>
      </c>
      <c r="H1681" s="506" t="s">
        <v>1965</v>
      </c>
      <c r="I1681" s="503">
        <f t="shared" si="27"/>
        <v>26672.240000000013</v>
      </c>
    </row>
    <row r="1682" spans="2:9">
      <c r="B1682" s="496">
        <v>45887</v>
      </c>
      <c r="C1682" s="497">
        <v>5378</v>
      </c>
      <c r="D1682" s="498" t="s">
        <v>394</v>
      </c>
      <c r="E1682" s="499"/>
      <c r="F1682" s="500">
        <v>17.03</v>
      </c>
      <c r="G1682" s="501" t="s">
        <v>274</v>
      </c>
      <c r="H1682" s="506" t="s">
        <v>1965</v>
      </c>
      <c r="I1682" s="503">
        <f t="shared" si="27"/>
        <v>26655.210000000014</v>
      </c>
    </row>
    <row r="1683" spans="2:9">
      <c r="B1683" s="496">
        <v>45887</v>
      </c>
      <c r="C1683" s="497" t="s">
        <v>117</v>
      </c>
      <c r="D1683" s="498" t="s">
        <v>903</v>
      </c>
      <c r="E1683" s="499"/>
      <c r="F1683" s="500">
        <v>0.75</v>
      </c>
      <c r="G1683" s="501" t="s">
        <v>272</v>
      </c>
      <c r="H1683" s="502"/>
      <c r="I1683" s="503">
        <f t="shared" si="27"/>
        <v>26654.460000000014</v>
      </c>
    </row>
    <row r="1684" spans="2:9">
      <c r="B1684" s="496">
        <v>45887</v>
      </c>
      <c r="C1684" s="497" t="s">
        <v>541</v>
      </c>
      <c r="D1684" s="498" t="s">
        <v>542</v>
      </c>
      <c r="E1684" s="499">
        <v>8950</v>
      </c>
      <c r="F1684" s="500"/>
      <c r="G1684" s="501" t="s">
        <v>277</v>
      </c>
      <c r="H1684" s="502"/>
      <c r="I1684" s="503">
        <f t="shared" si="27"/>
        <v>35604.460000000014</v>
      </c>
    </row>
    <row r="1685" spans="2:9">
      <c r="B1685" s="496">
        <v>45887</v>
      </c>
      <c r="C1685" s="497">
        <v>38454</v>
      </c>
      <c r="D1685" s="498" t="s">
        <v>100</v>
      </c>
      <c r="E1685" s="499"/>
      <c r="F1685" s="500">
        <v>2301.5500000000002</v>
      </c>
      <c r="G1685" s="501" t="s">
        <v>194</v>
      </c>
      <c r="H1685" s="502"/>
      <c r="I1685" s="503">
        <f t="shared" si="27"/>
        <v>33302.910000000011</v>
      </c>
    </row>
    <row r="1686" spans="2:9">
      <c r="B1686" s="496">
        <v>45887</v>
      </c>
      <c r="C1686" s="497">
        <v>38454</v>
      </c>
      <c r="D1686" s="498" t="s">
        <v>1274</v>
      </c>
      <c r="E1686" s="499"/>
      <c r="F1686" s="500">
        <v>506.34</v>
      </c>
      <c r="G1686" s="501" t="s">
        <v>274</v>
      </c>
      <c r="H1686" s="502"/>
      <c r="I1686" s="503">
        <f t="shared" si="27"/>
        <v>32796.570000000014</v>
      </c>
    </row>
    <row r="1687" spans="2:9">
      <c r="B1687" s="496">
        <v>45887</v>
      </c>
      <c r="C1687" s="497" t="s">
        <v>117</v>
      </c>
      <c r="D1687" s="498" t="s">
        <v>903</v>
      </c>
      <c r="E1687" s="499"/>
      <c r="F1687" s="500">
        <v>1</v>
      </c>
      <c r="G1687" s="501" t="s">
        <v>272</v>
      </c>
      <c r="H1687" s="502"/>
      <c r="I1687" s="503">
        <f t="shared" si="27"/>
        <v>32795.570000000014</v>
      </c>
    </row>
    <row r="1688" spans="2:9">
      <c r="B1688" s="496">
        <v>45887</v>
      </c>
      <c r="C1688" s="507" t="s">
        <v>1279</v>
      </c>
      <c r="D1688" s="505" t="s">
        <v>307</v>
      </c>
      <c r="E1688" s="499">
        <v>1407.9</v>
      </c>
      <c r="F1688" s="500"/>
      <c r="G1688" s="501" t="s">
        <v>190</v>
      </c>
      <c r="H1688" s="502"/>
      <c r="I1688" s="503">
        <f t="shared" si="27"/>
        <v>34203.470000000016</v>
      </c>
    </row>
    <row r="1689" spans="2:9">
      <c r="B1689" s="496">
        <v>45887</v>
      </c>
      <c r="C1689" s="507" t="s">
        <v>1279</v>
      </c>
      <c r="D1689" s="505" t="s">
        <v>307</v>
      </c>
      <c r="E1689" s="499">
        <v>1247.9000000000001</v>
      </c>
      <c r="F1689" s="500"/>
      <c r="G1689" s="501" t="s">
        <v>190</v>
      </c>
      <c r="H1689" s="502"/>
      <c r="I1689" s="503">
        <f t="shared" si="27"/>
        <v>35451.370000000017</v>
      </c>
    </row>
    <row r="1690" spans="2:9">
      <c r="B1690" s="496">
        <v>45887</v>
      </c>
      <c r="C1690" s="507" t="s">
        <v>1279</v>
      </c>
      <c r="D1690" s="505" t="s">
        <v>307</v>
      </c>
      <c r="E1690" s="499">
        <v>2026.5</v>
      </c>
      <c r="F1690" s="500"/>
      <c r="G1690" s="501" t="s">
        <v>190</v>
      </c>
      <c r="H1690" s="502"/>
      <c r="I1690" s="503">
        <f t="shared" si="27"/>
        <v>37477.870000000017</v>
      </c>
    </row>
    <row r="1691" spans="2:9">
      <c r="B1691" s="496">
        <v>45887</v>
      </c>
      <c r="C1691" s="507" t="s">
        <v>1279</v>
      </c>
      <c r="D1691" s="505" t="s">
        <v>307</v>
      </c>
      <c r="E1691" s="499">
        <v>4307.2</v>
      </c>
      <c r="F1691" s="500"/>
      <c r="G1691" s="501" t="s">
        <v>190</v>
      </c>
      <c r="H1691" s="502"/>
      <c r="I1691" s="503">
        <f t="shared" si="27"/>
        <v>41785.070000000014</v>
      </c>
    </row>
    <row r="1692" spans="2:9">
      <c r="B1692" s="496">
        <v>45888</v>
      </c>
      <c r="C1692" s="507" t="s">
        <v>1279</v>
      </c>
      <c r="D1692" s="505" t="s">
        <v>307</v>
      </c>
      <c r="E1692" s="499">
        <v>1217.9000000000001</v>
      </c>
      <c r="F1692" s="500"/>
      <c r="G1692" s="501" t="s">
        <v>190</v>
      </c>
      <c r="H1692" s="502"/>
      <c r="I1692" s="503">
        <f t="shared" si="27"/>
        <v>43002.970000000016</v>
      </c>
    </row>
    <row r="1693" spans="2:9">
      <c r="B1693" s="496">
        <v>45889</v>
      </c>
      <c r="C1693" s="497" t="s">
        <v>117</v>
      </c>
      <c r="D1693" s="498" t="s">
        <v>1848</v>
      </c>
      <c r="E1693" s="499"/>
      <c r="F1693" s="500">
        <v>2304.27</v>
      </c>
      <c r="G1693" s="501" t="s">
        <v>1957</v>
      </c>
      <c r="H1693" s="506" t="s">
        <v>2061</v>
      </c>
      <c r="I1693" s="503">
        <f t="shared" si="27"/>
        <v>40698.700000000019</v>
      </c>
    </row>
    <row r="1694" spans="2:9">
      <c r="B1694" s="729">
        <v>45868</v>
      </c>
      <c r="C1694" s="772" t="s">
        <v>250</v>
      </c>
      <c r="D1694" s="773" t="s">
        <v>250</v>
      </c>
      <c r="E1694" s="499"/>
      <c r="F1694" s="500">
        <v>4572</v>
      </c>
      <c r="G1694" s="501" t="s">
        <v>250</v>
      </c>
      <c r="H1694" s="502"/>
      <c r="I1694" s="503">
        <f t="shared" si="27"/>
        <v>36126.700000000019</v>
      </c>
    </row>
    <row r="1695" spans="2:9">
      <c r="B1695" s="729">
        <v>45868</v>
      </c>
      <c r="C1695" s="772" t="s">
        <v>250</v>
      </c>
      <c r="D1695" s="773" t="s">
        <v>250</v>
      </c>
      <c r="E1695" s="499"/>
      <c r="F1695" s="500">
        <v>3.95</v>
      </c>
      <c r="G1695" s="501" t="s">
        <v>250</v>
      </c>
      <c r="H1695" s="502"/>
      <c r="I1695" s="503">
        <f t="shared" si="27"/>
        <v>36122.750000000022</v>
      </c>
    </row>
    <row r="1696" spans="2:9">
      <c r="B1696" s="729">
        <v>45868</v>
      </c>
      <c r="C1696" s="772">
        <v>337</v>
      </c>
      <c r="D1696" s="773" t="s">
        <v>329</v>
      </c>
      <c r="E1696" s="499"/>
      <c r="F1696" s="500">
        <v>83.33</v>
      </c>
      <c r="G1696" s="501" t="s">
        <v>221</v>
      </c>
      <c r="H1696" s="502"/>
      <c r="I1696" s="503">
        <f t="shared" si="27"/>
        <v>36039.42000000002</v>
      </c>
    </row>
    <row r="1697" spans="2:9">
      <c r="B1697" s="729">
        <v>45868</v>
      </c>
      <c r="C1697" s="772">
        <v>432</v>
      </c>
      <c r="D1697" s="773" t="s">
        <v>990</v>
      </c>
      <c r="E1697" s="499"/>
      <c r="F1697" s="500">
        <v>149</v>
      </c>
      <c r="G1697" s="501" t="s">
        <v>222</v>
      </c>
      <c r="H1697" s="502"/>
      <c r="I1697" s="503">
        <f t="shared" si="27"/>
        <v>35890.42000000002</v>
      </c>
    </row>
    <row r="1698" spans="2:9">
      <c r="B1698" s="496">
        <v>45889</v>
      </c>
      <c r="C1698" s="507" t="s">
        <v>1279</v>
      </c>
      <c r="D1698" s="505" t="s">
        <v>307</v>
      </c>
      <c r="E1698" s="499">
        <v>1837.9</v>
      </c>
      <c r="F1698" s="500"/>
      <c r="G1698" s="501" t="s">
        <v>190</v>
      </c>
      <c r="H1698" s="502"/>
      <c r="I1698" s="503">
        <f t="shared" si="27"/>
        <v>37728.320000000022</v>
      </c>
    </row>
    <row r="1699" spans="2:9">
      <c r="B1699" s="496">
        <v>45890</v>
      </c>
      <c r="C1699" s="507" t="s">
        <v>1279</v>
      </c>
      <c r="D1699" s="505" t="s">
        <v>307</v>
      </c>
      <c r="E1699" s="499">
        <v>1552.1</v>
      </c>
      <c r="F1699" s="500"/>
      <c r="G1699" s="501" t="s">
        <v>190</v>
      </c>
      <c r="H1699" s="502"/>
      <c r="I1699" s="503">
        <f t="shared" si="27"/>
        <v>39280.42000000002</v>
      </c>
    </row>
    <row r="1700" spans="2:9">
      <c r="B1700" s="729">
        <v>45868</v>
      </c>
      <c r="C1700" s="497" t="s">
        <v>117</v>
      </c>
      <c r="D1700" s="505" t="s">
        <v>1261</v>
      </c>
      <c r="E1700" s="499"/>
      <c r="F1700" s="500">
        <v>447.43</v>
      </c>
      <c r="G1700" s="630" t="s">
        <v>266</v>
      </c>
      <c r="H1700" s="502"/>
      <c r="I1700" s="503">
        <f t="shared" si="27"/>
        <v>38832.99000000002</v>
      </c>
    </row>
    <row r="1701" spans="2:9">
      <c r="B1701" s="496">
        <v>45890</v>
      </c>
      <c r="C1701" s="497" t="s">
        <v>117</v>
      </c>
      <c r="D1701" s="498" t="s">
        <v>921</v>
      </c>
      <c r="E1701" s="499"/>
      <c r="F1701" s="500">
        <v>1.25</v>
      </c>
      <c r="G1701" s="501" t="s">
        <v>271</v>
      </c>
      <c r="H1701" s="502"/>
      <c r="I1701" s="503">
        <f t="shared" si="27"/>
        <v>38831.74000000002</v>
      </c>
    </row>
    <row r="1702" spans="2:9">
      <c r="B1702" s="496">
        <v>45891</v>
      </c>
      <c r="C1702" s="507" t="s">
        <v>1279</v>
      </c>
      <c r="D1702" s="505" t="s">
        <v>307</v>
      </c>
      <c r="E1702" s="499">
        <v>1381.9</v>
      </c>
      <c r="F1702" s="500"/>
      <c r="G1702" s="501" t="s">
        <v>190</v>
      </c>
      <c r="H1702" s="502"/>
      <c r="I1702" s="503">
        <f t="shared" si="27"/>
        <v>40213.640000000021</v>
      </c>
    </row>
    <row r="1703" spans="2:9">
      <c r="B1703" s="496">
        <v>45894</v>
      </c>
      <c r="C1703" s="497" t="s">
        <v>1974</v>
      </c>
      <c r="D1703" s="498" t="s">
        <v>1975</v>
      </c>
      <c r="E1703" s="499"/>
      <c r="F1703" s="500">
        <v>990</v>
      </c>
      <c r="G1703" s="501" t="s">
        <v>202</v>
      </c>
      <c r="H1703" s="502"/>
      <c r="I1703" s="503">
        <f t="shared" si="27"/>
        <v>39223.640000000021</v>
      </c>
    </row>
    <row r="1704" spans="2:9">
      <c r="B1704" s="496">
        <v>45894</v>
      </c>
      <c r="C1704" s="497" t="s">
        <v>1974</v>
      </c>
      <c r="D1704" s="498" t="s">
        <v>1975</v>
      </c>
      <c r="E1704" s="499"/>
      <c r="F1704" s="500">
        <v>33.659999999999997</v>
      </c>
      <c r="G1704" s="501" t="s">
        <v>274</v>
      </c>
      <c r="H1704" s="502"/>
      <c r="I1704" s="503">
        <f t="shared" si="27"/>
        <v>39189.980000000018</v>
      </c>
    </row>
    <row r="1705" spans="2:9">
      <c r="B1705" s="496">
        <v>45894</v>
      </c>
      <c r="C1705" s="497">
        <v>125001852</v>
      </c>
      <c r="D1705" s="498" t="s">
        <v>1976</v>
      </c>
      <c r="E1705" s="499"/>
      <c r="F1705" s="500">
        <v>195.91</v>
      </c>
      <c r="G1705" s="501" t="s">
        <v>216</v>
      </c>
      <c r="H1705" s="502"/>
      <c r="I1705" s="503">
        <f t="shared" si="27"/>
        <v>38994.070000000014</v>
      </c>
    </row>
    <row r="1706" spans="2:9">
      <c r="B1706" s="496">
        <v>45894</v>
      </c>
      <c r="C1706" s="497">
        <v>125001852</v>
      </c>
      <c r="D1706" s="498" t="s">
        <v>1976</v>
      </c>
      <c r="E1706" s="499"/>
      <c r="F1706" s="500">
        <v>19.59</v>
      </c>
      <c r="G1706" s="501" t="s">
        <v>274</v>
      </c>
      <c r="H1706" s="502"/>
      <c r="I1706" s="503">
        <f t="shared" si="27"/>
        <v>38974.480000000018</v>
      </c>
    </row>
    <row r="1707" spans="2:9">
      <c r="B1707" s="496">
        <v>45894</v>
      </c>
      <c r="C1707" s="497" t="s">
        <v>117</v>
      </c>
      <c r="D1707" s="498" t="s">
        <v>1977</v>
      </c>
      <c r="E1707" s="499"/>
      <c r="F1707" s="500">
        <v>3.29</v>
      </c>
      <c r="G1707" s="501" t="s">
        <v>265</v>
      </c>
      <c r="H1707" s="502"/>
      <c r="I1707" s="503">
        <f t="shared" si="27"/>
        <v>38971.190000000017</v>
      </c>
    </row>
    <row r="1708" spans="2:9">
      <c r="B1708" s="496">
        <v>45894</v>
      </c>
      <c r="C1708" s="507" t="s">
        <v>1279</v>
      </c>
      <c r="D1708" s="505" t="s">
        <v>307</v>
      </c>
      <c r="E1708" s="499">
        <v>3887</v>
      </c>
      <c r="F1708" s="500"/>
      <c r="G1708" s="501"/>
      <c r="H1708" s="815" t="s">
        <v>824</v>
      </c>
      <c r="I1708" s="503">
        <f t="shared" si="27"/>
        <v>42858.190000000017</v>
      </c>
    </row>
    <row r="1709" spans="2:9">
      <c r="B1709" s="496">
        <v>45894</v>
      </c>
      <c r="C1709" s="507" t="s">
        <v>1279</v>
      </c>
      <c r="D1709" s="505" t="s">
        <v>307</v>
      </c>
      <c r="E1709" s="499">
        <f>4010.4-3887</f>
        <v>123.40000000000009</v>
      </c>
      <c r="F1709" s="500"/>
      <c r="G1709" s="501" t="s">
        <v>190</v>
      </c>
      <c r="H1709" s="502"/>
      <c r="I1709" s="503">
        <f t="shared" si="27"/>
        <v>42981.590000000018</v>
      </c>
    </row>
    <row r="1710" spans="2:9">
      <c r="B1710" s="496">
        <v>45894</v>
      </c>
      <c r="C1710" s="507" t="s">
        <v>1279</v>
      </c>
      <c r="D1710" s="505" t="s">
        <v>307</v>
      </c>
      <c r="E1710" s="499">
        <v>2433.8000000000002</v>
      </c>
      <c r="F1710" s="500"/>
      <c r="G1710" s="501" t="s">
        <v>190</v>
      </c>
      <c r="H1710" s="502"/>
      <c r="I1710" s="503">
        <f>I1708+E1710-F1710</f>
        <v>45291.99000000002</v>
      </c>
    </row>
    <row r="1711" spans="2:9">
      <c r="B1711" s="496">
        <v>45894</v>
      </c>
      <c r="C1711" s="507" t="s">
        <v>1279</v>
      </c>
      <c r="D1711" s="505" t="s">
        <v>307</v>
      </c>
      <c r="E1711" s="499">
        <v>5477.3</v>
      </c>
      <c r="F1711" s="500"/>
      <c r="G1711" s="501" t="s">
        <v>190</v>
      </c>
      <c r="H1711" s="502"/>
      <c r="I1711" s="503">
        <f t="shared" si="27"/>
        <v>50769.290000000023</v>
      </c>
    </row>
    <row r="1712" spans="2:9">
      <c r="B1712" s="496">
        <v>45895</v>
      </c>
      <c r="C1712" s="507" t="s">
        <v>1279</v>
      </c>
      <c r="D1712" s="505" t="s">
        <v>307</v>
      </c>
      <c r="E1712" s="499">
        <v>1130.0999999999999</v>
      </c>
      <c r="F1712" s="500"/>
      <c r="G1712" s="501" t="s">
        <v>190</v>
      </c>
      <c r="H1712" s="502"/>
      <c r="I1712" s="503">
        <f t="shared" si="27"/>
        <v>51899.390000000021</v>
      </c>
    </row>
    <row r="1713" spans="2:9">
      <c r="B1713" s="729">
        <v>45869</v>
      </c>
      <c r="C1713" s="507" t="s">
        <v>1990</v>
      </c>
      <c r="D1713" s="505" t="s">
        <v>545</v>
      </c>
      <c r="E1713" s="499"/>
      <c r="F1713" s="500">
        <v>14.47</v>
      </c>
      <c r="G1713" s="501" t="s">
        <v>205</v>
      </c>
      <c r="H1713" s="506" t="s">
        <v>1980</v>
      </c>
      <c r="I1713" s="503">
        <f t="shared" si="27"/>
        <v>51884.92000000002</v>
      </c>
    </row>
    <row r="1714" spans="2:9">
      <c r="B1714" s="729">
        <v>45869</v>
      </c>
      <c r="C1714" s="507" t="s">
        <v>1990</v>
      </c>
      <c r="D1714" s="505" t="s">
        <v>545</v>
      </c>
      <c r="E1714" s="499"/>
      <c r="F1714" s="500">
        <v>3.18</v>
      </c>
      <c r="G1714" s="501" t="s">
        <v>274</v>
      </c>
      <c r="H1714" s="502"/>
      <c r="I1714" s="503">
        <f t="shared" si="27"/>
        <v>51881.74000000002</v>
      </c>
    </row>
    <row r="1715" spans="2:9">
      <c r="B1715" s="729">
        <v>45869</v>
      </c>
      <c r="C1715" s="497" t="s">
        <v>1978</v>
      </c>
      <c r="D1715" s="498" t="s">
        <v>545</v>
      </c>
      <c r="E1715" s="499"/>
      <c r="F1715" s="500">
        <v>19.95</v>
      </c>
      <c r="G1715" s="501" t="s">
        <v>208</v>
      </c>
      <c r="H1715" s="502"/>
      <c r="I1715" s="503">
        <f t="shared" si="27"/>
        <v>51861.790000000023</v>
      </c>
    </row>
    <row r="1716" spans="2:9">
      <c r="B1716" s="729">
        <v>45869</v>
      </c>
      <c r="C1716" s="497" t="s">
        <v>1978</v>
      </c>
      <c r="D1716" s="498" t="s">
        <v>1979</v>
      </c>
      <c r="E1716" s="499"/>
      <c r="F1716" s="500">
        <v>4.3899999999999997</v>
      </c>
      <c r="G1716" s="501" t="s">
        <v>274</v>
      </c>
      <c r="H1716" s="502"/>
      <c r="I1716" s="503">
        <f t="shared" si="27"/>
        <v>51857.400000000023</v>
      </c>
    </row>
    <row r="1717" spans="2:9">
      <c r="B1717" s="729">
        <v>45869</v>
      </c>
      <c r="C1717" s="497" t="s">
        <v>117</v>
      </c>
      <c r="D1717" s="498" t="s">
        <v>1045</v>
      </c>
      <c r="E1717" s="499"/>
      <c r="F1717" s="500">
        <v>221.51</v>
      </c>
      <c r="G1717" s="501" t="s">
        <v>232</v>
      </c>
      <c r="H1717" s="502"/>
      <c r="I1717" s="503">
        <f t="shared" si="27"/>
        <v>51635.890000000021</v>
      </c>
    </row>
    <row r="1718" spans="2:9">
      <c r="B1718" s="729">
        <v>45869</v>
      </c>
      <c r="C1718" s="497" t="s">
        <v>117</v>
      </c>
      <c r="D1718" s="498" t="s">
        <v>1045</v>
      </c>
      <c r="E1718" s="499"/>
      <c r="F1718" s="500">
        <v>14.57</v>
      </c>
      <c r="G1718" s="501" t="s">
        <v>232</v>
      </c>
      <c r="H1718" s="502"/>
      <c r="I1718" s="503">
        <f t="shared" si="27"/>
        <v>51621.320000000022</v>
      </c>
    </row>
    <row r="1719" spans="2:9">
      <c r="B1719" s="729">
        <v>45869</v>
      </c>
      <c r="C1719" s="497" t="s">
        <v>117</v>
      </c>
      <c r="D1719" s="498" t="s">
        <v>1981</v>
      </c>
      <c r="E1719" s="499"/>
      <c r="F1719" s="500">
        <v>21.5</v>
      </c>
      <c r="G1719" s="501" t="s">
        <v>216</v>
      </c>
      <c r="H1719" s="502"/>
      <c r="I1719" s="503">
        <f t="shared" si="27"/>
        <v>51599.820000000022</v>
      </c>
    </row>
    <row r="1720" spans="2:9">
      <c r="B1720" s="729">
        <v>45869</v>
      </c>
      <c r="C1720" s="497">
        <v>9002078855</v>
      </c>
      <c r="D1720" s="498" t="s">
        <v>1982</v>
      </c>
      <c r="E1720" s="499"/>
      <c r="F1720" s="500">
        <v>113.73</v>
      </c>
      <c r="G1720" s="501" t="s">
        <v>216</v>
      </c>
      <c r="H1720" s="815" t="s">
        <v>502</v>
      </c>
      <c r="I1720" s="503">
        <f t="shared" si="27"/>
        <v>51486.090000000018</v>
      </c>
    </row>
    <row r="1721" spans="2:9">
      <c r="B1721" s="729">
        <v>45869</v>
      </c>
      <c r="C1721" s="497">
        <v>9002078855</v>
      </c>
      <c r="D1721" s="498" t="s">
        <v>1983</v>
      </c>
      <c r="E1721" s="499"/>
      <c r="F1721" s="500">
        <v>11.37</v>
      </c>
      <c r="G1721" s="501" t="s">
        <v>274</v>
      </c>
      <c r="H1721" s="502"/>
      <c r="I1721" s="503">
        <f t="shared" si="27"/>
        <v>51474.720000000016</v>
      </c>
    </row>
    <row r="1722" spans="2:9">
      <c r="B1722" s="729">
        <v>45869</v>
      </c>
      <c r="C1722" s="497">
        <v>545</v>
      </c>
      <c r="D1722" s="498" t="s">
        <v>1287</v>
      </c>
      <c r="E1722" s="499"/>
      <c r="F1722" s="500">
        <v>56.56</v>
      </c>
      <c r="G1722" s="501" t="s">
        <v>202</v>
      </c>
      <c r="H1722" s="502"/>
      <c r="I1722" s="503">
        <f t="shared" si="27"/>
        <v>51418.160000000018</v>
      </c>
    </row>
    <row r="1723" spans="2:9">
      <c r="B1723" s="729">
        <v>45869</v>
      </c>
      <c r="C1723" s="497">
        <v>545</v>
      </c>
      <c r="D1723" s="498" t="s">
        <v>1287</v>
      </c>
      <c r="E1723" s="499"/>
      <c r="F1723" s="500">
        <v>12.44</v>
      </c>
      <c r="G1723" s="501" t="s">
        <v>274</v>
      </c>
      <c r="H1723" s="502"/>
      <c r="I1723" s="503">
        <f t="shared" si="27"/>
        <v>51405.720000000016</v>
      </c>
    </row>
    <row r="1724" spans="2:9">
      <c r="B1724" s="729">
        <v>45869</v>
      </c>
      <c r="C1724" s="497" t="s">
        <v>1984</v>
      </c>
      <c r="D1724" s="498" t="s">
        <v>950</v>
      </c>
      <c r="E1724" s="499"/>
      <c r="F1724" s="500">
        <v>27.79</v>
      </c>
      <c r="G1724" s="501" t="s">
        <v>256</v>
      </c>
      <c r="H1724" s="502"/>
      <c r="I1724" s="503">
        <f t="shared" si="27"/>
        <v>51377.930000000015</v>
      </c>
    </row>
    <row r="1725" spans="2:9">
      <c r="B1725" s="729">
        <v>45869</v>
      </c>
      <c r="C1725" s="497" t="s">
        <v>1984</v>
      </c>
      <c r="D1725" s="498" t="s">
        <v>950</v>
      </c>
      <c r="E1725" s="499"/>
      <c r="F1725" s="500">
        <v>6.11</v>
      </c>
      <c r="G1725" s="501" t="s">
        <v>274</v>
      </c>
      <c r="H1725" s="502"/>
      <c r="I1725" s="503">
        <f t="shared" si="27"/>
        <v>51371.820000000014</v>
      </c>
    </row>
    <row r="1726" spans="2:9">
      <c r="B1726" s="729">
        <v>45869</v>
      </c>
      <c r="C1726" s="497" t="s">
        <v>1985</v>
      </c>
      <c r="D1726" s="498" t="s">
        <v>943</v>
      </c>
      <c r="E1726" s="499"/>
      <c r="F1726" s="500">
        <v>150.94999999999999</v>
      </c>
      <c r="G1726" s="501" t="s">
        <v>205</v>
      </c>
      <c r="H1726" s="502"/>
      <c r="I1726" s="503">
        <f t="shared" si="27"/>
        <v>51220.870000000017</v>
      </c>
    </row>
    <row r="1727" spans="2:9">
      <c r="B1727" s="729">
        <v>45869</v>
      </c>
      <c r="C1727" s="497" t="s">
        <v>1985</v>
      </c>
      <c r="D1727" s="498" t="s">
        <v>943</v>
      </c>
      <c r="E1727" s="499"/>
      <c r="F1727" s="500">
        <v>33.21</v>
      </c>
      <c r="G1727" s="501" t="s">
        <v>274</v>
      </c>
      <c r="H1727" s="502"/>
      <c r="I1727" s="503">
        <f t="shared" si="27"/>
        <v>51187.660000000018</v>
      </c>
    </row>
    <row r="1728" spans="2:9">
      <c r="B1728" s="729">
        <v>45869</v>
      </c>
      <c r="C1728" s="497" t="s">
        <v>117</v>
      </c>
      <c r="D1728" s="498" t="s">
        <v>908</v>
      </c>
      <c r="E1728" s="499"/>
      <c r="F1728" s="500">
        <v>2</v>
      </c>
      <c r="G1728" s="501" t="s">
        <v>254</v>
      </c>
      <c r="H1728" s="502"/>
      <c r="I1728" s="503">
        <f t="shared" si="27"/>
        <v>51185.660000000018</v>
      </c>
    </row>
    <row r="1729" spans="2:9">
      <c r="B1729" s="496">
        <v>45896</v>
      </c>
      <c r="C1729" s="507" t="s">
        <v>117</v>
      </c>
      <c r="D1729" s="505" t="s">
        <v>921</v>
      </c>
      <c r="E1729" s="499"/>
      <c r="F1729" s="500">
        <v>1.25</v>
      </c>
      <c r="G1729" s="501" t="s">
        <v>271</v>
      </c>
      <c r="H1729" s="502"/>
      <c r="I1729" s="503">
        <f t="shared" si="27"/>
        <v>51184.410000000018</v>
      </c>
    </row>
    <row r="1730" spans="2:9">
      <c r="B1730" s="496">
        <v>45896</v>
      </c>
      <c r="C1730" s="497" t="s">
        <v>1986</v>
      </c>
      <c r="D1730" s="498" t="s">
        <v>412</v>
      </c>
      <c r="E1730" s="499"/>
      <c r="F1730" s="500">
        <v>61.56</v>
      </c>
      <c r="G1730" s="501" t="s">
        <v>225</v>
      </c>
      <c r="H1730" s="502"/>
      <c r="I1730" s="503">
        <f t="shared" si="27"/>
        <v>51122.85000000002</v>
      </c>
    </row>
    <row r="1731" spans="2:9">
      <c r="B1731" s="496">
        <v>45896</v>
      </c>
      <c r="C1731" s="497" t="s">
        <v>1986</v>
      </c>
      <c r="D1731" s="498" t="s">
        <v>412</v>
      </c>
      <c r="E1731" s="499"/>
      <c r="F1731" s="500">
        <v>20.260000000000002</v>
      </c>
      <c r="G1731" s="501" t="s">
        <v>274</v>
      </c>
      <c r="H1731" s="502"/>
      <c r="I1731" s="503">
        <f t="shared" si="27"/>
        <v>51102.590000000018</v>
      </c>
    </row>
    <row r="1732" spans="2:9">
      <c r="B1732" s="496">
        <v>45896</v>
      </c>
      <c r="C1732" s="497" t="s">
        <v>117</v>
      </c>
      <c r="D1732" s="498" t="s">
        <v>903</v>
      </c>
      <c r="E1732" s="499"/>
      <c r="F1732" s="500">
        <v>1</v>
      </c>
      <c r="G1732" s="501" t="s">
        <v>272</v>
      </c>
      <c r="H1732" s="502"/>
      <c r="I1732" s="503">
        <f t="shared" si="27"/>
        <v>51101.590000000018</v>
      </c>
    </row>
    <row r="1733" spans="2:9">
      <c r="B1733" s="496">
        <v>45896</v>
      </c>
      <c r="C1733" s="507" t="s">
        <v>1279</v>
      </c>
      <c r="D1733" s="505" t="s">
        <v>307</v>
      </c>
      <c r="E1733" s="499">
        <v>1593.3</v>
      </c>
      <c r="F1733" s="500"/>
      <c r="G1733" s="501" t="s">
        <v>190</v>
      </c>
      <c r="H1733" s="502"/>
      <c r="I1733" s="503">
        <f t="shared" si="27"/>
        <v>52694.890000000021</v>
      </c>
    </row>
    <row r="1734" spans="2:9">
      <c r="B1734" s="496">
        <v>45897</v>
      </c>
      <c r="C1734" s="497" t="s">
        <v>117</v>
      </c>
      <c r="D1734" s="505" t="s">
        <v>1992</v>
      </c>
      <c r="E1734" s="499">
        <v>25985.07</v>
      </c>
      <c r="F1734" s="500"/>
      <c r="G1734" s="531" t="s">
        <v>137</v>
      </c>
      <c r="H1734" s="502" t="s">
        <v>1991</v>
      </c>
      <c r="I1734" s="503">
        <f t="shared" si="27"/>
        <v>78679.960000000021</v>
      </c>
    </row>
    <row r="1735" spans="2:9">
      <c r="B1735" s="496">
        <v>45897</v>
      </c>
      <c r="C1735" s="507" t="s">
        <v>1279</v>
      </c>
      <c r="D1735" s="505" t="s">
        <v>307</v>
      </c>
      <c r="E1735" s="499">
        <v>1086.8</v>
      </c>
      <c r="F1735" s="500"/>
      <c r="G1735" s="501" t="s">
        <v>190</v>
      </c>
      <c r="H1735" s="502"/>
      <c r="I1735" s="503">
        <f t="shared" si="27"/>
        <v>79766.760000000024</v>
      </c>
    </row>
    <row r="1736" spans="2:9">
      <c r="B1736" s="496">
        <v>45897</v>
      </c>
      <c r="C1736" s="513" t="s">
        <v>962</v>
      </c>
      <c r="D1736" s="514" t="s">
        <v>1987</v>
      </c>
      <c r="E1736" s="515"/>
      <c r="F1736" s="516">
        <v>1283.6400000000001</v>
      </c>
      <c r="G1736" s="522" t="s">
        <v>279</v>
      </c>
      <c r="H1736" s="502"/>
      <c r="I1736" s="503">
        <f t="shared" si="27"/>
        <v>78483.120000000024</v>
      </c>
    </row>
    <row r="1737" spans="2:9">
      <c r="B1737" s="496">
        <v>45897</v>
      </c>
      <c r="C1737" s="513" t="s">
        <v>962</v>
      </c>
      <c r="D1737" s="514" t="s">
        <v>1988</v>
      </c>
      <c r="E1737" s="515"/>
      <c r="F1737" s="516">
        <v>84.31</v>
      </c>
      <c r="G1737" s="522" t="s">
        <v>262</v>
      </c>
      <c r="H1737" s="502"/>
      <c r="I1737" s="503">
        <f t="shared" si="27"/>
        <v>78398.810000000027</v>
      </c>
    </row>
    <row r="1738" spans="2:9">
      <c r="B1738" s="496">
        <v>45897</v>
      </c>
      <c r="C1738" s="513" t="s">
        <v>962</v>
      </c>
      <c r="D1738" s="514" t="s">
        <v>965</v>
      </c>
      <c r="E1738" s="515"/>
      <c r="F1738" s="516">
        <v>2.5</v>
      </c>
      <c r="G1738" s="522" t="s">
        <v>966</v>
      </c>
      <c r="H1738" s="502"/>
      <c r="I1738" s="503">
        <f t="shared" si="27"/>
        <v>78396.310000000027</v>
      </c>
    </row>
    <row r="1739" spans="2:9">
      <c r="B1739" s="496">
        <v>45898</v>
      </c>
      <c r="C1739" s="507" t="s">
        <v>1279</v>
      </c>
      <c r="D1739" s="505" t="s">
        <v>307</v>
      </c>
      <c r="E1739" s="499">
        <v>1672.9</v>
      </c>
      <c r="F1739" s="500"/>
      <c r="G1739" s="501" t="s">
        <v>190</v>
      </c>
      <c r="H1739" s="502"/>
      <c r="I1739" s="503">
        <f t="shared" si="27"/>
        <v>80069.210000000021</v>
      </c>
    </row>
    <row r="1740" spans="2:9">
      <c r="B1740" s="496">
        <v>45901</v>
      </c>
      <c r="C1740" s="641" t="s">
        <v>2367</v>
      </c>
      <c r="D1740" s="498" t="s">
        <v>1851</v>
      </c>
      <c r="E1740" s="499"/>
      <c r="F1740" s="500">
        <v>350.01</v>
      </c>
      <c r="G1740" s="501" t="s">
        <v>222</v>
      </c>
      <c r="H1740" s="502"/>
      <c r="I1740" s="503">
        <f>I1739+E1740-F1740</f>
        <v>79719.200000000026</v>
      </c>
    </row>
    <row r="1741" spans="2:9">
      <c r="B1741" s="496">
        <v>45901</v>
      </c>
      <c r="C1741" s="641" t="s">
        <v>2367</v>
      </c>
      <c r="D1741" s="498" t="s">
        <v>1851</v>
      </c>
      <c r="E1741" s="499"/>
      <c r="F1741" s="500">
        <v>95.33</v>
      </c>
      <c r="G1741" s="501" t="s">
        <v>274</v>
      </c>
      <c r="H1741" s="502"/>
      <c r="I1741" s="503">
        <f>I1740+E1741-F1741</f>
        <v>79623.870000000024</v>
      </c>
    </row>
    <row r="1742" spans="2:9">
      <c r="B1742" s="496">
        <v>45901</v>
      </c>
      <c r="C1742" s="497" t="s">
        <v>117</v>
      </c>
      <c r="D1742" s="498" t="s">
        <v>903</v>
      </c>
      <c r="E1742" s="499"/>
      <c r="F1742" s="500">
        <v>1</v>
      </c>
      <c r="G1742" s="501" t="s">
        <v>272</v>
      </c>
      <c r="H1742" s="502"/>
      <c r="I1742" s="503">
        <f>I1741+E1742-F1742</f>
        <v>79622.870000000024</v>
      </c>
    </row>
    <row r="1743" spans="2:9">
      <c r="B1743" s="496">
        <v>45901</v>
      </c>
      <c r="C1743" s="507" t="s">
        <v>117</v>
      </c>
      <c r="D1743" s="505" t="s">
        <v>320</v>
      </c>
      <c r="E1743" s="499"/>
      <c r="F1743" s="500">
        <v>1250</v>
      </c>
      <c r="G1743" s="501" t="s">
        <v>278</v>
      </c>
      <c r="H1743" s="502"/>
      <c r="I1743" s="503">
        <f t="shared" ref="I1743:I1781" si="28">I1742+E1743-F1743</f>
        <v>78372.870000000024</v>
      </c>
    </row>
    <row r="1744" spans="2:9">
      <c r="B1744" s="496">
        <v>45901</v>
      </c>
      <c r="C1744" s="497" t="s">
        <v>117</v>
      </c>
      <c r="D1744" s="498" t="s">
        <v>903</v>
      </c>
      <c r="E1744" s="499"/>
      <c r="F1744" s="500">
        <v>0.75</v>
      </c>
      <c r="G1744" s="501" t="s">
        <v>272</v>
      </c>
      <c r="H1744" s="502"/>
      <c r="I1744" s="503">
        <f t="shared" si="28"/>
        <v>78372.120000000024</v>
      </c>
    </row>
    <row r="1745" spans="2:9">
      <c r="B1745" s="496">
        <v>45901</v>
      </c>
      <c r="C1745" s="507" t="s">
        <v>117</v>
      </c>
      <c r="D1745" s="505" t="s">
        <v>1246</v>
      </c>
      <c r="E1745" s="499"/>
      <c r="F1745" s="500">
        <v>500</v>
      </c>
      <c r="G1745" s="501" t="s">
        <v>1858</v>
      </c>
      <c r="H1745" s="502"/>
      <c r="I1745" s="503">
        <f t="shared" si="28"/>
        <v>77872.120000000024</v>
      </c>
    </row>
    <row r="1746" spans="2:9">
      <c r="B1746" s="496">
        <v>45901</v>
      </c>
      <c r="C1746" s="497" t="s">
        <v>117</v>
      </c>
      <c r="D1746" s="498" t="s">
        <v>903</v>
      </c>
      <c r="E1746" s="499"/>
      <c r="F1746" s="500">
        <v>1</v>
      </c>
      <c r="G1746" s="501" t="s">
        <v>272</v>
      </c>
      <c r="H1746" s="502"/>
      <c r="I1746" s="503">
        <f t="shared" si="28"/>
        <v>77871.120000000024</v>
      </c>
    </row>
    <row r="1747" spans="2:9">
      <c r="B1747" s="496">
        <v>45901</v>
      </c>
      <c r="C1747" s="513" t="s">
        <v>2020</v>
      </c>
      <c r="D1747" s="514" t="s">
        <v>1850</v>
      </c>
      <c r="E1747" s="515"/>
      <c r="F1747" s="516">
        <v>3111.7</v>
      </c>
      <c r="G1747" s="501" t="s">
        <v>237</v>
      </c>
      <c r="H1747" s="502"/>
      <c r="I1747" s="503">
        <f t="shared" si="28"/>
        <v>74759.420000000027</v>
      </c>
    </row>
    <row r="1748" spans="2:9">
      <c r="B1748" s="496">
        <v>45901</v>
      </c>
      <c r="C1748" s="513" t="s">
        <v>2020</v>
      </c>
      <c r="D1748" s="514" t="s">
        <v>1850</v>
      </c>
      <c r="E1748" s="499"/>
      <c r="F1748" s="500">
        <v>684.57</v>
      </c>
      <c r="G1748" s="501" t="s">
        <v>274</v>
      </c>
      <c r="H1748" s="502"/>
      <c r="I1748" s="503">
        <f t="shared" si="28"/>
        <v>74074.85000000002</v>
      </c>
    </row>
    <row r="1749" spans="2:9">
      <c r="B1749" s="729">
        <v>45900</v>
      </c>
      <c r="C1749" s="497" t="s">
        <v>2015</v>
      </c>
      <c r="D1749" s="505" t="s">
        <v>1845</v>
      </c>
      <c r="E1749" s="499"/>
      <c r="F1749" s="500">
        <v>130</v>
      </c>
      <c r="G1749" s="630" t="s">
        <v>238</v>
      </c>
      <c r="H1749" s="502"/>
      <c r="I1749" s="503">
        <f t="shared" si="28"/>
        <v>73944.85000000002</v>
      </c>
    </row>
    <row r="1750" spans="2:9">
      <c r="B1750" s="729">
        <v>45900</v>
      </c>
      <c r="C1750" s="497" t="s">
        <v>2015</v>
      </c>
      <c r="D1750" s="498" t="s">
        <v>1846</v>
      </c>
      <c r="E1750" s="499"/>
      <c r="F1750" s="500">
        <v>28.6</v>
      </c>
      <c r="G1750" s="501" t="s">
        <v>274</v>
      </c>
      <c r="H1750" s="502"/>
      <c r="I1750" s="503">
        <f t="shared" si="28"/>
        <v>73916.250000000015</v>
      </c>
    </row>
    <row r="1751" spans="2:9">
      <c r="B1751" s="496">
        <v>45901</v>
      </c>
      <c r="C1751" s="497" t="s">
        <v>117</v>
      </c>
      <c r="D1751" s="498" t="s">
        <v>921</v>
      </c>
      <c r="E1751" s="499"/>
      <c r="F1751" s="500">
        <v>1.25</v>
      </c>
      <c r="G1751" s="501" t="s">
        <v>271</v>
      </c>
      <c r="H1751" s="502"/>
      <c r="I1751" s="503">
        <f t="shared" si="28"/>
        <v>73915.000000000015</v>
      </c>
    </row>
    <row r="1752" spans="2:9">
      <c r="B1752" s="729">
        <v>45900</v>
      </c>
      <c r="C1752" s="497" t="s">
        <v>2015</v>
      </c>
      <c r="D1752" s="505" t="s">
        <v>1845</v>
      </c>
      <c r="E1752" s="499"/>
      <c r="F1752" s="500">
        <v>146</v>
      </c>
      <c r="G1752" s="630" t="s">
        <v>238</v>
      </c>
      <c r="H1752" s="502"/>
      <c r="I1752" s="503">
        <f t="shared" si="28"/>
        <v>73769.000000000015</v>
      </c>
    </row>
    <row r="1753" spans="2:9">
      <c r="B1753" s="729">
        <v>45900</v>
      </c>
      <c r="C1753" s="497" t="s">
        <v>2015</v>
      </c>
      <c r="D1753" s="498" t="s">
        <v>1846</v>
      </c>
      <c r="E1753" s="499"/>
      <c r="F1753" s="500">
        <v>32.119999999999997</v>
      </c>
      <c r="G1753" s="501" t="s">
        <v>274</v>
      </c>
      <c r="H1753" s="502"/>
      <c r="I1753" s="503">
        <f t="shared" si="28"/>
        <v>73736.880000000019</v>
      </c>
    </row>
    <row r="1754" spans="2:9">
      <c r="B1754" s="496">
        <v>45901</v>
      </c>
      <c r="C1754" s="497" t="s">
        <v>117</v>
      </c>
      <c r="D1754" s="498" t="s">
        <v>921</v>
      </c>
      <c r="E1754" s="499"/>
      <c r="F1754" s="500">
        <v>1.25</v>
      </c>
      <c r="G1754" s="501" t="s">
        <v>271</v>
      </c>
      <c r="H1754" s="502"/>
      <c r="I1754" s="503">
        <f t="shared" si="28"/>
        <v>73735.630000000019</v>
      </c>
    </row>
    <row r="1755" spans="2:9">
      <c r="B1755" s="729">
        <v>45869</v>
      </c>
      <c r="C1755" s="497" t="s">
        <v>2016</v>
      </c>
      <c r="D1755" s="498" t="s">
        <v>650</v>
      </c>
      <c r="E1755" s="499"/>
      <c r="F1755" s="500">
        <v>8306.93</v>
      </c>
      <c r="G1755" s="501" t="s">
        <v>194</v>
      </c>
      <c r="H1755" s="502"/>
      <c r="I1755" s="503">
        <f t="shared" si="28"/>
        <v>65428.700000000019</v>
      </c>
    </row>
    <row r="1756" spans="2:9">
      <c r="B1756" s="729">
        <v>45869</v>
      </c>
      <c r="C1756" s="497" t="s">
        <v>2016</v>
      </c>
      <c r="D1756" s="498" t="s">
        <v>650</v>
      </c>
      <c r="E1756" s="499"/>
      <c r="F1756" s="500">
        <v>1825.32</v>
      </c>
      <c r="G1756" s="501" t="s">
        <v>274</v>
      </c>
      <c r="H1756" s="502"/>
      <c r="I1756" s="503">
        <f t="shared" si="28"/>
        <v>63603.380000000019</v>
      </c>
    </row>
    <row r="1757" spans="2:9">
      <c r="B1757" s="496">
        <v>45901</v>
      </c>
      <c r="C1757" s="497" t="s">
        <v>117</v>
      </c>
      <c r="D1757" s="498" t="s">
        <v>921</v>
      </c>
      <c r="E1757" s="499"/>
      <c r="F1757" s="500">
        <v>1.25</v>
      </c>
      <c r="G1757" s="501" t="s">
        <v>271</v>
      </c>
      <c r="H1757" s="502"/>
      <c r="I1757" s="503">
        <f t="shared" si="28"/>
        <v>63602.130000000019</v>
      </c>
    </row>
    <row r="1758" spans="2:9">
      <c r="B1758" s="729">
        <v>45869</v>
      </c>
      <c r="C1758" s="497" t="s">
        <v>2017</v>
      </c>
      <c r="D1758" s="498" t="s">
        <v>650</v>
      </c>
      <c r="E1758" s="499">
        <v>704</v>
      </c>
      <c r="F1758" s="500"/>
      <c r="G1758" s="501"/>
      <c r="H1758" s="607" t="s">
        <v>742</v>
      </c>
      <c r="I1758" s="503">
        <f t="shared" si="28"/>
        <v>64306.130000000019</v>
      </c>
    </row>
    <row r="1759" spans="2:9">
      <c r="B1759" s="729">
        <v>45869</v>
      </c>
      <c r="C1759" s="497" t="s">
        <v>2018</v>
      </c>
      <c r="D1759" s="498" t="s">
        <v>650</v>
      </c>
      <c r="E1759" s="499"/>
      <c r="F1759" s="500">
        <v>2713.66</v>
      </c>
      <c r="G1759" s="501"/>
      <c r="H1759" s="634" t="s">
        <v>556</v>
      </c>
      <c r="I1759" s="503">
        <f t="shared" si="28"/>
        <v>61592.470000000016</v>
      </c>
    </row>
    <row r="1760" spans="2:9">
      <c r="B1760" s="729">
        <v>45869</v>
      </c>
      <c r="C1760" s="497" t="s">
        <v>2018</v>
      </c>
      <c r="D1760" s="498" t="s">
        <v>650</v>
      </c>
      <c r="E1760" s="499"/>
      <c r="F1760" s="500">
        <v>597.01</v>
      </c>
      <c r="G1760" s="501" t="s">
        <v>274</v>
      </c>
      <c r="H1760" s="634" t="s">
        <v>556</v>
      </c>
      <c r="I1760" s="503">
        <f t="shared" si="28"/>
        <v>60995.460000000014</v>
      </c>
    </row>
    <row r="1761" spans="2:9">
      <c r="B1761" s="496">
        <v>45901</v>
      </c>
      <c r="C1761" s="497" t="s">
        <v>117</v>
      </c>
      <c r="D1761" s="498" t="s">
        <v>921</v>
      </c>
      <c r="E1761" s="499"/>
      <c r="F1761" s="500">
        <v>1.25</v>
      </c>
      <c r="G1761" s="501" t="s">
        <v>271</v>
      </c>
      <c r="H1761" s="502"/>
      <c r="I1761" s="503">
        <f t="shared" si="28"/>
        <v>60994.210000000014</v>
      </c>
    </row>
    <row r="1762" spans="2:9">
      <c r="B1762" s="496">
        <v>45901</v>
      </c>
      <c r="C1762" s="507" t="s">
        <v>1279</v>
      </c>
      <c r="D1762" s="505" t="s">
        <v>307</v>
      </c>
      <c r="E1762" s="499">
        <v>1690</v>
      </c>
      <c r="F1762" s="500"/>
      <c r="G1762" s="501" t="s">
        <v>190</v>
      </c>
      <c r="H1762" s="502"/>
      <c r="I1762" s="503">
        <f t="shared" si="28"/>
        <v>62684.210000000014</v>
      </c>
    </row>
    <row r="1763" spans="2:9">
      <c r="B1763" s="496">
        <v>45901</v>
      </c>
      <c r="C1763" s="507" t="s">
        <v>1279</v>
      </c>
      <c r="D1763" s="505" t="s">
        <v>307</v>
      </c>
      <c r="E1763" s="499">
        <v>3772.6</v>
      </c>
      <c r="F1763" s="500"/>
      <c r="G1763" s="501" t="s">
        <v>190</v>
      </c>
      <c r="H1763" s="502"/>
      <c r="I1763" s="503">
        <f t="shared" si="28"/>
        <v>66456.810000000012</v>
      </c>
    </row>
    <row r="1764" spans="2:9">
      <c r="B1764" s="496">
        <v>45901</v>
      </c>
      <c r="C1764" s="507" t="s">
        <v>1279</v>
      </c>
      <c r="D1764" s="505" t="s">
        <v>307</v>
      </c>
      <c r="E1764" s="499">
        <f>3335.2-2505</f>
        <v>830.19999999999982</v>
      </c>
      <c r="F1764" s="500"/>
      <c r="G1764" s="501" t="s">
        <v>190</v>
      </c>
      <c r="H1764" s="502"/>
      <c r="I1764" s="503">
        <f>I1762+E1764-F1764</f>
        <v>63514.410000000011</v>
      </c>
    </row>
    <row r="1765" spans="2:9">
      <c r="B1765" s="496">
        <v>45901</v>
      </c>
      <c r="C1765" s="507" t="s">
        <v>1279</v>
      </c>
      <c r="D1765" s="505" t="s">
        <v>307</v>
      </c>
      <c r="E1765" s="499">
        <v>2505</v>
      </c>
      <c r="F1765" s="500"/>
      <c r="G1765" s="501"/>
      <c r="H1765" s="815" t="s">
        <v>824</v>
      </c>
      <c r="I1765" s="503">
        <f>I1763+E1765-F1765</f>
        <v>68961.810000000012</v>
      </c>
    </row>
    <row r="1766" spans="2:9">
      <c r="B1766" s="496">
        <v>45902</v>
      </c>
      <c r="C1766" s="497">
        <v>35</v>
      </c>
      <c r="D1766" s="498" t="s">
        <v>2037</v>
      </c>
      <c r="E1766" s="499"/>
      <c r="F1766" s="500">
        <v>630</v>
      </c>
      <c r="G1766" s="501" t="s">
        <v>137</v>
      </c>
      <c r="H1766" s="502"/>
      <c r="I1766" s="503">
        <f t="shared" si="28"/>
        <v>68331.810000000012</v>
      </c>
    </row>
    <row r="1767" spans="2:9">
      <c r="B1767" s="496">
        <v>45902</v>
      </c>
      <c r="C1767" s="497">
        <v>35</v>
      </c>
      <c r="D1767" s="498" t="s">
        <v>2037</v>
      </c>
      <c r="E1767" s="499"/>
      <c r="F1767" s="500">
        <v>138.6</v>
      </c>
      <c r="G1767" s="501" t="s">
        <v>274</v>
      </c>
      <c r="H1767" s="502"/>
      <c r="I1767" s="503">
        <f t="shared" si="28"/>
        <v>68193.210000000006</v>
      </c>
    </row>
    <row r="1768" spans="2:9">
      <c r="B1768" s="496">
        <v>45902</v>
      </c>
      <c r="C1768" s="497" t="s">
        <v>117</v>
      </c>
      <c r="D1768" s="498" t="s">
        <v>903</v>
      </c>
      <c r="E1768" s="499"/>
      <c r="F1768" s="500">
        <v>1</v>
      </c>
      <c r="G1768" s="501" t="s">
        <v>272</v>
      </c>
      <c r="H1768" s="502"/>
      <c r="I1768" s="503">
        <f t="shared" si="28"/>
        <v>68192.210000000006</v>
      </c>
    </row>
    <row r="1769" spans="2:9">
      <c r="B1769" s="496">
        <v>45902</v>
      </c>
      <c r="C1769" s="507" t="s">
        <v>1279</v>
      </c>
      <c r="D1769" s="505" t="s">
        <v>307</v>
      </c>
      <c r="E1769" s="499">
        <v>1392</v>
      </c>
      <c r="F1769" s="500"/>
      <c r="G1769" s="501" t="s">
        <v>190</v>
      </c>
      <c r="H1769" s="502"/>
      <c r="I1769" s="503">
        <f t="shared" si="28"/>
        <v>69584.210000000006</v>
      </c>
    </row>
    <row r="1770" spans="2:9">
      <c r="B1770" s="496">
        <v>45902</v>
      </c>
      <c r="C1770" s="497">
        <v>26</v>
      </c>
      <c r="D1770" s="498" t="s">
        <v>2036</v>
      </c>
      <c r="E1770" s="499"/>
      <c r="F1770" s="500">
        <v>532</v>
      </c>
      <c r="G1770" s="501" t="s">
        <v>218</v>
      </c>
      <c r="H1770" s="502"/>
      <c r="I1770" s="503">
        <f t="shared" si="28"/>
        <v>69052.210000000006</v>
      </c>
    </row>
    <row r="1771" spans="2:9">
      <c r="B1771" s="496">
        <v>45902</v>
      </c>
      <c r="C1771" s="497" t="s">
        <v>117</v>
      </c>
      <c r="D1771" s="498" t="s">
        <v>903</v>
      </c>
      <c r="E1771" s="499"/>
      <c r="F1771" s="500">
        <v>0.75</v>
      </c>
      <c r="G1771" s="501" t="s">
        <v>272</v>
      </c>
      <c r="H1771" s="502"/>
      <c r="I1771" s="503">
        <f t="shared" si="28"/>
        <v>69051.460000000006</v>
      </c>
    </row>
    <row r="1772" spans="2:9">
      <c r="B1772" s="496">
        <v>45903</v>
      </c>
      <c r="C1772" s="507" t="s">
        <v>1279</v>
      </c>
      <c r="D1772" s="505" t="s">
        <v>307</v>
      </c>
      <c r="E1772" s="499">
        <v>917.1</v>
      </c>
      <c r="F1772" s="500"/>
      <c r="G1772" s="501" t="s">
        <v>190</v>
      </c>
      <c r="H1772" s="502"/>
      <c r="I1772" s="503">
        <f t="shared" si="28"/>
        <v>69968.560000000012</v>
      </c>
    </row>
    <row r="1773" spans="2:9">
      <c r="B1773" s="496">
        <v>45904</v>
      </c>
      <c r="C1773" s="497" t="s">
        <v>2028</v>
      </c>
      <c r="D1773" s="498" t="s">
        <v>2027</v>
      </c>
      <c r="E1773" s="499"/>
      <c r="F1773" s="500">
        <v>778.69</v>
      </c>
      <c r="G1773" s="501" t="s">
        <v>219</v>
      </c>
      <c r="H1773" s="502"/>
      <c r="I1773" s="503">
        <f t="shared" si="28"/>
        <v>69189.87000000001</v>
      </c>
    </row>
    <row r="1774" spans="2:9">
      <c r="B1774" s="496">
        <v>45904</v>
      </c>
      <c r="C1774" s="497" t="s">
        <v>2028</v>
      </c>
      <c r="D1774" s="498" t="s">
        <v>2027</v>
      </c>
      <c r="E1774" s="499"/>
      <c r="F1774" s="500">
        <v>171.31</v>
      </c>
      <c r="G1774" s="501" t="s">
        <v>274</v>
      </c>
      <c r="H1774" s="502"/>
      <c r="I1774" s="503">
        <f t="shared" si="28"/>
        <v>69018.560000000012</v>
      </c>
    </row>
    <row r="1775" spans="2:9">
      <c r="B1775" s="496">
        <v>45904</v>
      </c>
      <c r="C1775" s="497" t="s">
        <v>117</v>
      </c>
      <c r="D1775" s="498" t="s">
        <v>903</v>
      </c>
      <c r="E1775" s="499"/>
      <c r="F1775" s="500">
        <v>1</v>
      </c>
      <c r="G1775" s="501" t="s">
        <v>272</v>
      </c>
      <c r="H1775" s="502"/>
      <c r="I1775" s="503">
        <f t="shared" si="28"/>
        <v>69017.560000000012</v>
      </c>
    </row>
    <row r="1776" spans="2:9">
      <c r="B1776" s="496">
        <v>45904</v>
      </c>
      <c r="C1776" s="507" t="s">
        <v>1279</v>
      </c>
      <c r="D1776" s="505" t="s">
        <v>307</v>
      </c>
      <c r="E1776" s="499">
        <v>677.1</v>
      </c>
      <c r="F1776" s="500"/>
      <c r="G1776" s="501" t="s">
        <v>190</v>
      </c>
      <c r="H1776" s="502"/>
      <c r="I1776" s="503">
        <f>I1775+E1776-F1776</f>
        <v>69694.660000000018</v>
      </c>
    </row>
    <row r="1777" spans="2:9">
      <c r="B1777" s="496">
        <v>45905</v>
      </c>
      <c r="C1777" s="497">
        <v>139115</v>
      </c>
      <c r="D1777" s="498" t="s">
        <v>1898</v>
      </c>
      <c r="E1777" s="499"/>
      <c r="F1777" s="500">
        <v>214</v>
      </c>
      <c r="G1777" s="501" t="s">
        <v>266</v>
      </c>
      <c r="H1777" s="502"/>
      <c r="I1777" s="503">
        <f>I1776+E1777-F1777</f>
        <v>69480.660000000018</v>
      </c>
    </row>
    <row r="1778" spans="2:9">
      <c r="B1778" s="496">
        <v>45905</v>
      </c>
      <c r="C1778" s="497">
        <v>139115</v>
      </c>
      <c r="D1778" s="498" t="s">
        <v>2029</v>
      </c>
      <c r="E1778" s="499"/>
      <c r="F1778" s="500">
        <v>47.08</v>
      </c>
      <c r="G1778" s="501" t="s">
        <v>274</v>
      </c>
      <c r="H1778" s="502"/>
      <c r="I1778" s="503">
        <f t="shared" si="28"/>
        <v>69433.580000000016</v>
      </c>
    </row>
    <row r="1779" spans="2:9">
      <c r="B1779" s="496">
        <v>45905</v>
      </c>
      <c r="C1779" s="507" t="s">
        <v>283</v>
      </c>
      <c r="D1779" s="505" t="s">
        <v>912</v>
      </c>
      <c r="E1779" s="499">
        <v>92</v>
      </c>
      <c r="F1779" s="500"/>
      <c r="G1779" s="501"/>
      <c r="H1779" s="812" t="s">
        <v>714</v>
      </c>
      <c r="I1779" s="503">
        <f t="shared" si="28"/>
        <v>69525.580000000016</v>
      </c>
    </row>
    <row r="1780" spans="2:9">
      <c r="B1780" s="496">
        <v>45905</v>
      </c>
      <c r="C1780" s="507" t="s">
        <v>117</v>
      </c>
      <c r="D1780" s="505" t="s">
        <v>918</v>
      </c>
      <c r="E1780" s="499"/>
      <c r="F1780" s="500">
        <v>0.93</v>
      </c>
      <c r="G1780" s="501"/>
      <c r="H1780" s="812" t="s">
        <v>714</v>
      </c>
      <c r="I1780" s="503">
        <f t="shared" si="28"/>
        <v>69524.650000000023</v>
      </c>
    </row>
    <row r="1781" spans="2:9">
      <c r="B1781" s="496">
        <v>45905</v>
      </c>
      <c r="C1781" s="507" t="s">
        <v>1279</v>
      </c>
      <c r="D1781" s="505" t="s">
        <v>307</v>
      </c>
      <c r="E1781" s="499">
        <f>3093.4-2444</f>
        <v>649.40000000000009</v>
      </c>
      <c r="F1781" s="500"/>
      <c r="G1781" s="501" t="s">
        <v>190</v>
      </c>
      <c r="H1781" s="502"/>
      <c r="I1781" s="503">
        <f t="shared" si="28"/>
        <v>70174.050000000017</v>
      </c>
    </row>
    <row r="1782" spans="2:9">
      <c r="B1782" s="496">
        <v>45905</v>
      </c>
      <c r="C1782" s="497" t="s">
        <v>283</v>
      </c>
      <c r="D1782" s="498" t="s">
        <v>909</v>
      </c>
      <c r="E1782" s="499">
        <v>2444</v>
      </c>
      <c r="F1782" s="500"/>
      <c r="G1782" s="501"/>
      <c r="H1782" s="815" t="s">
        <v>824</v>
      </c>
      <c r="I1782" s="503">
        <f>I1780+E1782-F1782</f>
        <v>71968.650000000023</v>
      </c>
    </row>
    <row r="1783" spans="2:9">
      <c r="B1783" s="496">
        <v>45905</v>
      </c>
      <c r="C1783" s="497" t="s">
        <v>283</v>
      </c>
      <c r="D1783" s="498" t="s">
        <v>909</v>
      </c>
      <c r="E1783" s="499">
        <v>10</v>
      </c>
      <c r="F1783" s="500"/>
      <c r="G1783" s="501"/>
      <c r="H1783" s="812" t="s">
        <v>714</v>
      </c>
      <c r="I1783" s="503">
        <f>I1781+E1783-F1783</f>
        <v>70184.050000000017</v>
      </c>
    </row>
    <row r="1784" spans="2:9">
      <c r="B1784" s="496">
        <v>45908</v>
      </c>
      <c r="C1784" s="507" t="s">
        <v>283</v>
      </c>
      <c r="D1784" s="505" t="s">
        <v>912</v>
      </c>
      <c r="E1784" s="499">
        <v>337</v>
      </c>
      <c r="F1784" s="500"/>
      <c r="G1784" s="501"/>
      <c r="H1784" s="812" t="s">
        <v>714</v>
      </c>
      <c r="I1784" s="503">
        <f t="shared" ref="I1784:I1849" si="29">I1783+E1784-F1784</f>
        <v>70521.050000000017</v>
      </c>
    </row>
    <row r="1785" spans="2:9">
      <c r="B1785" s="496">
        <v>45908</v>
      </c>
      <c r="C1785" s="507" t="s">
        <v>117</v>
      </c>
      <c r="D1785" s="505" t="s">
        <v>918</v>
      </c>
      <c r="E1785" s="499"/>
      <c r="F1785" s="500">
        <v>3.4</v>
      </c>
      <c r="G1785" s="501"/>
      <c r="H1785" s="812" t="s">
        <v>714</v>
      </c>
      <c r="I1785" s="503">
        <f t="shared" si="29"/>
        <v>70517.650000000023</v>
      </c>
    </row>
    <row r="1786" spans="2:9">
      <c r="B1786" s="496">
        <v>45908</v>
      </c>
      <c r="C1786" s="507" t="s">
        <v>1279</v>
      </c>
      <c r="D1786" s="505" t="s">
        <v>307</v>
      </c>
      <c r="E1786" s="499">
        <v>1304.5999999999999</v>
      </c>
      <c r="F1786" s="500"/>
      <c r="G1786" s="501" t="s">
        <v>190</v>
      </c>
      <c r="H1786" s="502"/>
      <c r="I1786" s="503">
        <f t="shared" si="29"/>
        <v>71822.250000000029</v>
      </c>
    </row>
    <row r="1787" spans="2:9">
      <c r="B1787" s="496">
        <v>45908</v>
      </c>
      <c r="C1787" s="507" t="s">
        <v>1279</v>
      </c>
      <c r="D1787" s="505" t="s">
        <v>307</v>
      </c>
      <c r="E1787" s="499">
        <v>2752.2</v>
      </c>
      <c r="F1787" s="500"/>
      <c r="G1787" s="501" t="s">
        <v>190</v>
      </c>
      <c r="H1787" s="502"/>
      <c r="I1787" s="503">
        <f t="shared" si="29"/>
        <v>74574.450000000026</v>
      </c>
    </row>
    <row r="1788" spans="2:9">
      <c r="B1788" s="496">
        <v>45908</v>
      </c>
      <c r="C1788" s="507" t="s">
        <v>1279</v>
      </c>
      <c r="D1788" s="505" t="s">
        <v>307</v>
      </c>
      <c r="E1788" s="499">
        <v>3264.4</v>
      </c>
      <c r="F1788" s="500"/>
      <c r="G1788" s="501" t="s">
        <v>190</v>
      </c>
      <c r="H1788" s="502"/>
      <c r="I1788" s="503">
        <f t="shared" si="29"/>
        <v>77838.85000000002</v>
      </c>
    </row>
    <row r="1789" spans="2:9">
      <c r="B1789" s="496">
        <v>45908</v>
      </c>
      <c r="C1789" s="497" t="s">
        <v>283</v>
      </c>
      <c r="D1789" s="498" t="s">
        <v>909</v>
      </c>
      <c r="E1789" s="499">
        <v>5480.15</v>
      </c>
      <c r="F1789" s="500"/>
      <c r="G1789" s="501"/>
      <c r="H1789" s="812" t="s">
        <v>714</v>
      </c>
      <c r="I1789" s="503">
        <f t="shared" si="29"/>
        <v>83319.000000000015</v>
      </c>
    </row>
    <row r="1790" spans="2:9">
      <c r="B1790" s="496">
        <v>45908</v>
      </c>
      <c r="C1790" s="497" t="s">
        <v>117</v>
      </c>
      <c r="D1790" s="498" t="s">
        <v>911</v>
      </c>
      <c r="E1790" s="499"/>
      <c r="F1790" s="500">
        <v>60.12</v>
      </c>
      <c r="G1790" s="501"/>
      <c r="H1790" s="812" t="s">
        <v>714</v>
      </c>
      <c r="I1790" s="503">
        <f t="shared" si="29"/>
        <v>83258.880000000019</v>
      </c>
    </row>
    <row r="1791" spans="2:9">
      <c r="B1791" s="496">
        <v>45909</v>
      </c>
      <c r="C1791" s="507" t="s">
        <v>117</v>
      </c>
      <c r="D1791" s="680" t="s">
        <v>320</v>
      </c>
      <c r="E1791" s="619"/>
      <c r="F1791" s="620">
        <v>504.9</v>
      </c>
      <c r="G1791" s="621" t="s">
        <v>237</v>
      </c>
      <c r="H1791" s="502"/>
      <c r="I1791" s="503">
        <f t="shared" si="29"/>
        <v>82753.980000000025</v>
      </c>
    </row>
    <row r="1792" spans="2:9">
      <c r="B1792" s="496">
        <v>45909</v>
      </c>
      <c r="C1792" s="497" t="s">
        <v>117</v>
      </c>
      <c r="D1792" s="498" t="s">
        <v>903</v>
      </c>
      <c r="E1792" s="499"/>
      <c r="F1792" s="500">
        <v>0.75</v>
      </c>
      <c r="G1792" s="501" t="s">
        <v>272</v>
      </c>
      <c r="H1792" s="502"/>
      <c r="I1792" s="503">
        <f t="shared" si="29"/>
        <v>82753.230000000025</v>
      </c>
    </row>
    <row r="1793" spans="2:9">
      <c r="B1793" s="729">
        <v>45868</v>
      </c>
      <c r="C1793" s="497" t="s">
        <v>2031</v>
      </c>
      <c r="D1793" s="498" t="s">
        <v>1841</v>
      </c>
      <c r="E1793" s="499"/>
      <c r="F1793" s="500">
        <v>599.92999999999995</v>
      </c>
      <c r="G1793" s="501" t="s">
        <v>198</v>
      </c>
      <c r="H1793" s="502"/>
      <c r="I1793" s="503">
        <f t="shared" si="29"/>
        <v>82153.300000000032</v>
      </c>
    </row>
    <row r="1794" spans="2:9">
      <c r="B1794" s="729">
        <v>45868</v>
      </c>
      <c r="C1794" s="497" t="s">
        <v>2031</v>
      </c>
      <c r="D1794" s="498" t="s">
        <v>1841</v>
      </c>
      <c r="E1794" s="499"/>
      <c r="F1794" s="500">
        <v>130.54</v>
      </c>
      <c r="G1794" s="501" t="s">
        <v>274</v>
      </c>
      <c r="H1794" s="502"/>
      <c r="I1794" s="503">
        <f t="shared" si="29"/>
        <v>82022.760000000038</v>
      </c>
    </row>
    <row r="1795" spans="2:9">
      <c r="B1795" s="729">
        <v>45900</v>
      </c>
      <c r="C1795" s="497" t="s">
        <v>2032</v>
      </c>
      <c r="D1795" s="498" t="s">
        <v>1841</v>
      </c>
      <c r="E1795" s="499"/>
      <c r="F1795" s="500">
        <v>756</v>
      </c>
      <c r="G1795" s="501" t="s">
        <v>198</v>
      </c>
      <c r="H1795" s="502"/>
      <c r="I1795" s="503">
        <f t="shared" si="29"/>
        <v>81266.760000000038</v>
      </c>
    </row>
    <row r="1796" spans="2:9">
      <c r="B1796" s="729">
        <v>45900</v>
      </c>
      <c r="C1796" s="497" t="s">
        <v>2032</v>
      </c>
      <c r="D1796" s="498" t="s">
        <v>1841</v>
      </c>
      <c r="E1796" s="499"/>
      <c r="F1796" s="500">
        <v>164.88</v>
      </c>
      <c r="G1796" s="501" t="s">
        <v>274</v>
      </c>
      <c r="H1796" s="502"/>
      <c r="I1796" s="503">
        <f t="shared" si="29"/>
        <v>81101.880000000034</v>
      </c>
    </row>
    <row r="1797" spans="2:9">
      <c r="B1797" s="496">
        <v>45909</v>
      </c>
      <c r="C1797" s="497" t="s">
        <v>117</v>
      </c>
      <c r="D1797" s="498" t="s">
        <v>903</v>
      </c>
      <c r="E1797" s="499"/>
      <c r="F1797" s="500">
        <v>1</v>
      </c>
      <c r="G1797" s="501" t="s">
        <v>272</v>
      </c>
      <c r="H1797" s="502"/>
      <c r="I1797" s="503">
        <f t="shared" si="29"/>
        <v>81100.880000000034</v>
      </c>
    </row>
    <row r="1798" spans="2:9">
      <c r="B1798" s="729">
        <v>45900</v>
      </c>
      <c r="C1798" s="497">
        <v>7101</v>
      </c>
      <c r="D1798" s="498" t="s">
        <v>361</v>
      </c>
      <c r="E1798" s="499"/>
      <c r="F1798" s="500">
        <v>756.47</v>
      </c>
      <c r="G1798" s="501" t="s">
        <v>194</v>
      </c>
      <c r="H1798" s="502"/>
      <c r="I1798" s="503">
        <f t="shared" si="29"/>
        <v>80344.410000000033</v>
      </c>
    </row>
    <row r="1799" spans="2:9">
      <c r="B1799" s="729">
        <v>45900</v>
      </c>
      <c r="C1799" s="497">
        <v>7101</v>
      </c>
      <c r="D1799" s="498" t="s">
        <v>1255</v>
      </c>
      <c r="E1799" s="499"/>
      <c r="F1799" s="500">
        <v>56.23</v>
      </c>
      <c r="G1799" s="501" t="s">
        <v>274</v>
      </c>
      <c r="H1799" s="502"/>
      <c r="I1799" s="503">
        <f t="shared" si="29"/>
        <v>80288.180000000037</v>
      </c>
    </row>
    <row r="1800" spans="2:9">
      <c r="B1800" s="496">
        <v>45909</v>
      </c>
      <c r="C1800" s="497" t="s">
        <v>117</v>
      </c>
      <c r="D1800" s="498" t="s">
        <v>903</v>
      </c>
      <c r="E1800" s="499"/>
      <c r="F1800" s="500">
        <v>1</v>
      </c>
      <c r="G1800" s="501" t="s">
        <v>272</v>
      </c>
      <c r="H1800" s="502"/>
      <c r="I1800" s="503">
        <f t="shared" si="29"/>
        <v>80287.180000000037</v>
      </c>
    </row>
    <row r="1801" spans="2:9">
      <c r="B1801" s="496">
        <v>45909</v>
      </c>
      <c r="C1801" s="507" t="s">
        <v>1279</v>
      </c>
      <c r="D1801" s="505" t="s">
        <v>307</v>
      </c>
      <c r="E1801" s="499">
        <v>1019</v>
      </c>
      <c r="F1801" s="500"/>
      <c r="G1801" s="501" t="s">
        <v>190</v>
      </c>
      <c r="H1801" s="502"/>
      <c r="I1801" s="503">
        <f t="shared" si="29"/>
        <v>81306.180000000037</v>
      </c>
    </row>
    <row r="1802" spans="2:9">
      <c r="B1802" s="496">
        <v>45910</v>
      </c>
      <c r="C1802" s="617" t="s">
        <v>1279</v>
      </c>
      <c r="D1802" s="618" t="s">
        <v>307</v>
      </c>
      <c r="E1802" s="619">
        <v>481.2</v>
      </c>
      <c r="F1802" s="620"/>
      <c r="G1802" s="621" t="s">
        <v>190</v>
      </c>
      <c r="H1802" s="502"/>
      <c r="I1802" s="503">
        <f t="shared" si="29"/>
        <v>81787.380000000034</v>
      </c>
    </row>
    <row r="1803" spans="2:9">
      <c r="B1803" s="496">
        <v>45911</v>
      </c>
      <c r="C1803" s="497" t="s">
        <v>2053</v>
      </c>
      <c r="D1803" s="498" t="s">
        <v>412</v>
      </c>
      <c r="E1803" s="499"/>
      <c r="F1803" s="500">
        <v>43.06</v>
      </c>
      <c r="G1803" s="501" t="s">
        <v>225</v>
      </c>
      <c r="H1803" s="502"/>
      <c r="I1803" s="503">
        <f t="shared" si="29"/>
        <v>81744.320000000036</v>
      </c>
    </row>
    <row r="1804" spans="2:9">
      <c r="B1804" s="496">
        <v>45911</v>
      </c>
      <c r="C1804" s="497" t="s">
        <v>2053</v>
      </c>
      <c r="D1804" s="498" t="s">
        <v>1263</v>
      </c>
      <c r="E1804" s="499"/>
      <c r="F1804" s="500">
        <v>9.4700000000000006</v>
      </c>
      <c r="G1804" s="501" t="s">
        <v>274</v>
      </c>
      <c r="H1804" s="502"/>
      <c r="I1804" s="503">
        <f t="shared" si="29"/>
        <v>81734.850000000035</v>
      </c>
    </row>
    <row r="1805" spans="2:9">
      <c r="B1805" s="496">
        <v>45911</v>
      </c>
      <c r="C1805" s="497" t="s">
        <v>117</v>
      </c>
      <c r="D1805" s="498" t="s">
        <v>921</v>
      </c>
      <c r="E1805" s="499"/>
      <c r="F1805" s="500">
        <v>1.25</v>
      </c>
      <c r="G1805" s="501" t="s">
        <v>271</v>
      </c>
      <c r="H1805" s="502"/>
      <c r="I1805" s="503">
        <f t="shared" si="29"/>
        <v>81733.600000000035</v>
      </c>
    </row>
    <row r="1806" spans="2:9">
      <c r="B1806" s="729">
        <v>45900</v>
      </c>
      <c r="C1806" s="507" t="s">
        <v>513</v>
      </c>
      <c r="D1806" s="505" t="s">
        <v>25</v>
      </c>
      <c r="E1806" s="499"/>
      <c r="F1806" s="500">
        <v>1214</v>
      </c>
      <c r="G1806" s="501" t="s">
        <v>246</v>
      </c>
      <c r="H1806" s="502"/>
      <c r="I1806" s="503">
        <f t="shared" si="29"/>
        <v>80519.600000000035</v>
      </c>
    </row>
    <row r="1807" spans="2:9">
      <c r="B1807" s="729">
        <v>45900</v>
      </c>
      <c r="C1807" s="507" t="s">
        <v>286</v>
      </c>
      <c r="D1807" s="505" t="s">
        <v>520</v>
      </c>
      <c r="E1807" s="499"/>
      <c r="F1807" s="500">
        <v>3365</v>
      </c>
      <c r="G1807" s="501" t="s">
        <v>139</v>
      </c>
      <c r="H1807" s="502"/>
      <c r="I1807" s="503">
        <f t="shared" si="29"/>
        <v>77154.600000000035</v>
      </c>
    </row>
    <row r="1808" spans="2:9">
      <c r="B1808" s="729">
        <v>45900</v>
      </c>
      <c r="C1808" s="507" t="s">
        <v>513</v>
      </c>
      <c r="D1808" s="505" t="s">
        <v>29</v>
      </c>
      <c r="E1808" s="499"/>
      <c r="F1808" s="500">
        <v>1299</v>
      </c>
      <c r="G1808" s="501" t="s">
        <v>243</v>
      </c>
      <c r="H1808" s="502"/>
      <c r="I1808" s="503">
        <f t="shared" si="29"/>
        <v>75855.600000000035</v>
      </c>
    </row>
    <row r="1809" spans="2:9">
      <c r="B1809" s="729">
        <v>45900</v>
      </c>
      <c r="C1809" s="507" t="s">
        <v>513</v>
      </c>
      <c r="D1809" s="505" t="s">
        <v>28</v>
      </c>
      <c r="E1809" s="499"/>
      <c r="F1809" s="500">
        <v>1838</v>
      </c>
      <c r="G1809" s="501" t="s">
        <v>243</v>
      </c>
      <c r="H1809" s="502"/>
      <c r="I1809" s="503">
        <f t="shared" si="29"/>
        <v>74017.600000000035</v>
      </c>
    </row>
    <row r="1810" spans="2:9">
      <c r="B1810" s="729">
        <v>45900</v>
      </c>
      <c r="C1810" s="507" t="s">
        <v>513</v>
      </c>
      <c r="D1810" s="498" t="s">
        <v>559</v>
      </c>
      <c r="E1810" s="499"/>
      <c r="F1810" s="500">
        <v>860</v>
      </c>
      <c r="G1810" s="501" t="s">
        <v>243</v>
      </c>
      <c r="H1810" s="502"/>
      <c r="I1810" s="503">
        <f t="shared" si="29"/>
        <v>73157.600000000035</v>
      </c>
    </row>
    <row r="1811" spans="2:9">
      <c r="B1811" s="729">
        <v>45900</v>
      </c>
      <c r="C1811" s="507" t="s">
        <v>513</v>
      </c>
      <c r="D1811" s="505" t="s">
        <v>557</v>
      </c>
      <c r="E1811" s="499"/>
      <c r="F1811" s="500">
        <v>939</v>
      </c>
      <c r="G1811" s="501" t="s">
        <v>1859</v>
      </c>
      <c r="H1811" s="502"/>
      <c r="I1811" s="503">
        <f t="shared" si="29"/>
        <v>72218.600000000035</v>
      </c>
    </row>
    <row r="1812" spans="2:9">
      <c r="B1812" s="729">
        <v>45900</v>
      </c>
      <c r="C1812" s="507" t="s">
        <v>513</v>
      </c>
      <c r="D1812" s="505" t="s">
        <v>26</v>
      </c>
      <c r="E1812" s="499"/>
      <c r="F1812" s="500">
        <v>3208.18</v>
      </c>
      <c r="G1812" s="501" t="s">
        <v>246</v>
      </c>
      <c r="H1812" s="502"/>
      <c r="I1812" s="503">
        <f t="shared" si="29"/>
        <v>69010.420000000042</v>
      </c>
    </row>
    <row r="1813" spans="2:9">
      <c r="B1813" s="729">
        <v>45900</v>
      </c>
      <c r="C1813" s="507" t="s">
        <v>513</v>
      </c>
      <c r="D1813" s="498" t="s">
        <v>24</v>
      </c>
      <c r="E1813" s="499"/>
      <c r="F1813" s="500">
        <v>264</v>
      </c>
      <c r="G1813" s="501" t="s">
        <v>245</v>
      </c>
      <c r="H1813" s="502"/>
      <c r="I1813" s="503">
        <f t="shared" si="29"/>
        <v>68746.420000000042</v>
      </c>
    </row>
    <row r="1814" spans="2:9">
      <c r="B1814" s="729">
        <v>45900</v>
      </c>
      <c r="C1814" s="497" t="s">
        <v>513</v>
      </c>
      <c r="D1814" s="498" t="s">
        <v>1265</v>
      </c>
      <c r="E1814" s="499"/>
      <c r="F1814" s="500">
        <v>197.82</v>
      </c>
      <c r="G1814" s="501" t="s">
        <v>248</v>
      </c>
      <c r="H1814" s="502"/>
      <c r="I1814" s="503">
        <f t="shared" si="29"/>
        <v>68548.600000000035</v>
      </c>
    </row>
    <row r="1815" spans="2:9">
      <c r="B1815" s="729">
        <v>45900</v>
      </c>
      <c r="C1815" s="497" t="s">
        <v>513</v>
      </c>
      <c r="D1815" s="498" t="s">
        <v>1926</v>
      </c>
      <c r="E1815" s="499"/>
      <c r="F1815" s="500">
        <v>1917</v>
      </c>
      <c r="G1815" s="501" t="s">
        <v>246</v>
      </c>
      <c r="H1815" s="502"/>
      <c r="I1815" s="503">
        <f t="shared" si="29"/>
        <v>66631.600000000035</v>
      </c>
    </row>
    <row r="1816" spans="2:9">
      <c r="B1816" s="496">
        <v>45911</v>
      </c>
      <c r="C1816" s="497" t="s">
        <v>117</v>
      </c>
      <c r="D1816" s="498" t="s">
        <v>903</v>
      </c>
      <c r="E1816" s="499"/>
      <c r="F1816" s="500">
        <v>6.4</v>
      </c>
      <c r="G1816" s="501" t="s">
        <v>272</v>
      </c>
      <c r="H1816" s="502"/>
      <c r="I1816" s="503">
        <f t="shared" si="29"/>
        <v>66625.200000000041</v>
      </c>
    </row>
    <row r="1817" spans="2:9">
      <c r="B1817" s="496">
        <v>45911</v>
      </c>
      <c r="C1817" s="507" t="s">
        <v>1279</v>
      </c>
      <c r="D1817" s="505" t="s">
        <v>307</v>
      </c>
      <c r="E1817" s="499">
        <v>514.9</v>
      </c>
      <c r="F1817" s="500"/>
      <c r="G1817" s="501" t="s">
        <v>190</v>
      </c>
      <c r="H1817" s="502"/>
      <c r="I1817" s="503">
        <f t="shared" si="29"/>
        <v>67140.100000000035</v>
      </c>
    </row>
    <row r="1818" spans="2:9">
      <c r="B1818" s="729">
        <v>45898</v>
      </c>
      <c r="C1818" s="497" t="s">
        <v>2054</v>
      </c>
      <c r="D1818" s="498" t="s">
        <v>394</v>
      </c>
      <c r="E1818" s="499"/>
      <c r="F1818" s="500">
        <v>638.57000000000005</v>
      </c>
      <c r="G1818" s="501" t="s">
        <v>199</v>
      </c>
      <c r="H1818" s="502"/>
      <c r="I1818" s="503">
        <f t="shared" si="29"/>
        <v>66501.530000000028</v>
      </c>
    </row>
    <row r="1819" spans="2:9">
      <c r="B1819" s="729">
        <v>45898</v>
      </c>
      <c r="C1819" s="497" t="s">
        <v>2054</v>
      </c>
      <c r="D1819" s="498" t="s">
        <v>394</v>
      </c>
      <c r="E1819" s="499"/>
      <c r="F1819" s="500">
        <v>56.97</v>
      </c>
      <c r="G1819" s="501" t="s">
        <v>274</v>
      </c>
      <c r="H1819" s="502"/>
      <c r="I1819" s="503">
        <f t="shared" si="29"/>
        <v>66444.560000000027</v>
      </c>
    </row>
    <row r="1820" spans="2:9">
      <c r="B1820" s="496">
        <v>45911</v>
      </c>
      <c r="C1820" s="497" t="s">
        <v>117</v>
      </c>
      <c r="D1820" s="498" t="s">
        <v>903</v>
      </c>
      <c r="E1820" s="499"/>
      <c r="F1820" s="500">
        <v>0.75</v>
      </c>
      <c r="G1820" s="501" t="s">
        <v>272</v>
      </c>
      <c r="H1820" s="502"/>
      <c r="I1820" s="503">
        <f t="shared" si="29"/>
        <v>66443.810000000027</v>
      </c>
    </row>
    <row r="1821" spans="2:9">
      <c r="B1821" s="496">
        <v>45912</v>
      </c>
      <c r="C1821" s="507" t="s">
        <v>1279</v>
      </c>
      <c r="D1821" s="505" t="s">
        <v>307</v>
      </c>
      <c r="E1821" s="499">
        <f>3220.7-2962</f>
        <v>258.69999999999982</v>
      </c>
      <c r="F1821" s="500"/>
      <c r="G1821" s="501" t="s">
        <v>190</v>
      </c>
      <c r="H1821" s="502"/>
      <c r="I1821" s="503">
        <f t="shared" si="29"/>
        <v>66702.510000000024</v>
      </c>
    </row>
    <row r="1822" spans="2:9">
      <c r="B1822" s="496">
        <v>45912</v>
      </c>
      <c r="C1822" s="497" t="s">
        <v>283</v>
      </c>
      <c r="D1822" s="498" t="s">
        <v>909</v>
      </c>
      <c r="E1822" s="499">
        <v>2962</v>
      </c>
      <c r="F1822" s="500"/>
      <c r="G1822" s="501"/>
      <c r="H1822" s="815" t="s">
        <v>824</v>
      </c>
      <c r="I1822" s="503">
        <f>I1820+E1822-F1822</f>
        <v>69405.810000000027</v>
      </c>
    </row>
    <row r="1823" spans="2:9">
      <c r="B1823" s="496">
        <v>45912</v>
      </c>
      <c r="C1823" s="497" t="s">
        <v>283</v>
      </c>
      <c r="D1823" s="498" t="s">
        <v>909</v>
      </c>
      <c r="E1823" s="499">
        <v>40</v>
      </c>
      <c r="F1823" s="500"/>
      <c r="G1823" s="501" t="s">
        <v>190</v>
      </c>
      <c r="H1823" s="502"/>
      <c r="I1823" s="503">
        <f>I1821+E1823-F1823</f>
        <v>66742.510000000024</v>
      </c>
    </row>
    <row r="1824" spans="2:9">
      <c r="B1824" s="496">
        <v>45912</v>
      </c>
      <c r="C1824" s="497" t="s">
        <v>117</v>
      </c>
      <c r="D1824" s="498" t="s">
        <v>911</v>
      </c>
      <c r="E1824" s="499"/>
      <c r="F1824" s="500">
        <v>0.38</v>
      </c>
      <c r="G1824" s="501" t="s">
        <v>269</v>
      </c>
      <c r="H1824" s="502"/>
      <c r="I1824" s="503">
        <f t="shared" si="29"/>
        <v>66742.130000000019</v>
      </c>
    </row>
    <row r="1825" spans="2:9">
      <c r="B1825" s="496">
        <v>45915</v>
      </c>
      <c r="C1825" s="497">
        <v>173</v>
      </c>
      <c r="D1825" s="498" t="s">
        <v>2055</v>
      </c>
      <c r="E1825" s="499"/>
      <c r="F1825" s="500">
        <v>1650</v>
      </c>
      <c r="G1825" s="501"/>
      <c r="H1825" s="812" t="s">
        <v>1128</v>
      </c>
      <c r="I1825" s="503">
        <f t="shared" si="29"/>
        <v>65092.130000000019</v>
      </c>
    </row>
    <row r="1826" spans="2:9">
      <c r="B1826" s="496">
        <v>45915</v>
      </c>
      <c r="C1826" s="497">
        <v>173</v>
      </c>
      <c r="D1826" s="498" t="s">
        <v>2055</v>
      </c>
      <c r="E1826" s="499"/>
      <c r="F1826" s="500">
        <v>363</v>
      </c>
      <c r="G1826" s="501" t="s">
        <v>274</v>
      </c>
      <c r="H1826" s="502"/>
      <c r="I1826" s="503">
        <f t="shared" si="29"/>
        <v>64729.130000000019</v>
      </c>
    </row>
    <row r="1827" spans="2:9">
      <c r="B1827" s="496">
        <v>45915</v>
      </c>
      <c r="C1827" s="497" t="s">
        <v>117</v>
      </c>
      <c r="D1827" s="498" t="s">
        <v>903</v>
      </c>
      <c r="E1827" s="499"/>
      <c r="F1827" s="500">
        <v>1</v>
      </c>
      <c r="G1827" s="501" t="s">
        <v>272</v>
      </c>
      <c r="H1827" s="502"/>
      <c r="I1827" s="503">
        <f t="shared" si="29"/>
        <v>64728.130000000019</v>
      </c>
    </row>
    <row r="1828" spans="2:9">
      <c r="B1828" s="496">
        <v>45915</v>
      </c>
      <c r="C1828" s="497">
        <v>14</v>
      </c>
      <c r="D1828" s="498" t="s">
        <v>2056</v>
      </c>
      <c r="E1828" s="499"/>
      <c r="F1828" s="500">
        <v>672</v>
      </c>
      <c r="G1828" s="630" t="s">
        <v>219</v>
      </c>
      <c r="H1828" s="502"/>
      <c r="I1828" s="503">
        <f t="shared" si="29"/>
        <v>64056.130000000019</v>
      </c>
    </row>
    <row r="1829" spans="2:9">
      <c r="B1829" s="496">
        <v>45915</v>
      </c>
      <c r="C1829" s="497">
        <v>14</v>
      </c>
      <c r="D1829" s="498" t="s">
        <v>2056</v>
      </c>
      <c r="E1829" s="499"/>
      <c r="F1829" s="500">
        <v>183.04</v>
      </c>
      <c r="G1829" s="501" t="s">
        <v>274</v>
      </c>
      <c r="H1829" s="502"/>
      <c r="I1829" s="503">
        <f t="shared" si="29"/>
        <v>63873.090000000018</v>
      </c>
    </row>
    <row r="1830" spans="2:9">
      <c r="B1830" s="496">
        <v>45915</v>
      </c>
      <c r="C1830" s="497">
        <v>15</v>
      </c>
      <c r="D1830" s="498" t="s">
        <v>2056</v>
      </c>
      <c r="E1830" s="499"/>
      <c r="F1830" s="500">
        <v>672</v>
      </c>
      <c r="G1830" s="630" t="s">
        <v>219</v>
      </c>
      <c r="H1830" s="502"/>
      <c r="I1830" s="503">
        <f t="shared" si="29"/>
        <v>63201.090000000018</v>
      </c>
    </row>
    <row r="1831" spans="2:9">
      <c r="B1831" s="496">
        <v>45915</v>
      </c>
      <c r="C1831" s="497">
        <v>15</v>
      </c>
      <c r="D1831" s="498" t="s">
        <v>2056</v>
      </c>
      <c r="E1831" s="499"/>
      <c r="F1831" s="500">
        <v>183.04</v>
      </c>
      <c r="G1831" s="501" t="s">
        <v>274</v>
      </c>
      <c r="H1831" s="502"/>
      <c r="I1831" s="503">
        <f t="shared" si="29"/>
        <v>63018.050000000017</v>
      </c>
    </row>
    <row r="1832" spans="2:9">
      <c r="B1832" s="496">
        <v>45915</v>
      </c>
      <c r="C1832" s="497" t="s">
        <v>117</v>
      </c>
      <c r="D1832" s="498" t="s">
        <v>903</v>
      </c>
      <c r="E1832" s="499"/>
      <c r="F1832" s="500">
        <v>1</v>
      </c>
      <c r="G1832" s="501" t="s">
        <v>272</v>
      </c>
      <c r="H1832" s="502"/>
      <c r="I1832" s="503">
        <f t="shared" si="29"/>
        <v>63017.050000000017</v>
      </c>
    </row>
    <row r="1833" spans="2:9">
      <c r="B1833" s="729">
        <v>45900</v>
      </c>
      <c r="C1833" s="497">
        <v>71</v>
      </c>
      <c r="D1833" s="498" t="s">
        <v>1899</v>
      </c>
      <c r="E1833" s="499"/>
      <c r="F1833" s="500">
        <v>453.6</v>
      </c>
      <c r="G1833" s="501" t="s">
        <v>199</v>
      </c>
      <c r="H1833" s="502"/>
      <c r="I1833" s="503">
        <f t="shared" si="29"/>
        <v>62563.450000000019</v>
      </c>
    </row>
    <row r="1834" spans="2:9">
      <c r="B1834" s="729">
        <v>45900</v>
      </c>
      <c r="C1834" s="497">
        <v>71</v>
      </c>
      <c r="D1834" s="498" t="s">
        <v>1899</v>
      </c>
      <c r="E1834" s="499"/>
      <c r="F1834" s="500">
        <v>45.36</v>
      </c>
      <c r="G1834" s="501" t="s">
        <v>274</v>
      </c>
      <c r="H1834" s="502"/>
      <c r="I1834" s="503">
        <f t="shared" si="29"/>
        <v>62518.090000000018</v>
      </c>
    </row>
    <row r="1835" spans="2:9">
      <c r="B1835" s="496">
        <v>45915</v>
      </c>
      <c r="C1835" s="497" t="s">
        <v>117</v>
      </c>
      <c r="D1835" s="498" t="s">
        <v>903</v>
      </c>
      <c r="E1835" s="499"/>
      <c r="F1835" s="500">
        <v>1</v>
      </c>
      <c r="G1835" s="501" t="s">
        <v>272</v>
      </c>
      <c r="H1835" s="502"/>
      <c r="I1835" s="503">
        <f t="shared" si="29"/>
        <v>62517.090000000018</v>
      </c>
    </row>
    <row r="1836" spans="2:9">
      <c r="B1836" s="496">
        <v>45915</v>
      </c>
      <c r="C1836" s="507" t="s">
        <v>1279</v>
      </c>
      <c r="D1836" s="505" t="s">
        <v>307</v>
      </c>
      <c r="E1836" s="499">
        <f>3170.7-E1837</f>
        <v>2053.6999999999998</v>
      </c>
      <c r="F1836" s="500"/>
      <c r="G1836" s="501" t="s">
        <v>190</v>
      </c>
      <c r="H1836" s="502"/>
      <c r="I1836" s="503">
        <f t="shared" si="29"/>
        <v>64570.790000000015</v>
      </c>
    </row>
    <row r="1837" spans="2:9">
      <c r="B1837" s="496">
        <v>45915</v>
      </c>
      <c r="C1837" s="507" t="s">
        <v>1279</v>
      </c>
      <c r="D1837" s="505" t="s">
        <v>307</v>
      </c>
      <c r="E1837" s="499">
        <v>1117</v>
      </c>
      <c r="F1837" s="500"/>
      <c r="G1837" s="501"/>
      <c r="H1837" s="815" t="s">
        <v>824</v>
      </c>
      <c r="I1837" s="503">
        <f>I1835+E1837-F1837</f>
        <v>63634.090000000018</v>
      </c>
    </row>
    <row r="1838" spans="2:9">
      <c r="B1838" s="496">
        <v>45915</v>
      </c>
      <c r="C1838" s="507" t="s">
        <v>1279</v>
      </c>
      <c r="D1838" s="505" t="s">
        <v>307</v>
      </c>
      <c r="E1838" s="499">
        <v>2486.3000000000002</v>
      </c>
      <c r="F1838" s="500"/>
      <c r="G1838" s="501" t="s">
        <v>190</v>
      </c>
      <c r="H1838" s="502"/>
      <c r="I1838" s="503">
        <f>I1836+E1838-F1838</f>
        <v>67057.090000000011</v>
      </c>
    </row>
    <row r="1839" spans="2:9">
      <c r="B1839" s="496">
        <v>45915</v>
      </c>
      <c r="C1839" s="507" t="s">
        <v>1279</v>
      </c>
      <c r="D1839" s="505" t="s">
        <v>307</v>
      </c>
      <c r="E1839" s="499">
        <v>3991.1</v>
      </c>
      <c r="F1839" s="500"/>
      <c r="G1839" s="501" t="s">
        <v>190</v>
      </c>
      <c r="H1839" s="502"/>
      <c r="I1839" s="503">
        <f t="shared" si="29"/>
        <v>71048.190000000017</v>
      </c>
    </row>
    <row r="1840" spans="2:9">
      <c r="B1840" s="496">
        <v>45916</v>
      </c>
      <c r="C1840" s="507" t="s">
        <v>1279</v>
      </c>
      <c r="D1840" s="505" t="s">
        <v>307</v>
      </c>
      <c r="E1840" s="499">
        <v>654.29999999999995</v>
      </c>
      <c r="F1840" s="500"/>
      <c r="G1840" s="501" t="s">
        <v>190</v>
      </c>
      <c r="H1840" s="502"/>
      <c r="I1840" s="503">
        <f t="shared" si="29"/>
        <v>71702.49000000002</v>
      </c>
    </row>
    <row r="1841" spans="2:9">
      <c r="B1841" s="496">
        <v>45916</v>
      </c>
      <c r="C1841" s="497" t="s">
        <v>117</v>
      </c>
      <c r="D1841" s="498" t="s">
        <v>903</v>
      </c>
      <c r="E1841" s="499"/>
      <c r="F1841" s="500">
        <v>1</v>
      </c>
      <c r="G1841" s="501" t="s">
        <v>272</v>
      </c>
      <c r="H1841" s="502"/>
      <c r="I1841" s="503">
        <f t="shared" si="29"/>
        <v>71701.49000000002</v>
      </c>
    </row>
    <row r="1842" spans="2:9">
      <c r="B1842" s="496">
        <v>45916</v>
      </c>
      <c r="C1842" s="497">
        <v>18</v>
      </c>
      <c r="D1842" s="498" t="s">
        <v>2057</v>
      </c>
      <c r="E1842" s="499"/>
      <c r="F1842" s="500">
        <v>168</v>
      </c>
      <c r="G1842" s="501" t="s">
        <v>219</v>
      </c>
      <c r="H1842" s="502"/>
      <c r="I1842" s="503">
        <f t="shared" si="29"/>
        <v>71533.49000000002</v>
      </c>
    </row>
    <row r="1843" spans="2:9">
      <c r="B1843" s="496">
        <v>45916</v>
      </c>
      <c r="C1843" s="497">
        <v>18</v>
      </c>
      <c r="D1843" s="498" t="s">
        <v>2057</v>
      </c>
      <c r="E1843" s="499"/>
      <c r="F1843" s="500">
        <v>45.76</v>
      </c>
      <c r="G1843" s="501" t="s">
        <v>274</v>
      </c>
      <c r="H1843" s="502"/>
      <c r="I1843" s="503">
        <f t="shared" si="29"/>
        <v>71487.730000000025</v>
      </c>
    </row>
    <row r="1844" spans="2:9">
      <c r="B1844" s="496">
        <v>45916</v>
      </c>
      <c r="C1844" s="497">
        <v>19</v>
      </c>
      <c r="D1844" s="498" t="s">
        <v>2057</v>
      </c>
      <c r="E1844" s="499"/>
      <c r="F1844" s="500">
        <v>168</v>
      </c>
      <c r="G1844" s="501" t="s">
        <v>219</v>
      </c>
      <c r="H1844" s="502"/>
      <c r="I1844" s="503">
        <f t="shared" si="29"/>
        <v>71319.730000000025</v>
      </c>
    </row>
    <row r="1845" spans="2:9">
      <c r="B1845" s="496">
        <v>45916</v>
      </c>
      <c r="C1845" s="497">
        <v>19</v>
      </c>
      <c r="D1845" s="498" t="s">
        <v>2057</v>
      </c>
      <c r="E1845" s="499"/>
      <c r="F1845" s="500">
        <v>45.76</v>
      </c>
      <c r="G1845" s="501" t="s">
        <v>274</v>
      </c>
      <c r="H1845" s="502"/>
      <c r="I1845" s="503">
        <f t="shared" si="29"/>
        <v>71273.97000000003</v>
      </c>
    </row>
    <row r="1846" spans="2:9">
      <c r="B1846" s="496">
        <v>45916</v>
      </c>
      <c r="C1846" s="497" t="s">
        <v>117</v>
      </c>
      <c r="D1846" s="498" t="s">
        <v>1838</v>
      </c>
      <c r="E1846" s="499"/>
      <c r="F1846" s="500">
        <v>1</v>
      </c>
      <c r="G1846" s="501" t="s">
        <v>272</v>
      </c>
      <c r="H1846" s="502"/>
      <c r="I1846" s="503">
        <f t="shared" si="29"/>
        <v>71272.97000000003</v>
      </c>
    </row>
    <row r="1847" spans="2:9">
      <c r="B1847" s="729">
        <v>45841</v>
      </c>
      <c r="C1847" s="497">
        <v>125514710</v>
      </c>
      <c r="D1847" s="498" t="s">
        <v>2058</v>
      </c>
      <c r="E1847" s="499"/>
      <c r="F1847" s="500">
        <v>1140.98</v>
      </c>
      <c r="G1847" s="501" t="s">
        <v>194</v>
      </c>
      <c r="H1847" s="502"/>
      <c r="I1847" s="503">
        <f t="shared" si="29"/>
        <v>70131.990000000034</v>
      </c>
    </row>
    <row r="1848" spans="2:9">
      <c r="B1848" s="729">
        <v>45841</v>
      </c>
      <c r="C1848" s="497">
        <v>125514710</v>
      </c>
      <c r="D1848" s="498" t="s">
        <v>2058</v>
      </c>
      <c r="E1848" s="499"/>
      <c r="F1848" s="500">
        <v>251.02</v>
      </c>
      <c r="G1848" s="501" t="s">
        <v>274</v>
      </c>
      <c r="H1848" s="502"/>
      <c r="I1848" s="503">
        <f t="shared" si="29"/>
        <v>69880.97000000003</v>
      </c>
    </row>
    <row r="1849" spans="2:9">
      <c r="B1849" s="496">
        <v>45916</v>
      </c>
      <c r="C1849" s="497" t="s">
        <v>117</v>
      </c>
      <c r="D1849" s="498" t="s">
        <v>1838</v>
      </c>
      <c r="E1849" s="499"/>
      <c r="F1849" s="500">
        <v>1</v>
      </c>
      <c r="G1849" s="501" t="s">
        <v>272</v>
      </c>
      <c r="H1849" s="502"/>
      <c r="I1849" s="503">
        <f t="shared" si="29"/>
        <v>69879.97000000003</v>
      </c>
    </row>
    <row r="1850" spans="2:9">
      <c r="B1850" s="496">
        <v>45916</v>
      </c>
      <c r="C1850" s="641">
        <v>25021300</v>
      </c>
      <c r="D1850" s="498" t="s">
        <v>2059</v>
      </c>
      <c r="E1850" s="499"/>
      <c r="F1850" s="500">
        <v>525.55999999999995</v>
      </c>
      <c r="G1850" s="501" t="s">
        <v>194</v>
      </c>
      <c r="H1850" s="502"/>
      <c r="I1850" s="503">
        <f t="shared" ref="I1850:I1934" si="30">I1849+E1850-F1850</f>
        <v>69354.410000000033</v>
      </c>
    </row>
    <row r="1851" spans="2:9">
      <c r="B1851" s="496">
        <v>45916</v>
      </c>
      <c r="C1851" s="641">
        <v>25021300</v>
      </c>
      <c r="D1851" s="498" t="s">
        <v>2059</v>
      </c>
      <c r="E1851" s="499"/>
      <c r="F1851" s="500">
        <v>115.62</v>
      </c>
      <c r="G1851" s="501" t="s">
        <v>274</v>
      </c>
      <c r="H1851" s="502"/>
      <c r="I1851" s="503">
        <f t="shared" si="30"/>
        <v>69238.790000000037</v>
      </c>
    </row>
    <row r="1852" spans="2:9">
      <c r="B1852" s="496">
        <v>45916</v>
      </c>
      <c r="C1852" s="497" t="s">
        <v>117</v>
      </c>
      <c r="D1852" s="498" t="s">
        <v>921</v>
      </c>
      <c r="E1852" s="499"/>
      <c r="F1852" s="500">
        <v>1.25</v>
      </c>
      <c r="G1852" s="501" t="s">
        <v>271</v>
      </c>
      <c r="H1852" s="502"/>
      <c r="I1852" s="503">
        <f t="shared" si="30"/>
        <v>69237.540000000037</v>
      </c>
    </row>
    <row r="1853" spans="2:9">
      <c r="B1853" s="496">
        <v>45916</v>
      </c>
      <c r="C1853" s="497" t="s">
        <v>117</v>
      </c>
      <c r="D1853" s="498" t="s">
        <v>1261</v>
      </c>
      <c r="E1853" s="499"/>
      <c r="F1853" s="500">
        <v>602.45000000000005</v>
      </c>
      <c r="G1853" s="501" t="s">
        <v>266</v>
      </c>
      <c r="H1853" s="502"/>
      <c r="I1853" s="503">
        <f t="shared" si="30"/>
        <v>68635.09000000004</v>
      </c>
    </row>
    <row r="1854" spans="2:9">
      <c r="B1854" s="729">
        <v>45900</v>
      </c>
      <c r="C1854" s="497" t="s">
        <v>117</v>
      </c>
      <c r="D1854" s="498" t="s">
        <v>1848</v>
      </c>
      <c r="E1854" s="499"/>
      <c r="F1854" s="500">
        <v>108.81</v>
      </c>
      <c r="G1854" s="501" t="s">
        <v>250</v>
      </c>
      <c r="H1854" s="502"/>
      <c r="I1854" s="503">
        <f t="shared" si="30"/>
        <v>68526.280000000042</v>
      </c>
    </row>
    <row r="1855" spans="2:9">
      <c r="B1855" s="729">
        <v>45900</v>
      </c>
      <c r="C1855" s="497">
        <v>337</v>
      </c>
      <c r="D1855" s="498" t="s">
        <v>329</v>
      </c>
      <c r="E1855" s="499"/>
      <c r="F1855" s="500">
        <v>83.33</v>
      </c>
      <c r="G1855" s="501" t="s">
        <v>221</v>
      </c>
      <c r="H1855" s="502"/>
      <c r="I1855" s="503">
        <f t="shared" si="30"/>
        <v>68442.950000000041</v>
      </c>
    </row>
    <row r="1856" spans="2:9">
      <c r="B1856" s="729">
        <v>45900</v>
      </c>
      <c r="C1856" s="497" t="s">
        <v>117</v>
      </c>
      <c r="D1856" s="498" t="s">
        <v>1848</v>
      </c>
      <c r="E1856" s="499"/>
      <c r="F1856" s="500">
        <v>6586.23</v>
      </c>
      <c r="G1856" s="501" t="s">
        <v>250</v>
      </c>
      <c r="H1856" s="502"/>
      <c r="I1856" s="503">
        <f t="shared" si="30"/>
        <v>61856.720000000045</v>
      </c>
    </row>
    <row r="1857" spans="2:9">
      <c r="B1857" s="729">
        <v>45900</v>
      </c>
      <c r="C1857" s="497" t="s">
        <v>117</v>
      </c>
      <c r="D1857" s="498" t="s">
        <v>1848</v>
      </c>
      <c r="E1857" s="499"/>
      <c r="F1857" s="500">
        <v>2311.84</v>
      </c>
      <c r="G1857" s="501" t="s">
        <v>1957</v>
      </c>
      <c r="H1857" s="506" t="s">
        <v>2061</v>
      </c>
      <c r="I1857" s="503">
        <f t="shared" si="30"/>
        <v>59544.880000000048</v>
      </c>
    </row>
    <row r="1858" spans="2:9">
      <c r="B1858" s="496">
        <v>45917</v>
      </c>
      <c r="C1858" s="507" t="s">
        <v>1279</v>
      </c>
      <c r="D1858" s="505" t="s">
        <v>307</v>
      </c>
      <c r="E1858" s="499">
        <v>780.7</v>
      </c>
      <c r="F1858" s="500"/>
      <c r="G1858" s="501" t="s">
        <v>190</v>
      </c>
      <c r="H1858" s="502"/>
      <c r="I1858" s="503">
        <f t="shared" si="30"/>
        <v>60325.580000000045</v>
      </c>
    </row>
    <row r="1859" spans="2:9">
      <c r="B1859" s="496">
        <v>45917</v>
      </c>
      <c r="C1859" s="641" t="s">
        <v>2076</v>
      </c>
      <c r="D1859" s="498" t="s">
        <v>2060</v>
      </c>
      <c r="E1859" s="499"/>
      <c r="F1859" s="500">
        <v>528.91</v>
      </c>
      <c r="G1859" s="501" t="s">
        <v>194</v>
      </c>
      <c r="H1859" s="502"/>
      <c r="I1859" s="503">
        <f t="shared" si="30"/>
        <v>59796.670000000042</v>
      </c>
    </row>
    <row r="1860" spans="2:9">
      <c r="B1860" s="496">
        <v>45917</v>
      </c>
      <c r="C1860" s="641" t="s">
        <v>2076</v>
      </c>
      <c r="D1860" s="498" t="s">
        <v>2060</v>
      </c>
      <c r="E1860" s="499"/>
      <c r="F1860" s="500">
        <v>116.36</v>
      </c>
      <c r="G1860" s="501" t="s">
        <v>274</v>
      </c>
      <c r="H1860" s="502"/>
      <c r="I1860" s="503">
        <f t="shared" si="30"/>
        <v>59680.310000000041</v>
      </c>
    </row>
    <row r="1861" spans="2:9">
      <c r="B1861" s="496">
        <v>45918</v>
      </c>
      <c r="C1861" s="497" t="s">
        <v>117</v>
      </c>
      <c r="D1861" s="498" t="s">
        <v>903</v>
      </c>
      <c r="E1861" s="499"/>
      <c r="F1861" s="500">
        <v>1</v>
      </c>
      <c r="G1861" s="501" t="s">
        <v>272</v>
      </c>
      <c r="H1861" s="502"/>
      <c r="I1861" s="503">
        <f t="shared" si="30"/>
        <v>59679.310000000041</v>
      </c>
    </row>
    <row r="1862" spans="2:9">
      <c r="B1862" s="496">
        <v>45918</v>
      </c>
      <c r="C1862" s="617" t="s">
        <v>1279</v>
      </c>
      <c r="D1862" s="618" t="s">
        <v>307</v>
      </c>
      <c r="E1862" s="619">
        <v>888.9</v>
      </c>
      <c r="F1862" s="620"/>
      <c r="G1862" s="621" t="s">
        <v>190</v>
      </c>
      <c r="H1862" s="502"/>
      <c r="I1862" s="503">
        <f t="shared" si="30"/>
        <v>60568.210000000043</v>
      </c>
    </row>
    <row r="1863" spans="2:9">
      <c r="B1863" s="496">
        <v>45918</v>
      </c>
      <c r="C1863" s="497" t="s">
        <v>117</v>
      </c>
      <c r="D1863" s="498" t="s">
        <v>1848</v>
      </c>
      <c r="E1863" s="499"/>
      <c r="F1863" s="500">
        <v>427.56</v>
      </c>
      <c r="G1863" s="501" t="s">
        <v>1957</v>
      </c>
      <c r="H1863" s="814" t="s">
        <v>2064</v>
      </c>
      <c r="I1863" s="503">
        <f t="shared" si="30"/>
        <v>60140.650000000045</v>
      </c>
    </row>
    <row r="1864" spans="2:9">
      <c r="B1864" s="496">
        <v>45919</v>
      </c>
      <c r="C1864" s="507" t="s">
        <v>283</v>
      </c>
      <c r="D1864" s="505" t="s">
        <v>912</v>
      </c>
      <c r="E1864" s="499">
        <v>1219</v>
      </c>
      <c r="F1864" s="500"/>
      <c r="G1864" s="501"/>
      <c r="H1864" s="815" t="s">
        <v>824</v>
      </c>
      <c r="I1864" s="503">
        <f t="shared" si="30"/>
        <v>61359.650000000045</v>
      </c>
    </row>
    <row r="1865" spans="2:9">
      <c r="B1865" s="496">
        <v>45919</v>
      </c>
      <c r="C1865" s="507" t="s">
        <v>117</v>
      </c>
      <c r="D1865" s="505" t="s">
        <v>918</v>
      </c>
      <c r="E1865" s="499"/>
      <c r="F1865" s="500">
        <f>E1864-1206.81</f>
        <v>12.190000000000055</v>
      </c>
      <c r="G1865" s="501"/>
      <c r="H1865" s="815" t="s">
        <v>824</v>
      </c>
      <c r="I1865" s="503">
        <f t="shared" si="30"/>
        <v>61347.460000000043</v>
      </c>
    </row>
    <row r="1866" spans="2:9">
      <c r="B1866" s="496">
        <v>45919</v>
      </c>
      <c r="C1866" s="507" t="s">
        <v>1279</v>
      </c>
      <c r="D1866" s="505" t="s">
        <v>307</v>
      </c>
      <c r="E1866" s="499">
        <v>831</v>
      </c>
      <c r="F1866" s="500"/>
      <c r="G1866" s="501" t="s">
        <v>190</v>
      </c>
      <c r="H1866" s="502"/>
      <c r="I1866" s="503">
        <f t="shared" si="30"/>
        <v>62178.460000000043</v>
      </c>
    </row>
    <row r="1867" spans="2:9">
      <c r="B1867" s="496">
        <v>45919</v>
      </c>
      <c r="C1867" s="497" t="s">
        <v>2065</v>
      </c>
      <c r="D1867" s="498" t="s">
        <v>1205</v>
      </c>
      <c r="E1867" s="499"/>
      <c r="F1867" s="500">
        <v>1249.2</v>
      </c>
      <c r="G1867" s="501" t="s">
        <v>204</v>
      </c>
      <c r="H1867" s="502"/>
      <c r="I1867" s="503">
        <f t="shared" si="30"/>
        <v>60929.260000000046</v>
      </c>
    </row>
    <row r="1868" spans="2:9">
      <c r="B1868" s="496">
        <v>45919</v>
      </c>
      <c r="C1868" s="497" t="s">
        <v>2065</v>
      </c>
      <c r="D1868" s="498" t="s">
        <v>1205</v>
      </c>
      <c r="E1868" s="499"/>
      <c r="F1868" s="500">
        <v>274.82</v>
      </c>
      <c r="G1868" s="501" t="s">
        <v>274</v>
      </c>
      <c r="H1868" s="502"/>
      <c r="I1868" s="503">
        <f t="shared" si="30"/>
        <v>60654.440000000046</v>
      </c>
    </row>
    <row r="1869" spans="2:9">
      <c r="B1869" s="496">
        <v>45919</v>
      </c>
      <c r="C1869" s="497" t="s">
        <v>117</v>
      </c>
      <c r="D1869" s="498" t="s">
        <v>903</v>
      </c>
      <c r="E1869" s="499"/>
      <c r="F1869" s="500">
        <v>1</v>
      </c>
      <c r="G1869" s="501" t="s">
        <v>272</v>
      </c>
      <c r="H1869" s="502"/>
      <c r="I1869" s="503">
        <f t="shared" si="30"/>
        <v>60653.440000000046</v>
      </c>
    </row>
    <row r="1870" spans="2:9">
      <c r="B1870" s="496">
        <v>45919</v>
      </c>
      <c r="C1870" s="497" t="s">
        <v>283</v>
      </c>
      <c r="D1870" s="498" t="s">
        <v>909</v>
      </c>
      <c r="E1870" s="499">
        <v>125</v>
      </c>
      <c r="F1870" s="500"/>
      <c r="G1870" s="501" t="s">
        <v>190</v>
      </c>
      <c r="H1870" s="502"/>
      <c r="I1870" s="503">
        <f t="shared" si="30"/>
        <v>60778.440000000046</v>
      </c>
    </row>
    <row r="1871" spans="2:9">
      <c r="B1871" s="496">
        <v>45919</v>
      </c>
      <c r="C1871" s="497" t="s">
        <v>117</v>
      </c>
      <c r="D1871" s="498" t="s">
        <v>911</v>
      </c>
      <c r="E1871" s="499"/>
      <c r="F1871" s="500">
        <v>1.19</v>
      </c>
      <c r="G1871" s="501" t="s">
        <v>269</v>
      </c>
      <c r="H1871" s="502"/>
      <c r="I1871" s="503">
        <f t="shared" si="30"/>
        <v>60777.250000000044</v>
      </c>
    </row>
    <row r="1872" spans="2:9">
      <c r="B1872" s="496">
        <v>45922</v>
      </c>
      <c r="C1872" s="617" t="s">
        <v>1279</v>
      </c>
      <c r="D1872" s="618" t="s">
        <v>307</v>
      </c>
      <c r="E1872" s="619">
        <v>2631.8</v>
      </c>
      <c r="F1872" s="620"/>
      <c r="G1872" s="621" t="s">
        <v>190</v>
      </c>
      <c r="H1872" s="502"/>
      <c r="I1872" s="503">
        <f t="shared" si="30"/>
        <v>63409.050000000047</v>
      </c>
    </row>
    <row r="1873" spans="2:9">
      <c r="B1873" s="496">
        <v>45922</v>
      </c>
      <c r="C1873" s="507" t="s">
        <v>283</v>
      </c>
      <c r="D1873" s="505" t="s">
        <v>912</v>
      </c>
      <c r="E1873" s="499">
        <v>1795</v>
      </c>
      <c r="F1873" s="500"/>
      <c r="G1873" s="501"/>
      <c r="H1873" s="815" t="s">
        <v>824</v>
      </c>
      <c r="I1873" s="503">
        <f t="shared" si="30"/>
        <v>65204.050000000047</v>
      </c>
    </row>
    <row r="1874" spans="2:9">
      <c r="B1874" s="496">
        <v>45922</v>
      </c>
      <c r="C1874" s="507" t="s">
        <v>117</v>
      </c>
      <c r="D1874" s="505" t="s">
        <v>918</v>
      </c>
      <c r="E1874" s="499"/>
      <c r="F1874" s="500">
        <v>17.95</v>
      </c>
      <c r="G1874" s="501"/>
      <c r="H1874" s="815" t="s">
        <v>824</v>
      </c>
      <c r="I1874" s="503">
        <f t="shared" si="30"/>
        <v>65186.100000000049</v>
      </c>
    </row>
    <row r="1875" spans="2:9">
      <c r="B1875" s="496">
        <v>45922</v>
      </c>
      <c r="C1875" s="497" t="s">
        <v>283</v>
      </c>
      <c r="D1875" s="498" t="s">
        <v>909</v>
      </c>
      <c r="E1875" s="499">
        <v>224</v>
      </c>
      <c r="F1875" s="500"/>
      <c r="G1875" s="501" t="s">
        <v>190</v>
      </c>
      <c r="H1875" s="502"/>
      <c r="I1875" s="503">
        <f t="shared" si="30"/>
        <v>65410.100000000049</v>
      </c>
    </row>
    <row r="1876" spans="2:9">
      <c r="B1876" s="496">
        <v>45922</v>
      </c>
      <c r="C1876" s="497" t="s">
        <v>117</v>
      </c>
      <c r="D1876" s="498" t="s">
        <v>911</v>
      </c>
      <c r="E1876" s="499"/>
      <c r="F1876" s="500">
        <v>2.89</v>
      </c>
      <c r="G1876" s="501" t="s">
        <v>269</v>
      </c>
      <c r="H1876" s="502"/>
      <c r="I1876" s="503">
        <f t="shared" si="30"/>
        <v>65407.21000000005</v>
      </c>
    </row>
    <row r="1877" spans="2:9">
      <c r="B1877" s="496">
        <v>45922</v>
      </c>
      <c r="C1877" s="507" t="s">
        <v>1279</v>
      </c>
      <c r="D1877" s="505" t="s">
        <v>307</v>
      </c>
      <c r="E1877" s="499">
        <v>2489.1</v>
      </c>
      <c r="F1877" s="500"/>
      <c r="G1877" s="501" t="s">
        <v>190</v>
      </c>
      <c r="H1877" s="502"/>
      <c r="I1877" s="503">
        <f t="shared" si="30"/>
        <v>67896.310000000056</v>
      </c>
    </row>
    <row r="1878" spans="2:9">
      <c r="B1878" s="496">
        <v>45922</v>
      </c>
      <c r="C1878" s="507" t="s">
        <v>1279</v>
      </c>
      <c r="D1878" s="505" t="s">
        <v>307</v>
      </c>
      <c r="E1878" s="499">
        <v>3053.21</v>
      </c>
      <c r="F1878" s="500"/>
      <c r="G1878" s="501" t="s">
        <v>190</v>
      </c>
      <c r="H1878" s="502"/>
      <c r="I1878" s="503">
        <f t="shared" si="30"/>
        <v>70949.520000000062</v>
      </c>
    </row>
    <row r="1879" spans="2:9">
      <c r="B1879" s="496">
        <v>45922</v>
      </c>
      <c r="C1879" s="497" t="s">
        <v>541</v>
      </c>
      <c r="D1879" s="498" t="s">
        <v>542</v>
      </c>
      <c r="E1879" s="499">
        <v>9950</v>
      </c>
      <c r="F1879" s="500"/>
      <c r="G1879" s="501" t="s">
        <v>277</v>
      </c>
      <c r="H1879" s="502"/>
      <c r="I1879" s="503">
        <f t="shared" si="30"/>
        <v>80899.520000000062</v>
      </c>
    </row>
    <row r="1880" spans="2:9">
      <c r="B1880" s="729">
        <v>45838</v>
      </c>
      <c r="C1880" s="497" t="s">
        <v>2077</v>
      </c>
      <c r="D1880" s="498" t="s">
        <v>388</v>
      </c>
      <c r="E1880" s="499"/>
      <c r="F1880" s="500">
        <f>3217.7/2</f>
        <v>1608.85</v>
      </c>
      <c r="G1880" s="501" t="s">
        <v>224</v>
      </c>
      <c r="H1880" s="502"/>
      <c r="I1880" s="503">
        <f t="shared" si="30"/>
        <v>79290.670000000056</v>
      </c>
    </row>
    <row r="1881" spans="2:9">
      <c r="B1881" s="729">
        <v>45868</v>
      </c>
      <c r="C1881" s="497" t="s">
        <v>2077</v>
      </c>
      <c r="D1881" s="498" t="s">
        <v>388</v>
      </c>
      <c r="E1881" s="499"/>
      <c r="F1881" s="500">
        <v>1608.85</v>
      </c>
      <c r="G1881" s="501" t="s">
        <v>224</v>
      </c>
      <c r="H1881" s="502"/>
      <c r="I1881" s="503">
        <f t="shared" si="30"/>
        <v>77681.820000000051</v>
      </c>
    </row>
    <row r="1882" spans="2:9">
      <c r="B1882" s="496">
        <v>45923</v>
      </c>
      <c r="C1882" s="497" t="s">
        <v>2077</v>
      </c>
      <c r="D1882" s="498" t="s">
        <v>388</v>
      </c>
      <c r="E1882" s="499"/>
      <c r="F1882" s="500">
        <v>707.89</v>
      </c>
      <c r="G1882" s="501" t="s">
        <v>274</v>
      </c>
      <c r="H1882" s="502"/>
      <c r="I1882" s="503">
        <f t="shared" si="30"/>
        <v>76973.930000000051</v>
      </c>
    </row>
    <row r="1883" spans="2:9">
      <c r="B1883" s="496">
        <v>45923</v>
      </c>
      <c r="C1883" s="497" t="s">
        <v>117</v>
      </c>
      <c r="D1883" s="498" t="s">
        <v>921</v>
      </c>
      <c r="E1883" s="499"/>
      <c r="F1883" s="500">
        <v>1.25</v>
      </c>
      <c r="G1883" s="501" t="s">
        <v>271</v>
      </c>
      <c r="H1883" s="502"/>
      <c r="I1883" s="503">
        <f t="shared" si="30"/>
        <v>76972.680000000051</v>
      </c>
    </row>
    <row r="1884" spans="2:9">
      <c r="B1884" s="496">
        <v>45923</v>
      </c>
      <c r="C1884" s="507" t="s">
        <v>1279</v>
      </c>
      <c r="D1884" s="505" t="s">
        <v>307</v>
      </c>
      <c r="E1884" s="499">
        <v>585.5</v>
      </c>
      <c r="F1884" s="500"/>
      <c r="G1884" s="501" t="s">
        <v>190</v>
      </c>
      <c r="H1884" s="502"/>
      <c r="I1884" s="503">
        <f t="shared" si="30"/>
        <v>77558.180000000051</v>
      </c>
    </row>
    <row r="1885" spans="2:9">
      <c r="B1885" s="496">
        <v>45924</v>
      </c>
      <c r="C1885" s="497" t="s">
        <v>117</v>
      </c>
      <c r="D1885" s="498" t="s">
        <v>250</v>
      </c>
      <c r="E1885" s="499"/>
      <c r="F1885" s="500">
        <v>11.56</v>
      </c>
      <c r="G1885" s="501" t="s">
        <v>1957</v>
      </c>
      <c r="H1885" s="502"/>
      <c r="I1885" s="503">
        <f t="shared" si="30"/>
        <v>77546.620000000054</v>
      </c>
    </row>
    <row r="1886" spans="2:9">
      <c r="B1886" s="496">
        <v>45924</v>
      </c>
      <c r="C1886" s="497" t="s">
        <v>117</v>
      </c>
      <c r="D1886" s="498" t="s">
        <v>250</v>
      </c>
      <c r="E1886" s="499"/>
      <c r="F1886" s="500">
        <v>28.72</v>
      </c>
      <c r="G1886" s="501" t="s">
        <v>1957</v>
      </c>
      <c r="H1886" s="502"/>
      <c r="I1886" s="503">
        <f t="shared" si="30"/>
        <v>77517.900000000052</v>
      </c>
    </row>
    <row r="1887" spans="2:9">
      <c r="B1887" s="496">
        <v>45924</v>
      </c>
      <c r="C1887" s="507" t="s">
        <v>1279</v>
      </c>
      <c r="D1887" s="505" t="s">
        <v>307</v>
      </c>
      <c r="E1887" s="499">
        <v>396.7</v>
      </c>
      <c r="F1887" s="500"/>
      <c r="G1887" s="501" t="s">
        <v>190</v>
      </c>
      <c r="H1887" s="502"/>
      <c r="I1887" s="503">
        <f t="shared" si="30"/>
        <v>77914.600000000049</v>
      </c>
    </row>
    <row r="1888" spans="2:9">
      <c r="B1888" s="496">
        <v>45924</v>
      </c>
      <c r="C1888" s="497" t="s">
        <v>117</v>
      </c>
      <c r="D1888" s="498" t="s">
        <v>2143</v>
      </c>
      <c r="E1888" s="499"/>
      <c r="F1888" s="500">
        <v>585.6</v>
      </c>
      <c r="G1888" s="501" t="s">
        <v>151</v>
      </c>
      <c r="H1888" s="502"/>
      <c r="I1888" s="503">
        <f t="shared" si="30"/>
        <v>77329.000000000044</v>
      </c>
    </row>
    <row r="1889" spans="2:9">
      <c r="B1889" s="496">
        <v>45924</v>
      </c>
      <c r="C1889" s="507" t="s">
        <v>283</v>
      </c>
      <c r="D1889" s="505" t="s">
        <v>912</v>
      </c>
      <c r="E1889" s="499">
        <v>41</v>
      </c>
      <c r="F1889" s="500"/>
      <c r="G1889" s="501"/>
      <c r="H1889" s="812" t="s">
        <v>2168</v>
      </c>
      <c r="I1889" s="503">
        <f t="shared" si="30"/>
        <v>77370.000000000044</v>
      </c>
    </row>
    <row r="1890" spans="2:9">
      <c r="B1890" s="496">
        <v>45924</v>
      </c>
      <c r="C1890" s="507" t="s">
        <v>117</v>
      </c>
      <c r="D1890" s="505" t="s">
        <v>918</v>
      </c>
      <c r="E1890" s="499"/>
      <c r="F1890" s="500">
        <v>0.41</v>
      </c>
      <c r="G1890" s="501"/>
      <c r="H1890" s="812" t="s">
        <v>2168</v>
      </c>
      <c r="I1890" s="503">
        <f t="shared" si="30"/>
        <v>77369.59000000004</v>
      </c>
    </row>
    <row r="1891" spans="2:9">
      <c r="B1891" s="729">
        <v>45838</v>
      </c>
      <c r="C1891" s="507" t="s">
        <v>2170</v>
      </c>
      <c r="D1891" s="505" t="s">
        <v>744</v>
      </c>
      <c r="E1891" s="499"/>
      <c r="F1891" s="500">
        <v>335.78</v>
      </c>
      <c r="G1891" s="501" t="s">
        <v>199</v>
      </c>
      <c r="H1891" s="835"/>
      <c r="I1891" s="503">
        <f t="shared" si="30"/>
        <v>77033.810000000041</v>
      </c>
    </row>
    <row r="1892" spans="2:9">
      <c r="B1892" s="729">
        <v>45838</v>
      </c>
      <c r="C1892" s="507" t="s">
        <v>2170</v>
      </c>
      <c r="D1892" s="505" t="s">
        <v>744</v>
      </c>
      <c r="E1892" s="499"/>
      <c r="F1892" s="500">
        <v>33.58</v>
      </c>
      <c r="G1892" s="501" t="s">
        <v>274</v>
      </c>
      <c r="H1892" s="835"/>
      <c r="I1892" s="503">
        <f t="shared" si="30"/>
        <v>77000.23000000004</v>
      </c>
    </row>
    <row r="1893" spans="2:9">
      <c r="B1893" s="729">
        <v>45869</v>
      </c>
      <c r="C1893" s="507" t="s">
        <v>2171</v>
      </c>
      <c r="D1893" s="505" t="s">
        <v>744</v>
      </c>
      <c r="E1893" s="499"/>
      <c r="F1893" s="500">
        <v>82.25</v>
      </c>
      <c r="G1893" s="501" t="s">
        <v>199</v>
      </c>
      <c r="H1893" s="835"/>
      <c r="I1893" s="503">
        <f t="shared" si="30"/>
        <v>76917.98000000004</v>
      </c>
    </row>
    <row r="1894" spans="2:9">
      <c r="B1894" s="729">
        <v>45869</v>
      </c>
      <c r="C1894" s="507" t="s">
        <v>2171</v>
      </c>
      <c r="D1894" s="505" t="s">
        <v>744</v>
      </c>
      <c r="E1894" s="499"/>
      <c r="F1894" s="500">
        <v>8.01</v>
      </c>
      <c r="G1894" s="501" t="s">
        <v>274</v>
      </c>
      <c r="H1894" s="835"/>
      <c r="I1894" s="503">
        <f t="shared" si="30"/>
        <v>76909.970000000045</v>
      </c>
    </row>
    <row r="1895" spans="2:9">
      <c r="B1895" s="729">
        <v>45900</v>
      </c>
      <c r="C1895" s="507" t="s">
        <v>2172</v>
      </c>
      <c r="D1895" s="505" t="s">
        <v>744</v>
      </c>
      <c r="E1895" s="499"/>
      <c r="F1895" s="500">
        <v>127.39</v>
      </c>
      <c r="G1895" s="501" t="s">
        <v>199</v>
      </c>
      <c r="H1895" s="835"/>
      <c r="I1895" s="503">
        <f t="shared" si="30"/>
        <v>76782.580000000045</v>
      </c>
    </row>
    <row r="1896" spans="2:9">
      <c r="B1896" s="729">
        <v>45900</v>
      </c>
      <c r="C1896" s="507" t="s">
        <v>2172</v>
      </c>
      <c r="D1896" s="505" t="s">
        <v>744</v>
      </c>
      <c r="E1896" s="499"/>
      <c r="F1896" s="500">
        <v>12.74</v>
      </c>
      <c r="G1896" s="501" t="s">
        <v>274</v>
      </c>
      <c r="H1896" s="835"/>
      <c r="I1896" s="503">
        <f t="shared" si="30"/>
        <v>76769.84000000004</v>
      </c>
    </row>
    <row r="1897" spans="2:9">
      <c r="B1897" s="496">
        <v>45925</v>
      </c>
      <c r="C1897" s="497" t="s">
        <v>117</v>
      </c>
      <c r="D1897" s="498" t="s">
        <v>903</v>
      </c>
      <c r="E1897" s="499"/>
      <c r="F1897" s="500">
        <v>1</v>
      </c>
      <c r="G1897" s="501" t="s">
        <v>272</v>
      </c>
      <c r="H1897" s="835"/>
      <c r="I1897" s="503">
        <f t="shared" si="30"/>
        <v>76768.84000000004</v>
      </c>
    </row>
    <row r="1898" spans="2:9">
      <c r="B1898" s="496">
        <v>45925</v>
      </c>
      <c r="C1898" s="507" t="s">
        <v>1279</v>
      </c>
      <c r="D1898" s="505" t="s">
        <v>307</v>
      </c>
      <c r="E1898" s="499">
        <v>596.20000000000005</v>
      </c>
      <c r="F1898" s="500"/>
      <c r="G1898" s="501" t="s">
        <v>190</v>
      </c>
      <c r="H1898" s="835"/>
      <c r="I1898" s="503">
        <f t="shared" si="30"/>
        <v>77365.040000000037</v>
      </c>
    </row>
    <row r="1899" spans="2:9">
      <c r="B1899" s="496">
        <v>45926</v>
      </c>
      <c r="C1899" s="507" t="s">
        <v>1279</v>
      </c>
      <c r="D1899" s="505" t="s">
        <v>307</v>
      </c>
      <c r="E1899" s="499">
        <v>1074.3</v>
      </c>
      <c r="F1899" s="500"/>
      <c r="G1899" s="501" t="s">
        <v>190</v>
      </c>
      <c r="H1899" s="502"/>
      <c r="I1899" s="503">
        <f>I1890+E1899-F1899</f>
        <v>78443.890000000043</v>
      </c>
    </row>
    <row r="1900" spans="2:9">
      <c r="B1900" s="496">
        <v>45929</v>
      </c>
      <c r="C1900" s="513" t="s">
        <v>962</v>
      </c>
      <c r="D1900" s="514" t="s">
        <v>2086</v>
      </c>
      <c r="E1900" s="515"/>
      <c r="F1900" s="516">
        <v>1289.0899999999999</v>
      </c>
      <c r="G1900" s="522" t="s">
        <v>279</v>
      </c>
      <c r="H1900" s="502"/>
      <c r="I1900" s="503">
        <f t="shared" si="30"/>
        <v>77154.800000000047</v>
      </c>
    </row>
    <row r="1901" spans="2:9">
      <c r="B1901" s="496">
        <v>45929</v>
      </c>
      <c r="C1901" s="513" t="s">
        <v>962</v>
      </c>
      <c r="D1901" s="514" t="s">
        <v>2087</v>
      </c>
      <c r="E1901" s="515"/>
      <c r="F1901" s="516">
        <v>78.86</v>
      </c>
      <c r="G1901" s="522" t="s">
        <v>262</v>
      </c>
      <c r="H1901" s="502"/>
      <c r="I1901" s="503">
        <f t="shared" si="30"/>
        <v>77075.940000000046</v>
      </c>
    </row>
    <row r="1902" spans="2:9">
      <c r="B1902" s="496">
        <v>45929</v>
      </c>
      <c r="C1902" s="513" t="s">
        <v>962</v>
      </c>
      <c r="D1902" s="514" t="s">
        <v>965</v>
      </c>
      <c r="E1902" s="515"/>
      <c r="F1902" s="516">
        <v>2.5</v>
      </c>
      <c r="G1902" s="522" t="s">
        <v>966</v>
      </c>
      <c r="H1902" s="502"/>
      <c r="I1902" s="503">
        <f t="shared" si="30"/>
        <v>77073.440000000046</v>
      </c>
    </row>
    <row r="1903" spans="2:9">
      <c r="B1903" s="729">
        <v>45900</v>
      </c>
      <c r="C1903" s="513" t="s">
        <v>2145</v>
      </c>
      <c r="D1903" s="514" t="s">
        <v>2146</v>
      </c>
      <c r="E1903" s="515"/>
      <c r="F1903" s="516">
        <v>44.24</v>
      </c>
      <c r="G1903" s="501" t="s">
        <v>216</v>
      </c>
      <c r="H1903" s="502" t="s">
        <v>2149</v>
      </c>
      <c r="I1903" s="503">
        <f t="shared" si="30"/>
        <v>77029.200000000041</v>
      </c>
    </row>
    <row r="1904" spans="2:9">
      <c r="B1904" s="729">
        <v>45900</v>
      </c>
      <c r="C1904" s="513" t="s">
        <v>2145</v>
      </c>
      <c r="D1904" s="514" t="s">
        <v>2146</v>
      </c>
      <c r="E1904" s="515"/>
      <c r="F1904" s="516">
        <v>9.73</v>
      </c>
      <c r="G1904" s="501" t="s">
        <v>274</v>
      </c>
      <c r="H1904" s="502" t="s">
        <v>2149</v>
      </c>
      <c r="I1904" s="503">
        <f t="shared" si="30"/>
        <v>77019.470000000045</v>
      </c>
    </row>
    <row r="1905" spans="2:9">
      <c r="B1905" s="729">
        <v>45900</v>
      </c>
      <c r="C1905" s="513" t="s">
        <v>2147</v>
      </c>
      <c r="D1905" s="514" t="s">
        <v>1045</v>
      </c>
      <c r="E1905" s="515"/>
      <c r="F1905" s="516">
        <v>153.74</v>
      </c>
      <c r="G1905" s="501" t="s">
        <v>232</v>
      </c>
      <c r="H1905" s="502" t="s">
        <v>2149</v>
      </c>
      <c r="I1905" s="503">
        <f t="shared" si="30"/>
        <v>76865.73000000004</v>
      </c>
    </row>
    <row r="1906" spans="2:9">
      <c r="B1906" s="729">
        <v>45900</v>
      </c>
      <c r="C1906" s="513" t="s">
        <v>2109</v>
      </c>
      <c r="D1906" s="514" t="s">
        <v>2094</v>
      </c>
      <c r="E1906" s="515"/>
      <c r="F1906" s="516">
        <v>285.24</v>
      </c>
      <c r="G1906" s="522" t="s">
        <v>256</v>
      </c>
      <c r="H1906" s="502" t="s">
        <v>2149</v>
      </c>
      <c r="I1906" s="503">
        <f t="shared" si="30"/>
        <v>76580.490000000034</v>
      </c>
    </row>
    <row r="1907" spans="2:9">
      <c r="B1907" s="729">
        <v>45900</v>
      </c>
      <c r="C1907" s="513" t="s">
        <v>2095</v>
      </c>
      <c r="D1907" s="514" t="s">
        <v>545</v>
      </c>
      <c r="E1907" s="515"/>
      <c r="F1907" s="516">
        <v>101.63</v>
      </c>
      <c r="G1907" s="522" t="s">
        <v>208</v>
      </c>
      <c r="H1907" s="502" t="s">
        <v>2149</v>
      </c>
      <c r="I1907" s="503">
        <f t="shared" si="30"/>
        <v>76478.86000000003</v>
      </c>
    </row>
    <row r="1908" spans="2:9">
      <c r="B1908" s="729">
        <v>45900</v>
      </c>
      <c r="C1908" s="513" t="s">
        <v>2095</v>
      </c>
      <c r="D1908" s="514" t="s">
        <v>545</v>
      </c>
      <c r="E1908" s="515"/>
      <c r="F1908" s="516">
        <v>22.36</v>
      </c>
      <c r="G1908" s="522" t="s">
        <v>274</v>
      </c>
      <c r="H1908" s="502" t="s">
        <v>2149</v>
      </c>
      <c r="I1908" s="503">
        <f t="shared" si="30"/>
        <v>76456.500000000029</v>
      </c>
    </row>
    <row r="1909" spans="2:9">
      <c r="B1909" s="729">
        <v>45900</v>
      </c>
      <c r="C1909" s="513" t="s">
        <v>2096</v>
      </c>
      <c r="D1909" s="514" t="s">
        <v>545</v>
      </c>
      <c r="E1909" s="515"/>
      <c r="F1909" s="516">
        <v>85.91</v>
      </c>
      <c r="G1909" s="522" t="s">
        <v>208</v>
      </c>
      <c r="H1909" s="502" t="s">
        <v>2149</v>
      </c>
      <c r="I1909" s="503">
        <f t="shared" si="30"/>
        <v>76370.590000000026</v>
      </c>
    </row>
    <row r="1910" spans="2:9">
      <c r="B1910" s="729">
        <v>45900</v>
      </c>
      <c r="C1910" s="513" t="s">
        <v>2096</v>
      </c>
      <c r="D1910" s="514" t="s">
        <v>545</v>
      </c>
      <c r="E1910" s="515"/>
      <c r="F1910" s="516">
        <v>18.899999999999999</v>
      </c>
      <c r="G1910" s="522" t="s">
        <v>274</v>
      </c>
      <c r="H1910" s="502" t="s">
        <v>2149</v>
      </c>
      <c r="I1910" s="503">
        <f t="shared" si="30"/>
        <v>76351.690000000031</v>
      </c>
    </row>
    <row r="1911" spans="2:9">
      <c r="B1911" s="729">
        <v>45900</v>
      </c>
      <c r="C1911" s="513" t="s">
        <v>2097</v>
      </c>
      <c r="D1911" s="514" t="s">
        <v>1216</v>
      </c>
      <c r="E1911" s="515"/>
      <c r="F1911" s="516">
        <v>301.54000000000002</v>
      </c>
      <c r="G1911" s="501" t="s">
        <v>202</v>
      </c>
      <c r="H1911" s="502" t="s">
        <v>2149</v>
      </c>
      <c r="I1911" s="503">
        <f t="shared" si="30"/>
        <v>76050.150000000038</v>
      </c>
    </row>
    <row r="1912" spans="2:9">
      <c r="B1912" s="729">
        <v>45900</v>
      </c>
      <c r="C1912" s="513" t="s">
        <v>2097</v>
      </c>
      <c r="D1912" s="514" t="s">
        <v>1216</v>
      </c>
      <c r="E1912" s="515"/>
      <c r="F1912" s="516">
        <v>66.34</v>
      </c>
      <c r="G1912" s="501" t="s">
        <v>274</v>
      </c>
      <c r="H1912" s="502" t="s">
        <v>2149</v>
      </c>
      <c r="I1912" s="503">
        <f t="shared" si="30"/>
        <v>75983.810000000041</v>
      </c>
    </row>
    <row r="1913" spans="2:9">
      <c r="B1913" s="729">
        <v>45900</v>
      </c>
      <c r="C1913" s="513" t="s">
        <v>2098</v>
      </c>
      <c r="D1913" s="514" t="s">
        <v>950</v>
      </c>
      <c r="E1913" s="515"/>
      <c r="F1913" s="500">
        <v>27.79</v>
      </c>
      <c r="G1913" s="522" t="s">
        <v>256</v>
      </c>
      <c r="H1913" s="502" t="s">
        <v>2149</v>
      </c>
      <c r="I1913" s="503">
        <f t="shared" si="30"/>
        <v>75956.020000000048</v>
      </c>
    </row>
    <row r="1914" spans="2:9">
      <c r="B1914" s="729">
        <v>45900</v>
      </c>
      <c r="C1914" s="513" t="s">
        <v>2098</v>
      </c>
      <c r="D1914" s="514" t="s">
        <v>950</v>
      </c>
      <c r="E1914" s="515"/>
      <c r="F1914" s="500">
        <v>6.11</v>
      </c>
      <c r="G1914" s="522" t="s">
        <v>274</v>
      </c>
      <c r="H1914" s="502" t="s">
        <v>2149</v>
      </c>
      <c r="I1914" s="503">
        <f t="shared" si="30"/>
        <v>75949.910000000047</v>
      </c>
    </row>
    <row r="1915" spans="2:9">
      <c r="B1915" s="729">
        <v>45900</v>
      </c>
      <c r="C1915" s="513" t="s">
        <v>2100</v>
      </c>
      <c r="D1915" s="514" t="s">
        <v>2099</v>
      </c>
      <c r="E1915" s="515"/>
      <c r="F1915" s="516">
        <v>156.54</v>
      </c>
      <c r="G1915" s="501" t="s">
        <v>204</v>
      </c>
      <c r="H1915" s="502" t="s">
        <v>2149</v>
      </c>
      <c r="I1915" s="503">
        <f t="shared" si="30"/>
        <v>75793.370000000054</v>
      </c>
    </row>
    <row r="1916" spans="2:9">
      <c r="B1916" s="729">
        <v>45900</v>
      </c>
      <c r="C1916" s="513" t="s">
        <v>2100</v>
      </c>
      <c r="D1916" s="514" t="s">
        <v>2099</v>
      </c>
      <c r="E1916" s="515"/>
      <c r="F1916" s="516">
        <v>34.44</v>
      </c>
      <c r="G1916" s="501" t="s">
        <v>274</v>
      </c>
      <c r="H1916" s="502" t="s">
        <v>2149</v>
      </c>
      <c r="I1916" s="503">
        <f t="shared" si="30"/>
        <v>75758.930000000051</v>
      </c>
    </row>
    <row r="1917" spans="2:9">
      <c r="B1917" s="729">
        <v>45900</v>
      </c>
      <c r="C1917" s="513" t="s">
        <v>2103</v>
      </c>
      <c r="D1917" s="514" t="s">
        <v>545</v>
      </c>
      <c r="E1917" s="515"/>
      <c r="F1917" s="516">
        <v>123.77</v>
      </c>
      <c r="G1917" s="522" t="s">
        <v>208</v>
      </c>
      <c r="H1917" s="502" t="s">
        <v>2149</v>
      </c>
      <c r="I1917" s="503">
        <f t="shared" si="30"/>
        <v>75635.160000000047</v>
      </c>
    </row>
    <row r="1918" spans="2:9">
      <c r="B1918" s="729">
        <v>45900</v>
      </c>
      <c r="C1918" s="513" t="s">
        <v>2103</v>
      </c>
      <c r="D1918" s="514" t="s">
        <v>545</v>
      </c>
      <c r="E1918" s="515"/>
      <c r="F1918" s="516">
        <v>27.23</v>
      </c>
      <c r="G1918" s="522" t="s">
        <v>274</v>
      </c>
      <c r="H1918" s="502" t="s">
        <v>2149</v>
      </c>
      <c r="I1918" s="503">
        <f t="shared" si="30"/>
        <v>75607.930000000051</v>
      </c>
    </row>
    <row r="1919" spans="2:9">
      <c r="B1919" s="729">
        <v>45900</v>
      </c>
      <c r="C1919" s="513" t="s">
        <v>2101</v>
      </c>
      <c r="D1919" s="514" t="s">
        <v>545</v>
      </c>
      <c r="E1919" s="515"/>
      <c r="F1919" s="516">
        <v>18.84</v>
      </c>
      <c r="G1919" s="522" t="s">
        <v>208</v>
      </c>
      <c r="H1919" s="502" t="s">
        <v>2149</v>
      </c>
      <c r="I1919" s="503">
        <f t="shared" si="30"/>
        <v>75589.090000000055</v>
      </c>
    </row>
    <row r="1920" spans="2:9">
      <c r="B1920" s="729">
        <v>45900</v>
      </c>
      <c r="C1920" s="513" t="s">
        <v>2101</v>
      </c>
      <c r="D1920" s="514" t="s">
        <v>545</v>
      </c>
      <c r="E1920" s="515"/>
      <c r="F1920" s="516">
        <v>4.1500000000000004</v>
      </c>
      <c r="G1920" s="522" t="s">
        <v>274</v>
      </c>
      <c r="H1920" s="502" t="s">
        <v>2149</v>
      </c>
      <c r="I1920" s="503">
        <f t="shared" si="30"/>
        <v>75584.940000000061</v>
      </c>
    </row>
    <row r="1921" spans="2:9">
      <c r="B1921" s="729">
        <v>45900</v>
      </c>
      <c r="C1921" s="513" t="s">
        <v>2102</v>
      </c>
      <c r="D1921" s="514" t="s">
        <v>943</v>
      </c>
      <c r="E1921" s="515"/>
      <c r="F1921" s="516">
        <v>52.85</v>
      </c>
      <c r="G1921" s="522" t="s">
        <v>205</v>
      </c>
      <c r="H1921" s="502" t="s">
        <v>2149</v>
      </c>
      <c r="I1921" s="503">
        <f t="shared" si="30"/>
        <v>75532.090000000055</v>
      </c>
    </row>
    <row r="1922" spans="2:9">
      <c r="B1922" s="729">
        <v>45900</v>
      </c>
      <c r="C1922" s="513" t="s">
        <v>2102</v>
      </c>
      <c r="D1922" s="514" t="s">
        <v>943</v>
      </c>
      <c r="E1922" s="515"/>
      <c r="F1922" s="516">
        <v>11.63</v>
      </c>
      <c r="G1922" s="522" t="s">
        <v>274</v>
      </c>
      <c r="H1922" s="502" t="s">
        <v>2149</v>
      </c>
      <c r="I1922" s="503">
        <f t="shared" si="30"/>
        <v>75520.46000000005</v>
      </c>
    </row>
    <row r="1923" spans="2:9">
      <c r="B1923" s="729">
        <v>45900</v>
      </c>
      <c r="C1923" s="513" t="s">
        <v>2104</v>
      </c>
      <c r="D1923" s="514" t="s">
        <v>545</v>
      </c>
      <c r="E1923" s="515"/>
      <c r="F1923" s="516">
        <v>47.53</v>
      </c>
      <c r="G1923" s="522" t="s">
        <v>208</v>
      </c>
      <c r="H1923" s="502" t="s">
        <v>2149</v>
      </c>
      <c r="I1923" s="503">
        <f t="shared" si="30"/>
        <v>75472.930000000051</v>
      </c>
    </row>
    <row r="1924" spans="2:9">
      <c r="B1924" s="729">
        <v>45900</v>
      </c>
      <c r="C1924" s="513" t="s">
        <v>2104</v>
      </c>
      <c r="D1924" s="514" t="s">
        <v>545</v>
      </c>
      <c r="E1924" s="515"/>
      <c r="F1924" s="516">
        <v>10.46</v>
      </c>
      <c r="G1924" s="522" t="s">
        <v>274</v>
      </c>
      <c r="H1924" s="502" t="s">
        <v>2149</v>
      </c>
      <c r="I1924" s="503">
        <f t="shared" si="30"/>
        <v>75462.470000000045</v>
      </c>
    </row>
    <row r="1925" spans="2:9">
      <c r="B1925" s="729">
        <v>45900</v>
      </c>
      <c r="C1925" s="513" t="s">
        <v>2105</v>
      </c>
      <c r="D1925" s="514" t="s">
        <v>1216</v>
      </c>
      <c r="E1925" s="515"/>
      <c r="F1925" s="516">
        <v>205.85</v>
      </c>
      <c r="G1925" s="501" t="s">
        <v>202</v>
      </c>
      <c r="H1925" s="502" t="s">
        <v>2149</v>
      </c>
      <c r="I1925" s="503">
        <f t="shared" si="30"/>
        <v>75256.620000000039</v>
      </c>
    </row>
    <row r="1926" spans="2:9">
      <c r="B1926" s="729">
        <v>45900</v>
      </c>
      <c r="C1926" s="513" t="s">
        <v>2105</v>
      </c>
      <c r="D1926" s="514" t="s">
        <v>1216</v>
      </c>
      <c r="E1926" s="515"/>
      <c r="F1926" s="516">
        <v>45.28</v>
      </c>
      <c r="G1926" s="501" t="s">
        <v>274</v>
      </c>
      <c r="H1926" s="502" t="s">
        <v>2149</v>
      </c>
      <c r="I1926" s="503">
        <f t="shared" si="30"/>
        <v>75211.34000000004</v>
      </c>
    </row>
    <row r="1927" spans="2:9">
      <c r="B1927" s="729">
        <v>45900</v>
      </c>
      <c r="C1927" s="513" t="s">
        <v>2144</v>
      </c>
      <c r="D1927" s="514" t="s">
        <v>948</v>
      </c>
      <c r="E1927" s="515"/>
      <c r="F1927" s="516">
        <v>354.1</v>
      </c>
      <c r="G1927" s="501" t="s">
        <v>205</v>
      </c>
      <c r="H1927" s="502" t="s">
        <v>2149</v>
      </c>
      <c r="I1927" s="503">
        <f t="shared" si="30"/>
        <v>74857.240000000034</v>
      </c>
    </row>
    <row r="1928" spans="2:9">
      <c r="B1928" s="729">
        <v>45900</v>
      </c>
      <c r="C1928" s="513" t="s">
        <v>2144</v>
      </c>
      <c r="D1928" s="514" t="s">
        <v>948</v>
      </c>
      <c r="E1928" s="515"/>
      <c r="F1928" s="516">
        <v>77.900000000000006</v>
      </c>
      <c r="G1928" s="501" t="s">
        <v>274</v>
      </c>
      <c r="H1928" s="502" t="s">
        <v>2149</v>
      </c>
      <c r="I1928" s="503">
        <f t="shared" si="30"/>
        <v>74779.34000000004</v>
      </c>
    </row>
    <row r="1929" spans="2:9">
      <c r="B1929" s="729">
        <v>45900</v>
      </c>
      <c r="C1929" s="513" t="s">
        <v>2106</v>
      </c>
      <c r="D1929" s="514" t="s">
        <v>545</v>
      </c>
      <c r="E1929" s="515"/>
      <c r="F1929" s="516">
        <v>289.56</v>
      </c>
      <c r="G1929" s="522" t="s">
        <v>208</v>
      </c>
      <c r="H1929" s="502" t="s">
        <v>2149</v>
      </c>
      <c r="I1929" s="503">
        <f>I1928+E1929-F1929</f>
        <v>74489.780000000042</v>
      </c>
    </row>
    <row r="1930" spans="2:9">
      <c r="B1930" s="729">
        <v>45900</v>
      </c>
      <c r="C1930" s="513" t="s">
        <v>2106</v>
      </c>
      <c r="D1930" s="514" t="s">
        <v>545</v>
      </c>
      <c r="E1930" s="515"/>
      <c r="F1930" s="516">
        <v>63.68</v>
      </c>
      <c r="G1930" s="522" t="s">
        <v>274</v>
      </c>
      <c r="H1930" s="502" t="s">
        <v>2149</v>
      </c>
      <c r="I1930" s="503">
        <f t="shared" si="30"/>
        <v>74426.100000000049</v>
      </c>
    </row>
    <row r="1931" spans="2:9">
      <c r="B1931" s="729">
        <v>45900</v>
      </c>
      <c r="C1931" s="513" t="s">
        <v>2107</v>
      </c>
      <c r="D1931" s="514" t="s">
        <v>545</v>
      </c>
      <c r="E1931" s="515">
        <v>85.91</v>
      </c>
      <c r="F1931" s="516"/>
      <c r="G1931" s="522" t="s">
        <v>208</v>
      </c>
      <c r="H1931" s="502" t="s">
        <v>2149</v>
      </c>
      <c r="I1931" s="503">
        <f t="shared" si="30"/>
        <v>74512.010000000053</v>
      </c>
    </row>
    <row r="1932" spans="2:9">
      <c r="B1932" s="729">
        <v>45900</v>
      </c>
      <c r="C1932" s="513" t="s">
        <v>2107</v>
      </c>
      <c r="D1932" s="514" t="s">
        <v>545</v>
      </c>
      <c r="E1932" s="537">
        <v>18.899999999999999</v>
      </c>
      <c r="F1932" s="516"/>
      <c r="G1932" s="522" t="s">
        <v>274</v>
      </c>
      <c r="H1932" s="502" t="s">
        <v>2149</v>
      </c>
      <c r="I1932" s="503">
        <f t="shared" si="30"/>
        <v>74530.910000000047</v>
      </c>
    </row>
    <row r="1933" spans="2:9">
      <c r="B1933" s="729">
        <v>45900</v>
      </c>
      <c r="C1933" s="513" t="s">
        <v>2108</v>
      </c>
      <c r="D1933" s="514" t="s">
        <v>960</v>
      </c>
      <c r="E1933" s="515"/>
      <c r="F1933" s="516">
        <v>134.33000000000001</v>
      </c>
      <c r="G1933" s="501" t="s">
        <v>202</v>
      </c>
      <c r="H1933" s="502" t="s">
        <v>2149</v>
      </c>
      <c r="I1933" s="503">
        <f t="shared" si="30"/>
        <v>74396.580000000045</v>
      </c>
    </row>
    <row r="1934" spans="2:9">
      <c r="B1934" s="729">
        <v>45900</v>
      </c>
      <c r="C1934" s="513" t="s">
        <v>2108</v>
      </c>
      <c r="D1934" s="514" t="s">
        <v>960</v>
      </c>
      <c r="E1934" s="515"/>
      <c r="F1934" s="516">
        <v>29.55</v>
      </c>
      <c r="G1934" s="522" t="s">
        <v>274</v>
      </c>
      <c r="H1934" s="502" t="s">
        <v>2149</v>
      </c>
      <c r="I1934" s="503">
        <f t="shared" si="30"/>
        <v>74367.030000000042</v>
      </c>
    </row>
    <row r="1935" spans="2:9">
      <c r="B1935" s="729">
        <v>45900</v>
      </c>
      <c r="C1935" s="497" t="s">
        <v>117</v>
      </c>
      <c r="D1935" s="505" t="s">
        <v>908</v>
      </c>
      <c r="E1935" s="515"/>
      <c r="F1935" s="500">
        <v>2</v>
      </c>
      <c r="G1935" s="501" t="s">
        <v>254</v>
      </c>
      <c r="H1935" s="502" t="s">
        <v>2149</v>
      </c>
      <c r="I1935" s="503">
        <f t="shared" ref="I1935:I1983" si="31">I1934+E1936-F1936</f>
        <v>74365.780000000042</v>
      </c>
    </row>
    <row r="1936" spans="2:9">
      <c r="B1936" s="496">
        <v>45929</v>
      </c>
      <c r="C1936" s="497" t="s">
        <v>117</v>
      </c>
      <c r="D1936" s="498" t="s">
        <v>921</v>
      </c>
      <c r="E1936" s="499"/>
      <c r="F1936" s="500">
        <v>1.25</v>
      </c>
      <c r="G1936" s="501" t="s">
        <v>271</v>
      </c>
      <c r="H1936" s="835"/>
      <c r="I1936" s="503">
        <f t="shared" si="31"/>
        <v>75137.780000000042</v>
      </c>
    </row>
    <row r="1937" spans="2:9">
      <c r="B1937" s="496">
        <v>45929</v>
      </c>
      <c r="C1937" s="507" t="s">
        <v>283</v>
      </c>
      <c r="D1937" s="505" t="s">
        <v>912</v>
      </c>
      <c r="E1937" s="499">
        <v>772</v>
      </c>
      <c r="F1937" s="500"/>
      <c r="G1937" s="501"/>
      <c r="H1937" s="812" t="s">
        <v>2168</v>
      </c>
      <c r="I1937" s="503">
        <f t="shared" si="31"/>
        <v>75130.060000000041</v>
      </c>
    </row>
    <row r="1938" spans="2:9">
      <c r="B1938" s="496">
        <v>45929</v>
      </c>
      <c r="C1938" s="507" t="s">
        <v>117</v>
      </c>
      <c r="D1938" s="505" t="s">
        <v>918</v>
      </c>
      <c r="E1938" s="499"/>
      <c r="F1938" s="500">
        <v>7.72</v>
      </c>
      <c r="G1938" s="501"/>
      <c r="H1938" s="812" t="s">
        <v>2168</v>
      </c>
      <c r="I1938" s="503">
        <f t="shared" si="31"/>
        <v>76521.760000000038</v>
      </c>
    </row>
    <row r="1939" spans="2:9">
      <c r="B1939" s="496">
        <v>45929</v>
      </c>
      <c r="C1939" s="507" t="s">
        <v>1279</v>
      </c>
      <c r="D1939" s="505" t="s">
        <v>307</v>
      </c>
      <c r="E1939" s="499">
        <v>1391.7</v>
      </c>
      <c r="F1939" s="500"/>
      <c r="G1939" s="501" t="s">
        <v>190</v>
      </c>
      <c r="H1939" s="502"/>
      <c r="I1939" s="503">
        <f t="shared" si="31"/>
        <v>76581.760000000038</v>
      </c>
    </row>
    <row r="1940" spans="2:9">
      <c r="B1940" s="496">
        <v>45929</v>
      </c>
      <c r="C1940" s="497" t="s">
        <v>283</v>
      </c>
      <c r="D1940" s="498" t="s">
        <v>909</v>
      </c>
      <c r="E1940" s="499">
        <v>60</v>
      </c>
      <c r="F1940" s="500"/>
      <c r="G1940" s="501" t="s">
        <v>190</v>
      </c>
      <c r="H1940" s="502"/>
      <c r="I1940" s="503">
        <f t="shared" si="31"/>
        <v>76581.180000000037</v>
      </c>
    </row>
    <row r="1941" spans="2:9">
      <c r="B1941" s="496">
        <v>45929</v>
      </c>
      <c r="C1941" s="497" t="s">
        <v>117</v>
      </c>
      <c r="D1941" s="498" t="s">
        <v>911</v>
      </c>
      <c r="E1941" s="499"/>
      <c r="F1941" s="500">
        <v>0.57999999999999996</v>
      </c>
      <c r="G1941" s="501" t="s">
        <v>269</v>
      </c>
      <c r="H1941" s="502"/>
      <c r="I1941" s="503">
        <f t="shared" si="31"/>
        <v>77317.680000000037</v>
      </c>
    </row>
    <row r="1942" spans="2:9">
      <c r="B1942" s="496">
        <v>45930</v>
      </c>
      <c r="C1942" s="507" t="s">
        <v>1279</v>
      </c>
      <c r="D1942" s="505" t="s">
        <v>307</v>
      </c>
      <c r="E1942" s="499">
        <v>736.5</v>
      </c>
      <c r="F1942" s="500"/>
      <c r="G1942" s="501" t="s">
        <v>190</v>
      </c>
      <c r="H1942" s="502"/>
      <c r="I1942" s="503">
        <f t="shared" si="31"/>
        <v>77316.930000000037</v>
      </c>
    </row>
    <row r="1943" spans="2:9">
      <c r="B1943" s="496">
        <v>45930</v>
      </c>
      <c r="C1943" s="497" t="s">
        <v>117</v>
      </c>
      <c r="D1943" s="498" t="s">
        <v>903</v>
      </c>
      <c r="E1943" s="499"/>
      <c r="F1943" s="500">
        <v>0.75</v>
      </c>
      <c r="G1943" s="501" t="s">
        <v>272</v>
      </c>
      <c r="H1943" s="502"/>
      <c r="I1943" s="503">
        <f t="shared" si="31"/>
        <v>77149.450000000041</v>
      </c>
    </row>
    <row r="1944" spans="2:9">
      <c r="B1944" s="729">
        <v>45832</v>
      </c>
      <c r="C1944" s="497">
        <v>763</v>
      </c>
      <c r="D1944" s="498" t="s">
        <v>2088</v>
      </c>
      <c r="E1944" s="499"/>
      <c r="F1944" s="500">
        <v>167.48</v>
      </c>
      <c r="G1944" s="501" t="s">
        <v>216</v>
      </c>
      <c r="H1944" s="502"/>
      <c r="I1944" s="503">
        <f t="shared" si="31"/>
        <v>77112.600000000035</v>
      </c>
    </row>
    <row r="1945" spans="2:9">
      <c r="B1945" s="729">
        <v>45832</v>
      </c>
      <c r="C1945" s="497">
        <v>763</v>
      </c>
      <c r="D1945" s="498" t="s">
        <v>2088</v>
      </c>
      <c r="E1945" s="499"/>
      <c r="F1945" s="500">
        <v>36.85</v>
      </c>
      <c r="G1945" s="501" t="s">
        <v>274</v>
      </c>
      <c r="H1945" s="502"/>
      <c r="I1945" s="503">
        <f t="shared" si="31"/>
        <v>77052.380000000034</v>
      </c>
    </row>
    <row r="1946" spans="2:9">
      <c r="B1946" s="729">
        <v>45898</v>
      </c>
      <c r="C1946" s="497">
        <v>1011</v>
      </c>
      <c r="D1946" s="498" t="s">
        <v>2088</v>
      </c>
      <c r="E1946" s="499"/>
      <c r="F1946" s="500">
        <v>60.22</v>
      </c>
      <c r="G1946" s="501" t="s">
        <v>216</v>
      </c>
      <c r="H1946" s="502"/>
      <c r="I1946" s="503">
        <f t="shared" si="31"/>
        <v>77039.130000000034</v>
      </c>
    </row>
    <row r="1947" spans="2:9">
      <c r="B1947" s="729">
        <v>45898</v>
      </c>
      <c r="C1947" s="497">
        <v>1011</v>
      </c>
      <c r="D1947" s="498" t="s">
        <v>2088</v>
      </c>
      <c r="E1947" s="499"/>
      <c r="F1947" s="500">
        <v>13.25</v>
      </c>
      <c r="G1947" s="501" t="s">
        <v>274</v>
      </c>
      <c r="H1947" s="502"/>
      <c r="I1947" s="503">
        <f t="shared" si="31"/>
        <v>79008.330000000031</v>
      </c>
    </row>
    <row r="1948" spans="2:9">
      <c r="B1948" s="496">
        <v>45930</v>
      </c>
      <c r="C1948" s="507" t="s">
        <v>1279</v>
      </c>
      <c r="D1948" s="505" t="s">
        <v>307</v>
      </c>
      <c r="E1948" s="499">
        <v>1969.2</v>
      </c>
      <c r="F1948" s="500"/>
      <c r="G1948" s="501" t="s">
        <v>190</v>
      </c>
      <c r="H1948" s="502"/>
      <c r="I1948" s="503">
        <f t="shared" si="31"/>
        <v>81083.230000000025</v>
      </c>
    </row>
    <row r="1949" spans="2:9">
      <c r="B1949" s="496">
        <v>45930</v>
      </c>
      <c r="C1949" s="507" t="s">
        <v>1279</v>
      </c>
      <c r="D1949" s="505" t="s">
        <v>307</v>
      </c>
      <c r="E1949" s="499">
        <v>2074.9</v>
      </c>
      <c r="F1949" s="500"/>
      <c r="G1949" s="501" t="s">
        <v>190</v>
      </c>
      <c r="H1949" s="502"/>
      <c r="I1949" s="503">
        <f t="shared" si="31"/>
        <v>81081.980000000025</v>
      </c>
    </row>
    <row r="1950" spans="2:9">
      <c r="B1950" s="496">
        <v>45930</v>
      </c>
      <c r="C1950" s="497" t="s">
        <v>117</v>
      </c>
      <c r="D1950" s="498" t="s">
        <v>921</v>
      </c>
      <c r="E1950" s="499"/>
      <c r="F1950" s="500">
        <v>1.25</v>
      </c>
      <c r="G1950" s="501" t="s">
        <v>271</v>
      </c>
      <c r="H1950" s="502"/>
      <c r="I1950" s="503">
        <f t="shared" si="31"/>
        <v>80767.910000000018</v>
      </c>
    </row>
    <row r="1951" spans="2:9">
      <c r="B1951" s="729">
        <v>45900</v>
      </c>
      <c r="C1951" s="497" t="s">
        <v>2167</v>
      </c>
      <c r="D1951" s="498" t="s">
        <v>650</v>
      </c>
      <c r="E1951" s="499"/>
      <c r="F1951" s="500">
        <v>314.07</v>
      </c>
      <c r="G1951" s="501"/>
      <c r="H1951" s="812" t="s">
        <v>2168</v>
      </c>
      <c r="I1951" s="503">
        <f t="shared" si="31"/>
        <v>80767.450000000012</v>
      </c>
    </row>
    <row r="1952" spans="2:9">
      <c r="B1952" s="729">
        <v>45900</v>
      </c>
      <c r="C1952" s="497" t="s">
        <v>2167</v>
      </c>
      <c r="D1952" s="498" t="s">
        <v>650</v>
      </c>
      <c r="E1952" s="499"/>
      <c r="F1952" s="500">
        <v>0.46</v>
      </c>
      <c r="G1952" s="501"/>
      <c r="H1952" s="812" t="s">
        <v>2168</v>
      </c>
      <c r="I1952" s="503">
        <f t="shared" si="31"/>
        <v>80766.200000000012</v>
      </c>
    </row>
    <row r="1953" spans="2:9">
      <c r="B1953" s="496">
        <v>45930</v>
      </c>
      <c r="C1953" s="497" t="s">
        <v>117</v>
      </c>
      <c r="D1953" s="498" t="s">
        <v>921</v>
      </c>
      <c r="E1953" s="499"/>
      <c r="F1953" s="500">
        <v>1.25</v>
      </c>
      <c r="G1953" s="501" t="s">
        <v>271</v>
      </c>
      <c r="H1953" s="502"/>
      <c r="I1953" s="503">
        <f t="shared" si="31"/>
        <v>67855.850000000006</v>
      </c>
    </row>
    <row r="1954" spans="2:9">
      <c r="B1954" s="729">
        <v>45900</v>
      </c>
      <c r="C1954" s="497" t="s">
        <v>2169</v>
      </c>
      <c r="D1954" s="498" t="s">
        <v>650</v>
      </c>
      <c r="E1954" s="499"/>
      <c r="F1954" s="500">
        <v>12910.35</v>
      </c>
      <c r="G1954" s="501" t="s">
        <v>194</v>
      </c>
      <c r="H1954" s="502"/>
      <c r="I1954" s="503">
        <f t="shared" si="31"/>
        <v>65050.330000000009</v>
      </c>
    </row>
    <row r="1955" spans="2:9">
      <c r="B1955" s="729">
        <v>45900</v>
      </c>
      <c r="C1955" s="497" t="s">
        <v>2169</v>
      </c>
      <c r="D1955" s="498" t="s">
        <v>650</v>
      </c>
      <c r="E1955" s="499"/>
      <c r="F1955" s="500">
        <v>2805.52</v>
      </c>
      <c r="G1955" s="501" t="s">
        <v>274</v>
      </c>
      <c r="H1955" s="502"/>
      <c r="I1955" s="503">
        <f t="shared" si="31"/>
        <v>65049.080000000009</v>
      </c>
    </row>
    <row r="1956" spans="2:9">
      <c r="B1956" s="496">
        <v>45930</v>
      </c>
      <c r="C1956" s="497" t="s">
        <v>117</v>
      </c>
      <c r="D1956" s="498" t="s">
        <v>921</v>
      </c>
      <c r="E1956" s="499"/>
      <c r="F1956" s="500">
        <v>1.25</v>
      </c>
      <c r="G1956" s="501" t="s">
        <v>271</v>
      </c>
      <c r="H1956" s="502"/>
      <c r="I1956" s="503">
        <f t="shared" si="31"/>
        <v>64919.080000000009</v>
      </c>
    </row>
    <row r="1957" spans="2:9">
      <c r="B1957" s="496">
        <v>45930</v>
      </c>
      <c r="C1957" s="836" t="s">
        <v>2340</v>
      </c>
      <c r="D1957" s="823" t="s">
        <v>347</v>
      </c>
      <c r="E1957" s="619"/>
      <c r="F1957" s="620">
        <v>130</v>
      </c>
      <c r="G1957" s="621" t="s">
        <v>238</v>
      </c>
      <c r="H1957" s="502"/>
      <c r="I1957" s="503">
        <f t="shared" si="31"/>
        <v>64890.48000000001</v>
      </c>
    </row>
    <row r="1958" spans="2:9">
      <c r="B1958" s="496">
        <v>45930</v>
      </c>
      <c r="C1958" s="836" t="s">
        <v>2340</v>
      </c>
      <c r="D1958" s="824" t="s">
        <v>347</v>
      </c>
      <c r="E1958" s="825"/>
      <c r="F1958" s="826">
        <v>28.6</v>
      </c>
      <c r="G1958" s="827" t="s">
        <v>274</v>
      </c>
      <c r="H1958" s="502"/>
      <c r="I1958" s="503">
        <f t="shared" si="31"/>
        <v>64889.23000000001</v>
      </c>
    </row>
    <row r="1959" spans="2:9">
      <c r="B1959" s="496">
        <v>45930</v>
      </c>
      <c r="C1959" s="832" t="s">
        <v>117</v>
      </c>
      <c r="D1959" s="828" t="s">
        <v>921</v>
      </c>
      <c r="E1959" s="825"/>
      <c r="F1959" s="826">
        <v>1.25</v>
      </c>
      <c r="G1959" s="827" t="s">
        <v>271</v>
      </c>
      <c r="H1959" s="502"/>
      <c r="I1959" s="503">
        <f t="shared" si="31"/>
        <v>64743.23000000001</v>
      </c>
    </row>
    <row r="1960" spans="2:9">
      <c r="B1960" s="496">
        <v>45930</v>
      </c>
      <c r="C1960" s="836" t="s">
        <v>2340</v>
      </c>
      <c r="D1960" s="829" t="s">
        <v>347</v>
      </c>
      <c r="E1960" s="830"/>
      <c r="F1960" s="831">
        <v>146</v>
      </c>
      <c r="G1960" s="827" t="s">
        <v>238</v>
      </c>
      <c r="H1960" s="502"/>
      <c r="I1960" s="503">
        <f t="shared" si="31"/>
        <v>64711.110000000008</v>
      </c>
    </row>
    <row r="1961" spans="2:9">
      <c r="B1961" s="496">
        <v>45930</v>
      </c>
      <c r="C1961" s="836" t="s">
        <v>2340</v>
      </c>
      <c r="D1961" s="829" t="s">
        <v>347</v>
      </c>
      <c r="E1961" s="830"/>
      <c r="F1961" s="831">
        <v>32.119999999999997</v>
      </c>
      <c r="G1961" s="827" t="s">
        <v>274</v>
      </c>
      <c r="H1961" s="835"/>
      <c r="I1961" s="503">
        <f t="shared" si="31"/>
        <v>63821.340000000011</v>
      </c>
    </row>
    <row r="1962" spans="2:9">
      <c r="B1962" s="775">
        <v>45900</v>
      </c>
      <c r="C1962" s="497">
        <v>8253</v>
      </c>
      <c r="D1962" s="833" t="s">
        <v>2090</v>
      </c>
      <c r="E1962" s="830"/>
      <c r="F1962" s="500">
        <v>889.77</v>
      </c>
      <c r="G1962" s="501" t="s">
        <v>199</v>
      </c>
      <c r="H1962" s="835" t="s">
        <v>1965</v>
      </c>
      <c r="I1962" s="503">
        <f t="shared" si="31"/>
        <v>63748.780000000013</v>
      </c>
    </row>
    <row r="1963" spans="2:9">
      <c r="B1963" s="775">
        <v>45900</v>
      </c>
      <c r="C1963" s="497">
        <v>8253</v>
      </c>
      <c r="D1963" s="833" t="s">
        <v>1255</v>
      </c>
      <c r="E1963" s="830"/>
      <c r="F1963" s="500">
        <v>72.56</v>
      </c>
      <c r="G1963" s="501" t="s">
        <v>274</v>
      </c>
      <c r="H1963" s="835" t="s">
        <v>1965</v>
      </c>
      <c r="I1963" s="503">
        <f t="shared" si="31"/>
        <v>63748.030000000013</v>
      </c>
    </row>
    <row r="1964" spans="2:9">
      <c r="B1964" s="496">
        <v>45930</v>
      </c>
      <c r="C1964" s="497" t="s">
        <v>117</v>
      </c>
      <c r="D1964" s="498" t="s">
        <v>903</v>
      </c>
      <c r="E1964" s="499"/>
      <c r="F1964" s="500">
        <v>0.75</v>
      </c>
      <c r="G1964" s="501" t="s">
        <v>272</v>
      </c>
      <c r="H1964" s="837"/>
      <c r="I1964" s="503">
        <f t="shared" si="31"/>
        <v>63824.030000000013</v>
      </c>
    </row>
    <row r="1965" spans="2:9">
      <c r="B1965" s="496">
        <v>45930</v>
      </c>
      <c r="C1965" s="507" t="s">
        <v>283</v>
      </c>
      <c r="D1965" s="505" t="s">
        <v>912</v>
      </c>
      <c r="E1965" s="499">
        <v>76</v>
      </c>
      <c r="F1965" s="500"/>
      <c r="G1965" s="501"/>
      <c r="H1965" s="834" t="s">
        <v>2092</v>
      </c>
      <c r="I1965" s="503">
        <f t="shared" si="31"/>
        <v>63823.270000000011</v>
      </c>
    </row>
    <row r="1966" spans="2:9">
      <c r="B1966" s="496">
        <v>45930</v>
      </c>
      <c r="C1966" s="507" t="s">
        <v>117</v>
      </c>
      <c r="D1966" s="505" t="s">
        <v>918</v>
      </c>
      <c r="E1966" s="499"/>
      <c r="F1966" s="500">
        <v>0.76</v>
      </c>
      <c r="G1966" s="501"/>
      <c r="H1966" s="834" t="s">
        <v>2092</v>
      </c>
      <c r="I1966" s="503">
        <f t="shared" si="31"/>
        <v>64053.270000000011</v>
      </c>
    </row>
    <row r="1967" spans="2:9">
      <c r="B1967" s="496">
        <v>45930</v>
      </c>
      <c r="C1967" s="497" t="s">
        <v>283</v>
      </c>
      <c r="D1967" s="498" t="s">
        <v>909</v>
      </c>
      <c r="E1967" s="499">
        <v>230</v>
      </c>
      <c r="F1967" s="500"/>
      <c r="G1967" s="501" t="s">
        <v>190</v>
      </c>
      <c r="H1967" s="502"/>
      <c r="I1967" s="503">
        <f t="shared" si="31"/>
        <v>64051.080000000009</v>
      </c>
    </row>
    <row r="1968" spans="2:9">
      <c r="B1968" s="496">
        <v>45930</v>
      </c>
      <c r="C1968" s="497" t="s">
        <v>117</v>
      </c>
      <c r="D1968" s="498" t="s">
        <v>911</v>
      </c>
      <c r="E1968" s="499"/>
      <c r="F1968" s="500">
        <v>2.19</v>
      </c>
      <c r="G1968" s="501" t="s">
        <v>269</v>
      </c>
      <c r="H1968" s="502"/>
      <c r="I1968" s="503">
        <f t="shared" si="31"/>
        <v>63701.070000000007</v>
      </c>
    </row>
    <row r="1969" spans="2:9">
      <c r="B1969" s="496">
        <v>45931</v>
      </c>
      <c r="C1969" s="497">
        <v>456</v>
      </c>
      <c r="D1969" s="498" t="s">
        <v>329</v>
      </c>
      <c r="E1969" s="499"/>
      <c r="F1969" s="500">
        <v>350.01</v>
      </c>
      <c r="G1969" s="501" t="s">
        <v>221</v>
      </c>
      <c r="H1969" s="502"/>
      <c r="I1969" s="503">
        <f t="shared" si="31"/>
        <v>63605.740000000005</v>
      </c>
    </row>
    <row r="1970" spans="2:9">
      <c r="B1970" s="496">
        <v>45931</v>
      </c>
      <c r="C1970" s="497">
        <v>456</v>
      </c>
      <c r="D1970" s="498" t="s">
        <v>329</v>
      </c>
      <c r="E1970" s="499"/>
      <c r="F1970" s="500">
        <v>95.33</v>
      </c>
      <c r="G1970" s="501" t="s">
        <v>274</v>
      </c>
      <c r="H1970" s="502"/>
      <c r="I1970" s="503">
        <f t="shared" si="31"/>
        <v>63604.740000000005</v>
      </c>
    </row>
    <row r="1971" spans="2:9">
      <c r="B1971" s="496">
        <v>45931</v>
      </c>
      <c r="C1971" s="497" t="s">
        <v>117</v>
      </c>
      <c r="D1971" s="498" t="s">
        <v>903</v>
      </c>
      <c r="E1971" s="499"/>
      <c r="F1971" s="500">
        <v>1</v>
      </c>
      <c r="G1971" s="501" t="s">
        <v>272</v>
      </c>
      <c r="H1971" s="502"/>
      <c r="I1971" s="503">
        <f t="shared" si="31"/>
        <v>63104.740000000005</v>
      </c>
    </row>
    <row r="1972" spans="2:9">
      <c r="B1972" s="496">
        <v>45931</v>
      </c>
      <c r="C1972" s="535" t="s">
        <v>117</v>
      </c>
      <c r="D1972" s="498" t="s">
        <v>1246</v>
      </c>
      <c r="E1972" s="499"/>
      <c r="F1972" s="500">
        <v>500</v>
      </c>
      <c r="G1972" s="501" t="s">
        <v>237</v>
      </c>
      <c r="H1972" s="502"/>
      <c r="I1972" s="503">
        <f t="shared" si="31"/>
        <v>63103.740000000005</v>
      </c>
    </row>
    <row r="1973" spans="2:9">
      <c r="B1973" s="496">
        <v>45931</v>
      </c>
      <c r="C1973" s="497" t="s">
        <v>117</v>
      </c>
      <c r="D1973" s="498" t="s">
        <v>903</v>
      </c>
      <c r="E1973" s="499"/>
      <c r="F1973" s="500">
        <v>1</v>
      </c>
      <c r="G1973" s="501" t="s">
        <v>272</v>
      </c>
      <c r="H1973" s="502"/>
      <c r="I1973" s="503">
        <f t="shared" si="31"/>
        <v>61853.740000000005</v>
      </c>
    </row>
    <row r="1974" spans="2:9">
      <c r="B1974" s="496">
        <v>45931</v>
      </c>
      <c r="C1974" s="507" t="s">
        <v>117</v>
      </c>
      <c r="D1974" s="505" t="s">
        <v>320</v>
      </c>
      <c r="E1974" s="499"/>
      <c r="F1974" s="500">
        <v>1250</v>
      </c>
      <c r="G1974" s="501" t="s">
        <v>278</v>
      </c>
      <c r="H1974" s="502"/>
      <c r="I1974" s="503">
        <f t="shared" si="31"/>
        <v>61852.990000000005</v>
      </c>
    </row>
    <row r="1975" spans="2:9">
      <c r="B1975" s="496">
        <v>45931</v>
      </c>
      <c r="C1975" s="497" t="s">
        <v>117</v>
      </c>
      <c r="D1975" s="498" t="s">
        <v>903</v>
      </c>
      <c r="E1975" s="499"/>
      <c r="F1975" s="500">
        <v>0.75</v>
      </c>
      <c r="G1975" s="501" t="s">
        <v>272</v>
      </c>
      <c r="H1975" s="502"/>
      <c r="I1975" s="503">
        <f t="shared" si="31"/>
        <v>58741.290000000008</v>
      </c>
    </row>
    <row r="1976" spans="2:9">
      <c r="B1976" s="496">
        <v>45931</v>
      </c>
      <c r="C1976" s="497" t="s">
        <v>2091</v>
      </c>
      <c r="D1976" s="498" t="s">
        <v>379</v>
      </c>
      <c r="E1976" s="499"/>
      <c r="F1976" s="500">
        <v>3111.7</v>
      </c>
      <c r="G1976" s="501" t="s">
        <v>237</v>
      </c>
      <c r="H1976" s="502"/>
      <c r="I1976" s="503">
        <f t="shared" si="31"/>
        <v>58056.720000000008</v>
      </c>
    </row>
    <row r="1977" spans="2:9">
      <c r="B1977" s="496">
        <v>45931</v>
      </c>
      <c r="C1977" s="497" t="s">
        <v>2091</v>
      </c>
      <c r="D1977" s="498" t="s">
        <v>379</v>
      </c>
      <c r="E1977" s="499"/>
      <c r="F1977" s="500">
        <v>684.57</v>
      </c>
      <c r="G1977" s="501" t="s">
        <v>274</v>
      </c>
      <c r="H1977" s="502"/>
      <c r="I1977" s="503">
        <f t="shared" si="31"/>
        <v>58388.420000000006</v>
      </c>
    </row>
    <row r="1978" spans="2:9">
      <c r="B1978" s="496">
        <v>45931</v>
      </c>
      <c r="C1978" s="497" t="s">
        <v>283</v>
      </c>
      <c r="D1978" s="498" t="s">
        <v>307</v>
      </c>
      <c r="E1978" s="499">
        <v>331.7</v>
      </c>
      <c r="F1978" s="500"/>
      <c r="G1978" s="501" t="s">
        <v>190</v>
      </c>
      <c r="H1978" s="502"/>
      <c r="I1978" s="503">
        <f t="shared" si="31"/>
        <v>58363.420000000006</v>
      </c>
    </row>
    <row r="1979" spans="2:9">
      <c r="B1979" s="496">
        <v>45931</v>
      </c>
      <c r="C1979" s="497" t="s">
        <v>117</v>
      </c>
      <c r="D1979" s="498" t="s">
        <v>908</v>
      </c>
      <c r="E1979" s="499"/>
      <c r="F1979" s="500">
        <v>25</v>
      </c>
      <c r="G1979" s="501" t="s">
        <v>254</v>
      </c>
      <c r="H1979" s="502"/>
      <c r="I1979" s="503">
        <f t="shared" si="31"/>
        <v>58935.020000000004</v>
      </c>
    </row>
    <row r="1980" spans="2:9">
      <c r="B1980" s="496">
        <v>45932</v>
      </c>
      <c r="C1980" s="497" t="s">
        <v>283</v>
      </c>
      <c r="D1980" s="498" t="s">
        <v>307</v>
      </c>
      <c r="E1980" s="499">
        <v>571.6</v>
      </c>
      <c r="F1980" s="500"/>
      <c r="G1980" s="501" t="s">
        <v>190</v>
      </c>
      <c r="H1980" s="502"/>
      <c r="I1980" s="503">
        <f t="shared" si="31"/>
        <v>58201.820000000007</v>
      </c>
    </row>
    <row r="1981" spans="2:9">
      <c r="B1981" s="496">
        <v>45932</v>
      </c>
      <c r="C1981" s="497">
        <v>574</v>
      </c>
      <c r="D1981" s="498" t="s">
        <v>990</v>
      </c>
      <c r="E1981" s="499"/>
      <c r="F1981" s="500">
        <v>733.2</v>
      </c>
      <c r="G1981" s="501" t="s">
        <v>222</v>
      </c>
      <c r="H1981" s="502"/>
      <c r="I1981" s="503">
        <f t="shared" si="31"/>
        <v>58040.520000000004</v>
      </c>
    </row>
    <row r="1982" spans="2:9">
      <c r="B1982" s="496">
        <v>45932</v>
      </c>
      <c r="C1982" s="497">
        <v>574</v>
      </c>
      <c r="D1982" s="498" t="s">
        <v>990</v>
      </c>
      <c r="E1982" s="499"/>
      <c r="F1982" s="500">
        <v>161.30000000000001</v>
      </c>
      <c r="G1982" s="501" t="s">
        <v>274</v>
      </c>
      <c r="H1982" s="502"/>
      <c r="I1982" s="503">
        <f t="shared" si="31"/>
        <v>58039.520000000004</v>
      </c>
    </row>
    <row r="1983" spans="2:9">
      <c r="B1983" s="496">
        <v>45932</v>
      </c>
      <c r="C1983" s="497" t="s">
        <v>117</v>
      </c>
      <c r="D1983" s="498" t="s">
        <v>903</v>
      </c>
      <c r="E1983" s="499"/>
      <c r="F1983" s="500">
        <v>1</v>
      </c>
      <c r="G1983" s="501" t="s">
        <v>272</v>
      </c>
      <c r="H1983" s="835"/>
      <c r="I1983" s="503">
        <f t="shared" si="31"/>
        <v>58027.520000000004</v>
      </c>
    </row>
    <row r="1984" spans="2:9">
      <c r="B1984" s="496">
        <v>45932</v>
      </c>
      <c r="C1984" s="497" t="s">
        <v>117</v>
      </c>
      <c r="D1984" s="505" t="s">
        <v>339</v>
      </c>
      <c r="E1984" s="499"/>
      <c r="F1984" s="500">
        <v>12</v>
      </c>
      <c r="G1984" s="501" t="s">
        <v>267</v>
      </c>
      <c r="H1984" s="835"/>
      <c r="I1984" s="503">
        <f>I1983+E1985-F1985</f>
        <v>58590.920000000006</v>
      </c>
    </row>
    <row r="1985" spans="2:9">
      <c r="B1985" s="496">
        <v>45933</v>
      </c>
      <c r="C1985" s="497" t="s">
        <v>283</v>
      </c>
      <c r="D1985" s="498" t="s">
        <v>307</v>
      </c>
      <c r="E1985" s="499">
        <v>563.4</v>
      </c>
      <c r="F1985" s="500"/>
      <c r="G1985" s="501" t="s">
        <v>190</v>
      </c>
      <c r="I1985" s="503">
        <f t="shared" ref="I1985:I2048" si="32">I1984+E1986-F1986</f>
        <v>59551.920000000006</v>
      </c>
    </row>
    <row r="1986" spans="2:9">
      <c r="B1986" s="496">
        <v>45936</v>
      </c>
      <c r="C1986" s="507" t="s">
        <v>283</v>
      </c>
      <c r="D1986" s="505" t="s">
        <v>912</v>
      </c>
      <c r="E1986" s="499">
        <v>961</v>
      </c>
      <c r="F1986" s="500"/>
      <c r="G1986" s="501"/>
      <c r="H1986" s="506"/>
      <c r="I1986" s="503">
        <f t="shared" si="32"/>
        <v>59542.26</v>
      </c>
    </row>
    <row r="1987" spans="2:9">
      <c r="B1987" s="496">
        <v>45936</v>
      </c>
      <c r="C1987" s="507" t="s">
        <v>117</v>
      </c>
      <c r="D1987" s="505" t="s">
        <v>918</v>
      </c>
      <c r="E1987" s="499"/>
      <c r="F1987" s="500">
        <v>9.66</v>
      </c>
      <c r="G1987" s="501"/>
      <c r="H1987" s="506"/>
      <c r="I1987" s="503">
        <f t="shared" si="32"/>
        <v>59541.26</v>
      </c>
    </row>
    <row r="1988" spans="2:9">
      <c r="B1988" s="496">
        <v>45936</v>
      </c>
      <c r="C1988" s="497" t="s">
        <v>117</v>
      </c>
      <c r="D1988" s="498" t="s">
        <v>903</v>
      </c>
      <c r="E1988" s="499"/>
      <c r="F1988" s="500">
        <v>1</v>
      </c>
      <c r="G1988" s="501" t="s">
        <v>272</v>
      </c>
      <c r="H1988" s="502"/>
      <c r="I1988" s="503">
        <f t="shared" si="32"/>
        <v>59409.26</v>
      </c>
    </row>
    <row r="1989" spans="2:9">
      <c r="B1989" s="496">
        <v>45936</v>
      </c>
      <c r="C1989" s="497">
        <v>116</v>
      </c>
      <c r="D1989" s="498" t="s">
        <v>2093</v>
      </c>
      <c r="E1989" s="499"/>
      <c r="F1989" s="500">
        <v>132</v>
      </c>
      <c r="G1989" s="501" t="s">
        <v>227</v>
      </c>
      <c r="H1989" s="502"/>
      <c r="I1989" s="503">
        <f t="shared" si="32"/>
        <v>60613.760000000002</v>
      </c>
    </row>
    <row r="1990" spans="2:9">
      <c r="B1990" s="496">
        <v>45936</v>
      </c>
      <c r="C1990" s="497" t="s">
        <v>283</v>
      </c>
      <c r="D1990" s="498" t="s">
        <v>307</v>
      </c>
      <c r="E1990" s="499">
        <v>1204.5</v>
      </c>
      <c r="F1990" s="500"/>
      <c r="G1990" s="501" t="s">
        <v>190</v>
      </c>
      <c r="H1990" s="502"/>
      <c r="I1990" s="503">
        <f t="shared" si="32"/>
        <v>64420.560000000005</v>
      </c>
    </row>
    <row r="1991" spans="2:9">
      <c r="B1991" s="496">
        <v>45936</v>
      </c>
      <c r="C1991" s="497" t="s">
        <v>283</v>
      </c>
      <c r="D1991" s="498" t="s">
        <v>307</v>
      </c>
      <c r="E1991" s="499">
        <v>3806.8</v>
      </c>
      <c r="F1991" s="500"/>
      <c r="G1991" s="501" t="s">
        <v>190</v>
      </c>
      <c r="H1991" s="502"/>
      <c r="I1991" s="503">
        <f t="shared" si="32"/>
        <v>67045.36</v>
      </c>
    </row>
    <row r="1992" spans="2:9">
      <c r="B1992" s="496">
        <v>45936</v>
      </c>
      <c r="C1992" s="497" t="s">
        <v>283</v>
      </c>
      <c r="D1992" s="498" t="s">
        <v>307</v>
      </c>
      <c r="E1992" s="499">
        <v>2624.8</v>
      </c>
      <c r="F1992" s="500"/>
      <c r="G1992" s="501" t="s">
        <v>190</v>
      </c>
      <c r="H1992" s="502"/>
      <c r="I1992" s="503">
        <f t="shared" si="32"/>
        <v>66015.73</v>
      </c>
    </row>
    <row r="1993" spans="2:9">
      <c r="B1993" s="496">
        <v>45936</v>
      </c>
      <c r="C1993" s="641">
        <v>46410</v>
      </c>
      <c r="D1993" s="498" t="s">
        <v>100</v>
      </c>
      <c r="E1993" s="499"/>
      <c r="F1993" s="500">
        <v>1029.6300000000001</v>
      </c>
      <c r="G1993" s="501" t="s">
        <v>194</v>
      </c>
      <c r="H1993" s="502"/>
      <c r="I1993" s="503">
        <f t="shared" si="32"/>
        <v>65789.209999999992</v>
      </c>
    </row>
    <row r="1994" spans="2:9">
      <c r="B1994" s="496">
        <v>45936</v>
      </c>
      <c r="C1994" s="641">
        <v>46410</v>
      </c>
      <c r="D1994" s="498" t="s">
        <v>1252</v>
      </c>
      <c r="E1994" s="499"/>
      <c r="F1994" s="500">
        <v>226.52</v>
      </c>
      <c r="G1994" s="501" t="s">
        <v>274</v>
      </c>
      <c r="H1994" s="502"/>
      <c r="I1994" s="503">
        <f t="shared" si="32"/>
        <v>65788.209999999992</v>
      </c>
    </row>
    <row r="1995" spans="2:9">
      <c r="B1995" s="496">
        <v>45936</v>
      </c>
      <c r="C1995" s="497" t="s">
        <v>117</v>
      </c>
      <c r="D1995" s="498" t="s">
        <v>903</v>
      </c>
      <c r="E1995" s="499"/>
      <c r="F1995" s="500">
        <v>1</v>
      </c>
      <c r="G1995" s="501" t="s">
        <v>272</v>
      </c>
      <c r="H1995" s="502"/>
      <c r="I1995" s="503">
        <f t="shared" si="32"/>
        <v>68081.709999999992</v>
      </c>
    </row>
    <row r="1996" spans="2:9">
      <c r="B1996" s="496">
        <v>45936</v>
      </c>
      <c r="C1996" s="497" t="s">
        <v>283</v>
      </c>
      <c r="D1996" s="498" t="s">
        <v>909</v>
      </c>
      <c r="E1996" s="499">
        <v>2293.5</v>
      </c>
      <c r="F1996" s="500"/>
      <c r="G1996" s="501" t="s">
        <v>190</v>
      </c>
      <c r="H1996" s="502"/>
      <c r="I1996" s="503">
        <f t="shared" si="32"/>
        <v>68055.42</v>
      </c>
    </row>
    <row r="1997" spans="2:9">
      <c r="B1997" s="496">
        <v>45936</v>
      </c>
      <c r="C1997" s="497" t="s">
        <v>117</v>
      </c>
      <c r="D1997" s="498" t="s">
        <v>911</v>
      </c>
      <c r="E1997" s="499"/>
      <c r="F1997" s="500">
        <v>26.29</v>
      </c>
      <c r="G1997" s="501" t="s">
        <v>269</v>
      </c>
      <c r="H1997" s="502"/>
      <c r="I1997" s="503">
        <f t="shared" si="32"/>
        <v>69292.92</v>
      </c>
    </row>
    <row r="1998" spans="2:9">
      <c r="B1998" s="496">
        <v>45937</v>
      </c>
      <c r="C1998" s="497" t="s">
        <v>283</v>
      </c>
      <c r="D1998" s="498" t="s">
        <v>307</v>
      </c>
      <c r="E1998" s="499">
        <v>1237.5</v>
      </c>
      <c r="F1998" s="500"/>
      <c r="G1998" s="501" t="s">
        <v>190</v>
      </c>
      <c r="H1998" s="502"/>
      <c r="I1998" s="503">
        <f t="shared" si="32"/>
        <v>69351.42</v>
      </c>
    </row>
    <row r="1999" spans="2:9">
      <c r="B1999" s="496">
        <v>45937</v>
      </c>
      <c r="C1999" s="497" t="s">
        <v>283</v>
      </c>
      <c r="D1999" s="498" t="s">
        <v>909</v>
      </c>
      <c r="E1999" s="499">
        <v>58.5</v>
      </c>
      <c r="F1999" s="500"/>
      <c r="G1999" s="501" t="s">
        <v>190</v>
      </c>
      <c r="H1999" s="502"/>
      <c r="I1999" s="503">
        <f t="shared" si="32"/>
        <v>69350.92</v>
      </c>
    </row>
    <row r="2000" spans="2:9">
      <c r="B2000" s="496">
        <v>45937</v>
      </c>
      <c r="C2000" s="497" t="s">
        <v>117</v>
      </c>
      <c r="D2000" s="498" t="s">
        <v>911</v>
      </c>
      <c r="E2000" s="499"/>
      <c r="F2000" s="500">
        <v>0.5</v>
      </c>
      <c r="G2000" s="501" t="s">
        <v>269</v>
      </c>
      <c r="H2000" s="502"/>
      <c r="I2000" s="503">
        <f t="shared" si="32"/>
        <v>69950.22</v>
      </c>
    </row>
    <row r="2001" spans="2:9">
      <c r="B2001" s="496">
        <v>45938</v>
      </c>
      <c r="C2001" s="497" t="s">
        <v>283</v>
      </c>
      <c r="D2001" s="498" t="s">
        <v>307</v>
      </c>
      <c r="E2001" s="499">
        <v>599.29999999999995</v>
      </c>
      <c r="F2001" s="500"/>
      <c r="G2001" s="501" t="s">
        <v>190</v>
      </c>
      <c r="H2001" s="502"/>
      <c r="I2001" s="503">
        <f t="shared" si="32"/>
        <v>69445.320000000007</v>
      </c>
    </row>
    <row r="2002" spans="2:9">
      <c r="B2002" s="496">
        <v>45939</v>
      </c>
      <c r="C2002" s="507" t="s">
        <v>117</v>
      </c>
      <c r="D2002" s="680" t="s">
        <v>320</v>
      </c>
      <c r="E2002" s="619"/>
      <c r="F2002" s="620">
        <v>504.9</v>
      </c>
      <c r="G2002" s="621" t="s">
        <v>237</v>
      </c>
      <c r="H2002" s="502"/>
      <c r="I2002" s="503">
        <f t="shared" si="32"/>
        <v>69444.570000000007</v>
      </c>
    </row>
    <row r="2003" spans="2:9">
      <c r="B2003" s="496">
        <v>45939</v>
      </c>
      <c r="C2003" s="497" t="s">
        <v>117</v>
      </c>
      <c r="D2003" s="498" t="s">
        <v>903</v>
      </c>
      <c r="E2003" s="499"/>
      <c r="F2003" s="500">
        <v>0.75</v>
      </c>
      <c r="G2003" s="501" t="s">
        <v>272</v>
      </c>
      <c r="H2003" s="502"/>
      <c r="I2003" s="503">
        <f t="shared" si="32"/>
        <v>79444.570000000007</v>
      </c>
    </row>
    <row r="2004" spans="2:9">
      <c r="B2004" s="496">
        <v>45939</v>
      </c>
      <c r="C2004" s="497" t="s">
        <v>541</v>
      </c>
      <c r="D2004" s="498" t="s">
        <v>542</v>
      </c>
      <c r="E2004" s="499">
        <v>10000</v>
      </c>
      <c r="F2004" s="500"/>
      <c r="G2004" s="501" t="s">
        <v>277</v>
      </c>
      <c r="H2004" s="502"/>
      <c r="I2004" s="503">
        <f t="shared" si="32"/>
        <v>79741.77</v>
      </c>
    </row>
    <row r="2005" spans="2:9">
      <c r="B2005" s="496">
        <v>45939</v>
      </c>
      <c r="C2005" s="497" t="s">
        <v>283</v>
      </c>
      <c r="D2005" s="498" t="s">
        <v>307</v>
      </c>
      <c r="E2005" s="499">
        <v>297.2</v>
      </c>
      <c r="F2005" s="500"/>
      <c r="G2005" s="501" t="s">
        <v>190</v>
      </c>
      <c r="H2005" s="502"/>
      <c r="I2005" s="503">
        <f t="shared" si="32"/>
        <v>78784.03</v>
      </c>
    </row>
    <row r="2006" spans="2:9">
      <c r="B2006" s="496">
        <v>45940</v>
      </c>
      <c r="C2006" s="497">
        <v>47054</v>
      </c>
      <c r="D2006" s="498" t="s">
        <v>100</v>
      </c>
      <c r="E2006" s="499"/>
      <c r="F2006" s="500">
        <v>957.74</v>
      </c>
      <c r="G2006" s="501" t="s">
        <v>194</v>
      </c>
      <c r="H2006" s="502"/>
      <c r="I2006" s="503">
        <f t="shared" si="32"/>
        <v>78573.33</v>
      </c>
    </row>
    <row r="2007" spans="2:9">
      <c r="B2007" s="496">
        <v>45940</v>
      </c>
      <c r="C2007" s="497">
        <v>47054</v>
      </c>
      <c r="D2007" s="498" t="s">
        <v>1252</v>
      </c>
      <c r="E2007" s="499"/>
      <c r="F2007" s="500">
        <v>210.7</v>
      </c>
      <c r="G2007" s="501" t="s">
        <v>274</v>
      </c>
      <c r="H2007" s="502"/>
      <c r="I2007" s="503">
        <f t="shared" si="32"/>
        <v>78572.33</v>
      </c>
    </row>
    <row r="2008" spans="2:9">
      <c r="B2008" s="496">
        <v>45940</v>
      </c>
      <c r="C2008" s="497" t="s">
        <v>117</v>
      </c>
      <c r="D2008" s="498" t="s">
        <v>903</v>
      </c>
      <c r="E2008" s="499"/>
      <c r="F2008" s="500">
        <v>1</v>
      </c>
      <c r="G2008" s="501" t="s">
        <v>272</v>
      </c>
      <c r="H2008" s="502"/>
      <c r="I2008" s="503">
        <f t="shared" si="32"/>
        <v>79530.2</v>
      </c>
    </row>
    <row r="2009" spans="2:9">
      <c r="B2009" s="496">
        <v>45940</v>
      </c>
      <c r="C2009" s="641" t="s">
        <v>2222</v>
      </c>
      <c r="D2009" s="505" t="s">
        <v>92</v>
      </c>
      <c r="E2009" s="499">
        <v>957.87</v>
      </c>
      <c r="F2009" s="500"/>
      <c r="G2009" s="630" t="s">
        <v>194</v>
      </c>
      <c r="H2009" s="502"/>
      <c r="I2009" s="503">
        <f t="shared" si="32"/>
        <v>79740.929999999993</v>
      </c>
    </row>
    <row r="2010" spans="2:9">
      <c r="B2010" s="496">
        <v>45940</v>
      </c>
      <c r="C2010" s="641" t="s">
        <v>2222</v>
      </c>
      <c r="D2010" s="505" t="s">
        <v>92</v>
      </c>
      <c r="E2010" s="499">
        <v>210.73</v>
      </c>
      <c r="F2010" s="500"/>
      <c r="G2010" s="630" t="s">
        <v>276</v>
      </c>
      <c r="H2010" s="502"/>
      <c r="I2010" s="503">
        <f t="shared" si="32"/>
        <v>80295.329999999987</v>
      </c>
    </row>
    <row r="2011" spans="2:9">
      <c r="B2011" s="496">
        <v>45940</v>
      </c>
      <c r="C2011" s="497" t="s">
        <v>283</v>
      </c>
      <c r="D2011" s="498" t="s">
        <v>307</v>
      </c>
      <c r="E2011" s="499">
        <v>554.4</v>
      </c>
      <c r="F2011" s="500"/>
      <c r="G2011" s="501" t="s">
        <v>190</v>
      </c>
      <c r="H2011" s="502"/>
      <c r="I2011" s="503">
        <f t="shared" si="32"/>
        <v>80239.529999999984</v>
      </c>
    </row>
    <row r="2012" spans="2:9">
      <c r="B2012" s="496">
        <v>45943</v>
      </c>
      <c r="C2012" s="497" t="s">
        <v>2151</v>
      </c>
      <c r="D2012" s="498" t="s">
        <v>412</v>
      </c>
      <c r="E2012" s="499"/>
      <c r="F2012" s="500">
        <v>55.8</v>
      </c>
      <c r="G2012" s="501" t="s">
        <v>225</v>
      </c>
      <c r="H2012" s="502"/>
      <c r="I2012" s="503">
        <f t="shared" si="32"/>
        <v>80227.249999999985</v>
      </c>
    </row>
    <row r="2013" spans="2:9">
      <c r="B2013" s="496">
        <v>45943</v>
      </c>
      <c r="C2013" s="497" t="s">
        <v>2151</v>
      </c>
      <c r="D2013" s="498" t="s">
        <v>412</v>
      </c>
      <c r="E2013" s="499"/>
      <c r="F2013" s="500">
        <v>12.28</v>
      </c>
      <c r="G2013" s="501" t="s">
        <v>274</v>
      </c>
      <c r="H2013" s="502"/>
      <c r="I2013" s="503">
        <f t="shared" si="32"/>
        <v>80225.999999999985</v>
      </c>
    </row>
    <row r="2014" spans="2:9">
      <c r="B2014" s="496">
        <v>45943</v>
      </c>
      <c r="C2014" s="497" t="s">
        <v>117</v>
      </c>
      <c r="D2014" s="498" t="s">
        <v>921</v>
      </c>
      <c r="E2014" s="499"/>
      <c r="F2014" s="500">
        <v>1.25</v>
      </c>
      <c r="G2014" s="501" t="s">
        <v>271</v>
      </c>
      <c r="H2014" s="502"/>
      <c r="I2014" s="503">
        <f t="shared" si="32"/>
        <v>78667.109999999986</v>
      </c>
    </row>
    <row r="2015" spans="2:9">
      <c r="B2015" s="729">
        <v>45900</v>
      </c>
      <c r="C2015" s="497" t="s">
        <v>2152</v>
      </c>
      <c r="D2015" s="498" t="s">
        <v>388</v>
      </c>
      <c r="E2015" s="499"/>
      <c r="F2015" s="500">
        <v>1558.89</v>
      </c>
      <c r="G2015" s="501" t="s">
        <v>224</v>
      </c>
      <c r="H2015" s="502"/>
      <c r="I2015" s="503">
        <f t="shared" si="32"/>
        <v>78324.14999999998</v>
      </c>
    </row>
    <row r="2016" spans="2:9">
      <c r="B2016" s="729">
        <v>45900</v>
      </c>
      <c r="C2016" s="497" t="s">
        <v>2152</v>
      </c>
      <c r="D2016" s="498" t="s">
        <v>388</v>
      </c>
      <c r="E2016" s="499"/>
      <c r="F2016" s="500">
        <v>342.96</v>
      </c>
      <c r="G2016" s="501" t="s">
        <v>274</v>
      </c>
      <c r="H2016" s="502"/>
      <c r="I2016" s="503">
        <f t="shared" si="32"/>
        <v>78322.89999999998</v>
      </c>
    </row>
    <row r="2017" spans="2:9">
      <c r="B2017" s="496" t="s">
        <v>2153</v>
      </c>
      <c r="C2017" s="497" t="s">
        <v>117</v>
      </c>
      <c r="D2017" s="498" t="s">
        <v>921</v>
      </c>
      <c r="E2017" s="499"/>
      <c r="F2017" s="500">
        <v>1.25</v>
      </c>
      <c r="G2017" s="501" t="s">
        <v>271</v>
      </c>
      <c r="H2017" s="502"/>
      <c r="I2017" s="503">
        <f t="shared" si="32"/>
        <v>78035.719999999987</v>
      </c>
    </row>
    <row r="2018" spans="2:9">
      <c r="B2018" s="496" t="s">
        <v>2153</v>
      </c>
      <c r="C2018" s="497" t="s">
        <v>2156</v>
      </c>
      <c r="D2018" s="498" t="s">
        <v>2155</v>
      </c>
      <c r="E2018" s="499"/>
      <c r="F2018" s="500">
        <v>287.18</v>
      </c>
      <c r="G2018" s="501" t="s">
        <v>219</v>
      </c>
      <c r="H2018" s="502"/>
      <c r="I2018" s="503">
        <f t="shared" si="32"/>
        <v>78034.719999999987</v>
      </c>
    </row>
    <row r="2019" spans="2:9">
      <c r="B2019" s="496" t="s">
        <v>2153</v>
      </c>
      <c r="C2019" s="497" t="s">
        <v>117</v>
      </c>
      <c r="D2019" s="498" t="s">
        <v>903</v>
      </c>
      <c r="E2019" s="499"/>
      <c r="F2019" s="500">
        <v>1</v>
      </c>
      <c r="G2019" s="501" t="s">
        <v>272</v>
      </c>
      <c r="H2019" s="502"/>
      <c r="I2019" s="503">
        <f t="shared" si="32"/>
        <v>79649.919999999984</v>
      </c>
    </row>
    <row r="2020" spans="2:9">
      <c r="B2020" s="496" t="s">
        <v>2153</v>
      </c>
      <c r="C2020" s="497" t="s">
        <v>283</v>
      </c>
      <c r="D2020" s="498" t="s">
        <v>307</v>
      </c>
      <c r="E2020" s="499">
        <v>1615.2</v>
      </c>
      <c r="F2020" s="500"/>
      <c r="G2020" s="501" t="s">
        <v>190</v>
      </c>
      <c r="H2020" s="502"/>
      <c r="I2020" s="503">
        <f t="shared" si="32"/>
        <v>82245.419999999984</v>
      </c>
    </row>
    <row r="2021" spans="2:9">
      <c r="B2021" s="496" t="s">
        <v>2153</v>
      </c>
      <c r="C2021" s="497" t="s">
        <v>283</v>
      </c>
      <c r="D2021" s="498" t="s">
        <v>307</v>
      </c>
      <c r="E2021" s="499">
        <v>2595.5</v>
      </c>
      <c r="F2021" s="500"/>
      <c r="G2021" s="501" t="s">
        <v>190</v>
      </c>
      <c r="H2021" s="502"/>
      <c r="I2021" s="503">
        <f t="shared" si="32"/>
        <v>85371.219999999987</v>
      </c>
    </row>
    <row r="2022" spans="2:9">
      <c r="B2022" s="496" t="s">
        <v>2153</v>
      </c>
      <c r="C2022" s="497" t="s">
        <v>283</v>
      </c>
      <c r="D2022" s="498" t="s">
        <v>307</v>
      </c>
      <c r="E2022" s="499">
        <v>3125.8</v>
      </c>
      <c r="F2022" s="500"/>
      <c r="G2022" s="501" t="s">
        <v>190</v>
      </c>
      <c r="H2022" s="502"/>
      <c r="I2022" s="503">
        <f t="shared" si="32"/>
        <v>85833.219999999987</v>
      </c>
    </row>
    <row r="2023" spans="2:9">
      <c r="B2023" s="496" t="s">
        <v>2183</v>
      </c>
      <c r="C2023" s="497" t="s">
        <v>283</v>
      </c>
      <c r="D2023" s="498" t="s">
        <v>307</v>
      </c>
      <c r="E2023" s="499">
        <v>462</v>
      </c>
      <c r="F2023" s="500"/>
      <c r="G2023" s="501" t="s">
        <v>190</v>
      </c>
      <c r="H2023" s="502"/>
      <c r="I2023" s="503">
        <f t="shared" si="32"/>
        <v>86582.919999999984</v>
      </c>
    </row>
    <row r="2024" spans="2:9">
      <c r="B2024" s="496" t="s">
        <v>2180</v>
      </c>
      <c r="C2024" s="497" t="s">
        <v>283</v>
      </c>
      <c r="D2024" s="498" t="s">
        <v>307</v>
      </c>
      <c r="E2024" s="499">
        <v>749.7</v>
      </c>
      <c r="F2024" s="500"/>
      <c r="G2024" s="501" t="s">
        <v>190</v>
      </c>
      <c r="H2024" s="502"/>
      <c r="I2024" s="503">
        <f t="shared" si="32"/>
        <v>86582.119999999981</v>
      </c>
    </row>
    <row r="2025" spans="2:9">
      <c r="B2025" s="496" t="s">
        <v>2180</v>
      </c>
      <c r="C2025" s="497" t="s">
        <v>117</v>
      </c>
      <c r="D2025" s="498" t="s">
        <v>903</v>
      </c>
      <c r="E2025" s="499"/>
      <c r="F2025" s="500">
        <v>0.8</v>
      </c>
      <c r="G2025" s="501" t="s">
        <v>272</v>
      </c>
      <c r="H2025" s="502"/>
      <c r="I2025" s="503">
        <f t="shared" si="32"/>
        <v>85421.369999999981</v>
      </c>
    </row>
    <row r="2026" spans="2:9">
      <c r="B2026" s="729" t="s">
        <v>2161</v>
      </c>
      <c r="C2026" s="497" t="s">
        <v>1881</v>
      </c>
      <c r="D2026" s="498" t="s">
        <v>2158</v>
      </c>
      <c r="E2026" s="499"/>
      <c r="F2026" s="500">
        <v>1160.75</v>
      </c>
      <c r="G2026" s="501" t="s">
        <v>245</v>
      </c>
      <c r="H2026" s="502"/>
      <c r="I2026" s="503">
        <f t="shared" si="32"/>
        <v>85414.969999999987</v>
      </c>
    </row>
    <row r="2027" spans="2:9">
      <c r="B2027" s="496" t="s">
        <v>2180</v>
      </c>
      <c r="C2027" s="497" t="s">
        <v>117</v>
      </c>
      <c r="D2027" s="498" t="s">
        <v>903</v>
      </c>
      <c r="E2027" s="499"/>
      <c r="F2027" s="500">
        <v>6.4</v>
      </c>
      <c r="G2027" s="501" t="s">
        <v>272</v>
      </c>
      <c r="H2027" s="502"/>
      <c r="I2027" s="503">
        <f t="shared" si="32"/>
        <v>84261.969999999987</v>
      </c>
    </row>
    <row r="2028" spans="2:9">
      <c r="B2028" s="729">
        <v>45930</v>
      </c>
      <c r="C2028" s="497" t="s">
        <v>1881</v>
      </c>
      <c r="D2028" s="498" t="s">
        <v>557</v>
      </c>
      <c r="E2028" s="499"/>
      <c r="F2028" s="500">
        <v>1153</v>
      </c>
      <c r="G2028" s="501" t="s">
        <v>1859</v>
      </c>
      <c r="H2028" s="502"/>
      <c r="I2028" s="503">
        <f t="shared" si="32"/>
        <v>83021.969999999987</v>
      </c>
    </row>
    <row r="2029" spans="2:9">
      <c r="B2029" s="729">
        <v>45930</v>
      </c>
      <c r="C2029" s="497" t="s">
        <v>1881</v>
      </c>
      <c r="D2029" s="498" t="s">
        <v>25</v>
      </c>
      <c r="E2029" s="499"/>
      <c r="F2029" s="500">
        <v>1240</v>
      </c>
      <c r="G2029" s="501" t="s">
        <v>246</v>
      </c>
      <c r="H2029" s="502"/>
      <c r="I2029" s="503">
        <f t="shared" si="32"/>
        <v>82869.25999999998</v>
      </c>
    </row>
    <row r="2030" spans="2:9">
      <c r="B2030" s="729">
        <v>45930</v>
      </c>
      <c r="C2030" s="497" t="s">
        <v>1881</v>
      </c>
      <c r="D2030" s="498" t="s">
        <v>2159</v>
      </c>
      <c r="E2030" s="499"/>
      <c r="F2030" s="500">
        <v>152.71</v>
      </c>
      <c r="G2030" s="501" t="s">
        <v>245</v>
      </c>
      <c r="H2030" s="502"/>
      <c r="I2030" s="503">
        <f t="shared" si="32"/>
        <v>82016.25999999998</v>
      </c>
    </row>
    <row r="2031" spans="2:9">
      <c r="B2031" s="729">
        <v>45930</v>
      </c>
      <c r="C2031" s="497" t="s">
        <v>1881</v>
      </c>
      <c r="D2031" s="498" t="s">
        <v>2158</v>
      </c>
      <c r="E2031" s="499"/>
      <c r="F2031" s="500">
        <v>853</v>
      </c>
      <c r="G2031" s="501" t="s">
        <v>245</v>
      </c>
      <c r="H2031" s="502"/>
      <c r="I2031" s="503">
        <f t="shared" si="32"/>
        <v>81100.25999999998</v>
      </c>
    </row>
    <row r="2032" spans="2:9">
      <c r="B2032" s="729">
        <v>45930</v>
      </c>
      <c r="C2032" s="497" t="s">
        <v>1881</v>
      </c>
      <c r="D2032" s="498" t="s">
        <v>559</v>
      </c>
      <c r="E2032" s="499"/>
      <c r="F2032" s="500">
        <v>916</v>
      </c>
      <c r="G2032" s="501" t="s">
        <v>243</v>
      </c>
      <c r="H2032" s="502"/>
      <c r="I2032" s="503">
        <f t="shared" si="32"/>
        <v>79749.25999999998</v>
      </c>
    </row>
    <row r="2033" spans="2:9">
      <c r="B2033" s="729">
        <v>45930</v>
      </c>
      <c r="C2033" s="497" t="s">
        <v>1881</v>
      </c>
      <c r="D2033" s="498" t="s">
        <v>29</v>
      </c>
      <c r="E2033" s="499"/>
      <c r="F2033" s="500">
        <v>1351</v>
      </c>
      <c r="G2033" s="501" t="s">
        <v>243</v>
      </c>
      <c r="H2033" s="502"/>
      <c r="I2033" s="503">
        <f t="shared" si="32"/>
        <v>78252.25999999998</v>
      </c>
    </row>
    <row r="2034" spans="2:9">
      <c r="B2034" s="729">
        <v>45930</v>
      </c>
      <c r="C2034" s="497" t="s">
        <v>1881</v>
      </c>
      <c r="D2034" s="498" t="s">
        <v>2160</v>
      </c>
      <c r="E2034" s="499"/>
      <c r="F2034" s="500">
        <v>1497</v>
      </c>
      <c r="G2034" s="501" t="s">
        <v>246</v>
      </c>
      <c r="H2034" s="502"/>
      <c r="I2034" s="503">
        <f t="shared" si="32"/>
        <v>76786.25999999998</v>
      </c>
    </row>
    <row r="2035" spans="2:9">
      <c r="B2035" s="729">
        <v>45930</v>
      </c>
      <c r="C2035" s="497" t="s">
        <v>1881</v>
      </c>
      <c r="D2035" s="498" t="s">
        <v>28</v>
      </c>
      <c r="E2035" s="499"/>
      <c r="F2035" s="500">
        <v>1466</v>
      </c>
      <c r="G2035" s="501" t="s">
        <v>243</v>
      </c>
      <c r="H2035" s="502"/>
      <c r="I2035" s="503">
        <f t="shared" si="32"/>
        <v>74914.25999999998</v>
      </c>
    </row>
    <row r="2036" spans="2:9">
      <c r="B2036" s="729">
        <v>45930</v>
      </c>
      <c r="C2036" s="497" t="s">
        <v>286</v>
      </c>
      <c r="D2036" s="498" t="s">
        <v>520</v>
      </c>
      <c r="E2036" s="499"/>
      <c r="F2036" s="500">
        <v>1872</v>
      </c>
      <c r="G2036" s="501" t="s">
        <v>139</v>
      </c>
      <c r="H2036" s="502"/>
      <c r="I2036" s="503">
        <f t="shared" si="32"/>
        <v>74474.25999999998</v>
      </c>
    </row>
    <row r="2037" spans="2:9">
      <c r="B2037" s="496" t="s">
        <v>2180</v>
      </c>
      <c r="C2037" s="497">
        <v>1148</v>
      </c>
      <c r="D2037" s="498" t="s">
        <v>2162</v>
      </c>
      <c r="E2037" s="499"/>
      <c r="F2037" s="500">
        <v>440</v>
      </c>
      <c r="G2037" s="501" t="s">
        <v>231</v>
      </c>
      <c r="H2037" s="502"/>
      <c r="I2037" s="503">
        <f t="shared" si="32"/>
        <v>74377.459999999977</v>
      </c>
    </row>
    <row r="2038" spans="2:9">
      <c r="B2038" s="496" t="s">
        <v>2180</v>
      </c>
      <c r="C2038" s="497">
        <v>1148</v>
      </c>
      <c r="D2038" s="498" t="s">
        <v>2162</v>
      </c>
      <c r="E2038" s="499"/>
      <c r="F2038" s="500">
        <v>96.8</v>
      </c>
      <c r="G2038" s="501" t="s">
        <v>274</v>
      </c>
      <c r="H2038" s="502"/>
      <c r="I2038" s="503">
        <f t="shared" si="32"/>
        <v>74376.459999999977</v>
      </c>
    </row>
    <row r="2039" spans="2:9">
      <c r="B2039" s="496" t="s">
        <v>2180</v>
      </c>
      <c r="C2039" s="497" t="s">
        <v>117</v>
      </c>
      <c r="D2039" s="498" t="s">
        <v>903</v>
      </c>
      <c r="E2039" s="499"/>
      <c r="F2039" s="500">
        <v>1</v>
      </c>
      <c r="G2039" s="501" t="s">
        <v>272</v>
      </c>
      <c r="H2039" s="502"/>
      <c r="I2039" s="503">
        <f t="shared" si="32"/>
        <v>64376.459999999977</v>
      </c>
    </row>
    <row r="2040" spans="2:9">
      <c r="B2040" s="496" t="s">
        <v>2180</v>
      </c>
      <c r="C2040" s="497" t="s">
        <v>117</v>
      </c>
      <c r="D2040" s="498" t="s">
        <v>2163</v>
      </c>
      <c r="E2040" s="499"/>
      <c r="F2040" s="500">
        <v>10000</v>
      </c>
      <c r="G2040" s="501"/>
      <c r="H2040" s="502" t="s">
        <v>2164</v>
      </c>
      <c r="I2040" s="503">
        <f t="shared" si="32"/>
        <v>64375.709999999977</v>
      </c>
    </row>
    <row r="2041" spans="2:9">
      <c r="B2041" s="496" t="s">
        <v>2180</v>
      </c>
      <c r="C2041" s="497" t="s">
        <v>117</v>
      </c>
      <c r="D2041" s="498" t="s">
        <v>903</v>
      </c>
      <c r="E2041" s="499"/>
      <c r="F2041" s="500">
        <v>0.75</v>
      </c>
      <c r="G2041" s="501" t="s">
        <v>272</v>
      </c>
      <c r="H2041" s="502"/>
      <c r="I2041" s="503">
        <f t="shared" si="32"/>
        <v>63723.439999999981</v>
      </c>
    </row>
    <row r="2042" spans="2:9">
      <c r="B2042" s="729">
        <v>45930</v>
      </c>
      <c r="C2042" s="497">
        <v>6877</v>
      </c>
      <c r="D2042" s="498" t="s">
        <v>383</v>
      </c>
      <c r="E2042" s="499"/>
      <c r="F2042" s="500">
        <v>652.27</v>
      </c>
      <c r="G2042" s="501" t="s">
        <v>199</v>
      </c>
      <c r="H2042" s="502"/>
      <c r="I2042" s="503">
        <f t="shared" si="32"/>
        <v>63664.109999999979</v>
      </c>
    </row>
    <row r="2043" spans="2:9">
      <c r="B2043" s="729">
        <v>45930</v>
      </c>
      <c r="C2043" s="497">
        <v>6877</v>
      </c>
      <c r="D2043" s="498" t="s">
        <v>383</v>
      </c>
      <c r="E2043" s="499"/>
      <c r="F2043" s="500">
        <v>59.33</v>
      </c>
      <c r="G2043" s="501" t="s">
        <v>274</v>
      </c>
      <c r="H2043" s="502"/>
      <c r="I2043" s="503">
        <f t="shared" si="32"/>
        <v>63663.359999999979</v>
      </c>
    </row>
    <row r="2044" spans="2:9">
      <c r="B2044" s="496" t="s">
        <v>2180</v>
      </c>
      <c r="C2044" s="497" t="s">
        <v>117</v>
      </c>
      <c r="D2044" s="498" t="s">
        <v>903</v>
      </c>
      <c r="E2044" s="499"/>
      <c r="F2044" s="500">
        <v>0.75</v>
      </c>
      <c r="G2044" s="501" t="s">
        <v>272</v>
      </c>
      <c r="H2044" s="502"/>
      <c r="I2044" s="503">
        <f t="shared" si="32"/>
        <v>62601.439999999981</v>
      </c>
    </row>
    <row r="2045" spans="2:9">
      <c r="B2045" s="729">
        <v>45930</v>
      </c>
      <c r="C2045" s="497">
        <v>1699</v>
      </c>
      <c r="D2045" s="498" t="s">
        <v>349</v>
      </c>
      <c r="E2045" s="499"/>
      <c r="F2045" s="500">
        <v>1061.92</v>
      </c>
      <c r="G2045" s="501" t="s">
        <v>194</v>
      </c>
      <c r="H2045" s="502"/>
      <c r="I2045" s="503">
        <f t="shared" si="32"/>
        <v>62493.639999999978</v>
      </c>
    </row>
    <row r="2046" spans="2:9">
      <c r="B2046" s="729">
        <v>45930</v>
      </c>
      <c r="C2046" s="497">
        <v>1699</v>
      </c>
      <c r="D2046" s="498" t="s">
        <v>349</v>
      </c>
      <c r="E2046" s="499"/>
      <c r="F2046" s="500">
        <v>107.8</v>
      </c>
      <c r="G2046" s="501" t="s">
        <v>274</v>
      </c>
      <c r="H2046" s="502"/>
      <c r="I2046" s="503">
        <f t="shared" si="32"/>
        <v>61383.039999999979</v>
      </c>
    </row>
    <row r="2047" spans="2:9">
      <c r="B2047" s="729">
        <v>45900</v>
      </c>
      <c r="C2047" s="497">
        <v>1507</v>
      </c>
      <c r="D2047" s="498" t="s">
        <v>349</v>
      </c>
      <c r="E2047" s="499"/>
      <c r="F2047" s="500">
        <v>1110.5999999999999</v>
      </c>
      <c r="G2047" s="501" t="s">
        <v>194</v>
      </c>
      <c r="H2047" s="502"/>
      <c r="I2047" s="503">
        <f t="shared" si="32"/>
        <v>61271.979999999981</v>
      </c>
    </row>
    <row r="2048" spans="2:9">
      <c r="B2048" s="729">
        <v>45900</v>
      </c>
      <c r="C2048" s="497">
        <v>1507</v>
      </c>
      <c r="D2048" s="498" t="s">
        <v>349</v>
      </c>
      <c r="E2048" s="499"/>
      <c r="F2048" s="500">
        <v>111.06</v>
      </c>
      <c r="G2048" s="501" t="s">
        <v>274</v>
      </c>
      <c r="H2048" s="502"/>
      <c r="I2048" s="503">
        <f t="shared" si="32"/>
        <v>61270.979999999981</v>
      </c>
    </row>
    <row r="2049" spans="2:9">
      <c r="B2049" s="496" t="s">
        <v>2180</v>
      </c>
      <c r="C2049" s="497" t="s">
        <v>117</v>
      </c>
      <c r="D2049" s="498" t="s">
        <v>903</v>
      </c>
      <c r="E2049" s="499"/>
      <c r="F2049" s="500">
        <v>1</v>
      </c>
      <c r="G2049" s="501" t="s">
        <v>272</v>
      </c>
      <c r="H2049" s="502"/>
      <c r="I2049" s="503">
        <f t="shared" ref="I2049:I2112" si="33">I2048+E2050-F2050</f>
        <v>61981.979999999981</v>
      </c>
    </row>
    <row r="2050" spans="2:9">
      <c r="B2050" s="496" t="s">
        <v>2181</v>
      </c>
      <c r="C2050" s="497" t="s">
        <v>283</v>
      </c>
      <c r="D2050" s="498" t="s">
        <v>307</v>
      </c>
      <c r="E2050" s="499">
        <v>711</v>
      </c>
      <c r="F2050" s="500"/>
      <c r="G2050" s="501" t="s">
        <v>190</v>
      </c>
      <c r="H2050" s="502"/>
      <c r="I2050" s="503">
        <f t="shared" si="33"/>
        <v>62756.479999999981</v>
      </c>
    </row>
    <row r="2051" spans="2:9">
      <c r="B2051" s="496" t="s">
        <v>2182</v>
      </c>
      <c r="C2051" s="497" t="s">
        <v>283</v>
      </c>
      <c r="D2051" s="498" t="s">
        <v>307</v>
      </c>
      <c r="E2051" s="499">
        <v>774.5</v>
      </c>
      <c r="F2051" s="500"/>
      <c r="G2051" s="501" t="s">
        <v>190</v>
      </c>
      <c r="H2051" s="502"/>
      <c r="I2051" s="503">
        <f t="shared" si="33"/>
        <v>62667.229999999981</v>
      </c>
    </row>
    <row r="2052" spans="2:9">
      <c r="B2052" s="729">
        <v>45869</v>
      </c>
      <c r="C2052" s="497">
        <v>2523556774</v>
      </c>
      <c r="D2052" s="498" t="s">
        <v>478</v>
      </c>
      <c r="E2052" s="499"/>
      <c r="F2052" s="500">
        <v>89.25</v>
      </c>
      <c r="G2052" s="501" t="s">
        <v>1860</v>
      </c>
      <c r="H2052" s="502"/>
      <c r="I2052" s="503">
        <f t="shared" si="33"/>
        <v>62646.269999999982</v>
      </c>
    </row>
    <row r="2053" spans="2:9">
      <c r="B2053" s="729">
        <v>45869</v>
      </c>
      <c r="C2053" s="497">
        <v>2523556774</v>
      </c>
      <c r="D2053" s="498" t="s">
        <v>478</v>
      </c>
      <c r="E2053" s="499"/>
      <c r="F2053" s="500">
        <v>20.96</v>
      </c>
      <c r="G2053" s="501" t="s">
        <v>274</v>
      </c>
      <c r="H2053" s="502"/>
      <c r="I2053" s="503">
        <f t="shared" si="33"/>
        <v>58071.169999999984</v>
      </c>
    </row>
    <row r="2054" spans="2:9">
      <c r="B2054" s="496" t="s">
        <v>2182</v>
      </c>
      <c r="C2054" s="497" t="s">
        <v>117</v>
      </c>
      <c r="D2054" s="498" t="s">
        <v>250</v>
      </c>
      <c r="E2054" s="499"/>
      <c r="F2054" s="500">
        <v>4575.1000000000004</v>
      </c>
      <c r="G2054" s="501" t="s">
        <v>250</v>
      </c>
      <c r="H2054" s="502"/>
      <c r="I2054" s="503">
        <f t="shared" si="33"/>
        <v>57671.169999999984</v>
      </c>
    </row>
    <row r="2055" spans="2:9">
      <c r="B2055" s="496" t="s">
        <v>2182</v>
      </c>
      <c r="C2055" s="497" t="s">
        <v>117</v>
      </c>
      <c r="D2055" s="498" t="s">
        <v>250</v>
      </c>
      <c r="E2055" s="499"/>
      <c r="F2055" s="500">
        <v>400</v>
      </c>
      <c r="G2055" s="501" t="s">
        <v>250</v>
      </c>
      <c r="H2055" s="502"/>
      <c r="I2055" s="503">
        <f t="shared" si="33"/>
        <v>57465.859999999986</v>
      </c>
    </row>
    <row r="2056" spans="2:9">
      <c r="B2056" s="496" t="s">
        <v>2182</v>
      </c>
      <c r="C2056" s="497" t="s">
        <v>117</v>
      </c>
      <c r="D2056" s="498" t="s">
        <v>250</v>
      </c>
      <c r="E2056" s="499"/>
      <c r="F2056" s="500">
        <v>205.31</v>
      </c>
      <c r="G2056" s="501" t="s">
        <v>250</v>
      </c>
      <c r="H2056" s="502"/>
      <c r="I2056" s="503">
        <f t="shared" si="33"/>
        <v>58983.659999999989</v>
      </c>
    </row>
    <row r="2057" spans="2:9">
      <c r="B2057" s="496">
        <v>45950</v>
      </c>
      <c r="C2057" s="497" t="s">
        <v>283</v>
      </c>
      <c r="D2057" s="498" t="s">
        <v>307</v>
      </c>
      <c r="E2057" s="499">
        <v>1517.8</v>
      </c>
      <c r="F2057" s="500"/>
      <c r="G2057" s="501" t="s">
        <v>190</v>
      </c>
      <c r="H2057" s="502"/>
      <c r="I2057" s="503">
        <f t="shared" si="33"/>
        <v>61510.05999999999</v>
      </c>
    </row>
    <row r="2058" spans="2:9">
      <c r="B2058" s="496">
        <v>45950</v>
      </c>
      <c r="C2058" s="497" t="s">
        <v>283</v>
      </c>
      <c r="D2058" s="498" t="s">
        <v>307</v>
      </c>
      <c r="E2058" s="499">
        <v>2526.4</v>
      </c>
      <c r="F2058" s="500"/>
      <c r="G2058" s="501" t="s">
        <v>190</v>
      </c>
      <c r="H2058" s="502"/>
      <c r="I2058" s="503">
        <f t="shared" si="33"/>
        <v>63105.659999999989</v>
      </c>
    </row>
    <row r="2059" spans="2:9">
      <c r="B2059" s="496">
        <v>45950</v>
      </c>
      <c r="C2059" s="497" t="s">
        <v>283</v>
      </c>
      <c r="D2059" s="498" t="s">
        <v>307</v>
      </c>
      <c r="E2059" s="499">
        <v>1595.6</v>
      </c>
      <c r="F2059" s="500"/>
      <c r="G2059" s="501" t="s">
        <v>190</v>
      </c>
      <c r="H2059" s="502"/>
      <c r="I2059" s="503">
        <f t="shared" si="33"/>
        <v>63733.159999999989</v>
      </c>
    </row>
    <row r="2060" spans="2:9">
      <c r="B2060" s="496">
        <v>45950</v>
      </c>
      <c r="C2060" s="497" t="s">
        <v>283</v>
      </c>
      <c r="D2060" s="498" t="s">
        <v>912</v>
      </c>
      <c r="E2060" s="499">
        <v>627.5</v>
      </c>
      <c r="F2060" s="500"/>
      <c r="G2060" s="501"/>
      <c r="H2060" s="506"/>
      <c r="I2060" s="503">
        <f t="shared" si="33"/>
        <v>63726.859999999986</v>
      </c>
    </row>
    <row r="2061" spans="2:9">
      <c r="B2061" s="496">
        <v>45950</v>
      </c>
      <c r="C2061" s="497" t="s">
        <v>117</v>
      </c>
      <c r="D2061" s="498" t="s">
        <v>918</v>
      </c>
      <c r="E2061" s="499"/>
      <c r="F2061" s="500">
        <v>6.3</v>
      </c>
      <c r="G2061" s="501"/>
      <c r="H2061" s="506"/>
      <c r="I2061" s="503">
        <f t="shared" si="33"/>
        <v>63292.779999999984</v>
      </c>
    </row>
    <row r="2062" spans="2:9">
      <c r="B2062" s="496">
        <v>45951</v>
      </c>
      <c r="C2062" s="497" t="s">
        <v>117</v>
      </c>
      <c r="D2062" s="498" t="s">
        <v>1261</v>
      </c>
      <c r="E2062" s="499"/>
      <c r="F2062" s="500">
        <v>434.08</v>
      </c>
      <c r="G2062" s="501" t="s">
        <v>266</v>
      </c>
      <c r="H2062" s="502"/>
      <c r="I2062" s="503">
        <f t="shared" si="33"/>
        <v>63291.529999999984</v>
      </c>
    </row>
    <row r="2063" spans="2:9">
      <c r="B2063" s="496">
        <v>45951</v>
      </c>
      <c r="C2063" s="497" t="s">
        <v>117</v>
      </c>
      <c r="D2063" s="498" t="s">
        <v>921</v>
      </c>
      <c r="E2063" s="499"/>
      <c r="F2063" s="500">
        <v>1.25</v>
      </c>
      <c r="G2063" s="501" t="s">
        <v>271</v>
      </c>
      <c r="H2063" s="502"/>
      <c r="I2063" s="503">
        <f t="shared" si="33"/>
        <v>62546.329999999987</v>
      </c>
    </row>
    <row r="2064" spans="2:9">
      <c r="B2064" s="496">
        <v>45951</v>
      </c>
      <c r="C2064" s="497">
        <v>85</v>
      </c>
      <c r="D2064" s="498" t="s">
        <v>2184</v>
      </c>
      <c r="E2064" s="499"/>
      <c r="F2064" s="500">
        <v>745.2</v>
      </c>
      <c r="G2064" s="501" t="s">
        <v>199</v>
      </c>
      <c r="H2064" s="502"/>
      <c r="I2064" s="503">
        <f t="shared" si="33"/>
        <v>62471.80999999999</v>
      </c>
    </row>
    <row r="2065" spans="2:9">
      <c r="B2065" s="496">
        <v>45951</v>
      </c>
      <c r="C2065" s="497">
        <v>85</v>
      </c>
      <c r="D2065" s="498" t="s">
        <v>2184</v>
      </c>
      <c r="E2065" s="499"/>
      <c r="F2065" s="500">
        <v>74.52</v>
      </c>
      <c r="G2065" s="501" t="s">
        <v>274</v>
      </c>
      <c r="H2065" s="502"/>
      <c r="I2065" s="503">
        <f t="shared" si="33"/>
        <v>62470.80999999999</v>
      </c>
    </row>
    <row r="2066" spans="2:9">
      <c r="B2066" s="496">
        <v>45951</v>
      </c>
      <c r="C2066" s="497" t="s">
        <v>117</v>
      </c>
      <c r="D2066" s="498" t="s">
        <v>903</v>
      </c>
      <c r="E2066" s="499"/>
      <c r="F2066" s="500">
        <v>1</v>
      </c>
      <c r="G2066" s="501" t="s">
        <v>272</v>
      </c>
      <c r="H2066" s="502"/>
      <c r="I2066" s="503">
        <f t="shared" si="33"/>
        <v>61446.219999999994</v>
      </c>
    </row>
    <row r="2067" spans="2:9">
      <c r="B2067" s="496">
        <v>45951</v>
      </c>
      <c r="C2067" s="497">
        <v>213</v>
      </c>
      <c r="D2067" s="498" t="s">
        <v>2055</v>
      </c>
      <c r="E2067" s="499"/>
      <c r="F2067" s="500">
        <v>1024.5899999999999</v>
      </c>
      <c r="G2067" s="501"/>
      <c r="H2067" s="812" t="s">
        <v>1128</v>
      </c>
      <c r="I2067" s="503">
        <f t="shared" si="33"/>
        <v>61220.80999999999</v>
      </c>
    </row>
    <row r="2068" spans="2:9">
      <c r="B2068" s="496">
        <v>45951</v>
      </c>
      <c r="C2068" s="497">
        <v>213</v>
      </c>
      <c r="D2068" s="498" t="s">
        <v>2055</v>
      </c>
      <c r="E2068" s="499"/>
      <c r="F2068" s="500">
        <v>225.41</v>
      </c>
      <c r="G2068" s="501" t="s">
        <v>274</v>
      </c>
      <c r="H2068" s="502"/>
      <c r="I2068" s="503">
        <f t="shared" si="33"/>
        <v>61219.80999999999</v>
      </c>
    </row>
    <row r="2069" spans="2:9">
      <c r="B2069" s="496">
        <v>45951</v>
      </c>
      <c r="C2069" s="497" t="s">
        <v>117</v>
      </c>
      <c r="D2069" s="498" t="s">
        <v>903</v>
      </c>
      <c r="E2069" s="499"/>
      <c r="F2069" s="500">
        <v>1</v>
      </c>
      <c r="G2069" s="501" t="s">
        <v>272</v>
      </c>
      <c r="H2069" s="502"/>
      <c r="I2069" s="503">
        <f t="shared" si="33"/>
        <v>60219.80999999999</v>
      </c>
    </row>
    <row r="2070" spans="2:9">
      <c r="B2070" s="496">
        <v>45951</v>
      </c>
      <c r="C2070" s="497">
        <v>18</v>
      </c>
      <c r="D2070" s="498" t="s">
        <v>2185</v>
      </c>
      <c r="E2070" s="499"/>
      <c r="F2070" s="500">
        <v>1000</v>
      </c>
      <c r="G2070" s="501" t="s">
        <v>216</v>
      </c>
      <c r="H2070" s="502"/>
      <c r="I2070" s="503">
        <f t="shared" si="33"/>
        <v>59999.80999999999</v>
      </c>
    </row>
    <row r="2071" spans="2:9">
      <c r="B2071" s="496">
        <v>45951</v>
      </c>
      <c r="C2071" s="497">
        <v>18</v>
      </c>
      <c r="D2071" s="498" t="s">
        <v>2185</v>
      </c>
      <c r="E2071" s="499"/>
      <c r="F2071" s="500">
        <v>220</v>
      </c>
      <c r="G2071" s="501" t="s">
        <v>274</v>
      </c>
      <c r="H2071" s="502"/>
      <c r="I2071" s="503">
        <f t="shared" si="33"/>
        <v>59999.05999999999</v>
      </c>
    </row>
    <row r="2072" spans="2:9">
      <c r="B2072" s="496">
        <v>45951</v>
      </c>
      <c r="C2072" s="497" t="s">
        <v>117</v>
      </c>
      <c r="D2072" s="498" t="s">
        <v>903</v>
      </c>
      <c r="E2072" s="499"/>
      <c r="F2072" s="500">
        <v>0.75</v>
      </c>
      <c r="G2072" s="501" t="s">
        <v>272</v>
      </c>
      <c r="H2072" s="502"/>
      <c r="I2072" s="503">
        <f t="shared" si="33"/>
        <v>60350.55999999999</v>
      </c>
    </row>
    <row r="2073" spans="2:9">
      <c r="B2073" s="496">
        <v>45951</v>
      </c>
      <c r="C2073" s="497" t="s">
        <v>283</v>
      </c>
      <c r="D2073" s="498" t="s">
        <v>307</v>
      </c>
      <c r="E2073" s="499">
        <v>351.5</v>
      </c>
      <c r="F2073" s="500"/>
      <c r="G2073" s="501" t="s">
        <v>190</v>
      </c>
      <c r="H2073" s="502"/>
      <c r="I2073" s="503">
        <f t="shared" si="33"/>
        <v>59551.139999999992</v>
      </c>
    </row>
    <row r="2074" spans="2:9">
      <c r="B2074" s="729">
        <v>45869</v>
      </c>
      <c r="C2074" s="497" t="s">
        <v>2186</v>
      </c>
      <c r="D2074" s="498" t="s">
        <v>2187</v>
      </c>
      <c r="E2074" s="499"/>
      <c r="F2074" s="500">
        <v>799.42</v>
      </c>
      <c r="G2074" s="501" t="s">
        <v>196</v>
      </c>
      <c r="H2074" s="502"/>
      <c r="I2074" s="503">
        <f t="shared" si="33"/>
        <v>59375.26999999999</v>
      </c>
    </row>
    <row r="2075" spans="2:9">
      <c r="B2075" s="729">
        <v>45869</v>
      </c>
      <c r="C2075" s="497" t="s">
        <v>2186</v>
      </c>
      <c r="D2075" s="498" t="s">
        <v>2187</v>
      </c>
      <c r="E2075" s="499"/>
      <c r="F2075" s="500">
        <v>175.87</v>
      </c>
      <c r="G2075" s="501" t="s">
        <v>274</v>
      </c>
      <c r="H2075" s="502"/>
      <c r="I2075" s="503">
        <f t="shared" si="33"/>
        <v>59374.26999999999</v>
      </c>
    </row>
    <row r="2076" spans="2:9">
      <c r="B2076" s="496">
        <v>45952</v>
      </c>
      <c r="C2076" s="497" t="s">
        <v>117</v>
      </c>
      <c r="D2076" s="498" t="s">
        <v>903</v>
      </c>
      <c r="E2076" s="499"/>
      <c r="F2076" s="500">
        <v>1</v>
      </c>
      <c r="G2076" s="501" t="s">
        <v>272</v>
      </c>
      <c r="H2076" s="502"/>
      <c r="I2076" s="503">
        <f t="shared" si="33"/>
        <v>58848.179999999993</v>
      </c>
    </row>
    <row r="2077" spans="2:9">
      <c r="B2077" s="729">
        <v>45930</v>
      </c>
      <c r="C2077" s="497">
        <v>1255203122</v>
      </c>
      <c r="D2077" s="498" t="s">
        <v>2058</v>
      </c>
      <c r="E2077" s="499"/>
      <c r="F2077" s="500">
        <v>526.09</v>
      </c>
      <c r="G2077" s="501" t="s">
        <v>194</v>
      </c>
      <c r="H2077" s="502"/>
      <c r="I2077" s="503">
        <f t="shared" si="33"/>
        <v>58732.439999999995</v>
      </c>
    </row>
    <row r="2078" spans="2:9">
      <c r="B2078" s="729">
        <v>45930</v>
      </c>
      <c r="C2078" s="497">
        <v>1255203122</v>
      </c>
      <c r="D2078" s="498" t="s">
        <v>2058</v>
      </c>
      <c r="E2078" s="499"/>
      <c r="F2078" s="500">
        <v>115.74</v>
      </c>
      <c r="G2078" s="501" t="s">
        <v>274</v>
      </c>
      <c r="H2078" s="502"/>
      <c r="I2078" s="503">
        <f t="shared" si="33"/>
        <v>58731.439999999995</v>
      </c>
    </row>
    <row r="2079" spans="2:9">
      <c r="B2079" s="496">
        <v>45952</v>
      </c>
      <c r="C2079" s="497" t="s">
        <v>117</v>
      </c>
      <c r="D2079" s="498" t="s">
        <v>903</v>
      </c>
      <c r="E2079" s="499"/>
      <c r="F2079" s="500">
        <v>1</v>
      </c>
      <c r="G2079" s="501" t="s">
        <v>272</v>
      </c>
      <c r="H2079" s="502"/>
      <c r="I2079" s="503">
        <f t="shared" si="33"/>
        <v>59061.439999999995</v>
      </c>
    </row>
    <row r="2080" spans="2:9">
      <c r="B2080" s="496">
        <v>45952</v>
      </c>
      <c r="C2080" s="497" t="s">
        <v>283</v>
      </c>
      <c r="D2080" s="498" t="s">
        <v>307</v>
      </c>
      <c r="E2080" s="499">
        <v>330</v>
      </c>
      <c r="F2080" s="500"/>
      <c r="G2080" s="501" t="s">
        <v>190</v>
      </c>
      <c r="H2080" s="502"/>
      <c r="I2080" s="503">
        <f t="shared" si="33"/>
        <v>56061.439999999995</v>
      </c>
    </row>
    <row r="2081" spans="2:9">
      <c r="B2081" s="496">
        <v>45952</v>
      </c>
      <c r="C2081" s="497" t="s">
        <v>117</v>
      </c>
      <c r="D2081" s="498" t="s">
        <v>2163</v>
      </c>
      <c r="E2081" s="499"/>
      <c r="F2081" s="500">
        <v>3000</v>
      </c>
      <c r="G2081" s="501"/>
      <c r="H2081" s="502" t="s">
        <v>2164</v>
      </c>
      <c r="I2081" s="503">
        <f t="shared" si="33"/>
        <v>56060.689999999995</v>
      </c>
    </row>
    <row r="2082" spans="2:9">
      <c r="B2082" s="496">
        <v>45952</v>
      </c>
      <c r="C2082" s="497" t="s">
        <v>117</v>
      </c>
      <c r="D2082" s="498" t="s">
        <v>903</v>
      </c>
      <c r="E2082" s="499"/>
      <c r="F2082" s="500">
        <v>0.75</v>
      </c>
      <c r="G2082" s="501" t="s">
        <v>272</v>
      </c>
      <c r="H2082" s="502"/>
      <c r="I2082" s="503">
        <f t="shared" si="33"/>
        <v>55976.149999999994</v>
      </c>
    </row>
    <row r="2083" spans="2:9">
      <c r="B2083" s="496">
        <v>45953</v>
      </c>
      <c r="C2083" s="497" t="s">
        <v>2199</v>
      </c>
      <c r="D2083" s="498" t="s">
        <v>2198</v>
      </c>
      <c r="E2083" s="499"/>
      <c r="F2083" s="500">
        <v>84.54</v>
      </c>
      <c r="G2083" s="501" t="s">
        <v>216</v>
      </c>
      <c r="H2083" s="502"/>
      <c r="I2083" s="503">
        <f t="shared" si="33"/>
        <v>55967.689999999995</v>
      </c>
    </row>
    <row r="2084" spans="2:9">
      <c r="B2084" s="496">
        <v>45953</v>
      </c>
      <c r="C2084" s="497" t="s">
        <v>2199</v>
      </c>
      <c r="D2084" s="498" t="s">
        <v>2198</v>
      </c>
      <c r="E2084" s="499"/>
      <c r="F2084" s="500">
        <v>8.4600000000000009</v>
      </c>
      <c r="G2084" s="501" t="s">
        <v>274</v>
      </c>
      <c r="H2084" s="502"/>
      <c r="I2084" s="503">
        <f t="shared" si="33"/>
        <v>55966.689999999995</v>
      </c>
    </row>
    <row r="2085" spans="2:9">
      <c r="B2085" s="496">
        <v>45953</v>
      </c>
      <c r="C2085" s="497" t="s">
        <v>117</v>
      </c>
      <c r="D2085" s="498" t="s">
        <v>903</v>
      </c>
      <c r="E2085" s="499"/>
      <c r="F2085" s="500">
        <v>1</v>
      </c>
      <c r="G2085" s="501" t="s">
        <v>272</v>
      </c>
      <c r="H2085" s="502"/>
      <c r="I2085" s="503">
        <f t="shared" si="33"/>
        <v>56679.189999999995</v>
      </c>
    </row>
    <row r="2086" spans="2:9">
      <c r="B2086" s="496">
        <v>45953</v>
      </c>
      <c r="C2086" s="497" t="s">
        <v>283</v>
      </c>
      <c r="D2086" s="498" t="s">
        <v>307</v>
      </c>
      <c r="E2086" s="499">
        <v>712.5</v>
      </c>
      <c r="F2086" s="500"/>
      <c r="G2086" s="501" t="s">
        <v>190</v>
      </c>
      <c r="H2086" s="502"/>
      <c r="I2086" s="503">
        <f t="shared" si="33"/>
        <v>53192.689999999995</v>
      </c>
    </row>
    <row r="2087" spans="2:9">
      <c r="B2087" s="496">
        <v>45954</v>
      </c>
      <c r="C2087" s="641" t="s">
        <v>2366</v>
      </c>
      <c r="D2087" s="498" t="s">
        <v>2200</v>
      </c>
      <c r="E2087" s="499"/>
      <c r="F2087" s="500">
        <v>3486.5</v>
      </c>
      <c r="G2087" s="501" t="s">
        <v>216</v>
      </c>
      <c r="H2087" s="502"/>
      <c r="I2087" s="503">
        <f t="shared" si="33"/>
        <v>53191.689999999995</v>
      </c>
    </row>
    <row r="2088" spans="2:9">
      <c r="B2088" s="496">
        <v>45954</v>
      </c>
      <c r="C2088" s="497" t="s">
        <v>117</v>
      </c>
      <c r="D2088" s="498" t="s">
        <v>903</v>
      </c>
      <c r="E2088" s="499"/>
      <c r="F2088" s="500">
        <v>1</v>
      </c>
      <c r="G2088" s="501" t="s">
        <v>272</v>
      </c>
      <c r="H2088" s="502"/>
      <c r="I2088" s="503">
        <f t="shared" si="33"/>
        <v>58191.689999999995</v>
      </c>
    </row>
    <row r="2089" spans="2:9">
      <c r="B2089" s="496">
        <v>45954</v>
      </c>
      <c r="C2089" s="497" t="s">
        <v>541</v>
      </c>
      <c r="D2089" s="498" t="s">
        <v>542</v>
      </c>
      <c r="E2089" s="499">
        <v>5000</v>
      </c>
      <c r="F2089" s="500"/>
      <c r="G2089" s="501" t="s">
        <v>277</v>
      </c>
      <c r="H2089" s="502"/>
      <c r="I2089" s="503">
        <f t="shared" si="33"/>
        <v>58569.189999999995</v>
      </c>
    </row>
    <row r="2090" spans="2:9">
      <c r="B2090" s="496">
        <v>45954</v>
      </c>
      <c r="C2090" s="497" t="s">
        <v>283</v>
      </c>
      <c r="D2090" s="498" t="s">
        <v>307</v>
      </c>
      <c r="E2090" s="499">
        <v>377.5</v>
      </c>
      <c r="F2090" s="500"/>
      <c r="G2090" s="501" t="s">
        <v>190</v>
      </c>
      <c r="H2090" s="502"/>
      <c r="I2090" s="503">
        <f t="shared" si="33"/>
        <v>58485.539999999994</v>
      </c>
    </row>
    <row r="2091" spans="2:9">
      <c r="B2091" s="729">
        <v>45930</v>
      </c>
      <c r="C2091" s="497">
        <v>819</v>
      </c>
      <c r="D2091" s="498" t="s">
        <v>2201</v>
      </c>
      <c r="E2091" s="499"/>
      <c r="F2091" s="500">
        <v>83.65</v>
      </c>
      <c r="G2091" s="630" t="s">
        <v>256</v>
      </c>
      <c r="H2091" s="502"/>
      <c r="I2091" s="503">
        <f t="shared" si="33"/>
        <v>58482.189999999995</v>
      </c>
    </row>
    <row r="2092" spans="2:9">
      <c r="B2092" s="729">
        <v>45930</v>
      </c>
      <c r="C2092" s="497">
        <v>819</v>
      </c>
      <c r="D2092" s="498" t="s">
        <v>2201</v>
      </c>
      <c r="E2092" s="499"/>
      <c r="F2092" s="500">
        <v>3.35</v>
      </c>
      <c r="G2092" s="501" t="s">
        <v>274</v>
      </c>
      <c r="H2092" s="502"/>
      <c r="I2092" s="503">
        <f t="shared" si="33"/>
        <v>58441.999999999993</v>
      </c>
    </row>
    <row r="2093" spans="2:9">
      <c r="B2093" s="729">
        <v>45930</v>
      </c>
      <c r="C2093" s="497">
        <v>818</v>
      </c>
      <c r="D2093" s="498" t="s">
        <v>2201</v>
      </c>
      <c r="E2093" s="499"/>
      <c r="F2093" s="500">
        <v>40.19</v>
      </c>
      <c r="G2093" s="630" t="s">
        <v>256</v>
      </c>
      <c r="H2093" s="502"/>
      <c r="I2093" s="503">
        <f t="shared" si="33"/>
        <v>58440.389999999992</v>
      </c>
    </row>
    <row r="2094" spans="2:9">
      <c r="B2094" s="729">
        <v>45930</v>
      </c>
      <c r="C2094" s="497">
        <v>818</v>
      </c>
      <c r="D2094" s="498" t="s">
        <v>2201</v>
      </c>
      <c r="E2094" s="499"/>
      <c r="F2094" s="500">
        <v>1.61</v>
      </c>
      <c r="G2094" s="501" t="s">
        <v>274</v>
      </c>
      <c r="H2094" s="502"/>
      <c r="I2094" s="503">
        <f t="shared" si="33"/>
        <v>58437.099999999991</v>
      </c>
    </row>
    <row r="2095" spans="2:9">
      <c r="B2095" s="729">
        <v>45930</v>
      </c>
      <c r="C2095" s="497" t="s">
        <v>117</v>
      </c>
      <c r="D2095" s="498" t="s">
        <v>961</v>
      </c>
      <c r="E2095" s="499"/>
      <c r="F2095" s="500">
        <v>3.29</v>
      </c>
      <c r="G2095" s="501" t="s">
        <v>267</v>
      </c>
      <c r="H2095" s="502"/>
      <c r="I2095" s="503">
        <f t="shared" si="33"/>
        <v>58371.55999999999</v>
      </c>
    </row>
    <row r="2096" spans="2:9">
      <c r="B2096" s="729">
        <v>45930</v>
      </c>
      <c r="C2096" s="497" t="s">
        <v>2203</v>
      </c>
      <c r="D2096" s="498" t="s">
        <v>2202</v>
      </c>
      <c r="E2096" s="499"/>
      <c r="F2096" s="500">
        <v>65.540000000000006</v>
      </c>
      <c r="G2096" s="501" t="s">
        <v>256</v>
      </c>
      <c r="H2096" s="502"/>
      <c r="I2096" s="503">
        <f t="shared" si="33"/>
        <v>58548.599999999991</v>
      </c>
    </row>
    <row r="2097" spans="2:9">
      <c r="B2097" s="729">
        <v>45930</v>
      </c>
      <c r="C2097" s="513" t="s">
        <v>2144</v>
      </c>
      <c r="D2097" s="514" t="s">
        <v>948</v>
      </c>
      <c r="E2097" s="515">
        <v>177.04</v>
      </c>
      <c r="F2097" s="516"/>
      <c r="G2097" s="501" t="s">
        <v>205</v>
      </c>
      <c r="H2097" s="502"/>
      <c r="I2097" s="503">
        <f t="shared" si="33"/>
        <v>58587.549999999988</v>
      </c>
    </row>
    <row r="2098" spans="2:9">
      <c r="B2098" s="729">
        <v>45930</v>
      </c>
      <c r="C2098" s="513" t="s">
        <v>2144</v>
      </c>
      <c r="D2098" s="514" t="s">
        <v>948</v>
      </c>
      <c r="E2098" s="515">
        <v>38.950000000000003</v>
      </c>
      <c r="F2098" s="516"/>
      <c r="G2098" s="501" t="s">
        <v>276</v>
      </c>
      <c r="H2098" s="502"/>
      <c r="I2098" s="503">
        <f t="shared" si="33"/>
        <v>58577.419999999991</v>
      </c>
    </row>
    <row r="2099" spans="2:9">
      <c r="B2099" s="729">
        <v>45930</v>
      </c>
      <c r="C2099" s="497" t="s">
        <v>2205</v>
      </c>
      <c r="D2099" s="498" t="s">
        <v>946</v>
      </c>
      <c r="E2099" s="499"/>
      <c r="F2099" s="500">
        <v>10.130000000000001</v>
      </c>
      <c r="G2099" s="501" t="s">
        <v>232</v>
      </c>
      <c r="H2099" s="502"/>
      <c r="I2099" s="503">
        <f t="shared" si="33"/>
        <v>58405.399999999994</v>
      </c>
    </row>
    <row r="2100" spans="2:9">
      <c r="B2100" s="729">
        <v>45930</v>
      </c>
      <c r="C2100" s="497" t="s">
        <v>2204</v>
      </c>
      <c r="D2100" s="498" t="s">
        <v>946</v>
      </c>
      <c r="E2100" s="499"/>
      <c r="F2100" s="500">
        <v>172.02</v>
      </c>
      <c r="G2100" s="501" t="s">
        <v>232</v>
      </c>
      <c r="H2100" s="502"/>
      <c r="I2100" s="503">
        <f t="shared" si="33"/>
        <v>57962.779999999992</v>
      </c>
    </row>
    <row r="2101" spans="2:9">
      <c r="B2101" s="729">
        <v>45930</v>
      </c>
      <c r="C2101" s="497" t="s">
        <v>2206</v>
      </c>
      <c r="D2101" s="498" t="s">
        <v>2207</v>
      </c>
      <c r="E2101" s="499"/>
      <c r="F2101" s="500">
        <v>442.62</v>
      </c>
      <c r="G2101" s="501" t="s">
        <v>216</v>
      </c>
      <c r="H2101" s="502"/>
      <c r="I2101" s="503">
        <f t="shared" si="33"/>
        <v>57865.399999999994</v>
      </c>
    </row>
    <row r="2102" spans="2:9">
      <c r="B2102" s="729">
        <v>45930</v>
      </c>
      <c r="C2102" s="497" t="s">
        <v>2206</v>
      </c>
      <c r="D2102" s="498" t="s">
        <v>2207</v>
      </c>
      <c r="E2102" s="499"/>
      <c r="F2102" s="500">
        <v>97.38</v>
      </c>
      <c r="G2102" s="501" t="s">
        <v>274</v>
      </c>
      <c r="H2102" s="502"/>
      <c r="I2102" s="503">
        <f t="shared" si="33"/>
        <v>57686.399999999994</v>
      </c>
    </row>
    <row r="2103" spans="2:9">
      <c r="B2103" s="729">
        <v>45930</v>
      </c>
      <c r="C2103" s="497">
        <v>5100154130</v>
      </c>
      <c r="D2103" s="498" t="s">
        <v>2208</v>
      </c>
      <c r="E2103" s="499"/>
      <c r="F2103" s="500">
        <v>179</v>
      </c>
      <c r="G2103" s="630" t="s">
        <v>266</v>
      </c>
      <c r="H2103" s="502"/>
      <c r="I2103" s="503">
        <f t="shared" si="33"/>
        <v>57570.869999999995</v>
      </c>
    </row>
    <row r="2104" spans="2:9">
      <c r="B2104" s="729">
        <v>45930</v>
      </c>
      <c r="C2104" s="497" t="s">
        <v>2210</v>
      </c>
      <c r="D2104" s="498" t="s">
        <v>2209</v>
      </c>
      <c r="E2104" s="499"/>
      <c r="F2104" s="500">
        <v>115.53</v>
      </c>
      <c r="G2104" s="501" t="s">
        <v>207</v>
      </c>
      <c r="H2104" s="502"/>
      <c r="I2104" s="503">
        <f t="shared" si="33"/>
        <v>57543.079999999994</v>
      </c>
    </row>
    <row r="2105" spans="2:9">
      <c r="B2105" s="729">
        <v>45930</v>
      </c>
      <c r="C2105" s="513" t="s">
        <v>2211</v>
      </c>
      <c r="D2105" s="514" t="s">
        <v>950</v>
      </c>
      <c r="E2105" s="515"/>
      <c r="F2105" s="500">
        <v>27.79</v>
      </c>
      <c r="G2105" s="522" t="s">
        <v>256</v>
      </c>
      <c r="H2105" s="502"/>
      <c r="I2105" s="503">
        <f t="shared" si="33"/>
        <v>57536.969999999994</v>
      </c>
    </row>
    <row r="2106" spans="2:9">
      <c r="B2106" s="729">
        <v>45930</v>
      </c>
      <c r="C2106" s="513" t="s">
        <v>2211</v>
      </c>
      <c r="D2106" s="514" t="s">
        <v>950</v>
      </c>
      <c r="E2106" s="515"/>
      <c r="F2106" s="500">
        <v>6.11</v>
      </c>
      <c r="G2106" s="522" t="s">
        <v>274</v>
      </c>
      <c r="H2106" s="502"/>
      <c r="I2106" s="503">
        <f t="shared" si="33"/>
        <v>56866.38</v>
      </c>
    </row>
    <row r="2107" spans="2:9">
      <c r="B2107" s="729">
        <v>45930</v>
      </c>
      <c r="C2107" s="641" t="s">
        <v>117</v>
      </c>
      <c r="D2107" s="505" t="s">
        <v>2224</v>
      </c>
      <c r="E2107" s="499"/>
      <c r="F2107" s="500">
        <v>670.59</v>
      </c>
      <c r="G2107" s="630" t="s">
        <v>194</v>
      </c>
      <c r="H2107" s="502"/>
      <c r="I2107" s="503">
        <f t="shared" si="33"/>
        <v>56776.38</v>
      </c>
    </row>
    <row r="2108" spans="2:9">
      <c r="B2108" s="729">
        <v>45930</v>
      </c>
      <c r="C2108" s="497">
        <v>1000253008565030</v>
      </c>
      <c r="D2108" s="498" t="s">
        <v>2212</v>
      </c>
      <c r="E2108" s="499"/>
      <c r="F2108" s="500">
        <v>90</v>
      </c>
      <c r="G2108" s="630" t="s">
        <v>256</v>
      </c>
      <c r="H2108" s="502"/>
      <c r="I2108" s="503">
        <f t="shared" si="33"/>
        <v>56756.579999999994</v>
      </c>
    </row>
    <row r="2109" spans="2:9">
      <c r="B2109" s="729">
        <v>45930</v>
      </c>
      <c r="C2109" s="497">
        <v>1000253008565030</v>
      </c>
      <c r="D2109" s="498" t="s">
        <v>2212</v>
      </c>
      <c r="E2109" s="499"/>
      <c r="F2109" s="500">
        <v>19.8</v>
      </c>
      <c r="G2109" s="630" t="s">
        <v>274</v>
      </c>
      <c r="H2109" s="502"/>
      <c r="I2109" s="503">
        <f t="shared" si="33"/>
        <v>56638.549999999996</v>
      </c>
    </row>
    <row r="2110" spans="2:9">
      <c r="B2110" s="729">
        <v>45930</v>
      </c>
      <c r="C2110" s="497" t="s">
        <v>2213</v>
      </c>
      <c r="D2110" s="498" t="s">
        <v>1013</v>
      </c>
      <c r="E2110" s="499"/>
      <c r="F2110" s="500">
        <v>118.03</v>
      </c>
      <c r="G2110" s="501" t="s">
        <v>207</v>
      </c>
      <c r="H2110" s="502"/>
      <c r="I2110" s="503">
        <f t="shared" si="33"/>
        <v>56612.579999999994</v>
      </c>
    </row>
    <row r="2111" spans="2:9">
      <c r="B2111" s="729">
        <v>45930</v>
      </c>
      <c r="C2111" s="497" t="s">
        <v>2213</v>
      </c>
      <c r="D2111" s="498" t="s">
        <v>1013</v>
      </c>
      <c r="E2111" s="499"/>
      <c r="F2111" s="500">
        <v>25.97</v>
      </c>
      <c r="G2111" s="522" t="s">
        <v>256</v>
      </c>
      <c r="H2111" s="502"/>
      <c r="I2111" s="503">
        <f t="shared" si="33"/>
        <v>56457.049999999996</v>
      </c>
    </row>
    <row r="2112" spans="2:9">
      <c r="B2112" s="729">
        <v>45930</v>
      </c>
      <c r="C2112" s="641" t="s">
        <v>2225</v>
      </c>
      <c r="D2112" s="498" t="s">
        <v>2214</v>
      </c>
      <c r="E2112" s="499"/>
      <c r="F2112" s="500">
        <v>155.53</v>
      </c>
      <c r="G2112" s="630" t="s">
        <v>202</v>
      </c>
      <c r="H2112" s="502"/>
      <c r="I2112" s="503">
        <f t="shared" si="33"/>
        <v>56202.95</v>
      </c>
    </row>
    <row r="2113" spans="2:9">
      <c r="B2113" s="729">
        <v>45930</v>
      </c>
      <c r="C2113" s="497" t="s">
        <v>2215</v>
      </c>
      <c r="D2113" s="498" t="s">
        <v>545</v>
      </c>
      <c r="E2113" s="499"/>
      <c r="F2113" s="500">
        <v>254.1</v>
      </c>
      <c r="G2113" s="501" t="s">
        <v>208</v>
      </c>
      <c r="H2113" s="502"/>
      <c r="I2113" s="503">
        <f t="shared" ref="I2113:I2176" si="34">I2112+E2114-F2114</f>
        <v>56147.049999999996</v>
      </c>
    </row>
    <row r="2114" spans="2:9">
      <c r="B2114" s="729">
        <v>45930</v>
      </c>
      <c r="C2114" s="497" t="s">
        <v>2215</v>
      </c>
      <c r="D2114" s="498" t="s">
        <v>545</v>
      </c>
      <c r="E2114" s="499"/>
      <c r="F2114" s="500">
        <v>55.9</v>
      </c>
      <c r="G2114" s="501" t="s">
        <v>274</v>
      </c>
      <c r="H2114" s="502"/>
      <c r="I2114" s="503">
        <f t="shared" si="34"/>
        <v>56142.139999999992</v>
      </c>
    </row>
    <row r="2115" spans="2:9">
      <c r="B2115" s="729">
        <v>45930</v>
      </c>
      <c r="C2115" s="497" t="s">
        <v>2216</v>
      </c>
      <c r="D2115" s="498" t="s">
        <v>545</v>
      </c>
      <c r="E2115" s="499"/>
      <c r="F2115" s="500">
        <v>4.91</v>
      </c>
      <c r="G2115" s="501" t="s">
        <v>208</v>
      </c>
      <c r="H2115" s="502"/>
      <c r="I2115" s="503">
        <f t="shared" si="34"/>
        <v>56141.05999999999</v>
      </c>
    </row>
    <row r="2116" spans="2:9">
      <c r="B2116" s="729">
        <v>45930</v>
      </c>
      <c r="C2116" s="497" t="s">
        <v>2216</v>
      </c>
      <c r="D2116" s="498" t="s">
        <v>545</v>
      </c>
      <c r="E2116" s="499"/>
      <c r="F2116" s="500">
        <v>1.08</v>
      </c>
      <c r="G2116" s="501" t="s">
        <v>274</v>
      </c>
      <c r="H2116" s="502"/>
      <c r="I2116" s="503">
        <f t="shared" si="34"/>
        <v>56022.689999999988</v>
      </c>
    </row>
    <row r="2117" spans="2:9">
      <c r="B2117" s="729">
        <v>45930</v>
      </c>
      <c r="C2117" s="497" t="s">
        <v>2217</v>
      </c>
      <c r="D2117" s="498" t="s">
        <v>545</v>
      </c>
      <c r="E2117" s="499"/>
      <c r="F2117" s="500">
        <v>118.37</v>
      </c>
      <c r="G2117" s="501" t="s">
        <v>208</v>
      </c>
      <c r="H2117" s="502"/>
      <c r="I2117" s="503">
        <f t="shared" si="34"/>
        <v>55996.649999999987</v>
      </c>
    </row>
    <row r="2118" spans="2:9">
      <c r="B2118" s="729">
        <v>45930</v>
      </c>
      <c r="C2118" s="497" t="s">
        <v>2217</v>
      </c>
      <c r="D2118" s="498" t="s">
        <v>545</v>
      </c>
      <c r="E2118" s="499"/>
      <c r="F2118" s="500">
        <v>26.04</v>
      </c>
      <c r="G2118" s="501" t="s">
        <v>274</v>
      </c>
      <c r="H2118" s="502"/>
      <c r="I2118" s="503">
        <f t="shared" si="34"/>
        <v>54694.189999999988</v>
      </c>
    </row>
    <row r="2119" spans="2:9">
      <c r="B2119" s="729">
        <v>45930</v>
      </c>
      <c r="C2119" s="497" t="s">
        <v>2218</v>
      </c>
      <c r="D2119" s="498" t="s">
        <v>2094</v>
      </c>
      <c r="E2119" s="499"/>
      <c r="F2119" s="500">
        <v>1302.46</v>
      </c>
      <c r="G2119" s="522" t="s">
        <v>256</v>
      </c>
      <c r="H2119" s="502"/>
      <c r="I2119" s="503">
        <f t="shared" si="34"/>
        <v>54692.189999999988</v>
      </c>
    </row>
    <row r="2120" spans="2:9">
      <c r="B2120" s="729">
        <v>45930</v>
      </c>
      <c r="C2120" s="497" t="s">
        <v>117</v>
      </c>
      <c r="D2120" s="498" t="s">
        <v>908</v>
      </c>
      <c r="E2120" s="499"/>
      <c r="F2120" s="500">
        <v>2</v>
      </c>
      <c r="G2120" s="501" t="s">
        <v>254</v>
      </c>
      <c r="H2120" s="502"/>
      <c r="I2120" s="503">
        <f t="shared" si="34"/>
        <v>54690.939999999988</v>
      </c>
    </row>
    <row r="2121" spans="2:9">
      <c r="B2121" s="496">
        <v>45957</v>
      </c>
      <c r="C2121" s="497" t="s">
        <v>117</v>
      </c>
      <c r="D2121" s="498" t="s">
        <v>921</v>
      </c>
      <c r="E2121" s="499"/>
      <c r="F2121" s="500">
        <v>1.25</v>
      </c>
      <c r="G2121" s="501" t="s">
        <v>271</v>
      </c>
      <c r="H2121" s="502"/>
      <c r="I2121" s="503">
        <f t="shared" si="34"/>
        <v>54558.939999999988</v>
      </c>
    </row>
    <row r="2122" spans="2:9">
      <c r="B2122" s="496">
        <v>45957</v>
      </c>
      <c r="C2122" s="497">
        <v>126</v>
      </c>
      <c r="D2122" s="498" t="s">
        <v>2093</v>
      </c>
      <c r="E2122" s="499"/>
      <c r="F2122" s="500">
        <v>132</v>
      </c>
      <c r="G2122" s="501" t="s">
        <v>227</v>
      </c>
      <c r="H2122" s="502"/>
      <c r="I2122" s="503">
        <f t="shared" si="34"/>
        <v>54557.939999999988</v>
      </c>
    </row>
    <row r="2123" spans="2:9">
      <c r="B2123" s="496">
        <v>45957</v>
      </c>
      <c r="C2123" s="497" t="s">
        <v>117</v>
      </c>
      <c r="D2123" s="498" t="s">
        <v>903</v>
      </c>
      <c r="E2123" s="499"/>
      <c r="F2123" s="500">
        <v>1</v>
      </c>
      <c r="G2123" s="501" t="s">
        <v>272</v>
      </c>
      <c r="H2123" s="502"/>
      <c r="I2123" s="503">
        <f t="shared" si="34"/>
        <v>57225.639999999985</v>
      </c>
    </row>
    <row r="2124" spans="2:9">
      <c r="B2124" s="496">
        <v>45957</v>
      </c>
      <c r="C2124" s="497" t="s">
        <v>283</v>
      </c>
      <c r="D2124" s="498" t="s">
        <v>307</v>
      </c>
      <c r="E2124" s="499">
        <v>2667.7</v>
      </c>
      <c r="F2124" s="500"/>
      <c r="G2124" s="501" t="s">
        <v>190</v>
      </c>
      <c r="H2124" s="502"/>
      <c r="I2124" s="503">
        <f t="shared" si="34"/>
        <v>59983.089999999982</v>
      </c>
    </row>
    <row r="2125" spans="2:9">
      <c r="B2125" s="496">
        <v>45957</v>
      </c>
      <c r="C2125" s="497" t="s">
        <v>283</v>
      </c>
      <c r="D2125" s="498" t="s">
        <v>307</v>
      </c>
      <c r="E2125" s="499">
        <v>2757.45</v>
      </c>
      <c r="F2125" s="500"/>
      <c r="G2125" s="501" t="s">
        <v>190</v>
      </c>
      <c r="H2125" s="502"/>
      <c r="I2125" s="503">
        <f t="shared" si="34"/>
        <v>63671.789999999979</v>
      </c>
    </row>
    <row r="2126" spans="2:9">
      <c r="B2126" s="496">
        <v>45957</v>
      </c>
      <c r="C2126" s="497" t="s">
        <v>283</v>
      </c>
      <c r="D2126" s="498" t="s">
        <v>307</v>
      </c>
      <c r="E2126" s="499">
        <v>3688.7</v>
      </c>
      <c r="F2126" s="500"/>
      <c r="G2126" s="501" t="s">
        <v>190</v>
      </c>
      <c r="H2126" s="502"/>
      <c r="I2126" s="503">
        <f t="shared" si="34"/>
        <v>63963.789999999979</v>
      </c>
    </row>
    <row r="2127" spans="2:9">
      <c r="B2127" s="496">
        <v>45957</v>
      </c>
      <c r="C2127" s="497" t="s">
        <v>283</v>
      </c>
      <c r="D2127" s="498" t="s">
        <v>909</v>
      </c>
      <c r="E2127" s="499">
        <v>292</v>
      </c>
      <c r="F2127" s="500"/>
      <c r="G2127" s="501" t="s">
        <v>190</v>
      </c>
      <c r="H2127" s="502"/>
      <c r="I2127" s="503">
        <f t="shared" si="34"/>
        <v>63960.739999999976</v>
      </c>
    </row>
    <row r="2128" spans="2:9">
      <c r="B2128" s="496">
        <v>45957</v>
      </c>
      <c r="C2128" s="497" t="s">
        <v>117</v>
      </c>
      <c r="D2128" s="498" t="s">
        <v>911</v>
      </c>
      <c r="E2128" s="499"/>
      <c r="F2128" s="500">
        <v>3.05</v>
      </c>
      <c r="G2128" s="501" t="s">
        <v>269</v>
      </c>
      <c r="H2128" s="502"/>
      <c r="I2128" s="503">
        <f t="shared" si="34"/>
        <v>73710.739999999976</v>
      </c>
    </row>
    <row r="2129" spans="2:9">
      <c r="B2129" s="496">
        <v>45958</v>
      </c>
      <c r="C2129" s="497" t="s">
        <v>541</v>
      </c>
      <c r="D2129" s="498" t="s">
        <v>542</v>
      </c>
      <c r="E2129" s="499">
        <v>9750</v>
      </c>
      <c r="F2129" s="500"/>
      <c r="G2129" s="501" t="s">
        <v>277</v>
      </c>
      <c r="H2129" s="502"/>
      <c r="I2129" s="503">
        <f t="shared" si="34"/>
        <v>74407.939999999973</v>
      </c>
    </row>
    <row r="2130" spans="2:9">
      <c r="B2130" s="496">
        <v>45958</v>
      </c>
      <c r="C2130" s="497" t="s">
        <v>283</v>
      </c>
      <c r="D2130" s="498" t="s">
        <v>307</v>
      </c>
      <c r="E2130" s="499">
        <v>697.2</v>
      </c>
      <c r="F2130" s="500"/>
      <c r="G2130" s="501" t="s">
        <v>190</v>
      </c>
      <c r="H2130" s="502"/>
      <c r="I2130" s="503">
        <f t="shared" si="34"/>
        <v>73597.939999999973</v>
      </c>
    </row>
    <row r="2131" spans="2:9">
      <c r="B2131" s="496">
        <v>45958</v>
      </c>
      <c r="C2131" s="641">
        <v>1858</v>
      </c>
      <c r="D2131" s="498" t="s">
        <v>2219</v>
      </c>
      <c r="E2131" s="499"/>
      <c r="F2131" s="500">
        <v>810</v>
      </c>
      <c r="G2131" s="501" t="s">
        <v>238</v>
      </c>
      <c r="H2131" s="502"/>
      <c r="I2131" s="503">
        <f t="shared" si="34"/>
        <v>73419.739999999976</v>
      </c>
    </row>
    <row r="2132" spans="2:9">
      <c r="B2132" s="496">
        <v>45958</v>
      </c>
      <c r="C2132" s="641">
        <v>1858</v>
      </c>
      <c r="D2132" s="498" t="s">
        <v>2219</v>
      </c>
      <c r="E2132" s="499"/>
      <c r="F2132" s="500">
        <v>178.2</v>
      </c>
      <c r="G2132" s="501" t="s">
        <v>274</v>
      </c>
      <c r="H2132" s="502"/>
      <c r="I2132" s="503">
        <f t="shared" si="34"/>
        <v>73418.739999999976</v>
      </c>
    </row>
    <row r="2133" spans="2:9">
      <c r="B2133" s="496">
        <v>45958</v>
      </c>
      <c r="C2133" s="497" t="s">
        <v>117</v>
      </c>
      <c r="D2133" s="498" t="s">
        <v>903</v>
      </c>
      <c r="E2133" s="499"/>
      <c r="F2133" s="500">
        <v>1</v>
      </c>
      <c r="G2133" s="501" t="s">
        <v>272</v>
      </c>
      <c r="H2133" s="502"/>
      <c r="I2133" s="503">
        <f t="shared" si="34"/>
        <v>73539.239999999976</v>
      </c>
    </row>
    <row r="2134" spans="2:9">
      <c r="B2134" s="496">
        <v>45958</v>
      </c>
      <c r="C2134" s="497" t="s">
        <v>283</v>
      </c>
      <c r="D2134" s="498" t="s">
        <v>909</v>
      </c>
      <c r="E2134" s="499">
        <v>120.5</v>
      </c>
      <c r="F2134" s="500"/>
      <c r="G2134" s="501" t="s">
        <v>190</v>
      </c>
      <c r="H2134" s="502"/>
      <c r="I2134" s="503">
        <f t="shared" si="34"/>
        <v>73538.189999999973</v>
      </c>
    </row>
    <row r="2135" spans="2:9">
      <c r="B2135" s="496">
        <v>45958</v>
      </c>
      <c r="C2135" s="497" t="s">
        <v>117</v>
      </c>
      <c r="D2135" s="498" t="s">
        <v>911</v>
      </c>
      <c r="E2135" s="499"/>
      <c r="F2135" s="500">
        <v>1.05</v>
      </c>
      <c r="G2135" s="501" t="s">
        <v>269</v>
      </c>
      <c r="H2135" s="502"/>
      <c r="I2135" s="503">
        <f t="shared" si="34"/>
        <v>73993.589999999967</v>
      </c>
    </row>
    <row r="2136" spans="2:9">
      <c r="B2136" s="496">
        <v>45959</v>
      </c>
      <c r="C2136" s="497" t="s">
        <v>283</v>
      </c>
      <c r="D2136" s="498" t="s">
        <v>307</v>
      </c>
      <c r="E2136" s="499">
        <v>455.4</v>
      </c>
      <c r="F2136" s="500"/>
      <c r="G2136" s="501" t="s">
        <v>190</v>
      </c>
      <c r="H2136" s="502"/>
      <c r="I2136" s="503">
        <f t="shared" si="34"/>
        <v>72704.499999999971</v>
      </c>
    </row>
    <row r="2137" spans="2:9">
      <c r="B2137" s="496">
        <v>45959</v>
      </c>
      <c r="C2137" s="513" t="s">
        <v>962</v>
      </c>
      <c r="D2137" s="514" t="s">
        <v>2220</v>
      </c>
      <c r="E2137" s="515"/>
      <c r="F2137" s="516">
        <v>1289.0899999999999</v>
      </c>
      <c r="G2137" s="522" t="s">
        <v>279</v>
      </c>
      <c r="H2137" s="502"/>
      <c r="I2137" s="503">
        <f t="shared" si="34"/>
        <v>72625.63999999997</v>
      </c>
    </row>
    <row r="2138" spans="2:9">
      <c r="B2138" s="496">
        <v>45959</v>
      </c>
      <c r="C2138" s="513" t="s">
        <v>962</v>
      </c>
      <c r="D2138" s="514" t="s">
        <v>2221</v>
      </c>
      <c r="E2138" s="515"/>
      <c r="F2138" s="516">
        <v>78.86</v>
      </c>
      <c r="G2138" s="522" t="s">
        <v>262</v>
      </c>
      <c r="H2138" s="502"/>
      <c r="I2138" s="503">
        <f t="shared" si="34"/>
        <v>72623.13999999997</v>
      </c>
    </row>
    <row r="2139" spans="2:9">
      <c r="B2139" s="496">
        <v>45959</v>
      </c>
      <c r="C2139" s="513" t="s">
        <v>962</v>
      </c>
      <c r="D2139" s="514" t="s">
        <v>965</v>
      </c>
      <c r="E2139" s="515"/>
      <c r="F2139" s="516">
        <v>2.5</v>
      </c>
      <c r="G2139" s="522" t="s">
        <v>966</v>
      </c>
      <c r="H2139" s="502"/>
      <c r="I2139" s="503">
        <f t="shared" si="34"/>
        <v>66623.13999999997</v>
      </c>
    </row>
    <row r="2140" spans="2:9">
      <c r="B2140" s="496">
        <v>45960</v>
      </c>
      <c r="C2140" s="641">
        <v>217</v>
      </c>
      <c r="D2140" s="498" t="s">
        <v>2055</v>
      </c>
      <c r="E2140" s="499"/>
      <c r="F2140" s="500">
        <v>6000</v>
      </c>
      <c r="G2140" s="501"/>
      <c r="H2140" s="812" t="s">
        <v>1128</v>
      </c>
      <c r="I2140" s="503">
        <f t="shared" si="34"/>
        <v>65303.13999999997</v>
      </c>
    </row>
    <row r="2141" spans="2:9">
      <c r="B2141" s="496">
        <v>45960</v>
      </c>
      <c r="C2141" s="641">
        <v>217</v>
      </c>
      <c r="D2141" s="498" t="s">
        <v>2055</v>
      </c>
      <c r="E2141" s="499"/>
      <c r="F2141" s="500">
        <v>1320</v>
      </c>
      <c r="G2141" s="501" t="s">
        <v>274</v>
      </c>
      <c r="H2141" s="502"/>
      <c r="I2141" s="503">
        <f t="shared" si="34"/>
        <v>65302.13999999997</v>
      </c>
    </row>
    <row r="2142" spans="2:9">
      <c r="B2142" s="496">
        <v>45960</v>
      </c>
      <c r="C2142" s="497" t="s">
        <v>117</v>
      </c>
      <c r="D2142" s="498" t="s">
        <v>903</v>
      </c>
      <c r="E2142" s="499"/>
      <c r="F2142" s="500">
        <v>1</v>
      </c>
      <c r="G2142" s="501" t="s">
        <v>272</v>
      </c>
      <c r="H2142" s="502"/>
      <c r="I2142" s="503">
        <f t="shared" si="34"/>
        <v>65479.13999999997</v>
      </c>
    </row>
    <row r="2143" spans="2:9">
      <c r="B2143" s="496">
        <v>45960</v>
      </c>
      <c r="C2143" s="497" t="s">
        <v>283</v>
      </c>
      <c r="D2143" s="498" t="s">
        <v>307</v>
      </c>
      <c r="E2143" s="499">
        <v>177</v>
      </c>
      <c r="F2143" s="500"/>
      <c r="G2143" s="501" t="s">
        <v>190</v>
      </c>
      <c r="H2143" s="502"/>
      <c r="I2143" s="503">
        <f t="shared" si="34"/>
        <v>65780.069999999963</v>
      </c>
    </row>
    <row r="2144" spans="2:9">
      <c r="B2144" s="496">
        <v>45960</v>
      </c>
      <c r="C2144" s="497" t="s">
        <v>2227</v>
      </c>
      <c r="D2144" s="498" t="s">
        <v>379</v>
      </c>
      <c r="E2144" s="499">
        <v>300.93</v>
      </c>
      <c r="F2144" s="500"/>
      <c r="G2144" s="501" t="s">
        <v>237</v>
      </c>
      <c r="H2144" s="502"/>
      <c r="I2144" s="503">
        <f t="shared" si="34"/>
        <v>65846.26999999996</v>
      </c>
    </row>
    <row r="2145" spans="2:9">
      <c r="B2145" s="496">
        <v>45960</v>
      </c>
      <c r="C2145" s="497" t="s">
        <v>2227</v>
      </c>
      <c r="D2145" s="498" t="s">
        <v>379</v>
      </c>
      <c r="E2145" s="499">
        <v>66.2</v>
      </c>
      <c r="F2145" s="500"/>
      <c r="G2145" s="501" t="s">
        <v>276</v>
      </c>
      <c r="H2145" s="502"/>
      <c r="I2145" s="503">
        <f t="shared" si="34"/>
        <v>75846.26999999996</v>
      </c>
    </row>
    <row r="2146" spans="2:9">
      <c r="B2146" s="496">
        <v>45960</v>
      </c>
      <c r="C2146" s="497" t="s">
        <v>541</v>
      </c>
      <c r="D2146" s="498" t="s">
        <v>542</v>
      </c>
      <c r="E2146" s="499">
        <v>10000</v>
      </c>
      <c r="F2146" s="500"/>
      <c r="G2146" s="501" t="s">
        <v>277</v>
      </c>
      <c r="H2146" s="502"/>
      <c r="I2146" s="503">
        <f t="shared" si="34"/>
        <v>75656.26999999996</v>
      </c>
    </row>
    <row r="2147" spans="2:9">
      <c r="B2147" s="496">
        <v>45960</v>
      </c>
      <c r="C2147" s="497">
        <v>643</v>
      </c>
      <c r="D2147" s="498" t="s">
        <v>1244</v>
      </c>
      <c r="E2147" s="499"/>
      <c r="F2147" s="500">
        <v>190</v>
      </c>
      <c r="G2147" s="501" t="s">
        <v>207</v>
      </c>
      <c r="H2147" s="502"/>
      <c r="I2147" s="503">
        <f t="shared" si="34"/>
        <v>75614.469999999958</v>
      </c>
    </row>
    <row r="2148" spans="2:9">
      <c r="B2148" s="496">
        <v>45960</v>
      </c>
      <c r="C2148" s="497">
        <v>643</v>
      </c>
      <c r="D2148" s="498" t="s">
        <v>1244</v>
      </c>
      <c r="E2148" s="499"/>
      <c r="F2148" s="500">
        <v>41.8</v>
      </c>
      <c r="G2148" s="501" t="s">
        <v>274</v>
      </c>
      <c r="H2148" s="502"/>
      <c r="I2148" s="503">
        <f t="shared" si="34"/>
        <v>75613.469999999958</v>
      </c>
    </row>
    <row r="2149" spans="2:9">
      <c r="B2149" s="496">
        <v>45960</v>
      </c>
      <c r="C2149" s="497" t="s">
        <v>117</v>
      </c>
      <c r="D2149" s="498" t="s">
        <v>903</v>
      </c>
      <c r="E2149" s="499"/>
      <c r="F2149" s="500">
        <v>1</v>
      </c>
      <c r="G2149" s="501" t="s">
        <v>272</v>
      </c>
      <c r="H2149" s="502"/>
      <c r="I2149" s="503">
        <f t="shared" si="34"/>
        <v>74705.849999999962</v>
      </c>
    </row>
    <row r="2150" spans="2:9">
      <c r="B2150" s="729">
        <v>45930</v>
      </c>
      <c r="C2150" s="497" t="s">
        <v>2229</v>
      </c>
      <c r="D2150" s="498" t="s">
        <v>361</v>
      </c>
      <c r="E2150" s="499"/>
      <c r="F2150" s="500">
        <v>907.62</v>
      </c>
      <c r="G2150" s="501" t="s">
        <v>199</v>
      </c>
      <c r="H2150" s="502"/>
      <c r="I2150" s="503">
        <f t="shared" si="34"/>
        <v>74633.109999999957</v>
      </c>
    </row>
    <row r="2151" spans="2:9">
      <c r="B2151" s="729">
        <v>45930</v>
      </c>
      <c r="C2151" s="497" t="s">
        <v>2229</v>
      </c>
      <c r="D2151" s="498" t="s">
        <v>361</v>
      </c>
      <c r="E2151" s="499"/>
      <c r="F2151" s="500">
        <v>72.739999999999995</v>
      </c>
      <c r="G2151" s="501" t="s">
        <v>274</v>
      </c>
      <c r="H2151" s="502"/>
      <c r="I2151" s="503">
        <f t="shared" si="34"/>
        <v>74631.859999999957</v>
      </c>
    </row>
    <row r="2152" spans="2:9">
      <c r="B2152" s="496">
        <v>45961</v>
      </c>
      <c r="C2152" s="497" t="s">
        <v>117</v>
      </c>
      <c r="D2152" s="498" t="s">
        <v>921</v>
      </c>
      <c r="E2152" s="499"/>
      <c r="F2152" s="500">
        <v>1.25</v>
      </c>
      <c r="G2152" s="501" t="s">
        <v>271</v>
      </c>
      <c r="H2152" s="502"/>
      <c r="I2152" s="503">
        <f t="shared" si="34"/>
        <v>74501.859999999957</v>
      </c>
    </row>
    <row r="2153" spans="2:9">
      <c r="B2153" s="496">
        <v>45961</v>
      </c>
      <c r="C2153" s="510"/>
      <c r="D2153" s="498" t="s">
        <v>347</v>
      </c>
      <c r="E2153" s="499"/>
      <c r="F2153" s="500">
        <v>130</v>
      </c>
      <c r="G2153" s="501" t="s">
        <v>238</v>
      </c>
      <c r="H2153" s="502"/>
      <c r="I2153" s="503">
        <f t="shared" si="34"/>
        <v>74473.259999999951</v>
      </c>
    </row>
    <row r="2154" spans="2:9">
      <c r="B2154" s="496">
        <v>45961</v>
      </c>
      <c r="C2154" s="510"/>
      <c r="D2154" s="498" t="s">
        <v>2237</v>
      </c>
      <c r="E2154" s="499"/>
      <c r="F2154" s="500">
        <v>28.6</v>
      </c>
      <c r="G2154" s="501" t="s">
        <v>274</v>
      </c>
      <c r="H2154" s="502"/>
      <c r="I2154" s="503">
        <f t="shared" si="34"/>
        <v>74472.009999999951</v>
      </c>
    </row>
    <row r="2155" spans="2:9">
      <c r="B2155" s="496">
        <v>45961</v>
      </c>
      <c r="C2155" s="497" t="s">
        <v>117</v>
      </c>
      <c r="D2155" s="498" t="s">
        <v>921</v>
      </c>
      <c r="E2155" s="499"/>
      <c r="F2155" s="500">
        <v>1.25</v>
      </c>
      <c r="G2155" s="501" t="s">
        <v>271</v>
      </c>
      <c r="H2155" s="502"/>
      <c r="I2155" s="503">
        <f t="shared" si="34"/>
        <v>74326.009999999951</v>
      </c>
    </row>
    <row r="2156" spans="2:9">
      <c r="B2156" s="496">
        <v>45961</v>
      </c>
      <c r="C2156" s="510"/>
      <c r="D2156" s="498" t="s">
        <v>347</v>
      </c>
      <c r="E2156" s="499"/>
      <c r="F2156" s="516">
        <f>146</f>
        <v>146</v>
      </c>
      <c r="G2156" s="501" t="s">
        <v>238</v>
      </c>
      <c r="H2156" s="502"/>
      <c r="I2156" s="503">
        <f t="shared" si="34"/>
        <v>74293.889999999956</v>
      </c>
    </row>
    <row r="2157" spans="2:9">
      <c r="B2157" s="496">
        <v>45961</v>
      </c>
      <c r="C2157" s="510"/>
      <c r="D2157" s="498" t="s">
        <v>2237</v>
      </c>
      <c r="E2157" s="499"/>
      <c r="F2157" s="516">
        <f>146*0.22</f>
        <v>32.119999999999997</v>
      </c>
      <c r="G2157" s="501" t="s">
        <v>274</v>
      </c>
      <c r="H2157" s="502"/>
      <c r="I2157" s="503">
        <f t="shared" si="34"/>
        <v>74292.639999999956</v>
      </c>
    </row>
    <row r="2158" spans="2:9">
      <c r="B2158" s="496">
        <v>45961</v>
      </c>
      <c r="C2158" s="497" t="s">
        <v>117</v>
      </c>
      <c r="D2158" s="498" t="s">
        <v>921</v>
      </c>
      <c r="E2158" s="499"/>
      <c r="F2158" s="500">
        <v>1.25</v>
      </c>
      <c r="G2158" s="501" t="s">
        <v>271</v>
      </c>
      <c r="H2158" s="502"/>
      <c r="I2158" s="503">
        <f t="shared" si="34"/>
        <v>67705.319999999949</v>
      </c>
    </row>
    <row r="2159" spans="2:9">
      <c r="B2159" s="729">
        <v>45930</v>
      </c>
      <c r="C2159" s="497" t="s">
        <v>2239</v>
      </c>
      <c r="D2159" s="498" t="s">
        <v>650</v>
      </c>
      <c r="E2159" s="499"/>
      <c r="F2159" s="500">
        <v>6587.32</v>
      </c>
      <c r="G2159" s="501" t="s">
        <v>194</v>
      </c>
      <c r="H2159" s="502"/>
      <c r="I2159" s="503">
        <f t="shared" si="34"/>
        <v>66365.889999999956</v>
      </c>
    </row>
    <row r="2160" spans="2:9">
      <c r="B2160" s="729">
        <v>45930</v>
      </c>
      <c r="C2160" s="497" t="s">
        <v>2239</v>
      </c>
      <c r="D2160" s="498" t="s">
        <v>650</v>
      </c>
      <c r="E2160" s="499"/>
      <c r="F2160" s="500">
        <v>1339.43</v>
      </c>
      <c r="G2160" s="501" t="s">
        <v>274</v>
      </c>
      <c r="H2160" s="502"/>
      <c r="I2160" s="503">
        <f t="shared" si="34"/>
        <v>66364.639999999956</v>
      </c>
    </row>
    <row r="2161" spans="2:9">
      <c r="B2161" s="496">
        <v>45961</v>
      </c>
      <c r="C2161" s="497" t="s">
        <v>117</v>
      </c>
      <c r="D2161" s="498" t="s">
        <v>921</v>
      </c>
      <c r="E2161" s="499"/>
      <c r="F2161" s="500">
        <v>1.25</v>
      </c>
      <c r="G2161" s="501" t="s">
        <v>271</v>
      </c>
      <c r="H2161" s="502"/>
      <c r="I2161" s="503">
        <f t="shared" si="34"/>
        <v>59590.599999999955</v>
      </c>
    </row>
    <row r="2162" spans="2:9">
      <c r="B2162" s="729">
        <v>45930</v>
      </c>
      <c r="C2162" s="497" t="s">
        <v>2238</v>
      </c>
      <c r="D2162" s="498" t="s">
        <v>650</v>
      </c>
      <c r="E2162" s="499"/>
      <c r="F2162" s="500">
        <v>6774.04</v>
      </c>
      <c r="G2162" s="501" t="s">
        <v>194</v>
      </c>
      <c r="H2162" s="502"/>
      <c r="I2162" s="503">
        <f t="shared" si="34"/>
        <v>58334.829999999958</v>
      </c>
    </row>
    <row r="2163" spans="2:9">
      <c r="B2163" s="729">
        <v>45930</v>
      </c>
      <c r="C2163" s="497" t="s">
        <v>2238</v>
      </c>
      <c r="D2163" s="498" t="s">
        <v>650</v>
      </c>
      <c r="E2163" s="499"/>
      <c r="F2163" s="500">
        <v>1255.77</v>
      </c>
      <c r="G2163" s="501" t="s">
        <v>274</v>
      </c>
      <c r="H2163" s="502"/>
      <c r="I2163" s="503">
        <f t="shared" si="34"/>
        <v>58333.579999999958</v>
      </c>
    </row>
    <row r="2164" spans="2:9">
      <c r="B2164" s="496">
        <v>45961</v>
      </c>
      <c r="C2164" s="497" t="s">
        <v>117</v>
      </c>
      <c r="D2164" s="498" t="s">
        <v>921</v>
      </c>
      <c r="E2164" s="499"/>
      <c r="F2164" s="500">
        <v>1.25</v>
      </c>
      <c r="G2164" s="501" t="s">
        <v>271</v>
      </c>
      <c r="H2164" s="502"/>
      <c r="I2164" s="503">
        <f t="shared" si="34"/>
        <v>57920.829999999958</v>
      </c>
    </row>
    <row r="2165" spans="2:9">
      <c r="B2165" s="729">
        <v>45930</v>
      </c>
      <c r="C2165" s="497" t="s">
        <v>2240</v>
      </c>
      <c r="D2165" s="498" t="s">
        <v>1841</v>
      </c>
      <c r="E2165" s="499"/>
      <c r="F2165" s="500">
        <v>412.75</v>
      </c>
      <c r="G2165" s="501" t="s">
        <v>198</v>
      </c>
      <c r="H2165" s="502"/>
      <c r="I2165" s="503">
        <f t="shared" si="34"/>
        <v>57835.949999999961</v>
      </c>
    </row>
    <row r="2166" spans="2:9">
      <c r="B2166" s="729">
        <v>45930</v>
      </c>
      <c r="C2166" s="497" t="s">
        <v>2240</v>
      </c>
      <c r="D2166" s="498" t="s">
        <v>1841</v>
      </c>
      <c r="E2166" s="499"/>
      <c r="F2166" s="500">
        <v>84.88</v>
      </c>
      <c r="G2166" s="501" t="s">
        <v>274</v>
      </c>
      <c r="H2166" s="502"/>
      <c r="I2166" s="503">
        <f t="shared" si="34"/>
        <v>57834.699999999961</v>
      </c>
    </row>
    <row r="2167" spans="2:9">
      <c r="B2167" s="496">
        <v>45961</v>
      </c>
      <c r="C2167" s="497" t="s">
        <v>117</v>
      </c>
      <c r="D2167" s="498" t="s">
        <v>921</v>
      </c>
      <c r="E2167" s="499"/>
      <c r="F2167" s="500">
        <v>1.25</v>
      </c>
      <c r="G2167" s="501" t="s">
        <v>271</v>
      </c>
      <c r="H2167" s="502"/>
      <c r="I2167" s="503">
        <f t="shared" si="34"/>
        <v>59834.699999999961</v>
      </c>
    </row>
    <row r="2168" spans="2:9">
      <c r="B2168" s="496">
        <v>45961</v>
      </c>
      <c r="C2168" s="497" t="s">
        <v>2242</v>
      </c>
      <c r="D2168" s="498" t="s">
        <v>2241</v>
      </c>
      <c r="E2168" s="499">
        <v>2000</v>
      </c>
      <c r="F2168" s="500"/>
      <c r="G2168" s="630" t="s">
        <v>194</v>
      </c>
      <c r="H2168" s="502"/>
      <c r="I2168" s="503">
        <f t="shared" si="34"/>
        <v>60274.699999999961</v>
      </c>
    </row>
    <row r="2169" spans="2:9">
      <c r="B2169" s="496">
        <v>45961</v>
      </c>
      <c r="C2169" s="497" t="s">
        <v>2242</v>
      </c>
      <c r="D2169" s="498" t="s">
        <v>2241</v>
      </c>
      <c r="E2169" s="499">
        <v>440</v>
      </c>
      <c r="F2169" s="500"/>
      <c r="G2169" s="630" t="s">
        <v>276</v>
      </c>
      <c r="H2169" s="502"/>
      <c r="I2169" s="503">
        <f t="shared" si="34"/>
        <v>60823.799999999959</v>
      </c>
    </row>
    <row r="2170" spans="2:9">
      <c r="B2170" s="496">
        <v>45961</v>
      </c>
      <c r="C2170" s="497" t="s">
        <v>283</v>
      </c>
      <c r="D2170" s="498" t="s">
        <v>307</v>
      </c>
      <c r="E2170" s="499">
        <v>549.1</v>
      </c>
      <c r="F2170" s="500"/>
      <c r="G2170" s="501" t="s">
        <v>190</v>
      </c>
      <c r="H2170" s="502"/>
      <c r="I2170" s="503">
        <f t="shared" si="34"/>
        <v>60323.799999999959</v>
      </c>
    </row>
    <row r="2171" spans="2:9">
      <c r="B2171" s="496">
        <v>45964</v>
      </c>
      <c r="C2171" s="535" t="s">
        <v>117</v>
      </c>
      <c r="D2171" s="498" t="s">
        <v>1246</v>
      </c>
      <c r="E2171" s="499"/>
      <c r="F2171" s="500">
        <v>500</v>
      </c>
      <c r="G2171" s="501" t="s">
        <v>237</v>
      </c>
      <c r="H2171" s="502"/>
      <c r="I2171" s="503">
        <f t="shared" si="34"/>
        <v>60322.799999999959</v>
      </c>
    </row>
    <row r="2172" spans="2:9">
      <c r="B2172" s="496">
        <v>45964</v>
      </c>
      <c r="C2172" s="497" t="s">
        <v>117</v>
      </c>
      <c r="D2172" s="498" t="s">
        <v>903</v>
      </c>
      <c r="E2172" s="499"/>
      <c r="F2172" s="500">
        <v>1</v>
      </c>
      <c r="G2172" s="501" t="s">
        <v>272</v>
      </c>
      <c r="H2172" s="502"/>
      <c r="I2172" s="503">
        <f t="shared" si="34"/>
        <v>59072.799999999959</v>
      </c>
    </row>
    <row r="2173" spans="2:9">
      <c r="B2173" s="496">
        <v>45964</v>
      </c>
      <c r="C2173" s="507" t="s">
        <v>117</v>
      </c>
      <c r="D2173" s="505" t="s">
        <v>320</v>
      </c>
      <c r="E2173" s="499"/>
      <c r="F2173" s="500">
        <v>1250</v>
      </c>
      <c r="G2173" s="501" t="s">
        <v>278</v>
      </c>
      <c r="H2173" s="502"/>
      <c r="I2173" s="503">
        <f t="shared" si="34"/>
        <v>59072.049999999959</v>
      </c>
    </row>
    <row r="2174" spans="2:9">
      <c r="B2174" s="496">
        <v>45964</v>
      </c>
      <c r="C2174" s="497" t="s">
        <v>117</v>
      </c>
      <c r="D2174" s="498" t="s">
        <v>903</v>
      </c>
      <c r="E2174" s="499"/>
      <c r="F2174" s="500">
        <v>0.75</v>
      </c>
      <c r="G2174" s="501" t="s">
        <v>272</v>
      </c>
      <c r="H2174" s="502"/>
      <c r="I2174" s="503">
        <f t="shared" si="34"/>
        <v>58722.039999999957</v>
      </c>
    </row>
    <row r="2175" spans="2:9">
      <c r="B2175" s="496">
        <v>45964</v>
      </c>
      <c r="C2175" s="497">
        <v>641</v>
      </c>
      <c r="D2175" s="498" t="s">
        <v>329</v>
      </c>
      <c r="E2175" s="499"/>
      <c r="F2175" s="500">
        <v>350.01</v>
      </c>
      <c r="G2175" s="501" t="s">
        <v>221</v>
      </c>
      <c r="H2175" s="835"/>
      <c r="I2175" s="503">
        <f t="shared" si="34"/>
        <v>58626.709999999955</v>
      </c>
    </row>
    <row r="2176" spans="2:9">
      <c r="B2176" s="496">
        <v>45964</v>
      </c>
      <c r="C2176" s="497">
        <v>641</v>
      </c>
      <c r="D2176" s="498" t="s">
        <v>329</v>
      </c>
      <c r="E2176" s="499"/>
      <c r="F2176" s="500">
        <v>95.33</v>
      </c>
      <c r="G2176" s="501" t="s">
        <v>274</v>
      </c>
      <c r="H2176" s="835"/>
      <c r="I2176" s="503">
        <f t="shared" si="34"/>
        <v>58625.709999999955</v>
      </c>
    </row>
    <row r="2177" spans="2:9">
      <c r="B2177" s="496">
        <v>45964</v>
      </c>
      <c r="C2177" s="497" t="s">
        <v>117</v>
      </c>
      <c r="D2177" s="498" t="s">
        <v>903</v>
      </c>
      <c r="E2177" s="499"/>
      <c r="F2177" s="500">
        <v>1</v>
      </c>
      <c r="G2177" s="501" t="s">
        <v>272</v>
      </c>
      <c r="H2177" s="502"/>
      <c r="I2177" s="503">
        <f t="shared" ref="I2177:I2240" si="35">I2176+E2178-F2178</f>
        <v>55514.009999999958</v>
      </c>
    </row>
    <row r="2178" spans="2:9">
      <c r="B2178" s="496">
        <v>45964</v>
      </c>
      <c r="C2178" s="497" t="s">
        <v>2243</v>
      </c>
      <c r="D2178" s="498" t="s">
        <v>379</v>
      </c>
      <c r="E2178" s="499"/>
      <c r="F2178" s="500">
        <v>3111.7</v>
      </c>
      <c r="G2178" s="501" t="s">
        <v>237</v>
      </c>
      <c r="H2178" s="502"/>
      <c r="I2178" s="503">
        <f t="shared" si="35"/>
        <v>54829.439999999959</v>
      </c>
    </row>
    <row r="2179" spans="2:9">
      <c r="B2179" s="496">
        <v>45964</v>
      </c>
      <c r="C2179" s="497" t="s">
        <v>2243</v>
      </c>
      <c r="D2179" s="498" t="s">
        <v>379</v>
      </c>
      <c r="E2179" s="499"/>
      <c r="F2179" s="500">
        <v>684.57</v>
      </c>
      <c r="G2179" s="501" t="s">
        <v>274</v>
      </c>
      <c r="H2179" s="502"/>
      <c r="I2179" s="503">
        <f t="shared" si="35"/>
        <v>54521.639999999956</v>
      </c>
    </row>
    <row r="2180" spans="2:9">
      <c r="B2180" s="729">
        <v>45961</v>
      </c>
      <c r="C2180" s="497">
        <v>90</v>
      </c>
      <c r="D2180" s="498" t="s">
        <v>2184</v>
      </c>
      <c r="E2180" s="499"/>
      <c r="F2180" s="500">
        <v>307.8</v>
      </c>
      <c r="G2180" s="501" t="s">
        <v>199</v>
      </c>
      <c r="H2180" s="502"/>
      <c r="I2180" s="503">
        <f t="shared" si="35"/>
        <v>54490.859999999957</v>
      </c>
    </row>
    <row r="2181" spans="2:9">
      <c r="B2181" s="729">
        <v>45961</v>
      </c>
      <c r="C2181" s="497">
        <v>90</v>
      </c>
      <c r="D2181" s="498" t="s">
        <v>2184</v>
      </c>
      <c r="E2181" s="499"/>
      <c r="F2181" s="500">
        <v>30.78</v>
      </c>
      <c r="G2181" s="501" t="s">
        <v>274</v>
      </c>
      <c r="H2181" s="502"/>
      <c r="I2181" s="503">
        <f t="shared" si="35"/>
        <v>54489.859999999957</v>
      </c>
    </row>
    <row r="2182" spans="2:9">
      <c r="B2182" s="496">
        <v>45964</v>
      </c>
      <c r="C2182" s="497" t="s">
        <v>117</v>
      </c>
      <c r="D2182" s="498" t="s">
        <v>903</v>
      </c>
      <c r="E2182" s="499"/>
      <c r="F2182" s="500">
        <v>1</v>
      </c>
      <c r="G2182" s="501" t="s">
        <v>272</v>
      </c>
      <c r="H2182" s="502"/>
      <c r="I2182" s="503">
        <f t="shared" si="35"/>
        <v>57189.259999999958</v>
      </c>
    </row>
    <row r="2183" spans="2:9">
      <c r="B2183" s="496">
        <v>45964</v>
      </c>
      <c r="C2183" s="497" t="s">
        <v>283</v>
      </c>
      <c r="D2183" s="498" t="s">
        <v>307</v>
      </c>
      <c r="E2183" s="499">
        <v>2699.4</v>
      </c>
      <c r="F2183" s="500"/>
      <c r="G2183" s="501" t="s">
        <v>190</v>
      </c>
      <c r="H2183" s="502"/>
      <c r="I2183" s="503">
        <f t="shared" si="35"/>
        <v>57714.759999999958</v>
      </c>
    </row>
    <row r="2184" spans="2:9">
      <c r="B2184" s="496">
        <v>45964</v>
      </c>
      <c r="C2184" s="497" t="s">
        <v>283</v>
      </c>
      <c r="D2184" s="498" t="s">
        <v>912</v>
      </c>
      <c r="E2184" s="499">
        <v>525.5</v>
      </c>
      <c r="F2184" s="500"/>
      <c r="G2184" s="501"/>
      <c r="H2184" s="872"/>
      <c r="I2184" s="503">
        <f t="shared" si="35"/>
        <v>57709.47999999996</v>
      </c>
    </row>
    <row r="2185" spans="2:9">
      <c r="B2185" s="496">
        <v>45964</v>
      </c>
      <c r="C2185" s="497" t="s">
        <v>117</v>
      </c>
      <c r="D2185" s="498" t="s">
        <v>918</v>
      </c>
      <c r="E2185" s="499"/>
      <c r="F2185" s="500">
        <v>5.28</v>
      </c>
      <c r="G2185" s="501"/>
      <c r="H2185" s="872"/>
      <c r="I2185" s="503">
        <f t="shared" si="35"/>
        <v>60792.97999999996</v>
      </c>
    </row>
    <row r="2186" spans="2:9">
      <c r="B2186" s="496">
        <v>45964</v>
      </c>
      <c r="C2186" s="497" t="s">
        <v>283</v>
      </c>
      <c r="D2186" s="498" t="s">
        <v>307</v>
      </c>
      <c r="E2186" s="499">
        <v>3083.5</v>
      </c>
      <c r="F2186" s="500"/>
      <c r="G2186" s="501" t="s">
        <v>190</v>
      </c>
      <c r="H2186" s="502"/>
      <c r="I2186" s="503">
        <f t="shared" si="35"/>
        <v>62625.079999999958</v>
      </c>
    </row>
    <row r="2187" spans="2:9">
      <c r="B2187" s="496">
        <v>45964</v>
      </c>
      <c r="C2187" s="497" t="s">
        <v>283</v>
      </c>
      <c r="D2187" s="498" t="s">
        <v>307</v>
      </c>
      <c r="E2187" s="499">
        <v>1832.1</v>
      </c>
      <c r="F2187" s="500"/>
      <c r="G2187" s="501" t="s">
        <v>190</v>
      </c>
      <c r="H2187" s="502"/>
      <c r="I2187" s="503">
        <f t="shared" si="35"/>
        <v>63831.079999999958</v>
      </c>
    </row>
    <row r="2188" spans="2:9">
      <c r="B2188" s="496">
        <v>45964</v>
      </c>
      <c r="C2188" s="497" t="s">
        <v>283</v>
      </c>
      <c r="D2188" s="498" t="s">
        <v>909</v>
      </c>
      <c r="E2188" s="499">
        <v>1206</v>
      </c>
      <c r="F2188" s="500"/>
      <c r="G2188" s="501" t="s">
        <v>190</v>
      </c>
      <c r="H2188" s="502"/>
      <c r="I2188" s="503">
        <f t="shared" si="35"/>
        <v>63817.719999999958</v>
      </c>
    </row>
    <row r="2189" spans="2:9">
      <c r="B2189" s="496">
        <v>45964</v>
      </c>
      <c r="C2189" s="497" t="s">
        <v>117</v>
      </c>
      <c r="D2189" s="498" t="s">
        <v>911</v>
      </c>
      <c r="E2189" s="499"/>
      <c r="F2189" s="500">
        <v>13.36</v>
      </c>
      <c r="G2189" s="501" t="s">
        <v>269</v>
      </c>
      <c r="H2189" s="502"/>
      <c r="I2189" s="503">
        <f t="shared" si="35"/>
        <v>62870.489999999954</v>
      </c>
    </row>
    <row r="2190" spans="2:9">
      <c r="B2190" s="496">
        <v>45965</v>
      </c>
      <c r="C2190" s="497">
        <v>51228</v>
      </c>
      <c r="D2190" s="498" t="s">
        <v>1252</v>
      </c>
      <c r="E2190" s="499"/>
      <c r="F2190" s="500">
        <v>947.23</v>
      </c>
      <c r="G2190" s="501" t="s">
        <v>194</v>
      </c>
      <c r="H2190" s="502"/>
      <c r="I2190" s="503">
        <f t="shared" si="35"/>
        <v>62662.099999999955</v>
      </c>
    </row>
    <row r="2191" spans="2:9">
      <c r="B2191" s="496">
        <v>45965</v>
      </c>
      <c r="C2191" s="497">
        <v>51228</v>
      </c>
      <c r="D2191" s="498" t="s">
        <v>1252</v>
      </c>
      <c r="E2191" s="499"/>
      <c r="F2191" s="500">
        <v>208.39</v>
      </c>
      <c r="G2191" s="501" t="s">
        <v>274</v>
      </c>
      <c r="H2191" s="502"/>
      <c r="I2191" s="503">
        <f t="shared" si="35"/>
        <v>62661.099999999955</v>
      </c>
    </row>
    <row r="2192" spans="2:9">
      <c r="B2192" s="496">
        <v>45965</v>
      </c>
      <c r="C2192" s="497" t="s">
        <v>117</v>
      </c>
      <c r="D2192" s="498" t="s">
        <v>903</v>
      </c>
      <c r="E2192" s="499"/>
      <c r="F2192" s="500">
        <v>1</v>
      </c>
      <c r="G2192" s="501" t="s">
        <v>272</v>
      </c>
      <c r="H2192" s="502"/>
      <c r="I2192" s="503">
        <f t="shared" si="35"/>
        <v>62904.099999999955</v>
      </c>
    </row>
    <row r="2193" spans="2:9">
      <c r="B2193" s="496">
        <v>45965</v>
      </c>
      <c r="C2193" s="497" t="s">
        <v>283</v>
      </c>
      <c r="D2193" s="498" t="s">
        <v>307</v>
      </c>
      <c r="E2193" s="499">
        <v>243</v>
      </c>
      <c r="F2193" s="500"/>
      <c r="G2193" s="501" t="s">
        <v>190</v>
      </c>
      <c r="H2193" s="502"/>
      <c r="I2193" s="503">
        <f t="shared" si="35"/>
        <v>63269.999999999956</v>
      </c>
    </row>
    <row r="2194" spans="2:9">
      <c r="B2194" s="496">
        <v>45966</v>
      </c>
      <c r="C2194" s="844" t="s">
        <v>283</v>
      </c>
      <c r="D2194" s="618" t="s">
        <v>307</v>
      </c>
      <c r="E2194" s="619">
        <v>365.9</v>
      </c>
      <c r="F2194" s="620"/>
      <c r="G2194" s="621" t="s">
        <v>190</v>
      </c>
      <c r="H2194" s="502"/>
      <c r="I2194" s="503">
        <f t="shared" si="35"/>
        <v>63095.899999999958</v>
      </c>
    </row>
    <row r="2195" spans="2:9">
      <c r="B2195" s="496">
        <v>45966</v>
      </c>
      <c r="C2195" s="641">
        <v>457</v>
      </c>
      <c r="D2195" s="498" t="s">
        <v>2244</v>
      </c>
      <c r="E2195" s="499"/>
      <c r="F2195" s="500">
        <v>174.1</v>
      </c>
      <c r="G2195" s="501" t="s">
        <v>218</v>
      </c>
      <c r="H2195" s="502"/>
      <c r="I2195" s="503">
        <f t="shared" si="35"/>
        <v>63057.619999999959</v>
      </c>
    </row>
    <row r="2196" spans="2:9">
      <c r="B2196" s="496">
        <v>45966</v>
      </c>
      <c r="C2196" s="641">
        <v>457</v>
      </c>
      <c r="D2196" s="498" t="s">
        <v>2244</v>
      </c>
      <c r="E2196" s="499"/>
      <c r="F2196" s="500">
        <v>38.28</v>
      </c>
      <c r="G2196" s="501" t="s">
        <v>274</v>
      </c>
      <c r="H2196" s="502"/>
      <c r="I2196" s="503">
        <f t="shared" si="35"/>
        <v>63056.619999999959</v>
      </c>
    </row>
    <row r="2197" spans="2:9">
      <c r="B2197" s="496">
        <v>45966</v>
      </c>
      <c r="C2197" s="497" t="s">
        <v>117</v>
      </c>
      <c r="D2197" s="498" t="s">
        <v>903</v>
      </c>
      <c r="E2197" s="499"/>
      <c r="F2197" s="500">
        <v>1</v>
      </c>
      <c r="G2197" s="501" t="s">
        <v>272</v>
      </c>
      <c r="H2197" s="502"/>
      <c r="I2197" s="503">
        <f t="shared" si="35"/>
        <v>63042.579999999958</v>
      </c>
    </row>
    <row r="2198" spans="2:9">
      <c r="B2198" s="496">
        <v>45966</v>
      </c>
      <c r="C2198" s="497" t="s">
        <v>117</v>
      </c>
      <c r="D2198" s="505" t="s">
        <v>339</v>
      </c>
      <c r="E2198" s="499"/>
      <c r="F2198" s="500">
        <v>14.04</v>
      </c>
      <c r="G2198" s="501" t="s">
        <v>267</v>
      </c>
      <c r="H2198" s="502"/>
      <c r="I2198" s="503">
        <f t="shared" si="35"/>
        <v>53042.579999999958</v>
      </c>
    </row>
    <row r="2199" spans="2:9">
      <c r="B2199" s="496">
        <v>45966</v>
      </c>
      <c r="C2199" s="497" t="s">
        <v>117</v>
      </c>
      <c r="D2199" s="498" t="s">
        <v>2163</v>
      </c>
      <c r="E2199" s="499"/>
      <c r="F2199" s="500">
        <v>10000</v>
      </c>
      <c r="G2199" s="501"/>
      <c r="H2199" s="502" t="s">
        <v>2164</v>
      </c>
      <c r="I2199" s="503">
        <f t="shared" si="35"/>
        <v>53041.829999999958</v>
      </c>
    </row>
    <row r="2200" spans="2:9">
      <c r="B2200" s="496">
        <v>45966</v>
      </c>
      <c r="C2200" s="497" t="s">
        <v>117</v>
      </c>
      <c r="D2200" s="498" t="s">
        <v>903</v>
      </c>
      <c r="E2200" s="499"/>
      <c r="F2200" s="500">
        <v>0.75</v>
      </c>
      <c r="G2200" s="501" t="s">
        <v>272</v>
      </c>
      <c r="H2200" s="502"/>
      <c r="I2200" s="503">
        <f t="shared" si="35"/>
        <v>52711.829999999958</v>
      </c>
    </row>
    <row r="2201" spans="2:9">
      <c r="B2201" s="729">
        <v>45961</v>
      </c>
      <c r="C2201" s="497" t="s">
        <v>2256</v>
      </c>
      <c r="D2201" s="498" t="s">
        <v>2162</v>
      </c>
      <c r="E2201" s="499"/>
      <c r="F2201" s="500">
        <v>330</v>
      </c>
      <c r="G2201" s="501" t="s">
        <v>231</v>
      </c>
      <c r="H2201" s="502"/>
      <c r="I2201" s="503">
        <f t="shared" si="35"/>
        <v>52639.22999999996</v>
      </c>
    </row>
    <row r="2202" spans="2:9">
      <c r="B2202" s="729">
        <v>45961</v>
      </c>
      <c r="C2202" s="497" t="s">
        <v>2256</v>
      </c>
      <c r="D2202" s="498" t="s">
        <v>2162</v>
      </c>
      <c r="E2202" s="499"/>
      <c r="F2202" s="500">
        <v>72.599999999999994</v>
      </c>
      <c r="G2202" s="501" t="s">
        <v>274</v>
      </c>
      <c r="H2202" s="502"/>
      <c r="I2202" s="503">
        <f t="shared" si="35"/>
        <v>52638.22999999996</v>
      </c>
    </row>
    <row r="2203" spans="2:9">
      <c r="B2203" s="496">
        <v>45967</v>
      </c>
      <c r="C2203" s="497" t="s">
        <v>117</v>
      </c>
      <c r="D2203" s="498" t="s">
        <v>903</v>
      </c>
      <c r="E2203" s="499"/>
      <c r="F2203" s="500">
        <v>1</v>
      </c>
      <c r="G2203" s="501" t="s">
        <v>272</v>
      </c>
      <c r="H2203" s="502"/>
      <c r="I2203" s="503">
        <f t="shared" si="35"/>
        <v>52194.72999999996</v>
      </c>
    </row>
    <row r="2204" spans="2:9">
      <c r="B2204" s="729">
        <v>45961</v>
      </c>
      <c r="C2204" s="497">
        <v>7726</v>
      </c>
      <c r="D2204" s="498" t="s">
        <v>383</v>
      </c>
      <c r="E2204" s="499"/>
      <c r="F2204" s="500">
        <v>443.5</v>
      </c>
      <c r="G2204" s="501" t="s">
        <v>199</v>
      </c>
      <c r="H2204" s="502"/>
      <c r="I2204" s="503">
        <f t="shared" si="35"/>
        <v>52159.369999999959</v>
      </c>
    </row>
    <row r="2205" spans="2:9">
      <c r="B2205" s="729">
        <v>45961</v>
      </c>
      <c r="C2205" s="497">
        <v>7726</v>
      </c>
      <c r="D2205" s="498" t="s">
        <v>383</v>
      </c>
      <c r="E2205" s="499"/>
      <c r="F2205" s="500">
        <v>35.36</v>
      </c>
      <c r="G2205" s="501" t="s">
        <v>274</v>
      </c>
      <c r="H2205" s="502"/>
      <c r="I2205" s="503">
        <f t="shared" si="35"/>
        <v>52158.619999999959</v>
      </c>
    </row>
    <row r="2206" spans="2:9">
      <c r="B2206" s="496">
        <v>45967</v>
      </c>
      <c r="C2206" s="497" t="s">
        <v>117</v>
      </c>
      <c r="D2206" s="498" t="s">
        <v>903</v>
      </c>
      <c r="E2206" s="499"/>
      <c r="F2206" s="500">
        <v>0.75</v>
      </c>
      <c r="G2206" s="501" t="s">
        <v>272</v>
      </c>
      <c r="H2206" s="502"/>
      <c r="I2206" s="503">
        <f t="shared" si="35"/>
        <v>52491.619999999959</v>
      </c>
    </row>
    <row r="2207" spans="2:9">
      <c r="B2207" s="496">
        <v>45967</v>
      </c>
      <c r="C2207" s="497" t="s">
        <v>283</v>
      </c>
      <c r="D2207" s="498" t="s">
        <v>307</v>
      </c>
      <c r="E2207" s="499">
        <v>333</v>
      </c>
      <c r="F2207" s="500"/>
      <c r="G2207" s="501" t="s">
        <v>190</v>
      </c>
      <c r="H2207" s="502"/>
      <c r="I2207" s="503">
        <f t="shared" si="35"/>
        <v>51241.619999999959</v>
      </c>
    </row>
    <row r="2208" spans="2:9">
      <c r="B2208" s="496">
        <v>45967</v>
      </c>
      <c r="C2208" s="507" t="s">
        <v>117</v>
      </c>
      <c r="D2208" s="505" t="s">
        <v>320</v>
      </c>
      <c r="E2208" s="499"/>
      <c r="F2208" s="500">
        <v>1250</v>
      </c>
      <c r="G2208" s="630" t="s">
        <v>278</v>
      </c>
      <c r="H2208" s="502"/>
      <c r="I2208" s="503">
        <f t="shared" si="35"/>
        <v>51240.869999999959</v>
      </c>
    </row>
    <row r="2209" spans="2:9">
      <c r="B2209" s="496">
        <v>45967</v>
      </c>
      <c r="C2209" s="497" t="s">
        <v>117</v>
      </c>
      <c r="D2209" s="498" t="s">
        <v>903</v>
      </c>
      <c r="E2209" s="499"/>
      <c r="F2209" s="500">
        <v>0.75</v>
      </c>
      <c r="G2209" s="501" t="s">
        <v>272</v>
      </c>
      <c r="H2209" s="502"/>
      <c r="I2209" s="503">
        <f t="shared" si="35"/>
        <v>51175.879999999961</v>
      </c>
    </row>
    <row r="2210" spans="2:9">
      <c r="B2210" s="729">
        <v>45961</v>
      </c>
      <c r="C2210" s="497">
        <v>2523602215</v>
      </c>
      <c r="D2210" s="498" t="s">
        <v>478</v>
      </c>
      <c r="E2210" s="499"/>
      <c r="F2210" s="500">
        <v>64.989999999999995</v>
      </c>
      <c r="G2210" s="501" t="s">
        <v>1860</v>
      </c>
      <c r="H2210" s="502"/>
      <c r="I2210" s="503">
        <f t="shared" si="35"/>
        <v>51161.579999999958</v>
      </c>
    </row>
    <row r="2211" spans="2:9">
      <c r="B2211" s="729">
        <v>45961</v>
      </c>
      <c r="C2211" s="497">
        <v>2523602215</v>
      </c>
      <c r="D2211" s="498" t="s">
        <v>478</v>
      </c>
      <c r="E2211" s="499"/>
      <c r="F2211" s="500">
        <v>14.3</v>
      </c>
      <c r="G2211" s="501" t="s">
        <v>274</v>
      </c>
      <c r="H2211" s="502"/>
      <c r="I2211" s="503">
        <f t="shared" si="35"/>
        <v>51559.879999999961</v>
      </c>
    </row>
    <row r="2212" spans="2:9">
      <c r="B2212" s="496">
        <v>45968</v>
      </c>
      <c r="C2212" s="497" t="s">
        <v>283</v>
      </c>
      <c r="D2212" s="498" t="s">
        <v>307</v>
      </c>
      <c r="E2212" s="499">
        <v>398.3</v>
      </c>
      <c r="F2212" s="500"/>
      <c r="G2212" s="501" t="s">
        <v>190</v>
      </c>
      <c r="H2212" s="502"/>
      <c r="I2212" s="503">
        <f t="shared" si="35"/>
        <v>51054.97999999996</v>
      </c>
    </row>
    <row r="2213" spans="2:9">
      <c r="B2213" s="496">
        <v>45971</v>
      </c>
      <c r="C2213" s="507" t="s">
        <v>117</v>
      </c>
      <c r="D2213" s="680" t="s">
        <v>320</v>
      </c>
      <c r="E2213" s="619"/>
      <c r="F2213" s="620">
        <v>504.9</v>
      </c>
      <c r="G2213" s="621" t="s">
        <v>237</v>
      </c>
      <c r="H2213" s="502"/>
      <c r="I2213" s="503">
        <f t="shared" si="35"/>
        <v>51054.22999999996</v>
      </c>
    </row>
    <row r="2214" spans="2:9">
      <c r="B2214" s="496">
        <v>45971</v>
      </c>
      <c r="C2214" s="497" t="s">
        <v>117</v>
      </c>
      <c r="D2214" s="498" t="s">
        <v>903</v>
      </c>
      <c r="E2214" s="499"/>
      <c r="F2214" s="500">
        <v>0.75</v>
      </c>
      <c r="G2214" s="501" t="s">
        <v>272</v>
      </c>
      <c r="H2214" s="502"/>
      <c r="I2214" s="503">
        <f t="shared" si="35"/>
        <v>49638.489999999962</v>
      </c>
    </row>
    <row r="2215" spans="2:9">
      <c r="B2215" s="729">
        <v>45930</v>
      </c>
      <c r="C2215" s="497" t="s">
        <v>2257</v>
      </c>
      <c r="D2215" s="498" t="s">
        <v>388</v>
      </c>
      <c r="E2215" s="499"/>
      <c r="F2215" s="500">
        <v>1415.74</v>
      </c>
      <c r="G2215" s="501" t="s">
        <v>224</v>
      </c>
      <c r="H2215" s="502"/>
      <c r="I2215" s="503">
        <f t="shared" si="35"/>
        <v>49327.029999999962</v>
      </c>
    </row>
    <row r="2216" spans="2:9">
      <c r="B2216" s="729">
        <v>45930</v>
      </c>
      <c r="C2216" s="497" t="s">
        <v>2257</v>
      </c>
      <c r="D2216" s="498" t="s">
        <v>388</v>
      </c>
      <c r="E2216" s="499"/>
      <c r="F2216" s="500">
        <v>311.45999999999998</v>
      </c>
      <c r="G2216" s="501" t="s">
        <v>274</v>
      </c>
      <c r="H2216" s="502"/>
      <c r="I2216" s="503">
        <f t="shared" si="35"/>
        <v>49325.779999999962</v>
      </c>
    </row>
    <row r="2217" spans="2:9">
      <c r="B2217" s="496">
        <v>45971</v>
      </c>
      <c r="C2217" s="497" t="s">
        <v>117</v>
      </c>
      <c r="D2217" s="498" t="s">
        <v>921</v>
      </c>
      <c r="E2217" s="499"/>
      <c r="F2217" s="500">
        <v>1.25</v>
      </c>
      <c r="G2217" s="501" t="s">
        <v>271</v>
      </c>
      <c r="H2217" s="502"/>
      <c r="I2217" s="503">
        <f t="shared" si="35"/>
        <v>49274.97999999996</v>
      </c>
    </row>
    <row r="2218" spans="2:9">
      <c r="B2218" s="729">
        <v>45961</v>
      </c>
      <c r="C2218" s="497" t="s">
        <v>2258</v>
      </c>
      <c r="D2218" s="498" t="s">
        <v>412</v>
      </c>
      <c r="E2218" s="499"/>
      <c r="F2218" s="500">
        <v>50.8</v>
      </c>
      <c r="G2218" s="501" t="s">
        <v>225</v>
      </c>
      <c r="H2218" s="502"/>
      <c r="I2218" s="503">
        <f t="shared" si="35"/>
        <v>49263.799999999959</v>
      </c>
    </row>
    <row r="2219" spans="2:9">
      <c r="B2219" s="729">
        <v>45961</v>
      </c>
      <c r="C2219" s="497" t="s">
        <v>2258</v>
      </c>
      <c r="D2219" s="498" t="s">
        <v>1263</v>
      </c>
      <c r="E2219" s="499"/>
      <c r="F2219" s="500">
        <v>11.18</v>
      </c>
      <c r="G2219" s="501" t="s">
        <v>274</v>
      </c>
      <c r="H2219" s="502"/>
      <c r="I2219" s="503">
        <f t="shared" si="35"/>
        <v>49262.549999999959</v>
      </c>
    </row>
    <row r="2220" spans="2:9">
      <c r="B2220" s="496">
        <v>45971</v>
      </c>
      <c r="C2220" s="497" t="s">
        <v>117</v>
      </c>
      <c r="D2220" s="498" t="s">
        <v>921</v>
      </c>
      <c r="E2220" s="499"/>
      <c r="F2220" s="500">
        <v>1.25</v>
      </c>
      <c r="G2220" s="501" t="s">
        <v>271</v>
      </c>
      <c r="H2220" s="502"/>
      <c r="I2220" s="503">
        <f t="shared" si="35"/>
        <v>49171.499999999956</v>
      </c>
    </row>
    <row r="2221" spans="2:9">
      <c r="B2221" s="729">
        <v>45961</v>
      </c>
      <c r="C2221" s="497">
        <v>4230425800310290</v>
      </c>
      <c r="D2221" s="498" t="s">
        <v>412</v>
      </c>
      <c r="E2221" s="499"/>
      <c r="F2221" s="500">
        <v>91.05</v>
      </c>
      <c r="G2221" s="501" t="s">
        <v>225</v>
      </c>
      <c r="H2221" s="502"/>
      <c r="I2221" s="503">
        <f t="shared" si="35"/>
        <v>49151.469999999958</v>
      </c>
    </row>
    <row r="2222" spans="2:9">
      <c r="B2222" s="729">
        <v>45961</v>
      </c>
      <c r="C2222" s="497">
        <v>4230425800310290</v>
      </c>
      <c r="D2222" s="498" t="s">
        <v>1263</v>
      </c>
      <c r="E2222" s="499"/>
      <c r="F2222" s="500">
        <v>20.03</v>
      </c>
      <c r="G2222" s="501" t="s">
        <v>274</v>
      </c>
      <c r="H2222" s="502"/>
      <c r="I2222" s="503">
        <f t="shared" si="35"/>
        <v>49150.469999999958</v>
      </c>
    </row>
    <row r="2223" spans="2:9">
      <c r="B2223" s="496">
        <v>45971</v>
      </c>
      <c r="C2223" s="497" t="s">
        <v>117</v>
      </c>
      <c r="D2223" s="498" t="s">
        <v>903</v>
      </c>
      <c r="E2223" s="499"/>
      <c r="F2223" s="500">
        <v>1</v>
      </c>
      <c r="G2223" s="501" t="s">
        <v>272</v>
      </c>
      <c r="H2223" s="502"/>
      <c r="I2223" s="503">
        <f t="shared" si="35"/>
        <v>49736.369999999959</v>
      </c>
    </row>
    <row r="2224" spans="2:9">
      <c r="B2224" s="496">
        <v>45971</v>
      </c>
      <c r="C2224" s="497" t="s">
        <v>283</v>
      </c>
      <c r="D2224" s="498" t="s">
        <v>307</v>
      </c>
      <c r="E2224" s="499">
        <v>585.9</v>
      </c>
      <c r="F2224" s="500"/>
      <c r="G2224" s="501" t="s">
        <v>190</v>
      </c>
      <c r="H2224" s="502"/>
      <c r="I2224" s="503">
        <f t="shared" si="35"/>
        <v>51977.26999999996</v>
      </c>
    </row>
    <row r="2225" spans="2:9">
      <c r="B2225" s="496">
        <v>45971</v>
      </c>
      <c r="C2225" s="497" t="s">
        <v>283</v>
      </c>
      <c r="D2225" s="498" t="s">
        <v>307</v>
      </c>
      <c r="E2225" s="499">
        <v>2240.9</v>
      </c>
      <c r="F2225" s="500"/>
      <c r="G2225" s="501" t="s">
        <v>190</v>
      </c>
      <c r="H2225" s="502"/>
      <c r="I2225" s="503">
        <f t="shared" si="35"/>
        <v>54236.349999999962</v>
      </c>
    </row>
    <row r="2226" spans="2:9">
      <c r="B2226" s="496">
        <v>45971</v>
      </c>
      <c r="C2226" s="497" t="s">
        <v>283</v>
      </c>
      <c r="D2226" s="498" t="s">
        <v>307</v>
      </c>
      <c r="E2226" s="499">
        <v>2259.08</v>
      </c>
      <c r="F2226" s="500"/>
      <c r="G2226" s="501" t="s">
        <v>190</v>
      </c>
      <c r="H2226" s="502"/>
      <c r="I2226" s="503">
        <f t="shared" si="35"/>
        <v>54235.349999999962</v>
      </c>
    </row>
    <row r="2227" spans="2:9">
      <c r="B2227" s="496">
        <v>45972</v>
      </c>
      <c r="C2227" s="497" t="s">
        <v>117</v>
      </c>
      <c r="D2227" s="498" t="s">
        <v>903</v>
      </c>
      <c r="E2227" s="499"/>
      <c r="F2227" s="500">
        <v>1</v>
      </c>
      <c r="G2227" s="501" t="s">
        <v>272</v>
      </c>
      <c r="H2227" s="502"/>
      <c r="I2227" s="503">
        <f t="shared" si="35"/>
        <v>54112.989999999962</v>
      </c>
    </row>
    <row r="2228" spans="2:9">
      <c r="B2228" s="496">
        <v>45972</v>
      </c>
      <c r="C2228" s="510"/>
      <c r="D2228" s="498" t="s">
        <v>318</v>
      </c>
      <c r="E2228" s="499"/>
      <c r="F2228" s="500">
        <v>122.36</v>
      </c>
      <c r="G2228" s="501" t="s">
        <v>206</v>
      </c>
      <c r="H2228" s="502"/>
      <c r="I2228" s="503">
        <f t="shared" si="35"/>
        <v>54112.989999999962</v>
      </c>
    </row>
    <row r="2229" spans="2:9">
      <c r="B2229" s="496">
        <v>45972</v>
      </c>
      <c r="C2229" s="510"/>
      <c r="D2229" s="498" t="s">
        <v>318</v>
      </c>
      <c r="E2229" s="499"/>
      <c r="F2229" s="500"/>
      <c r="G2229" s="501" t="s">
        <v>274</v>
      </c>
      <c r="H2229" s="502"/>
      <c r="I2229" s="503">
        <f t="shared" si="35"/>
        <v>54748.689999999959</v>
      </c>
    </row>
    <row r="2230" spans="2:9">
      <c r="B2230" s="496">
        <v>45972</v>
      </c>
      <c r="C2230" s="497" t="s">
        <v>283</v>
      </c>
      <c r="D2230" s="498" t="s">
        <v>307</v>
      </c>
      <c r="E2230" s="499">
        <v>635.70000000000005</v>
      </c>
      <c r="F2230" s="500"/>
      <c r="G2230" s="501" t="s">
        <v>190</v>
      </c>
      <c r="H2230" s="502"/>
      <c r="I2230" s="503">
        <f t="shared" si="35"/>
        <v>53127.689999999959</v>
      </c>
    </row>
    <row r="2231" spans="2:9">
      <c r="B2231" s="729">
        <v>45940</v>
      </c>
      <c r="C2231" s="497" t="s">
        <v>1881</v>
      </c>
      <c r="D2231" s="498" t="s">
        <v>2160</v>
      </c>
      <c r="E2231" s="499"/>
      <c r="F2231" s="500">
        <v>1621</v>
      </c>
      <c r="G2231" s="501" t="s">
        <v>246</v>
      </c>
      <c r="H2231" s="502"/>
      <c r="I2231" s="503">
        <f t="shared" si="35"/>
        <v>51632.689999999959</v>
      </c>
    </row>
    <row r="2232" spans="2:9">
      <c r="B2232" s="729">
        <v>45940</v>
      </c>
      <c r="C2232" s="497" t="s">
        <v>1881</v>
      </c>
      <c r="D2232" s="498" t="s">
        <v>28</v>
      </c>
      <c r="E2232" s="499"/>
      <c r="F2232" s="500">
        <v>1495</v>
      </c>
      <c r="G2232" s="501" t="s">
        <v>243</v>
      </c>
      <c r="H2232" s="502"/>
      <c r="I2232" s="503">
        <f t="shared" si="35"/>
        <v>50264.689999999959</v>
      </c>
    </row>
    <row r="2233" spans="2:9">
      <c r="B2233" s="729">
        <v>45940</v>
      </c>
      <c r="C2233" s="497" t="s">
        <v>1881</v>
      </c>
      <c r="D2233" s="498" t="s">
        <v>2259</v>
      </c>
      <c r="E2233" s="499"/>
      <c r="F2233" s="500">
        <v>1368</v>
      </c>
      <c r="G2233" s="501" t="s">
        <v>243</v>
      </c>
      <c r="H2233" s="502"/>
      <c r="I2233" s="503">
        <f t="shared" si="35"/>
        <v>45999.689999999959</v>
      </c>
    </row>
    <row r="2234" spans="2:9">
      <c r="B2234" s="729">
        <v>45940</v>
      </c>
      <c r="C2234" s="497" t="s">
        <v>286</v>
      </c>
      <c r="D2234" s="498" t="s">
        <v>520</v>
      </c>
      <c r="E2234" s="499"/>
      <c r="F2234" s="500">
        <v>4265</v>
      </c>
      <c r="G2234" s="501" t="s">
        <v>139</v>
      </c>
      <c r="H2234" s="502"/>
      <c r="I2234" s="503">
        <f t="shared" si="35"/>
        <v>44747.689999999959</v>
      </c>
    </row>
    <row r="2235" spans="2:9">
      <c r="B2235" s="729">
        <v>45940</v>
      </c>
      <c r="C2235" s="497" t="s">
        <v>1881</v>
      </c>
      <c r="D2235" s="498" t="s">
        <v>2260</v>
      </c>
      <c r="E2235" s="499"/>
      <c r="F2235" s="500">
        <v>1252</v>
      </c>
      <c r="G2235" s="501" t="s">
        <v>243</v>
      </c>
      <c r="H2235" s="502"/>
      <c r="I2235" s="503">
        <f t="shared" si="35"/>
        <v>43810.689999999959</v>
      </c>
    </row>
    <row r="2236" spans="2:9">
      <c r="B2236" s="729">
        <v>45940</v>
      </c>
      <c r="C2236" s="497" t="s">
        <v>1881</v>
      </c>
      <c r="D2236" s="498" t="s">
        <v>559</v>
      </c>
      <c r="E2236" s="499"/>
      <c r="F2236" s="500">
        <v>937</v>
      </c>
      <c r="G2236" s="501" t="s">
        <v>243</v>
      </c>
      <c r="H2236" s="502"/>
      <c r="I2236" s="503">
        <f t="shared" si="35"/>
        <v>42534.689999999959</v>
      </c>
    </row>
    <row r="2237" spans="2:9">
      <c r="B2237" s="729">
        <v>45940</v>
      </c>
      <c r="C2237" s="497" t="s">
        <v>1881</v>
      </c>
      <c r="D2237" s="498" t="s">
        <v>25</v>
      </c>
      <c r="E2237" s="499"/>
      <c r="F2237" s="500">
        <v>1276</v>
      </c>
      <c r="G2237" s="501" t="s">
        <v>246</v>
      </c>
      <c r="H2237" s="502"/>
      <c r="I2237" s="503">
        <f t="shared" si="35"/>
        <v>41365.689999999959</v>
      </c>
    </row>
    <row r="2238" spans="2:9">
      <c r="B2238" s="729">
        <v>45940</v>
      </c>
      <c r="C2238" s="497" t="s">
        <v>1881</v>
      </c>
      <c r="D2238" s="498" t="s">
        <v>557</v>
      </c>
      <c r="E2238" s="499"/>
      <c r="F2238" s="500">
        <v>1169</v>
      </c>
      <c r="G2238" s="501" t="s">
        <v>1859</v>
      </c>
      <c r="H2238" s="502"/>
      <c r="I2238" s="503">
        <f t="shared" si="35"/>
        <v>41362.489999999962</v>
      </c>
    </row>
    <row r="2239" spans="2:9">
      <c r="B2239" s="496">
        <v>45972</v>
      </c>
      <c r="C2239" s="497" t="s">
        <v>117</v>
      </c>
      <c r="D2239" s="498" t="s">
        <v>903</v>
      </c>
      <c r="E2239" s="499"/>
      <c r="F2239" s="500">
        <v>3.2</v>
      </c>
      <c r="G2239" s="501" t="s">
        <v>272</v>
      </c>
      <c r="H2239" s="502"/>
      <c r="I2239" s="503">
        <f t="shared" si="35"/>
        <v>41360.08999999996</v>
      </c>
    </row>
    <row r="2240" spans="2:9">
      <c r="B2240" s="496">
        <v>45972</v>
      </c>
      <c r="C2240" s="497" t="s">
        <v>117</v>
      </c>
      <c r="D2240" s="498" t="s">
        <v>903</v>
      </c>
      <c r="E2240" s="499"/>
      <c r="F2240" s="500">
        <v>2.4</v>
      </c>
      <c r="G2240" s="501" t="s">
        <v>272</v>
      </c>
      <c r="H2240" s="502"/>
      <c r="I2240" s="503">
        <f t="shared" si="35"/>
        <v>41359.08999999996</v>
      </c>
    </row>
    <row r="2241" spans="2:9">
      <c r="B2241" s="496">
        <v>45972</v>
      </c>
      <c r="C2241" s="497" t="s">
        <v>117</v>
      </c>
      <c r="D2241" s="498" t="s">
        <v>903</v>
      </c>
      <c r="E2241" s="499"/>
      <c r="F2241" s="500">
        <v>1</v>
      </c>
      <c r="G2241" s="501" t="s">
        <v>272</v>
      </c>
      <c r="H2241" s="502"/>
      <c r="I2241" s="503">
        <f t="shared" ref="I2241:I2304" si="36">I2240+E2242-F2242</f>
        <v>40559.689999999959</v>
      </c>
    </row>
    <row r="2242" spans="2:9">
      <c r="B2242" s="729">
        <v>45869</v>
      </c>
      <c r="C2242" s="641" t="s">
        <v>2186</v>
      </c>
      <c r="D2242" s="498" t="s">
        <v>2187</v>
      </c>
      <c r="E2242" s="499"/>
      <c r="F2242" s="500">
        <v>799.4</v>
      </c>
      <c r="G2242" s="501" t="s">
        <v>196</v>
      </c>
      <c r="H2242" s="502"/>
      <c r="I2242" s="503">
        <f t="shared" si="36"/>
        <v>40383.819999999956</v>
      </c>
    </row>
    <row r="2243" spans="2:9">
      <c r="B2243" s="729">
        <v>45869</v>
      </c>
      <c r="C2243" s="641" t="s">
        <v>2186</v>
      </c>
      <c r="D2243" s="498" t="s">
        <v>2261</v>
      </c>
      <c r="E2243" s="499"/>
      <c r="F2243" s="500">
        <v>175.87</v>
      </c>
      <c r="G2243" s="501" t="s">
        <v>274</v>
      </c>
      <c r="H2243" s="502"/>
      <c r="I2243" s="503">
        <f t="shared" si="36"/>
        <v>36666.019999999953</v>
      </c>
    </row>
    <row r="2244" spans="2:9">
      <c r="B2244" s="496">
        <v>45972</v>
      </c>
      <c r="C2244" s="497">
        <v>690</v>
      </c>
      <c r="D2244" s="498" t="s">
        <v>2265</v>
      </c>
      <c r="E2244" s="499"/>
      <c r="F2244" s="500">
        <v>3717.8</v>
      </c>
      <c r="G2244" s="501" t="s">
        <v>216</v>
      </c>
      <c r="H2244" s="502"/>
      <c r="I2244" s="503">
        <f t="shared" si="36"/>
        <v>35848.099999999955</v>
      </c>
    </row>
    <row r="2245" spans="2:9">
      <c r="B2245" s="496">
        <v>45972</v>
      </c>
      <c r="C2245" s="497">
        <v>690</v>
      </c>
      <c r="D2245" s="498" t="s">
        <v>2265</v>
      </c>
      <c r="E2245" s="499"/>
      <c r="F2245" s="500">
        <v>817.92</v>
      </c>
      <c r="G2245" s="501" t="s">
        <v>274</v>
      </c>
      <c r="H2245" s="502"/>
      <c r="I2245" s="503">
        <f t="shared" si="36"/>
        <v>35847.349999999955</v>
      </c>
    </row>
    <row r="2246" spans="2:9">
      <c r="B2246" s="496">
        <v>45972</v>
      </c>
      <c r="C2246" s="497" t="s">
        <v>117</v>
      </c>
      <c r="D2246" s="498" t="s">
        <v>903</v>
      </c>
      <c r="E2246" s="499"/>
      <c r="F2246" s="500">
        <v>0.75</v>
      </c>
      <c r="G2246" s="501" t="s">
        <v>272</v>
      </c>
      <c r="H2246" s="502"/>
      <c r="I2246" s="503">
        <f t="shared" si="36"/>
        <v>35848.459999999955</v>
      </c>
    </row>
    <row r="2247" spans="2:9">
      <c r="B2247" s="496">
        <v>45972</v>
      </c>
      <c r="C2247" s="497" t="s">
        <v>283</v>
      </c>
      <c r="D2247" s="498" t="s">
        <v>909</v>
      </c>
      <c r="E2247" s="499">
        <v>1.1100000000000001</v>
      </c>
      <c r="F2247" s="500"/>
      <c r="G2247" s="501" t="s">
        <v>190</v>
      </c>
      <c r="H2247" s="502"/>
      <c r="I2247" s="503">
        <f t="shared" si="36"/>
        <v>35456.969999999958</v>
      </c>
    </row>
    <row r="2248" spans="2:9">
      <c r="B2248" s="496">
        <v>45973</v>
      </c>
      <c r="C2248" s="497">
        <v>52777</v>
      </c>
      <c r="D2248" s="498" t="s">
        <v>1252</v>
      </c>
      <c r="E2248" s="499"/>
      <c r="F2248" s="500">
        <v>391.49</v>
      </c>
      <c r="G2248" s="501" t="s">
        <v>194</v>
      </c>
      <c r="H2248" s="502"/>
      <c r="I2248" s="503">
        <f t="shared" si="36"/>
        <v>35370.83999999996</v>
      </c>
    </row>
    <row r="2249" spans="2:9">
      <c r="B2249" s="496">
        <v>45973</v>
      </c>
      <c r="C2249" s="497">
        <v>52777</v>
      </c>
      <c r="D2249" s="498" t="s">
        <v>1252</v>
      </c>
      <c r="E2249" s="499"/>
      <c r="F2249" s="500">
        <v>86.13</v>
      </c>
      <c r="G2249" s="501" t="s">
        <v>274</v>
      </c>
      <c r="H2249" s="502"/>
      <c r="I2249" s="503">
        <f t="shared" si="36"/>
        <v>35369.83999999996</v>
      </c>
    </row>
    <row r="2250" spans="2:9">
      <c r="B2250" s="496">
        <v>45973</v>
      </c>
      <c r="C2250" s="497" t="s">
        <v>117</v>
      </c>
      <c r="D2250" s="498" t="s">
        <v>903</v>
      </c>
      <c r="E2250" s="499"/>
      <c r="F2250" s="500">
        <v>1</v>
      </c>
      <c r="G2250" s="501" t="s">
        <v>272</v>
      </c>
      <c r="H2250" s="502"/>
      <c r="I2250" s="503">
        <f t="shared" si="36"/>
        <v>35753.939999999959</v>
      </c>
    </row>
    <row r="2251" spans="2:9">
      <c r="B2251" s="496">
        <v>45973</v>
      </c>
      <c r="C2251" s="497" t="s">
        <v>283</v>
      </c>
      <c r="D2251" s="498" t="s">
        <v>307</v>
      </c>
      <c r="E2251" s="499">
        <v>384.1</v>
      </c>
      <c r="F2251" s="500"/>
      <c r="G2251" s="501" t="s">
        <v>190</v>
      </c>
      <c r="H2251" s="502"/>
      <c r="I2251" s="503">
        <f t="shared" si="36"/>
        <v>35588.939999999959</v>
      </c>
    </row>
    <row r="2252" spans="2:9">
      <c r="B2252" s="496">
        <v>45973</v>
      </c>
      <c r="C2252" s="497" t="s">
        <v>1881</v>
      </c>
      <c r="D2252" s="498" t="s">
        <v>2266</v>
      </c>
      <c r="E2252" s="499"/>
      <c r="F2252" s="500">
        <v>165</v>
      </c>
      <c r="G2252" s="501" t="s">
        <v>249</v>
      </c>
      <c r="H2252" s="502"/>
      <c r="I2252" s="503">
        <f t="shared" si="36"/>
        <v>35588.139999999956</v>
      </c>
    </row>
    <row r="2253" spans="2:9">
      <c r="B2253" s="496">
        <v>45973</v>
      </c>
      <c r="C2253" s="497" t="s">
        <v>117</v>
      </c>
      <c r="D2253" s="498" t="s">
        <v>903</v>
      </c>
      <c r="E2253" s="499"/>
      <c r="F2253" s="500">
        <v>0.8</v>
      </c>
      <c r="G2253" s="501" t="s">
        <v>272</v>
      </c>
      <c r="H2253" s="502"/>
      <c r="I2253" s="503">
        <f t="shared" si="36"/>
        <v>35441.739999999954</v>
      </c>
    </row>
    <row r="2254" spans="2:9">
      <c r="B2254" s="496">
        <v>45973</v>
      </c>
      <c r="C2254" s="510"/>
      <c r="D2254" s="498" t="s">
        <v>1244</v>
      </c>
      <c r="E2254" s="499"/>
      <c r="F2254" s="500">
        <v>146.4</v>
      </c>
      <c r="G2254" s="501" t="s">
        <v>207</v>
      </c>
      <c r="H2254" s="502"/>
      <c r="I2254" s="503">
        <f t="shared" si="36"/>
        <v>35441.739999999954</v>
      </c>
    </row>
    <row r="2255" spans="2:9">
      <c r="B2255" s="496">
        <v>45973</v>
      </c>
      <c r="C2255" s="510"/>
      <c r="D2255" s="498" t="s">
        <v>414</v>
      </c>
      <c r="E2255" s="499"/>
      <c r="F2255" s="500"/>
      <c r="G2255" s="501" t="s">
        <v>274</v>
      </c>
      <c r="H2255" s="502"/>
      <c r="I2255" s="503">
        <f t="shared" si="36"/>
        <v>35440.739999999954</v>
      </c>
    </row>
    <row r="2256" spans="2:9">
      <c r="B2256" s="496">
        <v>45973</v>
      </c>
      <c r="C2256" s="497" t="s">
        <v>117</v>
      </c>
      <c r="D2256" s="498" t="s">
        <v>903</v>
      </c>
      <c r="E2256" s="499"/>
      <c r="F2256" s="500">
        <v>1</v>
      </c>
      <c r="G2256" s="501" t="s">
        <v>272</v>
      </c>
      <c r="H2256" s="502"/>
      <c r="I2256" s="503">
        <f t="shared" si="36"/>
        <v>35715.939999999951</v>
      </c>
    </row>
    <row r="2257" spans="2:9">
      <c r="B2257" s="496">
        <v>45974</v>
      </c>
      <c r="C2257" s="497" t="s">
        <v>283</v>
      </c>
      <c r="D2257" s="498" t="s">
        <v>307</v>
      </c>
      <c r="E2257" s="499">
        <v>275.2</v>
      </c>
      <c r="F2257" s="500"/>
      <c r="G2257" s="501" t="s">
        <v>190</v>
      </c>
      <c r="H2257" s="502"/>
      <c r="I2257" s="503">
        <f t="shared" si="36"/>
        <v>33843.489999999954</v>
      </c>
    </row>
    <row r="2258" spans="2:9">
      <c r="B2258" s="496">
        <v>45975</v>
      </c>
      <c r="C2258" s="641" t="s">
        <v>2345</v>
      </c>
      <c r="D2258" s="498" t="s">
        <v>2267</v>
      </c>
      <c r="E2258" s="499"/>
      <c r="F2258" s="500">
        <v>1872.45</v>
      </c>
      <c r="G2258" s="501" t="s">
        <v>196</v>
      </c>
      <c r="H2258" s="502"/>
      <c r="I2258" s="503">
        <f t="shared" si="36"/>
        <v>33431.549999999952</v>
      </c>
    </row>
    <row r="2259" spans="2:9">
      <c r="B2259" s="496">
        <v>45975</v>
      </c>
      <c r="C2259" s="641" t="s">
        <v>2345</v>
      </c>
      <c r="D2259" s="498" t="s">
        <v>2267</v>
      </c>
      <c r="E2259" s="499"/>
      <c r="F2259" s="500">
        <v>411.94</v>
      </c>
      <c r="G2259" s="501" t="s">
        <v>274</v>
      </c>
      <c r="H2259" s="502"/>
      <c r="I2259" s="503">
        <f t="shared" si="36"/>
        <v>33430.549999999952</v>
      </c>
    </row>
    <row r="2260" spans="2:9">
      <c r="B2260" s="496">
        <v>45975</v>
      </c>
      <c r="C2260" s="497" t="s">
        <v>117</v>
      </c>
      <c r="D2260" s="498" t="s">
        <v>903</v>
      </c>
      <c r="E2260" s="499"/>
      <c r="F2260" s="500">
        <v>1</v>
      </c>
      <c r="G2260" s="501" t="s">
        <v>272</v>
      </c>
      <c r="H2260" s="502"/>
      <c r="I2260" s="503">
        <f t="shared" si="36"/>
        <v>33915.049999999952</v>
      </c>
    </row>
    <row r="2261" spans="2:9">
      <c r="B2261" s="496">
        <v>45975</v>
      </c>
      <c r="C2261" s="497" t="s">
        <v>283</v>
      </c>
      <c r="D2261" s="498" t="s">
        <v>307</v>
      </c>
      <c r="E2261" s="499">
        <v>484.5</v>
      </c>
      <c r="F2261" s="500"/>
      <c r="G2261" s="501" t="s">
        <v>190</v>
      </c>
      <c r="H2261" s="502"/>
      <c r="I2261" s="503">
        <f t="shared" si="36"/>
        <v>33783.049999999952</v>
      </c>
    </row>
    <row r="2262" spans="2:9">
      <c r="B2262" s="496">
        <v>45978</v>
      </c>
      <c r="C2262" s="497">
        <v>133</v>
      </c>
      <c r="D2262" s="498" t="s">
        <v>917</v>
      </c>
      <c r="E2262" s="499"/>
      <c r="F2262" s="500">
        <v>132</v>
      </c>
      <c r="G2262" s="501" t="s">
        <v>227</v>
      </c>
      <c r="H2262" s="502"/>
      <c r="I2262" s="503">
        <f t="shared" si="36"/>
        <v>33782.049999999952</v>
      </c>
    </row>
    <row r="2263" spans="2:9">
      <c r="B2263" s="496">
        <v>45978</v>
      </c>
      <c r="C2263" s="497" t="s">
        <v>117</v>
      </c>
      <c r="D2263" s="498" t="s">
        <v>903</v>
      </c>
      <c r="E2263" s="499"/>
      <c r="F2263" s="500">
        <v>1</v>
      </c>
      <c r="G2263" s="501" t="s">
        <v>272</v>
      </c>
      <c r="H2263" s="502"/>
      <c r="I2263" s="503">
        <f t="shared" si="36"/>
        <v>29235.049999999952</v>
      </c>
    </row>
    <row r="2264" spans="2:9">
      <c r="B2264" s="496">
        <v>45978</v>
      </c>
      <c r="C2264" s="497" t="s">
        <v>117</v>
      </c>
      <c r="D2264" s="498" t="s">
        <v>1002</v>
      </c>
      <c r="E2264" s="499"/>
      <c r="F2264" s="500">
        <v>4547</v>
      </c>
      <c r="G2264" s="501" t="s">
        <v>241</v>
      </c>
      <c r="H2264" s="502"/>
      <c r="I2264" s="503">
        <f t="shared" si="36"/>
        <v>29234.049999999952</v>
      </c>
    </row>
    <row r="2265" spans="2:9">
      <c r="B2265" s="496">
        <v>45978</v>
      </c>
      <c r="C2265" s="497" t="s">
        <v>117</v>
      </c>
      <c r="D2265" s="498" t="s">
        <v>903</v>
      </c>
      <c r="E2265" s="499"/>
      <c r="F2265" s="500">
        <v>1</v>
      </c>
      <c r="G2265" s="501" t="s">
        <v>272</v>
      </c>
      <c r="H2265" s="502"/>
      <c r="I2265" s="503">
        <f t="shared" si="36"/>
        <v>30094.949999999953</v>
      </c>
    </row>
    <row r="2266" spans="2:9">
      <c r="B2266" s="496">
        <v>45978</v>
      </c>
      <c r="C2266" s="497" t="s">
        <v>283</v>
      </c>
      <c r="D2266" s="498" t="s">
        <v>307</v>
      </c>
      <c r="E2266" s="499">
        <v>860.9</v>
      </c>
      <c r="F2266" s="500"/>
      <c r="G2266" s="501" t="s">
        <v>190</v>
      </c>
      <c r="H2266" s="502"/>
      <c r="I2266" s="503">
        <f t="shared" si="36"/>
        <v>30194.949999999953</v>
      </c>
    </row>
    <row r="2267" spans="2:9">
      <c r="B2267" s="496">
        <v>45978</v>
      </c>
      <c r="C2267" s="497" t="s">
        <v>283</v>
      </c>
      <c r="D2267" s="498" t="s">
        <v>912</v>
      </c>
      <c r="E2267" s="499">
        <v>100</v>
      </c>
      <c r="F2267" s="500"/>
      <c r="G2267" s="501"/>
      <c r="H2267" s="812" t="s">
        <v>2168</v>
      </c>
      <c r="I2267" s="503">
        <f t="shared" si="36"/>
        <v>30193.949999999953</v>
      </c>
    </row>
    <row r="2268" spans="2:9">
      <c r="B2268" s="496">
        <v>45978</v>
      </c>
      <c r="C2268" s="497" t="s">
        <v>117</v>
      </c>
      <c r="D2268" s="498" t="s">
        <v>918</v>
      </c>
      <c r="E2268" s="499"/>
      <c r="F2268" s="500">
        <v>1</v>
      </c>
      <c r="G2268" s="501"/>
      <c r="H2268" s="812" t="s">
        <v>2168</v>
      </c>
      <c r="I2268" s="503">
        <f t="shared" si="36"/>
        <v>32793.249999999956</v>
      </c>
    </row>
    <row r="2269" spans="2:9">
      <c r="B2269" s="496">
        <v>45978</v>
      </c>
      <c r="C2269" s="497" t="s">
        <v>283</v>
      </c>
      <c r="D2269" s="498" t="s">
        <v>307</v>
      </c>
      <c r="E2269" s="499">
        <v>2599.3000000000002</v>
      </c>
      <c r="F2269" s="500"/>
      <c r="G2269" s="501" t="s">
        <v>190</v>
      </c>
      <c r="H2269" s="502"/>
      <c r="I2269" s="503">
        <f t="shared" si="36"/>
        <v>35147.149999999958</v>
      </c>
    </row>
    <row r="2270" spans="2:9">
      <c r="B2270" s="496">
        <v>45978</v>
      </c>
      <c r="C2270" s="497" t="s">
        <v>283</v>
      </c>
      <c r="D2270" s="498" t="s">
        <v>307</v>
      </c>
      <c r="E2270" s="499">
        <v>2353.9</v>
      </c>
      <c r="F2270" s="500"/>
      <c r="G2270" s="501" t="s">
        <v>190</v>
      </c>
      <c r="H2270" s="502"/>
      <c r="I2270" s="503">
        <f t="shared" si="36"/>
        <v>35414.149999999958</v>
      </c>
    </row>
    <row r="2271" spans="2:9">
      <c r="B2271" s="496">
        <v>45978</v>
      </c>
      <c r="C2271" s="497" t="s">
        <v>283</v>
      </c>
      <c r="D2271" s="498" t="s">
        <v>909</v>
      </c>
      <c r="E2271" s="499">
        <v>267</v>
      </c>
      <c r="F2271" s="500"/>
      <c r="G2271" s="501" t="s">
        <v>190</v>
      </c>
      <c r="H2271" s="502"/>
      <c r="I2271" s="503">
        <f t="shared" si="36"/>
        <v>35411.889999999956</v>
      </c>
    </row>
    <row r="2272" spans="2:9">
      <c r="B2272" s="496">
        <v>45978</v>
      </c>
      <c r="C2272" s="497" t="s">
        <v>117</v>
      </c>
      <c r="D2272" s="498" t="s">
        <v>911</v>
      </c>
      <c r="E2272" s="499"/>
      <c r="F2272" s="500">
        <v>2.2599999999999998</v>
      </c>
      <c r="G2272" s="501" t="s">
        <v>269</v>
      </c>
      <c r="H2272" s="502"/>
      <c r="I2272" s="503">
        <f t="shared" si="36"/>
        <v>30485.699999999957</v>
      </c>
    </row>
    <row r="2273" spans="2:9">
      <c r="B2273" s="496">
        <v>45979</v>
      </c>
      <c r="C2273" s="497" t="s">
        <v>250</v>
      </c>
      <c r="D2273" s="498" t="s">
        <v>250</v>
      </c>
      <c r="E2273" s="499"/>
      <c r="F2273" s="500">
        <v>4926.1899999999996</v>
      </c>
      <c r="G2273" s="501" t="s">
        <v>250</v>
      </c>
      <c r="H2273" s="502"/>
      <c r="I2273" s="503">
        <f t="shared" si="36"/>
        <v>30402.369999999955</v>
      </c>
    </row>
    <row r="2274" spans="2:9">
      <c r="B2274" s="496">
        <v>45979</v>
      </c>
      <c r="C2274" s="507" t="s">
        <v>250</v>
      </c>
      <c r="D2274" s="505" t="s">
        <v>329</v>
      </c>
      <c r="E2274" s="499"/>
      <c r="F2274" s="500">
        <v>83.33</v>
      </c>
      <c r="G2274" s="630" t="s">
        <v>221</v>
      </c>
      <c r="H2274" s="502"/>
      <c r="I2274" s="503">
        <f t="shared" si="36"/>
        <v>30261.369999999955</v>
      </c>
    </row>
    <row r="2275" spans="2:9">
      <c r="B2275" s="496">
        <v>45979</v>
      </c>
      <c r="C2275" s="507" t="s">
        <v>250</v>
      </c>
      <c r="D2275" s="505" t="s">
        <v>990</v>
      </c>
      <c r="E2275" s="499"/>
      <c r="F2275" s="500">
        <v>141</v>
      </c>
      <c r="G2275" s="630" t="s">
        <v>222</v>
      </c>
      <c r="H2275" s="502"/>
      <c r="I2275" s="503">
        <f t="shared" si="36"/>
        <v>29745.329999999954</v>
      </c>
    </row>
    <row r="2276" spans="2:9">
      <c r="B2276" s="496">
        <v>45979</v>
      </c>
      <c r="C2276" s="497">
        <v>53753</v>
      </c>
      <c r="D2276" s="498" t="s">
        <v>1252</v>
      </c>
      <c r="E2276" s="499"/>
      <c r="F2276" s="500">
        <v>516.04</v>
      </c>
      <c r="G2276" s="501" t="s">
        <v>194</v>
      </c>
      <c r="H2276" s="502"/>
      <c r="I2276" s="503">
        <f t="shared" si="36"/>
        <v>29631.799999999956</v>
      </c>
    </row>
    <row r="2277" spans="2:9">
      <c r="B2277" s="496">
        <v>45979</v>
      </c>
      <c r="C2277" s="497">
        <v>53753</v>
      </c>
      <c r="D2277" s="498" t="s">
        <v>100</v>
      </c>
      <c r="E2277" s="499"/>
      <c r="F2277" s="500">
        <v>113.53</v>
      </c>
      <c r="G2277" s="501" t="s">
        <v>274</v>
      </c>
      <c r="H2277" s="502"/>
      <c r="I2277" s="503">
        <f t="shared" si="36"/>
        <v>29630.799999999956</v>
      </c>
    </row>
    <row r="2278" spans="2:9">
      <c r="B2278" s="496">
        <v>45979</v>
      </c>
      <c r="C2278" s="497" t="s">
        <v>117</v>
      </c>
      <c r="D2278" s="498" t="s">
        <v>903</v>
      </c>
      <c r="E2278" s="499"/>
      <c r="F2278" s="500">
        <v>1</v>
      </c>
      <c r="G2278" s="501" t="s">
        <v>272</v>
      </c>
      <c r="H2278" s="502"/>
      <c r="I2278" s="503">
        <f t="shared" si="36"/>
        <v>30025.599999999955</v>
      </c>
    </row>
    <row r="2279" spans="2:9">
      <c r="B2279" s="496">
        <v>45979</v>
      </c>
      <c r="C2279" s="497" t="s">
        <v>283</v>
      </c>
      <c r="D2279" s="498" t="s">
        <v>307</v>
      </c>
      <c r="E2279" s="499">
        <v>394.8</v>
      </c>
      <c r="F2279" s="500"/>
      <c r="G2279" s="501" t="s">
        <v>190</v>
      </c>
      <c r="H2279" s="502"/>
      <c r="I2279" s="503">
        <f t="shared" si="36"/>
        <v>30068.599999999955</v>
      </c>
    </row>
    <row r="2280" spans="2:9">
      <c r="B2280" s="496">
        <v>45979</v>
      </c>
      <c r="C2280" s="497" t="s">
        <v>283</v>
      </c>
      <c r="D2280" s="498" t="s">
        <v>909</v>
      </c>
      <c r="E2280" s="499">
        <v>43</v>
      </c>
      <c r="F2280" s="500"/>
      <c r="G2280" s="501" t="s">
        <v>190</v>
      </c>
      <c r="H2280" s="502"/>
      <c r="I2280" s="503">
        <f t="shared" si="36"/>
        <v>30068.099999999955</v>
      </c>
    </row>
    <row r="2281" spans="2:9">
      <c r="B2281" s="496">
        <v>45979</v>
      </c>
      <c r="C2281" s="497" t="s">
        <v>117</v>
      </c>
      <c r="D2281" s="498" t="s">
        <v>911</v>
      </c>
      <c r="E2281" s="499"/>
      <c r="F2281" s="500">
        <v>0.5</v>
      </c>
      <c r="G2281" s="501" t="s">
        <v>269</v>
      </c>
      <c r="H2281" s="502"/>
      <c r="I2281" s="503">
        <f t="shared" si="36"/>
        <v>30417.399999999954</v>
      </c>
    </row>
    <row r="2282" spans="2:9">
      <c r="B2282" s="496">
        <v>45980</v>
      </c>
      <c r="C2282" s="497" t="s">
        <v>283</v>
      </c>
      <c r="D2282" s="498" t="s">
        <v>307</v>
      </c>
      <c r="E2282" s="499">
        <v>349.3</v>
      </c>
      <c r="F2282" s="500"/>
      <c r="G2282" s="501" t="s">
        <v>190</v>
      </c>
      <c r="H2282" s="502"/>
      <c r="I2282" s="503">
        <f t="shared" si="36"/>
        <v>31297.999999999953</v>
      </c>
    </row>
    <row r="2283" spans="2:9">
      <c r="B2283" s="496">
        <v>45981</v>
      </c>
      <c r="C2283" s="497" t="s">
        <v>283</v>
      </c>
      <c r="D2283" s="498" t="s">
        <v>307</v>
      </c>
      <c r="E2283" s="499">
        <v>880.6</v>
      </c>
      <c r="F2283" s="500"/>
      <c r="G2283" s="501" t="s">
        <v>190</v>
      </c>
      <c r="H2283" s="502"/>
      <c r="I2283" s="503">
        <f t="shared" si="36"/>
        <v>31620.499999999953</v>
      </c>
    </row>
    <row r="2284" spans="2:9">
      <c r="B2284" s="496">
        <v>45982</v>
      </c>
      <c r="C2284" s="497" t="s">
        <v>283</v>
      </c>
      <c r="D2284" s="498" t="s">
        <v>307</v>
      </c>
      <c r="E2284" s="499">
        <v>322.5</v>
      </c>
      <c r="F2284" s="500"/>
      <c r="G2284" s="501" t="s">
        <v>190</v>
      </c>
      <c r="H2284" s="502"/>
      <c r="I2284" s="503">
        <f t="shared" si="36"/>
        <v>32343.399999999954</v>
      </c>
    </row>
    <row r="2285" spans="2:9">
      <c r="B2285" s="496">
        <v>45985</v>
      </c>
      <c r="C2285" s="497" t="s">
        <v>283</v>
      </c>
      <c r="D2285" s="498" t="s">
        <v>307</v>
      </c>
      <c r="E2285" s="499">
        <v>722.9</v>
      </c>
      <c r="F2285" s="500"/>
      <c r="G2285" s="501" t="s">
        <v>190</v>
      </c>
      <c r="H2285" s="502"/>
      <c r="I2285" s="503">
        <f t="shared" si="36"/>
        <v>34265.499999999956</v>
      </c>
    </row>
    <row r="2286" spans="2:9">
      <c r="B2286" s="496">
        <v>45985</v>
      </c>
      <c r="C2286" s="497" t="s">
        <v>283</v>
      </c>
      <c r="D2286" s="498" t="s">
        <v>307</v>
      </c>
      <c r="E2286" s="499">
        <v>1922.1</v>
      </c>
      <c r="F2286" s="500"/>
      <c r="G2286" s="501" t="s">
        <v>190</v>
      </c>
      <c r="H2286" s="502"/>
      <c r="I2286" s="503">
        <f t="shared" si="36"/>
        <v>36042.999999999956</v>
      </c>
    </row>
    <row r="2287" spans="2:9">
      <c r="B2287" s="496">
        <v>45985</v>
      </c>
      <c r="C2287" s="497" t="s">
        <v>283</v>
      </c>
      <c r="D2287" s="498" t="s">
        <v>912</v>
      </c>
      <c r="E2287" s="499">
        <v>1777.5</v>
      </c>
      <c r="F2287" s="500"/>
      <c r="G2287" s="501"/>
      <c r="H2287" s="812" t="s">
        <v>2168</v>
      </c>
      <c r="I2287" s="503">
        <f t="shared" si="36"/>
        <v>36025.129999999954</v>
      </c>
    </row>
    <row r="2288" spans="2:9">
      <c r="B2288" s="496">
        <v>45985</v>
      </c>
      <c r="C2288" s="497" t="s">
        <v>117</v>
      </c>
      <c r="D2288" s="498" t="s">
        <v>918</v>
      </c>
      <c r="E2288" s="499"/>
      <c r="F2288" s="500">
        <v>17.87</v>
      </c>
      <c r="G2288" s="501"/>
      <c r="H2288" s="812" t="s">
        <v>2168</v>
      </c>
      <c r="I2288" s="503">
        <f t="shared" si="36"/>
        <v>36572.429999999957</v>
      </c>
    </row>
    <row r="2289" spans="2:9">
      <c r="B2289" s="496">
        <v>45985</v>
      </c>
      <c r="C2289" s="497" t="s">
        <v>283</v>
      </c>
      <c r="D2289" s="498" t="s">
        <v>307</v>
      </c>
      <c r="E2289" s="499">
        <v>547.29999999999995</v>
      </c>
      <c r="F2289" s="500"/>
      <c r="G2289" s="501" t="s">
        <v>190</v>
      </c>
      <c r="H2289" s="502"/>
      <c r="I2289" s="503">
        <f t="shared" si="36"/>
        <v>36571.179999999957</v>
      </c>
    </row>
    <row r="2290" spans="2:9">
      <c r="B2290" s="496">
        <v>45985</v>
      </c>
      <c r="C2290" s="497" t="s">
        <v>117</v>
      </c>
      <c r="D2290" s="498" t="s">
        <v>921</v>
      </c>
      <c r="E2290" s="499"/>
      <c r="F2290" s="500">
        <v>1.25</v>
      </c>
      <c r="G2290" s="501" t="s">
        <v>271</v>
      </c>
      <c r="H2290" s="502"/>
      <c r="I2290" s="503">
        <f t="shared" si="36"/>
        <v>36125.709999999955</v>
      </c>
    </row>
    <row r="2291" spans="2:9">
      <c r="B2291" s="496">
        <v>45985</v>
      </c>
      <c r="C2291" s="497" t="s">
        <v>117</v>
      </c>
      <c r="D2291" s="498" t="s">
        <v>1261</v>
      </c>
      <c r="E2291" s="499"/>
      <c r="F2291" s="500">
        <v>445.47</v>
      </c>
      <c r="G2291" s="501" t="s">
        <v>266</v>
      </c>
      <c r="H2291" s="502"/>
      <c r="I2291" s="503">
        <f t="shared" si="36"/>
        <v>39124.709999999955</v>
      </c>
    </row>
    <row r="2292" spans="2:9">
      <c r="B2292" s="496">
        <v>45985</v>
      </c>
      <c r="C2292" s="497" t="s">
        <v>283</v>
      </c>
      <c r="D2292" s="498" t="s">
        <v>909</v>
      </c>
      <c r="E2292" s="499">
        <v>2999</v>
      </c>
      <c r="F2292" s="500"/>
      <c r="G2292" s="501"/>
      <c r="H2292" s="812" t="s">
        <v>2168</v>
      </c>
      <c r="I2292" s="503">
        <f t="shared" si="36"/>
        <v>39099.729999999952</v>
      </c>
    </row>
    <row r="2293" spans="2:9">
      <c r="B2293" s="496">
        <v>45985</v>
      </c>
      <c r="C2293" s="497" t="s">
        <v>117</v>
      </c>
      <c r="D2293" s="498" t="s">
        <v>911</v>
      </c>
      <c r="E2293" s="499"/>
      <c r="F2293" s="500">
        <v>24.98</v>
      </c>
      <c r="G2293" s="501"/>
      <c r="H2293" s="812" t="s">
        <v>2168</v>
      </c>
      <c r="I2293" s="503">
        <f t="shared" si="36"/>
        <v>39098.729999999952</v>
      </c>
    </row>
    <row r="2294" spans="2:9">
      <c r="B2294" s="496">
        <v>45986</v>
      </c>
      <c r="C2294" s="497" t="s">
        <v>117</v>
      </c>
      <c r="D2294" s="498" t="s">
        <v>903</v>
      </c>
      <c r="E2294" s="499"/>
      <c r="F2294" s="500">
        <v>1</v>
      </c>
      <c r="G2294" s="501" t="s">
        <v>272</v>
      </c>
      <c r="H2294" s="502"/>
      <c r="I2294" s="503">
        <f t="shared" si="36"/>
        <v>38783.03999999995</v>
      </c>
    </row>
    <row r="2295" spans="2:9">
      <c r="B2295" s="729">
        <v>45961</v>
      </c>
      <c r="C2295" s="497">
        <v>125523396</v>
      </c>
      <c r="D2295" s="498" t="s">
        <v>2058</v>
      </c>
      <c r="E2295" s="499"/>
      <c r="F2295" s="500">
        <v>315.69</v>
      </c>
      <c r="G2295" s="501" t="s">
        <v>194</v>
      </c>
      <c r="H2295" s="502"/>
      <c r="I2295" s="503">
        <f t="shared" si="36"/>
        <v>38713.589999999953</v>
      </c>
    </row>
    <row r="2296" spans="2:9">
      <c r="B2296" s="729">
        <v>45961</v>
      </c>
      <c r="C2296" s="497">
        <v>125523396</v>
      </c>
      <c r="D2296" s="498" t="s">
        <v>2058</v>
      </c>
      <c r="E2296" s="499"/>
      <c r="F2296" s="500">
        <v>69.45</v>
      </c>
      <c r="G2296" s="501" t="s">
        <v>274</v>
      </c>
      <c r="H2296" s="502"/>
      <c r="I2296" s="503">
        <f t="shared" si="36"/>
        <v>39030.989999999954</v>
      </c>
    </row>
    <row r="2297" spans="2:9">
      <c r="B2297" s="496">
        <v>45986</v>
      </c>
      <c r="C2297" s="497" t="s">
        <v>283</v>
      </c>
      <c r="D2297" s="498" t="s">
        <v>307</v>
      </c>
      <c r="E2297" s="499">
        <v>317.39999999999998</v>
      </c>
      <c r="F2297" s="500"/>
      <c r="G2297" s="501" t="s">
        <v>190</v>
      </c>
      <c r="H2297" s="502"/>
      <c r="I2297" s="503">
        <f t="shared" si="36"/>
        <v>38645.849999999955</v>
      </c>
    </row>
    <row r="2298" spans="2:9">
      <c r="B2298" s="496">
        <v>45986</v>
      </c>
      <c r="C2298" s="497">
        <v>32014272</v>
      </c>
      <c r="D2298" s="498" t="s">
        <v>2292</v>
      </c>
      <c r="E2298" s="499"/>
      <c r="F2298" s="500">
        <v>385.14</v>
      </c>
      <c r="G2298" s="501"/>
      <c r="H2298" s="812" t="s">
        <v>714</v>
      </c>
      <c r="I2298" s="503">
        <f t="shared" si="36"/>
        <v>38561.119999999952</v>
      </c>
    </row>
    <row r="2299" spans="2:9">
      <c r="B2299" s="496">
        <v>45986</v>
      </c>
      <c r="C2299" s="497">
        <v>32014272</v>
      </c>
      <c r="D2299" s="498" t="s">
        <v>2292</v>
      </c>
      <c r="E2299" s="499"/>
      <c r="F2299" s="500">
        <v>84.73</v>
      </c>
      <c r="G2299" s="501"/>
      <c r="H2299" s="812" t="s">
        <v>714</v>
      </c>
      <c r="I2299" s="503">
        <f t="shared" si="36"/>
        <v>37744.71999999995</v>
      </c>
    </row>
    <row r="2300" spans="2:9">
      <c r="B2300" s="496">
        <v>45986</v>
      </c>
      <c r="C2300" s="497">
        <v>676</v>
      </c>
      <c r="D2300" s="498" t="s">
        <v>990</v>
      </c>
      <c r="E2300" s="499"/>
      <c r="F2300" s="500">
        <v>816.4</v>
      </c>
      <c r="G2300" s="501" t="s">
        <v>222</v>
      </c>
      <c r="H2300" s="502"/>
      <c r="I2300" s="503">
        <f t="shared" si="36"/>
        <v>37565.10999999995</v>
      </c>
    </row>
    <row r="2301" spans="2:9">
      <c r="B2301" s="496">
        <v>45986</v>
      </c>
      <c r="C2301" s="497">
        <v>676</v>
      </c>
      <c r="D2301" s="498" t="s">
        <v>990</v>
      </c>
      <c r="E2301" s="499"/>
      <c r="F2301" s="500">
        <v>179.61</v>
      </c>
      <c r="G2301" s="501" t="s">
        <v>274</v>
      </c>
      <c r="H2301" s="502"/>
      <c r="I2301" s="503">
        <f t="shared" si="36"/>
        <v>37564.10999999995</v>
      </c>
    </row>
    <row r="2302" spans="2:9">
      <c r="B2302" s="496">
        <v>45986</v>
      </c>
      <c r="C2302" s="497" t="s">
        <v>117</v>
      </c>
      <c r="D2302" s="498" t="s">
        <v>903</v>
      </c>
      <c r="E2302" s="499"/>
      <c r="F2302" s="500">
        <v>1</v>
      </c>
      <c r="G2302" s="501" t="s">
        <v>272</v>
      </c>
      <c r="H2302" s="502"/>
      <c r="I2302" s="503">
        <f t="shared" si="36"/>
        <v>37574.10999999995</v>
      </c>
    </row>
    <row r="2303" spans="2:9">
      <c r="B2303" s="496">
        <v>45986</v>
      </c>
      <c r="C2303" s="497" t="s">
        <v>283</v>
      </c>
      <c r="D2303" s="498" t="s">
        <v>909</v>
      </c>
      <c r="E2303" s="499">
        <v>10</v>
      </c>
      <c r="F2303" s="500"/>
      <c r="G2303" s="501" t="s">
        <v>190</v>
      </c>
      <c r="H2303" s="502"/>
      <c r="I2303" s="503">
        <f t="shared" si="36"/>
        <v>35326.139999999948</v>
      </c>
    </row>
    <row r="2304" spans="2:9">
      <c r="B2304" s="496">
        <v>45987</v>
      </c>
      <c r="C2304" s="497" t="s">
        <v>117</v>
      </c>
      <c r="D2304" s="498" t="s">
        <v>250</v>
      </c>
      <c r="E2304" s="499"/>
      <c r="F2304" s="500">
        <v>2247.9699999999998</v>
      </c>
      <c r="G2304" s="501"/>
      <c r="H2304" s="502"/>
      <c r="I2304" s="503">
        <f t="shared" si="36"/>
        <v>34956.909999999945</v>
      </c>
    </row>
    <row r="2305" spans="2:9">
      <c r="B2305" s="496">
        <v>45987</v>
      </c>
      <c r="C2305" s="497" t="s">
        <v>117</v>
      </c>
      <c r="D2305" s="498" t="s">
        <v>250</v>
      </c>
      <c r="E2305" s="499"/>
      <c r="F2305" s="500">
        <v>369.23</v>
      </c>
      <c r="G2305" s="501"/>
      <c r="H2305" s="502"/>
      <c r="I2305" s="503">
        <f t="shared" ref="I2305:I2368" si="37">I2304+E2306-F2306</f>
        <v>30375.669999999947</v>
      </c>
    </row>
    <row r="2306" spans="2:9">
      <c r="B2306" s="496">
        <v>45987</v>
      </c>
      <c r="C2306" s="497" t="s">
        <v>117</v>
      </c>
      <c r="D2306" s="498" t="s">
        <v>250</v>
      </c>
      <c r="E2306" s="499"/>
      <c r="F2306" s="500">
        <v>4581.24</v>
      </c>
      <c r="G2306" s="501"/>
      <c r="H2306" s="502"/>
      <c r="I2306" s="503">
        <f t="shared" si="37"/>
        <v>29748.669999999947</v>
      </c>
    </row>
    <row r="2307" spans="2:9">
      <c r="B2307" s="496">
        <v>45987</v>
      </c>
      <c r="C2307" s="497" t="s">
        <v>117</v>
      </c>
      <c r="D2307" s="498" t="s">
        <v>250</v>
      </c>
      <c r="E2307" s="499"/>
      <c r="F2307" s="500">
        <v>627</v>
      </c>
      <c r="G2307" s="501"/>
      <c r="H2307" s="502"/>
      <c r="I2307" s="503">
        <f t="shared" si="37"/>
        <v>29348.779999999948</v>
      </c>
    </row>
    <row r="2308" spans="2:9">
      <c r="B2308" s="496">
        <v>45987</v>
      </c>
      <c r="C2308" s="497" t="s">
        <v>117</v>
      </c>
      <c r="D2308" s="498" t="s">
        <v>250</v>
      </c>
      <c r="E2308" s="499"/>
      <c r="F2308" s="500">
        <v>399.89</v>
      </c>
      <c r="G2308" s="501"/>
      <c r="H2308" s="502"/>
      <c r="I2308" s="503">
        <f t="shared" si="37"/>
        <v>26837.429999999949</v>
      </c>
    </row>
    <row r="2309" spans="2:9">
      <c r="B2309" s="496">
        <v>45987</v>
      </c>
      <c r="C2309" s="497" t="s">
        <v>117</v>
      </c>
      <c r="D2309" s="498" t="s">
        <v>250</v>
      </c>
      <c r="E2309" s="499"/>
      <c r="F2309" s="500">
        <v>2511.35</v>
      </c>
      <c r="G2309" s="501"/>
      <c r="H2309" s="502"/>
      <c r="I2309" s="503">
        <f t="shared" si="37"/>
        <v>26507.429999999949</v>
      </c>
    </row>
    <row r="2310" spans="2:9">
      <c r="B2310" s="496">
        <v>45987</v>
      </c>
      <c r="C2310" s="641" t="s">
        <v>2298</v>
      </c>
      <c r="D2310" s="505" t="s">
        <v>2162</v>
      </c>
      <c r="E2310" s="499"/>
      <c r="F2310" s="500">
        <v>330</v>
      </c>
      <c r="G2310" s="501" t="s">
        <v>231</v>
      </c>
      <c r="H2310" s="502"/>
      <c r="I2310" s="503">
        <f t="shared" si="37"/>
        <v>26434.829999999951</v>
      </c>
    </row>
    <row r="2311" spans="2:9">
      <c r="B2311" s="496">
        <v>45987</v>
      </c>
      <c r="C2311" s="641" t="s">
        <v>2298</v>
      </c>
      <c r="D2311" s="505" t="s">
        <v>2162</v>
      </c>
      <c r="E2311" s="499"/>
      <c r="F2311" s="500">
        <v>72.599999999999994</v>
      </c>
      <c r="G2311" s="501" t="s">
        <v>274</v>
      </c>
      <c r="H2311" s="502"/>
      <c r="I2311" s="503">
        <f t="shared" si="37"/>
        <v>26190.029999999952</v>
      </c>
    </row>
    <row r="2312" spans="2:9">
      <c r="B2312" s="496">
        <v>45987</v>
      </c>
      <c r="C2312" s="641" t="s">
        <v>2299</v>
      </c>
      <c r="D2312" s="505" t="s">
        <v>390</v>
      </c>
      <c r="E2312" s="499"/>
      <c r="F2312" s="500">
        <v>244.8</v>
      </c>
      <c r="G2312" s="501" t="s">
        <v>218</v>
      </c>
      <c r="H2312" s="502"/>
      <c r="I2312" s="503">
        <f t="shared" si="37"/>
        <v>26136.169999999951</v>
      </c>
    </row>
    <row r="2313" spans="2:9">
      <c r="B2313" s="496">
        <v>45987</v>
      </c>
      <c r="C2313" s="641" t="s">
        <v>2299</v>
      </c>
      <c r="D2313" s="505" t="s">
        <v>390</v>
      </c>
      <c r="E2313" s="499"/>
      <c r="F2313" s="500">
        <v>53.86</v>
      </c>
      <c r="G2313" s="501" t="s">
        <v>274</v>
      </c>
      <c r="H2313" s="502"/>
      <c r="I2313" s="503">
        <f t="shared" si="37"/>
        <v>26134.169999999951</v>
      </c>
    </row>
    <row r="2314" spans="2:9">
      <c r="B2314" s="496">
        <v>45987</v>
      </c>
      <c r="C2314" s="497" t="s">
        <v>117</v>
      </c>
      <c r="D2314" s="498" t="s">
        <v>903</v>
      </c>
      <c r="E2314" s="499"/>
      <c r="F2314" s="500">
        <v>2</v>
      </c>
      <c r="G2314" s="501" t="s">
        <v>272</v>
      </c>
      <c r="H2314" s="502"/>
      <c r="I2314" s="503">
        <f t="shared" si="37"/>
        <v>26402.369999999952</v>
      </c>
    </row>
    <row r="2315" spans="2:9">
      <c r="B2315" s="496">
        <v>45987</v>
      </c>
      <c r="C2315" s="497" t="s">
        <v>283</v>
      </c>
      <c r="D2315" s="498" t="s">
        <v>307</v>
      </c>
      <c r="E2315" s="499">
        <v>268.2</v>
      </c>
      <c r="F2315" s="500"/>
      <c r="G2315" s="501" t="s">
        <v>190</v>
      </c>
      <c r="H2315" s="502"/>
      <c r="I2315" s="503">
        <f t="shared" si="37"/>
        <v>26336.829999999951</v>
      </c>
    </row>
    <row r="2316" spans="2:9">
      <c r="B2316" s="729">
        <v>45961</v>
      </c>
      <c r="C2316" s="497" t="s">
        <v>2300</v>
      </c>
      <c r="D2316" s="498" t="s">
        <v>2202</v>
      </c>
      <c r="E2316" s="499"/>
      <c r="F2316" s="500">
        <v>65.540000000000006</v>
      </c>
      <c r="G2316" s="501" t="s">
        <v>256</v>
      </c>
      <c r="H2316" s="502" t="s">
        <v>2316</v>
      </c>
      <c r="I2316" s="503">
        <f t="shared" si="37"/>
        <v>26243.419999999951</v>
      </c>
    </row>
    <row r="2317" spans="2:9">
      <c r="B2317" s="729">
        <v>45961</v>
      </c>
      <c r="C2317" s="497" t="s">
        <v>2301</v>
      </c>
      <c r="D2317" s="498" t="s">
        <v>545</v>
      </c>
      <c r="E2317" s="499"/>
      <c r="F2317" s="500">
        <v>93.41</v>
      </c>
      <c r="G2317" s="501" t="s">
        <v>207</v>
      </c>
      <c r="H2317" s="502" t="s">
        <v>2316</v>
      </c>
      <c r="I2317" s="503">
        <f t="shared" si="37"/>
        <v>26222.869999999952</v>
      </c>
    </row>
    <row r="2318" spans="2:9">
      <c r="B2318" s="729">
        <v>45961</v>
      </c>
      <c r="C2318" s="497" t="s">
        <v>2301</v>
      </c>
      <c r="D2318" s="498" t="s">
        <v>545</v>
      </c>
      <c r="E2318" s="499"/>
      <c r="F2318" s="500">
        <v>20.55</v>
      </c>
      <c r="G2318" s="501" t="s">
        <v>274</v>
      </c>
      <c r="H2318" s="502" t="s">
        <v>2316</v>
      </c>
      <c r="I2318" s="503">
        <f t="shared" si="37"/>
        <v>26187.199999999953</v>
      </c>
    </row>
    <row r="2319" spans="2:9">
      <c r="B2319" s="729">
        <v>45961</v>
      </c>
      <c r="C2319" s="497">
        <v>5309</v>
      </c>
      <c r="D2319" s="498" t="s">
        <v>2302</v>
      </c>
      <c r="E2319" s="499"/>
      <c r="F2319" s="500">
        <v>35.67</v>
      </c>
      <c r="G2319" s="501" t="s">
        <v>256</v>
      </c>
      <c r="H2319" s="502" t="s">
        <v>2316</v>
      </c>
      <c r="I2319" s="503">
        <f t="shared" si="37"/>
        <v>26179.349999999955</v>
      </c>
    </row>
    <row r="2320" spans="2:9">
      <c r="B2320" s="729">
        <v>45961</v>
      </c>
      <c r="C2320" s="497">
        <v>5309</v>
      </c>
      <c r="D2320" s="498" t="s">
        <v>2302</v>
      </c>
      <c r="E2320" s="499"/>
      <c r="F2320" s="500">
        <v>7.85</v>
      </c>
      <c r="G2320" s="501" t="s">
        <v>274</v>
      </c>
      <c r="H2320" s="502" t="s">
        <v>2316</v>
      </c>
      <c r="I2320" s="503">
        <f t="shared" si="37"/>
        <v>26091.249999999956</v>
      </c>
    </row>
    <row r="2321" spans="2:9">
      <c r="B2321" s="729">
        <v>45961</v>
      </c>
      <c r="C2321" s="497">
        <v>4230425800252250</v>
      </c>
      <c r="D2321" s="505" t="s">
        <v>412</v>
      </c>
      <c r="E2321" s="499"/>
      <c r="F2321" s="500">
        <v>88.1</v>
      </c>
      <c r="G2321" s="501" t="s">
        <v>225</v>
      </c>
      <c r="H2321" s="502" t="s">
        <v>2316</v>
      </c>
      <c r="I2321" s="503">
        <f t="shared" si="37"/>
        <v>26072.799999999956</v>
      </c>
    </row>
    <row r="2322" spans="2:9">
      <c r="B2322" s="729">
        <v>45961</v>
      </c>
      <c r="C2322" s="497">
        <v>4230425800252250</v>
      </c>
      <c r="D2322" s="505" t="s">
        <v>412</v>
      </c>
      <c r="E2322" s="499"/>
      <c r="F2322" s="500">
        <v>18.45</v>
      </c>
      <c r="G2322" s="501" t="s">
        <v>274</v>
      </c>
      <c r="H2322" s="502" t="s">
        <v>2316</v>
      </c>
      <c r="I2322" s="503">
        <f t="shared" si="37"/>
        <v>25881.919999999955</v>
      </c>
    </row>
    <row r="2323" spans="2:9">
      <c r="B2323" s="729">
        <v>45961</v>
      </c>
      <c r="C2323" s="497">
        <v>4230425800276970</v>
      </c>
      <c r="D2323" s="505" t="s">
        <v>412</v>
      </c>
      <c r="E2323" s="499"/>
      <c r="F2323" s="500">
        <v>190.88</v>
      </c>
      <c r="G2323" s="501" t="s">
        <v>225</v>
      </c>
      <c r="H2323" s="502" t="s">
        <v>2316</v>
      </c>
      <c r="I2323" s="503">
        <f t="shared" si="37"/>
        <v>25862.369999999955</v>
      </c>
    </row>
    <row r="2324" spans="2:9">
      <c r="B2324" s="729">
        <v>45961</v>
      </c>
      <c r="C2324" s="497">
        <v>4230425800276970</v>
      </c>
      <c r="D2324" s="505" t="s">
        <v>412</v>
      </c>
      <c r="E2324" s="499"/>
      <c r="F2324" s="500">
        <v>19.55</v>
      </c>
      <c r="G2324" s="501" t="s">
        <v>274</v>
      </c>
      <c r="H2324" s="502" t="s">
        <v>2316</v>
      </c>
      <c r="I2324" s="503">
        <f t="shared" si="37"/>
        <v>25702.629999999954</v>
      </c>
    </row>
    <row r="2325" spans="2:9">
      <c r="B2325" s="729">
        <v>45961</v>
      </c>
      <c r="C2325" s="497" t="s">
        <v>2303</v>
      </c>
      <c r="D2325" s="498" t="s">
        <v>946</v>
      </c>
      <c r="E2325" s="499"/>
      <c r="F2325" s="500">
        <v>159.74</v>
      </c>
      <c r="G2325" s="501" t="s">
        <v>232</v>
      </c>
      <c r="H2325" s="502" t="s">
        <v>2316</v>
      </c>
      <c r="I2325" s="503">
        <f t="shared" si="37"/>
        <v>25393.539999999954</v>
      </c>
    </row>
    <row r="2326" spans="2:9">
      <c r="B2326" s="729">
        <v>45961</v>
      </c>
      <c r="C2326" s="497" t="s">
        <v>2304</v>
      </c>
      <c r="D2326" s="498" t="s">
        <v>545</v>
      </c>
      <c r="E2326" s="499"/>
      <c r="F2326" s="500">
        <v>309.08999999999997</v>
      </c>
      <c r="G2326" s="501" t="s">
        <v>207</v>
      </c>
      <c r="H2326" s="502" t="s">
        <v>2316</v>
      </c>
      <c r="I2326" s="503">
        <f t="shared" si="37"/>
        <v>25325.539999999954</v>
      </c>
    </row>
    <row r="2327" spans="2:9">
      <c r="B2327" s="729">
        <v>45961</v>
      </c>
      <c r="C2327" s="497" t="s">
        <v>2304</v>
      </c>
      <c r="D2327" s="498" t="s">
        <v>545</v>
      </c>
      <c r="E2327" s="499"/>
      <c r="F2327" s="500">
        <v>68</v>
      </c>
      <c r="G2327" s="501" t="s">
        <v>274</v>
      </c>
      <c r="H2327" s="502" t="s">
        <v>2316</v>
      </c>
      <c r="I2327" s="503">
        <f t="shared" si="37"/>
        <v>25227.549999999952</v>
      </c>
    </row>
    <row r="2328" spans="2:9">
      <c r="B2328" s="729">
        <v>45961</v>
      </c>
      <c r="C2328" s="497">
        <v>2003</v>
      </c>
      <c r="D2328" s="498" t="s">
        <v>2305</v>
      </c>
      <c r="E2328" s="499"/>
      <c r="F2328" s="500">
        <v>97.99</v>
      </c>
      <c r="G2328" s="501" t="s">
        <v>207</v>
      </c>
      <c r="H2328" s="502" t="s">
        <v>2316</v>
      </c>
      <c r="I2328" s="503">
        <f t="shared" si="37"/>
        <v>25205.989999999951</v>
      </c>
    </row>
    <row r="2329" spans="2:9">
      <c r="B2329" s="729">
        <v>45961</v>
      </c>
      <c r="C2329" s="497">
        <v>2003</v>
      </c>
      <c r="D2329" s="498" t="s">
        <v>2306</v>
      </c>
      <c r="E2329" s="499"/>
      <c r="F2329" s="500">
        <v>21.56</v>
      </c>
      <c r="G2329" s="501" t="s">
        <v>274</v>
      </c>
      <c r="H2329" s="502" t="s">
        <v>2316</v>
      </c>
      <c r="I2329" s="503">
        <f t="shared" si="37"/>
        <v>25068.489999999951</v>
      </c>
    </row>
    <row r="2330" spans="2:9">
      <c r="B2330" s="729">
        <v>45961</v>
      </c>
      <c r="C2330" s="641" t="s">
        <v>2365</v>
      </c>
      <c r="D2330" s="498" t="s">
        <v>2364</v>
      </c>
      <c r="E2330" s="499"/>
      <c r="F2330" s="500">
        <v>137.5</v>
      </c>
      <c r="G2330" s="501" t="s">
        <v>216</v>
      </c>
      <c r="H2330" s="502" t="s">
        <v>2316</v>
      </c>
      <c r="I2330" s="503">
        <f t="shared" si="37"/>
        <v>15888.159999999951</v>
      </c>
    </row>
    <row r="2331" spans="2:9">
      <c r="B2331" s="729">
        <v>45961</v>
      </c>
      <c r="C2331" s="497" t="s">
        <v>2309</v>
      </c>
      <c r="D2331" s="498" t="s">
        <v>2307</v>
      </c>
      <c r="E2331" s="499"/>
      <c r="F2331" s="500">
        <v>9180.33</v>
      </c>
      <c r="G2331" s="501" t="s">
        <v>194</v>
      </c>
      <c r="H2331" s="502" t="s">
        <v>2316</v>
      </c>
      <c r="I2331" s="503">
        <f t="shared" si="37"/>
        <v>13868.489999999951</v>
      </c>
    </row>
    <row r="2332" spans="2:9">
      <c r="B2332" s="729">
        <v>45961</v>
      </c>
      <c r="C2332" s="497" t="s">
        <v>2309</v>
      </c>
      <c r="D2332" s="498" t="s">
        <v>2308</v>
      </c>
      <c r="E2332" s="499"/>
      <c r="F2332" s="500">
        <v>2019.67</v>
      </c>
      <c r="G2332" s="501" t="s">
        <v>274</v>
      </c>
      <c r="H2332" s="502" t="s">
        <v>2316</v>
      </c>
      <c r="I2332" s="503">
        <f t="shared" si="37"/>
        <v>13772.79999999995</v>
      </c>
    </row>
    <row r="2333" spans="2:9">
      <c r="B2333" s="729">
        <v>45961</v>
      </c>
      <c r="C2333" s="497">
        <v>1723900930</v>
      </c>
      <c r="D2333" s="498" t="s">
        <v>2134</v>
      </c>
      <c r="E2333" s="499"/>
      <c r="F2333" s="500">
        <v>95.69</v>
      </c>
      <c r="G2333" s="501" t="s">
        <v>205</v>
      </c>
      <c r="H2333" s="502" t="s">
        <v>2316</v>
      </c>
      <c r="I2333" s="503">
        <f t="shared" si="37"/>
        <v>13745.009999999949</v>
      </c>
    </row>
    <row r="2334" spans="2:9">
      <c r="B2334" s="729">
        <v>45961</v>
      </c>
      <c r="C2334" s="497" t="s">
        <v>2310</v>
      </c>
      <c r="D2334" s="498" t="s">
        <v>950</v>
      </c>
      <c r="E2334" s="499"/>
      <c r="F2334" s="500">
        <v>27.79</v>
      </c>
      <c r="G2334" s="501" t="s">
        <v>256</v>
      </c>
      <c r="H2334" s="502" t="s">
        <v>2316</v>
      </c>
      <c r="I2334" s="503">
        <f t="shared" si="37"/>
        <v>13738.899999999949</v>
      </c>
    </row>
    <row r="2335" spans="2:9">
      <c r="B2335" s="729">
        <v>45961</v>
      </c>
      <c r="C2335" s="497" t="s">
        <v>2310</v>
      </c>
      <c r="D2335" s="498" t="s">
        <v>950</v>
      </c>
      <c r="E2335" s="499"/>
      <c r="F2335" s="500">
        <v>6.11</v>
      </c>
      <c r="G2335" s="501" t="s">
        <v>274</v>
      </c>
      <c r="H2335" s="502" t="s">
        <v>2316</v>
      </c>
      <c r="I2335" s="503">
        <f t="shared" si="37"/>
        <v>13665.249999999949</v>
      </c>
    </row>
    <row r="2336" spans="2:9">
      <c r="B2336" s="729">
        <v>45961</v>
      </c>
      <c r="C2336" s="497">
        <v>9251638030</v>
      </c>
      <c r="D2336" s="498" t="s">
        <v>952</v>
      </c>
      <c r="E2336" s="499"/>
      <c r="F2336" s="500">
        <v>73.650000000000006</v>
      </c>
      <c r="G2336" s="501" t="s">
        <v>230</v>
      </c>
      <c r="H2336" s="502" t="s">
        <v>2316</v>
      </c>
      <c r="I2336" s="503">
        <f t="shared" si="37"/>
        <v>13649.599999999949</v>
      </c>
    </row>
    <row r="2337" spans="2:9">
      <c r="B2337" s="729">
        <v>45961</v>
      </c>
      <c r="C2337" s="497">
        <v>9251638030</v>
      </c>
      <c r="D2337" s="498" t="s">
        <v>952</v>
      </c>
      <c r="E2337" s="499"/>
      <c r="F2337" s="500">
        <v>15.65</v>
      </c>
      <c r="G2337" s="501" t="s">
        <v>274</v>
      </c>
      <c r="H2337" s="502" t="s">
        <v>2316</v>
      </c>
      <c r="I2337" s="503">
        <f t="shared" si="37"/>
        <v>13638.929999999949</v>
      </c>
    </row>
    <row r="2338" spans="2:9">
      <c r="B2338" s="729">
        <v>45961</v>
      </c>
      <c r="C2338" s="497">
        <v>9251638029</v>
      </c>
      <c r="D2338" s="498" t="s">
        <v>952</v>
      </c>
      <c r="E2338" s="499"/>
      <c r="F2338" s="500">
        <v>10.67</v>
      </c>
      <c r="G2338" s="501" t="s">
        <v>230</v>
      </c>
      <c r="H2338" s="502" t="s">
        <v>2316</v>
      </c>
      <c r="I2338" s="503">
        <f t="shared" si="37"/>
        <v>13636.579999999949</v>
      </c>
    </row>
    <row r="2339" spans="2:9">
      <c r="B2339" s="729">
        <v>45961</v>
      </c>
      <c r="C2339" s="497">
        <v>9251638029</v>
      </c>
      <c r="D2339" s="498" t="s">
        <v>952</v>
      </c>
      <c r="E2339" s="499"/>
      <c r="F2339" s="500">
        <v>2.35</v>
      </c>
      <c r="G2339" s="501" t="s">
        <v>274</v>
      </c>
      <c r="H2339" s="502" t="s">
        <v>2316</v>
      </c>
      <c r="I2339" s="503">
        <f t="shared" si="37"/>
        <v>13515.10999999995</v>
      </c>
    </row>
    <row r="2340" spans="2:9">
      <c r="B2340" s="729">
        <v>45961</v>
      </c>
      <c r="C2340" s="497">
        <v>7261314227</v>
      </c>
      <c r="D2340" s="498" t="s">
        <v>2311</v>
      </c>
      <c r="E2340" s="499"/>
      <c r="F2340" s="500">
        <v>121.47</v>
      </c>
      <c r="G2340" s="501" t="s">
        <v>205</v>
      </c>
      <c r="H2340" s="502" t="s">
        <v>2316</v>
      </c>
      <c r="I2340" s="503">
        <f t="shared" si="37"/>
        <v>13488.38999999995</v>
      </c>
    </row>
    <row r="2341" spans="2:9">
      <c r="B2341" s="729">
        <v>45961</v>
      </c>
      <c r="C2341" s="497">
        <v>7261314227</v>
      </c>
      <c r="D2341" s="498" t="s">
        <v>2311</v>
      </c>
      <c r="E2341" s="499"/>
      <c r="F2341" s="500">
        <v>26.72</v>
      </c>
      <c r="G2341" s="501" t="s">
        <v>274</v>
      </c>
      <c r="H2341" s="502" t="s">
        <v>2316</v>
      </c>
      <c r="I2341" s="503">
        <f t="shared" si="37"/>
        <v>13385.489999999951</v>
      </c>
    </row>
    <row r="2342" spans="2:9">
      <c r="B2342" s="729">
        <v>45961</v>
      </c>
      <c r="C2342" s="497" t="s">
        <v>117</v>
      </c>
      <c r="D2342" s="498" t="s">
        <v>2312</v>
      </c>
      <c r="E2342" s="499"/>
      <c r="F2342" s="500">
        <v>102.9</v>
      </c>
      <c r="G2342" s="501" t="s">
        <v>205</v>
      </c>
      <c r="H2342" s="502" t="s">
        <v>2316</v>
      </c>
      <c r="I2342" s="503">
        <f t="shared" si="37"/>
        <v>13311.839999999951</v>
      </c>
    </row>
    <row r="2343" spans="2:9">
      <c r="B2343" s="729">
        <v>45961</v>
      </c>
      <c r="C2343" s="497">
        <v>9251667002</v>
      </c>
      <c r="D2343" s="498" t="s">
        <v>952</v>
      </c>
      <c r="E2343" s="499"/>
      <c r="F2343" s="500">
        <v>73.650000000000006</v>
      </c>
      <c r="G2343" s="501" t="s">
        <v>230</v>
      </c>
      <c r="H2343" s="502" t="s">
        <v>2316</v>
      </c>
      <c r="I2343" s="503">
        <f t="shared" si="37"/>
        <v>13296.189999999951</v>
      </c>
    </row>
    <row r="2344" spans="2:9">
      <c r="B2344" s="729">
        <v>45961</v>
      </c>
      <c r="C2344" s="497">
        <v>9251667002</v>
      </c>
      <c r="D2344" s="498" t="s">
        <v>952</v>
      </c>
      <c r="E2344" s="499"/>
      <c r="F2344" s="500">
        <v>15.65</v>
      </c>
      <c r="G2344" s="501" t="s">
        <v>274</v>
      </c>
      <c r="H2344" s="502" t="s">
        <v>2316</v>
      </c>
      <c r="I2344" s="503">
        <f t="shared" si="37"/>
        <v>13285.519999999951</v>
      </c>
    </row>
    <row r="2345" spans="2:9">
      <c r="B2345" s="729">
        <v>45961</v>
      </c>
      <c r="C2345" s="497">
        <v>9251667001</v>
      </c>
      <c r="D2345" s="498" t="s">
        <v>952</v>
      </c>
      <c r="E2345" s="499"/>
      <c r="F2345" s="500">
        <v>10.67</v>
      </c>
      <c r="G2345" s="501" t="s">
        <v>230</v>
      </c>
      <c r="H2345" s="502" t="s">
        <v>2316</v>
      </c>
      <c r="I2345" s="503">
        <f t="shared" si="37"/>
        <v>13283.169999999951</v>
      </c>
    </row>
    <row r="2346" spans="2:9">
      <c r="B2346" s="729">
        <v>45961</v>
      </c>
      <c r="C2346" s="497">
        <v>9251667001</v>
      </c>
      <c r="D2346" s="498" t="s">
        <v>952</v>
      </c>
      <c r="E2346" s="499"/>
      <c r="F2346" s="500">
        <v>2.35</v>
      </c>
      <c r="G2346" s="501" t="s">
        <v>274</v>
      </c>
      <c r="H2346" s="502" t="s">
        <v>2316</v>
      </c>
      <c r="I2346" s="503">
        <f t="shared" si="37"/>
        <v>12987.319999999951</v>
      </c>
    </row>
    <row r="2347" spans="2:9">
      <c r="B2347" s="729">
        <v>45961</v>
      </c>
      <c r="C2347" s="497">
        <v>66613374619</v>
      </c>
      <c r="D2347" s="498" t="s">
        <v>2315</v>
      </c>
      <c r="E2347" s="499"/>
      <c r="F2347" s="500">
        <v>295.85000000000002</v>
      </c>
      <c r="G2347" s="501" t="s">
        <v>205</v>
      </c>
      <c r="H2347" s="502" t="s">
        <v>2316</v>
      </c>
      <c r="I2347" s="503">
        <f t="shared" si="37"/>
        <v>12923.499999999951</v>
      </c>
    </row>
    <row r="2348" spans="2:9">
      <c r="B2348" s="729">
        <v>45961</v>
      </c>
      <c r="C2348" s="497" t="s">
        <v>2314</v>
      </c>
      <c r="D2348" s="498" t="s">
        <v>545</v>
      </c>
      <c r="E2348" s="499"/>
      <c r="F2348" s="500">
        <v>63.82</v>
      </c>
      <c r="G2348" s="501" t="s">
        <v>207</v>
      </c>
      <c r="H2348" s="502" t="s">
        <v>2316</v>
      </c>
      <c r="I2348" s="503">
        <f t="shared" si="37"/>
        <v>12909.45999999995</v>
      </c>
    </row>
    <row r="2349" spans="2:9">
      <c r="B2349" s="729">
        <v>45961</v>
      </c>
      <c r="C2349" s="497" t="s">
        <v>2314</v>
      </c>
      <c r="D2349" s="498" t="s">
        <v>1979</v>
      </c>
      <c r="E2349" s="499"/>
      <c r="F2349" s="500">
        <v>14.04</v>
      </c>
      <c r="G2349" s="501" t="s">
        <v>274</v>
      </c>
      <c r="H2349" s="502" t="s">
        <v>2316</v>
      </c>
      <c r="I2349" s="503">
        <f t="shared" si="37"/>
        <v>13011.77999999995</v>
      </c>
    </row>
    <row r="2350" spans="2:9">
      <c r="B2350" s="729">
        <v>45961</v>
      </c>
      <c r="C2350" s="497" t="s">
        <v>117</v>
      </c>
      <c r="D2350" s="498" t="s">
        <v>2313</v>
      </c>
      <c r="E2350" s="499">
        <v>102.32</v>
      </c>
      <c r="F2350" s="500"/>
      <c r="G2350" s="501" t="s">
        <v>209</v>
      </c>
      <c r="H2350" s="502" t="s">
        <v>2316</v>
      </c>
      <c r="I2350" s="503">
        <f t="shared" si="37"/>
        <v>13009.77999999995</v>
      </c>
    </row>
    <row r="2351" spans="2:9">
      <c r="B2351" s="729">
        <v>45961</v>
      </c>
      <c r="C2351" s="497" t="s">
        <v>117</v>
      </c>
      <c r="D2351" s="498" t="s">
        <v>908</v>
      </c>
      <c r="E2351" s="499"/>
      <c r="F2351" s="500">
        <v>2</v>
      </c>
      <c r="G2351" s="501" t="s">
        <v>254</v>
      </c>
      <c r="H2351" s="502" t="s">
        <v>2316</v>
      </c>
      <c r="I2351" s="503">
        <f t="shared" si="37"/>
        <v>13008.52999999995</v>
      </c>
    </row>
    <row r="2352" spans="2:9">
      <c r="B2352" s="496">
        <v>45988</v>
      </c>
      <c r="C2352" s="497" t="s">
        <v>117</v>
      </c>
      <c r="D2352" s="498" t="s">
        <v>921</v>
      </c>
      <c r="E2352" s="499"/>
      <c r="F2352" s="500">
        <v>1.25</v>
      </c>
      <c r="G2352" s="501" t="s">
        <v>271</v>
      </c>
      <c r="H2352" s="502"/>
      <c r="I2352" s="503">
        <f t="shared" si="37"/>
        <v>13287.929999999949</v>
      </c>
    </row>
    <row r="2353" spans="2:9">
      <c r="B2353" s="496">
        <v>45988</v>
      </c>
      <c r="C2353" s="497" t="s">
        <v>283</v>
      </c>
      <c r="D2353" s="498" t="s">
        <v>307</v>
      </c>
      <c r="E2353" s="499">
        <v>279.39999999999998</v>
      </c>
      <c r="F2353" s="500"/>
      <c r="G2353" s="501" t="s">
        <v>190</v>
      </c>
      <c r="H2353" s="502"/>
      <c r="I2353" s="503">
        <f t="shared" si="37"/>
        <v>11998.839999999949</v>
      </c>
    </row>
    <row r="2354" spans="2:9">
      <c r="B2354" s="496">
        <v>45989</v>
      </c>
      <c r="C2354" s="513" t="s">
        <v>962</v>
      </c>
      <c r="D2354" s="514" t="s">
        <v>2220</v>
      </c>
      <c r="E2354" s="515"/>
      <c r="F2354" s="516">
        <v>1289.0899999999999</v>
      </c>
      <c r="G2354" s="522" t="s">
        <v>279</v>
      </c>
      <c r="H2354" s="502"/>
      <c r="I2354" s="503">
        <f t="shared" si="37"/>
        <v>11919.979999999949</v>
      </c>
    </row>
    <row r="2355" spans="2:9">
      <c r="B2355" s="496">
        <v>45989</v>
      </c>
      <c r="C2355" s="513" t="s">
        <v>962</v>
      </c>
      <c r="D2355" s="514" t="s">
        <v>2221</v>
      </c>
      <c r="E2355" s="515"/>
      <c r="F2355" s="516">
        <v>78.86</v>
      </c>
      <c r="G2355" s="522" t="s">
        <v>262</v>
      </c>
      <c r="H2355" s="502"/>
      <c r="I2355" s="503">
        <f t="shared" si="37"/>
        <v>11917.479999999949</v>
      </c>
    </row>
    <row r="2356" spans="2:9">
      <c r="B2356" s="496">
        <v>45989</v>
      </c>
      <c r="C2356" s="513" t="s">
        <v>962</v>
      </c>
      <c r="D2356" s="514" t="s">
        <v>965</v>
      </c>
      <c r="E2356" s="515"/>
      <c r="F2356" s="516">
        <v>2.5</v>
      </c>
      <c r="G2356" s="522" t="s">
        <v>966</v>
      </c>
      <c r="H2356" s="502"/>
      <c r="I2356" s="503">
        <f t="shared" si="37"/>
        <v>12414.079999999949</v>
      </c>
    </row>
    <row r="2357" spans="2:9">
      <c r="B2357" s="496">
        <v>45989</v>
      </c>
      <c r="C2357" s="497" t="s">
        <v>283</v>
      </c>
      <c r="D2357" s="498" t="s">
        <v>307</v>
      </c>
      <c r="E2357" s="499">
        <v>496.6</v>
      </c>
      <c r="F2357" s="500"/>
      <c r="G2357" s="501" t="s">
        <v>190</v>
      </c>
      <c r="H2357" s="502"/>
      <c r="I2357" s="503">
        <f t="shared" si="37"/>
        <v>12064.069999999949</v>
      </c>
    </row>
    <row r="2358" spans="2:9">
      <c r="B2358" s="496">
        <v>45992</v>
      </c>
      <c r="C2358" s="497">
        <v>708</v>
      </c>
      <c r="D2358" s="498" t="s">
        <v>329</v>
      </c>
      <c r="E2358" s="499"/>
      <c r="F2358" s="500">
        <v>350.01</v>
      </c>
      <c r="G2358" s="501" t="s">
        <v>221</v>
      </c>
      <c r="H2358" s="502"/>
      <c r="I2358" s="503">
        <f t="shared" si="37"/>
        <v>11968.739999999949</v>
      </c>
    </row>
    <row r="2359" spans="2:9">
      <c r="B2359" s="496">
        <v>45992</v>
      </c>
      <c r="C2359" s="497">
        <v>708</v>
      </c>
      <c r="D2359" s="498" t="s">
        <v>329</v>
      </c>
      <c r="E2359" s="499"/>
      <c r="F2359" s="500">
        <v>95.33</v>
      </c>
      <c r="G2359" s="501" t="s">
        <v>274</v>
      </c>
      <c r="H2359" s="502"/>
      <c r="I2359" s="503">
        <f t="shared" si="37"/>
        <v>11967.739999999949</v>
      </c>
    </row>
    <row r="2360" spans="2:9">
      <c r="B2360" s="496">
        <v>45992</v>
      </c>
      <c r="C2360" s="497" t="s">
        <v>117</v>
      </c>
      <c r="D2360" s="498" t="s">
        <v>903</v>
      </c>
      <c r="E2360" s="499"/>
      <c r="F2360" s="500">
        <v>1</v>
      </c>
      <c r="G2360" s="501" t="s">
        <v>272</v>
      </c>
      <c r="H2360" s="502"/>
      <c r="I2360" s="503">
        <f t="shared" si="37"/>
        <v>11467.739999999949</v>
      </c>
    </row>
    <row r="2361" spans="2:9">
      <c r="B2361" s="496">
        <v>45992</v>
      </c>
      <c r="C2361" s="535" t="s">
        <v>117</v>
      </c>
      <c r="D2361" s="498" t="s">
        <v>1246</v>
      </c>
      <c r="E2361" s="499"/>
      <c r="F2361" s="500">
        <v>500</v>
      </c>
      <c r="G2361" s="501" t="s">
        <v>237</v>
      </c>
      <c r="H2361" s="502"/>
      <c r="I2361" s="503">
        <f t="shared" si="37"/>
        <v>11466.739999999949</v>
      </c>
    </row>
    <row r="2362" spans="2:9">
      <c r="B2362" s="496">
        <v>45992</v>
      </c>
      <c r="C2362" s="497" t="s">
        <v>117</v>
      </c>
      <c r="D2362" s="498" t="s">
        <v>903</v>
      </c>
      <c r="E2362" s="499"/>
      <c r="F2362" s="500">
        <v>1</v>
      </c>
      <c r="G2362" s="501" t="s">
        <v>272</v>
      </c>
      <c r="H2362" s="502"/>
      <c r="I2362" s="503">
        <f t="shared" si="37"/>
        <v>10568.639999999948</v>
      </c>
    </row>
    <row r="2363" spans="2:9">
      <c r="B2363" s="729">
        <v>45961</v>
      </c>
      <c r="C2363" s="497" t="s">
        <v>2317</v>
      </c>
      <c r="D2363" s="498" t="s">
        <v>1841</v>
      </c>
      <c r="E2363" s="499"/>
      <c r="F2363" s="500">
        <v>898.1</v>
      </c>
      <c r="G2363" s="501" t="s">
        <v>198</v>
      </c>
      <c r="H2363" s="502"/>
      <c r="I2363" s="503">
        <f t="shared" si="37"/>
        <v>10377.759999999949</v>
      </c>
    </row>
    <row r="2364" spans="2:9">
      <c r="B2364" s="729">
        <v>45961</v>
      </c>
      <c r="C2364" s="497" t="s">
        <v>2317</v>
      </c>
      <c r="D2364" s="498" t="s">
        <v>1841</v>
      </c>
      <c r="E2364" s="499"/>
      <c r="F2364" s="500">
        <v>190.88</v>
      </c>
      <c r="G2364" s="501" t="s">
        <v>274</v>
      </c>
      <c r="H2364" s="502"/>
      <c r="I2364" s="503">
        <f t="shared" si="37"/>
        <v>10376.509999999949</v>
      </c>
    </row>
    <row r="2365" spans="2:9">
      <c r="B2365" s="496">
        <v>45992</v>
      </c>
      <c r="C2365" s="497" t="s">
        <v>117</v>
      </c>
      <c r="D2365" s="498" t="s">
        <v>921</v>
      </c>
      <c r="E2365" s="499"/>
      <c r="F2365" s="500">
        <v>1.25</v>
      </c>
      <c r="G2365" s="501" t="s">
        <v>271</v>
      </c>
      <c r="H2365" s="502"/>
      <c r="I2365" s="503">
        <f t="shared" si="37"/>
        <v>9701.1499999999487</v>
      </c>
    </row>
    <row r="2366" spans="2:9">
      <c r="B2366" s="729">
        <v>45961</v>
      </c>
      <c r="C2366" s="497" t="s">
        <v>2318</v>
      </c>
      <c r="D2366" s="498" t="s">
        <v>361</v>
      </c>
      <c r="E2366" s="499"/>
      <c r="F2366" s="500">
        <v>675.36</v>
      </c>
      <c r="G2366" s="501" t="s">
        <v>199</v>
      </c>
      <c r="H2366" s="502"/>
      <c r="I2366" s="503">
        <f t="shared" si="37"/>
        <v>9649.9699999999484</v>
      </c>
    </row>
    <row r="2367" spans="2:9">
      <c r="B2367" s="729">
        <v>45961</v>
      </c>
      <c r="C2367" s="497" t="s">
        <v>2318</v>
      </c>
      <c r="D2367" s="498" t="s">
        <v>361</v>
      </c>
      <c r="E2367" s="499"/>
      <c r="F2367" s="500">
        <v>51.18</v>
      </c>
      <c r="G2367" s="501" t="s">
        <v>274</v>
      </c>
      <c r="H2367" s="502"/>
      <c r="I2367" s="503">
        <f t="shared" si="37"/>
        <v>9648.7199999999484</v>
      </c>
    </row>
    <row r="2368" spans="2:9">
      <c r="B2368" s="496">
        <v>45992</v>
      </c>
      <c r="C2368" s="497" t="s">
        <v>117</v>
      </c>
      <c r="D2368" s="498" t="s">
        <v>921</v>
      </c>
      <c r="E2368" s="499"/>
      <c r="F2368" s="500">
        <v>1.25</v>
      </c>
      <c r="G2368" s="501" t="s">
        <v>271</v>
      </c>
      <c r="H2368" s="502"/>
      <c r="I2368" s="503">
        <f t="shared" si="37"/>
        <v>6537.0199999999486</v>
      </c>
    </row>
    <row r="2369" spans="2:9">
      <c r="B2369" s="496">
        <v>45992</v>
      </c>
      <c r="C2369" s="497" t="s">
        <v>2319</v>
      </c>
      <c r="D2369" s="498" t="s">
        <v>379</v>
      </c>
      <c r="E2369" s="499"/>
      <c r="F2369" s="500">
        <v>3111.7</v>
      </c>
      <c r="G2369" s="501" t="s">
        <v>237</v>
      </c>
      <c r="H2369" s="502"/>
      <c r="I2369" s="503">
        <f t="shared" ref="I2369:I2433" si="38">I2368+E2370-F2370</f>
        <v>5852.4499999999489</v>
      </c>
    </row>
    <row r="2370" spans="2:9">
      <c r="B2370" s="496">
        <v>45992</v>
      </c>
      <c r="C2370" s="497" t="s">
        <v>2319</v>
      </c>
      <c r="D2370" s="498" t="s">
        <v>379</v>
      </c>
      <c r="E2370" s="499"/>
      <c r="F2370" s="500">
        <v>684.57</v>
      </c>
      <c r="G2370" s="501" t="s">
        <v>274</v>
      </c>
      <c r="H2370" s="502"/>
      <c r="I2370" s="503">
        <f t="shared" si="38"/>
        <v>5800.0199999999486</v>
      </c>
    </row>
    <row r="2371" spans="2:9">
      <c r="B2371" s="729">
        <v>45930</v>
      </c>
      <c r="C2371" s="497">
        <v>2523682441</v>
      </c>
      <c r="D2371" s="498" t="s">
        <v>478</v>
      </c>
      <c r="E2371" s="499"/>
      <c r="F2371" s="500">
        <v>52.43</v>
      </c>
      <c r="G2371" s="501" t="s">
        <v>1860</v>
      </c>
      <c r="H2371" s="502"/>
      <c r="I2371" s="503">
        <f t="shared" si="38"/>
        <v>5788.4899999999489</v>
      </c>
    </row>
    <row r="2372" spans="2:9">
      <c r="B2372" s="729">
        <v>45930</v>
      </c>
      <c r="C2372" s="497">
        <v>2523682441</v>
      </c>
      <c r="D2372" s="498" t="s">
        <v>478</v>
      </c>
      <c r="E2372" s="499"/>
      <c r="F2372" s="500">
        <v>11.53</v>
      </c>
      <c r="G2372" s="501" t="s">
        <v>274</v>
      </c>
      <c r="H2372" s="502"/>
      <c r="I2372" s="503">
        <f t="shared" si="38"/>
        <v>5658.4899999999489</v>
      </c>
    </row>
    <row r="2373" spans="2:9">
      <c r="B2373" s="496">
        <v>45992</v>
      </c>
      <c r="C2373" s="641" t="s">
        <v>2363</v>
      </c>
      <c r="D2373" s="498" t="s">
        <v>347</v>
      </c>
      <c r="E2373" s="499"/>
      <c r="F2373" s="500">
        <v>130</v>
      </c>
      <c r="G2373" s="501" t="s">
        <v>238</v>
      </c>
      <c r="H2373" s="502"/>
      <c r="I2373" s="503">
        <f t="shared" si="38"/>
        <v>5629.8899999999485</v>
      </c>
    </row>
    <row r="2374" spans="2:9">
      <c r="B2374" s="496">
        <v>45992</v>
      </c>
      <c r="C2374" s="641" t="s">
        <v>2363</v>
      </c>
      <c r="D2374" s="498" t="s">
        <v>2237</v>
      </c>
      <c r="E2374" s="499"/>
      <c r="F2374" s="500">
        <v>28.6</v>
      </c>
      <c r="G2374" s="501" t="s">
        <v>274</v>
      </c>
      <c r="H2374" s="502"/>
      <c r="I2374" s="503">
        <f t="shared" si="38"/>
        <v>5628.6399999999485</v>
      </c>
    </row>
    <row r="2375" spans="2:9">
      <c r="B2375" s="496">
        <v>45992</v>
      </c>
      <c r="C2375" s="497" t="s">
        <v>117</v>
      </c>
      <c r="D2375" s="498" t="s">
        <v>921</v>
      </c>
      <c r="E2375" s="499"/>
      <c r="F2375" s="500">
        <v>1.25</v>
      </c>
      <c r="G2375" s="501" t="s">
        <v>271</v>
      </c>
      <c r="H2375" s="502"/>
      <c r="I2375" s="503">
        <f t="shared" si="38"/>
        <v>5482.6399999999485</v>
      </c>
    </row>
    <row r="2376" spans="2:9">
      <c r="B2376" s="496">
        <v>45992</v>
      </c>
      <c r="C2376" s="641" t="s">
        <v>2363</v>
      </c>
      <c r="D2376" s="498" t="s">
        <v>347</v>
      </c>
      <c r="E2376" s="499"/>
      <c r="F2376" s="516">
        <f>146</f>
        <v>146</v>
      </c>
      <c r="G2376" s="501" t="s">
        <v>238</v>
      </c>
      <c r="H2376" s="502"/>
      <c r="I2376" s="503">
        <f t="shared" si="38"/>
        <v>5450.5199999999486</v>
      </c>
    </row>
    <row r="2377" spans="2:9">
      <c r="B2377" s="496">
        <v>45992</v>
      </c>
      <c r="C2377" s="641" t="s">
        <v>2363</v>
      </c>
      <c r="D2377" s="498" t="s">
        <v>347</v>
      </c>
      <c r="E2377" s="499"/>
      <c r="F2377" s="516">
        <f>146*0.22</f>
        <v>32.119999999999997</v>
      </c>
      <c r="G2377" s="501" t="s">
        <v>274</v>
      </c>
      <c r="H2377" s="502"/>
      <c r="I2377" s="503">
        <f t="shared" si="38"/>
        <v>5449.2699999999486</v>
      </c>
    </row>
    <row r="2378" spans="2:9">
      <c r="B2378" s="496">
        <v>45992</v>
      </c>
      <c r="C2378" s="497" t="s">
        <v>117</v>
      </c>
      <c r="D2378" s="498" t="s">
        <v>921</v>
      </c>
      <c r="E2378" s="499"/>
      <c r="F2378" s="500">
        <v>1.25</v>
      </c>
      <c r="G2378" s="501" t="s">
        <v>271</v>
      </c>
      <c r="H2378" s="502"/>
      <c r="I2378" s="503">
        <f t="shared" si="38"/>
        <v>-300.420000000051</v>
      </c>
    </row>
    <row r="2379" spans="2:9">
      <c r="B2379" s="729">
        <v>45961</v>
      </c>
      <c r="C2379" s="497">
        <v>12512</v>
      </c>
      <c r="D2379" s="498" t="s">
        <v>650</v>
      </c>
      <c r="E2379" s="499"/>
      <c r="F2379" s="500">
        <v>5749.69</v>
      </c>
      <c r="G2379" s="501" t="s">
        <v>194</v>
      </c>
      <c r="H2379" s="502"/>
      <c r="I2379" s="503">
        <f t="shared" si="38"/>
        <v>-1634.210000000051</v>
      </c>
    </row>
    <row r="2380" spans="2:9">
      <c r="B2380" s="729">
        <v>45961</v>
      </c>
      <c r="C2380" s="497">
        <v>12512</v>
      </c>
      <c r="D2380" s="498" t="s">
        <v>2341</v>
      </c>
      <c r="E2380" s="499"/>
      <c r="F2380" s="500">
        <v>1333.79</v>
      </c>
      <c r="G2380" s="501" t="s">
        <v>274</v>
      </c>
      <c r="H2380" s="502"/>
      <c r="I2380" s="503">
        <f t="shared" si="38"/>
        <v>-1635.460000000051</v>
      </c>
    </row>
    <row r="2381" spans="2:9">
      <c r="B2381" s="496">
        <v>45992</v>
      </c>
      <c r="C2381" s="497" t="s">
        <v>117</v>
      </c>
      <c r="D2381" s="498" t="s">
        <v>921</v>
      </c>
      <c r="E2381" s="499"/>
      <c r="F2381" s="500">
        <v>1.25</v>
      </c>
      <c r="G2381" s="501" t="s">
        <v>271</v>
      </c>
      <c r="H2381" s="502"/>
      <c r="I2381" s="503">
        <f t="shared" si="38"/>
        <v>-1338.8600000000511</v>
      </c>
    </row>
    <row r="2382" spans="2:9">
      <c r="B2382" s="496">
        <v>45992</v>
      </c>
      <c r="C2382" s="497" t="s">
        <v>283</v>
      </c>
      <c r="D2382" s="498" t="s">
        <v>307</v>
      </c>
      <c r="E2382" s="499">
        <v>296.60000000000002</v>
      </c>
      <c r="F2382" s="500"/>
      <c r="G2382" s="501" t="s">
        <v>190</v>
      </c>
      <c r="H2382" s="502"/>
      <c r="I2382" s="503">
        <f t="shared" si="38"/>
        <v>6661.1399999999485</v>
      </c>
    </row>
    <row r="2383" spans="2:9">
      <c r="B2383" s="496">
        <v>45992</v>
      </c>
      <c r="C2383" s="497" t="s">
        <v>541</v>
      </c>
      <c r="D2383" s="498" t="s">
        <v>542</v>
      </c>
      <c r="E2383" s="499">
        <v>8000</v>
      </c>
      <c r="F2383" s="500"/>
      <c r="G2383" s="501" t="s">
        <v>277</v>
      </c>
      <c r="H2383" s="502"/>
      <c r="I2383" s="503">
        <f t="shared" si="38"/>
        <v>-1220.3600000000515</v>
      </c>
    </row>
    <row r="2384" spans="2:9">
      <c r="B2384" s="496">
        <v>45992</v>
      </c>
      <c r="C2384" s="497" t="s">
        <v>117</v>
      </c>
      <c r="D2384" s="498" t="s">
        <v>250</v>
      </c>
      <c r="E2384" s="499"/>
      <c r="F2384" s="500">
        <v>7881.5</v>
      </c>
      <c r="G2384" s="501" t="s">
        <v>250</v>
      </c>
      <c r="H2384" s="502"/>
      <c r="I2384" s="503">
        <f t="shared" si="38"/>
        <v>545.13999999994849</v>
      </c>
    </row>
    <row r="2385" spans="2:9">
      <c r="B2385" s="496">
        <v>45992</v>
      </c>
      <c r="C2385" s="497" t="s">
        <v>283</v>
      </c>
      <c r="D2385" s="498" t="s">
        <v>912</v>
      </c>
      <c r="E2385" s="499">
        <v>1765.5</v>
      </c>
      <c r="F2385" s="500"/>
      <c r="G2385" s="501"/>
      <c r="H2385" s="812" t="s">
        <v>2168</v>
      </c>
      <c r="I2385" s="503">
        <f t="shared" si="38"/>
        <v>527.38999999994849</v>
      </c>
    </row>
    <row r="2386" spans="2:9">
      <c r="B2386" s="496">
        <v>45992</v>
      </c>
      <c r="C2386" s="497" t="s">
        <v>117</v>
      </c>
      <c r="D2386" s="498" t="s">
        <v>918</v>
      </c>
      <c r="E2386" s="499"/>
      <c r="F2386" s="500">
        <v>17.75</v>
      </c>
      <c r="G2386" s="501"/>
      <c r="H2386" s="812" t="s">
        <v>2168</v>
      </c>
      <c r="I2386" s="503">
        <f t="shared" si="38"/>
        <v>1173.5899999999485</v>
      </c>
    </row>
    <row r="2387" spans="2:9">
      <c r="B2387" s="496">
        <v>45992</v>
      </c>
      <c r="C2387" s="497" t="s">
        <v>283</v>
      </c>
      <c r="D2387" s="498" t="s">
        <v>307</v>
      </c>
      <c r="E2387" s="499">
        <v>646.20000000000005</v>
      </c>
      <c r="F2387" s="500"/>
      <c r="G2387" s="501" t="s">
        <v>190</v>
      </c>
      <c r="H2387" s="873"/>
      <c r="I2387" s="503">
        <f t="shared" si="38"/>
        <v>2195.9899999999489</v>
      </c>
    </row>
    <row r="2388" spans="2:9">
      <c r="B2388" s="496">
        <v>45992</v>
      </c>
      <c r="C2388" s="497" t="s">
        <v>283</v>
      </c>
      <c r="D2388" s="498" t="s">
        <v>307</v>
      </c>
      <c r="E2388" s="499">
        <f>1222.4-200</f>
        <v>1022.4000000000001</v>
      </c>
      <c r="F2388" s="500"/>
      <c r="G2388" s="501" t="s">
        <v>190</v>
      </c>
      <c r="H2388" s="502"/>
      <c r="I2388" s="503">
        <f>I2387+E2390-F2390</f>
        <v>6185.4899999999489</v>
      </c>
    </row>
    <row r="2389" spans="2:9">
      <c r="B2389" s="496">
        <v>45992</v>
      </c>
      <c r="C2389" s="497" t="s">
        <v>283</v>
      </c>
      <c r="D2389" s="498" t="s">
        <v>307</v>
      </c>
      <c r="E2389" s="499">
        <v>200</v>
      </c>
      <c r="F2389" s="500"/>
      <c r="G2389" s="501" t="s">
        <v>190</v>
      </c>
      <c r="H2389" s="835" t="s">
        <v>2409</v>
      </c>
      <c r="I2389" s="503">
        <f>I2388+E2391-F2391</f>
        <v>6149.0299999999488</v>
      </c>
    </row>
    <row r="2390" spans="2:9">
      <c r="B2390" s="496">
        <v>45992</v>
      </c>
      <c r="C2390" s="497" t="s">
        <v>283</v>
      </c>
      <c r="D2390" s="498" t="s">
        <v>909</v>
      </c>
      <c r="E2390" s="499">
        <v>3989.5</v>
      </c>
      <c r="F2390" s="500"/>
      <c r="G2390" s="501"/>
      <c r="H2390" s="812" t="s">
        <v>2168</v>
      </c>
      <c r="I2390" s="503">
        <f>I2389+E2392-F2392</f>
        <v>3880.9099999999489</v>
      </c>
    </row>
    <row r="2391" spans="2:9">
      <c r="B2391" s="496">
        <v>45992</v>
      </c>
      <c r="C2391" s="497" t="s">
        <v>117</v>
      </c>
      <c r="D2391" s="498" t="s">
        <v>911</v>
      </c>
      <c r="E2391" s="499"/>
      <c r="F2391" s="500">
        <v>36.46</v>
      </c>
      <c r="G2391" s="501"/>
      <c r="H2391" s="812" t="s">
        <v>2168</v>
      </c>
      <c r="I2391" s="503">
        <f t="shared" si="38"/>
        <v>1612.789999999949</v>
      </c>
    </row>
    <row r="2392" spans="2:9">
      <c r="B2392" s="729">
        <v>45930</v>
      </c>
      <c r="C2392" s="497" t="s">
        <v>2342</v>
      </c>
      <c r="D2392" s="498" t="s">
        <v>1010</v>
      </c>
      <c r="E2392" s="499"/>
      <c r="F2392" s="500">
        <v>2268.12</v>
      </c>
      <c r="G2392" s="501" t="s">
        <v>194</v>
      </c>
      <c r="H2392" s="502" t="s">
        <v>2343</v>
      </c>
      <c r="I2392" s="503">
        <f t="shared" si="38"/>
        <v>1611.789999999949</v>
      </c>
    </row>
    <row r="2393" spans="2:9">
      <c r="B2393" s="496">
        <v>45993</v>
      </c>
      <c r="C2393" s="497" t="s">
        <v>117</v>
      </c>
      <c r="D2393" s="498" t="s">
        <v>903</v>
      </c>
      <c r="E2393" s="499"/>
      <c r="F2393" s="500">
        <v>1</v>
      </c>
      <c r="G2393" s="501" t="s">
        <v>272</v>
      </c>
      <c r="H2393" s="502"/>
      <c r="I2393" s="503">
        <f t="shared" si="38"/>
        <v>2283.289999999949</v>
      </c>
    </row>
    <row r="2394" spans="2:9">
      <c r="B2394" s="496">
        <v>45993</v>
      </c>
      <c r="C2394" s="497" t="s">
        <v>283</v>
      </c>
      <c r="D2394" s="498" t="s">
        <v>307</v>
      </c>
      <c r="E2394" s="499">
        <v>671.5</v>
      </c>
      <c r="F2394" s="500"/>
      <c r="G2394" s="501" t="s">
        <v>190</v>
      </c>
      <c r="H2394" s="502"/>
      <c r="I2394" s="503">
        <f t="shared" si="38"/>
        <v>1843.289999999949</v>
      </c>
    </row>
    <row r="2395" spans="2:9">
      <c r="B2395" s="729">
        <v>45991</v>
      </c>
      <c r="C2395" s="497" t="s">
        <v>2344</v>
      </c>
      <c r="D2395" s="498" t="s">
        <v>2162</v>
      </c>
      <c r="E2395" s="499"/>
      <c r="F2395" s="500">
        <v>440</v>
      </c>
      <c r="G2395" s="501" t="s">
        <v>231</v>
      </c>
      <c r="H2395" s="502"/>
      <c r="I2395" s="503">
        <f t="shared" si="38"/>
        <v>1746.4899999999491</v>
      </c>
    </row>
    <row r="2396" spans="2:9">
      <c r="B2396" s="729">
        <v>45991</v>
      </c>
      <c r="C2396" s="497" t="s">
        <v>2344</v>
      </c>
      <c r="D2396" s="498" t="s">
        <v>2162</v>
      </c>
      <c r="E2396" s="499"/>
      <c r="F2396" s="500">
        <v>96.8</v>
      </c>
      <c r="G2396" s="501" t="s">
        <v>274</v>
      </c>
      <c r="H2396" s="502"/>
      <c r="I2396" s="503">
        <f t="shared" si="38"/>
        <v>1745.4899999999491</v>
      </c>
    </row>
    <row r="2397" spans="2:9">
      <c r="B2397" s="496">
        <v>45993</v>
      </c>
      <c r="C2397" s="497" t="s">
        <v>117</v>
      </c>
      <c r="D2397" s="498" t="s">
        <v>903</v>
      </c>
      <c r="E2397" s="499"/>
      <c r="F2397" s="500">
        <v>1</v>
      </c>
      <c r="G2397" s="501" t="s">
        <v>272</v>
      </c>
      <c r="H2397" s="502"/>
      <c r="I2397" s="503">
        <f t="shared" si="38"/>
        <v>173.85999999994897</v>
      </c>
    </row>
    <row r="2398" spans="2:9">
      <c r="B2398" s="496">
        <v>45993</v>
      </c>
      <c r="C2398" s="497">
        <v>56597</v>
      </c>
      <c r="D2398" s="498" t="s">
        <v>100</v>
      </c>
      <c r="E2398" s="499"/>
      <c r="F2398" s="500">
        <v>1571.63</v>
      </c>
      <c r="G2398" s="501" t="s">
        <v>194</v>
      </c>
      <c r="H2398" s="835"/>
      <c r="I2398" s="503">
        <f t="shared" si="38"/>
        <v>-171.90000000005102</v>
      </c>
    </row>
    <row r="2399" spans="2:9">
      <c r="B2399" s="496">
        <v>45993</v>
      </c>
      <c r="C2399" s="497">
        <v>56597</v>
      </c>
      <c r="D2399" s="498" t="s">
        <v>100</v>
      </c>
      <c r="E2399" s="499"/>
      <c r="F2399" s="500">
        <v>345.76</v>
      </c>
      <c r="G2399" s="501" t="s">
        <v>274</v>
      </c>
      <c r="H2399" s="502"/>
      <c r="I2399" s="503">
        <f t="shared" si="38"/>
        <v>-2068.1200000000508</v>
      </c>
    </row>
    <row r="2400" spans="2:9">
      <c r="B2400" s="496">
        <v>45993</v>
      </c>
      <c r="C2400" s="497">
        <v>56682</v>
      </c>
      <c r="D2400" s="498" t="s">
        <v>100</v>
      </c>
      <c r="E2400" s="499"/>
      <c r="F2400" s="500">
        <v>1896.22</v>
      </c>
      <c r="G2400" s="501" t="s">
        <v>194</v>
      </c>
      <c r="H2400" s="502"/>
      <c r="I2400" s="503">
        <f t="shared" si="38"/>
        <v>-2485.2900000000509</v>
      </c>
    </row>
    <row r="2401" spans="2:9">
      <c r="B2401" s="496">
        <v>45993</v>
      </c>
      <c r="C2401" s="497">
        <v>56682</v>
      </c>
      <c r="D2401" s="498" t="s">
        <v>100</v>
      </c>
      <c r="E2401" s="499"/>
      <c r="F2401" s="500">
        <v>417.17</v>
      </c>
      <c r="G2401" s="501" t="s">
        <v>274</v>
      </c>
      <c r="H2401" s="502"/>
      <c r="I2401" s="503">
        <f t="shared" si="38"/>
        <v>-2486.2900000000509</v>
      </c>
    </row>
    <row r="2402" spans="2:9">
      <c r="B2402" s="496">
        <v>45993</v>
      </c>
      <c r="C2402" s="497" t="s">
        <v>117</v>
      </c>
      <c r="D2402" s="498" t="s">
        <v>903</v>
      </c>
      <c r="E2402" s="499"/>
      <c r="F2402" s="500">
        <v>1</v>
      </c>
      <c r="G2402" s="501" t="s">
        <v>272</v>
      </c>
      <c r="H2402" s="502"/>
      <c r="I2402" s="503">
        <f t="shared" si="38"/>
        <v>-2471.2900000000509</v>
      </c>
    </row>
    <row r="2403" spans="2:9">
      <c r="B2403" s="496">
        <v>45993</v>
      </c>
      <c r="C2403" s="497" t="s">
        <v>283</v>
      </c>
      <c r="D2403" s="498" t="s">
        <v>909</v>
      </c>
      <c r="E2403" s="499">
        <v>15</v>
      </c>
      <c r="F2403" s="500"/>
      <c r="G2403" s="501"/>
      <c r="H2403" s="812" t="s">
        <v>2168</v>
      </c>
      <c r="I2403" s="503">
        <f t="shared" si="38"/>
        <v>-2471.4300000000508</v>
      </c>
    </row>
    <row r="2404" spans="2:9">
      <c r="B2404" s="496">
        <v>45993</v>
      </c>
      <c r="C2404" s="497" t="s">
        <v>117</v>
      </c>
      <c r="D2404" s="498" t="s">
        <v>911</v>
      </c>
      <c r="E2404" s="499"/>
      <c r="F2404" s="500">
        <v>0.14000000000000001</v>
      </c>
      <c r="G2404" s="501"/>
      <c r="H2404" s="812" t="s">
        <v>2168</v>
      </c>
      <c r="I2404" s="503">
        <f t="shared" si="38"/>
        <v>-2476.4800000000509</v>
      </c>
    </row>
    <row r="2405" spans="2:9">
      <c r="B2405" s="496">
        <v>45994</v>
      </c>
      <c r="C2405" s="497" t="s">
        <v>117</v>
      </c>
      <c r="D2405" s="498" t="s">
        <v>339</v>
      </c>
      <c r="E2405" s="499"/>
      <c r="F2405" s="500">
        <v>5.05</v>
      </c>
      <c r="G2405" s="501" t="s">
        <v>267</v>
      </c>
      <c r="H2405" s="502"/>
      <c r="I2405" s="503">
        <f t="shared" si="38"/>
        <v>-3835.9300000000512</v>
      </c>
    </row>
    <row r="2406" spans="2:9">
      <c r="B2406" s="496">
        <v>45994</v>
      </c>
      <c r="C2406" s="641" t="s">
        <v>2362</v>
      </c>
      <c r="D2406" s="498" t="s">
        <v>2267</v>
      </c>
      <c r="E2406" s="499"/>
      <c r="F2406" s="500">
        <v>1359.45</v>
      </c>
      <c r="G2406" s="501" t="s">
        <v>196</v>
      </c>
      <c r="H2406" s="502"/>
      <c r="I2406" s="503">
        <f t="shared" si="38"/>
        <v>-4135.0100000000511</v>
      </c>
    </row>
    <row r="2407" spans="2:9">
      <c r="B2407" s="496">
        <v>45994</v>
      </c>
      <c r="C2407" s="641" t="s">
        <v>2362</v>
      </c>
      <c r="D2407" s="498" t="s">
        <v>2267</v>
      </c>
      <c r="E2407" s="499"/>
      <c r="F2407" s="500">
        <v>299.08</v>
      </c>
      <c r="G2407" s="501" t="s">
        <v>274</v>
      </c>
      <c r="H2407" s="502"/>
      <c r="I2407" s="503">
        <f t="shared" si="38"/>
        <v>-4136.0100000000511</v>
      </c>
    </row>
    <row r="2408" spans="2:9">
      <c r="B2408" s="496">
        <v>45994</v>
      </c>
      <c r="C2408" s="497" t="s">
        <v>117</v>
      </c>
      <c r="D2408" s="498" t="s">
        <v>903</v>
      </c>
      <c r="E2408" s="499"/>
      <c r="F2408" s="500">
        <v>1</v>
      </c>
      <c r="G2408" s="501" t="s">
        <v>272</v>
      </c>
      <c r="H2408" s="502"/>
      <c r="I2408" s="503">
        <f t="shared" si="38"/>
        <v>-3880.6100000000511</v>
      </c>
    </row>
    <row r="2409" spans="2:9">
      <c r="B2409" s="496">
        <v>45994</v>
      </c>
      <c r="C2409" s="497" t="s">
        <v>283</v>
      </c>
      <c r="D2409" s="498" t="s">
        <v>307</v>
      </c>
      <c r="E2409" s="499">
        <v>255.4</v>
      </c>
      <c r="F2409" s="500"/>
      <c r="G2409" s="501" t="s">
        <v>190</v>
      </c>
      <c r="H2409" s="502"/>
      <c r="I2409" s="503">
        <f t="shared" si="38"/>
        <v>-11683.89000000005</v>
      </c>
    </row>
    <row r="2410" spans="2:9">
      <c r="B2410" s="496">
        <v>45995</v>
      </c>
      <c r="C2410" s="641" t="s">
        <v>2347</v>
      </c>
      <c r="D2410" s="498" t="s">
        <v>2308</v>
      </c>
      <c r="E2410" s="499"/>
      <c r="F2410" s="500">
        <v>7803.28</v>
      </c>
      <c r="G2410" s="501" t="s">
        <v>194</v>
      </c>
      <c r="H2410" s="502"/>
      <c r="I2410" s="503">
        <f t="shared" si="38"/>
        <v>-13400.61000000005</v>
      </c>
    </row>
    <row r="2411" spans="2:9">
      <c r="B2411" s="496">
        <v>45995</v>
      </c>
      <c r="C2411" s="641" t="s">
        <v>2347</v>
      </c>
      <c r="D2411" s="498" t="s">
        <v>2307</v>
      </c>
      <c r="E2411" s="499"/>
      <c r="F2411" s="500">
        <v>1716.72</v>
      </c>
      <c r="G2411" s="501" t="s">
        <v>274</v>
      </c>
      <c r="H2411" s="502"/>
      <c r="I2411" s="503">
        <f t="shared" si="38"/>
        <v>-4450.6100000000497</v>
      </c>
    </row>
    <row r="2412" spans="2:9">
      <c r="B2412" s="496">
        <v>45995</v>
      </c>
      <c r="C2412" s="497" t="s">
        <v>541</v>
      </c>
      <c r="D2412" s="498" t="s">
        <v>542</v>
      </c>
      <c r="E2412" s="499">
        <v>8950</v>
      </c>
      <c r="F2412" s="500"/>
      <c r="G2412" s="501" t="s">
        <v>277</v>
      </c>
      <c r="H2412" s="502"/>
      <c r="I2412" s="503">
        <f t="shared" si="38"/>
        <v>-4030.6100000000497</v>
      </c>
    </row>
    <row r="2413" spans="2:9">
      <c r="B2413" s="496">
        <v>45995</v>
      </c>
      <c r="C2413" s="497" t="s">
        <v>283</v>
      </c>
      <c r="D2413" s="498" t="s">
        <v>307</v>
      </c>
      <c r="E2413" s="499">
        <v>420</v>
      </c>
      <c r="F2413" s="500"/>
      <c r="G2413" s="501" t="s">
        <v>190</v>
      </c>
      <c r="H2413" s="502"/>
      <c r="I2413" s="503">
        <f t="shared" si="38"/>
        <v>-3236.7100000000496</v>
      </c>
    </row>
    <row r="2414" spans="2:9">
      <c r="B2414" s="496">
        <v>45996</v>
      </c>
      <c r="C2414" s="497" t="s">
        <v>283</v>
      </c>
      <c r="D2414" s="498" t="s">
        <v>307</v>
      </c>
      <c r="E2414" s="499">
        <v>793.9</v>
      </c>
      <c r="F2414" s="500"/>
      <c r="G2414" s="501" t="s">
        <v>190</v>
      </c>
      <c r="H2414" s="873"/>
      <c r="I2414" s="503">
        <f t="shared" si="38"/>
        <v>2749.7899999999504</v>
      </c>
    </row>
    <row r="2415" spans="2:9">
      <c r="B2415" s="496">
        <v>46000</v>
      </c>
      <c r="C2415" s="497" t="s">
        <v>283</v>
      </c>
      <c r="D2415" s="498" t="s">
        <v>909</v>
      </c>
      <c r="E2415" s="499">
        <v>5986.5</v>
      </c>
      <c r="F2415" s="500"/>
      <c r="G2415" s="501"/>
      <c r="H2415" s="812" t="s">
        <v>2168</v>
      </c>
      <c r="I2415" s="503">
        <f t="shared" si="38"/>
        <v>2690.5099999999502</v>
      </c>
    </row>
    <row r="2416" spans="2:9">
      <c r="B2416" s="496">
        <v>46000</v>
      </c>
      <c r="C2416" s="497" t="s">
        <v>117</v>
      </c>
      <c r="D2416" s="498" t="s">
        <v>911</v>
      </c>
      <c r="E2416" s="499"/>
      <c r="F2416" s="500">
        <v>59.28</v>
      </c>
      <c r="G2416" s="501"/>
      <c r="H2416" s="812" t="s">
        <v>2168</v>
      </c>
      <c r="I2416" s="503">
        <f t="shared" si="38"/>
        <v>2558.5099999999502</v>
      </c>
    </row>
    <row r="2417" spans="2:9">
      <c r="B2417" s="496">
        <v>46000</v>
      </c>
      <c r="C2417" s="497">
        <v>136</v>
      </c>
      <c r="D2417" s="498" t="s">
        <v>917</v>
      </c>
      <c r="E2417" s="499"/>
      <c r="F2417" s="500">
        <v>132</v>
      </c>
      <c r="G2417" s="501" t="s">
        <v>227</v>
      </c>
      <c r="H2417" s="502"/>
      <c r="I2417" s="503">
        <f t="shared" si="38"/>
        <v>2557.5099999999502</v>
      </c>
    </row>
    <row r="2418" spans="2:9">
      <c r="B2418" s="496">
        <v>46000</v>
      </c>
      <c r="C2418" s="497" t="s">
        <v>117</v>
      </c>
      <c r="D2418" s="498" t="s">
        <v>903</v>
      </c>
      <c r="E2418" s="499"/>
      <c r="F2418" s="500">
        <v>1</v>
      </c>
      <c r="G2418" s="501" t="s">
        <v>272</v>
      </c>
      <c r="H2418" s="502"/>
      <c r="I2418" s="503">
        <f t="shared" si="38"/>
        <v>2347.5099999999502</v>
      </c>
    </row>
    <row r="2419" spans="2:9">
      <c r="B2419" s="496">
        <v>46000</v>
      </c>
      <c r="C2419" s="497" t="s">
        <v>2346</v>
      </c>
      <c r="D2419" s="498" t="s">
        <v>2265</v>
      </c>
      <c r="E2419" s="499"/>
      <c r="F2419" s="500">
        <v>210</v>
      </c>
      <c r="G2419" s="501" t="s">
        <v>216</v>
      </c>
      <c r="H2419" s="502"/>
      <c r="I2419" s="503">
        <f t="shared" si="38"/>
        <v>2301.3099999999504</v>
      </c>
    </row>
    <row r="2420" spans="2:9">
      <c r="B2420" s="496">
        <v>46000</v>
      </c>
      <c r="C2420" s="497" t="s">
        <v>2346</v>
      </c>
      <c r="D2420" s="498" t="s">
        <v>2265</v>
      </c>
      <c r="E2420" s="499"/>
      <c r="F2420" s="500">
        <v>46.2</v>
      </c>
      <c r="G2420" s="501" t="s">
        <v>274</v>
      </c>
      <c r="H2420" s="502"/>
      <c r="I2420" s="503">
        <f t="shared" si="38"/>
        <v>2300.5599999999504</v>
      </c>
    </row>
    <row r="2421" spans="2:9">
      <c r="B2421" s="496">
        <v>46000</v>
      </c>
      <c r="C2421" s="497" t="s">
        <v>117</v>
      </c>
      <c r="D2421" s="498" t="s">
        <v>903</v>
      </c>
      <c r="E2421" s="499"/>
      <c r="F2421" s="500">
        <v>0.75</v>
      </c>
      <c r="G2421" s="501" t="s">
        <v>272</v>
      </c>
      <c r="H2421" s="502"/>
      <c r="I2421" s="503">
        <f t="shared" si="38"/>
        <v>1795.6599999999503</v>
      </c>
    </row>
    <row r="2422" spans="2:9">
      <c r="B2422" s="496">
        <v>46000</v>
      </c>
      <c r="C2422" s="507" t="s">
        <v>117</v>
      </c>
      <c r="D2422" s="680" t="s">
        <v>320</v>
      </c>
      <c r="E2422" s="619"/>
      <c r="F2422" s="620">
        <v>504.9</v>
      </c>
      <c r="G2422" s="621" t="s">
        <v>237</v>
      </c>
      <c r="H2422" s="502"/>
      <c r="I2422" s="503">
        <f t="shared" si="38"/>
        <v>1794.9099999999503</v>
      </c>
    </row>
    <row r="2423" spans="2:9">
      <c r="B2423" s="496">
        <v>46000</v>
      </c>
      <c r="C2423" s="497" t="s">
        <v>117</v>
      </c>
      <c r="D2423" s="498" t="s">
        <v>903</v>
      </c>
      <c r="E2423" s="499"/>
      <c r="F2423" s="500">
        <v>0.75</v>
      </c>
      <c r="G2423" s="501" t="s">
        <v>272</v>
      </c>
      <c r="H2423" s="502"/>
      <c r="I2423" s="503">
        <f t="shared" si="38"/>
        <v>2343.3099999999504</v>
      </c>
    </row>
    <row r="2424" spans="2:9">
      <c r="B2424" s="496">
        <v>46000</v>
      </c>
      <c r="C2424" s="497" t="s">
        <v>283</v>
      </c>
      <c r="D2424" s="498" t="s">
        <v>307</v>
      </c>
      <c r="E2424" s="499">
        <v>548.4</v>
      </c>
      <c r="F2424" s="500"/>
      <c r="G2424" s="501" t="s">
        <v>190</v>
      </c>
      <c r="H2424" s="502"/>
      <c r="I2424" s="503">
        <f t="shared" si="38"/>
        <v>4823.3099999999504</v>
      </c>
    </row>
    <row r="2425" spans="2:9">
      <c r="B2425" s="496">
        <v>46000</v>
      </c>
      <c r="C2425" s="497" t="s">
        <v>283</v>
      </c>
      <c r="D2425" s="498" t="s">
        <v>912</v>
      </c>
      <c r="E2425" s="499">
        <v>2480</v>
      </c>
      <c r="F2425" s="500"/>
      <c r="G2425" s="501"/>
      <c r="H2425" s="812" t="s">
        <v>2168</v>
      </c>
      <c r="I2425" s="503">
        <f t="shared" si="38"/>
        <v>4798.3899999999503</v>
      </c>
    </row>
    <row r="2426" spans="2:9">
      <c r="B2426" s="496">
        <v>46000</v>
      </c>
      <c r="C2426" s="497" t="s">
        <v>117</v>
      </c>
      <c r="D2426" s="498" t="s">
        <v>918</v>
      </c>
      <c r="E2426" s="499"/>
      <c r="F2426" s="500">
        <v>24.92</v>
      </c>
      <c r="G2426" s="501"/>
      <c r="H2426" s="812" t="s">
        <v>2168</v>
      </c>
      <c r="I2426" s="503">
        <f t="shared" si="38"/>
        <v>7053.7899999999499</v>
      </c>
    </row>
    <row r="2427" spans="2:9">
      <c r="B2427" s="496">
        <v>46000</v>
      </c>
      <c r="C2427" s="497" t="s">
        <v>283</v>
      </c>
      <c r="D2427" s="498" t="s">
        <v>307</v>
      </c>
      <c r="E2427" s="499">
        <v>2255.4</v>
      </c>
      <c r="F2427" s="500"/>
      <c r="G2427" s="501" t="s">
        <v>190</v>
      </c>
      <c r="H2427" s="502"/>
      <c r="I2427" s="503">
        <f t="shared" si="38"/>
        <v>8537.4899999999507</v>
      </c>
    </row>
    <row r="2428" spans="2:9">
      <c r="B2428" s="496">
        <v>46000</v>
      </c>
      <c r="C2428" s="497" t="s">
        <v>283</v>
      </c>
      <c r="D2428" s="498" t="s">
        <v>307</v>
      </c>
      <c r="E2428" s="499">
        <v>1483.7</v>
      </c>
      <c r="F2428" s="500"/>
      <c r="G2428" s="501" t="s">
        <v>190</v>
      </c>
      <c r="H2428" s="502"/>
      <c r="I2428" s="503">
        <f t="shared" si="38"/>
        <v>10008.88999999995</v>
      </c>
    </row>
    <row r="2429" spans="2:9">
      <c r="B2429" s="496">
        <v>46000</v>
      </c>
      <c r="C2429" s="497" t="s">
        <v>283</v>
      </c>
      <c r="D2429" s="498" t="s">
        <v>307</v>
      </c>
      <c r="E2429" s="499">
        <v>1471.4</v>
      </c>
      <c r="F2429" s="500"/>
      <c r="G2429" s="501" t="s">
        <v>190</v>
      </c>
      <c r="H2429" s="502"/>
      <c r="I2429" s="503">
        <f t="shared" si="38"/>
        <v>12572.88999999995</v>
      </c>
    </row>
    <row r="2430" spans="2:9">
      <c r="B2430" s="496">
        <v>46000</v>
      </c>
      <c r="C2430" s="497" t="s">
        <v>283</v>
      </c>
      <c r="D2430" s="498" t="s">
        <v>909</v>
      </c>
      <c r="E2430" s="499">
        <v>2564</v>
      </c>
      <c r="F2430" s="500"/>
      <c r="G2430" s="501"/>
      <c r="H2430" s="812" t="s">
        <v>2168</v>
      </c>
      <c r="I2430" s="503">
        <f t="shared" si="38"/>
        <v>12549.72999999995</v>
      </c>
    </row>
    <row r="2431" spans="2:9">
      <c r="B2431" s="496">
        <v>46000</v>
      </c>
      <c r="C2431" s="497" t="s">
        <v>117</v>
      </c>
      <c r="D2431" s="498" t="s">
        <v>911</v>
      </c>
      <c r="E2431" s="499"/>
      <c r="F2431" s="500">
        <v>23.16</v>
      </c>
      <c r="G2431" s="501"/>
      <c r="H2431" s="812" t="s">
        <v>2168</v>
      </c>
      <c r="I2431" s="503">
        <f t="shared" si="38"/>
        <v>12733.22999999995</v>
      </c>
    </row>
    <row r="2432" spans="2:9">
      <c r="B2432" s="496">
        <v>46000</v>
      </c>
      <c r="C2432" s="497" t="s">
        <v>283</v>
      </c>
      <c r="D2432" s="498" t="s">
        <v>307</v>
      </c>
      <c r="E2432" s="499">
        <v>183.5</v>
      </c>
      <c r="F2432" s="500"/>
      <c r="G2432" s="501" t="s">
        <v>190</v>
      </c>
      <c r="H2432" s="502"/>
      <c r="I2432" s="503">
        <f t="shared" si="38"/>
        <v>12732.22999999995</v>
      </c>
    </row>
    <row r="2433" spans="2:9">
      <c r="B2433" s="496">
        <v>46000</v>
      </c>
      <c r="C2433" s="497" t="s">
        <v>117</v>
      </c>
      <c r="D2433" s="498" t="s">
        <v>903</v>
      </c>
      <c r="E2433" s="499"/>
      <c r="F2433" s="500">
        <v>1</v>
      </c>
      <c r="G2433" s="501" t="s">
        <v>272</v>
      </c>
      <c r="H2433" s="502"/>
      <c r="I2433" s="503">
        <f t="shared" si="38"/>
        <v>12233.239999999951</v>
      </c>
    </row>
    <row r="2434" spans="2:9">
      <c r="B2434" s="496">
        <v>46000</v>
      </c>
      <c r="C2434" s="510"/>
      <c r="D2434" s="498" t="s">
        <v>1010</v>
      </c>
      <c r="E2434" s="499"/>
      <c r="F2434" s="500">
        <v>498.99</v>
      </c>
      <c r="G2434" s="501"/>
      <c r="H2434" s="502"/>
      <c r="I2434" s="503">
        <f t="shared" ref="I2434:I2460" si="39">I2433+E2435-F2435</f>
        <v>12233.239999999951</v>
      </c>
    </row>
    <row r="2435" spans="2:9">
      <c r="B2435" s="496">
        <v>46000</v>
      </c>
      <c r="C2435" s="510"/>
      <c r="D2435" s="498" t="s">
        <v>1010</v>
      </c>
      <c r="E2435" s="499"/>
      <c r="F2435" s="500"/>
      <c r="G2435" s="501" t="s">
        <v>274</v>
      </c>
      <c r="H2435" s="502"/>
      <c r="I2435" s="503">
        <f t="shared" si="39"/>
        <v>10579.95999999995</v>
      </c>
    </row>
    <row r="2436" spans="2:9">
      <c r="B2436" s="729">
        <v>45991</v>
      </c>
      <c r="C2436" s="497" t="s">
        <v>2368</v>
      </c>
      <c r="D2436" s="498" t="s">
        <v>388</v>
      </c>
      <c r="E2436" s="499"/>
      <c r="F2436" s="500">
        <v>1653.28</v>
      </c>
      <c r="G2436" s="501" t="s">
        <v>224</v>
      </c>
      <c r="H2436" s="502"/>
      <c r="I2436" s="503">
        <f t="shared" si="39"/>
        <v>10216.239999999951</v>
      </c>
    </row>
    <row r="2437" spans="2:9">
      <c r="B2437" s="729">
        <v>45991</v>
      </c>
      <c r="C2437" s="497" t="s">
        <v>2368</v>
      </c>
      <c r="D2437" s="498" t="s">
        <v>388</v>
      </c>
      <c r="E2437" s="499"/>
      <c r="F2437" s="500">
        <v>363.72</v>
      </c>
      <c r="G2437" s="501" t="s">
        <v>274</v>
      </c>
      <c r="H2437" s="502"/>
      <c r="I2437" s="503">
        <f t="shared" si="39"/>
        <v>10214.989999999951</v>
      </c>
    </row>
    <row r="2438" spans="2:9">
      <c r="B2438" s="496">
        <v>46002</v>
      </c>
      <c r="C2438" s="497" t="s">
        <v>117</v>
      </c>
      <c r="D2438" s="498" t="s">
        <v>921</v>
      </c>
      <c r="E2438" s="499"/>
      <c r="F2438" s="500">
        <v>1.25</v>
      </c>
      <c r="G2438" s="501" t="s">
        <v>271</v>
      </c>
      <c r="H2438" s="502"/>
      <c r="I2438" s="503">
        <f t="shared" si="39"/>
        <v>10164.189999999951</v>
      </c>
    </row>
    <row r="2439" spans="2:9">
      <c r="B2439" s="496">
        <v>46002</v>
      </c>
      <c r="C2439" s="497" t="s">
        <v>2369</v>
      </c>
      <c r="D2439" s="498" t="s">
        <v>412</v>
      </c>
      <c r="E2439" s="499"/>
      <c r="F2439" s="500">
        <v>50.8</v>
      </c>
      <c r="G2439" s="501" t="s">
        <v>225</v>
      </c>
      <c r="H2439" s="502"/>
      <c r="I2439" s="503">
        <f t="shared" si="39"/>
        <v>10153.009999999951</v>
      </c>
    </row>
    <row r="2440" spans="2:9">
      <c r="B2440" s="496">
        <v>46002</v>
      </c>
      <c r="C2440" s="497" t="s">
        <v>2369</v>
      </c>
      <c r="D2440" s="498" t="s">
        <v>412</v>
      </c>
      <c r="E2440" s="499"/>
      <c r="F2440" s="500">
        <v>11.18</v>
      </c>
      <c r="G2440" s="501" t="s">
        <v>274</v>
      </c>
      <c r="H2440" s="502"/>
      <c r="I2440" s="503">
        <f t="shared" si="39"/>
        <v>10151.759999999951</v>
      </c>
    </row>
    <row r="2441" spans="2:9">
      <c r="B2441" s="496">
        <v>46002</v>
      </c>
      <c r="C2441" s="497" t="s">
        <v>117</v>
      </c>
      <c r="D2441" s="498" t="s">
        <v>921</v>
      </c>
      <c r="E2441" s="499"/>
      <c r="F2441" s="500">
        <v>1.25</v>
      </c>
      <c r="G2441" s="501" t="s">
        <v>271</v>
      </c>
      <c r="H2441" s="502"/>
      <c r="I2441" s="503">
        <f t="shared" si="39"/>
        <v>10287.959999999952</v>
      </c>
    </row>
    <row r="2442" spans="2:9">
      <c r="B2442" s="496">
        <v>46002</v>
      </c>
      <c r="C2442" s="497" t="s">
        <v>283</v>
      </c>
      <c r="D2442" s="498" t="s">
        <v>307</v>
      </c>
      <c r="E2442" s="499">
        <v>136.19999999999999</v>
      </c>
      <c r="F2442" s="500"/>
      <c r="G2442" s="501" t="s">
        <v>190</v>
      </c>
      <c r="H2442" s="502"/>
      <c r="I2442" s="503">
        <f t="shared" si="39"/>
        <v>8641.9599999999518</v>
      </c>
    </row>
    <row r="2443" spans="2:9">
      <c r="B2443" s="729">
        <v>45991</v>
      </c>
      <c r="C2443" s="497" t="s">
        <v>1881</v>
      </c>
      <c r="D2443" s="498" t="s">
        <v>2160</v>
      </c>
      <c r="E2443" s="499"/>
      <c r="F2443" s="500">
        <v>1646</v>
      </c>
      <c r="G2443" s="501" t="s">
        <v>246</v>
      </c>
      <c r="H2443" s="502"/>
      <c r="I2443" s="503">
        <f t="shared" si="39"/>
        <v>7159.9599999999518</v>
      </c>
    </row>
    <row r="2444" spans="2:9">
      <c r="B2444" s="729">
        <v>45991</v>
      </c>
      <c r="C2444" s="497" t="s">
        <v>1881</v>
      </c>
      <c r="D2444" s="498" t="s">
        <v>28</v>
      </c>
      <c r="E2444" s="499"/>
      <c r="F2444" s="500">
        <v>1482</v>
      </c>
      <c r="G2444" s="501" t="s">
        <v>243</v>
      </c>
      <c r="H2444" s="502"/>
      <c r="I2444" s="503">
        <f t="shared" si="39"/>
        <v>5771.9599999999518</v>
      </c>
    </row>
    <row r="2445" spans="2:9">
      <c r="B2445" s="729">
        <v>45991</v>
      </c>
      <c r="C2445" s="497" t="s">
        <v>1881</v>
      </c>
      <c r="D2445" s="498" t="s">
        <v>2259</v>
      </c>
      <c r="E2445" s="499"/>
      <c r="F2445" s="500">
        <v>1388</v>
      </c>
      <c r="G2445" s="501" t="s">
        <v>243</v>
      </c>
      <c r="H2445" s="502"/>
      <c r="I2445" s="503">
        <f t="shared" si="39"/>
        <v>3835.9599999999518</v>
      </c>
    </row>
    <row r="2446" spans="2:9">
      <c r="B2446" s="729">
        <v>45991</v>
      </c>
      <c r="C2446" s="497" t="s">
        <v>286</v>
      </c>
      <c r="D2446" s="498" t="s">
        <v>520</v>
      </c>
      <c r="E2446" s="499"/>
      <c r="F2446" s="500">
        <v>1936</v>
      </c>
      <c r="G2446" s="501" t="s">
        <v>139</v>
      </c>
      <c r="H2446" s="502"/>
      <c r="I2446" s="503">
        <f t="shared" si="39"/>
        <v>2575.9599999999518</v>
      </c>
    </row>
    <row r="2447" spans="2:9">
      <c r="B2447" s="729">
        <v>45991</v>
      </c>
      <c r="C2447" s="497" t="s">
        <v>1881</v>
      </c>
      <c r="D2447" s="498" t="s">
        <v>2260</v>
      </c>
      <c r="E2447" s="499"/>
      <c r="F2447" s="500">
        <v>1260</v>
      </c>
      <c r="G2447" s="501" t="s">
        <v>243</v>
      </c>
      <c r="H2447" s="502"/>
      <c r="I2447" s="503">
        <f t="shared" si="39"/>
        <v>1653.9599999999518</v>
      </c>
    </row>
    <row r="2448" spans="2:9">
      <c r="B2448" s="729">
        <v>45991</v>
      </c>
      <c r="C2448" s="497" t="s">
        <v>1881</v>
      </c>
      <c r="D2448" s="498" t="s">
        <v>559</v>
      </c>
      <c r="E2448" s="499"/>
      <c r="F2448" s="500">
        <v>922</v>
      </c>
      <c r="G2448" s="501" t="s">
        <v>243</v>
      </c>
      <c r="H2448" s="502"/>
      <c r="I2448" s="503">
        <f t="shared" si="39"/>
        <v>345.95999999995183</v>
      </c>
    </row>
    <row r="2449" spans="2:9">
      <c r="B2449" s="729">
        <v>45991</v>
      </c>
      <c r="C2449" s="497" t="s">
        <v>1881</v>
      </c>
      <c r="D2449" s="498" t="s">
        <v>25</v>
      </c>
      <c r="E2449" s="499"/>
      <c r="F2449" s="500">
        <v>1308</v>
      </c>
      <c r="G2449" s="501" t="s">
        <v>246</v>
      </c>
      <c r="H2449" s="502"/>
      <c r="I2449" s="503">
        <f t="shared" si="39"/>
        <v>-853.04000000004817</v>
      </c>
    </row>
    <row r="2450" spans="2:9">
      <c r="B2450" s="729">
        <v>45991</v>
      </c>
      <c r="C2450" s="497" t="s">
        <v>1881</v>
      </c>
      <c r="D2450" s="498" t="s">
        <v>557</v>
      </c>
      <c r="E2450" s="499"/>
      <c r="F2450" s="500">
        <v>1199</v>
      </c>
      <c r="G2450" s="501" t="s">
        <v>1859</v>
      </c>
      <c r="H2450" s="502"/>
      <c r="I2450" s="503">
        <f t="shared" si="39"/>
        <v>-1096.0400000000482</v>
      </c>
    </row>
    <row r="2451" spans="2:9">
      <c r="B2451" s="729">
        <v>45991</v>
      </c>
      <c r="C2451" s="497" t="s">
        <v>1881</v>
      </c>
      <c r="D2451" s="498" t="s">
        <v>2266</v>
      </c>
      <c r="E2451" s="499"/>
      <c r="F2451" s="500">
        <v>243</v>
      </c>
      <c r="G2451" s="501" t="s">
        <v>249</v>
      </c>
      <c r="H2451" s="502"/>
      <c r="I2451" s="503">
        <f>I2450+E2453-F2453</f>
        <v>-1096.8400000000481</v>
      </c>
    </row>
    <row r="2452" spans="2:9">
      <c r="B2452" s="496">
        <v>46002</v>
      </c>
      <c r="C2452" s="497" t="s">
        <v>117</v>
      </c>
      <c r="D2452" s="498" t="s">
        <v>903</v>
      </c>
      <c r="E2452" s="499"/>
      <c r="F2452" s="500">
        <v>6.4</v>
      </c>
      <c r="G2452" s="501" t="s">
        <v>272</v>
      </c>
      <c r="H2452" s="502"/>
      <c r="I2452" s="503"/>
    </row>
    <row r="2453" spans="2:9">
      <c r="B2453" s="496">
        <v>46002</v>
      </c>
      <c r="C2453" s="497" t="s">
        <v>117</v>
      </c>
      <c r="D2453" s="498" t="s">
        <v>903</v>
      </c>
      <c r="E2453" s="499"/>
      <c r="F2453" s="500">
        <v>0.8</v>
      </c>
      <c r="G2453" s="501" t="s">
        <v>272</v>
      </c>
      <c r="H2453" s="502"/>
      <c r="I2453" s="503">
        <f>I2451+E2454-F2454</f>
        <v>-1240.8400000000481</v>
      </c>
    </row>
    <row r="2454" spans="2:9">
      <c r="B2454" s="729">
        <v>45991</v>
      </c>
      <c r="C2454" s="497" t="s">
        <v>1881</v>
      </c>
      <c r="D2454" s="498" t="s">
        <v>722</v>
      </c>
      <c r="E2454" s="499"/>
      <c r="F2454" s="500">
        <v>144</v>
      </c>
      <c r="G2454" s="501" t="s">
        <v>245</v>
      </c>
      <c r="H2454" s="502"/>
      <c r="I2454" s="503">
        <f t="shared" si="39"/>
        <v>-1835.5600000000481</v>
      </c>
    </row>
    <row r="2455" spans="2:9">
      <c r="B2455" s="729">
        <v>45961</v>
      </c>
      <c r="C2455" s="497">
        <v>1921</v>
      </c>
      <c r="D2455" s="498" t="s">
        <v>2192</v>
      </c>
      <c r="E2455" s="499"/>
      <c r="F2455" s="500">
        <v>594.72</v>
      </c>
      <c r="G2455" s="501" t="s">
        <v>199</v>
      </c>
      <c r="H2455" s="502"/>
      <c r="I2455" s="503">
        <f t="shared" si="39"/>
        <v>-1895.0300000000482</v>
      </c>
    </row>
    <row r="2456" spans="2:9">
      <c r="B2456" s="729">
        <v>45961</v>
      </c>
      <c r="C2456" s="497">
        <v>1921</v>
      </c>
      <c r="D2456" s="498" t="s">
        <v>2192</v>
      </c>
      <c r="E2456" s="499"/>
      <c r="F2456" s="500">
        <v>59.47</v>
      </c>
      <c r="G2456" s="501" t="s">
        <v>274</v>
      </c>
      <c r="H2456" s="502"/>
      <c r="I2456" s="503">
        <f t="shared" si="39"/>
        <v>-2591.8300000000481</v>
      </c>
    </row>
    <row r="2457" spans="2:9">
      <c r="B2457" s="729">
        <v>45991</v>
      </c>
      <c r="C2457" s="497">
        <v>2068</v>
      </c>
      <c r="D2457" s="498" t="s">
        <v>2192</v>
      </c>
      <c r="E2457" s="499"/>
      <c r="F2457" s="500">
        <v>696.8</v>
      </c>
      <c r="G2457" s="501" t="s">
        <v>199</v>
      </c>
      <c r="H2457" s="502"/>
      <c r="I2457" s="503">
        <f t="shared" si="39"/>
        <v>-2663.1100000000483</v>
      </c>
    </row>
    <row r="2458" spans="2:9">
      <c r="B2458" s="729">
        <v>45991</v>
      </c>
      <c r="C2458" s="497">
        <v>2068</v>
      </c>
      <c r="D2458" s="498" t="s">
        <v>2192</v>
      </c>
      <c r="E2458" s="499"/>
      <c r="F2458" s="500">
        <v>71.28</v>
      </c>
      <c r="G2458" s="501" t="s">
        <v>274</v>
      </c>
      <c r="H2458" s="502"/>
      <c r="I2458" s="503">
        <f t="shared" si="39"/>
        <v>-2664.1100000000483</v>
      </c>
    </row>
    <row r="2459" spans="2:9">
      <c r="B2459" s="496">
        <v>46002</v>
      </c>
      <c r="C2459" s="497" t="s">
        <v>117</v>
      </c>
      <c r="D2459" s="498" t="s">
        <v>903</v>
      </c>
      <c r="E2459" s="499"/>
      <c r="F2459" s="500">
        <v>1</v>
      </c>
      <c r="G2459" s="501" t="s">
        <v>272</v>
      </c>
      <c r="H2459" s="502"/>
      <c r="I2459" s="503">
        <f t="shared" si="39"/>
        <v>-3690.1100000000483</v>
      </c>
    </row>
    <row r="2460" spans="2:9">
      <c r="B2460" s="496">
        <v>46002</v>
      </c>
      <c r="C2460" s="497" t="s">
        <v>1881</v>
      </c>
      <c r="D2460" s="498" t="s">
        <v>2116</v>
      </c>
      <c r="E2460" s="499"/>
      <c r="F2460" s="500">
        <v>1026</v>
      </c>
      <c r="G2460" s="501" t="s">
        <v>245</v>
      </c>
      <c r="H2460" s="502"/>
      <c r="I2460" s="503">
        <f t="shared" si="39"/>
        <v>-3691.1100000000483</v>
      </c>
    </row>
    <row r="2461" spans="2:9">
      <c r="B2461" s="496">
        <v>46002</v>
      </c>
      <c r="C2461" s="497" t="s">
        <v>117</v>
      </c>
      <c r="D2461" s="498" t="s">
        <v>903</v>
      </c>
      <c r="E2461" s="499"/>
      <c r="F2461" s="500">
        <v>1</v>
      </c>
      <c r="G2461" s="501" t="s">
        <v>272</v>
      </c>
      <c r="H2461" s="502"/>
      <c r="I2461" s="503">
        <f t="shared" ref="I2461:I2466" si="40">I2460+E2462-F2462</f>
        <v>14103.889999999952</v>
      </c>
    </row>
    <row r="2462" spans="2:9">
      <c r="B2462" s="496">
        <v>46002</v>
      </c>
      <c r="C2462" s="497">
        <v>1801569849</v>
      </c>
      <c r="D2462" s="498" t="s">
        <v>1003</v>
      </c>
      <c r="E2462" s="499">
        <v>17795</v>
      </c>
      <c r="F2462" s="500"/>
      <c r="G2462" s="501" t="s">
        <v>194</v>
      </c>
      <c r="H2462" s="502"/>
      <c r="I2462" s="503">
        <f t="shared" si="40"/>
        <v>13716.829999999953</v>
      </c>
    </row>
    <row r="2463" spans="2:9">
      <c r="B2463" s="496">
        <v>46002</v>
      </c>
      <c r="C2463" s="497" t="s">
        <v>2370</v>
      </c>
      <c r="D2463" s="498" t="s">
        <v>2371</v>
      </c>
      <c r="E2463" s="499"/>
      <c r="F2463" s="500">
        <v>387.06</v>
      </c>
      <c r="G2463" s="501" t="s">
        <v>207</v>
      </c>
      <c r="H2463" s="502"/>
      <c r="I2463" s="503">
        <f t="shared" si="40"/>
        <v>13715.829999999953</v>
      </c>
    </row>
    <row r="2464" spans="2:9">
      <c r="B2464" s="496">
        <v>46002</v>
      </c>
      <c r="C2464" s="497" t="s">
        <v>117</v>
      </c>
      <c r="D2464" s="498" t="s">
        <v>903</v>
      </c>
      <c r="E2464" s="499"/>
      <c r="F2464" s="500">
        <v>1</v>
      </c>
      <c r="G2464" s="501" t="s">
        <v>272</v>
      </c>
      <c r="H2464" s="502"/>
      <c r="I2464" s="503">
        <f t="shared" si="40"/>
        <v>12382.549999999952</v>
      </c>
    </row>
    <row r="2465" spans="2:9">
      <c r="B2465" s="496">
        <v>46003</v>
      </c>
      <c r="C2465" s="497" t="s">
        <v>2372</v>
      </c>
      <c r="D2465" s="498" t="s">
        <v>682</v>
      </c>
      <c r="E2465" s="499"/>
      <c r="F2465" s="500">
        <v>1333.28</v>
      </c>
      <c r="G2465" s="501" t="s">
        <v>233</v>
      </c>
      <c r="H2465" s="502"/>
      <c r="I2465" s="503">
        <f t="shared" si="40"/>
        <v>12381.549999999952</v>
      </c>
    </row>
    <row r="2466" spans="2:9">
      <c r="B2466" s="496">
        <v>46003</v>
      </c>
      <c r="C2466" s="497" t="s">
        <v>117</v>
      </c>
      <c r="D2466" s="498" t="s">
        <v>903</v>
      </c>
      <c r="E2466" s="499"/>
      <c r="F2466" s="500">
        <v>1</v>
      </c>
      <c r="G2466" s="501" t="s">
        <v>272</v>
      </c>
      <c r="H2466" s="502"/>
      <c r="I2466" s="503">
        <f t="shared" si="40"/>
        <v>11174.089999999953</v>
      </c>
    </row>
    <row r="2467" spans="2:9">
      <c r="B2467" s="496">
        <v>46003</v>
      </c>
      <c r="C2467" s="497">
        <v>7219</v>
      </c>
      <c r="D2467" s="498" t="s">
        <v>2373</v>
      </c>
      <c r="E2467" s="499"/>
      <c r="F2467" s="500">
        <v>1207.46</v>
      </c>
      <c r="G2467" s="501" t="s">
        <v>194</v>
      </c>
      <c r="H2467" s="502"/>
      <c r="I2467" s="503">
        <f t="shared" ref="I2467:I2516" si="41">I2466+E2468-F2468</f>
        <v>10908.449999999953</v>
      </c>
    </row>
    <row r="2468" spans="2:9">
      <c r="B2468" s="496">
        <v>46003</v>
      </c>
      <c r="C2468" s="497">
        <v>7219</v>
      </c>
      <c r="D2468" s="498" t="s">
        <v>2373</v>
      </c>
      <c r="E2468" s="499"/>
      <c r="F2468" s="500">
        <v>265.64</v>
      </c>
      <c r="G2468" s="501" t="s">
        <v>274</v>
      </c>
      <c r="H2468" s="502"/>
      <c r="I2468" s="503">
        <f t="shared" si="41"/>
        <v>10907.449999999953</v>
      </c>
    </row>
    <row r="2469" spans="2:9">
      <c r="B2469" s="496">
        <v>46003</v>
      </c>
      <c r="C2469" s="497" t="s">
        <v>117</v>
      </c>
      <c r="D2469" s="498" t="s">
        <v>903</v>
      </c>
      <c r="E2469" s="499"/>
      <c r="F2469" s="500">
        <v>1</v>
      </c>
      <c r="G2469" s="501" t="s">
        <v>272</v>
      </c>
      <c r="H2469" s="502"/>
      <c r="I2469" s="503">
        <f t="shared" si="41"/>
        <v>10220.729999999954</v>
      </c>
    </row>
    <row r="2470" spans="2:9">
      <c r="B2470" s="729">
        <v>45991</v>
      </c>
      <c r="C2470" s="497" t="s">
        <v>2374</v>
      </c>
      <c r="D2470" s="498" t="s">
        <v>383</v>
      </c>
      <c r="E2470" s="499"/>
      <c r="F2470" s="500">
        <v>686.72</v>
      </c>
      <c r="G2470" s="501" t="s">
        <v>199</v>
      </c>
      <c r="H2470" s="502"/>
      <c r="I2470" s="503">
        <f t="shared" si="41"/>
        <v>10159.699999999953</v>
      </c>
    </row>
    <row r="2471" spans="2:9">
      <c r="B2471" s="729">
        <v>45991</v>
      </c>
      <c r="C2471" s="497" t="s">
        <v>2374</v>
      </c>
      <c r="D2471" s="498" t="s">
        <v>383</v>
      </c>
      <c r="E2471" s="499"/>
      <c r="F2471" s="500">
        <v>61.03</v>
      </c>
      <c r="G2471" s="501" t="s">
        <v>274</v>
      </c>
      <c r="H2471" s="502"/>
      <c r="I2471" s="503">
        <f t="shared" si="41"/>
        <v>10158.949999999953</v>
      </c>
    </row>
    <row r="2472" spans="2:9">
      <c r="B2472" s="496">
        <v>46003</v>
      </c>
      <c r="C2472" s="497" t="s">
        <v>117</v>
      </c>
      <c r="D2472" s="498" t="s">
        <v>903</v>
      </c>
      <c r="E2472" s="499"/>
      <c r="F2472" s="500">
        <v>0.75</v>
      </c>
      <c r="G2472" s="501" t="s">
        <v>272</v>
      </c>
      <c r="H2472" s="502"/>
      <c r="I2472" s="503">
        <f t="shared" si="41"/>
        <v>10365.249999999953</v>
      </c>
    </row>
    <row r="2473" spans="2:9">
      <c r="B2473" s="496">
        <v>46003</v>
      </c>
      <c r="C2473" s="497" t="s">
        <v>283</v>
      </c>
      <c r="D2473" s="498" t="s">
        <v>307</v>
      </c>
      <c r="E2473" s="499">
        <v>206.3</v>
      </c>
      <c r="F2473" s="500"/>
      <c r="G2473" s="501" t="s">
        <v>190</v>
      </c>
      <c r="H2473" s="502"/>
      <c r="I2473" s="503">
        <f t="shared" si="41"/>
        <v>9015.2499999999527</v>
      </c>
    </row>
    <row r="2474" spans="2:9">
      <c r="B2474" s="496">
        <v>46006</v>
      </c>
      <c r="C2474" s="507" t="s">
        <v>117</v>
      </c>
      <c r="D2474" s="505" t="s">
        <v>320</v>
      </c>
      <c r="E2474" s="499"/>
      <c r="F2474" s="500">
        <v>1350</v>
      </c>
      <c r="G2474" s="630" t="s">
        <v>278</v>
      </c>
      <c r="H2474" s="502"/>
      <c r="I2474" s="503">
        <f t="shared" si="41"/>
        <v>9014.4999999999527</v>
      </c>
    </row>
    <row r="2475" spans="2:9">
      <c r="B2475" s="496">
        <v>46006</v>
      </c>
      <c r="C2475" s="497" t="s">
        <v>117</v>
      </c>
      <c r="D2475" s="498" t="s">
        <v>903</v>
      </c>
      <c r="E2475" s="499"/>
      <c r="F2475" s="500">
        <v>0.75</v>
      </c>
      <c r="G2475" s="501" t="s">
        <v>272</v>
      </c>
      <c r="H2475" s="502"/>
      <c r="I2475" s="503">
        <f t="shared" si="41"/>
        <v>9638.9999999999527</v>
      </c>
    </row>
    <row r="2476" spans="2:9">
      <c r="B2476" s="496">
        <v>46006</v>
      </c>
      <c r="C2476" s="497" t="s">
        <v>283</v>
      </c>
      <c r="D2476" s="498" t="s">
        <v>307</v>
      </c>
      <c r="E2476" s="499">
        <v>624.5</v>
      </c>
      <c r="F2476" s="500"/>
      <c r="G2476" s="501" t="s">
        <v>190</v>
      </c>
      <c r="H2476" s="502"/>
      <c r="I2476" s="503">
        <f t="shared" si="41"/>
        <v>10398.499999999953</v>
      </c>
    </row>
    <row r="2477" spans="2:9">
      <c r="B2477" s="496">
        <v>46006</v>
      </c>
      <c r="C2477" s="497" t="s">
        <v>283</v>
      </c>
      <c r="D2477" s="498" t="s">
        <v>912</v>
      </c>
      <c r="E2477" s="499">
        <v>759.5</v>
      </c>
      <c r="F2477" s="500"/>
      <c r="G2477" s="501"/>
      <c r="H2477" s="812" t="s">
        <v>2168</v>
      </c>
      <c r="I2477" s="503">
        <f t="shared" si="41"/>
        <v>10390.899999999952</v>
      </c>
    </row>
    <row r="2478" spans="2:9">
      <c r="B2478" s="496">
        <v>46006</v>
      </c>
      <c r="C2478" s="497" t="s">
        <v>117</v>
      </c>
      <c r="D2478" s="498" t="s">
        <v>918</v>
      </c>
      <c r="E2478" s="499"/>
      <c r="F2478" s="500">
        <v>7.6</v>
      </c>
      <c r="G2478" s="501"/>
      <c r="H2478" s="812" t="s">
        <v>2168</v>
      </c>
      <c r="I2478" s="503">
        <f t="shared" si="41"/>
        <v>11703.299999999952</v>
      </c>
    </row>
    <row r="2479" spans="2:9">
      <c r="B2479" s="496">
        <v>46006</v>
      </c>
      <c r="C2479" s="497" t="s">
        <v>283</v>
      </c>
      <c r="D2479" s="498" t="s">
        <v>307</v>
      </c>
      <c r="E2479" s="499">
        <v>1312.4</v>
      </c>
      <c r="F2479" s="500"/>
      <c r="G2479" s="501" t="s">
        <v>190</v>
      </c>
      <c r="H2479" s="502"/>
      <c r="I2479" s="503">
        <f t="shared" si="41"/>
        <v>12968.399999999952</v>
      </c>
    </row>
    <row r="2480" spans="2:9">
      <c r="B2480" s="496">
        <v>46006</v>
      </c>
      <c r="C2480" s="497" t="s">
        <v>283</v>
      </c>
      <c r="D2480" s="498" t="s">
        <v>307</v>
      </c>
      <c r="E2480" s="499">
        <v>1265.0999999999999</v>
      </c>
      <c r="F2480" s="500"/>
      <c r="G2480" s="501" t="s">
        <v>190</v>
      </c>
      <c r="H2480" s="502"/>
      <c r="I2480" s="503">
        <f t="shared" si="41"/>
        <v>17832.909999999953</v>
      </c>
    </row>
    <row r="2481" spans="2:9">
      <c r="B2481" s="496">
        <v>46007</v>
      </c>
      <c r="C2481" s="497" t="s">
        <v>283</v>
      </c>
      <c r="D2481" s="498" t="s">
        <v>909</v>
      </c>
      <c r="E2481" s="499">
        <v>4864.51</v>
      </c>
      <c r="F2481" s="500"/>
      <c r="G2481" s="501"/>
      <c r="H2481" s="812" t="s">
        <v>2168</v>
      </c>
      <c r="I2481" s="503">
        <f t="shared" si="41"/>
        <v>17784.939999999951</v>
      </c>
    </row>
    <row r="2482" spans="2:9">
      <c r="B2482" s="496">
        <v>46007</v>
      </c>
      <c r="C2482" s="497" t="s">
        <v>117</v>
      </c>
      <c r="D2482" s="498" t="s">
        <v>911</v>
      </c>
      <c r="E2482" s="499"/>
      <c r="F2482" s="500">
        <v>47.97</v>
      </c>
      <c r="G2482" s="501"/>
      <c r="H2482" s="812" t="s">
        <v>2168</v>
      </c>
      <c r="I2482" s="503">
        <f t="shared" si="41"/>
        <v>27784.939999999951</v>
      </c>
    </row>
    <row r="2483" spans="2:9">
      <c r="B2483" s="496">
        <v>46007</v>
      </c>
      <c r="C2483" s="497" t="s">
        <v>541</v>
      </c>
      <c r="D2483" s="498" t="s">
        <v>542</v>
      </c>
      <c r="E2483" s="499">
        <v>10000</v>
      </c>
      <c r="F2483" s="500"/>
      <c r="G2483" s="501" t="s">
        <v>277</v>
      </c>
      <c r="H2483" s="502"/>
      <c r="I2483" s="503">
        <f t="shared" si="41"/>
        <v>27861.939999999951</v>
      </c>
    </row>
    <row r="2484" spans="2:9">
      <c r="B2484" s="496">
        <v>46007</v>
      </c>
      <c r="C2484" s="497" t="s">
        <v>283</v>
      </c>
      <c r="D2484" s="498" t="s">
        <v>307</v>
      </c>
      <c r="E2484" s="499">
        <v>77</v>
      </c>
      <c r="F2484" s="500"/>
      <c r="G2484" s="501" t="s">
        <v>190</v>
      </c>
      <c r="H2484" s="502"/>
      <c r="I2484" s="503">
        <f t="shared" si="41"/>
        <v>28061.939999999951</v>
      </c>
    </row>
    <row r="2485" spans="2:9">
      <c r="B2485" s="496">
        <v>46007</v>
      </c>
      <c r="C2485" s="497" t="s">
        <v>283</v>
      </c>
      <c r="D2485" s="498" t="s">
        <v>307</v>
      </c>
      <c r="E2485" s="499">
        <v>200</v>
      </c>
      <c r="F2485" s="500"/>
      <c r="G2485" s="501" t="s">
        <v>190</v>
      </c>
      <c r="H2485" s="502" t="s">
        <v>2411</v>
      </c>
      <c r="I2485" s="503">
        <f t="shared" si="41"/>
        <v>27926.939999999951</v>
      </c>
    </row>
    <row r="2486" spans="2:9">
      <c r="B2486" s="729">
        <v>45991</v>
      </c>
      <c r="C2486" s="497">
        <v>107</v>
      </c>
      <c r="D2486" s="498" t="s">
        <v>2184</v>
      </c>
      <c r="E2486" s="499"/>
      <c r="F2486" s="500">
        <v>135</v>
      </c>
      <c r="G2486" s="501" t="s">
        <v>199</v>
      </c>
      <c r="H2486" s="502"/>
      <c r="I2486" s="503">
        <f t="shared" si="41"/>
        <v>27913.439999999951</v>
      </c>
    </row>
    <row r="2487" spans="2:9">
      <c r="B2487" s="729">
        <v>45991</v>
      </c>
      <c r="C2487" s="497">
        <v>107</v>
      </c>
      <c r="D2487" s="498" t="s">
        <v>2184</v>
      </c>
      <c r="E2487" s="499"/>
      <c r="F2487" s="500">
        <v>13.5</v>
      </c>
      <c r="G2487" s="501" t="s">
        <v>274</v>
      </c>
      <c r="H2487" s="502"/>
      <c r="I2487" s="503">
        <f t="shared" si="41"/>
        <v>27912.439999999951</v>
      </c>
    </row>
    <row r="2488" spans="2:9">
      <c r="B2488" s="496">
        <v>46007</v>
      </c>
      <c r="C2488" s="497" t="s">
        <v>117</v>
      </c>
      <c r="D2488" s="498" t="s">
        <v>903</v>
      </c>
      <c r="E2488" s="499"/>
      <c r="F2488" s="500">
        <v>1</v>
      </c>
      <c r="G2488" s="501" t="s">
        <v>272</v>
      </c>
      <c r="H2488" s="502"/>
      <c r="I2488" s="503">
        <f t="shared" si="41"/>
        <v>26671.829999999951</v>
      </c>
    </row>
    <row r="2489" spans="2:9">
      <c r="B2489" s="496">
        <v>46007</v>
      </c>
      <c r="C2489" s="497" t="s">
        <v>250</v>
      </c>
      <c r="D2489" s="498"/>
      <c r="E2489" s="499"/>
      <c r="F2489" s="500">
        <v>1240.6099999999999</v>
      </c>
      <c r="G2489" s="501"/>
      <c r="H2489" s="506"/>
      <c r="I2489" s="503">
        <f t="shared" si="41"/>
        <v>21112.259999999951</v>
      </c>
    </row>
    <row r="2490" spans="2:9">
      <c r="B2490" s="496">
        <v>46007</v>
      </c>
      <c r="C2490" s="497" t="s">
        <v>250</v>
      </c>
      <c r="D2490" s="498" t="s">
        <v>250</v>
      </c>
      <c r="E2490" s="499"/>
      <c r="F2490" s="500">
        <v>5559.57</v>
      </c>
      <c r="G2490" s="501" t="s">
        <v>250</v>
      </c>
      <c r="H2490" s="506"/>
      <c r="I2490" s="503">
        <f t="shared" si="41"/>
        <v>20871.929999999949</v>
      </c>
    </row>
    <row r="2491" spans="2:9">
      <c r="B2491" s="496">
        <v>46007</v>
      </c>
      <c r="C2491" s="497" t="s">
        <v>250</v>
      </c>
      <c r="D2491" s="498"/>
      <c r="E2491" s="499"/>
      <c r="F2491" s="500">
        <v>240.33</v>
      </c>
      <c r="G2491" s="501"/>
      <c r="H2491" s="506"/>
      <c r="I2491" s="503">
        <f t="shared" si="41"/>
        <v>19671.759999999951</v>
      </c>
    </row>
    <row r="2492" spans="2:9">
      <c r="B2492" s="496">
        <v>46007</v>
      </c>
      <c r="C2492" s="497" t="s">
        <v>2375</v>
      </c>
      <c r="D2492" s="498" t="s">
        <v>1010</v>
      </c>
      <c r="E2492" s="499"/>
      <c r="F2492" s="500">
        <v>1200.17</v>
      </c>
      <c r="G2492" s="501" t="s">
        <v>194</v>
      </c>
      <c r="H2492" s="502"/>
      <c r="I2492" s="503">
        <f t="shared" si="41"/>
        <v>19407.71999999995</v>
      </c>
    </row>
    <row r="2493" spans="2:9">
      <c r="B2493" s="496">
        <v>46007</v>
      </c>
      <c r="C2493" s="497" t="s">
        <v>2375</v>
      </c>
      <c r="D2493" s="498" t="s">
        <v>1010</v>
      </c>
      <c r="E2493" s="499"/>
      <c r="F2493" s="500">
        <v>264.04000000000002</v>
      </c>
      <c r="G2493" s="501" t="s">
        <v>274</v>
      </c>
      <c r="H2493" s="502"/>
      <c r="I2493" s="503">
        <f t="shared" si="41"/>
        <v>19406.71999999995</v>
      </c>
    </row>
    <row r="2494" spans="2:9">
      <c r="B2494" s="496">
        <v>46007</v>
      </c>
      <c r="C2494" s="497" t="s">
        <v>117</v>
      </c>
      <c r="D2494" s="498" t="s">
        <v>903</v>
      </c>
      <c r="E2494" s="499"/>
      <c r="F2494" s="500">
        <v>1</v>
      </c>
      <c r="G2494" s="501" t="s">
        <v>272</v>
      </c>
      <c r="H2494" s="502"/>
      <c r="I2494" s="503">
        <f t="shared" si="41"/>
        <v>19486.71999999995</v>
      </c>
    </row>
    <row r="2495" spans="2:9">
      <c r="B2495" s="496">
        <v>46007</v>
      </c>
      <c r="C2495" s="497" t="s">
        <v>283</v>
      </c>
      <c r="D2495" s="498" t="s">
        <v>909</v>
      </c>
      <c r="E2495" s="499">
        <v>80</v>
      </c>
      <c r="F2495" s="500"/>
      <c r="G2495" s="501"/>
      <c r="H2495" s="812" t="s">
        <v>2168</v>
      </c>
      <c r="I2495" s="503">
        <f t="shared" si="41"/>
        <v>19486.049999999952</v>
      </c>
    </row>
    <row r="2496" spans="2:9">
      <c r="B2496" s="496">
        <v>46007</v>
      </c>
      <c r="C2496" s="497" t="s">
        <v>117</v>
      </c>
      <c r="D2496" s="498" t="s">
        <v>911</v>
      </c>
      <c r="E2496" s="499"/>
      <c r="F2496" s="500">
        <v>0.67</v>
      </c>
      <c r="G2496" s="501"/>
      <c r="H2496" s="812" t="s">
        <v>2168</v>
      </c>
      <c r="I2496" s="503">
        <f t="shared" si="41"/>
        <v>18612.449999999953</v>
      </c>
    </row>
    <row r="2497" spans="2:9">
      <c r="B2497" s="496">
        <v>46007</v>
      </c>
      <c r="C2497" s="497" t="s">
        <v>2376</v>
      </c>
      <c r="D2497" s="498" t="s">
        <v>527</v>
      </c>
      <c r="E2497" s="499"/>
      <c r="F2497" s="500">
        <v>873.6</v>
      </c>
      <c r="G2497" s="501"/>
      <c r="H2497" s="502"/>
      <c r="I2497" s="503">
        <f t="shared" si="41"/>
        <v>18611.449999999953</v>
      </c>
    </row>
    <row r="2498" spans="2:9">
      <c r="B2498" s="496">
        <v>46007</v>
      </c>
      <c r="C2498" s="497" t="s">
        <v>117</v>
      </c>
      <c r="D2498" s="498" t="s">
        <v>903</v>
      </c>
      <c r="E2498" s="499"/>
      <c r="F2498" s="500">
        <v>1</v>
      </c>
      <c r="G2498" s="501" t="s">
        <v>272</v>
      </c>
      <c r="H2498" s="502"/>
      <c r="I2498" s="503">
        <f t="shared" si="41"/>
        <v>19072.649999999954</v>
      </c>
    </row>
    <row r="2499" spans="2:9">
      <c r="B2499" s="496">
        <v>46008</v>
      </c>
      <c r="C2499" s="497" t="s">
        <v>283</v>
      </c>
      <c r="D2499" s="498" t="s">
        <v>307</v>
      </c>
      <c r="E2499" s="499">
        <v>461.2</v>
      </c>
      <c r="F2499" s="500"/>
      <c r="G2499" s="501" t="s">
        <v>190</v>
      </c>
      <c r="H2499" s="502"/>
      <c r="I2499" s="503">
        <f t="shared" si="41"/>
        <v>18214.889999999956</v>
      </c>
    </row>
    <row r="2500" spans="2:9">
      <c r="B2500" s="729">
        <v>45991</v>
      </c>
      <c r="C2500" s="497" t="s">
        <v>2386</v>
      </c>
      <c r="D2500" s="498" t="s">
        <v>423</v>
      </c>
      <c r="E2500" s="499"/>
      <c r="F2500" s="500">
        <v>857.76</v>
      </c>
      <c r="G2500" s="501" t="s">
        <v>204</v>
      </c>
      <c r="H2500" s="502"/>
      <c r="I2500" s="503">
        <f t="shared" si="41"/>
        <v>18026.179999999957</v>
      </c>
    </row>
    <row r="2501" spans="2:9">
      <c r="B2501" s="729">
        <v>45991</v>
      </c>
      <c r="C2501" s="497" t="s">
        <v>2386</v>
      </c>
      <c r="D2501" s="498" t="s">
        <v>2385</v>
      </c>
      <c r="E2501" s="499"/>
      <c r="F2501" s="500">
        <v>188.71</v>
      </c>
      <c r="G2501" s="501" t="s">
        <v>274</v>
      </c>
      <c r="H2501" s="502"/>
      <c r="I2501" s="503">
        <f t="shared" si="41"/>
        <v>17603.779999999955</v>
      </c>
    </row>
    <row r="2502" spans="2:9">
      <c r="B2502" s="729">
        <v>45991</v>
      </c>
      <c r="C2502" s="497" t="s">
        <v>2387</v>
      </c>
      <c r="D2502" s="498" t="s">
        <v>423</v>
      </c>
      <c r="E2502" s="499"/>
      <c r="F2502" s="500">
        <v>422.4</v>
      </c>
      <c r="G2502" s="501" t="s">
        <v>204</v>
      </c>
      <c r="H2502" s="502"/>
      <c r="I2502" s="503">
        <f t="shared" si="41"/>
        <v>17510.849999999955</v>
      </c>
    </row>
    <row r="2503" spans="2:9">
      <c r="B2503" s="729">
        <v>45991</v>
      </c>
      <c r="C2503" s="497" t="s">
        <v>2387</v>
      </c>
      <c r="D2503" s="498" t="s">
        <v>2385</v>
      </c>
      <c r="E2503" s="499"/>
      <c r="F2503" s="500">
        <v>92.93</v>
      </c>
      <c r="G2503" s="501" t="s">
        <v>274</v>
      </c>
      <c r="H2503" s="502"/>
      <c r="I2503" s="503">
        <f t="shared" si="41"/>
        <v>17509.849999999955</v>
      </c>
    </row>
    <row r="2504" spans="2:9">
      <c r="B2504" s="496">
        <v>45644</v>
      </c>
      <c r="C2504" s="497" t="s">
        <v>117</v>
      </c>
      <c r="D2504" s="498" t="s">
        <v>903</v>
      </c>
      <c r="E2504" s="499"/>
      <c r="F2504" s="500">
        <v>1</v>
      </c>
      <c r="G2504" s="501" t="s">
        <v>272</v>
      </c>
      <c r="H2504" s="502"/>
      <c r="I2504" s="503">
        <f t="shared" si="41"/>
        <v>17236.219999999954</v>
      </c>
    </row>
    <row r="2505" spans="2:9">
      <c r="B2505" s="496">
        <v>45644</v>
      </c>
      <c r="C2505" s="497" t="s">
        <v>117</v>
      </c>
      <c r="D2505" s="498" t="s">
        <v>1261</v>
      </c>
      <c r="E2505" s="499"/>
      <c r="F2505" s="500">
        <v>273.63</v>
      </c>
      <c r="G2505" s="501" t="s">
        <v>267</v>
      </c>
      <c r="H2505" s="502"/>
      <c r="I2505" s="503">
        <f t="shared" si="41"/>
        <v>17234.969999999954</v>
      </c>
    </row>
    <row r="2506" spans="2:9">
      <c r="B2506" s="496">
        <v>45644</v>
      </c>
      <c r="C2506" s="497" t="s">
        <v>117</v>
      </c>
      <c r="D2506" s="498" t="s">
        <v>921</v>
      </c>
      <c r="E2506" s="499"/>
      <c r="F2506" s="500">
        <v>1.25</v>
      </c>
      <c r="G2506" s="501" t="s">
        <v>271</v>
      </c>
      <c r="H2506" s="502"/>
      <c r="I2506" s="503">
        <f t="shared" si="41"/>
        <v>17640.369999999955</v>
      </c>
    </row>
    <row r="2507" spans="2:9">
      <c r="B2507" s="496">
        <v>45644</v>
      </c>
      <c r="C2507" s="497" t="s">
        <v>283</v>
      </c>
      <c r="D2507" s="498" t="s">
        <v>307</v>
      </c>
      <c r="E2507" s="499">
        <v>405.4</v>
      </c>
      <c r="F2507" s="500"/>
      <c r="G2507" s="501" t="s">
        <v>190</v>
      </c>
      <c r="H2507" s="502"/>
      <c r="I2507" s="503">
        <f t="shared" si="41"/>
        <v>18166.869999999955</v>
      </c>
    </row>
    <row r="2508" spans="2:9">
      <c r="B2508" s="496">
        <v>45645</v>
      </c>
      <c r="C2508" s="497" t="s">
        <v>283</v>
      </c>
      <c r="D2508" s="498" t="s">
        <v>307</v>
      </c>
      <c r="E2508" s="499">
        <v>526.5</v>
      </c>
      <c r="F2508" s="500"/>
      <c r="G2508" s="501" t="s">
        <v>190</v>
      </c>
      <c r="H2508" s="502"/>
      <c r="I2508" s="503">
        <f t="shared" si="41"/>
        <v>18662.369999999955</v>
      </c>
    </row>
    <row r="2509" spans="2:9">
      <c r="B2509" s="496">
        <v>45648</v>
      </c>
      <c r="C2509" s="497" t="s">
        <v>283</v>
      </c>
      <c r="D2509" s="498" t="s">
        <v>912</v>
      </c>
      <c r="E2509" s="499">
        <v>495.5</v>
      </c>
      <c r="F2509" s="500"/>
      <c r="G2509" s="501"/>
      <c r="H2509" s="812" t="s">
        <v>2168</v>
      </c>
      <c r="I2509" s="503">
        <f t="shared" si="41"/>
        <v>18657.389999999956</v>
      </c>
    </row>
    <row r="2510" spans="2:9">
      <c r="B2510" s="496">
        <v>45648</v>
      </c>
      <c r="C2510" s="497" t="s">
        <v>117</v>
      </c>
      <c r="D2510" s="498" t="s">
        <v>918</v>
      </c>
      <c r="E2510" s="499"/>
      <c r="F2510" s="500">
        <v>4.9800000000000004</v>
      </c>
      <c r="G2510" s="501"/>
      <c r="H2510" s="812" t="s">
        <v>2168</v>
      </c>
      <c r="I2510" s="503">
        <f t="shared" si="41"/>
        <v>19869.989999999954</v>
      </c>
    </row>
    <row r="2511" spans="2:9">
      <c r="B2511" s="496">
        <v>45648</v>
      </c>
      <c r="C2511" s="497" t="s">
        <v>283</v>
      </c>
      <c r="D2511" s="498" t="s">
        <v>307</v>
      </c>
      <c r="E2511" s="499">
        <v>1212.5999999999999</v>
      </c>
      <c r="F2511" s="500"/>
      <c r="G2511" s="501" t="s">
        <v>190</v>
      </c>
      <c r="H2511" s="502"/>
      <c r="I2511" s="503">
        <f t="shared" si="41"/>
        <v>20316.889999999956</v>
      </c>
    </row>
    <row r="2512" spans="2:9">
      <c r="B2512" s="496">
        <v>45648</v>
      </c>
      <c r="C2512" s="497" t="s">
        <v>283</v>
      </c>
      <c r="D2512" s="498" t="s">
        <v>307</v>
      </c>
      <c r="E2512" s="499">
        <f>946.9-500</f>
        <v>446.9</v>
      </c>
      <c r="F2512" s="500"/>
      <c r="G2512" s="501" t="s">
        <v>190</v>
      </c>
      <c r="H2512" s="502"/>
      <c r="I2512" s="503">
        <f t="shared" si="41"/>
        <v>20816.889999999956</v>
      </c>
    </row>
    <row r="2513" spans="2:9">
      <c r="B2513" s="496">
        <v>45648</v>
      </c>
      <c r="C2513" s="497" t="s">
        <v>283</v>
      </c>
      <c r="D2513" s="498" t="s">
        <v>307</v>
      </c>
      <c r="E2513" s="499">
        <v>500</v>
      </c>
      <c r="F2513" s="500"/>
      <c r="G2513" s="501" t="s">
        <v>190</v>
      </c>
      <c r="H2513" s="502" t="s">
        <v>2410</v>
      </c>
      <c r="I2513" s="503">
        <f t="shared" si="41"/>
        <v>21521.989999999954</v>
      </c>
    </row>
    <row r="2514" spans="2:9">
      <c r="B2514" s="496">
        <v>45648</v>
      </c>
      <c r="C2514" s="497" t="s">
        <v>283</v>
      </c>
      <c r="D2514" s="498" t="s">
        <v>307</v>
      </c>
      <c r="E2514" s="499">
        <v>705.1</v>
      </c>
      <c r="F2514" s="500"/>
      <c r="G2514" s="501" t="s">
        <v>190</v>
      </c>
      <c r="H2514" s="502"/>
      <c r="I2514" s="503">
        <f t="shared" si="41"/>
        <v>31521.989999999954</v>
      </c>
    </row>
    <row r="2515" spans="2:9">
      <c r="B2515" s="496">
        <v>45648</v>
      </c>
      <c r="C2515" s="497" t="s">
        <v>541</v>
      </c>
      <c r="D2515" s="498" t="s">
        <v>542</v>
      </c>
      <c r="E2515" s="499">
        <v>10000</v>
      </c>
      <c r="F2515" s="500"/>
      <c r="G2515" s="501" t="s">
        <v>277</v>
      </c>
      <c r="H2515" s="502"/>
      <c r="I2515" s="503">
        <f t="shared" si="41"/>
        <v>31351.989999999954</v>
      </c>
    </row>
    <row r="2516" spans="2:9">
      <c r="B2516" s="496">
        <v>45648</v>
      </c>
      <c r="C2516" s="497" t="s">
        <v>2416</v>
      </c>
      <c r="D2516" s="498" t="s">
        <v>1921</v>
      </c>
      <c r="E2516" s="499"/>
      <c r="F2516" s="500">
        <v>170</v>
      </c>
      <c r="G2516" s="501"/>
      <c r="H2516" s="812" t="s">
        <v>2168</v>
      </c>
      <c r="I2516" s="503">
        <f t="shared" si="41"/>
        <v>31314.589999999953</v>
      </c>
    </row>
    <row r="2517" spans="2:9">
      <c r="B2517" s="496">
        <v>45648</v>
      </c>
      <c r="C2517" s="497" t="s">
        <v>2416</v>
      </c>
      <c r="D2517" s="498" t="s">
        <v>1896</v>
      </c>
      <c r="E2517" s="499"/>
      <c r="F2517" s="500">
        <v>37.4</v>
      </c>
      <c r="G2517" s="501"/>
      <c r="H2517" s="812" t="s">
        <v>2168</v>
      </c>
      <c r="I2517" s="503">
        <f t="shared" ref="I2517:I2553" si="42">I2516+E2518-F2518</f>
        <v>31313.589999999953</v>
      </c>
    </row>
    <row r="2518" spans="2:9">
      <c r="B2518" s="496">
        <v>45648</v>
      </c>
      <c r="C2518" s="497" t="s">
        <v>117</v>
      </c>
      <c r="D2518" s="498" t="s">
        <v>903</v>
      </c>
      <c r="E2518" s="499"/>
      <c r="F2518" s="500">
        <v>1</v>
      </c>
      <c r="G2518" s="501" t="s">
        <v>272</v>
      </c>
      <c r="H2518" s="502"/>
      <c r="I2518" s="503">
        <f t="shared" si="42"/>
        <v>30413.589999999953</v>
      </c>
    </row>
    <row r="2519" spans="2:9">
      <c r="B2519" s="496">
        <v>45648</v>
      </c>
      <c r="C2519" s="497" t="s">
        <v>2417</v>
      </c>
      <c r="D2519" s="498" t="s">
        <v>2418</v>
      </c>
      <c r="E2519" s="499"/>
      <c r="F2519" s="500">
        <v>900</v>
      </c>
      <c r="G2519" s="501" t="s">
        <v>221</v>
      </c>
      <c r="H2519" s="502"/>
      <c r="I2519" s="503">
        <f t="shared" si="42"/>
        <v>30215.589999999953</v>
      </c>
    </row>
    <row r="2520" spans="2:9">
      <c r="B2520" s="496">
        <v>45648</v>
      </c>
      <c r="C2520" s="497" t="s">
        <v>2417</v>
      </c>
      <c r="D2520" s="498" t="s">
        <v>2418</v>
      </c>
      <c r="E2520" s="499"/>
      <c r="F2520" s="500">
        <v>198</v>
      </c>
      <c r="G2520" s="501" t="s">
        <v>274</v>
      </c>
      <c r="H2520" s="502"/>
      <c r="I2520" s="503">
        <f t="shared" si="42"/>
        <v>30214.589999999953</v>
      </c>
    </row>
    <row r="2521" spans="2:9">
      <c r="B2521" s="496">
        <v>45648</v>
      </c>
      <c r="C2521" s="497" t="s">
        <v>117</v>
      </c>
      <c r="D2521" s="498" t="s">
        <v>903</v>
      </c>
      <c r="E2521" s="499"/>
      <c r="F2521" s="500">
        <v>1</v>
      </c>
      <c r="G2521" s="501" t="s">
        <v>272</v>
      </c>
      <c r="H2521" s="502"/>
      <c r="I2521" s="503">
        <f t="shared" si="42"/>
        <v>35985.709999999955</v>
      </c>
    </row>
    <row r="2522" spans="2:9">
      <c r="B2522" s="496">
        <v>45648</v>
      </c>
      <c r="C2522" s="497" t="s">
        <v>283</v>
      </c>
      <c r="D2522" s="498" t="s">
        <v>909</v>
      </c>
      <c r="E2522" s="499">
        <v>5771.12</v>
      </c>
      <c r="F2522" s="500"/>
      <c r="G2522" s="501"/>
      <c r="H2522" s="812" t="s">
        <v>2168</v>
      </c>
      <c r="I2522" s="503">
        <f t="shared" si="42"/>
        <v>35931.469999999958</v>
      </c>
    </row>
    <row r="2523" spans="2:9">
      <c r="B2523" s="496">
        <v>45648</v>
      </c>
      <c r="C2523" s="497" t="s">
        <v>117</v>
      </c>
      <c r="D2523" s="498" t="s">
        <v>911</v>
      </c>
      <c r="E2523" s="499"/>
      <c r="F2523" s="500">
        <v>54.24</v>
      </c>
      <c r="G2523" s="501"/>
      <c r="H2523" s="812" t="s">
        <v>2168</v>
      </c>
      <c r="I2523" s="503">
        <f t="shared" si="42"/>
        <v>33231.469999999958</v>
      </c>
    </row>
    <row r="2524" spans="2:9">
      <c r="B2524" s="496">
        <v>45648</v>
      </c>
      <c r="C2524" s="497" t="s">
        <v>2420</v>
      </c>
      <c r="D2524" s="498" t="s">
        <v>2419</v>
      </c>
      <c r="E2524" s="499"/>
      <c r="F2524" s="500">
        <v>2700</v>
      </c>
      <c r="G2524" s="501"/>
      <c r="H2524" s="812" t="s">
        <v>2168</v>
      </c>
      <c r="I2524" s="503">
        <f t="shared" si="42"/>
        <v>32637.469999999958</v>
      </c>
    </row>
    <row r="2525" spans="2:9">
      <c r="B2525" s="496">
        <v>45648</v>
      </c>
      <c r="C2525" s="497" t="s">
        <v>2420</v>
      </c>
      <c r="D2525" s="498" t="s">
        <v>2419</v>
      </c>
      <c r="E2525" s="499"/>
      <c r="F2525" s="500">
        <v>594</v>
      </c>
      <c r="G2525" s="501"/>
      <c r="H2525" s="812" t="s">
        <v>2168</v>
      </c>
      <c r="I2525" s="503">
        <f t="shared" si="42"/>
        <v>32636.469999999958</v>
      </c>
    </row>
    <row r="2526" spans="2:9">
      <c r="B2526" s="496">
        <v>45648</v>
      </c>
      <c r="C2526" s="497" t="s">
        <v>117</v>
      </c>
      <c r="D2526" s="498" t="s">
        <v>903</v>
      </c>
      <c r="E2526" s="499"/>
      <c r="F2526" s="500">
        <v>1</v>
      </c>
      <c r="G2526" s="501" t="s">
        <v>272</v>
      </c>
      <c r="H2526" s="502"/>
      <c r="I2526" s="503">
        <f t="shared" si="42"/>
        <v>31731.839999999956</v>
      </c>
    </row>
    <row r="2527" spans="2:9">
      <c r="B2527" s="496">
        <v>45649</v>
      </c>
      <c r="C2527" s="497">
        <v>6513167</v>
      </c>
      <c r="D2527" s="498" t="s">
        <v>2421</v>
      </c>
      <c r="E2527" s="499"/>
      <c r="F2527" s="500">
        <v>904.63</v>
      </c>
      <c r="G2527" s="501" t="s">
        <v>159</v>
      </c>
      <c r="H2527" s="502"/>
      <c r="I2527" s="503">
        <f t="shared" si="42"/>
        <v>31730.839999999956</v>
      </c>
    </row>
    <row r="2528" spans="2:9">
      <c r="B2528" s="496">
        <v>45649</v>
      </c>
      <c r="C2528" s="497" t="s">
        <v>117</v>
      </c>
      <c r="D2528" s="498" t="s">
        <v>903</v>
      </c>
      <c r="E2528" s="499"/>
      <c r="F2528" s="500">
        <v>1</v>
      </c>
      <c r="G2528" s="501" t="s">
        <v>272</v>
      </c>
      <c r="H2528" s="502"/>
      <c r="I2528" s="503">
        <f t="shared" si="42"/>
        <v>32405.539999999957</v>
      </c>
    </row>
    <row r="2529" spans="2:9">
      <c r="B2529" s="496">
        <v>45649</v>
      </c>
      <c r="C2529" s="497" t="s">
        <v>283</v>
      </c>
      <c r="D2529" s="498" t="s">
        <v>307</v>
      </c>
      <c r="E2529" s="499">
        <v>674.7</v>
      </c>
      <c r="F2529" s="500"/>
      <c r="G2529" s="501" t="s">
        <v>190</v>
      </c>
      <c r="H2529" s="502"/>
      <c r="I2529" s="503">
        <f t="shared" si="42"/>
        <v>32667.039999999957</v>
      </c>
    </row>
    <row r="2530" spans="2:9">
      <c r="B2530" s="496">
        <v>45649</v>
      </c>
      <c r="C2530" s="497" t="s">
        <v>283</v>
      </c>
      <c r="D2530" s="498" t="s">
        <v>909</v>
      </c>
      <c r="E2530" s="499">
        <v>261.5</v>
      </c>
      <c r="F2530" s="500"/>
      <c r="G2530" s="501"/>
      <c r="H2530" s="812" t="s">
        <v>2168</v>
      </c>
      <c r="I2530" s="503">
        <f t="shared" si="42"/>
        <v>32664.969999999958</v>
      </c>
    </row>
    <row r="2531" spans="2:9">
      <c r="B2531" s="496">
        <v>45649</v>
      </c>
      <c r="C2531" s="497" t="s">
        <v>117</v>
      </c>
      <c r="D2531" s="498" t="s">
        <v>911</v>
      </c>
      <c r="E2531" s="499"/>
      <c r="F2531" s="500">
        <v>2.0699999999999998</v>
      </c>
      <c r="G2531" s="501"/>
      <c r="H2531" s="812" t="s">
        <v>2168</v>
      </c>
      <c r="I2531" s="503">
        <f t="shared" si="42"/>
        <v>32710.969999999958</v>
      </c>
    </row>
    <row r="2532" spans="2:9">
      <c r="B2532" s="496">
        <v>45649</v>
      </c>
      <c r="C2532" s="497" t="s">
        <v>283</v>
      </c>
      <c r="D2532" s="498" t="s">
        <v>912</v>
      </c>
      <c r="E2532" s="499">
        <v>46</v>
      </c>
      <c r="F2532" s="500"/>
      <c r="G2532" s="501"/>
      <c r="H2532" s="812" t="s">
        <v>2168</v>
      </c>
      <c r="I2532" s="503">
        <f t="shared" si="42"/>
        <v>32710.509999999958</v>
      </c>
    </row>
    <row r="2533" spans="2:9">
      <c r="B2533" s="496">
        <v>45649</v>
      </c>
      <c r="C2533" s="497" t="s">
        <v>117</v>
      </c>
      <c r="D2533" s="498" t="s">
        <v>918</v>
      </c>
      <c r="E2533" s="499"/>
      <c r="F2533" s="500">
        <v>0.46</v>
      </c>
      <c r="G2533" s="501"/>
      <c r="H2533" s="812" t="s">
        <v>2168</v>
      </c>
      <c r="I2533" s="503">
        <f t="shared" si="42"/>
        <v>40710.509999999958</v>
      </c>
    </row>
    <row r="2534" spans="2:9">
      <c r="B2534" s="496">
        <v>45649</v>
      </c>
      <c r="C2534" s="497" t="s">
        <v>541</v>
      </c>
      <c r="D2534" s="498" t="s">
        <v>542</v>
      </c>
      <c r="E2534" s="499">
        <v>8000</v>
      </c>
      <c r="F2534" s="500"/>
      <c r="G2534" s="501" t="s">
        <v>277</v>
      </c>
      <c r="H2534" s="502"/>
      <c r="I2534" s="503">
        <f t="shared" si="42"/>
        <v>42710.509999999958</v>
      </c>
    </row>
    <row r="2535" spans="2:9">
      <c r="B2535" s="496">
        <v>45649</v>
      </c>
      <c r="C2535" s="497" t="s">
        <v>541</v>
      </c>
      <c r="D2535" s="498" t="s">
        <v>542</v>
      </c>
      <c r="E2535" s="499">
        <v>2000</v>
      </c>
      <c r="F2535" s="500"/>
      <c r="G2535" s="501" t="s">
        <v>277</v>
      </c>
      <c r="H2535" s="502"/>
      <c r="I2535" s="503">
        <f t="shared" si="42"/>
        <v>46708.709999999955</v>
      </c>
    </row>
    <row r="2536" spans="2:9">
      <c r="B2536" s="496">
        <v>45650</v>
      </c>
      <c r="C2536" s="510"/>
      <c r="D2536" s="505" t="s">
        <v>92</v>
      </c>
      <c r="E2536" s="499">
        <v>3998.2</v>
      </c>
      <c r="F2536" s="500"/>
      <c r="G2536" s="630" t="s">
        <v>194</v>
      </c>
      <c r="H2536" s="502"/>
      <c r="I2536" s="503">
        <f t="shared" si="42"/>
        <v>46708.709999999955</v>
      </c>
    </row>
    <row r="2537" spans="2:9">
      <c r="B2537" s="496">
        <v>45650</v>
      </c>
      <c r="C2537" s="510"/>
      <c r="D2537" s="505" t="s">
        <v>92</v>
      </c>
      <c r="E2537" s="499"/>
      <c r="F2537" s="500"/>
      <c r="G2537" s="630" t="s">
        <v>276</v>
      </c>
      <c r="H2537" s="502"/>
      <c r="I2537" s="503">
        <f t="shared" si="42"/>
        <v>48385.909999999953</v>
      </c>
    </row>
    <row r="2538" spans="2:9">
      <c r="B2538" s="496">
        <v>45650</v>
      </c>
      <c r="C2538" s="497" t="s">
        <v>283</v>
      </c>
      <c r="D2538" s="498" t="s">
        <v>307</v>
      </c>
      <c r="E2538" s="499">
        <v>1677.2</v>
      </c>
      <c r="F2538" s="500"/>
      <c r="G2538" s="501" t="s">
        <v>190</v>
      </c>
      <c r="H2538" s="502"/>
      <c r="I2538" s="503">
        <f t="shared" si="42"/>
        <v>48144.409999999953</v>
      </c>
    </row>
    <row r="2539" spans="2:9">
      <c r="B2539" s="496">
        <v>45650</v>
      </c>
      <c r="C2539" s="497" t="s">
        <v>2423</v>
      </c>
      <c r="D2539" s="498" t="s">
        <v>2422</v>
      </c>
      <c r="E2539" s="499"/>
      <c r="F2539" s="500">
        <v>241.5</v>
      </c>
      <c r="G2539" s="501" t="s">
        <v>220</v>
      </c>
      <c r="H2539" s="502"/>
      <c r="I2539" s="503">
        <f t="shared" si="42"/>
        <v>48078.629999999954</v>
      </c>
    </row>
    <row r="2540" spans="2:9">
      <c r="B2540" s="496">
        <v>45650</v>
      </c>
      <c r="C2540" s="497" t="s">
        <v>2423</v>
      </c>
      <c r="D2540" s="498" t="s">
        <v>2422</v>
      </c>
      <c r="E2540" s="499"/>
      <c r="F2540" s="500">
        <v>65.78</v>
      </c>
      <c r="G2540" s="501" t="s">
        <v>274</v>
      </c>
      <c r="H2540" s="502"/>
      <c r="I2540" s="503">
        <f t="shared" si="42"/>
        <v>48077.629999999954</v>
      </c>
    </row>
    <row r="2541" spans="2:9">
      <c r="B2541" s="496">
        <v>45650</v>
      </c>
      <c r="C2541" s="497" t="s">
        <v>117</v>
      </c>
      <c r="D2541" s="498" t="s">
        <v>903</v>
      </c>
      <c r="E2541" s="499"/>
      <c r="F2541" s="500">
        <v>1</v>
      </c>
      <c r="G2541" s="501" t="s">
        <v>272</v>
      </c>
      <c r="H2541" s="502"/>
      <c r="I2541" s="503">
        <f t="shared" si="42"/>
        <v>48137.629999999954</v>
      </c>
    </row>
    <row r="2542" spans="2:9">
      <c r="B2542" s="496">
        <v>45650</v>
      </c>
      <c r="C2542" s="497" t="s">
        <v>283</v>
      </c>
      <c r="D2542" s="498" t="s">
        <v>912</v>
      </c>
      <c r="E2542" s="499">
        <v>60</v>
      </c>
      <c r="F2542" s="500"/>
      <c r="G2542" s="501"/>
      <c r="H2542" s="812" t="s">
        <v>2168</v>
      </c>
      <c r="I2542" s="503">
        <f t="shared" si="42"/>
        <v>48137.029999999955</v>
      </c>
    </row>
    <row r="2543" spans="2:9">
      <c r="B2543" s="496">
        <v>45650</v>
      </c>
      <c r="C2543" s="497" t="s">
        <v>117</v>
      </c>
      <c r="D2543" s="498" t="s">
        <v>918</v>
      </c>
      <c r="E2543" s="499"/>
      <c r="F2543" s="500">
        <v>0.6</v>
      </c>
      <c r="G2543" s="501"/>
      <c r="H2543" s="812" t="s">
        <v>2168</v>
      </c>
      <c r="I2543" s="503">
        <f t="shared" si="42"/>
        <v>49024.529999999955</v>
      </c>
    </row>
    <row r="2544" spans="2:9">
      <c r="B2544" s="496">
        <v>45650</v>
      </c>
      <c r="C2544" s="497" t="s">
        <v>283</v>
      </c>
      <c r="D2544" s="498" t="s">
        <v>909</v>
      </c>
      <c r="E2544" s="499">
        <v>887.5</v>
      </c>
      <c r="F2544" s="500"/>
      <c r="G2544" s="501"/>
      <c r="H2544" s="812" t="s">
        <v>2168</v>
      </c>
      <c r="I2544" s="503">
        <f t="shared" si="42"/>
        <v>49015.559999999954</v>
      </c>
    </row>
    <row r="2545" spans="2:9">
      <c r="B2545" s="496">
        <v>45650</v>
      </c>
      <c r="C2545" s="497" t="s">
        <v>117</v>
      </c>
      <c r="D2545" s="498" t="s">
        <v>911</v>
      </c>
      <c r="E2545" s="499"/>
      <c r="F2545" s="500">
        <v>8.9700000000000006</v>
      </c>
      <c r="G2545" s="501"/>
      <c r="H2545" s="812" t="s">
        <v>2168</v>
      </c>
      <c r="I2545" s="503">
        <f t="shared" si="42"/>
        <v>49015.559999999954</v>
      </c>
    </row>
    <row r="2546" spans="2:9">
      <c r="B2546" s="496"/>
      <c r="C2546" s="497"/>
      <c r="D2546" s="498"/>
      <c r="E2546" s="499"/>
      <c r="F2546" s="500"/>
      <c r="G2546" s="501"/>
      <c r="H2546" s="502"/>
      <c r="I2546" s="503">
        <f t="shared" si="42"/>
        <v>49015.559999999954</v>
      </c>
    </row>
    <row r="2547" spans="2:9">
      <c r="B2547" s="496"/>
      <c r="C2547" s="497"/>
      <c r="D2547" s="498"/>
      <c r="E2547" s="499"/>
      <c r="F2547" s="500"/>
      <c r="G2547" s="501"/>
      <c r="H2547" s="502"/>
      <c r="I2547" s="503">
        <f t="shared" si="42"/>
        <v>49015.559999999954</v>
      </c>
    </row>
    <row r="2548" spans="2:9">
      <c r="B2548" s="496"/>
      <c r="C2548" s="497"/>
      <c r="D2548" s="498"/>
      <c r="E2548" s="499"/>
      <c r="F2548" s="500"/>
      <c r="G2548" s="501"/>
      <c r="H2548" s="502"/>
      <c r="I2548" s="503">
        <f t="shared" si="42"/>
        <v>49015.559999999954</v>
      </c>
    </row>
    <row r="2549" spans="2:9">
      <c r="B2549" s="496"/>
      <c r="C2549" s="497"/>
      <c r="D2549" s="498"/>
      <c r="E2549" s="499"/>
      <c r="F2549" s="500"/>
      <c r="G2549" s="501"/>
      <c r="H2549" s="502"/>
      <c r="I2549" s="503">
        <f t="shared" si="42"/>
        <v>49015.559999999954</v>
      </c>
    </row>
    <row r="2550" spans="2:9">
      <c r="B2550" s="496"/>
      <c r="C2550" s="497"/>
      <c r="D2550" s="498"/>
      <c r="E2550" s="499"/>
      <c r="F2550" s="500"/>
      <c r="G2550" s="501"/>
      <c r="H2550" s="502"/>
      <c r="I2550" s="503">
        <f t="shared" si="42"/>
        <v>49015.559999999954</v>
      </c>
    </row>
    <row r="2551" spans="2:9">
      <c r="B2551" s="496"/>
      <c r="C2551" s="497"/>
      <c r="D2551" s="498"/>
      <c r="E2551" s="499"/>
      <c r="F2551" s="500"/>
      <c r="G2551" s="501"/>
      <c r="H2551" s="502"/>
      <c r="I2551" s="503">
        <f t="shared" si="42"/>
        <v>49015.559999999954</v>
      </c>
    </row>
    <row r="2552" spans="2:9">
      <c r="B2552" s="496"/>
      <c r="C2552" s="497"/>
      <c r="D2552" s="498"/>
      <c r="E2552" s="499"/>
      <c r="F2552" s="500"/>
      <c r="G2552" s="501"/>
      <c r="H2552" s="502"/>
      <c r="I2552" s="503">
        <f t="shared" si="42"/>
        <v>49015.559999999954</v>
      </c>
    </row>
    <row r="2553" spans="2:9">
      <c r="B2553" s="496"/>
      <c r="C2553" s="497"/>
      <c r="D2553" s="498"/>
      <c r="E2553" s="499"/>
      <c r="F2553" s="500"/>
      <c r="G2553" s="501"/>
      <c r="H2553" s="502"/>
      <c r="I2553" s="503">
        <f t="shared" si="42"/>
        <v>49015.559999999954</v>
      </c>
    </row>
    <row r="2554" spans="2:9">
      <c r="B2554" s="496"/>
      <c r="C2554" s="497"/>
      <c r="D2554" s="498"/>
      <c r="E2554" s="499"/>
      <c r="F2554" s="500"/>
      <c r="G2554" s="501"/>
      <c r="H2554" s="502"/>
      <c r="I2554" s="503">
        <f t="shared" ref="I2554:I2584" si="43">I2553+E2555-F2556</f>
        <v>49015.559999999954</v>
      </c>
    </row>
    <row r="2555" spans="2:9">
      <c r="B2555" s="496"/>
      <c r="C2555" s="497"/>
      <c r="D2555" s="498"/>
      <c r="E2555" s="499"/>
      <c r="F2555" s="500"/>
      <c r="G2555" s="501"/>
      <c r="H2555" s="502"/>
      <c r="I2555" s="503">
        <f t="shared" si="43"/>
        <v>49015.559999999954</v>
      </c>
    </row>
    <row r="2556" spans="2:9">
      <c r="B2556" s="496"/>
      <c r="C2556" s="497"/>
      <c r="D2556" s="498"/>
      <c r="E2556" s="499"/>
      <c r="F2556" s="500"/>
      <c r="G2556" s="501"/>
      <c r="H2556" s="502"/>
      <c r="I2556" s="503">
        <f t="shared" si="43"/>
        <v>49015.559999999954</v>
      </c>
    </row>
    <row r="2557" spans="2:9">
      <c r="B2557" s="496"/>
      <c r="C2557" s="497"/>
      <c r="D2557" s="498"/>
      <c r="E2557" s="499"/>
      <c r="F2557" s="500"/>
      <c r="G2557" s="501"/>
      <c r="H2557" s="502"/>
      <c r="I2557" s="503">
        <f t="shared" si="43"/>
        <v>49015.559999999954</v>
      </c>
    </row>
    <row r="2558" spans="2:9">
      <c r="B2558" s="496"/>
      <c r="C2558" s="497"/>
      <c r="D2558" s="498"/>
      <c r="E2558" s="499"/>
      <c r="F2558" s="500"/>
      <c r="G2558" s="501"/>
      <c r="H2558" s="502"/>
      <c r="I2558" s="503">
        <f t="shared" si="43"/>
        <v>49015.559999999954</v>
      </c>
    </row>
    <row r="2559" spans="2:9">
      <c r="B2559" s="496"/>
      <c r="C2559" s="497"/>
      <c r="D2559" s="498"/>
      <c r="E2559" s="499"/>
      <c r="F2559" s="500"/>
      <c r="G2559" s="501"/>
      <c r="H2559" s="502"/>
      <c r="I2559" s="503">
        <f t="shared" si="43"/>
        <v>49015.559999999954</v>
      </c>
    </row>
    <row r="2560" spans="2:9">
      <c r="B2560" s="496"/>
      <c r="C2560" s="497"/>
      <c r="D2560" s="498"/>
      <c r="E2560" s="499"/>
      <c r="F2560" s="500"/>
      <c r="G2560" s="501"/>
      <c r="H2560" s="502"/>
      <c r="I2560" s="503">
        <f t="shared" si="43"/>
        <v>49015.559999999954</v>
      </c>
    </row>
    <row r="2561" spans="2:9">
      <c r="B2561" s="496"/>
      <c r="C2561" s="497"/>
      <c r="D2561" s="498"/>
      <c r="E2561" s="499"/>
      <c r="F2561" s="500"/>
      <c r="G2561" s="501"/>
      <c r="H2561" s="502"/>
      <c r="I2561" s="503">
        <f t="shared" si="43"/>
        <v>49015.559999999954</v>
      </c>
    </row>
    <row r="2562" spans="2:9">
      <c r="B2562" s="496"/>
      <c r="C2562" s="497"/>
      <c r="D2562" s="498"/>
      <c r="E2562" s="499"/>
      <c r="F2562" s="500"/>
      <c r="G2562" s="501"/>
      <c r="H2562" s="502"/>
      <c r="I2562" s="503">
        <f t="shared" si="43"/>
        <v>49015.559999999954</v>
      </c>
    </row>
    <row r="2563" spans="2:9">
      <c r="B2563" s="496"/>
      <c r="C2563" s="497"/>
      <c r="D2563" s="498"/>
      <c r="E2563" s="499"/>
      <c r="F2563" s="500"/>
      <c r="G2563" s="501"/>
      <c r="H2563" s="502"/>
      <c r="I2563" s="503">
        <f t="shared" si="43"/>
        <v>49015.559999999954</v>
      </c>
    </row>
    <row r="2564" spans="2:9">
      <c r="B2564" s="496"/>
      <c r="C2564" s="497"/>
      <c r="D2564" s="498"/>
      <c r="E2564" s="499"/>
      <c r="F2564" s="500"/>
      <c r="G2564" s="501"/>
      <c r="H2564" s="502"/>
      <c r="I2564" s="503">
        <f t="shared" si="43"/>
        <v>49015.559999999954</v>
      </c>
    </row>
    <row r="2565" spans="2:9">
      <c r="B2565" s="496"/>
      <c r="C2565" s="497"/>
      <c r="D2565" s="498"/>
      <c r="E2565" s="499"/>
      <c r="F2565" s="500"/>
      <c r="G2565" s="501"/>
      <c r="H2565" s="502"/>
      <c r="I2565" s="503">
        <f t="shared" si="43"/>
        <v>49015.559999999954</v>
      </c>
    </row>
    <row r="2566" spans="2:9">
      <c r="B2566" s="496"/>
      <c r="C2566" s="497"/>
      <c r="D2566" s="498"/>
      <c r="E2566" s="499"/>
      <c r="F2566" s="500"/>
      <c r="G2566" s="501"/>
      <c r="H2566" s="502"/>
      <c r="I2566" s="503">
        <f t="shared" si="43"/>
        <v>49015.559999999954</v>
      </c>
    </row>
    <row r="2567" spans="2:9">
      <c r="B2567" s="496"/>
      <c r="C2567" s="497"/>
      <c r="D2567" s="498"/>
      <c r="E2567" s="499"/>
      <c r="F2567" s="500"/>
      <c r="G2567" s="501"/>
      <c r="H2567" s="502"/>
      <c r="I2567" s="503">
        <f t="shared" si="43"/>
        <v>49015.559999999954</v>
      </c>
    </row>
    <row r="2568" spans="2:9">
      <c r="B2568" s="496"/>
      <c r="C2568" s="497"/>
      <c r="D2568" s="498"/>
      <c r="E2568" s="499"/>
      <c r="F2568" s="500"/>
      <c r="G2568" s="501"/>
      <c r="H2568" s="502"/>
      <c r="I2568" s="503">
        <f t="shared" si="43"/>
        <v>49015.559999999954</v>
      </c>
    </row>
    <row r="2569" spans="2:9">
      <c r="B2569" s="496"/>
      <c r="C2569" s="497"/>
      <c r="D2569" s="498"/>
      <c r="E2569" s="499"/>
      <c r="F2569" s="500"/>
      <c r="G2569" s="501"/>
      <c r="H2569" s="502"/>
      <c r="I2569" s="503">
        <f t="shared" si="43"/>
        <v>49015.559999999954</v>
      </c>
    </row>
    <row r="2570" spans="2:9">
      <c r="B2570" s="496"/>
      <c r="C2570" s="497"/>
      <c r="D2570" s="498"/>
      <c r="E2570" s="499"/>
      <c r="F2570" s="500"/>
      <c r="G2570" s="501"/>
      <c r="H2570" s="502"/>
      <c r="I2570" s="503">
        <f t="shared" si="43"/>
        <v>49015.559999999954</v>
      </c>
    </row>
    <row r="2571" spans="2:9">
      <c r="B2571" s="496"/>
      <c r="C2571" s="497"/>
      <c r="D2571" s="498"/>
      <c r="E2571" s="499"/>
      <c r="F2571" s="500"/>
      <c r="G2571" s="501"/>
      <c r="H2571" s="502"/>
      <c r="I2571" s="503">
        <f t="shared" si="43"/>
        <v>49015.559999999954</v>
      </c>
    </row>
    <row r="2572" spans="2:9">
      <c r="B2572" s="496"/>
      <c r="C2572" s="497"/>
      <c r="D2572" s="498"/>
      <c r="E2572" s="499"/>
      <c r="F2572" s="500"/>
      <c r="G2572" s="501"/>
      <c r="H2572" s="502"/>
      <c r="I2572" s="503">
        <f t="shared" si="43"/>
        <v>49015.559999999954</v>
      </c>
    </row>
    <row r="2573" spans="2:9">
      <c r="B2573" s="496"/>
      <c r="C2573" s="497"/>
      <c r="D2573" s="498"/>
      <c r="E2573" s="499"/>
      <c r="F2573" s="500"/>
      <c r="G2573" s="501"/>
      <c r="H2573" s="502"/>
      <c r="I2573" s="503">
        <f t="shared" si="43"/>
        <v>49015.559999999954</v>
      </c>
    </row>
    <row r="2574" spans="2:9">
      <c r="B2574" s="496"/>
      <c r="C2574" s="497"/>
      <c r="D2574" s="498"/>
      <c r="E2574" s="499"/>
      <c r="F2574" s="500"/>
      <c r="G2574" s="501"/>
      <c r="H2574" s="502"/>
      <c r="I2574" s="503">
        <f t="shared" si="43"/>
        <v>49015.559999999954</v>
      </c>
    </row>
    <row r="2575" spans="2:9">
      <c r="B2575" s="496"/>
      <c r="C2575" s="497"/>
      <c r="D2575" s="498"/>
      <c r="E2575" s="499"/>
      <c r="F2575" s="500"/>
      <c r="G2575" s="501"/>
      <c r="H2575" s="502"/>
      <c r="I2575" s="503">
        <f t="shared" si="43"/>
        <v>49015.559999999954</v>
      </c>
    </row>
    <row r="2576" spans="2:9">
      <c r="B2576" s="496"/>
      <c r="C2576" s="497"/>
      <c r="D2576" s="498"/>
      <c r="E2576" s="499"/>
      <c r="F2576" s="500"/>
      <c r="G2576" s="501"/>
      <c r="H2576" s="502"/>
      <c r="I2576" s="503">
        <f t="shared" si="43"/>
        <v>49015.559999999954</v>
      </c>
    </row>
    <row r="2577" spans="2:9">
      <c r="B2577" s="496"/>
      <c r="C2577" s="497"/>
      <c r="D2577" s="498"/>
      <c r="E2577" s="499"/>
      <c r="F2577" s="500"/>
      <c r="G2577" s="501"/>
      <c r="H2577" s="502"/>
      <c r="I2577" s="503">
        <f t="shared" si="43"/>
        <v>49015.559999999954</v>
      </c>
    </row>
    <row r="2578" spans="2:9">
      <c r="B2578" s="496"/>
      <c r="C2578" s="497"/>
      <c r="D2578" s="498"/>
      <c r="E2578" s="499"/>
      <c r="F2578" s="500"/>
      <c r="G2578" s="501"/>
      <c r="H2578" s="502"/>
      <c r="I2578" s="503">
        <f t="shared" si="43"/>
        <v>49015.559999999954</v>
      </c>
    </row>
    <row r="2579" spans="2:9">
      <c r="B2579" s="496"/>
      <c r="C2579" s="497"/>
      <c r="D2579" s="498"/>
      <c r="E2579" s="499"/>
      <c r="F2579" s="500"/>
      <c r="G2579" s="501"/>
      <c r="H2579" s="502"/>
      <c r="I2579" s="503">
        <f t="shared" si="43"/>
        <v>49015.559999999954</v>
      </c>
    </row>
    <row r="2580" spans="2:9">
      <c r="B2580" s="496"/>
      <c r="C2580" s="497"/>
      <c r="D2580" s="498"/>
      <c r="E2580" s="499"/>
      <c r="F2580" s="500"/>
      <c r="G2580" s="501"/>
      <c r="H2580" s="502"/>
      <c r="I2580" s="503">
        <f t="shared" si="43"/>
        <v>49015.559999999954</v>
      </c>
    </row>
    <row r="2581" spans="2:9">
      <c r="B2581" s="496"/>
      <c r="C2581" s="497"/>
      <c r="D2581" s="498"/>
      <c r="E2581" s="499"/>
      <c r="F2581" s="500"/>
      <c r="G2581" s="501"/>
      <c r="H2581" s="502"/>
      <c r="I2581" s="503">
        <f t="shared" si="43"/>
        <v>49015.559999999954</v>
      </c>
    </row>
    <row r="2582" spans="2:9">
      <c r="B2582" s="496"/>
      <c r="C2582" s="497"/>
      <c r="D2582" s="498"/>
      <c r="E2582" s="499"/>
      <c r="F2582" s="500"/>
      <c r="G2582" s="501"/>
      <c r="H2582" s="502"/>
      <c r="I2582" s="503">
        <f t="shared" si="43"/>
        <v>49015.559999999954</v>
      </c>
    </row>
    <row r="2583" spans="2:9">
      <c r="B2583" s="496"/>
      <c r="C2583" s="497"/>
      <c r="D2583" s="498"/>
      <c r="E2583" s="499"/>
      <c r="F2583" s="500"/>
      <c r="G2583" s="501"/>
      <c r="H2583" s="502"/>
      <c r="I2583" s="503">
        <f t="shared" si="43"/>
        <v>49015.559999999954</v>
      </c>
    </row>
    <row r="2584" spans="2:9">
      <c r="B2584" s="496"/>
      <c r="C2584" s="497"/>
      <c r="D2584" s="498"/>
      <c r="E2584" s="499"/>
      <c r="F2584" s="500"/>
      <c r="G2584" s="501"/>
      <c r="H2584" s="502"/>
      <c r="I2584" s="503">
        <f t="shared" si="43"/>
        <v>49015.559999999954</v>
      </c>
    </row>
    <row r="2585" spans="2:9">
      <c r="B2585" s="496"/>
      <c r="C2585" s="497"/>
      <c r="D2585" s="498"/>
      <c r="E2585" s="499"/>
      <c r="F2585" s="500"/>
      <c r="G2585" s="501"/>
      <c r="H2585" s="502"/>
      <c r="I2585" s="503">
        <f t="shared" ref="I2585:I2648" si="44">I2584+E2586-F2587</f>
        <v>49015.559999999954</v>
      </c>
    </row>
    <row r="2586" spans="2:9">
      <c r="B2586" s="496"/>
      <c r="C2586" s="497"/>
      <c r="D2586" s="498"/>
      <c r="E2586" s="499"/>
      <c r="F2586" s="500"/>
      <c r="G2586" s="501"/>
      <c r="H2586" s="502"/>
      <c r="I2586" s="503">
        <f t="shared" si="44"/>
        <v>49015.559999999954</v>
      </c>
    </row>
    <row r="2587" spans="2:9">
      <c r="B2587" s="496"/>
      <c r="C2587" s="497"/>
      <c r="D2587" s="498"/>
      <c r="E2587" s="499"/>
      <c r="F2587" s="500"/>
      <c r="G2587" s="501"/>
      <c r="H2587" s="502"/>
      <c r="I2587" s="503">
        <f t="shared" si="44"/>
        <v>49015.559999999954</v>
      </c>
    </row>
    <row r="2588" spans="2:9">
      <c r="B2588" s="496"/>
      <c r="C2588" s="497"/>
      <c r="D2588" s="498"/>
      <c r="E2588" s="499"/>
      <c r="F2588" s="500"/>
      <c r="G2588" s="501"/>
      <c r="H2588" s="502"/>
      <c r="I2588" s="503">
        <f t="shared" si="44"/>
        <v>49015.559999999954</v>
      </c>
    </row>
    <row r="2589" spans="2:9">
      <c r="B2589" s="496"/>
      <c r="C2589" s="497"/>
      <c r="D2589" s="498"/>
      <c r="E2589" s="499"/>
      <c r="F2589" s="500"/>
      <c r="G2589" s="501"/>
      <c r="H2589" s="502"/>
      <c r="I2589" s="503">
        <f t="shared" si="44"/>
        <v>49015.559999999954</v>
      </c>
    </row>
    <row r="2590" spans="2:9">
      <c r="B2590" s="496"/>
      <c r="C2590" s="497"/>
      <c r="D2590" s="498"/>
      <c r="E2590" s="499"/>
      <c r="F2590" s="500"/>
      <c r="G2590" s="501"/>
      <c r="H2590" s="502"/>
      <c r="I2590" s="503">
        <f t="shared" si="44"/>
        <v>49015.559999999954</v>
      </c>
    </row>
    <row r="2591" spans="2:9">
      <c r="B2591" s="496"/>
      <c r="C2591" s="497"/>
      <c r="D2591" s="498"/>
      <c r="E2591" s="499"/>
      <c r="F2591" s="500"/>
      <c r="G2591" s="501"/>
      <c r="H2591" s="502"/>
      <c r="I2591" s="503">
        <f t="shared" si="44"/>
        <v>49015.559999999954</v>
      </c>
    </row>
    <row r="2592" spans="2:9">
      <c r="B2592" s="496"/>
      <c r="C2592" s="497"/>
      <c r="D2592" s="498"/>
      <c r="E2592" s="499"/>
      <c r="F2592" s="500"/>
      <c r="G2592" s="501"/>
      <c r="H2592" s="502"/>
      <c r="I2592" s="503">
        <f t="shared" si="44"/>
        <v>49015.559999999954</v>
      </c>
    </row>
    <row r="2593" spans="2:9">
      <c r="B2593" s="496"/>
      <c r="C2593" s="497"/>
      <c r="D2593" s="498"/>
      <c r="E2593" s="499"/>
      <c r="F2593" s="500"/>
      <c r="G2593" s="501"/>
      <c r="H2593" s="502"/>
      <c r="I2593" s="503">
        <f t="shared" si="44"/>
        <v>49015.559999999954</v>
      </c>
    </row>
    <row r="2594" spans="2:9">
      <c r="B2594" s="496"/>
      <c r="C2594" s="497"/>
      <c r="D2594" s="498"/>
      <c r="E2594" s="499"/>
      <c r="F2594" s="500"/>
      <c r="G2594" s="501"/>
      <c r="H2594" s="502"/>
      <c r="I2594" s="503">
        <f t="shared" si="44"/>
        <v>49015.559999999954</v>
      </c>
    </row>
    <row r="2595" spans="2:9">
      <c r="B2595" s="496"/>
      <c r="C2595" s="497"/>
      <c r="D2595" s="498"/>
      <c r="E2595" s="499"/>
      <c r="F2595" s="500"/>
      <c r="G2595" s="501"/>
      <c r="H2595" s="502"/>
      <c r="I2595" s="503">
        <f t="shared" si="44"/>
        <v>49015.559999999954</v>
      </c>
    </row>
    <row r="2596" spans="2:9">
      <c r="B2596" s="496"/>
      <c r="C2596" s="497"/>
      <c r="D2596" s="498"/>
      <c r="E2596" s="499"/>
      <c r="F2596" s="500"/>
      <c r="G2596" s="501"/>
      <c r="H2596" s="502"/>
      <c r="I2596" s="503">
        <f t="shared" si="44"/>
        <v>49015.559999999954</v>
      </c>
    </row>
    <row r="2597" spans="2:9">
      <c r="B2597" s="496"/>
      <c r="C2597" s="497"/>
      <c r="D2597" s="498"/>
      <c r="E2597" s="499"/>
      <c r="F2597" s="500"/>
      <c r="G2597" s="501"/>
      <c r="H2597" s="502"/>
      <c r="I2597" s="503">
        <f t="shared" si="44"/>
        <v>49015.559999999954</v>
      </c>
    </row>
    <row r="2598" spans="2:9">
      <c r="B2598" s="496"/>
      <c r="C2598" s="497"/>
      <c r="D2598" s="498"/>
      <c r="E2598" s="499"/>
      <c r="F2598" s="500"/>
      <c r="G2598" s="501"/>
      <c r="H2598" s="502"/>
      <c r="I2598" s="503">
        <f t="shared" si="44"/>
        <v>49015.559999999954</v>
      </c>
    </row>
    <row r="2599" spans="2:9">
      <c r="B2599" s="496"/>
      <c r="C2599" s="497"/>
      <c r="D2599" s="498"/>
      <c r="E2599" s="499"/>
      <c r="F2599" s="500"/>
      <c r="G2599" s="501"/>
      <c r="H2599" s="502"/>
      <c r="I2599" s="503">
        <f t="shared" si="44"/>
        <v>49015.559999999954</v>
      </c>
    </row>
    <row r="2600" spans="2:9">
      <c r="B2600" s="496"/>
      <c r="C2600" s="497"/>
      <c r="D2600" s="498"/>
      <c r="E2600" s="499"/>
      <c r="F2600" s="500"/>
      <c r="G2600" s="501"/>
      <c r="H2600" s="502"/>
      <c r="I2600" s="503">
        <f t="shared" si="44"/>
        <v>49015.559999999954</v>
      </c>
    </row>
    <row r="2601" spans="2:9">
      <c r="B2601" s="496"/>
      <c r="C2601" s="497"/>
      <c r="D2601" s="498"/>
      <c r="E2601" s="499"/>
      <c r="F2601" s="500"/>
      <c r="G2601" s="501"/>
      <c r="H2601" s="502"/>
      <c r="I2601" s="503">
        <f t="shared" si="44"/>
        <v>49015.559999999954</v>
      </c>
    </row>
    <row r="2602" spans="2:9">
      <c r="B2602" s="496"/>
      <c r="C2602" s="497"/>
      <c r="D2602" s="498"/>
      <c r="E2602" s="499"/>
      <c r="F2602" s="500"/>
      <c r="G2602" s="501"/>
      <c r="H2602" s="502"/>
      <c r="I2602" s="503">
        <f t="shared" si="44"/>
        <v>49015.559999999954</v>
      </c>
    </row>
    <row r="2603" spans="2:9">
      <c r="B2603" s="496"/>
      <c r="C2603" s="497"/>
      <c r="D2603" s="498"/>
      <c r="E2603" s="499"/>
      <c r="F2603" s="500"/>
      <c r="G2603" s="501"/>
      <c r="H2603" s="502"/>
      <c r="I2603" s="503">
        <f t="shared" si="44"/>
        <v>49015.559999999954</v>
      </c>
    </row>
    <row r="2604" spans="2:9">
      <c r="B2604" s="496"/>
      <c r="C2604" s="497"/>
      <c r="D2604" s="498"/>
      <c r="E2604" s="499"/>
      <c r="F2604" s="500"/>
      <c r="G2604" s="501"/>
      <c r="H2604" s="502"/>
      <c r="I2604" s="503">
        <f t="shared" si="44"/>
        <v>49015.559999999954</v>
      </c>
    </row>
    <row r="2605" spans="2:9">
      <c r="B2605" s="496"/>
      <c r="C2605" s="497"/>
      <c r="D2605" s="498"/>
      <c r="E2605" s="499"/>
      <c r="F2605" s="500"/>
      <c r="G2605" s="501"/>
      <c r="H2605" s="502"/>
      <c r="I2605" s="503">
        <f t="shared" si="44"/>
        <v>49015.559999999954</v>
      </c>
    </row>
    <row r="2606" spans="2:9">
      <c r="B2606" s="496"/>
      <c r="C2606" s="497"/>
      <c r="D2606" s="498"/>
      <c r="E2606" s="499"/>
      <c r="F2606" s="500"/>
      <c r="G2606" s="501"/>
      <c r="H2606" s="502"/>
      <c r="I2606" s="503">
        <f t="shared" si="44"/>
        <v>49015.559999999954</v>
      </c>
    </row>
    <row r="2607" spans="2:9">
      <c r="B2607" s="496"/>
      <c r="C2607" s="497"/>
      <c r="D2607" s="498"/>
      <c r="E2607" s="499"/>
      <c r="F2607" s="500"/>
      <c r="G2607" s="501"/>
      <c r="H2607" s="502"/>
      <c r="I2607" s="503">
        <f t="shared" si="44"/>
        <v>49015.559999999954</v>
      </c>
    </row>
    <row r="2608" spans="2:9">
      <c r="B2608" s="496"/>
      <c r="C2608" s="497"/>
      <c r="D2608" s="498"/>
      <c r="E2608" s="499"/>
      <c r="F2608" s="500"/>
      <c r="G2608" s="501"/>
      <c r="H2608" s="502"/>
      <c r="I2608" s="503">
        <f t="shared" si="44"/>
        <v>49015.559999999954</v>
      </c>
    </row>
    <row r="2609" spans="2:9">
      <c r="B2609" s="496"/>
      <c r="C2609" s="497"/>
      <c r="D2609" s="498"/>
      <c r="E2609" s="499"/>
      <c r="F2609" s="500"/>
      <c r="G2609" s="501"/>
      <c r="H2609" s="502"/>
      <c r="I2609" s="503">
        <f t="shared" si="44"/>
        <v>49015.559999999954</v>
      </c>
    </row>
    <row r="2610" spans="2:9">
      <c r="B2610" s="496"/>
      <c r="C2610" s="497"/>
      <c r="D2610" s="498"/>
      <c r="E2610" s="499"/>
      <c r="F2610" s="500"/>
      <c r="G2610" s="501"/>
      <c r="H2610" s="502"/>
      <c r="I2610" s="503">
        <f t="shared" si="44"/>
        <v>49015.559999999954</v>
      </c>
    </row>
    <row r="2611" spans="2:9">
      <c r="B2611" s="496"/>
      <c r="C2611" s="497"/>
      <c r="D2611" s="498"/>
      <c r="E2611" s="499"/>
      <c r="F2611" s="500"/>
      <c r="G2611" s="501"/>
      <c r="H2611" s="502"/>
      <c r="I2611" s="503">
        <f t="shared" si="44"/>
        <v>49015.559999999954</v>
      </c>
    </row>
    <row r="2612" spans="2:9">
      <c r="B2612" s="496"/>
      <c r="C2612" s="497"/>
      <c r="D2612" s="498"/>
      <c r="E2612" s="499"/>
      <c r="F2612" s="500"/>
      <c r="G2612" s="501"/>
      <c r="H2612" s="502"/>
      <c r="I2612" s="503">
        <f t="shared" si="44"/>
        <v>49015.559999999954</v>
      </c>
    </row>
    <row r="2613" spans="2:9">
      <c r="B2613" s="496"/>
      <c r="C2613" s="497"/>
      <c r="D2613" s="498"/>
      <c r="E2613" s="499"/>
      <c r="F2613" s="500"/>
      <c r="G2613" s="501"/>
      <c r="H2613" s="502"/>
      <c r="I2613" s="503">
        <f t="shared" si="44"/>
        <v>49015.559999999954</v>
      </c>
    </row>
    <row r="2614" spans="2:9">
      <c r="B2614" s="496"/>
      <c r="C2614" s="497"/>
      <c r="D2614" s="498"/>
      <c r="E2614" s="499"/>
      <c r="F2614" s="500"/>
      <c r="G2614" s="501"/>
      <c r="H2614" s="502"/>
      <c r="I2614" s="503">
        <f t="shared" si="44"/>
        <v>49015.559999999954</v>
      </c>
    </row>
    <row r="2615" spans="2:9">
      <c r="B2615" s="496"/>
      <c r="C2615" s="497"/>
      <c r="D2615" s="498"/>
      <c r="E2615" s="499"/>
      <c r="F2615" s="500"/>
      <c r="G2615" s="501"/>
      <c r="H2615" s="502"/>
      <c r="I2615" s="503">
        <f t="shared" si="44"/>
        <v>49015.559999999954</v>
      </c>
    </row>
    <row r="2616" spans="2:9">
      <c r="B2616" s="496"/>
      <c r="C2616" s="497"/>
      <c r="D2616" s="498"/>
      <c r="E2616" s="499"/>
      <c r="F2616" s="500"/>
      <c r="G2616" s="501"/>
      <c r="H2616" s="502"/>
      <c r="I2616" s="503">
        <f t="shared" si="44"/>
        <v>49015.559999999954</v>
      </c>
    </row>
    <row r="2617" spans="2:9">
      <c r="B2617" s="496"/>
      <c r="C2617" s="497"/>
      <c r="D2617" s="498"/>
      <c r="E2617" s="499"/>
      <c r="F2617" s="500"/>
      <c r="G2617" s="501"/>
      <c r="H2617" s="502"/>
      <c r="I2617" s="503">
        <f t="shared" si="44"/>
        <v>49015.559999999954</v>
      </c>
    </row>
    <row r="2618" spans="2:9">
      <c r="B2618" s="496"/>
      <c r="C2618" s="497"/>
      <c r="D2618" s="498"/>
      <c r="E2618" s="499"/>
      <c r="F2618" s="500"/>
      <c r="G2618" s="501"/>
      <c r="H2618" s="502"/>
      <c r="I2618" s="503">
        <f t="shared" si="44"/>
        <v>49015.559999999954</v>
      </c>
    </row>
    <row r="2619" spans="2:9">
      <c r="B2619" s="496"/>
      <c r="C2619" s="497"/>
      <c r="D2619" s="498"/>
      <c r="E2619" s="499"/>
      <c r="F2619" s="500"/>
      <c r="G2619" s="501"/>
      <c r="H2619" s="502"/>
      <c r="I2619" s="503">
        <f t="shared" si="44"/>
        <v>49015.559999999954</v>
      </c>
    </row>
    <row r="2620" spans="2:9">
      <c r="B2620" s="496"/>
      <c r="C2620" s="497"/>
      <c r="D2620" s="498"/>
      <c r="E2620" s="499"/>
      <c r="F2620" s="500"/>
      <c r="G2620" s="501"/>
      <c r="H2620" s="502"/>
      <c r="I2620" s="503">
        <f t="shared" si="44"/>
        <v>49015.559999999954</v>
      </c>
    </row>
    <row r="2621" spans="2:9">
      <c r="B2621" s="496"/>
      <c r="C2621" s="497"/>
      <c r="D2621" s="498"/>
      <c r="E2621" s="499"/>
      <c r="F2621" s="500"/>
      <c r="G2621" s="501"/>
      <c r="H2621" s="502"/>
      <c r="I2621" s="503">
        <f t="shared" si="44"/>
        <v>49015.559999999954</v>
      </c>
    </row>
    <row r="2622" spans="2:9">
      <c r="B2622" s="496"/>
      <c r="C2622" s="497"/>
      <c r="D2622" s="498"/>
      <c r="E2622" s="499"/>
      <c r="F2622" s="500"/>
      <c r="G2622" s="501"/>
      <c r="H2622" s="502"/>
      <c r="I2622" s="503">
        <f t="shared" si="44"/>
        <v>49015.559999999954</v>
      </c>
    </row>
    <row r="2623" spans="2:9">
      <c r="B2623" s="496"/>
      <c r="C2623" s="497"/>
      <c r="D2623" s="498"/>
      <c r="E2623" s="499"/>
      <c r="F2623" s="500"/>
      <c r="G2623" s="501"/>
      <c r="H2623" s="502"/>
      <c r="I2623" s="503">
        <f t="shared" si="44"/>
        <v>49015.559999999954</v>
      </c>
    </row>
    <row r="2624" spans="2:9">
      <c r="B2624" s="496"/>
      <c r="C2624" s="497"/>
      <c r="D2624" s="498"/>
      <c r="E2624" s="499"/>
      <c r="F2624" s="500"/>
      <c r="G2624" s="501"/>
      <c r="H2624" s="502"/>
      <c r="I2624" s="503">
        <f t="shared" si="44"/>
        <v>49015.559999999954</v>
      </c>
    </row>
    <row r="2625" spans="2:9">
      <c r="B2625" s="496"/>
      <c r="C2625" s="497"/>
      <c r="D2625" s="498"/>
      <c r="E2625" s="499"/>
      <c r="F2625" s="500"/>
      <c r="G2625" s="501"/>
      <c r="H2625" s="502"/>
      <c r="I2625" s="503">
        <f t="shared" si="44"/>
        <v>49015.559999999954</v>
      </c>
    </row>
    <row r="2626" spans="2:9">
      <c r="B2626" s="496"/>
      <c r="C2626" s="497"/>
      <c r="D2626" s="498"/>
      <c r="E2626" s="499"/>
      <c r="F2626" s="500"/>
      <c r="G2626" s="501"/>
      <c r="H2626" s="502"/>
      <c r="I2626" s="503">
        <f t="shared" si="44"/>
        <v>49015.559999999954</v>
      </c>
    </row>
    <row r="2627" spans="2:9">
      <c r="B2627" s="496"/>
      <c r="C2627" s="497"/>
      <c r="D2627" s="498"/>
      <c r="E2627" s="499"/>
      <c r="F2627" s="500"/>
      <c r="G2627" s="501"/>
      <c r="H2627" s="502"/>
      <c r="I2627" s="503">
        <f t="shared" si="44"/>
        <v>49015.559999999954</v>
      </c>
    </row>
    <row r="2628" spans="2:9">
      <c r="B2628" s="496"/>
      <c r="C2628" s="497"/>
      <c r="D2628" s="498"/>
      <c r="E2628" s="499"/>
      <c r="F2628" s="500"/>
      <c r="G2628" s="501"/>
      <c r="H2628" s="502"/>
      <c r="I2628" s="503">
        <f t="shared" si="44"/>
        <v>49015.559999999954</v>
      </c>
    </row>
    <row r="2629" spans="2:9">
      <c r="B2629" s="496"/>
      <c r="C2629" s="497"/>
      <c r="D2629" s="498"/>
      <c r="E2629" s="499"/>
      <c r="F2629" s="500"/>
      <c r="G2629" s="501"/>
      <c r="H2629" s="502"/>
      <c r="I2629" s="503">
        <f t="shared" si="44"/>
        <v>49015.559999999954</v>
      </c>
    </row>
    <row r="2630" spans="2:9">
      <c r="B2630" s="496"/>
      <c r="C2630" s="497"/>
      <c r="D2630" s="498"/>
      <c r="E2630" s="499"/>
      <c r="F2630" s="500"/>
      <c r="G2630" s="501"/>
      <c r="H2630" s="502"/>
      <c r="I2630" s="503">
        <f t="shared" si="44"/>
        <v>49015.559999999954</v>
      </c>
    </row>
    <row r="2631" spans="2:9">
      <c r="B2631" s="496"/>
      <c r="C2631" s="497"/>
      <c r="D2631" s="498"/>
      <c r="E2631" s="499"/>
      <c r="F2631" s="500"/>
      <c r="G2631" s="501"/>
      <c r="H2631" s="502"/>
      <c r="I2631" s="503">
        <f t="shared" si="44"/>
        <v>49015.559999999954</v>
      </c>
    </row>
    <row r="2632" spans="2:9">
      <c r="B2632" s="496"/>
      <c r="C2632" s="497"/>
      <c r="D2632" s="498"/>
      <c r="E2632" s="499"/>
      <c r="F2632" s="500"/>
      <c r="G2632" s="501"/>
      <c r="H2632" s="502"/>
      <c r="I2632" s="503">
        <f t="shared" si="44"/>
        <v>49015.559999999954</v>
      </c>
    </row>
    <row r="2633" spans="2:9">
      <c r="B2633" s="496"/>
      <c r="C2633" s="497"/>
      <c r="D2633" s="498"/>
      <c r="E2633" s="499"/>
      <c r="F2633" s="500"/>
      <c r="G2633" s="501"/>
      <c r="H2633" s="502"/>
      <c r="I2633" s="503">
        <f t="shared" si="44"/>
        <v>49015.559999999954</v>
      </c>
    </row>
    <row r="2634" spans="2:9">
      <c r="B2634" s="496"/>
      <c r="C2634" s="497"/>
      <c r="D2634" s="498"/>
      <c r="E2634" s="499"/>
      <c r="F2634" s="500"/>
      <c r="G2634" s="501"/>
      <c r="H2634" s="502"/>
      <c r="I2634" s="503">
        <f t="shared" si="44"/>
        <v>49015.559999999954</v>
      </c>
    </row>
    <row r="2635" spans="2:9">
      <c r="B2635" s="496"/>
      <c r="C2635" s="497"/>
      <c r="D2635" s="498"/>
      <c r="E2635" s="499"/>
      <c r="F2635" s="500"/>
      <c r="G2635" s="501"/>
      <c r="H2635" s="502"/>
      <c r="I2635" s="503">
        <f t="shared" si="44"/>
        <v>49015.559999999954</v>
      </c>
    </row>
    <row r="2636" spans="2:9">
      <c r="B2636" s="496"/>
      <c r="C2636" s="497"/>
      <c r="D2636" s="498"/>
      <c r="E2636" s="499"/>
      <c r="F2636" s="500"/>
      <c r="G2636" s="501"/>
      <c r="H2636" s="502"/>
      <c r="I2636" s="503">
        <f t="shared" si="44"/>
        <v>49015.559999999954</v>
      </c>
    </row>
    <row r="2637" spans="2:9">
      <c r="B2637" s="496"/>
      <c r="C2637" s="497"/>
      <c r="D2637" s="498"/>
      <c r="E2637" s="499"/>
      <c r="F2637" s="500"/>
      <c r="G2637" s="501"/>
      <c r="H2637" s="502"/>
      <c r="I2637" s="503">
        <f t="shared" si="44"/>
        <v>49015.559999999954</v>
      </c>
    </row>
    <row r="2638" spans="2:9">
      <c r="B2638" s="496"/>
      <c r="C2638" s="497"/>
      <c r="D2638" s="498"/>
      <c r="E2638" s="499"/>
      <c r="F2638" s="500"/>
      <c r="G2638" s="501"/>
      <c r="H2638" s="502"/>
      <c r="I2638" s="503">
        <f t="shared" si="44"/>
        <v>49015.559999999954</v>
      </c>
    </row>
    <row r="2639" spans="2:9">
      <c r="B2639" s="496"/>
      <c r="C2639" s="497"/>
      <c r="D2639" s="498"/>
      <c r="E2639" s="499"/>
      <c r="F2639" s="500"/>
      <c r="G2639" s="501"/>
      <c r="H2639" s="502"/>
      <c r="I2639" s="503">
        <f t="shared" si="44"/>
        <v>49015.559999999954</v>
      </c>
    </row>
    <row r="2640" spans="2:9">
      <c r="B2640" s="496"/>
      <c r="C2640" s="497"/>
      <c r="D2640" s="498"/>
      <c r="E2640" s="499"/>
      <c r="F2640" s="500"/>
      <c r="G2640" s="501"/>
      <c r="H2640" s="502"/>
      <c r="I2640" s="503">
        <f t="shared" si="44"/>
        <v>49015.559999999954</v>
      </c>
    </row>
    <row r="2641" spans="2:9">
      <c r="B2641" s="496"/>
      <c r="C2641" s="497"/>
      <c r="D2641" s="498"/>
      <c r="E2641" s="499"/>
      <c r="F2641" s="500"/>
      <c r="G2641" s="501"/>
      <c r="H2641" s="502"/>
      <c r="I2641" s="503">
        <f t="shared" si="44"/>
        <v>49015.559999999954</v>
      </c>
    </row>
    <row r="2642" spans="2:9">
      <c r="B2642" s="496"/>
      <c r="C2642" s="497"/>
      <c r="D2642" s="498"/>
      <c r="E2642" s="499"/>
      <c r="F2642" s="500"/>
      <c r="G2642" s="501"/>
      <c r="H2642" s="502"/>
      <c r="I2642" s="503">
        <f t="shared" si="44"/>
        <v>49015.559999999954</v>
      </c>
    </row>
    <row r="2643" spans="2:9">
      <c r="B2643" s="496"/>
      <c r="C2643" s="497"/>
      <c r="D2643" s="498"/>
      <c r="E2643" s="499"/>
      <c r="F2643" s="500"/>
      <c r="G2643" s="501"/>
      <c r="H2643" s="502"/>
      <c r="I2643" s="503">
        <f t="shared" si="44"/>
        <v>49015.559999999954</v>
      </c>
    </row>
    <row r="2644" spans="2:9">
      <c r="B2644" s="496"/>
      <c r="C2644" s="497"/>
      <c r="D2644" s="498"/>
      <c r="E2644" s="499"/>
      <c r="F2644" s="500"/>
      <c r="G2644" s="501"/>
      <c r="H2644" s="502"/>
      <c r="I2644" s="503">
        <f t="shared" si="44"/>
        <v>49015.559999999954</v>
      </c>
    </row>
    <row r="2645" spans="2:9">
      <c r="B2645" s="496"/>
      <c r="C2645" s="497"/>
      <c r="D2645" s="498"/>
      <c r="E2645" s="499"/>
      <c r="F2645" s="500"/>
      <c r="G2645" s="501"/>
      <c r="H2645" s="502"/>
      <c r="I2645" s="503">
        <f t="shared" si="44"/>
        <v>49015.559999999954</v>
      </c>
    </row>
    <row r="2646" spans="2:9">
      <c r="B2646" s="496"/>
      <c r="C2646" s="497"/>
      <c r="D2646" s="498"/>
      <c r="E2646" s="499"/>
      <c r="F2646" s="500"/>
      <c r="G2646" s="501"/>
      <c r="H2646" s="502"/>
      <c r="I2646" s="503">
        <f t="shared" si="44"/>
        <v>49015.559999999954</v>
      </c>
    </row>
    <row r="2647" spans="2:9">
      <c r="B2647" s="496"/>
      <c r="C2647" s="497"/>
      <c r="D2647" s="498"/>
      <c r="E2647" s="499"/>
      <c r="F2647" s="500"/>
      <c r="G2647" s="501"/>
      <c r="H2647" s="502"/>
      <c r="I2647" s="503">
        <f t="shared" si="44"/>
        <v>49015.559999999954</v>
      </c>
    </row>
    <row r="2648" spans="2:9">
      <c r="B2648" s="496"/>
      <c r="C2648" s="497"/>
      <c r="D2648" s="498"/>
      <c r="E2648" s="499"/>
      <c r="F2648" s="500"/>
      <c r="G2648" s="501"/>
      <c r="H2648" s="502"/>
      <c r="I2648" s="503">
        <f t="shared" si="44"/>
        <v>49015.559999999954</v>
      </c>
    </row>
    <row r="2649" spans="2:9">
      <c r="B2649" s="496"/>
      <c r="C2649" s="497"/>
      <c r="D2649" s="498"/>
      <c r="E2649" s="499"/>
      <c r="F2649" s="500"/>
      <c r="G2649" s="501"/>
      <c r="H2649" s="502"/>
      <c r="I2649" s="503">
        <f t="shared" ref="I2649:I2712" si="45">I2648+E2650-F2651</f>
        <v>49015.559999999954</v>
      </c>
    </row>
    <row r="2650" spans="2:9">
      <c r="B2650" s="496"/>
      <c r="C2650" s="497"/>
      <c r="D2650" s="498"/>
      <c r="E2650" s="499"/>
      <c r="F2650" s="500"/>
      <c r="G2650" s="501"/>
      <c r="H2650" s="502"/>
      <c r="I2650" s="503">
        <f t="shared" si="45"/>
        <v>49015.559999999954</v>
      </c>
    </row>
    <row r="2651" spans="2:9">
      <c r="B2651" s="496"/>
      <c r="C2651" s="497"/>
      <c r="D2651" s="498"/>
      <c r="E2651" s="499"/>
      <c r="F2651" s="500"/>
      <c r="G2651" s="501"/>
      <c r="H2651" s="502"/>
      <c r="I2651" s="503">
        <f t="shared" si="45"/>
        <v>49015.559999999954</v>
      </c>
    </row>
    <row r="2652" spans="2:9">
      <c r="B2652" s="496"/>
      <c r="C2652" s="497"/>
      <c r="D2652" s="498"/>
      <c r="E2652" s="499"/>
      <c r="F2652" s="500"/>
      <c r="G2652" s="501"/>
      <c r="H2652" s="502"/>
      <c r="I2652" s="503">
        <f t="shared" si="45"/>
        <v>49015.559999999954</v>
      </c>
    </row>
    <row r="2653" spans="2:9">
      <c r="B2653" s="496"/>
      <c r="C2653" s="497"/>
      <c r="D2653" s="498"/>
      <c r="E2653" s="499"/>
      <c r="F2653" s="500"/>
      <c r="G2653" s="501"/>
      <c r="H2653" s="502"/>
      <c r="I2653" s="503">
        <f t="shared" si="45"/>
        <v>49015.559999999954</v>
      </c>
    </row>
    <row r="2654" spans="2:9">
      <c r="B2654" s="496"/>
      <c r="C2654" s="497"/>
      <c r="D2654" s="498"/>
      <c r="E2654" s="499"/>
      <c r="F2654" s="500"/>
      <c r="G2654" s="501"/>
      <c r="H2654" s="502"/>
      <c r="I2654" s="503">
        <f t="shared" si="45"/>
        <v>49015.559999999954</v>
      </c>
    </row>
    <row r="2655" spans="2:9">
      <c r="B2655" s="496"/>
      <c r="C2655" s="497"/>
      <c r="D2655" s="498"/>
      <c r="E2655" s="499"/>
      <c r="F2655" s="500"/>
      <c r="G2655" s="501"/>
      <c r="H2655" s="502"/>
      <c r="I2655" s="503">
        <f t="shared" si="45"/>
        <v>49015.559999999954</v>
      </c>
    </row>
    <row r="2656" spans="2:9">
      <c r="B2656" s="496"/>
      <c r="C2656" s="497"/>
      <c r="D2656" s="498"/>
      <c r="E2656" s="499"/>
      <c r="F2656" s="500"/>
      <c r="G2656" s="501"/>
      <c r="H2656" s="502"/>
      <c r="I2656" s="503">
        <f t="shared" si="45"/>
        <v>49015.559999999954</v>
      </c>
    </row>
    <row r="2657" spans="2:9">
      <c r="B2657" s="496"/>
      <c r="C2657" s="497"/>
      <c r="D2657" s="498"/>
      <c r="E2657" s="499"/>
      <c r="F2657" s="500"/>
      <c r="G2657" s="501"/>
      <c r="H2657" s="502"/>
      <c r="I2657" s="503">
        <f t="shared" si="45"/>
        <v>49015.559999999954</v>
      </c>
    </row>
    <row r="2658" spans="2:9">
      <c r="B2658" s="496"/>
      <c r="C2658" s="497"/>
      <c r="D2658" s="498"/>
      <c r="E2658" s="499"/>
      <c r="F2658" s="500"/>
      <c r="G2658" s="501"/>
      <c r="H2658" s="502"/>
      <c r="I2658" s="503">
        <f t="shared" si="45"/>
        <v>49015.559999999954</v>
      </c>
    </row>
    <row r="2659" spans="2:9">
      <c r="B2659" s="496"/>
      <c r="C2659" s="497"/>
      <c r="D2659" s="498"/>
      <c r="E2659" s="499"/>
      <c r="F2659" s="500"/>
      <c r="G2659" s="501"/>
      <c r="H2659" s="502"/>
      <c r="I2659" s="503">
        <f t="shared" si="45"/>
        <v>49015.559999999954</v>
      </c>
    </row>
    <row r="2660" spans="2:9">
      <c r="B2660" s="496"/>
      <c r="C2660" s="497"/>
      <c r="D2660" s="498"/>
      <c r="E2660" s="499"/>
      <c r="F2660" s="500"/>
      <c r="G2660" s="501"/>
      <c r="H2660" s="502"/>
      <c r="I2660" s="503">
        <f t="shared" si="45"/>
        <v>49015.559999999954</v>
      </c>
    </row>
    <row r="2661" spans="2:9">
      <c r="B2661" s="496"/>
      <c r="C2661" s="497"/>
      <c r="D2661" s="498"/>
      <c r="E2661" s="499"/>
      <c r="F2661" s="500"/>
      <c r="G2661" s="501"/>
      <c r="H2661" s="502"/>
      <c r="I2661" s="503">
        <f t="shared" si="45"/>
        <v>49015.559999999954</v>
      </c>
    </row>
    <row r="2662" spans="2:9">
      <c r="B2662" s="496"/>
      <c r="C2662" s="497"/>
      <c r="D2662" s="498"/>
      <c r="E2662" s="499"/>
      <c r="F2662" s="500"/>
      <c r="G2662" s="501"/>
      <c r="H2662" s="502"/>
      <c r="I2662" s="503">
        <f t="shared" si="45"/>
        <v>49015.559999999954</v>
      </c>
    </row>
    <row r="2663" spans="2:9">
      <c r="B2663" s="496"/>
      <c r="C2663" s="497"/>
      <c r="D2663" s="498"/>
      <c r="E2663" s="499"/>
      <c r="F2663" s="500"/>
      <c r="G2663" s="501"/>
      <c r="H2663" s="502"/>
      <c r="I2663" s="503">
        <f t="shared" si="45"/>
        <v>49015.559999999954</v>
      </c>
    </row>
    <row r="2664" spans="2:9">
      <c r="B2664" s="496"/>
      <c r="C2664" s="497"/>
      <c r="D2664" s="498"/>
      <c r="E2664" s="499"/>
      <c r="F2664" s="500"/>
      <c r="G2664" s="501"/>
      <c r="H2664" s="502"/>
      <c r="I2664" s="503">
        <f t="shared" si="45"/>
        <v>49015.559999999954</v>
      </c>
    </row>
    <row r="2665" spans="2:9">
      <c r="B2665" s="496"/>
      <c r="C2665" s="497"/>
      <c r="D2665" s="498"/>
      <c r="E2665" s="499"/>
      <c r="F2665" s="500"/>
      <c r="G2665" s="501"/>
      <c r="H2665" s="502"/>
      <c r="I2665" s="503">
        <f t="shared" si="45"/>
        <v>49015.559999999954</v>
      </c>
    </row>
    <row r="2666" spans="2:9">
      <c r="B2666" s="496"/>
      <c r="C2666" s="497"/>
      <c r="D2666" s="498"/>
      <c r="E2666" s="499"/>
      <c r="F2666" s="500"/>
      <c r="G2666" s="501"/>
      <c r="H2666" s="502"/>
      <c r="I2666" s="503">
        <f t="shared" si="45"/>
        <v>49015.559999999954</v>
      </c>
    </row>
    <row r="2667" spans="2:9">
      <c r="B2667" s="496"/>
      <c r="C2667" s="497"/>
      <c r="D2667" s="498"/>
      <c r="E2667" s="499"/>
      <c r="F2667" s="500"/>
      <c r="G2667" s="501"/>
      <c r="H2667" s="502"/>
      <c r="I2667" s="503">
        <f t="shared" si="45"/>
        <v>49015.559999999954</v>
      </c>
    </row>
    <row r="2668" spans="2:9">
      <c r="B2668" s="496"/>
      <c r="C2668" s="497"/>
      <c r="D2668" s="498"/>
      <c r="E2668" s="499"/>
      <c r="F2668" s="500"/>
      <c r="G2668" s="501"/>
      <c r="H2668" s="502"/>
      <c r="I2668" s="503">
        <f t="shared" si="45"/>
        <v>49015.559999999954</v>
      </c>
    </row>
    <row r="2669" spans="2:9">
      <c r="B2669" s="496"/>
      <c r="C2669" s="497"/>
      <c r="D2669" s="498"/>
      <c r="E2669" s="499"/>
      <c r="F2669" s="500"/>
      <c r="G2669" s="501"/>
      <c r="H2669" s="502"/>
      <c r="I2669" s="503">
        <f t="shared" si="45"/>
        <v>49015.559999999954</v>
      </c>
    </row>
    <row r="2670" spans="2:9">
      <c r="B2670" s="496"/>
      <c r="C2670" s="497"/>
      <c r="D2670" s="498"/>
      <c r="E2670" s="499"/>
      <c r="F2670" s="500"/>
      <c r="G2670" s="501"/>
      <c r="H2670" s="502"/>
      <c r="I2670" s="503">
        <f t="shared" si="45"/>
        <v>49015.559999999954</v>
      </c>
    </row>
    <row r="2671" spans="2:9">
      <c r="B2671" s="496"/>
      <c r="C2671" s="497"/>
      <c r="D2671" s="498"/>
      <c r="E2671" s="499"/>
      <c r="F2671" s="500"/>
      <c r="G2671" s="501"/>
      <c r="H2671" s="502"/>
      <c r="I2671" s="503">
        <f t="shared" si="45"/>
        <v>49015.559999999954</v>
      </c>
    </row>
    <row r="2672" spans="2:9">
      <c r="B2672" s="496"/>
      <c r="C2672" s="497"/>
      <c r="D2672" s="498"/>
      <c r="E2672" s="499"/>
      <c r="F2672" s="500"/>
      <c r="G2672" s="501"/>
      <c r="H2672" s="502"/>
      <c r="I2672" s="503">
        <f t="shared" si="45"/>
        <v>49015.559999999954</v>
      </c>
    </row>
    <row r="2673" spans="2:9">
      <c r="B2673" s="496"/>
      <c r="C2673" s="497"/>
      <c r="D2673" s="498"/>
      <c r="E2673" s="499"/>
      <c r="F2673" s="500"/>
      <c r="G2673" s="501"/>
      <c r="H2673" s="502"/>
      <c r="I2673" s="503">
        <f t="shared" si="45"/>
        <v>49015.559999999954</v>
      </c>
    </row>
    <row r="2674" spans="2:9">
      <c r="B2674" s="496"/>
      <c r="C2674" s="497"/>
      <c r="D2674" s="498"/>
      <c r="E2674" s="499"/>
      <c r="F2674" s="500"/>
      <c r="G2674" s="501"/>
      <c r="H2674" s="502"/>
      <c r="I2674" s="503">
        <f t="shared" si="45"/>
        <v>49015.559999999954</v>
      </c>
    </row>
    <row r="2675" spans="2:9">
      <c r="B2675" s="496"/>
      <c r="C2675" s="497"/>
      <c r="D2675" s="498"/>
      <c r="E2675" s="499"/>
      <c r="F2675" s="500"/>
      <c r="G2675" s="501"/>
      <c r="H2675" s="502"/>
      <c r="I2675" s="503">
        <f t="shared" si="45"/>
        <v>49015.559999999954</v>
      </c>
    </row>
    <row r="2676" spans="2:9">
      <c r="B2676" s="496"/>
      <c r="C2676" s="497"/>
      <c r="D2676" s="498"/>
      <c r="E2676" s="499"/>
      <c r="F2676" s="500"/>
      <c r="G2676" s="501"/>
      <c r="H2676" s="502"/>
      <c r="I2676" s="503">
        <f t="shared" si="45"/>
        <v>49015.559999999954</v>
      </c>
    </row>
    <row r="2677" spans="2:9">
      <c r="B2677" s="496"/>
      <c r="C2677" s="497"/>
      <c r="D2677" s="498"/>
      <c r="E2677" s="499"/>
      <c r="F2677" s="500"/>
      <c r="G2677" s="501"/>
      <c r="H2677" s="502"/>
      <c r="I2677" s="503">
        <f t="shared" si="45"/>
        <v>49015.559999999954</v>
      </c>
    </row>
    <row r="2678" spans="2:9">
      <c r="B2678" s="496"/>
      <c r="C2678" s="497"/>
      <c r="D2678" s="498"/>
      <c r="E2678" s="499"/>
      <c r="F2678" s="500"/>
      <c r="G2678" s="501"/>
      <c r="H2678" s="502"/>
      <c r="I2678" s="503">
        <f t="shared" si="45"/>
        <v>49015.559999999954</v>
      </c>
    </row>
    <row r="2679" spans="2:9">
      <c r="B2679" s="496"/>
      <c r="C2679" s="497"/>
      <c r="D2679" s="498"/>
      <c r="E2679" s="499"/>
      <c r="F2679" s="500"/>
      <c r="G2679" s="501"/>
      <c r="H2679" s="502"/>
      <c r="I2679" s="503">
        <f t="shared" si="45"/>
        <v>49015.559999999954</v>
      </c>
    </row>
    <row r="2680" spans="2:9">
      <c r="B2680" s="496"/>
      <c r="C2680" s="497"/>
      <c r="D2680" s="498"/>
      <c r="E2680" s="499"/>
      <c r="F2680" s="500"/>
      <c r="G2680" s="501"/>
      <c r="H2680" s="502"/>
      <c r="I2680" s="503">
        <f t="shared" si="45"/>
        <v>49015.559999999954</v>
      </c>
    </row>
    <row r="2681" spans="2:9">
      <c r="B2681" s="496"/>
      <c r="C2681" s="497"/>
      <c r="D2681" s="498"/>
      <c r="E2681" s="499"/>
      <c r="F2681" s="500"/>
      <c r="G2681" s="501"/>
      <c r="H2681" s="502"/>
      <c r="I2681" s="503">
        <f t="shared" si="45"/>
        <v>49015.559999999954</v>
      </c>
    </row>
    <row r="2682" spans="2:9">
      <c r="B2682" s="496"/>
      <c r="C2682" s="497"/>
      <c r="D2682" s="498"/>
      <c r="E2682" s="499"/>
      <c r="F2682" s="500"/>
      <c r="G2682" s="501"/>
      <c r="H2682" s="502"/>
      <c r="I2682" s="503">
        <f t="shared" si="45"/>
        <v>49015.559999999954</v>
      </c>
    </row>
    <row r="2683" spans="2:9">
      <c r="B2683" s="496"/>
      <c r="C2683" s="497"/>
      <c r="D2683" s="498"/>
      <c r="E2683" s="499"/>
      <c r="F2683" s="500"/>
      <c r="G2683" s="501"/>
      <c r="H2683" s="502"/>
      <c r="I2683" s="503">
        <f t="shared" si="45"/>
        <v>49015.559999999954</v>
      </c>
    </row>
    <row r="2684" spans="2:9">
      <c r="B2684" s="496"/>
      <c r="C2684" s="497"/>
      <c r="D2684" s="498"/>
      <c r="E2684" s="499"/>
      <c r="F2684" s="500"/>
      <c r="G2684" s="501"/>
      <c r="H2684" s="502"/>
      <c r="I2684" s="503">
        <f t="shared" si="45"/>
        <v>49015.559999999954</v>
      </c>
    </row>
    <row r="2685" spans="2:9">
      <c r="B2685" s="496"/>
      <c r="C2685" s="497"/>
      <c r="D2685" s="498"/>
      <c r="E2685" s="499"/>
      <c r="F2685" s="500"/>
      <c r="G2685" s="501"/>
      <c r="H2685" s="502"/>
      <c r="I2685" s="503">
        <f t="shared" si="45"/>
        <v>49015.559999999954</v>
      </c>
    </row>
    <row r="2686" spans="2:9">
      <c r="B2686" s="496"/>
      <c r="C2686" s="497"/>
      <c r="D2686" s="498"/>
      <c r="E2686" s="499"/>
      <c r="F2686" s="500"/>
      <c r="G2686" s="501"/>
      <c r="H2686" s="502"/>
      <c r="I2686" s="503">
        <f t="shared" si="45"/>
        <v>49015.559999999954</v>
      </c>
    </row>
    <row r="2687" spans="2:9">
      <c r="B2687" s="496"/>
      <c r="C2687" s="497"/>
      <c r="D2687" s="498"/>
      <c r="E2687" s="499"/>
      <c r="F2687" s="500"/>
      <c r="G2687" s="501"/>
      <c r="H2687" s="502"/>
      <c r="I2687" s="503">
        <f t="shared" si="45"/>
        <v>49015.559999999954</v>
      </c>
    </row>
    <row r="2688" spans="2:9">
      <c r="B2688" s="496"/>
      <c r="C2688" s="497"/>
      <c r="D2688" s="498"/>
      <c r="E2688" s="499"/>
      <c r="F2688" s="500"/>
      <c r="G2688" s="501"/>
      <c r="H2688" s="502"/>
      <c r="I2688" s="503">
        <f t="shared" si="45"/>
        <v>49015.559999999954</v>
      </c>
    </row>
    <row r="2689" spans="2:9">
      <c r="B2689" s="496"/>
      <c r="C2689" s="497"/>
      <c r="D2689" s="498"/>
      <c r="E2689" s="499"/>
      <c r="F2689" s="500"/>
      <c r="G2689" s="501"/>
      <c r="H2689" s="502"/>
      <c r="I2689" s="503">
        <f t="shared" si="45"/>
        <v>49015.559999999954</v>
      </c>
    </row>
    <row r="2690" spans="2:9">
      <c r="B2690" s="496"/>
      <c r="C2690" s="497"/>
      <c r="D2690" s="498"/>
      <c r="E2690" s="499"/>
      <c r="F2690" s="500"/>
      <c r="G2690" s="501"/>
      <c r="H2690" s="502"/>
      <c r="I2690" s="503">
        <f t="shared" si="45"/>
        <v>49015.559999999954</v>
      </c>
    </row>
    <row r="2691" spans="2:9">
      <c r="B2691" s="496"/>
      <c r="C2691" s="497"/>
      <c r="D2691" s="498"/>
      <c r="E2691" s="499"/>
      <c r="F2691" s="500"/>
      <c r="G2691" s="501"/>
      <c r="H2691" s="502"/>
      <c r="I2691" s="503">
        <f t="shared" si="45"/>
        <v>49015.559999999954</v>
      </c>
    </row>
    <row r="2692" spans="2:9">
      <c r="B2692" s="496"/>
      <c r="C2692" s="497"/>
      <c r="D2692" s="498"/>
      <c r="E2692" s="499"/>
      <c r="F2692" s="500"/>
      <c r="G2692" s="501"/>
      <c r="H2692" s="502"/>
      <c r="I2692" s="503">
        <f t="shared" si="45"/>
        <v>49015.559999999954</v>
      </c>
    </row>
    <row r="2693" spans="2:9">
      <c r="B2693" s="496"/>
      <c r="C2693" s="497"/>
      <c r="D2693" s="498"/>
      <c r="E2693" s="499"/>
      <c r="F2693" s="500"/>
      <c r="G2693" s="501"/>
      <c r="H2693" s="502"/>
      <c r="I2693" s="503">
        <f t="shared" si="45"/>
        <v>49015.559999999954</v>
      </c>
    </row>
    <row r="2694" spans="2:9">
      <c r="B2694" s="496"/>
      <c r="C2694" s="497"/>
      <c r="D2694" s="498"/>
      <c r="E2694" s="499"/>
      <c r="F2694" s="500"/>
      <c r="G2694" s="501"/>
      <c r="H2694" s="502"/>
      <c r="I2694" s="503">
        <f t="shared" si="45"/>
        <v>49015.559999999954</v>
      </c>
    </row>
    <row r="2695" spans="2:9">
      <c r="B2695" s="496"/>
      <c r="C2695" s="497"/>
      <c r="D2695" s="498"/>
      <c r="E2695" s="499"/>
      <c r="F2695" s="500"/>
      <c r="G2695" s="501"/>
      <c r="H2695" s="502"/>
      <c r="I2695" s="503">
        <f t="shared" si="45"/>
        <v>49015.559999999954</v>
      </c>
    </row>
    <row r="2696" spans="2:9">
      <c r="B2696" s="496"/>
      <c r="C2696" s="497"/>
      <c r="D2696" s="498"/>
      <c r="E2696" s="499"/>
      <c r="F2696" s="500"/>
      <c r="G2696" s="501"/>
      <c r="H2696" s="502"/>
      <c r="I2696" s="503">
        <f t="shared" si="45"/>
        <v>49015.559999999954</v>
      </c>
    </row>
    <row r="2697" spans="2:9">
      <c r="B2697" s="496"/>
      <c r="C2697" s="497"/>
      <c r="D2697" s="498"/>
      <c r="E2697" s="499"/>
      <c r="F2697" s="500"/>
      <c r="G2697" s="501"/>
      <c r="H2697" s="502"/>
      <c r="I2697" s="503">
        <f t="shared" si="45"/>
        <v>49015.559999999954</v>
      </c>
    </row>
    <row r="2698" spans="2:9">
      <c r="B2698" s="496"/>
      <c r="C2698" s="497"/>
      <c r="D2698" s="498"/>
      <c r="E2698" s="499"/>
      <c r="F2698" s="500"/>
      <c r="G2698" s="501"/>
      <c r="H2698" s="502"/>
      <c r="I2698" s="503">
        <f t="shared" si="45"/>
        <v>49015.559999999954</v>
      </c>
    </row>
    <row r="2699" spans="2:9">
      <c r="B2699" s="496"/>
      <c r="C2699" s="497"/>
      <c r="D2699" s="498"/>
      <c r="E2699" s="499"/>
      <c r="F2699" s="500"/>
      <c r="G2699" s="501"/>
      <c r="H2699" s="502"/>
      <c r="I2699" s="503">
        <f t="shared" si="45"/>
        <v>49015.559999999954</v>
      </c>
    </row>
    <row r="2700" spans="2:9">
      <c r="B2700" s="496"/>
      <c r="C2700" s="497"/>
      <c r="D2700" s="498"/>
      <c r="E2700" s="499"/>
      <c r="F2700" s="500"/>
      <c r="G2700" s="501"/>
      <c r="H2700" s="502"/>
      <c r="I2700" s="503">
        <f t="shared" si="45"/>
        <v>49015.559999999954</v>
      </c>
    </row>
    <row r="2701" spans="2:9">
      <c r="B2701" s="496"/>
      <c r="C2701" s="497"/>
      <c r="D2701" s="498"/>
      <c r="E2701" s="499"/>
      <c r="F2701" s="500"/>
      <c r="G2701" s="501"/>
      <c r="H2701" s="502"/>
      <c r="I2701" s="503">
        <f t="shared" si="45"/>
        <v>49015.559999999954</v>
      </c>
    </row>
    <row r="2702" spans="2:9">
      <c r="B2702" s="496"/>
      <c r="C2702" s="497"/>
      <c r="D2702" s="498"/>
      <c r="E2702" s="499"/>
      <c r="F2702" s="500"/>
      <c r="G2702" s="501"/>
      <c r="H2702" s="502"/>
      <c r="I2702" s="503">
        <f t="shared" si="45"/>
        <v>49015.559999999954</v>
      </c>
    </row>
    <row r="2703" spans="2:9">
      <c r="B2703" s="496"/>
      <c r="C2703" s="497"/>
      <c r="D2703" s="498"/>
      <c r="E2703" s="499"/>
      <c r="F2703" s="500"/>
      <c r="G2703" s="501"/>
      <c r="H2703" s="502"/>
      <c r="I2703" s="503">
        <f t="shared" si="45"/>
        <v>49015.559999999954</v>
      </c>
    </row>
    <row r="2704" spans="2:9">
      <c r="B2704" s="496"/>
      <c r="C2704" s="497"/>
      <c r="D2704" s="498"/>
      <c r="E2704" s="499"/>
      <c r="F2704" s="500"/>
      <c r="G2704" s="501"/>
      <c r="H2704" s="502"/>
      <c r="I2704" s="503">
        <f t="shared" si="45"/>
        <v>49015.559999999954</v>
      </c>
    </row>
    <row r="2705" spans="2:9">
      <c r="B2705" s="496"/>
      <c r="C2705" s="497"/>
      <c r="D2705" s="498"/>
      <c r="E2705" s="499"/>
      <c r="F2705" s="500"/>
      <c r="G2705" s="501"/>
      <c r="H2705" s="502"/>
      <c r="I2705" s="503">
        <f t="shared" si="45"/>
        <v>49015.559999999954</v>
      </c>
    </row>
    <row r="2706" spans="2:9">
      <c r="B2706" s="496"/>
      <c r="C2706" s="497"/>
      <c r="D2706" s="498"/>
      <c r="E2706" s="499"/>
      <c r="F2706" s="500"/>
      <c r="G2706" s="501"/>
      <c r="H2706" s="502"/>
      <c r="I2706" s="503">
        <f t="shared" si="45"/>
        <v>49015.559999999954</v>
      </c>
    </row>
    <row r="2707" spans="2:9">
      <c r="B2707" s="496"/>
      <c r="C2707" s="497"/>
      <c r="D2707" s="498"/>
      <c r="E2707" s="499"/>
      <c r="F2707" s="500"/>
      <c r="G2707" s="501"/>
      <c r="H2707" s="502"/>
      <c r="I2707" s="503">
        <f t="shared" si="45"/>
        <v>49015.559999999954</v>
      </c>
    </row>
    <row r="2708" spans="2:9">
      <c r="B2708" s="496"/>
      <c r="C2708" s="497"/>
      <c r="D2708" s="498"/>
      <c r="E2708" s="499"/>
      <c r="F2708" s="500"/>
      <c r="G2708" s="501"/>
      <c r="H2708" s="502"/>
      <c r="I2708" s="503">
        <f t="shared" si="45"/>
        <v>49015.559999999954</v>
      </c>
    </row>
    <row r="2709" spans="2:9">
      <c r="B2709" s="496"/>
      <c r="C2709" s="497"/>
      <c r="D2709" s="498"/>
      <c r="E2709" s="499"/>
      <c r="F2709" s="500"/>
      <c r="G2709" s="501"/>
      <c r="H2709" s="502"/>
      <c r="I2709" s="503">
        <f t="shared" si="45"/>
        <v>49015.559999999954</v>
      </c>
    </row>
    <row r="2710" spans="2:9">
      <c r="B2710" s="496"/>
      <c r="C2710" s="497"/>
      <c r="D2710" s="498"/>
      <c r="E2710" s="499"/>
      <c r="F2710" s="500"/>
      <c r="G2710" s="501"/>
      <c r="H2710" s="502"/>
      <c r="I2710" s="503">
        <f t="shared" si="45"/>
        <v>49015.559999999954</v>
      </c>
    </row>
    <row r="2711" spans="2:9">
      <c r="B2711" s="496"/>
      <c r="C2711" s="497"/>
      <c r="D2711" s="498"/>
      <c r="E2711" s="499"/>
      <c r="F2711" s="500"/>
      <c r="G2711" s="501"/>
      <c r="H2711" s="502"/>
      <c r="I2711" s="503">
        <f t="shared" si="45"/>
        <v>49015.559999999954</v>
      </c>
    </row>
    <row r="2712" spans="2:9">
      <c r="B2712" s="496"/>
      <c r="C2712" s="497"/>
      <c r="D2712" s="498"/>
      <c r="E2712" s="499"/>
      <c r="F2712" s="500"/>
      <c r="G2712" s="501"/>
      <c r="H2712" s="502"/>
      <c r="I2712" s="503">
        <f t="shared" si="45"/>
        <v>49015.559999999954</v>
      </c>
    </row>
    <row r="2713" spans="2:9">
      <c r="B2713" s="496"/>
      <c r="C2713" s="497"/>
      <c r="D2713" s="498"/>
      <c r="E2713" s="499"/>
      <c r="F2713" s="500"/>
      <c r="G2713" s="501"/>
      <c r="H2713" s="502"/>
      <c r="I2713" s="503">
        <f t="shared" ref="I2713:I2776" si="46">I2712+E2714-F2715</f>
        <v>49015.559999999954</v>
      </c>
    </row>
    <row r="2714" spans="2:9">
      <c r="B2714" s="496"/>
      <c r="C2714" s="497"/>
      <c r="D2714" s="498"/>
      <c r="E2714" s="499"/>
      <c r="F2714" s="500"/>
      <c r="G2714" s="501"/>
      <c r="H2714" s="502"/>
      <c r="I2714" s="503">
        <f t="shared" si="46"/>
        <v>49015.559999999954</v>
      </c>
    </row>
    <row r="2715" spans="2:9">
      <c r="B2715" s="496"/>
      <c r="C2715" s="497"/>
      <c r="D2715" s="498"/>
      <c r="E2715" s="499"/>
      <c r="F2715" s="500"/>
      <c r="G2715" s="501"/>
      <c r="H2715" s="502"/>
      <c r="I2715" s="503">
        <f t="shared" si="46"/>
        <v>49015.559999999954</v>
      </c>
    </row>
    <row r="2716" spans="2:9">
      <c r="B2716" s="496"/>
      <c r="C2716" s="497"/>
      <c r="D2716" s="498"/>
      <c r="E2716" s="499"/>
      <c r="F2716" s="500"/>
      <c r="G2716" s="501"/>
      <c r="H2716" s="502"/>
      <c r="I2716" s="503">
        <f t="shared" si="46"/>
        <v>49015.559999999954</v>
      </c>
    </row>
    <row r="2717" spans="2:9">
      <c r="B2717" s="496"/>
      <c r="C2717" s="497"/>
      <c r="D2717" s="498"/>
      <c r="E2717" s="499"/>
      <c r="F2717" s="500"/>
      <c r="G2717" s="501"/>
      <c r="H2717" s="502"/>
      <c r="I2717" s="503">
        <f t="shared" si="46"/>
        <v>49015.559999999954</v>
      </c>
    </row>
    <row r="2718" spans="2:9">
      <c r="B2718" s="496"/>
      <c r="C2718" s="497"/>
      <c r="D2718" s="498"/>
      <c r="E2718" s="499"/>
      <c r="F2718" s="500"/>
      <c r="G2718" s="501"/>
      <c r="H2718" s="502"/>
      <c r="I2718" s="503">
        <f t="shared" si="46"/>
        <v>49015.559999999954</v>
      </c>
    </row>
    <row r="2719" spans="2:9">
      <c r="B2719" s="496"/>
      <c r="C2719" s="497"/>
      <c r="D2719" s="498"/>
      <c r="E2719" s="499"/>
      <c r="F2719" s="500"/>
      <c r="G2719" s="501"/>
      <c r="H2719" s="502"/>
      <c r="I2719" s="503">
        <f t="shared" si="46"/>
        <v>49015.559999999954</v>
      </c>
    </row>
    <row r="2720" spans="2:9">
      <c r="B2720" s="496"/>
      <c r="C2720" s="497"/>
      <c r="D2720" s="498"/>
      <c r="E2720" s="499"/>
      <c r="F2720" s="500"/>
      <c r="G2720" s="501"/>
      <c r="H2720" s="502"/>
      <c r="I2720" s="503">
        <f t="shared" si="46"/>
        <v>49015.559999999954</v>
      </c>
    </row>
    <row r="2721" spans="2:9">
      <c r="B2721" s="496"/>
      <c r="C2721" s="497"/>
      <c r="D2721" s="498"/>
      <c r="E2721" s="499"/>
      <c r="F2721" s="500"/>
      <c r="G2721" s="501"/>
      <c r="H2721" s="502"/>
      <c r="I2721" s="503">
        <f t="shared" si="46"/>
        <v>49015.559999999954</v>
      </c>
    </row>
    <row r="2722" spans="2:9">
      <c r="B2722" s="496"/>
      <c r="C2722" s="497"/>
      <c r="D2722" s="498"/>
      <c r="E2722" s="499"/>
      <c r="F2722" s="500"/>
      <c r="G2722" s="501"/>
      <c r="H2722" s="502"/>
      <c r="I2722" s="503">
        <f t="shared" si="46"/>
        <v>49015.559999999954</v>
      </c>
    </row>
    <row r="2723" spans="2:9">
      <c r="B2723" s="496"/>
      <c r="C2723" s="497"/>
      <c r="D2723" s="498"/>
      <c r="E2723" s="499"/>
      <c r="F2723" s="500"/>
      <c r="G2723" s="501"/>
      <c r="H2723" s="502"/>
      <c r="I2723" s="503">
        <f t="shared" si="46"/>
        <v>49015.559999999954</v>
      </c>
    </row>
    <row r="2724" spans="2:9">
      <c r="B2724" s="496"/>
      <c r="C2724" s="497"/>
      <c r="D2724" s="498"/>
      <c r="E2724" s="499"/>
      <c r="F2724" s="500"/>
      <c r="G2724" s="501"/>
      <c r="H2724" s="502"/>
      <c r="I2724" s="503">
        <f t="shared" si="46"/>
        <v>49015.559999999954</v>
      </c>
    </row>
    <row r="2725" spans="2:9">
      <c r="B2725" s="496"/>
      <c r="C2725" s="497"/>
      <c r="D2725" s="498"/>
      <c r="E2725" s="499"/>
      <c r="F2725" s="500"/>
      <c r="G2725" s="501"/>
      <c r="H2725" s="502"/>
      <c r="I2725" s="503">
        <f t="shared" si="46"/>
        <v>49015.559999999954</v>
      </c>
    </row>
    <row r="2726" spans="2:9">
      <c r="B2726" s="496"/>
      <c r="C2726" s="497"/>
      <c r="D2726" s="498"/>
      <c r="E2726" s="499"/>
      <c r="F2726" s="500"/>
      <c r="G2726" s="501"/>
      <c r="H2726" s="502"/>
      <c r="I2726" s="503">
        <f t="shared" si="46"/>
        <v>49015.559999999954</v>
      </c>
    </row>
    <row r="2727" spans="2:9">
      <c r="B2727" s="496"/>
      <c r="C2727" s="497"/>
      <c r="D2727" s="498"/>
      <c r="E2727" s="499"/>
      <c r="F2727" s="500"/>
      <c r="G2727" s="501"/>
      <c r="H2727" s="502"/>
      <c r="I2727" s="503">
        <f t="shared" si="46"/>
        <v>49015.559999999954</v>
      </c>
    </row>
    <row r="2728" spans="2:9">
      <c r="B2728" s="496"/>
      <c r="C2728" s="497"/>
      <c r="D2728" s="498"/>
      <c r="E2728" s="499"/>
      <c r="F2728" s="500"/>
      <c r="G2728" s="501"/>
      <c r="H2728" s="502"/>
      <c r="I2728" s="503">
        <f t="shared" si="46"/>
        <v>49015.559999999954</v>
      </c>
    </row>
    <row r="2729" spans="2:9">
      <c r="B2729" s="496"/>
      <c r="C2729" s="497"/>
      <c r="D2729" s="498"/>
      <c r="E2729" s="499"/>
      <c r="F2729" s="500"/>
      <c r="G2729" s="501"/>
      <c r="H2729" s="502"/>
      <c r="I2729" s="503">
        <f t="shared" si="46"/>
        <v>49015.559999999954</v>
      </c>
    </row>
    <row r="2730" spans="2:9">
      <c r="B2730" s="496"/>
      <c r="C2730" s="497"/>
      <c r="D2730" s="498"/>
      <c r="E2730" s="499"/>
      <c r="F2730" s="500"/>
      <c r="G2730" s="501"/>
      <c r="H2730" s="502"/>
      <c r="I2730" s="503">
        <f t="shared" si="46"/>
        <v>49015.559999999954</v>
      </c>
    </row>
    <row r="2731" spans="2:9">
      <c r="B2731" s="496"/>
      <c r="C2731" s="497"/>
      <c r="D2731" s="498"/>
      <c r="E2731" s="499"/>
      <c r="F2731" s="500"/>
      <c r="G2731" s="501"/>
      <c r="H2731" s="502"/>
      <c r="I2731" s="503">
        <f t="shared" si="46"/>
        <v>49015.559999999954</v>
      </c>
    </row>
    <row r="2732" spans="2:9">
      <c r="B2732" s="496"/>
      <c r="C2732" s="497"/>
      <c r="D2732" s="498"/>
      <c r="E2732" s="499"/>
      <c r="F2732" s="500"/>
      <c r="G2732" s="501"/>
      <c r="H2732" s="502"/>
      <c r="I2732" s="503">
        <f t="shared" si="46"/>
        <v>49015.559999999954</v>
      </c>
    </row>
    <row r="2733" spans="2:9">
      <c r="B2733" s="496"/>
      <c r="C2733" s="497"/>
      <c r="D2733" s="498"/>
      <c r="E2733" s="499"/>
      <c r="F2733" s="500"/>
      <c r="G2733" s="501"/>
      <c r="H2733" s="502"/>
      <c r="I2733" s="503">
        <f t="shared" si="46"/>
        <v>49015.559999999954</v>
      </c>
    </row>
    <row r="2734" spans="2:9">
      <c r="B2734" s="496"/>
      <c r="C2734" s="497"/>
      <c r="D2734" s="498"/>
      <c r="E2734" s="499"/>
      <c r="F2734" s="500"/>
      <c r="G2734" s="501"/>
      <c r="H2734" s="502"/>
      <c r="I2734" s="503">
        <f t="shared" si="46"/>
        <v>49015.559999999954</v>
      </c>
    </row>
    <row r="2735" spans="2:9">
      <c r="B2735" s="496"/>
      <c r="C2735" s="497"/>
      <c r="D2735" s="498"/>
      <c r="E2735" s="499"/>
      <c r="F2735" s="500"/>
      <c r="G2735" s="501"/>
      <c r="H2735" s="502"/>
      <c r="I2735" s="503">
        <f t="shared" si="46"/>
        <v>49015.559999999954</v>
      </c>
    </row>
    <row r="2736" spans="2:9">
      <c r="B2736" s="496"/>
      <c r="C2736" s="497"/>
      <c r="D2736" s="498"/>
      <c r="E2736" s="499"/>
      <c r="F2736" s="500"/>
      <c r="G2736" s="501"/>
      <c r="H2736" s="502"/>
      <c r="I2736" s="503">
        <f t="shared" si="46"/>
        <v>49015.559999999954</v>
      </c>
    </row>
    <row r="2737" spans="2:9">
      <c r="B2737" s="496"/>
      <c r="C2737" s="497"/>
      <c r="D2737" s="498"/>
      <c r="E2737" s="499"/>
      <c r="F2737" s="500"/>
      <c r="G2737" s="501"/>
      <c r="H2737" s="502"/>
      <c r="I2737" s="503">
        <f t="shared" si="46"/>
        <v>49015.559999999954</v>
      </c>
    </row>
    <row r="2738" spans="2:9">
      <c r="B2738" s="496"/>
      <c r="C2738" s="497"/>
      <c r="D2738" s="498"/>
      <c r="E2738" s="499"/>
      <c r="F2738" s="500"/>
      <c r="G2738" s="501"/>
      <c r="H2738" s="502"/>
      <c r="I2738" s="503">
        <f t="shared" si="46"/>
        <v>49015.559999999954</v>
      </c>
    </row>
    <row r="2739" spans="2:9">
      <c r="B2739" s="496"/>
      <c r="C2739" s="497"/>
      <c r="D2739" s="498"/>
      <c r="E2739" s="499"/>
      <c r="F2739" s="500"/>
      <c r="G2739" s="501"/>
      <c r="H2739" s="502"/>
      <c r="I2739" s="503">
        <f t="shared" si="46"/>
        <v>49015.559999999954</v>
      </c>
    </row>
    <row r="2740" spans="2:9">
      <c r="B2740" s="496"/>
      <c r="C2740" s="497"/>
      <c r="D2740" s="498"/>
      <c r="E2740" s="499"/>
      <c r="F2740" s="500"/>
      <c r="G2740" s="501"/>
      <c r="H2740" s="502"/>
      <c r="I2740" s="503">
        <f t="shared" si="46"/>
        <v>49015.559999999954</v>
      </c>
    </row>
    <row r="2741" spans="2:9">
      <c r="B2741" s="496"/>
      <c r="C2741" s="497"/>
      <c r="D2741" s="498"/>
      <c r="E2741" s="499"/>
      <c r="F2741" s="500"/>
      <c r="G2741" s="501"/>
      <c r="H2741" s="502"/>
      <c r="I2741" s="503">
        <f t="shared" si="46"/>
        <v>49015.559999999954</v>
      </c>
    </row>
    <row r="2742" spans="2:9">
      <c r="B2742" s="496"/>
      <c r="C2742" s="497"/>
      <c r="D2742" s="498"/>
      <c r="E2742" s="499"/>
      <c r="F2742" s="500"/>
      <c r="G2742" s="501"/>
      <c r="H2742" s="502"/>
      <c r="I2742" s="503">
        <f t="shared" si="46"/>
        <v>49015.559999999954</v>
      </c>
    </row>
    <row r="2743" spans="2:9">
      <c r="B2743" s="496"/>
      <c r="C2743" s="497"/>
      <c r="D2743" s="498"/>
      <c r="E2743" s="499"/>
      <c r="F2743" s="500"/>
      <c r="G2743" s="501"/>
      <c r="H2743" s="502"/>
      <c r="I2743" s="503">
        <f t="shared" si="46"/>
        <v>49015.559999999954</v>
      </c>
    </row>
    <row r="2744" spans="2:9">
      <c r="B2744" s="496"/>
      <c r="C2744" s="497"/>
      <c r="D2744" s="498"/>
      <c r="E2744" s="499"/>
      <c r="F2744" s="500"/>
      <c r="G2744" s="501"/>
      <c r="H2744" s="502"/>
      <c r="I2744" s="503">
        <f t="shared" si="46"/>
        <v>49015.559999999954</v>
      </c>
    </row>
    <row r="2745" spans="2:9">
      <c r="B2745" s="496"/>
      <c r="C2745" s="497"/>
      <c r="D2745" s="498"/>
      <c r="E2745" s="499"/>
      <c r="F2745" s="500"/>
      <c r="G2745" s="501"/>
      <c r="H2745" s="502"/>
      <c r="I2745" s="503">
        <f t="shared" si="46"/>
        <v>49015.559999999954</v>
      </c>
    </row>
    <row r="2746" spans="2:9">
      <c r="B2746" s="496"/>
      <c r="C2746" s="497"/>
      <c r="D2746" s="498"/>
      <c r="E2746" s="499"/>
      <c r="F2746" s="500"/>
      <c r="G2746" s="501"/>
      <c r="H2746" s="502"/>
      <c r="I2746" s="503">
        <f t="shared" si="46"/>
        <v>49015.559999999954</v>
      </c>
    </row>
    <row r="2747" spans="2:9">
      <c r="B2747" s="496"/>
      <c r="C2747" s="497"/>
      <c r="D2747" s="498"/>
      <c r="E2747" s="499"/>
      <c r="F2747" s="500"/>
      <c r="G2747" s="501"/>
      <c r="H2747" s="502"/>
      <c r="I2747" s="503">
        <f t="shared" si="46"/>
        <v>49015.559999999954</v>
      </c>
    </row>
    <row r="2748" spans="2:9">
      <c r="B2748" s="496"/>
      <c r="C2748" s="497"/>
      <c r="D2748" s="498"/>
      <c r="E2748" s="499"/>
      <c r="F2748" s="500"/>
      <c r="G2748" s="501"/>
      <c r="H2748" s="502"/>
      <c r="I2748" s="503">
        <f t="shared" si="46"/>
        <v>49015.559999999954</v>
      </c>
    </row>
    <row r="2749" spans="2:9">
      <c r="B2749" s="496"/>
      <c r="C2749" s="497"/>
      <c r="D2749" s="498"/>
      <c r="E2749" s="499"/>
      <c r="F2749" s="500"/>
      <c r="G2749" s="501"/>
      <c r="H2749" s="502"/>
      <c r="I2749" s="503">
        <f t="shared" si="46"/>
        <v>49015.559999999954</v>
      </c>
    </row>
    <row r="2750" spans="2:9">
      <c r="B2750" s="496"/>
      <c r="C2750" s="497"/>
      <c r="D2750" s="498"/>
      <c r="E2750" s="499"/>
      <c r="F2750" s="500"/>
      <c r="G2750" s="501"/>
      <c r="H2750" s="502"/>
      <c r="I2750" s="503">
        <f t="shared" si="46"/>
        <v>49015.559999999954</v>
      </c>
    </row>
    <row r="2751" spans="2:9">
      <c r="B2751" s="496"/>
      <c r="C2751" s="497"/>
      <c r="D2751" s="498"/>
      <c r="E2751" s="499"/>
      <c r="F2751" s="500"/>
      <c r="G2751" s="501"/>
      <c r="H2751" s="502"/>
      <c r="I2751" s="503">
        <f t="shared" si="46"/>
        <v>49015.559999999954</v>
      </c>
    </row>
    <row r="2752" spans="2:9">
      <c r="B2752" s="496"/>
      <c r="C2752" s="497"/>
      <c r="D2752" s="498"/>
      <c r="E2752" s="499"/>
      <c r="F2752" s="500"/>
      <c r="G2752" s="501"/>
      <c r="H2752" s="502"/>
      <c r="I2752" s="503">
        <f t="shared" si="46"/>
        <v>49015.559999999954</v>
      </c>
    </row>
    <row r="2753" spans="2:9">
      <c r="B2753" s="496"/>
      <c r="C2753" s="497"/>
      <c r="D2753" s="498"/>
      <c r="E2753" s="499"/>
      <c r="F2753" s="500"/>
      <c r="G2753" s="501"/>
      <c r="H2753" s="502"/>
      <c r="I2753" s="503">
        <f t="shared" si="46"/>
        <v>49015.559999999954</v>
      </c>
    </row>
    <row r="2754" spans="2:9">
      <c r="B2754" s="496"/>
      <c r="C2754" s="497"/>
      <c r="D2754" s="498"/>
      <c r="E2754" s="499"/>
      <c r="F2754" s="500"/>
      <c r="G2754" s="501"/>
      <c r="H2754" s="502"/>
      <c r="I2754" s="503">
        <f t="shared" si="46"/>
        <v>49015.559999999954</v>
      </c>
    </row>
    <row r="2755" spans="2:9">
      <c r="B2755" s="496"/>
      <c r="C2755" s="497"/>
      <c r="D2755" s="498"/>
      <c r="E2755" s="499"/>
      <c r="F2755" s="500"/>
      <c r="G2755" s="501"/>
      <c r="H2755" s="502"/>
      <c r="I2755" s="503">
        <f t="shared" si="46"/>
        <v>49015.559999999954</v>
      </c>
    </row>
    <row r="2756" spans="2:9">
      <c r="B2756" s="496"/>
      <c r="C2756" s="497"/>
      <c r="D2756" s="498"/>
      <c r="E2756" s="499"/>
      <c r="F2756" s="500"/>
      <c r="G2756" s="501"/>
      <c r="H2756" s="502"/>
      <c r="I2756" s="503">
        <f t="shared" si="46"/>
        <v>49015.559999999954</v>
      </c>
    </row>
    <row r="2757" spans="2:9">
      <c r="B2757" s="496"/>
      <c r="C2757" s="497"/>
      <c r="D2757" s="498"/>
      <c r="E2757" s="499"/>
      <c r="F2757" s="500"/>
      <c r="G2757" s="501"/>
      <c r="H2757" s="502"/>
      <c r="I2757" s="503">
        <f t="shared" si="46"/>
        <v>49015.559999999954</v>
      </c>
    </row>
    <row r="2758" spans="2:9">
      <c r="B2758" s="496"/>
      <c r="C2758" s="497"/>
      <c r="D2758" s="498"/>
      <c r="E2758" s="499"/>
      <c r="F2758" s="500"/>
      <c r="G2758" s="501"/>
      <c r="H2758" s="502"/>
      <c r="I2758" s="503">
        <f t="shared" si="46"/>
        <v>49015.559999999954</v>
      </c>
    </row>
    <row r="2759" spans="2:9">
      <c r="B2759" s="496"/>
      <c r="C2759" s="497"/>
      <c r="D2759" s="498"/>
      <c r="E2759" s="499"/>
      <c r="F2759" s="500"/>
      <c r="G2759" s="501"/>
      <c r="H2759" s="502"/>
      <c r="I2759" s="503">
        <f t="shared" si="46"/>
        <v>49015.559999999954</v>
      </c>
    </row>
    <row r="2760" spans="2:9">
      <c r="B2760" s="496"/>
      <c r="C2760" s="497"/>
      <c r="D2760" s="498"/>
      <c r="E2760" s="499"/>
      <c r="F2760" s="500"/>
      <c r="G2760" s="501"/>
      <c r="H2760" s="502"/>
      <c r="I2760" s="503">
        <f t="shared" si="46"/>
        <v>49015.559999999954</v>
      </c>
    </row>
    <row r="2761" spans="2:9">
      <c r="B2761" s="496"/>
      <c r="C2761" s="497"/>
      <c r="D2761" s="498"/>
      <c r="E2761" s="499"/>
      <c r="F2761" s="500"/>
      <c r="G2761" s="501"/>
      <c r="H2761" s="502"/>
      <c r="I2761" s="503">
        <f t="shared" si="46"/>
        <v>49015.559999999954</v>
      </c>
    </row>
    <row r="2762" spans="2:9">
      <c r="B2762" s="496"/>
      <c r="C2762" s="497"/>
      <c r="D2762" s="498"/>
      <c r="E2762" s="499"/>
      <c r="F2762" s="500"/>
      <c r="G2762" s="501"/>
      <c r="H2762" s="502"/>
      <c r="I2762" s="503">
        <f t="shared" si="46"/>
        <v>49015.559999999954</v>
      </c>
    </row>
    <row r="2763" spans="2:9">
      <c r="B2763" s="496"/>
      <c r="C2763" s="497"/>
      <c r="D2763" s="498"/>
      <c r="E2763" s="499"/>
      <c r="F2763" s="500"/>
      <c r="G2763" s="501"/>
      <c r="H2763" s="502"/>
      <c r="I2763" s="503">
        <f t="shared" si="46"/>
        <v>49015.559999999954</v>
      </c>
    </row>
    <row r="2764" spans="2:9">
      <c r="B2764" s="496"/>
      <c r="C2764" s="497"/>
      <c r="D2764" s="498"/>
      <c r="E2764" s="499"/>
      <c r="F2764" s="500"/>
      <c r="G2764" s="501"/>
      <c r="H2764" s="502"/>
      <c r="I2764" s="503">
        <f t="shared" si="46"/>
        <v>49015.559999999954</v>
      </c>
    </row>
    <row r="2765" spans="2:9">
      <c r="B2765" s="496"/>
      <c r="C2765" s="497"/>
      <c r="D2765" s="498"/>
      <c r="E2765" s="499"/>
      <c r="F2765" s="500"/>
      <c r="G2765" s="501"/>
      <c r="H2765" s="502"/>
      <c r="I2765" s="503">
        <f t="shared" si="46"/>
        <v>49015.559999999954</v>
      </c>
    </row>
    <row r="2766" spans="2:9">
      <c r="B2766" s="496"/>
      <c r="C2766" s="497"/>
      <c r="D2766" s="498"/>
      <c r="E2766" s="499"/>
      <c r="F2766" s="500"/>
      <c r="G2766" s="501"/>
      <c r="H2766" s="502"/>
      <c r="I2766" s="503">
        <f t="shared" si="46"/>
        <v>49015.559999999954</v>
      </c>
    </row>
    <row r="2767" spans="2:9">
      <c r="B2767" s="496"/>
      <c r="C2767" s="497"/>
      <c r="D2767" s="498"/>
      <c r="E2767" s="499"/>
      <c r="F2767" s="500"/>
      <c r="G2767" s="501"/>
      <c r="H2767" s="502"/>
      <c r="I2767" s="503">
        <f t="shared" si="46"/>
        <v>49015.559999999954</v>
      </c>
    </row>
    <row r="2768" spans="2:9">
      <c r="B2768" s="496"/>
      <c r="C2768" s="497"/>
      <c r="D2768" s="498"/>
      <c r="E2768" s="499"/>
      <c r="F2768" s="500"/>
      <c r="G2768" s="501"/>
      <c r="H2768" s="502"/>
      <c r="I2768" s="503">
        <f t="shared" si="46"/>
        <v>49015.559999999954</v>
      </c>
    </row>
    <row r="2769" spans="2:9">
      <c r="B2769" s="496"/>
      <c r="C2769" s="497"/>
      <c r="D2769" s="498"/>
      <c r="E2769" s="499"/>
      <c r="F2769" s="500"/>
      <c r="G2769" s="501"/>
      <c r="H2769" s="502"/>
      <c r="I2769" s="503">
        <f t="shared" si="46"/>
        <v>49015.559999999954</v>
      </c>
    </row>
    <row r="2770" spans="2:9">
      <c r="B2770" s="496"/>
      <c r="C2770" s="497"/>
      <c r="D2770" s="498"/>
      <c r="E2770" s="499"/>
      <c r="F2770" s="500"/>
      <c r="G2770" s="501"/>
      <c r="H2770" s="502"/>
      <c r="I2770" s="503">
        <f t="shared" si="46"/>
        <v>49015.559999999954</v>
      </c>
    </row>
    <row r="2771" spans="2:9">
      <c r="B2771" s="496"/>
      <c r="C2771" s="497"/>
      <c r="D2771" s="498"/>
      <c r="E2771" s="499"/>
      <c r="F2771" s="500"/>
      <c r="G2771" s="501"/>
      <c r="H2771" s="502"/>
      <c r="I2771" s="503">
        <f t="shared" si="46"/>
        <v>49015.559999999954</v>
      </c>
    </row>
    <row r="2772" spans="2:9">
      <c r="B2772" s="496"/>
      <c r="C2772" s="497"/>
      <c r="D2772" s="498"/>
      <c r="E2772" s="499"/>
      <c r="F2772" s="500"/>
      <c r="G2772" s="501"/>
      <c r="H2772" s="502"/>
      <c r="I2772" s="503">
        <f t="shared" si="46"/>
        <v>49015.559999999954</v>
      </c>
    </row>
    <row r="2773" spans="2:9">
      <c r="B2773" s="496"/>
      <c r="C2773" s="497"/>
      <c r="D2773" s="498"/>
      <c r="E2773" s="499"/>
      <c r="F2773" s="500"/>
      <c r="G2773" s="501"/>
      <c r="H2773" s="502"/>
      <c r="I2773" s="503">
        <f t="shared" si="46"/>
        <v>49015.559999999954</v>
      </c>
    </row>
    <row r="2774" spans="2:9">
      <c r="B2774" s="496"/>
      <c r="C2774" s="497"/>
      <c r="D2774" s="498"/>
      <c r="E2774" s="499"/>
      <c r="F2774" s="500"/>
      <c r="G2774" s="501"/>
      <c r="H2774" s="502"/>
      <c r="I2774" s="503">
        <f t="shared" si="46"/>
        <v>49015.559999999954</v>
      </c>
    </row>
    <row r="2775" spans="2:9">
      <c r="B2775" s="496"/>
      <c r="C2775" s="497"/>
      <c r="D2775" s="498"/>
      <c r="E2775" s="499"/>
      <c r="F2775" s="500"/>
      <c r="G2775" s="501"/>
      <c r="H2775" s="502"/>
      <c r="I2775" s="503">
        <f t="shared" si="46"/>
        <v>49015.559999999954</v>
      </c>
    </row>
    <row r="2776" spans="2:9">
      <c r="B2776" s="496"/>
      <c r="C2776" s="497"/>
      <c r="D2776" s="498"/>
      <c r="E2776" s="499"/>
      <c r="F2776" s="500"/>
      <c r="G2776" s="501"/>
      <c r="H2776" s="502"/>
      <c r="I2776" s="503">
        <f t="shared" si="46"/>
        <v>49015.559999999954</v>
      </c>
    </row>
    <row r="2777" spans="2:9">
      <c r="B2777" s="496"/>
      <c r="C2777" s="497"/>
      <c r="D2777" s="498"/>
      <c r="E2777" s="499"/>
      <c r="F2777" s="500"/>
      <c r="G2777" s="501"/>
      <c r="H2777" s="502"/>
      <c r="I2777" s="503">
        <f t="shared" ref="I2777:I2840" si="47">I2776+E2778-F2779</f>
        <v>49015.559999999954</v>
      </c>
    </row>
    <row r="2778" spans="2:9">
      <c r="B2778" s="496"/>
      <c r="C2778" s="497"/>
      <c r="D2778" s="498"/>
      <c r="E2778" s="499"/>
      <c r="F2778" s="500"/>
      <c r="G2778" s="501"/>
      <c r="H2778" s="502"/>
      <c r="I2778" s="503">
        <f t="shared" si="47"/>
        <v>49015.559999999954</v>
      </c>
    </row>
    <row r="2779" spans="2:9">
      <c r="B2779" s="496"/>
      <c r="C2779" s="497"/>
      <c r="D2779" s="498"/>
      <c r="E2779" s="499"/>
      <c r="F2779" s="500"/>
      <c r="G2779" s="501"/>
      <c r="H2779" s="502"/>
      <c r="I2779" s="503">
        <f t="shared" si="47"/>
        <v>49015.559999999954</v>
      </c>
    </row>
    <row r="2780" spans="2:9">
      <c r="B2780" s="496"/>
      <c r="C2780" s="497"/>
      <c r="D2780" s="498"/>
      <c r="E2780" s="499"/>
      <c r="F2780" s="500"/>
      <c r="G2780" s="501"/>
      <c r="H2780" s="502"/>
      <c r="I2780" s="503">
        <f t="shared" si="47"/>
        <v>49015.559999999954</v>
      </c>
    </row>
    <row r="2781" spans="2:9">
      <c r="B2781" s="496"/>
      <c r="C2781" s="497"/>
      <c r="D2781" s="498"/>
      <c r="E2781" s="499"/>
      <c r="F2781" s="500"/>
      <c r="G2781" s="501"/>
      <c r="H2781" s="502"/>
      <c r="I2781" s="503">
        <f t="shared" si="47"/>
        <v>49015.559999999954</v>
      </c>
    </row>
    <row r="2782" spans="2:9">
      <c r="B2782" s="496"/>
      <c r="C2782" s="497"/>
      <c r="D2782" s="498"/>
      <c r="E2782" s="499"/>
      <c r="F2782" s="500"/>
      <c r="G2782" s="501"/>
      <c r="H2782" s="502"/>
      <c r="I2782" s="503">
        <f t="shared" si="47"/>
        <v>49015.559999999954</v>
      </c>
    </row>
    <row r="2783" spans="2:9">
      <c r="B2783" s="496"/>
      <c r="C2783" s="497"/>
      <c r="D2783" s="498"/>
      <c r="E2783" s="499"/>
      <c r="F2783" s="500"/>
      <c r="G2783" s="501"/>
      <c r="H2783" s="502"/>
      <c r="I2783" s="503">
        <f t="shared" si="47"/>
        <v>49015.559999999954</v>
      </c>
    </row>
    <row r="2784" spans="2:9">
      <c r="B2784" s="496"/>
      <c r="C2784" s="497"/>
      <c r="D2784" s="498"/>
      <c r="E2784" s="499"/>
      <c r="F2784" s="500"/>
      <c r="G2784" s="501"/>
      <c r="H2784" s="502"/>
      <c r="I2784" s="503">
        <f t="shared" si="47"/>
        <v>49015.559999999954</v>
      </c>
    </row>
    <row r="2785" spans="2:9">
      <c r="B2785" s="496"/>
      <c r="C2785" s="497"/>
      <c r="D2785" s="498"/>
      <c r="E2785" s="499"/>
      <c r="F2785" s="500"/>
      <c r="G2785" s="501"/>
      <c r="H2785" s="502"/>
      <c r="I2785" s="503">
        <f t="shared" si="47"/>
        <v>49015.559999999954</v>
      </c>
    </row>
    <row r="2786" spans="2:9">
      <c r="B2786" s="496"/>
      <c r="C2786" s="497"/>
      <c r="D2786" s="498"/>
      <c r="E2786" s="499"/>
      <c r="F2786" s="500"/>
      <c r="G2786" s="501"/>
      <c r="H2786" s="502"/>
      <c r="I2786" s="503">
        <f t="shared" si="47"/>
        <v>49015.559999999954</v>
      </c>
    </row>
    <row r="2787" spans="2:9">
      <c r="B2787" s="496"/>
      <c r="C2787" s="497"/>
      <c r="D2787" s="498"/>
      <c r="E2787" s="499"/>
      <c r="F2787" s="500"/>
      <c r="G2787" s="501"/>
      <c r="H2787" s="502"/>
      <c r="I2787" s="503">
        <f t="shared" si="47"/>
        <v>49015.559999999954</v>
      </c>
    </row>
    <row r="2788" spans="2:9">
      <c r="B2788" s="496"/>
      <c r="C2788" s="497"/>
      <c r="D2788" s="498"/>
      <c r="E2788" s="499"/>
      <c r="F2788" s="500"/>
      <c r="G2788" s="501"/>
      <c r="H2788" s="502"/>
      <c r="I2788" s="503">
        <f t="shared" si="47"/>
        <v>49015.559999999954</v>
      </c>
    </row>
    <row r="2789" spans="2:9">
      <c r="B2789" s="496"/>
      <c r="C2789" s="497"/>
      <c r="D2789" s="498"/>
      <c r="E2789" s="499"/>
      <c r="F2789" s="500"/>
      <c r="G2789" s="501"/>
      <c r="H2789" s="502"/>
      <c r="I2789" s="503">
        <f t="shared" si="47"/>
        <v>49015.559999999954</v>
      </c>
    </row>
    <row r="2790" spans="2:9">
      <c r="B2790" s="496"/>
      <c r="C2790" s="497"/>
      <c r="D2790" s="498"/>
      <c r="E2790" s="499"/>
      <c r="F2790" s="500"/>
      <c r="G2790" s="501"/>
      <c r="H2790" s="502"/>
      <c r="I2790" s="503">
        <f t="shared" si="47"/>
        <v>49015.559999999954</v>
      </c>
    </row>
    <row r="2791" spans="2:9">
      <c r="B2791" s="496"/>
      <c r="C2791" s="497"/>
      <c r="D2791" s="498"/>
      <c r="E2791" s="499"/>
      <c r="F2791" s="500"/>
      <c r="G2791" s="501"/>
      <c r="H2791" s="502"/>
      <c r="I2791" s="503">
        <f t="shared" si="47"/>
        <v>49015.559999999954</v>
      </c>
    </row>
    <row r="2792" spans="2:9">
      <c r="B2792" s="496"/>
      <c r="C2792" s="497"/>
      <c r="D2792" s="498"/>
      <c r="E2792" s="499"/>
      <c r="F2792" s="500"/>
      <c r="G2792" s="501"/>
      <c r="H2792" s="502"/>
      <c r="I2792" s="503">
        <f t="shared" si="47"/>
        <v>49015.559999999954</v>
      </c>
    </row>
    <row r="2793" spans="2:9">
      <c r="B2793" s="496"/>
      <c r="C2793" s="497"/>
      <c r="D2793" s="498"/>
      <c r="E2793" s="499"/>
      <c r="F2793" s="500"/>
      <c r="G2793" s="501"/>
      <c r="H2793" s="502"/>
      <c r="I2793" s="503">
        <f t="shared" si="47"/>
        <v>49015.559999999954</v>
      </c>
    </row>
    <row r="2794" spans="2:9">
      <c r="B2794" s="496"/>
      <c r="C2794" s="497"/>
      <c r="D2794" s="498"/>
      <c r="E2794" s="499"/>
      <c r="F2794" s="500"/>
      <c r="G2794" s="501"/>
      <c r="H2794" s="502"/>
      <c r="I2794" s="503">
        <f t="shared" si="47"/>
        <v>49015.559999999954</v>
      </c>
    </row>
    <row r="2795" spans="2:9">
      <c r="B2795" s="496"/>
      <c r="C2795" s="497"/>
      <c r="D2795" s="498"/>
      <c r="E2795" s="499"/>
      <c r="F2795" s="500"/>
      <c r="G2795" s="501"/>
      <c r="H2795" s="502"/>
      <c r="I2795" s="503">
        <f t="shared" si="47"/>
        <v>49015.559999999954</v>
      </c>
    </row>
    <row r="2796" spans="2:9">
      <c r="B2796" s="496"/>
      <c r="C2796" s="497"/>
      <c r="D2796" s="498"/>
      <c r="E2796" s="499"/>
      <c r="F2796" s="500"/>
      <c r="G2796" s="501"/>
      <c r="H2796" s="502"/>
      <c r="I2796" s="503">
        <f t="shared" si="47"/>
        <v>49015.559999999954</v>
      </c>
    </row>
    <row r="2797" spans="2:9">
      <c r="B2797" s="496"/>
      <c r="C2797" s="497"/>
      <c r="D2797" s="498"/>
      <c r="E2797" s="499"/>
      <c r="F2797" s="500"/>
      <c r="G2797" s="501"/>
      <c r="H2797" s="502"/>
      <c r="I2797" s="503">
        <f t="shared" si="47"/>
        <v>49015.559999999954</v>
      </c>
    </row>
    <row r="2798" spans="2:9">
      <c r="B2798" s="496"/>
      <c r="C2798" s="497"/>
      <c r="D2798" s="498"/>
      <c r="E2798" s="499"/>
      <c r="F2798" s="500"/>
      <c r="G2798" s="501"/>
      <c r="H2798" s="502"/>
      <c r="I2798" s="503">
        <f t="shared" si="47"/>
        <v>49015.559999999954</v>
      </c>
    </row>
    <row r="2799" spans="2:9">
      <c r="B2799" s="496"/>
      <c r="C2799" s="497"/>
      <c r="D2799" s="498"/>
      <c r="E2799" s="499"/>
      <c r="F2799" s="500"/>
      <c r="G2799" s="501"/>
      <c r="H2799" s="502"/>
      <c r="I2799" s="503">
        <f t="shared" si="47"/>
        <v>49015.559999999954</v>
      </c>
    </row>
    <row r="2800" spans="2:9">
      <c r="B2800" s="496"/>
      <c r="C2800" s="497"/>
      <c r="D2800" s="498"/>
      <c r="E2800" s="499"/>
      <c r="F2800" s="500"/>
      <c r="G2800" s="501"/>
      <c r="H2800" s="502"/>
      <c r="I2800" s="503">
        <f t="shared" si="47"/>
        <v>49015.559999999954</v>
      </c>
    </row>
    <row r="2801" spans="2:9">
      <c r="B2801" s="496"/>
      <c r="C2801" s="497"/>
      <c r="D2801" s="498"/>
      <c r="E2801" s="499"/>
      <c r="F2801" s="500"/>
      <c r="G2801" s="501"/>
      <c r="H2801" s="502"/>
      <c r="I2801" s="503">
        <f t="shared" si="47"/>
        <v>49015.559999999954</v>
      </c>
    </row>
    <row r="2802" spans="2:9">
      <c r="B2802" s="496"/>
      <c r="C2802" s="497"/>
      <c r="D2802" s="498"/>
      <c r="E2802" s="499"/>
      <c r="F2802" s="500"/>
      <c r="G2802" s="501"/>
      <c r="H2802" s="502"/>
      <c r="I2802" s="503">
        <f t="shared" si="47"/>
        <v>49015.559999999954</v>
      </c>
    </row>
    <row r="2803" spans="2:9">
      <c r="B2803" s="496"/>
      <c r="C2803" s="497"/>
      <c r="D2803" s="498"/>
      <c r="E2803" s="499"/>
      <c r="F2803" s="500"/>
      <c r="G2803" s="501"/>
      <c r="H2803" s="502"/>
      <c r="I2803" s="503">
        <f t="shared" si="47"/>
        <v>49015.559999999954</v>
      </c>
    </row>
    <row r="2804" spans="2:9">
      <c r="B2804" s="496"/>
      <c r="C2804" s="497"/>
      <c r="D2804" s="498"/>
      <c r="E2804" s="499"/>
      <c r="F2804" s="500"/>
      <c r="G2804" s="501"/>
      <c r="H2804" s="502"/>
      <c r="I2804" s="503">
        <f t="shared" si="47"/>
        <v>49015.559999999954</v>
      </c>
    </row>
    <row r="2805" spans="2:9">
      <c r="B2805" s="496"/>
      <c r="C2805" s="497"/>
      <c r="D2805" s="498"/>
      <c r="E2805" s="499"/>
      <c r="F2805" s="500"/>
      <c r="G2805" s="501"/>
      <c r="H2805" s="502"/>
      <c r="I2805" s="503">
        <f t="shared" si="47"/>
        <v>49015.559999999954</v>
      </c>
    </row>
    <row r="2806" spans="2:9">
      <c r="B2806" s="496"/>
      <c r="C2806" s="497"/>
      <c r="D2806" s="498"/>
      <c r="E2806" s="499"/>
      <c r="F2806" s="500"/>
      <c r="G2806" s="501"/>
      <c r="H2806" s="502"/>
      <c r="I2806" s="503">
        <f t="shared" si="47"/>
        <v>49015.559999999954</v>
      </c>
    </row>
    <row r="2807" spans="2:9">
      <c r="B2807" s="496"/>
      <c r="C2807" s="497"/>
      <c r="D2807" s="498"/>
      <c r="E2807" s="499"/>
      <c r="F2807" s="500"/>
      <c r="G2807" s="501"/>
      <c r="H2807" s="502"/>
      <c r="I2807" s="503">
        <f t="shared" si="47"/>
        <v>49015.559999999954</v>
      </c>
    </row>
    <row r="2808" spans="2:9">
      <c r="B2808" s="496"/>
      <c r="C2808" s="497"/>
      <c r="D2808" s="498"/>
      <c r="E2808" s="499"/>
      <c r="F2808" s="500"/>
      <c r="G2808" s="501"/>
      <c r="H2808" s="502"/>
      <c r="I2808" s="503">
        <f t="shared" si="47"/>
        <v>49015.559999999954</v>
      </c>
    </row>
    <row r="2809" spans="2:9">
      <c r="B2809" s="496"/>
      <c r="C2809" s="497"/>
      <c r="D2809" s="498"/>
      <c r="E2809" s="499"/>
      <c r="F2809" s="500"/>
      <c r="G2809" s="501"/>
      <c r="H2809" s="502"/>
      <c r="I2809" s="503">
        <f t="shared" si="47"/>
        <v>49015.559999999954</v>
      </c>
    </row>
    <row r="2810" spans="2:9">
      <c r="B2810" s="496"/>
      <c r="C2810" s="497"/>
      <c r="D2810" s="498"/>
      <c r="E2810" s="499"/>
      <c r="F2810" s="500"/>
      <c r="G2810" s="501"/>
      <c r="H2810" s="502"/>
      <c r="I2810" s="503">
        <f t="shared" si="47"/>
        <v>49015.559999999954</v>
      </c>
    </row>
    <row r="2811" spans="2:9">
      <c r="B2811" s="496"/>
      <c r="C2811" s="497"/>
      <c r="D2811" s="498"/>
      <c r="E2811" s="499"/>
      <c r="F2811" s="500"/>
      <c r="G2811" s="501"/>
      <c r="H2811" s="502"/>
      <c r="I2811" s="503">
        <f t="shared" si="47"/>
        <v>49015.559999999954</v>
      </c>
    </row>
    <row r="2812" spans="2:9">
      <c r="B2812" s="496"/>
      <c r="C2812" s="497"/>
      <c r="D2812" s="498"/>
      <c r="E2812" s="499"/>
      <c r="F2812" s="500"/>
      <c r="G2812" s="501"/>
      <c r="H2812" s="502"/>
      <c r="I2812" s="503">
        <f t="shared" si="47"/>
        <v>49015.559999999954</v>
      </c>
    </row>
    <row r="2813" spans="2:9">
      <c r="B2813" s="496"/>
      <c r="C2813" s="497"/>
      <c r="D2813" s="498"/>
      <c r="E2813" s="499"/>
      <c r="F2813" s="500"/>
      <c r="G2813" s="501"/>
      <c r="H2813" s="502"/>
      <c r="I2813" s="503">
        <f t="shared" si="47"/>
        <v>49015.559999999954</v>
      </c>
    </row>
    <row r="2814" spans="2:9">
      <c r="B2814" s="496"/>
      <c r="C2814" s="497"/>
      <c r="D2814" s="498"/>
      <c r="E2814" s="499"/>
      <c r="F2814" s="500"/>
      <c r="G2814" s="501"/>
      <c r="H2814" s="502"/>
      <c r="I2814" s="503">
        <f t="shared" si="47"/>
        <v>49015.559999999954</v>
      </c>
    </row>
    <row r="2815" spans="2:9">
      <c r="B2815" s="496"/>
      <c r="C2815" s="497"/>
      <c r="D2815" s="498"/>
      <c r="E2815" s="499"/>
      <c r="F2815" s="500"/>
      <c r="G2815" s="501"/>
      <c r="H2815" s="502"/>
      <c r="I2815" s="503">
        <f t="shared" si="47"/>
        <v>49015.559999999954</v>
      </c>
    </row>
    <row r="2816" spans="2:9">
      <c r="B2816" s="496"/>
      <c r="C2816" s="497"/>
      <c r="D2816" s="498"/>
      <c r="E2816" s="499"/>
      <c r="F2816" s="500"/>
      <c r="G2816" s="501"/>
      <c r="H2816" s="502"/>
      <c r="I2816" s="503">
        <f t="shared" si="47"/>
        <v>49015.559999999954</v>
      </c>
    </row>
    <row r="2817" spans="2:9">
      <c r="B2817" s="496"/>
      <c r="C2817" s="497"/>
      <c r="D2817" s="498"/>
      <c r="E2817" s="499"/>
      <c r="F2817" s="500"/>
      <c r="G2817" s="501"/>
      <c r="H2817" s="502"/>
      <c r="I2817" s="503">
        <f t="shared" si="47"/>
        <v>49015.559999999954</v>
      </c>
    </row>
    <row r="2818" spans="2:9">
      <c r="B2818" s="496"/>
      <c r="C2818" s="497"/>
      <c r="D2818" s="498"/>
      <c r="E2818" s="499"/>
      <c r="F2818" s="500"/>
      <c r="G2818" s="501"/>
      <c r="H2818" s="502"/>
      <c r="I2818" s="503">
        <f t="shared" si="47"/>
        <v>49015.559999999954</v>
      </c>
    </row>
    <row r="2819" spans="2:9">
      <c r="B2819" s="496"/>
      <c r="C2819" s="497"/>
      <c r="D2819" s="498"/>
      <c r="E2819" s="499"/>
      <c r="F2819" s="500"/>
      <c r="G2819" s="501"/>
      <c r="H2819" s="502"/>
      <c r="I2819" s="503">
        <f t="shared" si="47"/>
        <v>49015.559999999954</v>
      </c>
    </row>
    <row r="2820" spans="2:9">
      <c r="B2820" s="496"/>
      <c r="C2820" s="497"/>
      <c r="D2820" s="498"/>
      <c r="E2820" s="499"/>
      <c r="F2820" s="500"/>
      <c r="G2820" s="501"/>
      <c r="H2820" s="502"/>
      <c r="I2820" s="503">
        <f t="shared" si="47"/>
        <v>49015.559999999954</v>
      </c>
    </row>
    <row r="2821" spans="2:9">
      <c r="B2821" s="496"/>
      <c r="C2821" s="497"/>
      <c r="D2821" s="498"/>
      <c r="E2821" s="499"/>
      <c r="F2821" s="500"/>
      <c r="G2821" s="501"/>
      <c r="H2821" s="502"/>
      <c r="I2821" s="503">
        <f t="shared" si="47"/>
        <v>49015.559999999954</v>
      </c>
    </row>
    <row r="2822" spans="2:9">
      <c r="B2822" s="496"/>
      <c r="C2822" s="497"/>
      <c r="D2822" s="498"/>
      <c r="E2822" s="499"/>
      <c r="F2822" s="500"/>
      <c r="G2822" s="501"/>
      <c r="H2822" s="502"/>
      <c r="I2822" s="503">
        <f t="shared" si="47"/>
        <v>49015.559999999954</v>
      </c>
    </row>
    <row r="2823" spans="2:9">
      <c r="B2823" s="496"/>
      <c r="C2823" s="497"/>
      <c r="D2823" s="498"/>
      <c r="E2823" s="499"/>
      <c r="F2823" s="500"/>
      <c r="G2823" s="501"/>
      <c r="H2823" s="502"/>
      <c r="I2823" s="503">
        <f t="shared" si="47"/>
        <v>49015.559999999954</v>
      </c>
    </row>
    <row r="2824" spans="2:9">
      <c r="B2824" s="496"/>
      <c r="C2824" s="497"/>
      <c r="D2824" s="498"/>
      <c r="E2824" s="499"/>
      <c r="F2824" s="500"/>
      <c r="G2824" s="501"/>
      <c r="H2824" s="502"/>
      <c r="I2824" s="503">
        <f t="shared" si="47"/>
        <v>49015.559999999954</v>
      </c>
    </row>
    <row r="2825" spans="2:9">
      <c r="B2825" s="496"/>
      <c r="C2825" s="497"/>
      <c r="D2825" s="498"/>
      <c r="E2825" s="499"/>
      <c r="F2825" s="500"/>
      <c r="G2825" s="501"/>
      <c r="H2825" s="502"/>
      <c r="I2825" s="503">
        <f t="shared" si="47"/>
        <v>49015.559999999954</v>
      </c>
    </row>
    <row r="2826" spans="2:9">
      <c r="B2826" s="496"/>
      <c r="C2826" s="497"/>
      <c r="D2826" s="498"/>
      <c r="E2826" s="499"/>
      <c r="F2826" s="500"/>
      <c r="G2826" s="501"/>
      <c r="H2826" s="502"/>
      <c r="I2826" s="503">
        <f t="shared" si="47"/>
        <v>49015.559999999954</v>
      </c>
    </row>
    <row r="2827" spans="2:9">
      <c r="B2827" s="496"/>
      <c r="C2827" s="497"/>
      <c r="D2827" s="498"/>
      <c r="E2827" s="499"/>
      <c r="F2827" s="500"/>
      <c r="G2827" s="501"/>
      <c r="H2827" s="502"/>
      <c r="I2827" s="503">
        <f t="shared" si="47"/>
        <v>49015.559999999954</v>
      </c>
    </row>
    <row r="2828" spans="2:9">
      <c r="B2828" s="496"/>
      <c r="C2828" s="497"/>
      <c r="D2828" s="498"/>
      <c r="E2828" s="499"/>
      <c r="F2828" s="500"/>
      <c r="G2828" s="501"/>
      <c r="H2828" s="502"/>
      <c r="I2828" s="503">
        <f t="shared" si="47"/>
        <v>49015.559999999954</v>
      </c>
    </row>
    <row r="2829" spans="2:9">
      <c r="B2829" s="496"/>
      <c r="C2829" s="497"/>
      <c r="D2829" s="498"/>
      <c r="E2829" s="499"/>
      <c r="F2829" s="500"/>
      <c r="G2829" s="501"/>
      <c r="H2829" s="502"/>
      <c r="I2829" s="503">
        <f t="shared" si="47"/>
        <v>49015.559999999954</v>
      </c>
    </row>
    <row r="2830" spans="2:9">
      <c r="B2830" s="496"/>
      <c r="C2830" s="497"/>
      <c r="D2830" s="498"/>
      <c r="E2830" s="499"/>
      <c r="F2830" s="500"/>
      <c r="G2830" s="501"/>
      <c r="H2830" s="502"/>
      <c r="I2830" s="503">
        <f t="shared" si="47"/>
        <v>49015.559999999954</v>
      </c>
    </row>
    <row r="2831" spans="2:9">
      <c r="B2831" s="496"/>
      <c r="C2831" s="497"/>
      <c r="D2831" s="498"/>
      <c r="E2831" s="499"/>
      <c r="F2831" s="500"/>
      <c r="G2831" s="501"/>
      <c r="H2831" s="502"/>
      <c r="I2831" s="503">
        <f t="shared" si="47"/>
        <v>49015.559999999954</v>
      </c>
    </row>
    <row r="2832" spans="2:9">
      <c r="B2832" s="496"/>
      <c r="C2832" s="497"/>
      <c r="D2832" s="498"/>
      <c r="E2832" s="499"/>
      <c r="F2832" s="500"/>
      <c r="G2832" s="501"/>
      <c r="H2832" s="502"/>
      <c r="I2832" s="503">
        <f t="shared" si="47"/>
        <v>49015.559999999954</v>
      </c>
    </row>
    <row r="2833" spans="2:9">
      <c r="B2833" s="496"/>
      <c r="C2833" s="497"/>
      <c r="D2833" s="498"/>
      <c r="E2833" s="499"/>
      <c r="F2833" s="500"/>
      <c r="G2833" s="501"/>
      <c r="H2833" s="502"/>
      <c r="I2833" s="503">
        <f t="shared" si="47"/>
        <v>49015.559999999954</v>
      </c>
    </row>
    <row r="2834" spans="2:9">
      <c r="B2834" s="496"/>
      <c r="C2834" s="497"/>
      <c r="D2834" s="498"/>
      <c r="E2834" s="499"/>
      <c r="F2834" s="500"/>
      <c r="G2834" s="501"/>
      <c r="H2834" s="502"/>
      <c r="I2834" s="503">
        <f t="shared" si="47"/>
        <v>49015.559999999954</v>
      </c>
    </row>
    <row r="2835" spans="2:9">
      <c r="B2835" s="496"/>
      <c r="C2835" s="497"/>
      <c r="D2835" s="498"/>
      <c r="E2835" s="499"/>
      <c r="F2835" s="500"/>
      <c r="G2835" s="501"/>
      <c r="H2835" s="502"/>
      <c r="I2835" s="503">
        <f t="shared" si="47"/>
        <v>49015.559999999954</v>
      </c>
    </row>
    <row r="2836" spans="2:9">
      <c r="B2836" s="496"/>
      <c r="C2836" s="497"/>
      <c r="D2836" s="498"/>
      <c r="E2836" s="499"/>
      <c r="F2836" s="500"/>
      <c r="G2836" s="501"/>
      <c r="H2836" s="502"/>
      <c r="I2836" s="503">
        <f t="shared" si="47"/>
        <v>49015.559999999954</v>
      </c>
    </row>
    <row r="2837" spans="2:9">
      <c r="B2837" s="496"/>
      <c r="C2837" s="497"/>
      <c r="D2837" s="498"/>
      <c r="E2837" s="499"/>
      <c r="F2837" s="500"/>
      <c r="G2837" s="501"/>
      <c r="H2837" s="502"/>
      <c r="I2837" s="503">
        <f t="shared" si="47"/>
        <v>49015.559999999954</v>
      </c>
    </row>
    <row r="2838" spans="2:9">
      <c r="B2838" s="496"/>
      <c r="C2838" s="497"/>
      <c r="D2838" s="498"/>
      <c r="E2838" s="499"/>
      <c r="F2838" s="500"/>
      <c r="G2838" s="501"/>
      <c r="H2838" s="502"/>
      <c r="I2838" s="503">
        <f t="shared" si="47"/>
        <v>49015.559999999954</v>
      </c>
    </row>
    <row r="2839" spans="2:9">
      <c r="B2839" s="496"/>
      <c r="C2839" s="497"/>
      <c r="D2839" s="498"/>
      <c r="E2839" s="499"/>
      <c r="F2839" s="500"/>
      <c r="G2839" s="501"/>
      <c r="H2839" s="502"/>
      <c r="I2839" s="503">
        <f t="shared" si="47"/>
        <v>49015.559999999954</v>
      </c>
    </row>
    <row r="2840" spans="2:9">
      <c r="B2840" s="496"/>
      <c r="C2840" s="497"/>
      <c r="D2840" s="498"/>
      <c r="E2840" s="499"/>
      <c r="F2840" s="500"/>
      <c r="G2840" s="501"/>
      <c r="H2840" s="502"/>
      <c r="I2840" s="503">
        <f t="shared" si="47"/>
        <v>49015.559999999954</v>
      </c>
    </row>
    <row r="2841" spans="2:9">
      <c r="B2841" s="496"/>
      <c r="C2841" s="497"/>
      <c r="D2841" s="498"/>
      <c r="E2841" s="499"/>
      <c r="F2841" s="500"/>
      <c r="G2841" s="501"/>
      <c r="H2841" s="502"/>
      <c r="I2841" s="503">
        <f t="shared" ref="I2841:I2904" si="48">I2840+E2842-F2843</f>
        <v>49015.559999999954</v>
      </c>
    </row>
    <row r="2842" spans="2:9">
      <c r="B2842" s="496"/>
      <c r="C2842" s="497"/>
      <c r="D2842" s="498"/>
      <c r="E2842" s="499"/>
      <c r="F2842" s="500"/>
      <c r="G2842" s="501"/>
      <c r="H2842" s="502"/>
      <c r="I2842" s="503">
        <f t="shared" si="48"/>
        <v>49015.559999999954</v>
      </c>
    </row>
    <row r="2843" spans="2:9">
      <c r="B2843" s="496"/>
      <c r="C2843" s="497"/>
      <c r="D2843" s="498"/>
      <c r="E2843" s="499"/>
      <c r="F2843" s="500"/>
      <c r="G2843" s="501"/>
      <c r="H2843" s="502"/>
      <c r="I2843" s="503">
        <f t="shared" si="48"/>
        <v>49015.559999999954</v>
      </c>
    </row>
    <row r="2844" spans="2:9">
      <c r="B2844" s="496"/>
      <c r="C2844" s="497"/>
      <c r="D2844" s="498"/>
      <c r="E2844" s="499"/>
      <c r="F2844" s="500"/>
      <c r="G2844" s="501"/>
      <c r="H2844" s="502"/>
      <c r="I2844" s="503">
        <f t="shared" si="48"/>
        <v>49015.559999999954</v>
      </c>
    </row>
    <row r="2845" spans="2:9">
      <c r="B2845" s="496"/>
      <c r="C2845" s="497"/>
      <c r="D2845" s="498"/>
      <c r="E2845" s="499"/>
      <c r="F2845" s="500"/>
      <c r="G2845" s="501"/>
      <c r="H2845" s="502"/>
      <c r="I2845" s="503">
        <f t="shared" si="48"/>
        <v>49015.559999999954</v>
      </c>
    </row>
    <row r="2846" spans="2:9">
      <c r="B2846" s="496"/>
      <c r="C2846" s="497"/>
      <c r="D2846" s="498"/>
      <c r="E2846" s="499"/>
      <c r="F2846" s="500"/>
      <c r="G2846" s="501"/>
      <c r="H2846" s="502"/>
      <c r="I2846" s="503">
        <f t="shared" si="48"/>
        <v>49015.559999999954</v>
      </c>
    </row>
    <row r="2847" spans="2:9">
      <c r="B2847" s="496"/>
      <c r="C2847" s="497"/>
      <c r="D2847" s="498"/>
      <c r="E2847" s="499"/>
      <c r="F2847" s="500"/>
      <c r="G2847" s="501"/>
      <c r="H2847" s="502"/>
      <c r="I2847" s="503">
        <f t="shared" si="48"/>
        <v>49015.559999999954</v>
      </c>
    </row>
    <row r="2848" spans="2:9">
      <c r="B2848" s="496"/>
      <c r="C2848" s="497"/>
      <c r="D2848" s="498"/>
      <c r="E2848" s="499"/>
      <c r="F2848" s="500"/>
      <c r="G2848" s="501"/>
      <c r="H2848" s="502"/>
      <c r="I2848" s="503">
        <f t="shared" si="48"/>
        <v>49015.559999999954</v>
      </c>
    </row>
    <row r="2849" spans="2:9">
      <c r="B2849" s="496"/>
      <c r="C2849" s="497"/>
      <c r="D2849" s="498"/>
      <c r="E2849" s="499"/>
      <c r="F2849" s="500"/>
      <c r="G2849" s="501"/>
      <c r="H2849" s="502"/>
      <c r="I2849" s="503">
        <f t="shared" si="48"/>
        <v>49015.559999999954</v>
      </c>
    </row>
    <row r="2850" spans="2:9">
      <c r="B2850" s="496"/>
      <c r="C2850" s="497"/>
      <c r="D2850" s="498"/>
      <c r="E2850" s="499"/>
      <c r="F2850" s="500"/>
      <c r="G2850" s="501"/>
      <c r="H2850" s="502"/>
      <c r="I2850" s="503">
        <f t="shared" si="48"/>
        <v>49015.559999999954</v>
      </c>
    </row>
    <row r="2851" spans="2:9">
      <c r="B2851" s="496"/>
      <c r="C2851" s="497"/>
      <c r="D2851" s="498"/>
      <c r="E2851" s="499"/>
      <c r="F2851" s="500"/>
      <c r="G2851" s="501"/>
      <c r="H2851" s="502"/>
      <c r="I2851" s="503">
        <f t="shared" si="48"/>
        <v>49015.559999999954</v>
      </c>
    </row>
    <row r="2852" spans="2:9">
      <c r="B2852" s="496"/>
      <c r="C2852" s="497"/>
      <c r="D2852" s="498"/>
      <c r="E2852" s="499"/>
      <c r="F2852" s="500"/>
      <c r="G2852" s="501"/>
      <c r="H2852" s="502"/>
      <c r="I2852" s="503">
        <f t="shared" si="48"/>
        <v>49015.559999999954</v>
      </c>
    </row>
    <row r="2853" spans="2:9">
      <c r="B2853" s="496"/>
      <c r="C2853" s="497"/>
      <c r="D2853" s="498"/>
      <c r="E2853" s="499"/>
      <c r="F2853" s="500"/>
      <c r="G2853" s="501"/>
      <c r="H2853" s="502"/>
      <c r="I2853" s="503">
        <f t="shared" si="48"/>
        <v>49015.559999999954</v>
      </c>
    </row>
    <row r="2854" spans="2:9">
      <c r="B2854" s="496"/>
      <c r="C2854" s="497"/>
      <c r="D2854" s="498"/>
      <c r="E2854" s="499"/>
      <c r="F2854" s="500"/>
      <c r="G2854" s="501"/>
      <c r="H2854" s="502"/>
      <c r="I2854" s="503">
        <f t="shared" si="48"/>
        <v>49015.559999999954</v>
      </c>
    </row>
    <row r="2855" spans="2:9">
      <c r="B2855" s="496"/>
      <c r="C2855" s="497"/>
      <c r="D2855" s="498"/>
      <c r="E2855" s="499"/>
      <c r="F2855" s="500"/>
      <c r="G2855" s="501"/>
      <c r="H2855" s="502"/>
      <c r="I2855" s="503">
        <f t="shared" si="48"/>
        <v>49015.559999999954</v>
      </c>
    </row>
    <row r="2856" spans="2:9">
      <c r="B2856" s="496"/>
      <c r="C2856" s="497"/>
      <c r="D2856" s="498"/>
      <c r="E2856" s="499"/>
      <c r="F2856" s="500"/>
      <c r="G2856" s="501"/>
      <c r="H2856" s="502"/>
      <c r="I2856" s="503">
        <f t="shared" si="48"/>
        <v>49015.559999999954</v>
      </c>
    </row>
    <row r="2857" spans="2:9">
      <c r="B2857" s="496"/>
      <c r="C2857" s="497"/>
      <c r="D2857" s="498"/>
      <c r="E2857" s="499"/>
      <c r="F2857" s="500"/>
      <c r="G2857" s="501"/>
      <c r="H2857" s="502"/>
      <c r="I2857" s="503">
        <f t="shared" si="48"/>
        <v>49015.559999999954</v>
      </c>
    </row>
    <row r="2858" spans="2:9">
      <c r="B2858" s="496"/>
      <c r="C2858" s="497"/>
      <c r="D2858" s="498"/>
      <c r="E2858" s="499"/>
      <c r="F2858" s="500"/>
      <c r="G2858" s="501"/>
      <c r="H2858" s="502"/>
      <c r="I2858" s="503">
        <f t="shared" si="48"/>
        <v>49015.559999999954</v>
      </c>
    </row>
    <row r="2859" spans="2:9">
      <c r="B2859" s="496"/>
      <c r="C2859" s="497"/>
      <c r="D2859" s="498"/>
      <c r="E2859" s="499"/>
      <c r="F2859" s="500"/>
      <c r="G2859" s="501"/>
      <c r="H2859" s="502"/>
      <c r="I2859" s="503">
        <f t="shared" si="48"/>
        <v>49015.559999999954</v>
      </c>
    </row>
    <row r="2860" spans="2:9">
      <c r="B2860" s="496"/>
      <c r="C2860" s="497"/>
      <c r="D2860" s="498"/>
      <c r="E2860" s="499"/>
      <c r="F2860" s="500"/>
      <c r="G2860" s="501"/>
      <c r="H2860" s="502"/>
      <c r="I2860" s="503">
        <f t="shared" si="48"/>
        <v>49015.559999999954</v>
      </c>
    </row>
    <row r="2861" spans="2:9">
      <c r="B2861" s="496"/>
      <c r="C2861" s="497"/>
      <c r="D2861" s="498"/>
      <c r="E2861" s="499"/>
      <c r="F2861" s="500"/>
      <c r="G2861" s="501"/>
      <c r="H2861" s="502"/>
      <c r="I2861" s="503">
        <f t="shared" si="48"/>
        <v>49015.559999999954</v>
      </c>
    </row>
    <row r="2862" spans="2:9">
      <c r="B2862" s="496"/>
      <c r="C2862" s="497"/>
      <c r="D2862" s="498"/>
      <c r="E2862" s="499"/>
      <c r="F2862" s="500"/>
      <c r="G2862" s="501"/>
      <c r="H2862" s="502"/>
      <c r="I2862" s="503">
        <f t="shared" si="48"/>
        <v>49015.559999999954</v>
      </c>
    </row>
    <row r="2863" spans="2:9">
      <c r="B2863" s="496"/>
      <c r="C2863" s="497"/>
      <c r="D2863" s="498"/>
      <c r="E2863" s="499"/>
      <c r="F2863" s="500"/>
      <c r="G2863" s="501"/>
      <c r="H2863" s="502"/>
      <c r="I2863" s="503">
        <f t="shared" si="48"/>
        <v>49015.559999999954</v>
      </c>
    </row>
    <row r="2864" spans="2:9">
      <c r="B2864" s="496"/>
      <c r="C2864" s="497"/>
      <c r="D2864" s="498"/>
      <c r="E2864" s="499"/>
      <c r="F2864" s="500"/>
      <c r="G2864" s="501"/>
      <c r="H2864" s="502"/>
      <c r="I2864" s="503">
        <f t="shared" si="48"/>
        <v>49015.559999999954</v>
      </c>
    </row>
    <row r="2865" spans="2:9">
      <c r="B2865" s="496"/>
      <c r="C2865" s="497"/>
      <c r="D2865" s="498"/>
      <c r="E2865" s="499"/>
      <c r="F2865" s="500"/>
      <c r="G2865" s="501"/>
      <c r="H2865" s="502"/>
      <c r="I2865" s="503">
        <f t="shared" si="48"/>
        <v>49015.559999999954</v>
      </c>
    </row>
    <row r="2866" spans="2:9">
      <c r="B2866" s="496"/>
      <c r="C2866" s="497"/>
      <c r="D2866" s="498"/>
      <c r="E2866" s="499"/>
      <c r="F2866" s="500"/>
      <c r="G2866" s="501"/>
      <c r="H2866" s="502"/>
      <c r="I2866" s="503">
        <f t="shared" si="48"/>
        <v>49015.559999999954</v>
      </c>
    </row>
    <row r="2867" spans="2:9">
      <c r="B2867" s="496"/>
      <c r="C2867" s="497"/>
      <c r="D2867" s="498"/>
      <c r="E2867" s="499"/>
      <c r="F2867" s="500"/>
      <c r="G2867" s="501"/>
      <c r="H2867" s="502"/>
      <c r="I2867" s="503">
        <f t="shared" si="48"/>
        <v>49015.559999999954</v>
      </c>
    </row>
    <row r="2868" spans="2:9">
      <c r="B2868" s="496"/>
      <c r="C2868" s="497"/>
      <c r="D2868" s="498"/>
      <c r="E2868" s="499"/>
      <c r="F2868" s="500"/>
      <c r="G2868" s="501"/>
      <c r="H2868" s="502"/>
      <c r="I2868" s="503">
        <f t="shared" si="48"/>
        <v>49015.559999999954</v>
      </c>
    </row>
    <row r="2869" spans="2:9">
      <c r="B2869" s="496"/>
      <c r="C2869" s="497"/>
      <c r="D2869" s="498"/>
      <c r="E2869" s="499"/>
      <c r="F2869" s="500"/>
      <c r="G2869" s="501"/>
      <c r="H2869" s="502"/>
      <c r="I2869" s="503">
        <f t="shared" si="48"/>
        <v>49015.559999999954</v>
      </c>
    </row>
    <row r="2870" spans="2:9">
      <c r="B2870" s="496"/>
      <c r="C2870" s="497"/>
      <c r="D2870" s="498"/>
      <c r="E2870" s="499"/>
      <c r="F2870" s="500"/>
      <c r="G2870" s="501"/>
      <c r="H2870" s="502"/>
      <c r="I2870" s="503">
        <f t="shared" si="48"/>
        <v>49015.559999999954</v>
      </c>
    </row>
    <row r="2871" spans="2:9">
      <c r="B2871" s="496"/>
      <c r="C2871" s="497"/>
      <c r="D2871" s="498"/>
      <c r="E2871" s="499"/>
      <c r="F2871" s="500"/>
      <c r="G2871" s="501"/>
      <c r="H2871" s="502"/>
      <c r="I2871" s="503">
        <f t="shared" si="48"/>
        <v>49015.559999999954</v>
      </c>
    </row>
    <row r="2872" spans="2:9">
      <c r="B2872" s="496"/>
      <c r="C2872" s="497"/>
      <c r="D2872" s="498"/>
      <c r="E2872" s="499"/>
      <c r="F2872" s="500"/>
      <c r="G2872" s="501"/>
      <c r="H2872" s="502"/>
      <c r="I2872" s="503">
        <f t="shared" si="48"/>
        <v>49015.559999999954</v>
      </c>
    </row>
    <row r="2873" spans="2:9">
      <c r="B2873" s="496"/>
      <c r="C2873" s="497"/>
      <c r="D2873" s="498"/>
      <c r="E2873" s="499"/>
      <c r="F2873" s="500"/>
      <c r="G2873" s="501"/>
      <c r="H2873" s="502"/>
      <c r="I2873" s="503">
        <f t="shared" si="48"/>
        <v>49015.559999999954</v>
      </c>
    </row>
    <row r="2874" spans="2:9">
      <c r="B2874" s="496"/>
      <c r="C2874" s="497"/>
      <c r="D2874" s="498"/>
      <c r="E2874" s="499"/>
      <c r="F2874" s="500"/>
      <c r="G2874" s="501"/>
      <c r="H2874" s="502"/>
      <c r="I2874" s="503">
        <f t="shared" si="48"/>
        <v>49015.559999999954</v>
      </c>
    </row>
    <row r="2875" spans="2:9">
      <c r="B2875" s="496"/>
      <c r="C2875" s="497"/>
      <c r="D2875" s="498"/>
      <c r="E2875" s="499"/>
      <c r="F2875" s="500"/>
      <c r="G2875" s="501"/>
      <c r="H2875" s="502"/>
      <c r="I2875" s="503">
        <f t="shared" si="48"/>
        <v>49015.559999999954</v>
      </c>
    </row>
    <row r="2876" spans="2:9">
      <c r="B2876" s="496"/>
      <c r="C2876" s="497"/>
      <c r="D2876" s="498"/>
      <c r="E2876" s="499"/>
      <c r="F2876" s="500"/>
      <c r="G2876" s="501"/>
      <c r="H2876" s="502"/>
      <c r="I2876" s="503">
        <f t="shared" si="48"/>
        <v>49015.559999999954</v>
      </c>
    </row>
    <row r="2877" spans="2:9">
      <c r="B2877" s="496"/>
      <c r="C2877" s="497"/>
      <c r="D2877" s="498"/>
      <c r="E2877" s="499"/>
      <c r="F2877" s="500"/>
      <c r="G2877" s="501"/>
      <c r="H2877" s="502"/>
      <c r="I2877" s="503">
        <f t="shared" si="48"/>
        <v>49015.559999999954</v>
      </c>
    </row>
    <row r="2878" spans="2:9">
      <c r="B2878" s="496"/>
      <c r="C2878" s="497"/>
      <c r="D2878" s="498"/>
      <c r="E2878" s="499"/>
      <c r="F2878" s="500"/>
      <c r="G2878" s="501"/>
      <c r="H2878" s="502"/>
      <c r="I2878" s="503">
        <f t="shared" si="48"/>
        <v>49015.559999999954</v>
      </c>
    </row>
    <row r="2879" spans="2:9">
      <c r="B2879" s="496"/>
      <c r="C2879" s="497"/>
      <c r="D2879" s="498"/>
      <c r="E2879" s="499"/>
      <c r="F2879" s="500"/>
      <c r="G2879" s="501"/>
      <c r="H2879" s="502"/>
      <c r="I2879" s="503">
        <f t="shared" si="48"/>
        <v>49015.559999999954</v>
      </c>
    </row>
    <row r="2880" spans="2:9">
      <c r="B2880" s="496"/>
      <c r="C2880" s="497"/>
      <c r="D2880" s="498"/>
      <c r="E2880" s="499"/>
      <c r="F2880" s="500"/>
      <c r="G2880" s="501"/>
      <c r="H2880" s="502"/>
      <c r="I2880" s="503">
        <f t="shared" si="48"/>
        <v>49015.559999999954</v>
      </c>
    </row>
    <row r="2881" spans="2:9">
      <c r="B2881" s="496"/>
      <c r="C2881" s="497"/>
      <c r="D2881" s="498"/>
      <c r="E2881" s="499"/>
      <c r="F2881" s="500"/>
      <c r="G2881" s="501"/>
      <c r="H2881" s="502"/>
      <c r="I2881" s="503">
        <f t="shared" si="48"/>
        <v>49015.559999999954</v>
      </c>
    </row>
    <row r="2882" spans="2:9">
      <c r="B2882" s="496"/>
      <c r="C2882" s="497"/>
      <c r="D2882" s="498"/>
      <c r="E2882" s="499"/>
      <c r="F2882" s="500"/>
      <c r="G2882" s="501"/>
      <c r="H2882" s="502"/>
      <c r="I2882" s="503">
        <f t="shared" si="48"/>
        <v>49015.559999999954</v>
      </c>
    </row>
    <row r="2883" spans="2:9">
      <c r="B2883" s="496"/>
      <c r="C2883" s="497"/>
      <c r="D2883" s="498"/>
      <c r="E2883" s="499"/>
      <c r="F2883" s="500"/>
      <c r="G2883" s="501"/>
      <c r="H2883" s="502"/>
      <c r="I2883" s="503">
        <f t="shared" si="48"/>
        <v>49015.559999999954</v>
      </c>
    </row>
    <row r="2884" spans="2:9">
      <c r="B2884" s="496"/>
      <c r="C2884" s="497"/>
      <c r="D2884" s="498"/>
      <c r="E2884" s="499"/>
      <c r="F2884" s="500"/>
      <c r="G2884" s="501"/>
      <c r="H2884" s="502"/>
      <c r="I2884" s="503">
        <f t="shared" si="48"/>
        <v>49015.559999999954</v>
      </c>
    </row>
    <row r="2885" spans="2:9">
      <c r="B2885" s="496"/>
      <c r="C2885" s="497"/>
      <c r="D2885" s="498"/>
      <c r="E2885" s="499"/>
      <c r="F2885" s="500"/>
      <c r="G2885" s="501"/>
      <c r="H2885" s="502"/>
      <c r="I2885" s="503">
        <f t="shared" si="48"/>
        <v>49015.559999999954</v>
      </c>
    </row>
    <row r="2886" spans="2:9">
      <c r="B2886" s="496"/>
      <c r="C2886" s="497"/>
      <c r="D2886" s="498"/>
      <c r="E2886" s="499"/>
      <c r="F2886" s="500"/>
      <c r="G2886" s="501"/>
      <c r="H2886" s="502"/>
      <c r="I2886" s="503">
        <f t="shared" si="48"/>
        <v>49015.559999999954</v>
      </c>
    </row>
    <row r="2887" spans="2:9">
      <c r="B2887" s="496"/>
      <c r="C2887" s="497"/>
      <c r="D2887" s="498"/>
      <c r="E2887" s="499"/>
      <c r="F2887" s="500"/>
      <c r="G2887" s="501"/>
      <c r="H2887" s="502"/>
      <c r="I2887" s="503">
        <f t="shared" si="48"/>
        <v>49015.559999999954</v>
      </c>
    </row>
    <row r="2888" spans="2:9">
      <c r="B2888" s="496"/>
      <c r="C2888" s="497"/>
      <c r="D2888" s="498"/>
      <c r="E2888" s="499"/>
      <c r="F2888" s="500"/>
      <c r="G2888" s="501"/>
      <c r="H2888" s="502"/>
      <c r="I2888" s="503">
        <f t="shared" si="48"/>
        <v>49015.559999999954</v>
      </c>
    </row>
    <row r="2889" spans="2:9">
      <c r="B2889" s="496"/>
      <c r="C2889" s="497"/>
      <c r="D2889" s="498"/>
      <c r="E2889" s="499"/>
      <c r="F2889" s="500"/>
      <c r="G2889" s="501"/>
      <c r="H2889" s="502"/>
      <c r="I2889" s="503">
        <f t="shared" si="48"/>
        <v>49015.559999999954</v>
      </c>
    </row>
    <row r="2890" spans="2:9">
      <c r="B2890" s="496"/>
      <c r="C2890" s="497"/>
      <c r="D2890" s="498"/>
      <c r="E2890" s="499"/>
      <c r="F2890" s="500"/>
      <c r="G2890" s="501"/>
      <c r="H2890" s="502"/>
      <c r="I2890" s="503">
        <f t="shared" si="48"/>
        <v>49015.559999999954</v>
      </c>
    </row>
    <row r="2891" spans="2:9">
      <c r="B2891" s="496"/>
      <c r="C2891" s="497"/>
      <c r="D2891" s="498"/>
      <c r="E2891" s="499"/>
      <c r="F2891" s="500"/>
      <c r="G2891" s="501"/>
      <c r="H2891" s="502"/>
      <c r="I2891" s="503">
        <f t="shared" si="48"/>
        <v>49015.559999999954</v>
      </c>
    </row>
    <row r="2892" spans="2:9">
      <c r="B2892" s="496"/>
      <c r="C2892" s="497"/>
      <c r="D2892" s="498"/>
      <c r="E2892" s="499"/>
      <c r="F2892" s="500"/>
      <c r="G2892" s="501"/>
      <c r="H2892" s="502"/>
      <c r="I2892" s="503">
        <f t="shared" si="48"/>
        <v>49015.559999999954</v>
      </c>
    </row>
    <row r="2893" spans="2:9">
      <c r="B2893" s="496"/>
      <c r="C2893" s="497"/>
      <c r="D2893" s="498"/>
      <c r="E2893" s="499"/>
      <c r="F2893" s="500"/>
      <c r="G2893" s="501"/>
      <c r="H2893" s="502"/>
      <c r="I2893" s="503">
        <f t="shared" si="48"/>
        <v>49015.559999999954</v>
      </c>
    </row>
    <row r="2894" spans="2:9">
      <c r="B2894" s="496"/>
      <c r="C2894" s="497"/>
      <c r="D2894" s="498"/>
      <c r="E2894" s="499"/>
      <c r="F2894" s="500"/>
      <c r="G2894" s="501"/>
      <c r="H2894" s="502"/>
      <c r="I2894" s="503">
        <f t="shared" si="48"/>
        <v>49015.559999999954</v>
      </c>
    </row>
    <row r="2895" spans="2:9">
      <c r="B2895" s="496"/>
      <c r="C2895" s="497"/>
      <c r="D2895" s="498"/>
      <c r="E2895" s="499"/>
      <c r="F2895" s="500"/>
      <c r="G2895" s="501"/>
      <c r="H2895" s="502"/>
      <c r="I2895" s="503">
        <f t="shared" si="48"/>
        <v>49015.559999999954</v>
      </c>
    </row>
    <row r="2896" spans="2:9">
      <c r="B2896" s="496"/>
      <c r="C2896" s="497"/>
      <c r="D2896" s="498"/>
      <c r="E2896" s="499"/>
      <c r="F2896" s="500"/>
      <c r="G2896" s="501"/>
      <c r="H2896" s="502"/>
      <c r="I2896" s="503">
        <f t="shared" si="48"/>
        <v>49015.559999999954</v>
      </c>
    </row>
    <row r="2897" spans="2:9">
      <c r="B2897" s="496"/>
      <c r="C2897" s="497"/>
      <c r="D2897" s="498"/>
      <c r="E2897" s="499"/>
      <c r="F2897" s="500"/>
      <c r="G2897" s="501"/>
      <c r="H2897" s="502"/>
      <c r="I2897" s="503">
        <f t="shared" si="48"/>
        <v>49015.559999999954</v>
      </c>
    </row>
    <row r="2898" spans="2:9">
      <c r="B2898" s="496"/>
      <c r="C2898" s="497"/>
      <c r="D2898" s="498"/>
      <c r="E2898" s="499"/>
      <c r="F2898" s="500"/>
      <c r="G2898" s="501"/>
      <c r="H2898" s="502"/>
      <c r="I2898" s="503">
        <f t="shared" si="48"/>
        <v>49015.559999999954</v>
      </c>
    </row>
    <row r="2899" spans="2:9">
      <c r="B2899" s="496"/>
      <c r="C2899" s="497"/>
      <c r="D2899" s="498"/>
      <c r="E2899" s="499"/>
      <c r="F2899" s="500"/>
      <c r="G2899" s="501"/>
      <c r="H2899" s="502"/>
      <c r="I2899" s="503">
        <f t="shared" si="48"/>
        <v>49015.559999999954</v>
      </c>
    </row>
    <row r="2900" spans="2:9">
      <c r="B2900" s="496"/>
      <c r="C2900" s="497"/>
      <c r="D2900" s="498"/>
      <c r="E2900" s="499"/>
      <c r="F2900" s="500"/>
      <c r="G2900" s="501"/>
      <c r="H2900" s="502"/>
      <c r="I2900" s="503">
        <f t="shared" si="48"/>
        <v>49015.559999999954</v>
      </c>
    </row>
    <row r="2901" spans="2:9">
      <c r="B2901" s="496"/>
      <c r="C2901" s="497"/>
      <c r="D2901" s="498"/>
      <c r="E2901" s="499"/>
      <c r="F2901" s="500"/>
      <c r="G2901" s="501"/>
      <c r="H2901" s="502"/>
      <c r="I2901" s="503">
        <f t="shared" si="48"/>
        <v>49015.559999999954</v>
      </c>
    </row>
    <row r="2902" spans="2:9">
      <c r="B2902" s="496"/>
      <c r="C2902" s="497"/>
      <c r="D2902" s="498"/>
      <c r="E2902" s="499"/>
      <c r="F2902" s="500"/>
      <c r="G2902" s="501"/>
      <c r="H2902" s="502"/>
      <c r="I2902" s="503">
        <f t="shared" si="48"/>
        <v>49015.559999999954</v>
      </c>
    </row>
    <row r="2903" spans="2:9">
      <c r="B2903" s="496"/>
      <c r="C2903" s="497"/>
      <c r="D2903" s="498"/>
      <c r="E2903" s="499"/>
      <c r="F2903" s="500"/>
      <c r="G2903" s="501"/>
      <c r="H2903" s="502"/>
      <c r="I2903" s="503">
        <f t="shared" si="48"/>
        <v>49015.559999999954</v>
      </c>
    </row>
    <row r="2904" spans="2:9">
      <c r="B2904" s="496"/>
      <c r="C2904" s="497"/>
      <c r="D2904" s="498"/>
      <c r="E2904" s="499"/>
      <c r="F2904" s="500"/>
      <c r="G2904" s="501"/>
      <c r="H2904" s="502"/>
      <c r="I2904" s="503">
        <f t="shared" si="48"/>
        <v>49015.559999999954</v>
      </c>
    </row>
    <row r="2905" spans="2:9">
      <c r="B2905" s="496"/>
      <c r="C2905" s="497"/>
      <c r="D2905" s="498"/>
      <c r="E2905" s="499"/>
      <c r="F2905" s="500"/>
      <c r="G2905" s="501"/>
      <c r="H2905" s="502"/>
      <c r="I2905" s="503">
        <f t="shared" ref="I2905:I2968" si="49">I2904+E2906-F2907</f>
        <v>49015.559999999954</v>
      </c>
    </row>
    <row r="2906" spans="2:9">
      <c r="B2906" s="496"/>
      <c r="C2906" s="497"/>
      <c r="D2906" s="498"/>
      <c r="E2906" s="499"/>
      <c r="F2906" s="500"/>
      <c r="G2906" s="501"/>
      <c r="H2906" s="502"/>
      <c r="I2906" s="503">
        <f t="shared" si="49"/>
        <v>49015.559999999954</v>
      </c>
    </row>
    <row r="2907" spans="2:9">
      <c r="B2907" s="496"/>
      <c r="C2907" s="497"/>
      <c r="D2907" s="498"/>
      <c r="E2907" s="499"/>
      <c r="F2907" s="500"/>
      <c r="G2907" s="501"/>
      <c r="H2907" s="502"/>
      <c r="I2907" s="503">
        <f t="shared" si="49"/>
        <v>49015.559999999954</v>
      </c>
    </row>
    <row r="2908" spans="2:9">
      <c r="B2908" s="496"/>
      <c r="C2908" s="497"/>
      <c r="D2908" s="498"/>
      <c r="E2908" s="499"/>
      <c r="F2908" s="500"/>
      <c r="G2908" s="501"/>
      <c r="H2908" s="502"/>
      <c r="I2908" s="503">
        <f t="shared" si="49"/>
        <v>49015.559999999954</v>
      </c>
    </row>
    <row r="2909" spans="2:9">
      <c r="B2909" s="496"/>
      <c r="C2909" s="497"/>
      <c r="D2909" s="498"/>
      <c r="E2909" s="499"/>
      <c r="F2909" s="500"/>
      <c r="G2909" s="501"/>
      <c r="H2909" s="502"/>
      <c r="I2909" s="503">
        <f t="shared" si="49"/>
        <v>49015.559999999954</v>
      </c>
    </row>
    <row r="2910" spans="2:9">
      <c r="B2910" s="496"/>
      <c r="C2910" s="497"/>
      <c r="D2910" s="498"/>
      <c r="E2910" s="499"/>
      <c r="F2910" s="500"/>
      <c r="G2910" s="501"/>
      <c r="H2910" s="502"/>
      <c r="I2910" s="503">
        <f t="shared" si="49"/>
        <v>49015.559999999954</v>
      </c>
    </row>
    <row r="2911" spans="2:9">
      <c r="B2911" s="496"/>
      <c r="C2911" s="497"/>
      <c r="D2911" s="498"/>
      <c r="E2911" s="499"/>
      <c r="F2911" s="500"/>
      <c r="G2911" s="501"/>
      <c r="H2911" s="502"/>
      <c r="I2911" s="503">
        <f t="shared" si="49"/>
        <v>49015.559999999954</v>
      </c>
    </row>
    <row r="2912" spans="2:9">
      <c r="B2912" s="496"/>
      <c r="C2912" s="497"/>
      <c r="D2912" s="498"/>
      <c r="E2912" s="499"/>
      <c r="F2912" s="500"/>
      <c r="G2912" s="501"/>
      <c r="H2912" s="502"/>
      <c r="I2912" s="503">
        <f t="shared" si="49"/>
        <v>49015.559999999954</v>
      </c>
    </row>
    <row r="2913" spans="2:9">
      <c r="B2913" s="496"/>
      <c r="C2913" s="497"/>
      <c r="D2913" s="498"/>
      <c r="E2913" s="499"/>
      <c r="F2913" s="500"/>
      <c r="G2913" s="501"/>
      <c r="H2913" s="502"/>
      <c r="I2913" s="503">
        <f t="shared" si="49"/>
        <v>49015.559999999954</v>
      </c>
    </row>
    <row r="2914" spans="2:9">
      <c r="B2914" s="496"/>
      <c r="C2914" s="497"/>
      <c r="D2914" s="498"/>
      <c r="E2914" s="499"/>
      <c r="F2914" s="500"/>
      <c r="G2914" s="501"/>
      <c r="H2914" s="502"/>
      <c r="I2914" s="503">
        <f t="shared" si="49"/>
        <v>49015.559999999954</v>
      </c>
    </row>
    <row r="2915" spans="2:9">
      <c r="B2915" s="496"/>
      <c r="C2915" s="497"/>
      <c r="D2915" s="498"/>
      <c r="E2915" s="499"/>
      <c r="F2915" s="500"/>
      <c r="G2915" s="501"/>
      <c r="H2915" s="502"/>
      <c r="I2915" s="503">
        <f t="shared" si="49"/>
        <v>49015.559999999954</v>
      </c>
    </row>
    <row r="2916" spans="2:9">
      <c r="B2916" s="496"/>
      <c r="C2916" s="497"/>
      <c r="D2916" s="498"/>
      <c r="E2916" s="499"/>
      <c r="F2916" s="500"/>
      <c r="G2916" s="501"/>
      <c r="H2916" s="502"/>
      <c r="I2916" s="503">
        <f t="shared" si="49"/>
        <v>49015.559999999954</v>
      </c>
    </row>
    <row r="2917" spans="2:9">
      <c r="B2917" s="496"/>
      <c r="C2917" s="497"/>
      <c r="D2917" s="498"/>
      <c r="E2917" s="499"/>
      <c r="F2917" s="500"/>
      <c r="G2917" s="501"/>
      <c r="H2917" s="502"/>
      <c r="I2917" s="503">
        <f t="shared" si="49"/>
        <v>49015.559999999954</v>
      </c>
    </row>
    <row r="2918" spans="2:9">
      <c r="B2918" s="496"/>
      <c r="C2918" s="497"/>
      <c r="D2918" s="498"/>
      <c r="E2918" s="499"/>
      <c r="F2918" s="500"/>
      <c r="G2918" s="501"/>
      <c r="H2918" s="502"/>
      <c r="I2918" s="503">
        <f t="shared" si="49"/>
        <v>49015.559999999954</v>
      </c>
    </row>
    <row r="2919" spans="2:9">
      <c r="B2919" s="496"/>
      <c r="C2919" s="497"/>
      <c r="D2919" s="498"/>
      <c r="E2919" s="499"/>
      <c r="F2919" s="500"/>
      <c r="G2919" s="501"/>
      <c r="H2919" s="502"/>
      <c r="I2919" s="503">
        <f t="shared" si="49"/>
        <v>49015.559999999954</v>
      </c>
    </row>
    <row r="2920" spans="2:9">
      <c r="B2920" s="496"/>
      <c r="C2920" s="497"/>
      <c r="D2920" s="498"/>
      <c r="E2920" s="499"/>
      <c r="F2920" s="500"/>
      <c r="G2920" s="501"/>
      <c r="H2920" s="502"/>
      <c r="I2920" s="503">
        <f t="shared" si="49"/>
        <v>49015.559999999954</v>
      </c>
    </row>
    <row r="2921" spans="2:9">
      <c r="B2921" s="496"/>
      <c r="C2921" s="497"/>
      <c r="D2921" s="498"/>
      <c r="E2921" s="499"/>
      <c r="F2921" s="500"/>
      <c r="G2921" s="501"/>
      <c r="H2921" s="502"/>
      <c r="I2921" s="503">
        <f t="shared" si="49"/>
        <v>49015.559999999954</v>
      </c>
    </row>
    <row r="2922" spans="2:9">
      <c r="B2922" s="496"/>
      <c r="C2922" s="497"/>
      <c r="D2922" s="498"/>
      <c r="E2922" s="499"/>
      <c r="F2922" s="500"/>
      <c r="G2922" s="501"/>
      <c r="H2922" s="502"/>
      <c r="I2922" s="503">
        <f t="shared" si="49"/>
        <v>49015.559999999954</v>
      </c>
    </row>
    <row r="2923" spans="2:9">
      <c r="B2923" s="496"/>
      <c r="C2923" s="497"/>
      <c r="D2923" s="498"/>
      <c r="E2923" s="499"/>
      <c r="F2923" s="500"/>
      <c r="G2923" s="501"/>
      <c r="H2923" s="502"/>
      <c r="I2923" s="503">
        <f t="shared" si="49"/>
        <v>49015.559999999954</v>
      </c>
    </row>
    <row r="2924" spans="2:9">
      <c r="B2924" s="496"/>
      <c r="C2924" s="497"/>
      <c r="D2924" s="498"/>
      <c r="E2924" s="499"/>
      <c r="F2924" s="500"/>
      <c r="G2924" s="501"/>
      <c r="H2924" s="502"/>
      <c r="I2924" s="503">
        <f t="shared" si="49"/>
        <v>49015.559999999954</v>
      </c>
    </row>
    <row r="2925" spans="2:9">
      <c r="B2925" s="496"/>
      <c r="C2925" s="497"/>
      <c r="D2925" s="498"/>
      <c r="E2925" s="499"/>
      <c r="F2925" s="500"/>
      <c r="G2925" s="501"/>
      <c r="H2925" s="502"/>
      <c r="I2925" s="503">
        <f t="shared" si="49"/>
        <v>49015.559999999954</v>
      </c>
    </row>
    <row r="2926" spans="2:9">
      <c r="B2926" s="496"/>
      <c r="C2926" s="497"/>
      <c r="D2926" s="498"/>
      <c r="E2926" s="499"/>
      <c r="F2926" s="500"/>
      <c r="G2926" s="501"/>
      <c r="H2926" s="502"/>
      <c r="I2926" s="503">
        <f t="shared" si="49"/>
        <v>49015.559999999954</v>
      </c>
    </row>
    <row r="2927" spans="2:9">
      <c r="B2927" s="496"/>
      <c r="C2927" s="497"/>
      <c r="D2927" s="498"/>
      <c r="E2927" s="499"/>
      <c r="F2927" s="500"/>
      <c r="G2927" s="501"/>
      <c r="H2927" s="502"/>
      <c r="I2927" s="503">
        <f t="shared" si="49"/>
        <v>49015.559999999954</v>
      </c>
    </row>
    <row r="2928" spans="2:9">
      <c r="B2928" s="496"/>
      <c r="C2928" s="497"/>
      <c r="D2928" s="498"/>
      <c r="E2928" s="499"/>
      <c r="F2928" s="500"/>
      <c r="G2928" s="501"/>
      <c r="H2928" s="502"/>
      <c r="I2928" s="503">
        <f t="shared" si="49"/>
        <v>49015.559999999954</v>
      </c>
    </row>
    <row r="2929" spans="2:9">
      <c r="B2929" s="496"/>
      <c r="C2929" s="497"/>
      <c r="D2929" s="498"/>
      <c r="E2929" s="499"/>
      <c r="F2929" s="500"/>
      <c r="G2929" s="501"/>
      <c r="H2929" s="502"/>
      <c r="I2929" s="503">
        <f t="shared" si="49"/>
        <v>49015.559999999954</v>
      </c>
    </row>
    <row r="2930" spans="2:9">
      <c r="B2930" s="496"/>
      <c r="C2930" s="497"/>
      <c r="D2930" s="498"/>
      <c r="E2930" s="499"/>
      <c r="F2930" s="500"/>
      <c r="G2930" s="501"/>
      <c r="H2930" s="502"/>
      <c r="I2930" s="503">
        <f t="shared" si="49"/>
        <v>49015.559999999954</v>
      </c>
    </row>
    <row r="2931" spans="2:9">
      <c r="B2931" s="496"/>
      <c r="C2931" s="497"/>
      <c r="D2931" s="498"/>
      <c r="E2931" s="499"/>
      <c r="F2931" s="500"/>
      <c r="G2931" s="501"/>
      <c r="H2931" s="502"/>
      <c r="I2931" s="503">
        <f t="shared" si="49"/>
        <v>49015.559999999954</v>
      </c>
    </row>
    <row r="2932" spans="2:9">
      <c r="B2932" s="496"/>
      <c r="C2932" s="497"/>
      <c r="D2932" s="498"/>
      <c r="E2932" s="499"/>
      <c r="F2932" s="500"/>
      <c r="G2932" s="501"/>
      <c r="H2932" s="502"/>
      <c r="I2932" s="503">
        <f t="shared" si="49"/>
        <v>49015.559999999954</v>
      </c>
    </row>
    <row r="2933" spans="2:9">
      <c r="B2933" s="496"/>
      <c r="C2933" s="497"/>
      <c r="D2933" s="498"/>
      <c r="E2933" s="499"/>
      <c r="F2933" s="500"/>
      <c r="G2933" s="501"/>
      <c r="H2933" s="502"/>
      <c r="I2933" s="503">
        <f t="shared" si="49"/>
        <v>49015.559999999954</v>
      </c>
    </row>
    <row r="2934" spans="2:9">
      <c r="B2934" s="496"/>
      <c r="C2934" s="497"/>
      <c r="D2934" s="498"/>
      <c r="E2934" s="499"/>
      <c r="F2934" s="500"/>
      <c r="G2934" s="501"/>
      <c r="H2934" s="502"/>
      <c r="I2934" s="503">
        <f t="shared" si="49"/>
        <v>49015.559999999954</v>
      </c>
    </row>
    <row r="2935" spans="2:9">
      <c r="B2935" s="496"/>
      <c r="C2935" s="497"/>
      <c r="D2935" s="498"/>
      <c r="E2935" s="499"/>
      <c r="F2935" s="500"/>
      <c r="G2935" s="501"/>
      <c r="H2935" s="502"/>
      <c r="I2935" s="503">
        <f t="shared" si="49"/>
        <v>49015.559999999954</v>
      </c>
    </row>
    <row r="2936" spans="2:9">
      <c r="B2936" s="496"/>
      <c r="C2936" s="497"/>
      <c r="D2936" s="498"/>
      <c r="E2936" s="499"/>
      <c r="F2936" s="500"/>
      <c r="G2936" s="501"/>
      <c r="H2936" s="502"/>
      <c r="I2936" s="503">
        <f t="shared" si="49"/>
        <v>49015.559999999954</v>
      </c>
    </row>
    <row r="2937" spans="2:9">
      <c r="B2937" s="496"/>
      <c r="C2937" s="497"/>
      <c r="D2937" s="498"/>
      <c r="E2937" s="499"/>
      <c r="F2937" s="500"/>
      <c r="G2937" s="501"/>
      <c r="H2937" s="502"/>
      <c r="I2937" s="503">
        <f t="shared" si="49"/>
        <v>49015.559999999954</v>
      </c>
    </row>
    <row r="2938" spans="2:9">
      <c r="B2938" s="496"/>
      <c r="C2938" s="497"/>
      <c r="D2938" s="498"/>
      <c r="E2938" s="499"/>
      <c r="F2938" s="500"/>
      <c r="G2938" s="501"/>
      <c r="H2938" s="502"/>
      <c r="I2938" s="503">
        <f t="shared" si="49"/>
        <v>49015.559999999954</v>
      </c>
    </row>
    <row r="2939" spans="2:9">
      <c r="B2939" s="496"/>
      <c r="C2939" s="497"/>
      <c r="D2939" s="498"/>
      <c r="E2939" s="499"/>
      <c r="F2939" s="500"/>
      <c r="G2939" s="501"/>
      <c r="H2939" s="502"/>
      <c r="I2939" s="503">
        <f t="shared" si="49"/>
        <v>49015.559999999954</v>
      </c>
    </row>
    <row r="2940" spans="2:9">
      <c r="B2940" s="496"/>
      <c r="C2940" s="497"/>
      <c r="D2940" s="498"/>
      <c r="E2940" s="499"/>
      <c r="F2940" s="500"/>
      <c r="G2940" s="501"/>
      <c r="H2940" s="502"/>
      <c r="I2940" s="503">
        <f t="shared" si="49"/>
        <v>49015.559999999954</v>
      </c>
    </row>
    <row r="2941" spans="2:9">
      <c r="B2941" s="496"/>
      <c r="C2941" s="497"/>
      <c r="D2941" s="498"/>
      <c r="E2941" s="499"/>
      <c r="F2941" s="500"/>
      <c r="G2941" s="501"/>
      <c r="H2941" s="502"/>
      <c r="I2941" s="503">
        <f t="shared" si="49"/>
        <v>49015.559999999954</v>
      </c>
    </row>
    <row r="2942" spans="2:9">
      <c r="B2942" s="496"/>
      <c r="C2942" s="497"/>
      <c r="D2942" s="498"/>
      <c r="E2942" s="499"/>
      <c r="F2942" s="500"/>
      <c r="G2942" s="501"/>
      <c r="H2942" s="502"/>
      <c r="I2942" s="503">
        <f t="shared" si="49"/>
        <v>49015.559999999954</v>
      </c>
    </row>
    <row r="2943" spans="2:9">
      <c r="B2943" s="496"/>
      <c r="C2943" s="497"/>
      <c r="D2943" s="498"/>
      <c r="E2943" s="499"/>
      <c r="F2943" s="500"/>
      <c r="G2943" s="501"/>
      <c r="H2943" s="502"/>
      <c r="I2943" s="503">
        <f t="shared" si="49"/>
        <v>49015.559999999954</v>
      </c>
    </row>
    <row r="2944" spans="2:9">
      <c r="B2944" s="496"/>
      <c r="C2944" s="497"/>
      <c r="D2944" s="498"/>
      <c r="E2944" s="499"/>
      <c r="F2944" s="500"/>
      <c r="G2944" s="501"/>
      <c r="H2944" s="502"/>
      <c r="I2944" s="503">
        <f t="shared" si="49"/>
        <v>49015.559999999954</v>
      </c>
    </row>
    <row r="2945" spans="2:9">
      <c r="B2945" s="496"/>
      <c r="C2945" s="497"/>
      <c r="D2945" s="498"/>
      <c r="E2945" s="499"/>
      <c r="F2945" s="500"/>
      <c r="G2945" s="501"/>
      <c r="H2945" s="502"/>
      <c r="I2945" s="503">
        <f t="shared" si="49"/>
        <v>49015.559999999954</v>
      </c>
    </row>
    <row r="2946" spans="2:9">
      <c r="B2946" s="496"/>
      <c r="C2946" s="497"/>
      <c r="D2946" s="498"/>
      <c r="E2946" s="499"/>
      <c r="F2946" s="500"/>
      <c r="G2946" s="501"/>
      <c r="H2946" s="502"/>
      <c r="I2946" s="503">
        <f t="shared" si="49"/>
        <v>49015.559999999954</v>
      </c>
    </row>
    <row r="2947" spans="2:9">
      <c r="B2947" s="496"/>
      <c r="C2947" s="497"/>
      <c r="D2947" s="498"/>
      <c r="E2947" s="499"/>
      <c r="F2947" s="500"/>
      <c r="G2947" s="501"/>
      <c r="H2947" s="502"/>
      <c r="I2947" s="503">
        <f t="shared" si="49"/>
        <v>49015.559999999954</v>
      </c>
    </row>
    <row r="2948" spans="2:9">
      <c r="B2948" s="496"/>
      <c r="C2948" s="497"/>
      <c r="D2948" s="498"/>
      <c r="E2948" s="499"/>
      <c r="F2948" s="500"/>
      <c r="G2948" s="501"/>
      <c r="H2948" s="502"/>
      <c r="I2948" s="503">
        <f t="shared" si="49"/>
        <v>49015.559999999954</v>
      </c>
    </row>
    <row r="2949" spans="2:9">
      <c r="B2949" s="496"/>
      <c r="C2949" s="497"/>
      <c r="D2949" s="498"/>
      <c r="E2949" s="499"/>
      <c r="F2949" s="500"/>
      <c r="G2949" s="501"/>
      <c r="H2949" s="502"/>
      <c r="I2949" s="503">
        <f t="shared" si="49"/>
        <v>49015.559999999954</v>
      </c>
    </row>
    <row r="2950" spans="2:9">
      <c r="B2950" s="496"/>
      <c r="C2950" s="497"/>
      <c r="D2950" s="498"/>
      <c r="E2950" s="499"/>
      <c r="F2950" s="500"/>
      <c r="G2950" s="501"/>
      <c r="H2950" s="502"/>
      <c r="I2950" s="503">
        <f t="shared" si="49"/>
        <v>49015.559999999954</v>
      </c>
    </row>
    <row r="2951" spans="2:9">
      <c r="B2951" s="496"/>
      <c r="C2951" s="497"/>
      <c r="D2951" s="498"/>
      <c r="E2951" s="499"/>
      <c r="F2951" s="500"/>
      <c r="G2951" s="501"/>
      <c r="H2951" s="502"/>
      <c r="I2951" s="503">
        <f t="shared" si="49"/>
        <v>49015.559999999954</v>
      </c>
    </row>
    <row r="2952" spans="2:9">
      <c r="B2952" s="496"/>
      <c r="C2952" s="497"/>
      <c r="D2952" s="498"/>
      <c r="E2952" s="499"/>
      <c r="F2952" s="500"/>
      <c r="G2952" s="501"/>
      <c r="H2952" s="502"/>
      <c r="I2952" s="503">
        <f t="shared" si="49"/>
        <v>49015.559999999954</v>
      </c>
    </row>
    <row r="2953" spans="2:9">
      <c r="B2953" s="496"/>
      <c r="C2953" s="497"/>
      <c r="D2953" s="498"/>
      <c r="E2953" s="499"/>
      <c r="F2953" s="500"/>
      <c r="G2953" s="501"/>
      <c r="H2953" s="502"/>
      <c r="I2953" s="503">
        <f t="shared" si="49"/>
        <v>49015.559999999954</v>
      </c>
    </row>
    <row r="2954" spans="2:9">
      <c r="B2954" s="496"/>
      <c r="C2954" s="497"/>
      <c r="D2954" s="498"/>
      <c r="E2954" s="499"/>
      <c r="F2954" s="500"/>
      <c r="G2954" s="501"/>
      <c r="H2954" s="502"/>
      <c r="I2954" s="503">
        <f t="shared" si="49"/>
        <v>49015.559999999954</v>
      </c>
    </row>
    <row r="2955" spans="2:9">
      <c r="B2955" s="496"/>
      <c r="C2955" s="497"/>
      <c r="D2955" s="498"/>
      <c r="E2955" s="499"/>
      <c r="F2955" s="500"/>
      <c r="G2955" s="501"/>
      <c r="H2955" s="502"/>
      <c r="I2955" s="503">
        <f t="shared" si="49"/>
        <v>49015.559999999954</v>
      </c>
    </row>
    <row r="2956" spans="2:9">
      <c r="B2956" s="496"/>
      <c r="C2956" s="497"/>
      <c r="D2956" s="498"/>
      <c r="E2956" s="499"/>
      <c r="F2956" s="500"/>
      <c r="G2956" s="501"/>
      <c r="H2956" s="502"/>
      <c r="I2956" s="503">
        <f t="shared" si="49"/>
        <v>49015.559999999954</v>
      </c>
    </row>
    <row r="2957" spans="2:9">
      <c r="B2957" s="496"/>
      <c r="C2957" s="497"/>
      <c r="D2957" s="498"/>
      <c r="E2957" s="499"/>
      <c r="F2957" s="500"/>
      <c r="G2957" s="501"/>
      <c r="H2957" s="502"/>
      <c r="I2957" s="503">
        <f t="shared" si="49"/>
        <v>49015.559999999954</v>
      </c>
    </row>
    <row r="2958" spans="2:9">
      <c r="B2958" s="496"/>
      <c r="C2958" s="497"/>
      <c r="D2958" s="498"/>
      <c r="E2958" s="499"/>
      <c r="F2958" s="500"/>
      <c r="G2958" s="501"/>
      <c r="H2958" s="502"/>
      <c r="I2958" s="503">
        <f t="shared" si="49"/>
        <v>49015.559999999954</v>
      </c>
    </row>
    <row r="2959" spans="2:9">
      <c r="B2959" s="496"/>
      <c r="C2959" s="497"/>
      <c r="D2959" s="498"/>
      <c r="E2959" s="499"/>
      <c r="F2959" s="500"/>
      <c r="G2959" s="501"/>
      <c r="H2959" s="502"/>
      <c r="I2959" s="503">
        <f t="shared" si="49"/>
        <v>49015.559999999954</v>
      </c>
    </row>
    <row r="2960" spans="2:9">
      <c r="B2960" s="496"/>
      <c r="C2960" s="497"/>
      <c r="D2960" s="498"/>
      <c r="E2960" s="499"/>
      <c r="F2960" s="500"/>
      <c r="G2960" s="501"/>
      <c r="H2960" s="502"/>
      <c r="I2960" s="503">
        <f t="shared" si="49"/>
        <v>49015.559999999954</v>
      </c>
    </row>
    <row r="2961" spans="2:9">
      <c r="B2961" s="496"/>
      <c r="C2961" s="497"/>
      <c r="D2961" s="498"/>
      <c r="E2961" s="499"/>
      <c r="F2961" s="500"/>
      <c r="G2961" s="501"/>
      <c r="H2961" s="502"/>
      <c r="I2961" s="503">
        <f t="shared" si="49"/>
        <v>49015.559999999954</v>
      </c>
    </row>
    <row r="2962" spans="2:9">
      <c r="B2962" s="496"/>
      <c r="C2962" s="497"/>
      <c r="D2962" s="498"/>
      <c r="E2962" s="499"/>
      <c r="F2962" s="500"/>
      <c r="G2962" s="501"/>
      <c r="H2962" s="502"/>
      <c r="I2962" s="503">
        <f t="shared" si="49"/>
        <v>49015.559999999954</v>
      </c>
    </row>
    <row r="2963" spans="2:9">
      <c r="B2963" s="496"/>
      <c r="C2963" s="497"/>
      <c r="D2963" s="498"/>
      <c r="E2963" s="499"/>
      <c r="F2963" s="500"/>
      <c r="G2963" s="501"/>
      <c r="H2963" s="502"/>
      <c r="I2963" s="503">
        <f t="shared" si="49"/>
        <v>49015.559999999954</v>
      </c>
    </row>
    <row r="2964" spans="2:9">
      <c r="B2964" s="496"/>
      <c r="C2964" s="497"/>
      <c r="D2964" s="498"/>
      <c r="E2964" s="499"/>
      <c r="F2964" s="500"/>
      <c r="G2964" s="501"/>
      <c r="H2964" s="502"/>
      <c r="I2964" s="503">
        <f t="shared" si="49"/>
        <v>49015.559999999954</v>
      </c>
    </row>
    <row r="2965" spans="2:9">
      <c r="B2965" s="496"/>
      <c r="C2965" s="497"/>
      <c r="D2965" s="498"/>
      <c r="E2965" s="499"/>
      <c r="F2965" s="500"/>
      <c r="G2965" s="501"/>
      <c r="H2965" s="502"/>
      <c r="I2965" s="503">
        <f t="shared" si="49"/>
        <v>49015.559999999954</v>
      </c>
    </row>
    <row r="2966" spans="2:9">
      <c r="B2966" s="496"/>
      <c r="C2966" s="497"/>
      <c r="D2966" s="498"/>
      <c r="E2966" s="499"/>
      <c r="F2966" s="500"/>
      <c r="G2966" s="501"/>
      <c r="H2966" s="502"/>
      <c r="I2966" s="503">
        <f t="shared" si="49"/>
        <v>49015.559999999954</v>
      </c>
    </row>
    <row r="2967" spans="2:9">
      <c r="B2967" s="496"/>
      <c r="C2967" s="497"/>
      <c r="D2967" s="498"/>
      <c r="E2967" s="499"/>
      <c r="F2967" s="500"/>
      <c r="G2967" s="501"/>
      <c r="H2967" s="502"/>
      <c r="I2967" s="503">
        <f t="shared" si="49"/>
        <v>49015.559999999954</v>
      </c>
    </row>
    <row r="2968" spans="2:9">
      <c r="B2968" s="496"/>
      <c r="C2968" s="497"/>
      <c r="D2968" s="498"/>
      <c r="E2968" s="499"/>
      <c r="F2968" s="500"/>
      <c r="G2968" s="501"/>
      <c r="H2968" s="502"/>
      <c r="I2968" s="503">
        <f t="shared" si="49"/>
        <v>49015.559999999954</v>
      </c>
    </row>
    <row r="2969" spans="2:9">
      <c r="B2969" s="496"/>
      <c r="C2969" s="497"/>
      <c r="D2969" s="498"/>
      <c r="E2969" s="499"/>
      <c r="F2969" s="500"/>
      <c r="G2969" s="501"/>
      <c r="H2969" s="502"/>
      <c r="I2969" s="503">
        <f t="shared" ref="I2969:I3032" si="50">I2968+E2970-F2971</f>
        <v>49015.559999999954</v>
      </c>
    </row>
    <row r="2970" spans="2:9">
      <c r="B2970" s="496"/>
      <c r="C2970" s="497"/>
      <c r="D2970" s="498"/>
      <c r="E2970" s="499"/>
      <c r="F2970" s="500"/>
      <c r="G2970" s="501"/>
      <c r="H2970" s="502"/>
      <c r="I2970" s="503">
        <f t="shared" si="50"/>
        <v>49015.559999999954</v>
      </c>
    </row>
    <row r="2971" spans="2:9">
      <c r="B2971" s="496"/>
      <c r="C2971" s="497"/>
      <c r="D2971" s="498"/>
      <c r="E2971" s="499"/>
      <c r="F2971" s="500"/>
      <c r="G2971" s="501"/>
      <c r="H2971" s="502"/>
      <c r="I2971" s="503">
        <f t="shared" si="50"/>
        <v>49015.559999999954</v>
      </c>
    </row>
    <row r="2972" spans="2:9">
      <c r="B2972" s="496"/>
      <c r="C2972" s="497"/>
      <c r="D2972" s="498"/>
      <c r="E2972" s="499"/>
      <c r="F2972" s="500"/>
      <c r="G2972" s="501"/>
      <c r="H2972" s="502"/>
      <c r="I2972" s="503">
        <f t="shared" si="50"/>
        <v>49015.559999999954</v>
      </c>
    </row>
    <row r="2973" spans="2:9">
      <c r="B2973" s="496"/>
      <c r="C2973" s="497"/>
      <c r="D2973" s="498"/>
      <c r="E2973" s="499"/>
      <c r="F2973" s="500"/>
      <c r="G2973" s="501"/>
      <c r="H2973" s="502"/>
      <c r="I2973" s="503">
        <f t="shared" si="50"/>
        <v>49015.559999999954</v>
      </c>
    </row>
    <row r="2974" spans="2:9">
      <c r="B2974" s="496"/>
      <c r="C2974" s="497"/>
      <c r="D2974" s="498"/>
      <c r="E2974" s="499"/>
      <c r="F2974" s="500"/>
      <c r="G2974" s="501"/>
      <c r="H2974" s="502"/>
      <c r="I2974" s="503">
        <f t="shared" si="50"/>
        <v>49015.559999999954</v>
      </c>
    </row>
    <row r="2975" spans="2:9">
      <c r="B2975" s="496"/>
      <c r="C2975" s="497"/>
      <c r="D2975" s="498"/>
      <c r="E2975" s="499"/>
      <c r="F2975" s="500"/>
      <c r="G2975" s="501"/>
      <c r="H2975" s="502"/>
      <c r="I2975" s="503">
        <f t="shared" si="50"/>
        <v>49015.559999999954</v>
      </c>
    </row>
    <row r="2976" spans="2:9">
      <c r="B2976" s="496"/>
      <c r="C2976" s="497"/>
      <c r="D2976" s="498"/>
      <c r="E2976" s="499"/>
      <c r="F2976" s="500"/>
      <c r="G2976" s="501"/>
      <c r="H2976" s="502"/>
      <c r="I2976" s="503">
        <f t="shared" si="50"/>
        <v>49015.559999999954</v>
      </c>
    </row>
    <row r="2977" spans="2:9">
      <c r="B2977" s="496"/>
      <c r="C2977" s="497"/>
      <c r="D2977" s="498"/>
      <c r="E2977" s="499"/>
      <c r="F2977" s="500"/>
      <c r="G2977" s="501"/>
      <c r="H2977" s="502"/>
      <c r="I2977" s="503">
        <f t="shared" si="50"/>
        <v>49015.559999999954</v>
      </c>
    </row>
    <row r="2978" spans="2:9">
      <c r="B2978" s="496"/>
      <c r="C2978" s="497"/>
      <c r="D2978" s="498"/>
      <c r="E2978" s="499"/>
      <c r="F2978" s="500"/>
      <c r="G2978" s="501"/>
      <c r="H2978" s="502"/>
      <c r="I2978" s="503">
        <f t="shared" si="50"/>
        <v>49015.559999999954</v>
      </c>
    </row>
    <row r="2979" spans="2:9">
      <c r="B2979" s="496"/>
      <c r="C2979" s="497"/>
      <c r="D2979" s="498"/>
      <c r="E2979" s="499"/>
      <c r="F2979" s="500"/>
      <c r="G2979" s="501"/>
      <c r="H2979" s="502"/>
      <c r="I2979" s="503">
        <f t="shared" si="50"/>
        <v>49015.559999999954</v>
      </c>
    </row>
    <row r="2980" spans="2:9">
      <c r="B2980" s="496"/>
      <c r="C2980" s="497"/>
      <c r="D2980" s="498"/>
      <c r="E2980" s="499"/>
      <c r="F2980" s="500"/>
      <c r="G2980" s="501"/>
      <c r="H2980" s="502"/>
      <c r="I2980" s="503">
        <f t="shared" si="50"/>
        <v>49015.559999999954</v>
      </c>
    </row>
    <row r="2981" spans="2:9">
      <c r="B2981" s="496"/>
      <c r="C2981" s="497"/>
      <c r="D2981" s="498"/>
      <c r="E2981" s="499"/>
      <c r="F2981" s="500"/>
      <c r="G2981" s="501"/>
      <c r="H2981" s="502"/>
      <c r="I2981" s="503">
        <f t="shared" si="50"/>
        <v>49015.559999999954</v>
      </c>
    </row>
    <row r="2982" spans="2:9">
      <c r="B2982" s="496"/>
      <c r="C2982" s="497"/>
      <c r="D2982" s="498"/>
      <c r="E2982" s="499"/>
      <c r="F2982" s="500"/>
      <c r="G2982" s="501"/>
      <c r="H2982" s="502"/>
      <c r="I2982" s="503">
        <f t="shared" si="50"/>
        <v>49015.559999999954</v>
      </c>
    </row>
    <row r="2983" spans="2:9">
      <c r="B2983" s="496"/>
      <c r="C2983" s="497"/>
      <c r="D2983" s="498"/>
      <c r="E2983" s="499"/>
      <c r="F2983" s="500"/>
      <c r="G2983" s="501"/>
      <c r="H2983" s="502"/>
      <c r="I2983" s="503">
        <f t="shared" si="50"/>
        <v>49015.559999999954</v>
      </c>
    </row>
    <row r="2984" spans="2:9">
      <c r="B2984" s="496"/>
      <c r="C2984" s="497"/>
      <c r="D2984" s="498"/>
      <c r="E2984" s="499"/>
      <c r="F2984" s="500"/>
      <c r="G2984" s="501"/>
      <c r="H2984" s="502"/>
      <c r="I2984" s="503">
        <f t="shared" si="50"/>
        <v>49015.559999999954</v>
      </c>
    </row>
    <row r="2985" spans="2:9">
      <c r="B2985" s="496"/>
      <c r="C2985" s="497"/>
      <c r="D2985" s="498"/>
      <c r="E2985" s="499"/>
      <c r="F2985" s="500"/>
      <c r="G2985" s="501"/>
      <c r="H2985" s="502"/>
      <c r="I2985" s="503">
        <f t="shared" si="50"/>
        <v>49015.559999999954</v>
      </c>
    </row>
    <row r="2986" spans="2:9">
      <c r="B2986" s="496"/>
      <c r="C2986" s="497"/>
      <c r="D2986" s="498"/>
      <c r="E2986" s="499"/>
      <c r="F2986" s="500"/>
      <c r="G2986" s="501"/>
      <c r="H2986" s="502"/>
      <c r="I2986" s="503">
        <f t="shared" si="50"/>
        <v>49015.559999999954</v>
      </c>
    </row>
    <row r="2987" spans="2:9">
      <c r="B2987" s="496"/>
      <c r="C2987" s="497"/>
      <c r="D2987" s="498"/>
      <c r="E2987" s="499"/>
      <c r="F2987" s="500"/>
      <c r="G2987" s="501"/>
      <c r="H2987" s="502"/>
      <c r="I2987" s="503">
        <f t="shared" si="50"/>
        <v>49015.559999999954</v>
      </c>
    </row>
    <row r="2988" spans="2:9">
      <c r="B2988" s="496"/>
      <c r="C2988" s="497"/>
      <c r="D2988" s="498"/>
      <c r="E2988" s="499"/>
      <c r="F2988" s="500"/>
      <c r="G2988" s="501"/>
      <c r="H2988" s="502"/>
      <c r="I2988" s="503">
        <f t="shared" si="50"/>
        <v>49015.559999999954</v>
      </c>
    </row>
    <row r="2989" spans="2:9">
      <c r="B2989" s="496"/>
      <c r="C2989" s="497"/>
      <c r="D2989" s="498"/>
      <c r="E2989" s="499"/>
      <c r="F2989" s="500"/>
      <c r="G2989" s="501"/>
      <c r="H2989" s="502"/>
      <c r="I2989" s="503">
        <f t="shared" si="50"/>
        <v>49015.559999999954</v>
      </c>
    </row>
    <row r="2990" spans="2:9">
      <c r="B2990" s="496"/>
      <c r="C2990" s="497"/>
      <c r="D2990" s="498"/>
      <c r="E2990" s="499"/>
      <c r="F2990" s="500"/>
      <c r="G2990" s="501"/>
      <c r="H2990" s="502"/>
      <c r="I2990" s="503">
        <f t="shared" si="50"/>
        <v>49015.559999999954</v>
      </c>
    </row>
    <row r="2991" spans="2:9">
      <c r="B2991" s="496"/>
      <c r="C2991" s="497"/>
      <c r="D2991" s="498"/>
      <c r="E2991" s="499"/>
      <c r="F2991" s="500"/>
      <c r="G2991" s="501"/>
      <c r="H2991" s="502"/>
      <c r="I2991" s="503">
        <f t="shared" si="50"/>
        <v>49015.559999999954</v>
      </c>
    </row>
    <row r="2992" spans="2:9">
      <c r="B2992" s="496"/>
      <c r="C2992" s="497"/>
      <c r="D2992" s="498"/>
      <c r="E2992" s="499"/>
      <c r="F2992" s="500"/>
      <c r="G2992" s="501"/>
      <c r="H2992" s="502"/>
      <c r="I2992" s="503">
        <f t="shared" si="50"/>
        <v>49015.559999999954</v>
      </c>
    </row>
    <row r="2993" spans="2:9">
      <c r="B2993" s="496"/>
      <c r="C2993" s="497"/>
      <c r="D2993" s="498"/>
      <c r="E2993" s="499"/>
      <c r="F2993" s="500"/>
      <c r="G2993" s="501"/>
      <c r="H2993" s="502"/>
      <c r="I2993" s="503">
        <f t="shared" si="50"/>
        <v>49015.559999999954</v>
      </c>
    </row>
    <row r="2994" spans="2:9">
      <c r="B2994" s="496"/>
      <c r="C2994" s="497"/>
      <c r="D2994" s="498"/>
      <c r="E2994" s="499"/>
      <c r="F2994" s="500"/>
      <c r="G2994" s="501"/>
      <c r="H2994" s="502"/>
      <c r="I2994" s="503">
        <f t="shared" si="50"/>
        <v>49015.559999999954</v>
      </c>
    </row>
    <row r="2995" spans="2:9">
      <c r="B2995" s="496"/>
      <c r="C2995" s="497"/>
      <c r="D2995" s="498"/>
      <c r="E2995" s="499"/>
      <c r="F2995" s="500"/>
      <c r="G2995" s="501"/>
      <c r="H2995" s="502"/>
      <c r="I2995" s="503">
        <f t="shared" si="50"/>
        <v>49015.559999999954</v>
      </c>
    </row>
    <row r="2996" spans="2:9">
      <c r="B2996" s="496"/>
      <c r="C2996" s="497"/>
      <c r="D2996" s="498"/>
      <c r="E2996" s="499"/>
      <c r="F2996" s="500"/>
      <c r="G2996" s="501"/>
      <c r="H2996" s="502"/>
      <c r="I2996" s="503">
        <f t="shared" si="50"/>
        <v>49015.559999999954</v>
      </c>
    </row>
    <row r="2997" spans="2:9">
      <c r="B2997" s="496"/>
      <c r="C2997" s="497"/>
      <c r="D2997" s="498"/>
      <c r="E2997" s="499"/>
      <c r="F2997" s="500"/>
      <c r="G2997" s="501"/>
      <c r="H2997" s="502"/>
      <c r="I2997" s="503">
        <f t="shared" si="50"/>
        <v>49015.559999999954</v>
      </c>
    </row>
    <row r="2998" spans="2:9">
      <c r="B2998" s="496"/>
      <c r="C2998" s="497"/>
      <c r="D2998" s="498"/>
      <c r="E2998" s="499"/>
      <c r="F2998" s="500"/>
      <c r="G2998" s="501"/>
      <c r="H2998" s="502"/>
      <c r="I2998" s="503">
        <f t="shared" si="50"/>
        <v>49015.559999999954</v>
      </c>
    </row>
    <row r="2999" spans="2:9">
      <c r="B2999" s="496"/>
      <c r="C2999" s="497"/>
      <c r="D2999" s="498"/>
      <c r="E2999" s="499"/>
      <c r="F2999" s="500"/>
      <c r="G2999" s="501"/>
      <c r="H2999" s="502"/>
      <c r="I2999" s="503">
        <f t="shared" si="50"/>
        <v>49015.559999999954</v>
      </c>
    </row>
    <row r="3000" spans="2:9">
      <c r="B3000" s="496"/>
      <c r="C3000" s="497"/>
      <c r="D3000" s="498"/>
      <c r="E3000" s="499"/>
      <c r="F3000" s="500"/>
      <c r="G3000" s="501"/>
      <c r="H3000" s="502"/>
      <c r="I3000" s="503">
        <f t="shared" si="50"/>
        <v>49015.559999999954</v>
      </c>
    </row>
    <row r="3001" spans="2:9">
      <c r="B3001" s="496"/>
      <c r="C3001" s="497"/>
      <c r="D3001" s="498"/>
      <c r="E3001" s="499"/>
      <c r="F3001" s="500"/>
      <c r="G3001" s="501"/>
      <c r="H3001" s="502"/>
      <c r="I3001" s="503">
        <f t="shared" si="50"/>
        <v>49015.559999999954</v>
      </c>
    </row>
    <row r="3002" spans="2:9">
      <c r="B3002" s="496"/>
      <c r="C3002" s="497"/>
      <c r="D3002" s="498"/>
      <c r="E3002" s="499"/>
      <c r="F3002" s="500"/>
      <c r="G3002" s="501"/>
      <c r="H3002" s="502"/>
      <c r="I3002" s="503">
        <f t="shared" si="50"/>
        <v>49015.559999999954</v>
      </c>
    </row>
    <row r="3003" spans="2:9">
      <c r="B3003" s="496"/>
      <c r="C3003" s="497"/>
      <c r="D3003" s="498"/>
      <c r="E3003" s="499"/>
      <c r="F3003" s="500"/>
      <c r="G3003" s="501"/>
      <c r="H3003" s="502"/>
      <c r="I3003" s="503">
        <f t="shared" si="50"/>
        <v>49015.559999999954</v>
      </c>
    </row>
    <row r="3004" spans="2:9">
      <c r="B3004" s="496"/>
      <c r="C3004" s="497"/>
      <c r="D3004" s="498"/>
      <c r="E3004" s="499"/>
      <c r="F3004" s="500"/>
      <c r="G3004" s="501"/>
      <c r="H3004" s="502"/>
      <c r="I3004" s="503">
        <f t="shared" si="50"/>
        <v>49015.559999999954</v>
      </c>
    </row>
    <row r="3005" spans="2:9">
      <c r="B3005" s="496"/>
      <c r="C3005" s="497"/>
      <c r="D3005" s="498"/>
      <c r="E3005" s="499"/>
      <c r="F3005" s="500"/>
      <c r="G3005" s="501"/>
      <c r="H3005" s="502"/>
      <c r="I3005" s="503">
        <f t="shared" si="50"/>
        <v>49015.559999999954</v>
      </c>
    </row>
    <row r="3006" spans="2:9">
      <c r="B3006" s="496"/>
      <c r="C3006" s="497"/>
      <c r="D3006" s="498"/>
      <c r="E3006" s="499"/>
      <c r="F3006" s="500"/>
      <c r="G3006" s="501"/>
      <c r="H3006" s="502"/>
      <c r="I3006" s="503">
        <f t="shared" si="50"/>
        <v>49015.559999999954</v>
      </c>
    </row>
    <row r="3007" spans="2:9">
      <c r="B3007" s="496"/>
      <c r="C3007" s="497"/>
      <c r="D3007" s="498"/>
      <c r="E3007" s="499"/>
      <c r="F3007" s="500"/>
      <c r="G3007" s="501"/>
      <c r="H3007" s="502"/>
      <c r="I3007" s="503">
        <f t="shared" si="50"/>
        <v>49015.559999999954</v>
      </c>
    </row>
    <row r="3008" spans="2:9">
      <c r="B3008" s="496"/>
      <c r="C3008" s="497"/>
      <c r="D3008" s="498"/>
      <c r="E3008" s="499"/>
      <c r="F3008" s="500"/>
      <c r="G3008" s="501"/>
      <c r="H3008" s="502"/>
      <c r="I3008" s="503">
        <f t="shared" si="50"/>
        <v>49015.559999999954</v>
      </c>
    </row>
    <row r="3009" spans="2:9">
      <c r="B3009" s="496"/>
      <c r="C3009" s="497"/>
      <c r="D3009" s="498"/>
      <c r="E3009" s="499"/>
      <c r="F3009" s="500"/>
      <c r="G3009" s="501"/>
      <c r="H3009" s="502"/>
      <c r="I3009" s="503">
        <f t="shared" si="50"/>
        <v>49015.559999999954</v>
      </c>
    </row>
    <row r="3010" spans="2:9">
      <c r="B3010" s="496"/>
      <c r="C3010" s="497"/>
      <c r="D3010" s="498"/>
      <c r="E3010" s="499"/>
      <c r="F3010" s="500"/>
      <c r="G3010" s="501"/>
      <c r="H3010" s="502"/>
      <c r="I3010" s="503">
        <f t="shared" si="50"/>
        <v>49015.559999999954</v>
      </c>
    </row>
    <row r="3011" spans="2:9">
      <c r="B3011" s="496"/>
      <c r="C3011" s="497"/>
      <c r="D3011" s="498"/>
      <c r="E3011" s="499"/>
      <c r="F3011" s="500"/>
      <c r="G3011" s="501"/>
      <c r="H3011" s="502"/>
      <c r="I3011" s="503">
        <f t="shared" si="50"/>
        <v>49015.559999999954</v>
      </c>
    </row>
    <row r="3012" spans="2:9">
      <c r="B3012" s="496"/>
      <c r="C3012" s="497"/>
      <c r="D3012" s="498"/>
      <c r="E3012" s="499"/>
      <c r="F3012" s="500"/>
      <c r="G3012" s="501"/>
      <c r="H3012" s="502"/>
      <c r="I3012" s="503">
        <f t="shared" si="50"/>
        <v>49015.559999999954</v>
      </c>
    </row>
    <row r="3013" spans="2:9">
      <c r="B3013" s="496"/>
      <c r="C3013" s="497"/>
      <c r="D3013" s="498"/>
      <c r="E3013" s="499"/>
      <c r="F3013" s="500"/>
      <c r="G3013" s="501"/>
      <c r="H3013" s="502"/>
      <c r="I3013" s="503">
        <f t="shared" si="50"/>
        <v>49015.559999999954</v>
      </c>
    </row>
    <row r="3014" spans="2:9">
      <c r="B3014" s="496"/>
      <c r="C3014" s="497"/>
      <c r="D3014" s="498"/>
      <c r="E3014" s="499"/>
      <c r="F3014" s="500"/>
      <c r="G3014" s="501"/>
      <c r="H3014" s="502"/>
      <c r="I3014" s="503">
        <f t="shared" si="50"/>
        <v>49015.559999999954</v>
      </c>
    </row>
    <row r="3015" spans="2:9">
      <c r="B3015" s="496"/>
      <c r="C3015" s="497"/>
      <c r="D3015" s="498"/>
      <c r="E3015" s="499"/>
      <c r="F3015" s="500"/>
      <c r="G3015" s="501"/>
      <c r="H3015" s="502"/>
      <c r="I3015" s="503">
        <f t="shared" si="50"/>
        <v>49015.559999999954</v>
      </c>
    </row>
    <row r="3016" spans="2:9">
      <c r="B3016" s="496"/>
      <c r="C3016" s="497"/>
      <c r="D3016" s="498"/>
      <c r="E3016" s="499"/>
      <c r="F3016" s="500"/>
      <c r="G3016" s="501"/>
      <c r="H3016" s="502"/>
      <c r="I3016" s="503">
        <f t="shared" si="50"/>
        <v>49015.559999999954</v>
      </c>
    </row>
    <row r="3017" spans="2:9">
      <c r="B3017" s="496"/>
      <c r="C3017" s="497"/>
      <c r="D3017" s="498"/>
      <c r="E3017" s="499"/>
      <c r="F3017" s="500"/>
      <c r="G3017" s="501"/>
      <c r="H3017" s="502"/>
      <c r="I3017" s="503">
        <f t="shared" si="50"/>
        <v>49015.559999999954</v>
      </c>
    </row>
    <row r="3018" spans="2:9">
      <c r="B3018" s="496"/>
      <c r="C3018" s="497"/>
      <c r="D3018" s="498"/>
      <c r="E3018" s="499"/>
      <c r="F3018" s="500"/>
      <c r="G3018" s="501"/>
      <c r="H3018" s="502"/>
      <c r="I3018" s="503">
        <f t="shared" si="50"/>
        <v>49015.559999999954</v>
      </c>
    </row>
    <row r="3019" spans="2:9">
      <c r="B3019" s="496"/>
      <c r="C3019" s="497"/>
      <c r="D3019" s="498"/>
      <c r="E3019" s="499"/>
      <c r="F3019" s="500"/>
      <c r="G3019" s="501"/>
      <c r="H3019" s="502"/>
      <c r="I3019" s="503">
        <f t="shared" si="50"/>
        <v>49015.559999999954</v>
      </c>
    </row>
    <row r="3020" spans="2:9">
      <c r="B3020" s="496"/>
      <c r="C3020" s="497"/>
      <c r="D3020" s="498"/>
      <c r="E3020" s="499"/>
      <c r="F3020" s="500"/>
      <c r="G3020" s="501"/>
      <c r="H3020" s="502"/>
      <c r="I3020" s="503">
        <f t="shared" si="50"/>
        <v>49015.559999999954</v>
      </c>
    </row>
    <row r="3021" spans="2:9">
      <c r="B3021" s="496"/>
      <c r="C3021" s="497"/>
      <c r="D3021" s="498"/>
      <c r="E3021" s="499"/>
      <c r="F3021" s="500"/>
      <c r="G3021" s="501"/>
      <c r="H3021" s="502"/>
      <c r="I3021" s="503">
        <f t="shared" si="50"/>
        <v>49015.559999999954</v>
      </c>
    </row>
    <row r="3022" spans="2:9">
      <c r="B3022" s="496"/>
      <c r="C3022" s="497"/>
      <c r="D3022" s="498"/>
      <c r="E3022" s="499"/>
      <c r="F3022" s="500"/>
      <c r="G3022" s="501"/>
      <c r="H3022" s="502"/>
      <c r="I3022" s="503">
        <f t="shared" si="50"/>
        <v>49015.559999999954</v>
      </c>
    </row>
    <row r="3023" spans="2:9">
      <c r="B3023" s="496"/>
      <c r="C3023" s="497"/>
      <c r="D3023" s="498"/>
      <c r="E3023" s="499"/>
      <c r="F3023" s="500"/>
      <c r="G3023" s="501"/>
      <c r="H3023" s="502"/>
      <c r="I3023" s="503">
        <f t="shared" si="50"/>
        <v>49015.559999999954</v>
      </c>
    </row>
    <row r="3024" spans="2:9">
      <c r="B3024" s="496"/>
      <c r="C3024" s="497"/>
      <c r="D3024" s="498"/>
      <c r="E3024" s="499"/>
      <c r="F3024" s="500"/>
      <c r="G3024" s="501"/>
      <c r="H3024" s="502"/>
      <c r="I3024" s="503">
        <f t="shared" si="50"/>
        <v>49015.559999999954</v>
      </c>
    </row>
    <row r="3025" spans="2:9">
      <c r="B3025" s="496"/>
      <c r="C3025" s="497"/>
      <c r="D3025" s="498"/>
      <c r="E3025" s="499"/>
      <c r="F3025" s="500"/>
      <c r="G3025" s="501"/>
      <c r="H3025" s="502"/>
      <c r="I3025" s="503">
        <f t="shared" si="50"/>
        <v>49015.559999999954</v>
      </c>
    </row>
    <row r="3026" spans="2:9">
      <c r="B3026" s="496"/>
      <c r="C3026" s="497"/>
      <c r="D3026" s="498"/>
      <c r="E3026" s="499"/>
      <c r="F3026" s="500"/>
      <c r="G3026" s="501"/>
      <c r="H3026" s="502"/>
      <c r="I3026" s="503">
        <f t="shared" si="50"/>
        <v>49015.559999999954</v>
      </c>
    </row>
    <row r="3027" spans="2:9">
      <c r="B3027" s="496"/>
      <c r="C3027" s="497"/>
      <c r="D3027" s="498"/>
      <c r="E3027" s="499"/>
      <c r="F3027" s="500"/>
      <c r="G3027" s="501"/>
      <c r="H3027" s="502"/>
      <c r="I3027" s="503">
        <f t="shared" si="50"/>
        <v>49015.559999999954</v>
      </c>
    </row>
    <row r="3028" spans="2:9">
      <c r="B3028" s="496"/>
      <c r="C3028" s="497"/>
      <c r="D3028" s="498"/>
      <c r="E3028" s="499"/>
      <c r="F3028" s="500"/>
      <c r="G3028" s="501"/>
      <c r="H3028" s="502"/>
      <c r="I3028" s="503">
        <f t="shared" si="50"/>
        <v>49015.559999999954</v>
      </c>
    </row>
    <row r="3029" spans="2:9">
      <c r="B3029" s="496"/>
      <c r="C3029" s="497"/>
      <c r="D3029" s="498"/>
      <c r="E3029" s="499"/>
      <c r="F3029" s="500"/>
      <c r="G3029" s="501"/>
      <c r="H3029" s="502"/>
      <c r="I3029" s="503">
        <f t="shared" si="50"/>
        <v>49015.559999999954</v>
      </c>
    </row>
    <row r="3030" spans="2:9">
      <c r="B3030" s="496"/>
      <c r="C3030" s="497"/>
      <c r="D3030" s="498"/>
      <c r="E3030" s="499"/>
      <c r="F3030" s="500"/>
      <c r="G3030" s="501"/>
      <c r="H3030" s="502"/>
      <c r="I3030" s="503">
        <f t="shared" si="50"/>
        <v>49015.559999999954</v>
      </c>
    </row>
    <row r="3031" spans="2:9">
      <c r="B3031" s="496"/>
      <c r="C3031" s="497"/>
      <c r="D3031" s="498"/>
      <c r="E3031" s="499"/>
      <c r="F3031" s="500"/>
      <c r="G3031" s="501"/>
      <c r="H3031" s="502"/>
      <c r="I3031" s="503">
        <f t="shared" si="50"/>
        <v>49015.559999999954</v>
      </c>
    </row>
    <row r="3032" spans="2:9">
      <c r="B3032" s="496"/>
      <c r="C3032" s="497"/>
      <c r="D3032" s="498"/>
      <c r="E3032" s="499"/>
      <c r="F3032" s="500"/>
      <c r="G3032" s="501"/>
      <c r="H3032" s="502"/>
      <c r="I3032" s="503">
        <f t="shared" si="50"/>
        <v>49015.559999999954</v>
      </c>
    </row>
    <row r="3033" spans="2:9">
      <c r="B3033" s="496"/>
      <c r="C3033" s="497"/>
      <c r="D3033" s="498"/>
      <c r="E3033" s="499"/>
      <c r="F3033" s="500"/>
      <c r="G3033" s="501"/>
      <c r="H3033" s="502"/>
      <c r="I3033" s="503">
        <f t="shared" ref="I3033:I3096" si="51">I3032+E3034-F3035</f>
        <v>49015.559999999954</v>
      </c>
    </row>
    <row r="3034" spans="2:9">
      <c r="B3034" s="496"/>
      <c r="C3034" s="497"/>
      <c r="D3034" s="498"/>
      <c r="E3034" s="499"/>
      <c r="F3034" s="500"/>
      <c r="G3034" s="501"/>
      <c r="H3034" s="502"/>
      <c r="I3034" s="503">
        <f t="shared" si="51"/>
        <v>49015.559999999954</v>
      </c>
    </row>
    <row r="3035" spans="2:9">
      <c r="B3035" s="496"/>
      <c r="C3035" s="497"/>
      <c r="D3035" s="498"/>
      <c r="E3035" s="499"/>
      <c r="F3035" s="500"/>
      <c r="G3035" s="501"/>
      <c r="H3035" s="502"/>
      <c r="I3035" s="503">
        <f t="shared" si="51"/>
        <v>49015.559999999954</v>
      </c>
    </row>
    <row r="3036" spans="2:9">
      <c r="B3036" s="496"/>
      <c r="C3036" s="497"/>
      <c r="D3036" s="498"/>
      <c r="E3036" s="499"/>
      <c r="F3036" s="500"/>
      <c r="G3036" s="501"/>
      <c r="H3036" s="502"/>
      <c r="I3036" s="503">
        <f t="shared" si="51"/>
        <v>49015.559999999954</v>
      </c>
    </row>
    <row r="3037" spans="2:9">
      <c r="B3037" s="496"/>
      <c r="C3037" s="497"/>
      <c r="D3037" s="498"/>
      <c r="E3037" s="499"/>
      <c r="F3037" s="500"/>
      <c r="G3037" s="501"/>
      <c r="H3037" s="502"/>
      <c r="I3037" s="503">
        <f t="shared" si="51"/>
        <v>49015.559999999954</v>
      </c>
    </row>
    <row r="3038" spans="2:9">
      <c r="B3038" s="496"/>
      <c r="C3038" s="497"/>
      <c r="D3038" s="498"/>
      <c r="E3038" s="499"/>
      <c r="F3038" s="500"/>
      <c r="G3038" s="501"/>
      <c r="H3038" s="502"/>
      <c r="I3038" s="503">
        <f t="shared" si="51"/>
        <v>49015.559999999954</v>
      </c>
    </row>
    <row r="3039" spans="2:9">
      <c r="B3039" s="496"/>
      <c r="C3039" s="497"/>
      <c r="D3039" s="498"/>
      <c r="E3039" s="499"/>
      <c r="F3039" s="500"/>
      <c r="G3039" s="501"/>
      <c r="H3039" s="502"/>
      <c r="I3039" s="503">
        <f t="shared" si="51"/>
        <v>49015.559999999954</v>
      </c>
    </row>
    <row r="3040" spans="2:9">
      <c r="B3040" s="496"/>
      <c r="C3040" s="497"/>
      <c r="D3040" s="498"/>
      <c r="E3040" s="499"/>
      <c r="F3040" s="500"/>
      <c r="G3040" s="501"/>
      <c r="H3040" s="502"/>
      <c r="I3040" s="503">
        <f t="shared" si="51"/>
        <v>49015.559999999954</v>
      </c>
    </row>
    <row r="3041" spans="2:9">
      <c r="B3041" s="496"/>
      <c r="C3041" s="497"/>
      <c r="D3041" s="498"/>
      <c r="E3041" s="499"/>
      <c r="F3041" s="500"/>
      <c r="G3041" s="501"/>
      <c r="H3041" s="502"/>
      <c r="I3041" s="503">
        <f t="shared" si="51"/>
        <v>49015.559999999954</v>
      </c>
    </row>
    <row r="3042" spans="2:9">
      <c r="B3042" s="496"/>
      <c r="C3042" s="497"/>
      <c r="D3042" s="498"/>
      <c r="E3042" s="499"/>
      <c r="F3042" s="500"/>
      <c r="G3042" s="501"/>
      <c r="H3042" s="502"/>
      <c r="I3042" s="503">
        <f t="shared" si="51"/>
        <v>49015.559999999954</v>
      </c>
    </row>
    <row r="3043" spans="2:9">
      <c r="B3043" s="496"/>
      <c r="C3043" s="497"/>
      <c r="D3043" s="498"/>
      <c r="E3043" s="499"/>
      <c r="F3043" s="500"/>
      <c r="G3043" s="501"/>
      <c r="H3043" s="502"/>
      <c r="I3043" s="503">
        <f t="shared" si="51"/>
        <v>49015.559999999954</v>
      </c>
    </row>
    <row r="3044" spans="2:9">
      <c r="B3044" s="496"/>
      <c r="C3044" s="497"/>
      <c r="D3044" s="498"/>
      <c r="E3044" s="499"/>
      <c r="F3044" s="500"/>
      <c r="G3044" s="501"/>
      <c r="H3044" s="502"/>
      <c r="I3044" s="503">
        <f t="shared" si="51"/>
        <v>49015.559999999954</v>
      </c>
    </row>
    <row r="3045" spans="2:9">
      <c r="B3045" s="496"/>
      <c r="C3045" s="497"/>
      <c r="D3045" s="498"/>
      <c r="E3045" s="499"/>
      <c r="F3045" s="500"/>
      <c r="G3045" s="501"/>
      <c r="H3045" s="502"/>
      <c r="I3045" s="503">
        <f t="shared" si="51"/>
        <v>49015.559999999954</v>
      </c>
    </row>
    <row r="3046" spans="2:9">
      <c r="B3046" s="496"/>
      <c r="C3046" s="497"/>
      <c r="D3046" s="498"/>
      <c r="E3046" s="499"/>
      <c r="F3046" s="500"/>
      <c r="G3046" s="501"/>
      <c r="H3046" s="502"/>
      <c r="I3046" s="503">
        <f t="shared" si="51"/>
        <v>49015.559999999954</v>
      </c>
    </row>
    <row r="3047" spans="2:9">
      <c r="B3047" s="496"/>
      <c r="C3047" s="497"/>
      <c r="D3047" s="498"/>
      <c r="E3047" s="499"/>
      <c r="F3047" s="500"/>
      <c r="G3047" s="501"/>
      <c r="H3047" s="502"/>
      <c r="I3047" s="503">
        <f t="shared" si="51"/>
        <v>49015.559999999954</v>
      </c>
    </row>
    <row r="3048" spans="2:9">
      <c r="B3048" s="496"/>
      <c r="C3048" s="497"/>
      <c r="D3048" s="498"/>
      <c r="E3048" s="499"/>
      <c r="F3048" s="500"/>
      <c r="G3048" s="501"/>
      <c r="H3048" s="502"/>
      <c r="I3048" s="503">
        <f t="shared" si="51"/>
        <v>49015.559999999954</v>
      </c>
    </row>
    <row r="3049" spans="2:9">
      <c r="B3049" s="496"/>
      <c r="C3049" s="497"/>
      <c r="D3049" s="498"/>
      <c r="E3049" s="499"/>
      <c r="F3049" s="500"/>
      <c r="G3049" s="501"/>
      <c r="H3049" s="502"/>
      <c r="I3049" s="503">
        <f t="shared" si="51"/>
        <v>49015.559999999954</v>
      </c>
    </row>
    <row r="3050" spans="2:9">
      <c r="B3050" s="496"/>
      <c r="C3050" s="497"/>
      <c r="D3050" s="498"/>
      <c r="E3050" s="499"/>
      <c r="F3050" s="500"/>
      <c r="G3050" s="501"/>
      <c r="H3050" s="502"/>
      <c r="I3050" s="503">
        <f t="shared" si="51"/>
        <v>49015.559999999954</v>
      </c>
    </row>
    <row r="3051" spans="2:9">
      <c r="B3051" s="496"/>
      <c r="C3051" s="497"/>
      <c r="D3051" s="498"/>
      <c r="E3051" s="499"/>
      <c r="F3051" s="500"/>
      <c r="G3051" s="501"/>
      <c r="H3051" s="502"/>
      <c r="I3051" s="503">
        <f t="shared" si="51"/>
        <v>49015.559999999954</v>
      </c>
    </row>
    <row r="3052" spans="2:9">
      <c r="B3052" s="496"/>
      <c r="C3052" s="497"/>
      <c r="D3052" s="498"/>
      <c r="E3052" s="499"/>
      <c r="F3052" s="500"/>
      <c r="G3052" s="501"/>
      <c r="H3052" s="502"/>
      <c r="I3052" s="503">
        <f t="shared" si="51"/>
        <v>49015.559999999954</v>
      </c>
    </row>
    <row r="3053" spans="2:9">
      <c r="B3053" s="496"/>
      <c r="C3053" s="497"/>
      <c r="D3053" s="498"/>
      <c r="E3053" s="499"/>
      <c r="F3053" s="500"/>
      <c r="G3053" s="501"/>
      <c r="H3053" s="502"/>
      <c r="I3053" s="503">
        <f t="shared" si="51"/>
        <v>49015.559999999954</v>
      </c>
    </row>
    <row r="3054" spans="2:9">
      <c r="B3054" s="496"/>
      <c r="C3054" s="497"/>
      <c r="D3054" s="498"/>
      <c r="E3054" s="499"/>
      <c r="F3054" s="500"/>
      <c r="G3054" s="501"/>
      <c r="H3054" s="502"/>
      <c r="I3054" s="503">
        <f t="shared" si="51"/>
        <v>49015.559999999954</v>
      </c>
    </row>
    <row r="3055" spans="2:9">
      <c r="B3055" s="496"/>
      <c r="C3055" s="497"/>
      <c r="D3055" s="498"/>
      <c r="E3055" s="499"/>
      <c r="F3055" s="500"/>
      <c r="G3055" s="501"/>
      <c r="H3055" s="502"/>
      <c r="I3055" s="503">
        <f t="shared" si="51"/>
        <v>49015.559999999954</v>
      </c>
    </row>
    <row r="3056" spans="2:9">
      <c r="B3056" s="496"/>
      <c r="C3056" s="497"/>
      <c r="D3056" s="498"/>
      <c r="E3056" s="499"/>
      <c r="F3056" s="500"/>
      <c r="G3056" s="501"/>
      <c r="H3056" s="502"/>
      <c r="I3056" s="503">
        <f t="shared" si="51"/>
        <v>49015.559999999954</v>
      </c>
    </row>
    <row r="3057" spans="2:9">
      <c r="B3057" s="496"/>
      <c r="C3057" s="497"/>
      <c r="D3057" s="498"/>
      <c r="E3057" s="499"/>
      <c r="F3057" s="500"/>
      <c r="G3057" s="501"/>
      <c r="H3057" s="502"/>
      <c r="I3057" s="503">
        <f t="shared" si="51"/>
        <v>49015.559999999954</v>
      </c>
    </row>
    <row r="3058" spans="2:9">
      <c r="B3058" s="496"/>
      <c r="C3058" s="497"/>
      <c r="D3058" s="498"/>
      <c r="E3058" s="499"/>
      <c r="F3058" s="500"/>
      <c r="G3058" s="501"/>
      <c r="H3058" s="502"/>
      <c r="I3058" s="503">
        <f t="shared" si="51"/>
        <v>49015.559999999954</v>
      </c>
    </row>
    <row r="3059" spans="2:9">
      <c r="B3059" s="496"/>
      <c r="C3059" s="497"/>
      <c r="D3059" s="498"/>
      <c r="E3059" s="499"/>
      <c r="F3059" s="500"/>
      <c r="G3059" s="501"/>
      <c r="H3059" s="502"/>
      <c r="I3059" s="503">
        <f t="shared" si="51"/>
        <v>49015.559999999954</v>
      </c>
    </row>
    <row r="3060" spans="2:9">
      <c r="B3060" s="496"/>
      <c r="C3060" s="497"/>
      <c r="D3060" s="498"/>
      <c r="E3060" s="499"/>
      <c r="F3060" s="500"/>
      <c r="G3060" s="501"/>
      <c r="H3060" s="502"/>
      <c r="I3060" s="503">
        <f t="shared" si="51"/>
        <v>49015.559999999954</v>
      </c>
    </row>
    <row r="3061" spans="2:9">
      <c r="B3061" s="496"/>
      <c r="C3061" s="497"/>
      <c r="D3061" s="498"/>
      <c r="E3061" s="499"/>
      <c r="F3061" s="500"/>
      <c r="G3061" s="501"/>
      <c r="H3061" s="502"/>
      <c r="I3061" s="503">
        <f t="shared" si="51"/>
        <v>49015.559999999954</v>
      </c>
    </row>
    <row r="3062" spans="2:9">
      <c r="B3062" s="496"/>
      <c r="C3062" s="497"/>
      <c r="D3062" s="498"/>
      <c r="E3062" s="499"/>
      <c r="F3062" s="500"/>
      <c r="G3062" s="501"/>
      <c r="H3062" s="502"/>
      <c r="I3062" s="503">
        <f t="shared" si="51"/>
        <v>49015.559999999954</v>
      </c>
    </row>
    <row r="3063" spans="2:9">
      <c r="B3063" s="496"/>
      <c r="C3063" s="497"/>
      <c r="D3063" s="498"/>
      <c r="E3063" s="499"/>
      <c r="F3063" s="500"/>
      <c r="G3063" s="501"/>
      <c r="H3063" s="502"/>
      <c r="I3063" s="503">
        <f t="shared" si="51"/>
        <v>49015.559999999954</v>
      </c>
    </row>
    <row r="3064" spans="2:9">
      <c r="B3064" s="496"/>
      <c r="C3064" s="497"/>
      <c r="D3064" s="498"/>
      <c r="E3064" s="499"/>
      <c r="F3064" s="500"/>
      <c r="G3064" s="501"/>
      <c r="H3064" s="502"/>
      <c r="I3064" s="503">
        <f t="shared" si="51"/>
        <v>49015.559999999954</v>
      </c>
    </row>
    <row r="3065" spans="2:9">
      <c r="B3065" s="496"/>
      <c r="C3065" s="497"/>
      <c r="D3065" s="498"/>
      <c r="E3065" s="499"/>
      <c r="F3065" s="500"/>
      <c r="G3065" s="501"/>
      <c r="H3065" s="502"/>
      <c r="I3065" s="503">
        <f t="shared" si="51"/>
        <v>49015.559999999954</v>
      </c>
    </row>
    <row r="3066" spans="2:9">
      <c r="B3066" s="496"/>
      <c r="C3066" s="497"/>
      <c r="D3066" s="498"/>
      <c r="E3066" s="499"/>
      <c r="F3066" s="500"/>
      <c r="G3066" s="501"/>
      <c r="H3066" s="502"/>
      <c r="I3066" s="503">
        <f t="shared" si="51"/>
        <v>49015.559999999954</v>
      </c>
    </row>
    <row r="3067" spans="2:9">
      <c r="B3067" s="496"/>
      <c r="C3067" s="497"/>
      <c r="D3067" s="498"/>
      <c r="E3067" s="499"/>
      <c r="F3067" s="500"/>
      <c r="G3067" s="501"/>
      <c r="H3067" s="502"/>
      <c r="I3067" s="503">
        <f t="shared" si="51"/>
        <v>49015.559999999954</v>
      </c>
    </row>
    <row r="3068" spans="2:9">
      <c r="B3068" s="496"/>
      <c r="C3068" s="497"/>
      <c r="D3068" s="498"/>
      <c r="E3068" s="499"/>
      <c r="F3068" s="500"/>
      <c r="G3068" s="501"/>
      <c r="H3068" s="502"/>
      <c r="I3068" s="503">
        <f t="shared" si="51"/>
        <v>49015.559999999954</v>
      </c>
    </row>
    <row r="3069" spans="2:9">
      <c r="B3069" s="496"/>
      <c r="C3069" s="497"/>
      <c r="D3069" s="498"/>
      <c r="E3069" s="499"/>
      <c r="F3069" s="500"/>
      <c r="G3069" s="501"/>
      <c r="H3069" s="502"/>
      <c r="I3069" s="503">
        <f t="shared" si="51"/>
        <v>49015.559999999954</v>
      </c>
    </row>
    <row r="3070" spans="2:9">
      <c r="B3070" s="496"/>
      <c r="C3070" s="497"/>
      <c r="D3070" s="498"/>
      <c r="E3070" s="499"/>
      <c r="F3070" s="500"/>
      <c r="G3070" s="501"/>
      <c r="H3070" s="502"/>
      <c r="I3070" s="503">
        <f t="shared" si="51"/>
        <v>49015.559999999954</v>
      </c>
    </row>
    <row r="3071" spans="2:9">
      <c r="B3071" s="496"/>
      <c r="C3071" s="497"/>
      <c r="D3071" s="498"/>
      <c r="E3071" s="499"/>
      <c r="F3071" s="500"/>
      <c r="G3071" s="501"/>
      <c r="H3071" s="502"/>
      <c r="I3071" s="503">
        <f t="shared" si="51"/>
        <v>49015.559999999954</v>
      </c>
    </row>
    <row r="3072" spans="2:9">
      <c r="B3072" s="496"/>
      <c r="C3072" s="497"/>
      <c r="D3072" s="498"/>
      <c r="E3072" s="499"/>
      <c r="F3072" s="500"/>
      <c r="G3072" s="501"/>
      <c r="H3072" s="502"/>
      <c r="I3072" s="503">
        <f t="shared" si="51"/>
        <v>49015.559999999954</v>
      </c>
    </row>
    <row r="3073" spans="2:9">
      <c r="B3073" s="496"/>
      <c r="C3073" s="497"/>
      <c r="D3073" s="498"/>
      <c r="E3073" s="499"/>
      <c r="F3073" s="500"/>
      <c r="G3073" s="501"/>
      <c r="H3073" s="502"/>
      <c r="I3073" s="503">
        <f t="shared" si="51"/>
        <v>49015.559999999954</v>
      </c>
    </row>
    <row r="3074" spans="2:9">
      <c r="B3074" s="496"/>
      <c r="C3074" s="497"/>
      <c r="D3074" s="498"/>
      <c r="E3074" s="499"/>
      <c r="F3074" s="500"/>
      <c r="G3074" s="501"/>
      <c r="H3074" s="502"/>
      <c r="I3074" s="503">
        <f t="shared" si="51"/>
        <v>49015.559999999954</v>
      </c>
    </row>
    <row r="3075" spans="2:9">
      <c r="B3075" s="496"/>
      <c r="C3075" s="497"/>
      <c r="D3075" s="498"/>
      <c r="E3075" s="499"/>
      <c r="F3075" s="500"/>
      <c r="G3075" s="501"/>
      <c r="H3075" s="502"/>
      <c r="I3075" s="503">
        <f t="shared" si="51"/>
        <v>49015.559999999954</v>
      </c>
    </row>
    <row r="3076" spans="2:9">
      <c r="B3076" s="496"/>
      <c r="C3076" s="497"/>
      <c r="D3076" s="498"/>
      <c r="E3076" s="499"/>
      <c r="F3076" s="500"/>
      <c r="G3076" s="501"/>
      <c r="H3076" s="502"/>
      <c r="I3076" s="503">
        <f t="shared" si="51"/>
        <v>49015.559999999954</v>
      </c>
    </row>
    <row r="3077" spans="2:9">
      <c r="B3077" s="496"/>
      <c r="C3077" s="497"/>
      <c r="D3077" s="498"/>
      <c r="E3077" s="499"/>
      <c r="F3077" s="500"/>
      <c r="G3077" s="501"/>
      <c r="H3077" s="502"/>
      <c r="I3077" s="503">
        <f t="shared" si="51"/>
        <v>49015.559999999954</v>
      </c>
    </row>
    <row r="3078" spans="2:9">
      <c r="B3078" s="496"/>
      <c r="C3078" s="497"/>
      <c r="D3078" s="498"/>
      <c r="E3078" s="499"/>
      <c r="F3078" s="500"/>
      <c r="G3078" s="501"/>
      <c r="H3078" s="502"/>
      <c r="I3078" s="503">
        <f t="shared" si="51"/>
        <v>49015.559999999954</v>
      </c>
    </row>
    <row r="3079" spans="2:9">
      <c r="B3079" s="496"/>
      <c r="C3079" s="497"/>
      <c r="D3079" s="498"/>
      <c r="E3079" s="499"/>
      <c r="F3079" s="500"/>
      <c r="G3079" s="501"/>
      <c r="H3079" s="502"/>
      <c r="I3079" s="503">
        <f t="shared" si="51"/>
        <v>49015.559999999954</v>
      </c>
    </row>
    <row r="3080" spans="2:9">
      <c r="B3080" s="496"/>
      <c r="C3080" s="497"/>
      <c r="D3080" s="498"/>
      <c r="E3080" s="499"/>
      <c r="F3080" s="500"/>
      <c r="G3080" s="501"/>
      <c r="H3080" s="502"/>
      <c r="I3080" s="503">
        <f t="shared" si="51"/>
        <v>49015.559999999954</v>
      </c>
    </row>
    <row r="3081" spans="2:9">
      <c r="B3081" s="496"/>
      <c r="C3081" s="497"/>
      <c r="D3081" s="498"/>
      <c r="E3081" s="499"/>
      <c r="F3081" s="500"/>
      <c r="G3081" s="501"/>
      <c r="H3081" s="502"/>
      <c r="I3081" s="503">
        <f t="shared" si="51"/>
        <v>49015.559999999954</v>
      </c>
    </row>
    <row r="3082" spans="2:9">
      <c r="B3082" s="496"/>
      <c r="C3082" s="497"/>
      <c r="D3082" s="498"/>
      <c r="E3082" s="499"/>
      <c r="F3082" s="500"/>
      <c r="G3082" s="501"/>
      <c r="H3082" s="502"/>
      <c r="I3082" s="503">
        <f t="shared" si="51"/>
        <v>49015.559999999954</v>
      </c>
    </row>
    <row r="3083" spans="2:9">
      <c r="B3083" s="496"/>
      <c r="C3083" s="497"/>
      <c r="D3083" s="498"/>
      <c r="E3083" s="499"/>
      <c r="F3083" s="500"/>
      <c r="G3083" s="501"/>
      <c r="H3083" s="502"/>
      <c r="I3083" s="503">
        <f t="shared" si="51"/>
        <v>49015.559999999954</v>
      </c>
    </row>
    <row r="3084" spans="2:9">
      <c r="B3084" s="496"/>
      <c r="C3084" s="497"/>
      <c r="D3084" s="498"/>
      <c r="E3084" s="499"/>
      <c r="F3084" s="500"/>
      <c r="G3084" s="501"/>
      <c r="H3084" s="502"/>
      <c r="I3084" s="503">
        <f t="shared" si="51"/>
        <v>49015.559999999954</v>
      </c>
    </row>
    <row r="3085" spans="2:9">
      <c r="B3085" s="496"/>
      <c r="C3085" s="497"/>
      <c r="D3085" s="498"/>
      <c r="E3085" s="499"/>
      <c r="F3085" s="500"/>
      <c r="G3085" s="501"/>
      <c r="H3085" s="502"/>
      <c r="I3085" s="503">
        <f t="shared" si="51"/>
        <v>49015.559999999954</v>
      </c>
    </row>
    <row r="3086" spans="2:9">
      <c r="B3086" s="496"/>
      <c r="C3086" s="497"/>
      <c r="D3086" s="498"/>
      <c r="E3086" s="499"/>
      <c r="F3086" s="500"/>
      <c r="G3086" s="501"/>
      <c r="H3086" s="502"/>
      <c r="I3086" s="503">
        <f t="shared" si="51"/>
        <v>49015.559999999954</v>
      </c>
    </row>
    <row r="3087" spans="2:9">
      <c r="B3087" s="496"/>
      <c r="C3087" s="497"/>
      <c r="D3087" s="498"/>
      <c r="E3087" s="499"/>
      <c r="F3087" s="500"/>
      <c r="G3087" s="501"/>
      <c r="H3087" s="502"/>
      <c r="I3087" s="503">
        <f t="shared" si="51"/>
        <v>49015.559999999954</v>
      </c>
    </row>
    <row r="3088" spans="2:9">
      <c r="B3088" s="496"/>
      <c r="C3088" s="497"/>
      <c r="D3088" s="498"/>
      <c r="E3088" s="499"/>
      <c r="F3088" s="500"/>
      <c r="G3088" s="501"/>
      <c r="H3088" s="502"/>
      <c r="I3088" s="503">
        <f t="shared" si="51"/>
        <v>49015.559999999954</v>
      </c>
    </row>
    <row r="3089" spans="2:9">
      <c r="B3089" s="496"/>
      <c r="C3089" s="497"/>
      <c r="D3089" s="498"/>
      <c r="E3089" s="499"/>
      <c r="F3089" s="500"/>
      <c r="G3089" s="501"/>
      <c r="H3089" s="502"/>
      <c r="I3089" s="503">
        <f t="shared" si="51"/>
        <v>49015.559999999954</v>
      </c>
    </row>
    <row r="3090" spans="2:9">
      <c r="B3090" s="496"/>
      <c r="C3090" s="497"/>
      <c r="D3090" s="498"/>
      <c r="E3090" s="499"/>
      <c r="F3090" s="500"/>
      <c r="G3090" s="501"/>
      <c r="H3090" s="502"/>
      <c r="I3090" s="503">
        <f t="shared" si="51"/>
        <v>49015.559999999954</v>
      </c>
    </row>
    <row r="3091" spans="2:9">
      <c r="B3091" s="496"/>
      <c r="C3091" s="497"/>
      <c r="D3091" s="498"/>
      <c r="E3091" s="499"/>
      <c r="F3091" s="500"/>
      <c r="G3091" s="501"/>
      <c r="H3091" s="502"/>
      <c r="I3091" s="503">
        <f t="shared" si="51"/>
        <v>49015.559999999954</v>
      </c>
    </row>
    <row r="3092" spans="2:9">
      <c r="B3092" s="496"/>
      <c r="C3092" s="497"/>
      <c r="D3092" s="498"/>
      <c r="E3092" s="499"/>
      <c r="F3092" s="500"/>
      <c r="G3092" s="501"/>
      <c r="H3092" s="502"/>
      <c r="I3092" s="503">
        <f t="shared" si="51"/>
        <v>49015.559999999954</v>
      </c>
    </row>
    <row r="3093" spans="2:9">
      <c r="B3093" s="496"/>
      <c r="C3093" s="497"/>
      <c r="D3093" s="498"/>
      <c r="E3093" s="499"/>
      <c r="F3093" s="500"/>
      <c r="G3093" s="501"/>
      <c r="H3093" s="502"/>
      <c r="I3093" s="503">
        <f t="shared" si="51"/>
        <v>49015.559999999954</v>
      </c>
    </row>
    <row r="3094" spans="2:9">
      <c r="B3094" s="496"/>
      <c r="C3094" s="497"/>
      <c r="D3094" s="498"/>
      <c r="E3094" s="499"/>
      <c r="F3094" s="500"/>
      <c r="G3094" s="501"/>
      <c r="H3094" s="502"/>
      <c r="I3094" s="503">
        <f t="shared" si="51"/>
        <v>49015.559999999954</v>
      </c>
    </row>
    <row r="3095" spans="2:9">
      <c r="B3095" s="496"/>
      <c r="C3095" s="497"/>
      <c r="D3095" s="498"/>
      <c r="E3095" s="499"/>
      <c r="F3095" s="500"/>
      <c r="G3095" s="501"/>
      <c r="H3095" s="502"/>
      <c r="I3095" s="503">
        <f t="shared" si="51"/>
        <v>49015.559999999954</v>
      </c>
    </row>
    <row r="3096" spans="2:9">
      <c r="B3096" s="496"/>
      <c r="C3096" s="497"/>
      <c r="D3096" s="498"/>
      <c r="E3096" s="499"/>
      <c r="F3096" s="500"/>
      <c r="G3096" s="501"/>
      <c r="H3096" s="502"/>
      <c r="I3096" s="503">
        <f t="shared" si="51"/>
        <v>49015.559999999954</v>
      </c>
    </row>
    <row r="3097" spans="2:9">
      <c r="B3097" s="496"/>
      <c r="C3097" s="497"/>
      <c r="D3097" s="498"/>
      <c r="E3097" s="499"/>
      <c r="F3097" s="500"/>
      <c r="G3097" s="501"/>
      <c r="H3097" s="502"/>
      <c r="I3097" s="503">
        <f t="shared" ref="I3097:I3160" si="52">I3096+E3098-F3099</f>
        <v>49015.559999999954</v>
      </c>
    </row>
    <row r="3098" spans="2:9">
      <c r="B3098" s="496"/>
      <c r="C3098" s="497"/>
      <c r="D3098" s="498"/>
      <c r="E3098" s="499"/>
      <c r="F3098" s="500"/>
      <c r="G3098" s="501"/>
      <c r="H3098" s="502"/>
      <c r="I3098" s="503">
        <f t="shared" si="52"/>
        <v>49015.559999999954</v>
      </c>
    </row>
    <row r="3099" spans="2:9">
      <c r="B3099" s="496"/>
      <c r="C3099" s="497"/>
      <c r="D3099" s="498"/>
      <c r="E3099" s="499"/>
      <c r="F3099" s="500"/>
      <c r="G3099" s="501"/>
      <c r="H3099" s="502"/>
      <c r="I3099" s="503">
        <f t="shared" si="52"/>
        <v>49015.559999999954</v>
      </c>
    </row>
    <row r="3100" spans="2:9">
      <c r="B3100" s="496"/>
      <c r="C3100" s="497"/>
      <c r="D3100" s="498"/>
      <c r="E3100" s="499"/>
      <c r="F3100" s="500"/>
      <c r="G3100" s="501"/>
      <c r="H3100" s="502"/>
      <c r="I3100" s="503">
        <f t="shared" si="52"/>
        <v>49015.559999999954</v>
      </c>
    </row>
    <row r="3101" spans="2:9">
      <c r="B3101" s="496"/>
      <c r="C3101" s="497"/>
      <c r="D3101" s="498"/>
      <c r="E3101" s="499"/>
      <c r="F3101" s="500"/>
      <c r="G3101" s="501"/>
      <c r="H3101" s="502"/>
      <c r="I3101" s="503">
        <f t="shared" si="52"/>
        <v>49015.559999999954</v>
      </c>
    </row>
    <row r="3102" spans="2:9">
      <c r="B3102" s="496"/>
      <c r="C3102" s="497"/>
      <c r="D3102" s="498"/>
      <c r="E3102" s="499"/>
      <c r="F3102" s="500"/>
      <c r="G3102" s="501"/>
      <c r="H3102" s="502"/>
      <c r="I3102" s="503">
        <f t="shared" si="52"/>
        <v>49015.559999999954</v>
      </c>
    </row>
    <row r="3103" spans="2:9">
      <c r="B3103" s="496"/>
      <c r="C3103" s="497"/>
      <c r="D3103" s="498"/>
      <c r="E3103" s="499"/>
      <c r="F3103" s="500"/>
      <c r="G3103" s="501"/>
      <c r="H3103" s="502"/>
      <c r="I3103" s="503">
        <f t="shared" si="52"/>
        <v>49015.559999999954</v>
      </c>
    </row>
    <row r="3104" spans="2:9">
      <c r="B3104" s="496"/>
      <c r="C3104" s="497"/>
      <c r="D3104" s="498"/>
      <c r="E3104" s="499"/>
      <c r="F3104" s="500"/>
      <c r="G3104" s="501"/>
      <c r="H3104" s="502"/>
      <c r="I3104" s="503">
        <f t="shared" si="52"/>
        <v>49015.559999999954</v>
      </c>
    </row>
    <row r="3105" spans="2:9">
      <c r="B3105" s="496"/>
      <c r="C3105" s="497"/>
      <c r="D3105" s="498"/>
      <c r="E3105" s="499"/>
      <c r="F3105" s="500"/>
      <c r="G3105" s="501"/>
      <c r="H3105" s="502"/>
      <c r="I3105" s="503">
        <f t="shared" si="52"/>
        <v>49015.559999999954</v>
      </c>
    </row>
    <row r="3106" spans="2:9">
      <c r="B3106" s="496"/>
      <c r="C3106" s="497"/>
      <c r="D3106" s="498"/>
      <c r="E3106" s="499"/>
      <c r="F3106" s="500"/>
      <c r="G3106" s="501"/>
      <c r="H3106" s="502"/>
      <c r="I3106" s="503">
        <f t="shared" si="52"/>
        <v>49015.559999999954</v>
      </c>
    </row>
    <row r="3107" spans="2:9">
      <c r="B3107" s="496"/>
      <c r="C3107" s="497"/>
      <c r="D3107" s="498"/>
      <c r="E3107" s="499"/>
      <c r="F3107" s="500"/>
      <c r="G3107" s="501"/>
      <c r="H3107" s="502"/>
      <c r="I3107" s="503">
        <f t="shared" si="52"/>
        <v>49015.559999999954</v>
      </c>
    </row>
    <row r="3108" spans="2:9">
      <c r="B3108" s="496"/>
      <c r="C3108" s="497"/>
      <c r="D3108" s="498"/>
      <c r="E3108" s="499"/>
      <c r="F3108" s="500"/>
      <c r="G3108" s="501"/>
      <c r="H3108" s="502"/>
      <c r="I3108" s="503">
        <f t="shared" si="52"/>
        <v>49015.559999999954</v>
      </c>
    </row>
    <row r="3109" spans="2:9">
      <c r="B3109" s="496"/>
      <c r="C3109" s="497"/>
      <c r="D3109" s="498"/>
      <c r="E3109" s="499"/>
      <c r="F3109" s="500"/>
      <c r="G3109" s="501"/>
      <c r="H3109" s="502"/>
      <c r="I3109" s="503">
        <f t="shared" si="52"/>
        <v>49015.559999999954</v>
      </c>
    </row>
    <row r="3110" spans="2:9">
      <c r="B3110" s="496"/>
      <c r="C3110" s="497"/>
      <c r="D3110" s="498"/>
      <c r="E3110" s="499"/>
      <c r="F3110" s="500"/>
      <c r="G3110" s="501"/>
      <c r="H3110" s="502"/>
      <c r="I3110" s="503">
        <f t="shared" si="52"/>
        <v>49015.559999999954</v>
      </c>
    </row>
    <row r="3111" spans="2:9">
      <c r="B3111" s="496"/>
      <c r="C3111" s="497"/>
      <c r="D3111" s="498"/>
      <c r="E3111" s="499"/>
      <c r="F3111" s="500"/>
      <c r="G3111" s="501"/>
      <c r="H3111" s="502"/>
      <c r="I3111" s="503">
        <f t="shared" si="52"/>
        <v>49015.559999999954</v>
      </c>
    </row>
    <row r="3112" spans="2:9">
      <c r="B3112" s="496"/>
      <c r="C3112" s="497"/>
      <c r="D3112" s="498"/>
      <c r="E3112" s="499"/>
      <c r="F3112" s="500"/>
      <c r="G3112" s="501"/>
      <c r="H3112" s="502"/>
      <c r="I3112" s="503">
        <f t="shared" si="52"/>
        <v>49015.559999999954</v>
      </c>
    </row>
    <row r="3113" spans="2:9">
      <c r="B3113" s="496"/>
      <c r="C3113" s="497"/>
      <c r="D3113" s="498"/>
      <c r="E3113" s="499"/>
      <c r="F3113" s="500"/>
      <c r="G3113" s="501"/>
      <c r="H3113" s="502"/>
      <c r="I3113" s="503">
        <f t="shared" si="52"/>
        <v>49015.559999999954</v>
      </c>
    </row>
    <row r="3114" spans="2:9">
      <c r="B3114" s="496"/>
      <c r="C3114" s="497"/>
      <c r="D3114" s="498"/>
      <c r="E3114" s="499"/>
      <c r="F3114" s="500"/>
      <c r="G3114" s="501"/>
      <c r="H3114" s="502"/>
      <c r="I3114" s="503">
        <f t="shared" si="52"/>
        <v>49015.559999999954</v>
      </c>
    </row>
    <row r="3115" spans="2:9">
      <c r="B3115" s="496"/>
      <c r="C3115" s="497"/>
      <c r="D3115" s="498"/>
      <c r="E3115" s="499"/>
      <c r="F3115" s="500"/>
      <c r="G3115" s="501"/>
      <c r="H3115" s="502"/>
      <c r="I3115" s="503">
        <f t="shared" si="52"/>
        <v>49015.559999999954</v>
      </c>
    </row>
    <row r="3116" spans="2:9">
      <c r="B3116" s="496"/>
      <c r="C3116" s="497"/>
      <c r="D3116" s="498"/>
      <c r="E3116" s="499"/>
      <c r="F3116" s="500"/>
      <c r="G3116" s="501"/>
      <c r="H3116" s="502"/>
      <c r="I3116" s="503">
        <f t="shared" si="52"/>
        <v>49015.559999999954</v>
      </c>
    </row>
    <row r="3117" spans="2:9">
      <c r="B3117" s="496"/>
      <c r="C3117" s="497"/>
      <c r="D3117" s="498"/>
      <c r="E3117" s="499"/>
      <c r="F3117" s="500"/>
      <c r="G3117" s="501"/>
      <c r="H3117" s="502"/>
      <c r="I3117" s="503">
        <f t="shared" si="52"/>
        <v>49015.559999999954</v>
      </c>
    </row>
    <row r="3118" spans="2:9">
      <c r="B3118" s="496"/>
      <c r="C3118" s="497"/>
      <c r="D3118" s="498"/>
      <c r="E3118" s="499"/>
      <c r="F3118" s="500"/>
      <c r="G3118" s="501"/>
      <c r="H3118" s="502"/>
      <c r="I3118" s="503">
        <f t="shared" si="52"/>
        <v>49015.559999999954</v>
      </c>
    </row>
    <row r="3119" spans="2:9">
      <c r="B3119" s="496"/>
      <c r="C3119" s="497"/>
      <c r="D3119" s="498"/>
      <c r="E3119" s="499"/>
      <c r="F3119" s="500"/>
      <c r="G3119" s="501"/>
      <c r="H3119" s="502"/>
      <c r="I3119" s="503">
        <f t="shared" si="52"/>
        <v>49015.559999999954</v>
      </c>
    </row>
    <row r="3120" spans="2:9">
      <c r="B3120" s="496"/>
      <c r="C3120" s="497"/>
      <c r="D3120" s="498"/>
      <c r="E3120" s="499"/>
      <c r="F3120" s="500"/>
      <c r="G3120" s="501"/>
      <c r="H3120" s="502"/>
      <c r="I3120" s="503">
        <f t="shared" si="52"/>
        <v>49015.559999999954</v>
      </c>
    </row>
    <row r="3121" spans="2:9">
      <c r="B3121" s="496"/>
      <c r="C3121" s="497"/>
      <c r="D3121" s="498"/>
      <c r="E3121" s="499"/>
      <c r="F3121" s="500"/>
      <c r="G3121" s="501"/>
      <c r="H3121" s="502"/>
      <c r="I3121" s="503">
        <f t="shared" si="52"/>
        <v>49015.559999999954</v>
      </c>
    </row>
    <row r="3122" spans="2:9">
      <c r="B3122" s="496"/>
      <c r="C3122" s="497"/>
      <c r="D3122" s="498"/>
      <c r="E3122" s="499"/>
      <c r="F3122" s="500"/>
      <c r="G3122" s="501"/>
      <c r="H3122" s="502"/>
      <c r="I3122" s="503">
        <f t="shared" si="52"/>
        <v>49015.559999999954</v>
      </c>
    </row>
    <row r="3123" spans="2:9">
      <c r="B3123" s="496"/>
      <c r="C3123" s="497"/>
      <c r="D3123" s="498"/>
      <c r="E3123" s="499"/>
      <c r="F3123" s="500"/>
      <c r="G3123" s="501"/>
      <c r="H3123" s="502"/>
      <c r="I3123" s="503">
        <f t="shared" si="52"/>
        <v>49015.559999999954</v>
      </c>
    </row>
    <row r="3124" spans="2:9">
      <c r="B3124" s="496"/>
      <c r="C3124" s="497"/>
      <c r="D3124" s="498"/>
      <c r="E3124" s="499"/>
      <c r="F3124" s="500"/>
      <c r="G3124" s="501"/>
      <c r="H3124" s="502"/>
      <c r="I3124" s="503">
        <f t="shared" si="52"/>
        <v>49015.559999999954</v>
      </c>
    </row>
    <row r="3125" spans="2:9">
      <c r="B3125" s="496"/>
      <c r="C3125" s="497"/>
      <c r="D3125" s="498"/>
      <c r="E3125" s="499"/>
      <c r="F3125" s="500"/>
      <c r="G3125" s="501"/>
      <c r="H3125" s="502"/>
      <c r="I3125" s="503">
        <f t="shared" si="52"/>
        <v>49015.559999999954</v>
      </c>
    </row>
    <row r="3126" spans="2:9">
      <c r="B3126" s="496"/>
      <c r="C3126" s="497"/>
      <c r="D3126" s="498"/>
      <c r="E3126" s="499"/>
      <c r="F3126" s="500"/>
      <c r="G3126" s="501"/>
      <c r="H3126" s="502"/>
      <c r="I3126" s="503">
        <f t="shared" si="52"/>
        <v>49015.559999999954</v>
      </c>
    </row>
    <row r="3127" spans="2:9">
      <c r="B3127" s="496"/>
      <c r="C3127" s="497"/>
      <c r="D3127" s="498"/>
      <c r="E3127" s="499"/>
      <c r="F3127" s="500"/>
      <c r="G3127" s="501"/>
      <c r="H3127" s="502"/>
      <c r="I3127" s="503">
        <f t="shared" si="52"/>
        <v>49015.559999999954</v>
      </c>
    </row>
    <row r="3128" spans="2:9">
      <c r="B3128" s="496"/>
      <c r="C3128" s="497"/>
      <c r="D3128" s="498"/>
      <c r="E3128" s="499"/>
      <c r="F3128" s="500"/>
      <c r="G3128" s="501"/>
      <c r="H3128" s="502"/>
      <c r="I3128" s="503">
        <f t="shared" si="52"/>
        <v>49015.559999999954</v>
      </c>
    </row>
    <row r="3129" spans="2:9">
      <c r="B3129" s="496"/>
      <c r="C3129" s="497"/>
      <c r="D3129" s="498"/>
      <c r="E3129" s="499"/>
      <c r="F3129" s="500"/>
      <c r="G3129" s="501"/>
      <c r="H3129" s="502"/>
      <c r="I3129" s="503">
        <f t="shared" si="52"/>
        <v>49015.559999999954</v>
      </c>
    </row>
    <row r="3130" spans="2:9">
      <c r="B3130" s="496"/>
      <c r="C3130" s="497"/>
      <c r="D3130" s="498"/>
      <c r="E3130" s="499"/>
      <c r="F3130" s="500"/>
      <c r="G3130" s="501"/>
      <c r="H3130" s="502"/>
      <c r="I3130" s="503">
        <f t="shared" si="52"/>
        <v>49015.559999999954</v>
      </c>
    </row>
    <row r="3131" spans="2:9">
      <c r="B3131" s="496"/>
      <c r="C3131" s="497"/>
      <c r="D3131" s="498"/>
      <c r="E3131" s="499"/>
      <c r="F3131" s="500"/>
      <c r="G3131" s="501"/>
      <c r="H3131" s="502"/>
      <c r="I3131" s="503">
        <f t="shared" si="52"/>
        <v>49015.559999999954</v>
      </c>
    </row>
    <row r="3132" spans="2:9">
      <c r="B3132" s="496"/>
      <c r="C3132" s="497"/>
      <c r="D3132" s="498"/>
      <c r="E3132" s="499"/>
      <c r="F3132" s="500"/>
      <c r="G3132" s="501"/>
      <c r="H3132" s="502"/>
      <c r="I3132" s="503">
        <f t="shared" si="52"/>
        <v>49015.559999999954</v>
      </c>
    </row>
    <row r="3133" spans="2:9">
      <c r="B3133" s="496"/>
      <c r="C3133" s="497"/>
      <c r="D3133" s="498"/>
      <c r="E3133" s="499"/>
      <c r="F3133" s="500"/>
      <c r="G3133" s="501"/>
      <c r="H3133" s="502"/>
      <c r="I3133" s="503">
        <f t="shared" si="52"/>
        <v>49015.559999999954</v>
      </c>
    </row>
    <row r="3134" spans="2:9">
      <c r="B3134" s="496"/>
      <c r="C3134" s="497"/>
      <c r="D3134" s="498"/>
      <c r="E3134" s="499"/>
      <c r="F3134" s="500"/>
      <c r="G3134" s="501"/>
      <c r="H3134" s="502"/>
      <c r="I3134" s="503">
        <f t="shared" si="52"/>
        <v>49015.559999999954</v>
      </c>
    </row>
    <row r="3135" spans="2:9">
      <c r="B3135" s="496"/>
      <c r="C3135" s="497"/>
      <c r="D3135" s="498"/>
      <c r="E3135" s="499"/>
      <c r="F3135" s="500"/>
      <c r="G3135" s="501"/>
      <c r="H3135" s="502"/>
      <c r="I3135" s="503">
        <f t="shared" si="52"/>
        <v>49015.559999999954</v>
      </c>
    </row>
    <row r="3136" spans="2:9">
      <c r="B3136" s="496"/>
      <c r="C3136" s="497"/>
      <c r="D3136" s="498"/>
      <c r="E3136" s="499"/>
      <c r="F3136" s="500"/>
      <c r="G3136" s="501"/>
      <c r="H3136" s="502"/>
      <c r="I3136" s="503">
        <f t="shared" si="52"/>
        <v>49015.559999999954</v>
      </c>
    </row>
    <row r="3137" spans="2:9">
      <c r="B3137" s="496"/>
      <c r="C3137" s="497"/>
      <c r="D3137" s="498"/>
      <c r="E3137" s="499"/>
      <c r="F3137" s="500"/>
      <c r="G3137" s="501"/>
      <c r="H3137" s="502"/>
      <c r="I3137" s="503">
        <f t="shared" si="52"/>
        <v>49015.559999999954</v>
      </c>
    </row>
    <row r="3138" spans="2:9">
      <c r="B3138" s="496"/>
      <c r="C3138" s="497"/>
      <c r="D3138" s="498"/>
      <c r="E3138" s="499"/>
      <c r="F3138" s="500"/>
      <c r="G3138" s="501"/>
      <c r="H3138" s="502"/>
      <c r="I3138" s="503">
        <f t="shared" si="52"/>
        <v>49015.559999999954</v>
      </c>
    </row>
    <row r="3139" spans="2:9">
      <c r="B3139" s="496"/>
      <c r="C3139" s="497"/>
      <c r="D3139" s="498"/>
      <c r="E3139" s="499"/>
      <c r="F3139" s="500"/>
      <c r="G3139" s="501"/>
      <c r="H3139" s="502"/>
      <c r="I3139" s="503">
        <f t="shared" si="52"/>
        <v>49015.559999999954</v>
      </c>
    </row>
    <row r="3140" spans="2:9">
      <c r="B3140" s="496"/>
      <c r="C3140" s="497"/>
      <c r="D3140" s="498"/>
      <c r="E3140" s="499"/>
      <c r="F3140" s="500"/>
      <c r="G3140" s="501"/>
      <c r="H3140" s="502"/>
      <c r="I3140" s="503">
        <f t="shared" si="52"/>
        <v>49015.559999999954</v>
      </c>
    </row>
    <row r="3141" spans="2:9">
      <c r="B3141" s="496"/>
      <c r="C3141" s="497"/>
      <c r="D3141" s="498"/>
      <c r="E3141" s="499"/>
      <c r="F3141" s="500"/>
      <c r="G3141" s="501"/>
      <c r="H3141" s="502"/>
      <c r="I3141" s="503">
        <f t="shared" si="52"/>
        <v>49015.559999999954</v>
      </c>
    </row>
    <row r="3142" spans="2:9">
      <c r="B3142" s="496"/>
      <c r="C3142" s="497"/>
      <c r="D3142" s="498"/>
      <c r="E3142" s="499"/>
      <c r="F3142" s="500"/>
      <c r="G3142" s="501"/>
      <c r="H3142" s="502"/>
      <c r="I3142" s="503">
        <f t="shared" si="52"/>
        <v>49015.559999999954</v>
      </c>
    </row>
    <row r="3143" spans="2:9">
      <c r="B3143" s="496"/>
      <c r="C3143" s="497"/>
      <c r="D3143" s="498"/>
      <c r="E3143" s="499"/>
      <c r="F3143" s="500"/>
      <c r="G3143" s="501"/>
      <c r="H3143" s="502"/>
      <c r="I3143" s="503">
        <f t="shared" si="52"/>
        <v>49015.559999999954</v>
      </c>
    </row>
    <row r="3144" spans="2:9">
      <c r="B3144" s="496"/>
      <c r="C3144" s="497"/>
      <c r="D3144" s="498"/>
      <c r="E3144" s="499"/>
      <c r="F3144" s="500"/>
      <c r="G3144" s="501"/>
      <c r="H3144" s="502"/>
      <c r="I3144" s="503">
        <f t="shared" si="52"/>
        <v>49015.559999999954</v>
      </c>
    </row>
    <row r="3145" spans="2:9">
      <c r="B3145" s="496"/>
      <c r="C3145" s="497"/>
      <c r="D3145" s="498"/>
      <c r="E3145" s="499"/>
      <c r="F3145" s="500"/>
      <c r="G3145" s="501"/>
      <c r="H3145" s="502"/>
      <c r="I3145" s="503">
        <f t="shared" si="52"/>
        <v>49015.559999999954</v>
      </c>
    </row>
    <row r="3146" spans="2:9">
      <c r="B3146" s="496"/>
      <c r="C3146" s="497"/>
      <c r="D3146" s="498"/>
      <c r="E3146" s="499"/>
      <c r="F3146" s="500"/>
      <c r="G3146" s="501"/>
      <c r="H3146" s="502"/>
      <c r="I3146" s="503">
        <f t="shared" si="52"/>
        <v>49015.559999999954</v>
      </c>
    </row>
    <row r="3147" spans="2:9">
      <c r="B3147" s="496"/>
      <c r="C3147" s="497"/>
      <c r="D3147" s="498"/>
      <c r="E3147" s="499"/>
      <c r="F3147" s="500"/>
      <c r="G3147" s="501"/>
      <c r="H3147" s="502"/>
      <c r="I3147" s="503">
        <f t="shared" si="52"/>
        <v>49015.559999999954</v>
      </c>
    </row>
    <row r="3148" spans="2:9">
      <c r="B3148" s="496"/>
      <c r="C3148" s="497"/>
      <c r="D3148" s="498"/>
      <c r="E3148" s="499"/>
      <c r="F3148" s="500"/>
      <c r="G3148" s="501"/>
      <c r="H3148" s="502"/>
      <c r="I3148" s="503">
        <f t="shared" si="52"/>
        <v>49015.559999999954</v>
      </c>
    </row>
    <row r="3149" spans="2:9">
      <c r="B3149" s="496"/>
      <c r="C3149" s="497"/>
      <c r="D3149" s="498"/>
      <c r="E3149" s="499"/>
      <c r="F3149" s="500"/>
      <c r="G3149" s="501"/>
      <c r="H3149" s="502"/>
      <c r="I3149" s="503">
        <f t="shared" si="52"/>
        <v>49015.559999999954</v>
      </c>
    </row>
    <row r="3150" spans="2:9">
      <c r="B3150" s="496"/>
      <c r="C3150" s="497"/>
      <c r="D3150" s="498"/>
      <c r="E3150" s="499"/>
      <c r="F3150" s="500"/>
      <c r="G3150" s="501"/>
      <c r="H3150" s="502"/>
      <c r="I3150" s="503">
        <f t="shared" si="52"/>
        <v>49015.559999999954</v>
      </c>
    </row>
    <row r="3151" spans="2:9">
      <c r="B3151" s="496"/>
      <c r="C3151" s="497"/>
      <c r="D3151" s="498"/>
      <c r="E3151" s="499"/>
      <c r="F3151" s="500"/>
      <c r="G3151" s="501"/>
      <c r="H3151" s="502"/>
      <c r="I3151" s="503">
        <f t="shared" si="52"/>
        <v>49015.559999999954</v>
      </c>
    </row>
    <row r="3152" spans="2:9">
      <c r="B3152" s="496"/>
      <c r="C3152" s="497"/>
      <c r="D3152" s="498"/>
      <c r="E3152" s="499"/>
      <c r="F3152" s="500"/>
      <c r="G3152" s="501"/>
      <c r="H3152" s="502"/>
      <c r="I3152" s="503">
        <f t="shared" si="52"/>
        <v>49015.559999999954</v>
      </c>
    </row>
    <row r="3153" spans="2:9">
      <c r="B3153" s="496"/>
      <c r="C3153" s="497"/>
      <c r="D3153" s="498"/>
      <c r="E3153" s="499"/>
      <c r="F3153" s="500"/>
      <c r="G3153" s="501"/>
      <c r="H3153" s="502"/>
      <c r="I3153" s="503">
        <f t="shared" si="52"/>
        <v>49015.559999999954</v>
      </c>
    </row>
    <row r="3154" spans="2:9">
      <c r="B3154" s="496"/>
      <c r="C3154" s="497"/>
      <c r="D3154" s="498"/>
      <c r="E3154" s="499"/>
      <c r="F3154" s="500"/>
      <c r="G3154" s="501"/>
      <c r="H3154" s="502"/>
      <c r="I3154" s="503">
        <f t="shared" si="52"/>
        <v>49015.559999999954</v>
      </c>
    </row>
    <row r="3155" spans="2:9">
      <c r="B3155" s="496"/>
      <c r="C3155" s="497"/>
      <c r="D3155" s="498"/>
      <c r="E3155" s="499"/>
      <c r="F3155" s="500"/>
      <c r="G3155" s="501"/>
      <c r="H3155" s="502"/>
      <c r="I3155" s="503">
        <f t="shared" si="52"/>
        <v>49015.559999999954</v>
      </c>
    </row>
    <row r="3156" spans="2:9">
      <c r="B3156" s="496"/>
      <c r="C3156" s="497"/>
      <c r="D3156" s="498"/>
      <c r="E3156" s="499"/>
      <c r="F3156" s="500"/>
      <c r="G3156" s="501"/>
      <c r="H3156" s="502"/>
      <c r="I3156" s="503">
        <f t="shared" si="52"/>
        <v>49015.559999999954</v>
      </c>
    </row>
    <row r="3157" spans="2:9">
      <c r="B3157" s="496"/>
      <c r="C3157" s="497"/>
      <c r="D3157" s="498"/>
      <c r="E3157" s="499"/>
      <c r="F3157" s="500"/>
      <c r="G3157" s="501"/>
      <c r="H3157" s="502"/>
      <c r="I3157" s="503">
        <f t="shared" si="52"/>
        <v>49015.559999999954</v>
      </c>
    </row>
    <row r="3158" spans="2:9">
      <c r="B3158" s="496"/>
      <c r="C3158" s="497"/>
      <c r="D3158" s="498"/>
      <c r="E3158" s="499"/>
      <c r="F3158" s="500"/>
      <c r="G3158" s="501"/>
      <c r="H3158" s="502"/>
      <c r="I3158" s="503">
        <f t="shared" si="52"/>
        <v>49015.559999999954</v>
      </c>
    </row>
    <row r="3159" spans="2:9">
      <c r="B3159" s="496"/>
      <c r="C3159" s="497"/>
      <c r="D3159" s="498"/>
      <c r="E3159" s="499"/>
      <c r="F3159" s="500"/>
      <c r="G3159" s="501"/>
      <c r="H3159" s="502"/>
      <c r="I3159" s="503">
        <f t="shared" si="52"/>
        <v>49015.559999999954</v>
      </c>
    </row>
    <row r="3160" spans="2:9">
      <c r="B3160" s="496"/>
      <c r="C3160" s="497"/>
      <c r="D3160" s="498"/>
      <c r="E3160" s="499"/>
      <c r="F3160" s="500"/>
      <c r="G3160" s="501"/>
      <c r="H3160" s="502"/>
      <c r="I3160" s="503">
        <f t="shared" si="52"/>
        <v>49015.559999999954</v>
      </c>
    </row>
    <row r="3161" spans="2:9">
      <c r="B3161" s="496"/>
      <c r="C3161" s="497"/>
      <c r="D3161" s="498"/>
      <c r="E3161" s="499"/>
      <c r="F3161" s="500"/>
      <c r="G3161" s="501"/>
      <c r="H3161" s="502"/>
      <c r="I3161" s="503">
        <f t="shared" ref="I3161:I3224" si="53">I3160+E3162-F3163</f>
        <v>49015.559999999954</v>
      </c>
    </row>
    <row r="3162" spans="2:9">
      <c r="B3162" s="496"/>
      <c r="C3162" s="497"/>
      <c r="D3162" s="498"/>
      <c r="E3162" s="499"/>
      <c r="F3162" s="500"/>
      <c r="G3162" s="501"/>
      <c r="H3162" s="502"/>
      <c r="I3162" s="503">
        <f t="shared" si="53"/>
        <v>49015.559999999954</v>
      </c>
    </row>
    <row r="3163" spans="2:9">
      <c r="B3163" s="496"/>
      <c r="C3163" s="497"/>
      <c r="D3163" s="498"/>
      <c r="E3163" s="499"/>
      <c r="F3163" s="500"/>
      <c r="G3163" s="501"/>
      <c r="H3163" s="502"/>
      <c r="I3163" s="503">
        <f t="shared" si="53"/>
        <v>49015.559999999954</v>
      </c>
    </row>
    <row r="3164" spans="2:9">
      <c r="B3164" s="496"/>
      <c r="C3164" s="497"/>
      <c r="D3164" s="498"/>
      <c r="E3164" s="499"/>
      <c r="F3164" s="500"/>
      <c r="G3164" s="501"/>
      <c r="H3164" s="502"/>
      <c r="I3164" s="503">
        <f t="shared" si="53"/>
        <v>49015.559999999954</v>
      </c>
    </row>
    <row r="3165" spans="2:9">
      <c r="B3165" s="496"/>
      <c r="C3165" s="497"/>
      <c r="D3165" s="498"/>
      <c r="E3165" s="499"/>
      <c r="F3165" s="500"/>
      <c r="G3165" s="501"/>
      <c r="H3165" s="502"/>
      <c r="I3165" s="503">
        <f t="shared" si="53"/>
        <v>49015.559999999954</v>
      </c>
    </row>
    <row r="3166" spans="2:9">
      <c r="B3166" s="496"/>
      <c r="C3166" s="497"/>
      <c r="D3166" s="498"/>
      <c r="E3166" s="499"/>
      <c r="F3166" s="500"/>
      <c r="G3166" s="501"/>
      <c r="H3166" s="502"/>
      <c r="I3166" s="503">
        <f t="shared" si="53"/>
        <v>49015.559999999954</v>
      </c>
    </row>
    <row r="3167" spans="2:9">
      <c r="B3167" s="496"/>
      <c r="C3167" s="497"/>
      <c r="D3167" s="498"/>
      <c r="E3167" s="499"/>
      <c r="F3167" s="500"/>
      <c r="G3167" s="501"/>
      <c r="H3167" s="502"/>
      <c r="I3167" s="503">
        <f t="shared" si="53"/>
        <v>49015.559999999954</v>
      </c>
    </row>
    <row r="3168" spans="2:9">
      <c r="B3168" s="496"/>
      <c r="C3168" s="497"/>
      <c r="D3168" s="498"/>
      <c r="E3168" s="499"/>
      <c r="F3168" s="500"/>
      <c r="G3168" s="501"/>
      <c r="H3168" s="502"/>
      <c r="I3168" s="503">
        <f t="shared" si="53"/>
        <v>49015.559999999954</v>
      </c>
    </row>
    <row r="3169" spans="2:9">
      <c r="B3169" s="496"/>
      <c r="C3169" s="497"/>
      <c r="D3169" s="498"/>
      <c r="E3169" s="499"/>
      <c r="F3169" s="500"/>
      <c r="G3169" s="501"/>
      <c r="H3169" s="502"/>
      <c r="I3169" s="503">
        <f t="shared" si="53"/>
        <v>49015.559999999954</v>
      </c>
    </row>
    <row r="3170" spans="2:9">
      <c r="B3170" s="496"/>
      <c r="C3170" s="497"/>
      <c r="D3170" s="498"/>
      <c r="E3170" s="499"/>
      <c r="F3170" s="500"/>
      <c r="G3170" s="501"/>
      <c r="H3170" s="502"/>
      <c r="I3170" s="503">
        <f t="shared" si="53"/>
        <v>49015.559999999954</v>
      </c>
    </row>
    <row r="3171" spans="2:9">
      <c r="B3171" s="496"/>
      <c r="C3171" s="497"/>
      <c r="D3171" s="498"/>
      <c r="E3171" s="499"/>
      <c r="F3171" s="500"/>
      <c r="G3171" s="501"/>
      <c r="H3171" s="502"/>
      <c r="I3171" s="503">
        <f t="shared" si="53"/>
        <v>49015.559999999954</v>
      </c>
    </row>
    <row r="3172" spans="2:9">
      <c r="B3172" s="496"/>
      <c r="C3172" s="497"/>
      <c r="D3172" s="498"/>
      <c r="E3172" s="499"/>
      <c r="F3172" s="500"/>
      <c r="G3172" s="501"/>
      <c r="H3172" s="502"/>
      <c r="I3172" s="503">
        <f t="shared" si="53"/>
        <v>49015.559999999954</v>
      </c>
    </row>
    <row r="3173" spans="2:9">
      <c r="B3173" s="496"/>
      <c r="C3173" s="497"/>
      <c r="D3173" s="498"/>
      <c r="E3173" s="499"/>
      <c r="F3173" s="500"/>
      <c r="G3173" s="501"/>
      <c r="H3173" s="502"/>
      <c r="I3173" s="503">
        <f t="shared" si="53"/>
        <v>49015.559999999954</v>
      </c>
    </row>
    <row r="3174" spans="2:9">
      <c r="B3174" s="496"/>
      <c r="C3174" s="497"/>
      <c r="D3174" s="498"/>
      <c r="E3174" s="499"/>
      <c r="F3174" s="500"/>
      <c r="G3174" s="501"/>
      <c r="H3174" s="502"/>
      <c r="I3174" s="503">
        <f t="shared" si="53"/>
        <v>49015.559999999954</v>
      </c>
    </row>
    <row r="3175" spans="2:9">
      <c r="B3175" s="496"/>
      <c r="C3175" s="497"/>
      <c r="D3175" s="498"/>
      <c r="E3175" s="499"/>
      <c r="F3175" s="500"/>
      <c r="G3175" s="501"/>
      <c r="H3175" s="502"/>
      <c r="I3175" s="503">
        <f t="shared" si="53"/>
        <v>49015.559999999954</v>
      </c>
    </row>
    <row r="3176" spans="2:9">
      <c r="B3176" s="496"/>
      <c r="C3176" s="497"/>
      <c r="D3176" s="498"/>
      <c r="E3176" s="499"/>
      <c r="F3176" s="500"/>
      <c r="G3176" s="501"/>
      <c r="H3176" s="502"/>
      <c r="I3176" s="503">
        <f t="shared" si="53"/>
        <v>49015.559999999954</v>
      </c>
    </row>
    <row r="3177" spans="2:9">
      <c r="B3177" s="496"/>
      <c r="C3177" s="497"/>
      <c r="D3177" s="498"/>
      <c r="E3177" s="499"/>
      <c r="F3177" s="500"/>
      <c r="G3177" s="501"/>
      <c r="H3177" s="502"/>
      <c r="I3177" s="503">
        <f t="shared" si="53"/>
        <v>49015.559999999954</v>
      </c>
    </row>
    <row r="3178" spans="2:9">
      <c r="B3178" s="496"/>
      <c r="C3178" s="497"/>
      <c r="D3178" s="498"/>
      <c r="E3178" s="499"/>
      <c r="F3178" s="500"/>
      <c r="G3178" s="501"/>
      <c r="H3178" s="502"/>
      <c r="I3178" s="503">
        <f t="shared" si="53"/>
        <v>49015.559999999954</v>
      </c>
    </row>
    <row r="3179" spans="2:9">
      <c r="B3179" s="496"/>
      <c r="C3179" s="497"/>
      <c r="D3179" s="498"/>
      <c r="E3179" s="499"/>
      <c r="F3179" s="500"/>
      <c r="G3179" s="501"/>
      <c r="H3179" s="502"/>
      <c r="I3179" s="503">
        <f t="shared" si="53"/>
        <v>49015.559999999954</v>
      </c>
    </row>
    <row r="3180" spans="2:9">
      <c r="B3180" s="496"/>
      <c r="C3180" s="497"/>
      <c r="D3180" s="498"/>
      <c r="E3180" s="499"/>
      <c r="F3180" s="500"/>
      <c r="G3180" s="501"/>
      <c r="H3180" s="502"/>
      <c r="I3180" s="503">
        <f t="shared" si="53"/>
        <v>49015.559999999954</v>
      </c>
    </row>
    <row r="3181" spans="2:9">
      <c r="B3181" s="496"/>
      <c r="C3181" s="497"/>
      <c r="D3181" s="498"/>
      <c r="E3181" s="499"/>
      <c r="F3181" s="500"/>
      <c r="G3181" s="501"/>
      <c r="H3181" s="502"/>
      <c r="I3181" s="503">
        <f t="shared" si="53"/>
        <v>49015.559999999954</v>
      </c>
    </row>
    <row r="3182" spans="2:9">
      <c r="B3182" s="496"/>
      <c r="C3182" s="497"/>
      <c r="D3182" s="498"/>
      <c r="E3182" s="499"/>
      <c r="F3182" s="500"/>
      <c r="G3182" s="501"/>
      <c r="H3182" s="502"/>
      <c r="I3182" s="503">
        <f t="shared" si="53"/>
        <v>49015.559999999954</v>
      </c>
    </row>
    <row r="3183" spans="2:9">
      <c r="B3183" s="496"/>
      <c r="C3183" s="497"/>
      <c r="D3183" s="498"/>
      <c r="E3183" s="499"/>
      <c r="F3183" s="500"/>
      <c r="G3183" s="501"/>
      <c r="H3183" s="502"/>
      <c r="I3183" s="503">
        <f t="shared" si="53"/>
        <v>49015.559999999954</v>
      </c>
    </row>
    <row r="3184" spans="2:9">
      <c r="B3184" s="496"/>
      <c r="C3184" s="497"/>
      <c r="D3184" s="498"/>
      <c r="E3184" s="499"/>
      <c r="F3184" s="500"/>
      <c r="G3184" s="501"/>
      <c r="H3184" s="502"/>
      <c r="I3184" s="503">
        <f t="shared" si="53"/>
        <v>49015.559999999954</v>
      </c>
    </row>
    <row r="3185" spans="2:9">
      <c r="B3185" s="496"/>
      <c r="C3185" s="497"/>
      <c r="D3185" s="498"/>
      <c r="E3185" s="499"/>
      <c r="F3185" s="500"/>
      <c r="G3185" s="501"/>
      <c r="H3185" s="502"/>
      <c r="I3185" s="503">
        <f t="shared" si="53"/>
        <v>49015.559999999954</v>
      </c>
    </row>
    <row r="3186" spans="2:9">
      <c r="B3186" s="496"/>
      <c r="C3186" s="497"/>
      <c r="D3186" s="498"/>
      <c r="E3186" s="499"/>
      <c r="F3186" s="500"/>
      <c r="G3186" s="501"/>
      <c r="H3186" s="502"/>
      <c r="I3186" s="503">
        <f t="shared" si="53"/>
        <v>49015.559999999954</v>
      </c>
    </row>
    <row r="3187" spans="2:9">
      <c r="B3187" s="496"/>
      <c r="C3187" s="497"/>
      <c r="D3187" s="498"/>
      <c r="E3187" s="499"/>
      <c r="F3187" s="500"/>
      <c r="G3187" s="501"/>
      <c r="H3187" s="502"/>
      <c r="I3187" s="503">
        <f t="shared" si="53"/>
        <v>49015.559999999954</v>
      </c>
    </row>
    <row r="3188" spans="2:9">
      <c r="B3188" s="496"/>
      <c r="C3188" s="497"/>
      <c r="D3188" s="498"/>
      <c r="E3188" s="499"/>
      <c r="F3188" s="500"/>
      <c r="G3188" s="501"/>
      <c r="H3188" s="502"/>
      <c r="I3188" s="503">
        <f t="shared" si="53"/>
        <v>49015.559999999954</v>
      </c>
    </row>
    <row r="3189" spans="2:9">
      <c r="B3189" s="496"/>
      <c r="C3189" s="497"/>
      <c r="D3189" s="498"/>
      <c r="E3189" s="499"/>
      <c r="F3189" s="500"/>
      <c r="G3189" s="501"/>
      <c r="H3189" s="502"/>
      <c r="I3189" s="503">
        <f t="shared" si="53"/>
        <v>49015.559999999954</v>
      </c>
    </row>
    <row r="3190" spans="2:9">
      <c r="B3190" s="496"/>
      <c r="C3190" s="497"/>
      <c r="D3190" s="498"/>
      <c r="E3190" s="499"/>
      <c r="F3190" s="500"/>
      <c r="G3190" s="501"/>
      <c r="H3190" s="502"/>
      <c r="I3190" s="503">
        <f t="shared" si="53"/>
        <v>49015.559999999954</v>
      </c>
    </row>
    <row r="3191" spans="2:9">
      <c r="B3191" s="496"/>
      <c r="C3191" s="497"/>
      <c r="D3191" s="498"/>
      <c r="E3191" s="499"/>
      <c r="F3191" s="500"/>
      <c r="G3191" s="501"/>
      <c r="H3191" s="502"/>
      <c r="I3191" s="503">
        <f t="shared" si="53"/>
        <v>49015.559999999954</v>
      </c>
    </row>
    <row r="3192" spans="2:9">
      <c r="B3192" s="496"/>
      <c r="C3192" s="497"/>
      <c r="D3192" s="498"/>
      <c r="E3192" s="499"/>
      <c r="F3192" s="500"/>
      <c r="G3192" s="501"/>
      <c r="H3192" s="502"/>
      <c r="I3192" s="503">
        <f t="shared" si="53"/>
        <v>49015.559999999954</v>
      </c>
    </row>
    <row r="3193" spans="2:9">
      <c r="B3193" s="496"/>
      <c r="C3193" s="497"/>
      <c r="D3193" s="498"/>
      <c r="E3193" s="499"/>
      <c r="F3193" s="500"/>
      <c r="G3193" s="501"/>
      <c r="H3193" s="502"/>
      <c r="I3193" s="503">
        <f t="shared" si="53"/>
        <v>49015.559999999954</v>
      </c>
    </row>
    <row r="3194" spans="2:9">
      <c r="B3194" s="496"/>
      <c r="C3194" s="497"/>
      <c r="D3194" s="498"/>
      <c r="E3194" s="499"/>
      <c r="F3194" s="500"/>
      <c r="G3194" s="501"/>
      <c r="H3194" s="502"/>
      <c r="I3194" s="503">
        <f t="shared" si="53"/>
        <v>49015.559999999954</v>
      </c>
    </row>
    <row r="3195" spans="2:9">
      <c r="B3195" s="496"/>
      <c r="C3195" s="497"/>
      <c r="D3195" s="498"/>
      <c r="E3195" s="499"/>
      <c r="F3195" s="500"/>
      <c r="G3195" s="501"/>
      <c r="H3195" s="502"/>
      <c r="I3195" s="503">
        <f t="shared" si="53"/>
        <v>49015.559999999954</v>
      </c>
    </row>
    <row r="3196" spans="2:9">
      <c r="B3196" s="496"/>
      <c r="C3196" s="497"/>
      <c r="D3196" s="498"/>
      <c r="E3196" s="499"/>
      <c r="F3196" s="500"/>
      <c r="G3196" s="501"/>
      <c r="H3196" s="502"/>
      <c r="I3196" s="503">
        <f t="shared" si="53"/>
        <v>49015.559999999954</v>
      </c>
    </row>
    <row r="3197" spans="2:9">
      <c r="B3197" s="496"/>
      <c r="C3197" s="497"/>
      <c r="D3197" s="498"/>
      <c r="E3197" s="499"/>
      <c r="F3197" s="500"/>
      <c r="G3197" s="501"/>
      <c r="H3197" s="502"/>
      <c r="I3197" s="503">
        <f t="shared" si="53"/>
        <v>49015.559999999954</v>
      </c>
    </row>
    <row r="3198" spans="2:9">
      <c r="B3198" s="496"/>
      <c r="C3198" s="497"/>
      <c r="D3198" s="498"/>
      <c r="E3198" s="499"/>
      <c r="F3198" s="500"/>
      <c r="G3198" s="501"/>
      <c r="H3198" s="502"/>
      <c r="I3198" s="503">
        <f t="shared" si="53"/>
        <v>49015.559999999954</v>
      </c>
    </row>
    <row r="3199" spans="2:9">
      <c r="B3199" s="496"/>
      <c r="C3199" s="497"/>
      <c r="D3199" s="498"/>
      <c r="E3199" s="499"/>
      <c r="F3199" s="500"/>
      <c r="G3199" s="501"/>
      <c r="H3199" s="502"/>
      <c r="I3199" s="503">
        <f t="shared" si="53"/>
        <v>49015.559999999954</v>
      </c>
    </row>
    <row r="3200" spans="2:9">
      <c r="B3200" s="496"/>
      <c r="C3200" s="497"/>
      <c r="D3200" s="498"/>
      <c r="E3200" s="499"/>
      <c r="F3200" s="500"/>
      <c r="G3200" s="501"/>
      <c r="H3200" s="502"/>
      <c r="I3200" s="503">
        <f t="shared" si="53"/>
        <v>49015.559999999954</v>
      </c>
    </row>
    <row r="3201" spans="2:9">
      <c r="B3201" s="496"/>
      <c r="C3201" s="497"/>
      <c r="D3201" s="498"/>
      <c r="E3201" s="499"/>
      <c r="F3201" s="500"/>
      <c r="G3201" s="501"/>
      <c r="H3201" s="502"/>
      <c r="I3201" s="503">
        <f t="shared" si="53"/>
        <v>49015.559999999954</v>
      </c>
    </row>
    <row r="3202" spans="2:9">
      <c r="B3202" s="496"/>
      <c r="C3202" s="497"/>
      <c r="D3202" s="498"/>
      <c r="E3202" s="499"/>
      <c r="F3202" s="500"/>
      <c r="G3202" s="501"/>
      <c r="H3202" s="502"/>
      <c r="I3202" s="503">
        <f t="shared" si="53"/>
        <v>49015.559999999954</v>
      </c>
    </row>
    <row r="3203" spans="2:9">
      <c r="B3203" s="496"/>
      <c r="C3203" s="497"/>
      <c r="D3203" s="498"/>
      <c r="E3203" s="499"/>
      <c r="F3203" s="500"/>
      <c r="G3203" s="501"/>
      <c r="H3203" s="502"/>
      <c r="I3203" s="503">
        <f t="shared" si="53"/>
        <v>49015.559999999954</v>
      </c>
    </row>
    <row r="3204" spans="2:9">
      <c r="B3204" s="496"/>
      <c r="C3204" s="497"/>
      <c r="D3204" s="498"/>
      <c r="E3204" s="499"/>
      <c r="F3204" s="500"/>
      <c r="G3204" s="501"/>
      <c r="H3204" s="502"/>
      <c r="I3204" s="503">
        <f t="shared" si="53"/>
        <v>49015.559999999954</v>
      </c>
    </row>
    <row r="3205" spans="2:9">
      <c r="B3205" s="496"/>
      <c r="C3205" s="497"/>
      <c r="D3205" s="498"/>
      <c r="E3205" s="499"/>
      <c r="F3205" s="500"/>
      <c r="G3205" s="501"/>
      <c r="H3205" s="502"/>
      <c r="I3205" s="503">
        <f t="shared" si="53"/>
        <v>49015.559999999954</v>
      </c>
    </row>
    <row r="3206" spans="2:9">
      <c r="B3206" s="496"/>
      <c r="C3206" s="497"/>
      <c r="D3206" s="498"/>
      <c r="E3206" s="499"/>
      <c r="F3206" s="500"/>
      <c r="G3206" s="501"/>
      <c r="H3206" s="502"/>
      <c r="I3206" s="503">
        <f t="shared" si="53"/>
        <v>49015.559999999954</v>
      </c>
    </row>
    <row r="3207" spans="2:9">
      <c r="B3207" s="496"/>
      <c r="C3207" s="497"/>
      <c r="D3207" s="498"/>
      <c r="E3207" s="499"/>
      <c r="F3207" s="500"/>
      <c r="G3207" s="501"/>
      <c r="H3207" s="502"/>
      <c r="I3207" s="503">
        <f t="shared" si="53"/>
        <v>49015.559999999954</v>
      </c>
    </row>
    <row r="3208" spans="2:9">
      <c r="B3208" s="496"/>
      <c r="C3208" s="497"/>
      <c r="D3208" s="498"/>
      <c r="E3208" s="499"/>
      <c r="F3208" s="500"/>
      <c r="G3208" s="501"/>
      <c r="H3208" s="502"/>
      <c r="I3208" s="503">
        <f t="shared" si="53"/>
        <v>49015.559999999954</v>
      </c>
    </row>
    <row r="3209" spans="2:9">
      <c r="B3209" s="496"/>
      <c r="C3209" s="497"/>
      <c r="D3209" s="498"/>
      <c r="E3209" s="499"/>
      <c r="F3209" s="500"/>
      <c r="G3209" s="501"/>
      <c r="H3209" s="502"/>
      <c r="I3209" s="503">
        <f t="shared" si="53"/>
        <v>49015.559999999954</v>
      </c>
    </row>
    <row r="3210" spans="2:9">
      <c r="B3210" s="496"/>
      <c r="C3210" s="497"/>
      <c r="D3210" s="498"/>
      <c r="E3210" s="499"/>
      <c r="F3210" s="500"/>
      <c r="G3210" s="501"/>
      <c r="H3210" s="502"/>
      <c r="I3210" s="503">
        <f t="shared" si="53"/>
        <v>49015.559999999954</v>
      </c>
    </row>
    <row r="3211" spans="2:9">
      <c r="B3211" s="496"/>
      <c r="C3211" s="497"/>
      <c r="D3211" s="498"/>
      <c r="E3211" s="499"/>
      <c r="F3211" s="500"/>
      <c r="G3211" s="501"/>
      <c r="H3211" s="502"/>
      <c r="I3211" s="503">
        <f t="shared" si="53"/>
        <v>49015.559999999954</v>
      </c>
    </row>
    <row r="3212" spans="2:9">
      <c r="B3212" s="496"/>
      <c r="C3212" s="497"/>
      <c r="D3212" s="498"/>
      <c r="E3212" s="499"/>
      <c r="F3212" s="500"/>
      <c r="G3212" s="501"/>
      <c r="H3212" s="502"/>
      <c r="I3212" s="503">
        <f t="shared" si="53"/>
        <v>49015.559999999954</v>
      </c>
    </row>
    <row r="3213" spans="2:9">
      <c r="B3213" s="496"/>
      <c r="C3213" s="497"/>
      <c r="D3213" s="498"/>
      <c r="E3213" s="499"/>
      <c r="F3213" s="500"/>
      <c r="G3213" s="501"/>
      <c r="H3213" s="502"/>
      <c r="I3213" s="503">
        <f t="shared" si="53"/>
        <v>49015.559999999954</v>
      </c>
    </row>
    <row r="3214" spans="2:9">
      <c r="B3214" s="496"/>
      <c r="C3214" s="497"/>
      <c r="D3214" s="498"/>
      <c r="E3214" s="499"/>
      <c r="F3214" s="500"/>
      <c r="G3214" s="501"/>
      <c r="H3214" s="502"/>
      <c r="I3214" s="503">
        <f t="shared" si="53"/>
        <v>49015.559999999954</v>
      </c>
    </row>
    <row r="3215" spans="2:9">
      <c r="B3215" s="496"/>
      <c r="C3215" s="497"/>
      <c r="D3215" s="498"/>
      <c r="E3215" s="499"/>
      <c r="F3215" s="500"/>
      <c r="G3215" s="501"/>
      <c r="H3215" s="502"/>
      <c r="I3215" s="503">
        <f t="shared" si="53"/>
        <v>49015.559999999954</v>
      </c>
    </row>
    <row r="3216" spans="2:9">
      <c r="B3216" s="496"/>
      <c r="C3216" s="497"/>
      <c r="D3216" s="498"/>
      <c r="E3216" s="499"/>
      <c r="F3216" s="500"/>
      <c r="G3216" s="501"/>
      <c r="H3216" s="502"/>
      <c r="I3216" s="503">
        <f t="shared" si="53"/>
        <v>49015.559999999954</v>
      </c>
    </row>
    <row r="3217" spans="2:9">
      <c r="B3217" s="496"/>
      <c r="C3217" s="497"/>
      <c r="D3217" s="498"/>
      <c r="E3217" s="499"/>
      <c r="F3217" s="500"/>
      <c r="G3217" s="501"/>
      <c r="H3217" s="502"/>
      <c r="I3217" s="503">
        <f t="shared" si="53"/>
        <v>49015.559999999954</v>
      </c>
    </row>
    <row r="3218" spans="2:9">
      <c r="B3218" s="496"/>
      <c r="C3218" s="497"/>
      <c r="D3218" s="498"/>
      <c r="E3218" s="499"/>
      <c r="F3218" s="500"/>
      <c r="G3218" s="501"/>
      <c r="H3218" s="502"/>
      <c r="I3218" s="503">
        <f t="shared" si="53"/>
        <v>49015.559999999954</v>
      </c>
    </row>
    <row r="3219" spans="2:9">
      <c r="B3219" s="496"/>
      <c r="C3219" s="497"/>
      <c r="D3219" s="498"/>
      <c r="E3219" s="499"/>
      <c r="F3219" s="500"/>
      <c r="G3219" s="501"/>
      <c r="H3219" s="502"/>
      <c r="I3219" s="503">
        <f t="shared" si="53"/>
        <v>49015.559999999954</v>
      </c>
    </row>
    <row r="3220" spans="2:9">
      <c r="B3220" s="496"/>
      <c r="C3220" s="497"/>
      <c r="D3220" s="498"/>
      <c r="E3220" s="499"/>
      <c r="F3220" s="500"/>
      <c r="G3220" s="501"/>
      <c r="H3220" s="502"/>
      <c r="I3220" s="503">
        <f t="shared" si="53"/>
        <v>49015.559999999954</v>
      </c>
    </row>
    <row r="3221" spans="2:9">
      <c r="B3221" s="496"/>
      <c r="C3221" s="497"/>
      <c r="D3221" s="498"/>
      <c r="E3221" s="499"/>
      <c r="F3221" s="500"/>
      <c r="G3221" s="501"/>
      <c r="H3221" s="502"/>
      <c r="I3221" s="503">
        <f t="shared" si="53"/>
        <v>49015.559999999954</v>
      </c>
    </row>
    <row r="3222" spans="2:9">
      <c r="B3222" s="496"/>
      <c r="C3222" s="497"/>
      <c r="D3222" s="498"/>
      <c r="E3222" s="499"/>
      <c r="F3222" s="500"/>
      <c r="G3222" s="501"/>
      <c r="H3222" s="502"/>
      <c r="I3222" s="503">
        <f t="shared" si="53"/>
        <v>49015.559999999954</v>
      </c>
    </row>
    <row r="3223" spans="2:9">
      <c r="B3223" s="496"/>
      <c r="C3223" s="497"/>
      <c r="D3223" s="498"/>
      <c r="E3223" s="499"/>
      <c r="F3223" s="500"/>
      <c r="G3223" s="501"/>
      <c r="H3223" s="502"/>
      <c r="I3223" s="503">
        <f t="shared" si="53"/>
        <v>49015.559999999954</v>
      </c>
    </row>
    <row r="3224" spans="2:9">
      <c r="B3224" s="496"/>
      <c r="C3224" s="497"/>
      <c r="D3224" s="498"/>
      <c r="E3224" s="499"/>
      <c r="F3224" s="500"/>
      <c r="G3224" s="501"/>
      <c r="H3224" s="502"/>
      <c r="I3224" s="503">
        <f t="shared" si="53"/>
        <v>49015.559999999954</v>
      </c>
    </row>
    <row r="3225" spans="2:9">
      <c r="B3225" s="496"/>
      <c r="C3225" s="497"/>
      <c r="D3225" s="498"/>
      <c r="E3225" s="499"/>
      <c r="F3225" s="500"/>
      <c r="G3225" s="501"/>
      <c r="H3225" s="502"/>
      <c r="I3225" s="503">
        <f t="shared" ref="I3225:I3288" si="54">I3224+E3226-F3227</f>
        <v>49015.559999999954</v>
      </c>
    </row>
    <row r="3226" spans="2:9">
      <c r="B3226" s="496"/>
      <c r="C3226" s="497"/>
      <c r="D3226" s="498"/>
      <c r="E3226" s="499"/>
      <c r="F3226" s="500"/>
      <c r="G3226" s="501"/>
      <c r="H3226" s="502"/>
      <c r="I3226" s="503">
        <f t="shared" si="54"/>
        <v>49015.559999999954</v>
      </c>
    </row>
    <row r="3227" spans="2:9">
      <c r="B3227" s="496"/>
      <c r="C3227" s="497"/>
      <c r="D3227" s="498"/>
      <c r="E3227" s="499"/>
      <c r="F3227" s="500"/>
      <c r="G3227" s="501"/>
      <c r="H3227" s="502"/>
      <c r="I3227" s="503">
        <f t="shared" si="54"/>
        <v>49015.559999999954</v>
      </c>
    </row>
    <row r="3228" spans="2:9">
      <c r="B3228" s="496"/>
      <c r="C3228" s="497"/>
      <c r="D3228" s="498"/>
      <c r="E3228" s="499"/>
      <c r="F3228" s="500"/>
      <c r="G3228" s="501"/>
      <c r="H3228" s="502"/>
      <c r="I3228" s="503">
        <f t="shared" si="54"/>
        <v>49015.559999999954</v>
      </c>
    </row>
    <row r="3229" spans="2:9">
      <c r="B3229" s="496"/>
      <c r="C3229" s="497"/>
      <c r="D3229" s="498"/>
      <c r="E3229" s="499"/>
      <c r="F3229" s="500"/>
      <c r="G3229" s="501"/>
      <c r="H3229" s="502"/>
      <c r="I3229" s="503">
        <f t="shared" si="54"/>
        <v>49015.559999999954</v>
      </c>
    </row>
    <row r="3230" spans="2:9">
      <c r="B3230" s="496"/>
      <c r="C3230" s="497"/>
      <c r="D3230" s="498"/>
      <c r="E3230" s="499"/>
      <c r="F3230" s="500"/>
      <c r="G3230" s="501"/>
      <c r="H3230" s="502"/>
      <c r="I3230" s="503">
        <f t="shared" si="54"/>
        <v>49015.559999999954</v>
      </c>
    </row>
    <row r="3231" spans="2:9">
      <c r="B3231" s="496"/>
      <c r="C3231" s="497"/>
      <c r="D3231" s="498"/>
      <c r="E3231" s="499"/>
      <c r="F3231" s="500"/>
      <c r="G3231" s="501"/>
      <c r="H3231" s="502"/>
      <c r="I3231" s="503">
        <f t="shared" si="54"/>
        <v>49015.559999999954</v>
      </c>
    </row>
    <row r="3232" spans="2:9">
      <c r="B3232" s="496"/>
      <c r="C3232" s="497"/>
      <c r="D3232" s="498"/>
      <c r="E3232" s="499"/>
      <c r="F3232" s="500"/>
      <c r="G3232" s="501"/>
      <c r="H3232" s="502"/>
      <c r="I3232" s="503">
        <f t="shared" si="54"/>
        <v>49015.559999999954</v>
      </c>
    </row>
    <row r="3233" spans="2:9">
      <c r="B3233" s="496"/>
      <c r="C3233" s="497"/>
      <c r="D3233" s="498"/>
      <c r="E3233" s="499"/>
      <c r="F3233" s="500"/>
      <c r="G3233" s="501"/>
      <c r="H3233" s="502"/>
      <c r="I3233" s="503">
        <f t="shared" si="54"/>
        <v>49015.559999999954</v>
      </c>
    </row>
    <row r="3234" spans="2:9">
      <c r="B3234" s="496"/>
      <c r="C3234" s="497"/>
      <c r="D3234" s="498"/>
      <c r="E3234" s="499"/>
      <c r="F3234" s="500"/>
      <c r="G3234" s="501"/>
      <c r="H3234" s="502"/>
      <c r="I3234" s="503">
        <f t="shared" si="54"/>
        <v>49015.559999999954</v>
      </c>
    </row>
    <row r="3235" spans="2:9">
      <c r="B3235" s="496"/>
      <c r="C3235" s="497"/>
      <c r="D3235" s="498"/>
      <c r="E3235" s="499"/>
      <c r="F3235" s="500"/>
      <c r="G3235" s="501"/>
      <c r="H3235" s="502"/>
      <c r="I3235" s="503">
        <f t="shared" si="54"/>
        <v>49015.559999999954</v>
      </c>
    </row>
    <row r="3236" spans="2:9">
      <c r="B3236" s="496"/>
      <c r="C3236" s="497"/>
      <c r="D3236" s="498"/>
      <c r="E3236" s="499"/>
      <c r="F3236" s="500"/>
      <c r="G3236" s="501"/>
      <c r="H3236" s="502"/>
      <c r="I3236" s="503">
        <f t="shared" si="54"/>
        <v>49015.559999999954</v>
      </c>
    </row>
    <row r="3237" spans="2:9">
      <c r="B3237" s="496"/>
      <c r="C3237" s="497"/>
      <c r="D3237" s="498"/>
      <c r="E3237" s="499"/>
      <c r="F3237" s="500"/>
      <c r="G3237" s="501"/>
      <c r="H3237" s="502"/>
      <c r="I3237" s="503">
        <f t="shared" si="54"/>
        <v>49015.559999999954</v>
      </c>
    </row>
    <row r="3238" spans="2:9">
      <c r="B3238" s="496"/>
      <c r="C3238" s="497"/>
      <c r="D3238" s="498"/>
      <c r="E3238" s="499"/>
      <c r="F3238" s="500"/>
      <c r="G3238" s="501"/>
      <c r="H3238" s="502"/>
      <c r="I3238" s="503">
        <f t="shared" si="54"/>
        <v>49015.559999999954</v>
      </c>
    </row>
    <row r="3239" spans="2:9">
      <c r="B3239" s="496"/>
      <c r="C3239" s="497"/>
      <c r="D3239" s="498"/>
      <c r="E3239" s="499"/>
      <c r="F3239" s="500"/>
      <c r="G3239" s="501"/>
      <c r="H3239" s="502"/>
      <c r="I3239" s="503">
        <f t="shared" si="54"/>
        <v>49015.559999999954</v>
      </c>
    </row>
    <row r="3240" spans="2:9">
      <c r="B3240" s="496"/>
      <c r="C3240" s="497"/>
      <c r="D3240" s="498"/>
      <c r="E3240" s="499"/>
      <c r="F3240" s="500"/>
      <c r="G3240" s="501"/>
      <c r="H3240" s="502"/>
      <c r="I3240" s="503">
        <f t="shared" si="54"/>
        <v>49015.559999999954</v>
      </c>
    </row>
    <row r="3241" spans="2:9">
      <c r="B3241" s="496"/>
      <c r="C3241" s="497"/>
      <c r="D3241" s="498"/>
      <c r="E3241" s="499"/>
      <c r="F3241" s="500"/>
      <c r="G3241" s="501"/>
      <c r="H3241" s="502"/>
      <c r="I3241" s="503">
        <f t="shared" si="54"/>
        <v>49015.559999999954</v>
      </c>
    </row>
    <row r="3242" spans="2:9">
      <c r="B3242" s="496"/>
      <c r="C3242" s="497"/>
      <c r="D3242" s="498"/>
      <c r="E3242" s="499"/>
      <c r="F3242" s="500"/>
      <c r="G3242" s="501"/>
      <c r="H3242" s="502"/>
      <c r="I3242" s="503">
        <f t="shared" si="54"/>
        <v>49015.559999999954</v>
      </c>
    </row>
    <row r="3243" spans="2:9">
      <c r="B3243" s="496"/>
      <c r="C3243" s="497"/>
      <c r="D3243" s="498"/>
      <c r="E3243" s="499"/>
      <c r="F3243" s="500"/>
      <c r="G3243" s="501"/>
      <c r="H3243" s="502"/>
      <c r="I3243" s="503">
        <f t="shared" si="54"/>
        <v>49015.559999999954</v>
      </c>
    </row>
    <row r="3244" spans="2:9">
      <c r="B3244" s="496"/>
      <c r="C3244" s="497"/>
      <c r="D3244" s="498"/>
      <c r="E3244" s="499"/>
      <c r="F3244" s="500"/>
      <c r="G3244" s="501"/>
      <c r="H3244" s="502"/>
      <c r="I3244" s="503">
        <f t="shared" si="54"/>
        <v>49015.559999999954</v>
      </c>
    </row>
    <row r="3245" spans="2:9">
      <c r="B3245" s="496"/>
      <c r="C3245" s="497"/>
      <c r="D3245" s="498"/>
      <c r="E3245" s="499"/>
      <c r="F3245" s="500"/>
      <c r="G3245" s="501"/>
      <c r="H3245" s="502"/>
      <c r="I3245" s="503">
        <f t="shared" si="54"/>
        <v>49015.559999999954</v>
      </c>
    </row>
    <row r="3246" spans="2:9">
      <c r="B3246" s="496"/>
      <c r="C3246" s="497"/>
      <c r="D3246" s="498"/>
      <c r="E3246" s="499"/>
      <c r="F3246" s="500"/>
      <c r="G3246" s="501"/>
      <c r="H3246" s="502"/>
      <c r="I3246" s="503">
        <f t="shared" si="54"/>
        <v>49015.559999999954</v>
      </c>
    </row>
    <row r="3247" spans="2:9">
      <c r="B3247" s="496"/>
      <c r="C3247" s="497"/>
      <c r="D3247" s="498"/>
      <c r="E3247" s="499"/>
      <c r="F3247" s="500"/>
      <c r="G3247" s="501"/>
      <c r="H3247" s="502"/>
      <c r="I3247" s="503">
        <f t="shared" si="54"/>
        <v>49015.559999999954</v>
      </c>
    </row>
    <row r="3248" spans="2:9">
      <c r="B3248" s="496"/>
      <c r="C3248" s="497"/>
      <c r="D3248" s="498"/>
      <c r="E3248" s="499"/>
      <c r="F3248" s="500"/>
      <c r="G3248" s="501"/>
      <c r="H3248" s="502"/>
      <c r="I3248" s="503">
        <f t="shared" si="54"/>
        <v>49015.559999999954</v>
      </c>
    </row>
    <row r="3249" spans="2:9">
      <c r="B3249" s="496"/>
      <c r="C3249" s="497"/>
      <c r="D3249" s="498"/>
      <c r="E3249" s="499"/>
      <c r="F3249" s="500"/>
      <c r="G3249" s="501"/>
      <c r="H3249" s="502"/>
      <c r="I3249" s="503">
        <f t="shared" si="54"/>
        <v>49015.559999999954</v>
      </c>
    </row>
    <row r="3250" spans="2:9">
      <c r="B3250" s="496"/>
      <c r="C3250" s="497"/>
      <c r="D3250" s="498"/>
      <c r="E3250" s="499"/>
      <c r="F3250" s="500"/>
      <c r="G3250" s="501"/>
      <c r="H3250" s="502"/>
      <c r="I3250" s="503">
        <f t="shared" si="54"/>
        <v>49015.559999999954</v>
      </c>
    </row>
    <row r="3251" spans="2:9">
      <c r="B3251" s="496"/>
      <c r="C3251" s="497"/>
      <c r="D3251" s="498"/>
      <c r="E3251" s="499"/>
      <c r="F3251" s="500"/>
      <c r="G3251" s="501"/>
      <c r="H3251" s="502"/>
      <c r="I3251" s="503">
        <f t="shared" si="54"/>
        <v>49015.559999999954</v>
      </c>
    </row>
    <row r="3252" spans="2:9">
      <c r="B3252" s="496"/>
      <c r="C3252" s="497"/>
      <c r="D3252" s="498"/>
      <c r="E3252" s="499"/>
      <c r="F3252" s="500"/>
      <c r="G3252" s="501"/>
      <c r="H3252" s="502"/>
      <c r="I3252" s="503">
        <f t="shared" si="54"/>
        <v>49015.559999999954</v>
      </c>
    </row>
    <row r="3253" spans="2:9">
      <c r="B3253" s="496"/>
      <c r="C3253" s="497"/>
      <c r="D3253" s="498"/>
      <c r="E3253" s="499"/>
      <c r="F3253" s="500"/>
      <c r="G3253" s="501"/>
      <c r="H3253" s="502"/>
      <c r="I3253" s="503">
        <f t="shared" si="54"/>
        <v>49015.559999999954</v>
      </c>
    </row>
    <row r="3254" spans="2:9">
      <c r="B3254" s="496"/>
      <c r="C3254" s="497"/>
      <c r="D3254" s="498"/>
      <c r="E3254" s="499"/>
      <c r="F3254" s="500"/>
      <c r="G3254" s="501"/>
      <c r="H3254" s="502"/>
      <c r="I3254" s="503">
        <f t="shared" si="54"/>
        <v>49015.559999999954</v>
      </c>
    </row>
    <row r="3255" spans="2:9">
      <c r="B3255" s="496"/>
      <c r="C3255" s="497"/>
      <c r="D3255" s="498"/>
      <c r="E3255" s="499"/>
      <c r="F3255" s="500"/>
      <c r="G3255" s="501"/>
      <c r="H3255" s="502"/>
      <c r="I3255" s="503">
        <f t="shared" si="54"/>
        <v>49015.559999999954</v>
      </c>
    </row>
    <row r="3256" spans="2:9">
      <c r="B3256" s="496"/>
      <c r="C3256" s="497"/>
      <c r="D3256" s="498"/>
      <c r="E3256" s="499"/>
      <c r="F3256" s="500"/>
      <c r="G3256" s="501"/>
      <c r="H3256" s="502"/>
      <c r="I3256" s="503">
        <f t="shared" si="54"/>
        <v>49015.559999999954</v>
      </c>
    </row>
    <row r="3257" spans="2:9">
      <c r="B3257" s="496"/>
      <c r="C3257" s="497"/>
      <c r="D3257" s="498"/>
      <c r="E3257" s="499"/>
      <c r="F3257" s="500"/>
      <c r="G3257" s="501"/>
      <c r="H3257" s="502"/>
      <c r="I3257" s="503">
        <f t="shared" si="54"/>
        <v>49015.559999999954</v>
      </c>
    </row>
    <row r="3258" spans="2:9">
      <c r="B3258" s="496"/>
      <c r="C3258" s="497"/>
      <c r="D3258" s="498"/>
      <c r="E3258" s="499"/>
      <c r="F3258" s="500"/>
      <c r="G3258" s="501"/>
      <c r="H3258" s="502"/>
      <c r="I3258" s="503">
        <f t="shared" si="54"/>
        <v>49015.559999999954</v>
      </c>
    </row>
    <row r="3259" spans="2:9">
      <c r="B3259" s="496"/>
      <c r="C3259" s="497"/>
      <c r="D3259" s="498"/>
      <c r="E3259" s="499"/>
      <c r="F3259" s="500"/>
      <c r="G3259" s="501"/>
      <c r="H3259" s="502"/>
      <c r="I3259" s="503">
        <f t="shared" si="54"/>
        <v>49015.559999999954</v>
      </c>
    </row>
    <row r="3260" spans="2:9">
      <c r="B3260" s="496"/>
      <c r="C3260" s="497"/>
      <c r="D3260" s="498"/>
      <c r="E3260" s="499"/>
      <c r="F3260" s="500"/>
      <c r="G3260" s="501"/>
      <c r="H3260" s="502"/>
      <c r="I3260" s="503">
        <f t="shared" si="54"/>
        <v>49015.559999999954</v>
      </c>
    </row>
    <row r="3261" spans="2:9">
      <c r="B3261" s="496"/>
      <c r="C3261" s="497"/>
      <c r="D3261" s="498"/>
      <c r="E3261" s="499"/>
      <c r="F3261" s="500"/>
      <c r="G3261" s="501"/>
      <c r="H3261" s="502"/>
      <c r="I3261" s="503">
        <f t="shared" si="54"/>
        <v>49015.559999999954</v>
      </c>
    </row>
    <row r="3262" spans="2:9">
      <c r="B3262" s="496"/>
      <c r="C3262" s="497"/>
      <c r="D3262" s="498"/>
      <c r="E3262" s="499"/>
      <c r="F3262" s="500"/>
      <c r="G3262" s="501"/>
      <c r="H3262" s="502"/>
      <c r="I3262" s="503">
        <f t="shared" si="54"/>
        <v>49015.559999999954</v>
      </c>
    </row>
    <row r="3263" spans="2:9">
      <c r="B3263" s="496"/>
      <c r="C3263" s="497"/>
      <c r="D3263" s="498"/>
      <c r="E3263" s="499"/>
      <c r="F3263" s="500"/>
      <c r="G3263" s="501"/>
      <c r="H3263" s="502"/>
      <c r="I3263" s="503">
        <f t="shared" si="54"/>
        <v>49015.559999999954</v>
      </c>
    </row>
    <row r="3264" spans="2:9">
      <c r="B3264" s="496"/>
      <c r="C3264" s="497"/>
      <c r="D3264" s="498"/>
      <c r="E3264" s="499"/>
      <c r="F3264" s="500"/>
      <c r="G3264" s="501"/>
      <c r="H3264" s="502"/>
      <c r="I3264" s="503">
        <f t="shared" si="54"/>
        <v>49015.559999999954</v>
      </c>
    </row>
    <row r="3265" spans="2:9">
      <c r="B3265" s="496"/>
      <c r="C3265" s="497"/>
      <c r="D3265" s="498"/>
      <c r="E3265" s="499"/>
      <c r="F3265" s="500"/>
      <c r="G3265" s="501"/>
      <c r="H3265" s="502"/>
      <c r="I3265" s="503">
        <f t="shared" si="54"/>
        <v>49015.559999999954</v>
      </c>
    </row>
    <row r="3266" spans="2:9">
      <c r="B3266" s="496"/>
      <c r="C3266" s="497"/>
      <c r="D3266" s="498"/>
      <c r="E3266" s="499"/>
      <c r="F3266" s="500"/>
      <c r="G3266" s="501"/>
      <c r="H3266" s="502"/>
      <c r="I3266" s="503">
        <f t="shared" si="54"/>
        <v>49015.559999999954</v>
      </c>
    </row>
    <row r="3267" spans="2:9">
      <c r="B3267" s="496"/>
      <c r="C3267" s="497"/>
      <c r="D3267" s="498"/>
      <c r="E3267" s="499"/>
      <c r="F3267" s="500"/>
      <c r="G3267" s="501"/>
      <c r="H3267" s="502"/>
      <c r="I3267" s="503">
        <f t="shared" si="54"/>
        <v>49015.559999999954</v>
      </c>
    </row>
    <row r="3268" spans="2:9">
      <c r="B3268" s="496"/>
      <c r="C3268" s="497"/>
      <c r="D3268" s="498"/>
      <c r="E3268" s="499"/>
      <c r="F3268" s="500"/>
      <c r="G3268" s="501"/>
      <c r="H3268" s="502"/>
      <c r="I3268" s="503">
        <f t="shared" si="54"/>
        <v>49015.559999999954</v>
      </c>
    </row>
    <row r="3269" spans="2:9">
      <c r="B3269" s="496"/>
      <c r="C3269" s="497"/>
      <c r="D3269" s="498"/>
      <c r="E3269" s="499"/>
      <c r="F3269" s="500"/>
      <c r="G3269" s="501"/>
      <c r="H3269" s="502"/>
      <c r="I3269" s="503">
        <f t="shared" si="54"/>
        <v>49015.559999999954</v>
      </c>
    </row>
    <row r="3270" spans="2:9">
      <c r="B3270" s="496"/>
      <c r="C3270" s="497"/>
      <c r="D3270" s="498"/>
      <c r="E3270" s="499"/>
      <c r="F3270" s="500"/>
      <c r="G3270" s="501"/>
      <c r="H3270" s="502"/>
      <c r="I3270" s="503">
        <f t="shared" si="54"/>
        <v>49015.559999999954</v>
      </c>
    </row>
    <row r="3271" spans="2:9">
      <c r="B3271" s="496"/>
      <c r="C3271" s="497"/>
      <c r="D3271" s="498"/>
      <c r="E3271" s="499"/>
      <c r="F3271" s="500"/>
      <c r="G3271" s="501"/>
      <c r="H3271" s="502"/>
      <c r="I3271" s="503">
        <f t="shared" si="54"/>
        <v>49015.559999999954</v>
      </c>
    </row>
    <row r="3272" spans="2:9">
      <c r="B3272" s="496"/>
      <c r="C3272" s="497"/>
      <c r="D3272" s="498"/>
      <c r="E3272" s="499"/>
      <c r="F3272" s="500"/>
      <c r="G3272" s="501"/>
      <c r="H3272" s="502"/>
      <c r="I3272" s="503">
        <f t="shared" si="54"/>
        <v>49015.559999999954</v>
      </c>
    </row>
    <row r="3273" spans="2:9">
      <c r="B3273" s="496"/>
      <c r="C3273" s="497"/>
      <c r="D3273" s="498"/>
      <c r="E3273" s="499"/>
      <c r="F3273" s="500"/>
      <c r="G3273" s="501"/>
      <c r="H3273" s="502"/>
      <c r="I3273" s="503">
        <f t="shared" si="54"/>
        <v>49015.559999999954</v>
      </c>
    </row>
    <row r="3274" spans="2:9">
      <c r="B3274" s="496"/>
      <c r="C3274" s="497"/>
      <c r="D3274" s="498"/>
      <c r="E3274" s="499"/>
      <c r="F3274" s="500"/>
      <c r="G3274" s="501"/>
      <c r="H3274" s="502"/>
      <c r="I3274" s="503">
        <f t="shared" si="54"/>
        <v>49015.559999999954</v>
      </c>
    </row>
    <row r="3275" spans="2:9">
      <c r="B3275" s="496"/>
      <c r="C3275" s="497"/>
      <c r="D3275" s="498"/>
      <c r="E3275" s="499"/>
      <c r="F3275" s="500"/>
      <c r="G3275" s="501"/>
      <c r="H3275" s="502"/>
      <c r="I3275" s="503">
        <f t="shared" si="54"/>
        <v>49015.559999999954</v>
      </c>
    </row>
    <row r="3276" spans="2:9">
      <c r="B3276" s="496"/>
      <c r="C3276" s="497"/>
      <c r="D3276" s="498"/>
      <c r="E3276" s="499"/>
      <c r="F3276" s="500"/>
      <c r="G3276" s="501"/>
      <c r="H3276" s="502"/>
      <c r="I3276" s="503">
        <f t="shared" si="54"/>
        <v>49015.559999999954</v>
      </c>
    </row>
    <row r="3277" spans="2:9">
      <c r="B3277" s="496"/>
      <c r="C3277" s="497"/>
      <c r="D3277" s="498"/>
      <c r="E3277" s="499"/>
      <c r="F3277" s="500"/>
      <c r="G3277" s="501"/>
      <c r="H3277" s="502"/>
      <c r="I3277" s="503">
        <f t="shared" si="54"/>
        <v>49015.559999999954</v>
      </c>
    </row>
    <row r="3278" spans="2:9">
      <c r="B3278" s="496"/>
      <c r="C3278" s="497"/>
      <c r="D3278" s="498"/>
      <c r="E3278" s="499"/>
      <c r="F3278" s="500"/>
      <c r="G3278" s="501"/>
      <c r="H3278" s="502"/>
      <c r="I3278" s="503">
        <f t="shared" si="54"/>
        <v>49015.559999999954</v>
      </c>
    </row>
    <row r="3279" spans="2:9">
      <c r="B3279" s="496"/>
      <c r="C3279" s="497"/>
      <c r="D3279" s="498"/>
      <c r="E3279" s="499"/>
      <c r="F3279" s="500"/>
      <c r="G3279" s="501"/>
      <c r="H3279" s="502"/>
      <c r="I3279" s="503">
        <f t="shared" si="54"/>
        <v>49015.559999999954</v>
      </c>
    </row>
    <row r="3280" spans="2:9">
      <c r="B3280" s="496"/>
      <c r="C3280" s="497"/>
      <c r="D3280" s="498"/>
      <c r="E3280" s="499"/>
      <c r="F3280" s="500"/>
      <c r="G3280" s="501"/>
      <c r="H3280" s="502"/>
      <c r="I3280" s="503">
        <f t="shared" si="54"/>
        <v>49015.559999999954</v>
      </c>
    </row>
    <row r="3281" spans="2:9">
      <c r="B3281" s="496"/>
      <c r="C3281" s="497"/>
      <c r="D3281" s="498"/>
      <c r="E3281" s="499"/>
      <c r="F3281" s="500"/>
      <c r="G3281" s="501"/>
      <c r="H3281" s="502"/>
      <c r="I3281" s="503">
        <f t="shared" si="54"/>
        <v>49015.559999999954</v>
      </c>
    </row>
    <row r="3282" spans="2:9">
      <c r="B3282" s="496"/>
      <c r="C3282" s="497"/>
      <c r="D3282" s="498"/>
      <c r="E3282" s="499"/>
      <c r="F3282" s="500"/>
      <c r="G3282" s="501"/>
      <c r="H3282" s="502"/>
      <c r="I3282" s="503">
        <f t="shared" si="54"/>
        <v>49015.559999999954</v>
      </c>
    </row>
    <row r="3283" spans="2:9">
      <c r="B3283" s="496"/>
      <c r="C3283" s="497"/>
      <c r="D3283" s="498"/>
      <c r="E3283" s="499"/>
      <c r="F3283" s="500"/>
      <c r="G3283" s="501"/>
      <c r="H3283" s="502"/>
      <c r="I3283" s="503">
        <f t="shared" si="54"/>
        <v>49015.559999999954</v>
      </c>
    </row>
    <row r="3284" spans="2:9">
      <c r="B3284" s="496"/>
      <c r="C3284" s="497"/>
      <c r="D3284" s="498"/>
      <c r="E3284" s="499"/>
      <c r="F3284" s="500"/>
      <c r="G3284" s="501"/>
      <c r="H3284" s="502"/>
      <c r="I3284" s="503">
        <f t="shared" si="54"/>
        <v>49015.559999999954</v>
      </c>
    </row>
    <row r="3285" spans="2:9">
      <c r="B3285" s="496"/>
      <c r="C3285" s="497"/>
      <c r="D3285" s="498"/>
      <c r="E3285" s="499"/>
      <c r="F3285" s="500"/>
      <c r="G3285" s="501"/>
      <c r="H3285" s="502"/>
      <c r="I3285" s="503">
        <f t="shared" si="54"/>
        <v>49015.559999999954</v>
      </c>
    </row>
    <row r="3286" spans="2:9">
      <c r="B3286" s="496"/>
      <c r="C3286" s="497"/>
      <c r="D3286" s="498"/>
      <c r="E3286" s="499"/>
      <c r="F3286" s="500"/>
      <c r="G3286" s="501"/>
      <c r="H3286" s="502"/>
      <c r="I3286" s="503">
        <f t="shared" si="54"/>
        <v>49015.559999999954</v>
      </c>
    </row>
    <row r="3287" spans="2:9">
      <c r="B3287" s="496"/>
      <c r="C3287" s="497"/>
      <c r="D3287" s="498"/>
      <c r="E3287" s="499"/>
      <c r="F3287" s="500"/>
      <c r="G3287" s="501"/>
      <c r="H3287" s="502"/>
      <c r="I3287" s="503">
        <f t="shared" si="54"/>
        <v>49015.559999999954</v>
      </c>
    </row>
    <row r="3288" spans="2:9">
      <c r="B3288" s="496"/>
      <c r="C3288" s="497"/>
      <c r="D3288" s="498"/>
      <c r="E3288" s="499"/>
      <c r="F3288" s="500"/>
      <c r="G3288" s="501"/>
      <c r="H3288" s="502"/>
      <c r="I3288" s="503">
        <f t="shared" si="54"/>
        <v>49015.559999999954</v>
      </c>
    </row>
    <row r="3289" spans="2:9">
      <c r="B3289" s="496"/>
      <c r="C3289" s="497"/>
      <c r="D3289" s="498"/>
      <c r="E3289" s="499"/>
      <c r="F3289" s="500"/>
      <c r="G3289" s="501"/>
      <c r="H3289" s="502"/>
      <c r="I3289" s="503">
        <f t="shared" ref="I3289:I3352" si="55">I3288+E3290-F3291</f>
        <v>49015.559999999954</v>
      </c>
    </row>
    <row r="3290" spans="2:9">
      <c r="B3290" s="496"/>
      <c r="C3290" s="497"/>
      <c r="D3290" s="498"/>
      <c r="E3290" s="499"/>
      <c r="F3290" s="500"/>
      <c r="G3290" s="501"/>
      <c r="H3290" s="502"/>
      <c r="I3290" s="503">
        <f t="shared" si="55"/>
        <v>49015.559999999954</v>
      </c>
    </row>
    <row r="3291" spans="2:9">
      <c r="B3291" s="496"/>
      <c r="C3291" s="497"/>
      <c r="D3291" s="498"/>
      <c r="E3291" s="499"/>
      <c r="F3291" s="500"/>
      <c r="G3291" s="501"/>
      <c r="H3291" s="502"/>
      <c r="I3291" s="503">
        <f t="shared" si="55"/>
        <v>49015.559999999954</v>
      </c>
    </row>
    <row r="3292" spans="2:9">
      <c r="B3292" s="496"/>
      <c r="C3292" s="497"/>
      <c r="D3292" s="498"/>
      <c r="E3292" s="499"/>
      <c r="F3292" s="500"/>
      <c r="G3292" s="501"/>
      <c r="H3292" s="502"/>
      <c r="I3292" s="503">
        <f t="shared" si="55"/>
        <v>49015.559999999954</v>
      </c>
    </row>
    <row r="3293" spans="2:9">
      <c r="B3293" s="496"/>
      <c r="C3293" s="497"/>
      <c r="D3293" s="498"/>
      <c r="E3293" s="499"/>
      <c r="F3293" s="500"/>
      <c r="G3293" s="501"/>
      <c r="H3293" s="502"/>
      <c r="I3293" s="503">
        <f t="shared" si="55"/>
        <v>49015.559999999954</v>
      </c>
    </row>
    <row r="3294" spans="2:9">
      <c r="B3294" s="496"/>
      <c r="C3294" s="497"/>
      <c r="D3294" s="498"/>
      <c r="E3294" s="499"/>
      <c r="F3294" s="500"/>
      <c r="G3294" s="501"/>
      <c r="H3294" s="502"/>
      <c r="I3294" s="503">
        <f t="shared" si="55"/>
        <v>49015.559999999954</v>
      </c>
    </row>
    <row r="3295" spans="2:9">
      <c r="B3295" s="496"/>
      <c r="C3295" s="497"/>
      <c r="D3295" s="498"/>
      <c r="E3295" s="499"/>
      <c r="F3295" s="500"/>
      <c r="G3295" s="501"/>
      <c r="H3295" s="502"/>
      <c r="I3295" s="503">
        <f t="shared" si="55"/>
        <v>49015.559999999954</v>
      </c>
    </row>
    <row r="3296" spans="2:9">
      <c r="B3296" s="496"/>
      <c r="C3296" s="497"/>
      <c r="D3296" s="498"/>
      <c r="E3296" s="499"/>
      <c r="F3296" s="500"/>
      <c r="G3296" s="501"/>
      <c r="H3296" s="502"/>
      <c r="I3296" s="503">
        <f t="shared" si="55"/>
        <v>49015.559999999954</v>
      </c>
    </row>
    <row r="3297" spans="2:9">
      <c r="B3297" s="496"/>
      <c r="C3297" s="497"/>
      <c r="D3297" s="498"/>
      <c r="E3297" s="499"/>
      <c r="F3297" s="500"/>
      <c r="G3297" s="501"/>
      <c r="H3297" s="502"/>
      <c r="I3297" s="503">
        <f t="shared" si="55"/>
        <v>49015.559999999954</v>
      </c>
    </row>
    <row r="3298" spans="2:9">
      <c r="B3298" s="496"/>
      <c r="C3298" s="497"/>
      <c r="D3298" s="498"/>
      <c r="E3298" s="499"/>
      <c r="F3298" s="500"/>
      <c r="G3298" s="501"/>
      <c r="H3298" s="502"/>
      <c r="I3298" s="503">
        <f t="shared" si="55"/>
        <v>49015.559999999954</v>
      </c>
    </row>
    <row r="3299" spans="2:9">
      <c r="B3299" s="496"/>
      <c r="C3299" s="497"/>
      <c r="D3299" s="498"/>
      <c r="E3299" s="499"/>
      <c r="F3299" s="500"/>
      <c r="G3299" s="501"/>
      <c r="H3299" s="502"/>
      <c r="I3299" s="503">
        <f t="shared" si="55"/>
        <v>49015.559999999954</v>
      </c>
    </row>
    <row r="3300" spans="2:9">
      <c r="B3300" s="496"/>
      <c r="C3300" s="497"/>
      <c r="D3300" s="498"/>
      <c r="E3300" s="499"/>
      <c r="F3300" s="500"/>
      <c r="G3300" s="501"/>
      <c r="H3300" s="502"/>
      <c r="I3300" s="503">
        <f t="shared" si="55"/>
        <v>49015.559999999954</v>
      </c>
    </row>
    <row r="3301" spans="2:9">
      <c r="B3301" s="496"/>
      <c r="C3301" s="497"/>
      <c r="D3301" s="498"/>
      <c r="E3301" s="499"/>
      <c r="F3301" s="500"/>
      <c r="G3301" s="501"/>
      <c r="H3301" s="502"/>
      <c r="I3301" s="503">
        <f t="shared" si="55"/>
        <v>49015.559999999954</v>
      </c>
    </row>
    <row r="3302" spans="2:9">
      <c r="B3302" s="496"/>
      <c r="C3302" s="497"/>
      <c r="D3302" s="498"/>
      <c r="E3302" s="499"/>
      <c r="F3302" s="500"/>
      <c r="G3302" s="501"/>
      <c r="H3302" s="502"/>
      <c r="I3302" s="503">
        <f t="shared" si="55"/>
        <v>49015.559999999954</v>
      </c>
    </row>
    <row r="3303" spans="2:9">
      <c r="B3303" s="496"/>
      <c r="C3303" s="497"/>
      <c r="D3303" s="498"/>
      <c r="E3303" s="499"/>
      <c r="F3303" s="500"/>
      <c r="G3303" s="501"/>
      <c r="H3303" s="502"/>
      <c r="I3303" s="503">
        <f t="shared" si="55"/>
        <v>49015.559999999954</v>
      </c>
    </row>
    <row r="3304" spans="2:9">
      <c r="B3304" s="496"/>
      <c r="C3304" s="497"/>
      <c r="D3304" s="498"/>
      <c r="E3304" s="499"/>
      <c r="F3304" s="500"/>
      <c r="G3304" s="501"/>
      <c r="H3304" s="502"/>
      <c r="I3304" s="503">
        <f t="shared" si="55"/>
        <v>49015.559999999954</v>
      </c>
    </row>
    <row r="3305" spans="2:9">
      <c r="B3305" s="496"/>
      <c r="C3305" s="497"/>
      <c r="D3305" s="498"/>
      <c r="E3305" s="499"/>
      <c r="F3305" s="500"/>
      <c r="G3305" s="501"/>
      <c r="H3305" s="502"/>
      <c r="I3305" s="503">
        <f t="shared" si="55"/>
        <v>49015.559999999954</v>
      </c>
    </row>
    <row r="3306" spans="2:9">
      <c r="B3306" s="496"/>
      <c r="C3306" s="497"/>
      <c r="D3306" s="498"/>
      <c r="E3306" s="499"/>
      <c r="F3306" s="500"/>
      <c r="G3306" s="501"/>
      <c r="H3306" s="502"/>
      <c r="I3306" s="503">
        <f t="shared" si="55"/>
        <v>49015.559999999954</v>
      </c>
    </row>
    <row r="3307" spans="2:9">
      <c r="B3307" s="496"/>
      <c r="C3307" s="497"/>
      <c r="D3307" s="498"/>
      <c r="E3307" s="499"/>
      <c r="F3307" s="500"/>
      <c r="G3307" s="501"/>
      <c r="H3307" s="502"/>
      <c r="I3307" s="503">
        <f t="shared" si="55"/>
        <v>49015.559999999954</v>
      </c>
    </row>
    <row r="3308" spans="2:9">
      <c r="B3308" s="496"/>
      <c r="C3308" s="497"/>
      <c r="D3308" s="498"/>
      <c r="E3308" s="499"/>
      <c r="F3308" s="500"/>
      <c r="G3308" s="501"/>
      <c r="H3308" s="502"/>
      <c r="I3308" s="503">
        <f t="shared" si="55"/>
        <v>49015.559999999954</v>
      </c>
    </row>
    <row r="3309" spans="2:9">
      <c r="B3309" s="496"/>
      <c r="C3309" s="497"/>
      <c r="D3309" s="498"/>
      <c r="E3309" s="499"/>
      <c r="F3309" s="500"/>
      <c r="G3309" s="501"/>
      <c r="H3309" s="502"/>
      <c r="I3309" s="503">
        <f t="shared" si="55"/>
        <v>49015.559999999954</v>
      </c>
    </row>
    <row r="3310" spans="2:9">
      <c r="B3310" s="496"/>
      <c r="C3310" s="497"/>
      <c r="D3310" s="498"/>
      <c r="E3310" s="499"/>
      <c r="F3310" s="500"/>
      <c r="G3310" s="501"/>
      <c r="H3310" s="502"/>
      <c r="I3310" s="503">
        <f t="shared" si="55"/>
        <v>49015.559999999954</v>
      </c>
    </row>
    <row r="3311" spans="2:9">
      <c r="B3311" s="496"/>
      <c r="C3311" s="497"/>
      <c r="D3311" s="498"/>
      <c r="E3311" s="499"/>
      <c r="F3311" s="500"/>
      <c r="G3311" s="501"/>
      <c r="H3311" s="502"/>
      <c r="I3311" s="503">
        <f t="shared" si="55"/>
        <v>49015.559999999954</v>
      </c>
    </row>
    <row r="3312" spans="2:9">
      <c r="B3312" s="496"/>
      <c r="C3312" s="497"/>
      <c r="D3312" s="498"/>
      <c r="E3312" s="499"/>
      <c r="F3312" s="500"/>
      <c r="G3312" s="501"/>
      <c r="H3312" s="502"/>
      <c r="I3312" s="503">
        <f t="shared" si="55"/>
        <v>49015.559999999954</v>
      </c>
    </row>
    <row r="3313" spans="2:9">
      <c r="B3313" s="496"/>
      <c r="C3313" s="497"/>
      <c r="D3313" s="498"/>
      <c r="E3313" s="499"/>
      <c r="F3313" s="500"/>
      <c r="G3313" s="501"/>
      <c r="H3313" s="502"/>
      <c r="I3313" s="503">
        <f t="shared" si="55"/>
        <v>49015.559999999954</v>
      </c>
    </row>
    <row r="3314" spans="2:9">
      <c r="B3314" s="496"/>
      <c r="C3314" s="497"/>
      <c r="D3314" s="498"/>
      <c r="E3314" s="499"/>
      <c r="F3314" s="500"/>
      <c r="G3314" s="501"/>
      <c r="H3314" s="502"/>
      <c r="I3314" s="503">
        <f t="shared" si="55"/>
        <v>49015.559999999954</v>
      </c>
    </row>
    <row r="3315" spans="2:9">
      <c r="B3315" s="496"/>
      <c r="C3315" s="497"/>
      <c r="D3315" s="498"/>
      <c r="E3315" s="499"/>
      <c r="F3315" s="500"/>
      <c r="G3315" s="501"/>
      <c r="H3315" s="502"/>
      <c r="I3315" s="503">
        <f t="shared" si="55"/>
        <v>49015.559999999954</v>
      </c>
    </row>
    <row r="3316" spans="2:9">
      <c r="B3316" s="496"/>
      <c r="C3316" s="497"/>
      <c r="D3316" s="498"/>
      <c r="E3316" s="499"/>
      <c r="F3316" s="500"/>
      <c r="G3316" s="501"/>
      <c r="H3316" s="502"/>
      <c r="I3316" s="503">
        <f t="shared" si="55"/>
        <v>49015.559999999954</v>
      </c>
    </row>
    <row r="3317" spans="2:9">
      <c r="B3317" s="496"/>
      <c r="C3317" s="497"/>
      <c r="D3317" s="498"/>
      <c r="E3317" s="499"/>
      <c r="F3317" s="500"/>
      <c r="G3317" s="501"/>
      <c r="H3317" s="502"/>
      <c r="I3317" s="503">
        <f t="shared" si="55"/>
        <v>49015.559999999954</v>
      </c>
    </row>
    <row r="3318" spans="2:9">
      <c r="B3318" s="496"/>
      <c r="C3318" s="497"/>
      <c r="D3318" s="498"/>
      <c r="E3318" s="499"/>
      <c r="F3318" s="500"/>
      <c r="G3318" s="501"/>
      <c r="H3318" s="502"/>
      <c r="I3318" s="503">
        <f t="shared" si="55"/>
        <v>49015.559999999954</v>
      </c>
    </row>
    <row r="3319" spans="2:9">
      <c r="B3319" s="496"/>
      <c r="C3319" s="497"/>
      <c r="D3319" s="498"/>
      <c r="E3319" s="499"/>
      <c r="F3319" s="500"/>
      <c r="G3319" s="501"/>
      <c r="H3319" s="502"/>
      <c r="I3319" s="503">
        <f t="shared" si="55"/>
        <v>49015.559999999954</v>
      </c>
    </row>
    <row r="3320" spans="2:9">
      <c r="B3320" s="496"/>
      <c r="C3320" s="497"/>
      <c r="D3320" s="498"/>
      <c r="E3320" s="499"/>
      <c r="F3320" s="500"/>
      <c r="G3320" s="501"/>
      <c r="H3320" s="502"/>
      <c r="I3320" s="503">
        <f t="shared" si="55"/>
        <v>49015.559999999954</v>
      </c>
    </row>
    <row r="3321" spans="2:9">
      <c r="B3321" s="496"/>
      <c r="C3321" s="497"/>
      <c r="D3321" s="498"/>
      <c r="E3321" s="499"/>
      <c r="F3321" s="500"/>
      <c r="G3321" s="501"/>
      <c r="H3321" s="502"/>
      <c r="I3321" s="503">
        <f t="shared" si="55"/>
        <v>49015.559999999954</v>
      </c>
    </row>
    <row r="3322" spans="2:9">
      <c r="B3322" s="496"/>
      <c r="C3322" s="497"/>
      <c r="D3322" s="498"/>
      <c r="E3322" s="499"/>
      <c r="F3322" s="500"/>
      <c r="G3322" s="501"/>
      <c r="H3322" s="502"/>
      <c r="I3322" s="503">
        <f t="shared" si="55"/>
        <v>49015.559999999954</v>
      </c>
    </row>
    <row r="3323" spans="2:9">
      <c r="B3323" s="496"/>
      <c r="C3323" s="497"/>
      <c r="D3323" s="498"/>
      <c r="E3323" s="499"/>
      <c r="F3323" s="500"/>
      <c r="G3323" s="501"/>
      <c r="H3323" s="502"/>
      <c r="I3323" s="503">
        <f t="shared" si="55"/>
        <v>49015.559999999954</v>
      </c>
    </row>
    <row r="3324" spans="2:9">
      <c r="B3324" s="496"/>
      <c r="C3324" s="497"/>
      <c r="D3324" s="498"/>
      <c r="E3324" s="499"/>
      <c r="F3324" s="500"/>
      <c r="G3324" s="501"/>
      <c r="H3324" s="502"/>
      <c r="I3324" s="503">
        <f t="shared" si="55"/>
        <v>49015.559999999954</v>
      </c>
    </row>
    <row r="3325" spans="2:9">
      <c r="B3325" s="496"/>
      <c r="C3325" s="497"/>
      <c r="D3325" s="498"/>
      <c r="E3325" s="499"/>
      <c r="F3325" s="500"/>
      <c r="G3325" s="501"/>
      <c r="H3325" s="502"/>
      <c r="I3325" s="503">
        <f t="shared" si="55"/>
        <v>49015.559999999954</v>
      </c>
    </row>
    <row r="3326" spans="2:9">
      <c r="B3326" s="496"/>
      <c r="C3326" s="497"/>
      <c r="D3326" s="498"/>
      <c r="E3326" s="499"/>
      <c r="F3326" s="500"/>
      <c r="G3326" s="501"/>
      <c r="H3326" s="502"/>
      <c r="I3326" s="503">
        <f t="shared" si="55"/>
        <v>49015.559999999954</v>
      </c>
    </row>
    <row r="3327" spans="2:9">
      <c r="B3327" s="496"/>
      <c r="C3327" s="497"/>
      <c r="D3327" s="498"/>
      <c r="E3327" s="499"/>
      <c r="F3327" s="500"/>
      <c r="G3327" s="501"/>
      <c r="H3327" s="502"/>
      <c r="I3327" s="503">
        <f t="shared" si="55"/>
        <v>49015.559999999954</v>
      </c>
    </row>
    <row r="3328" spans="2:9">
      <c r="B3328" s="496"/>
      <c r="C3328" s="497"/>
      <c r="D3328" s="498"/>
      <c r="E3328" s="499"/>
      <c r="F3328" s="500"/>
      <c r="G3328" s="501"/>
      <c r="H3328" s="502"/>
      <c r="I3328" s="503">
        <f t="shared" si="55"/>
        <v>49015.559999999954</v>
      </c>
    </row>
    <row r="3329" spans="2:9">
      <c r="B3329" s="496"/>
      <c r="C3329" s="497"/>
      <c r="D3329" s="498"/>
      <c r="E3329" s="499"/>
      <c r="F3329" s="500"/>
      <c r="G3329" s="501"/>
      <c r="H3329" s="502"/>
      <c r="I3329" s="503">
        <f t="shared" si="55"/>
        <v>49015.559999999954</v>
      </c>
    </row>
    <row r="3330" spans="2:9">
      <c r="B3330" s="496"/>
      <c r="C3330" s="497"/>
      <c r="D3330" s="498"/>
      <c r="E3330" s="499"/>
      <c r="F3330" s="500"/>
      <c r="G3330" s="501"/>
      <c r="H3330" s="502"/>
      <c r="I3330" s="503">
        <f t="shared" si="55"/>
        <v>49015.559999999954</v>
      </c>
    </row>
    <row r="3331" spans="2:9">
      <c r="B3331" s="496"/>
      <c r="C3331" s="497"/>
      <c r="D3331" s="498"/>
      <c r="E3331" s="499"/>
      <c r="F3331" s="500"/>
      <c r="G3331" s="501"/>
      <c r="H3331" s="502"/>
      <c r="I3331" s="503">
        <f t="shared" si="55"/>
        <v>49015.559999999954</v>
      </c>
    </row>
    <row r="3332" spans="2:9">
      <c r="B3332" s="496"/>
      <c r="C3332" s="497"/>
      <c r="D3332" s="498"/>
      <c r="E3332" s="499"/>
      <c r="F3332" s="500"/>
      <c r="G3332" s="501"/>
      <c r="H3332" s="502"/>
      <c r="I3332" s="503">
        <f t="shared" si="55"/>
        <v>49015.559999999954</v>
      </c>
    </row>
    <row r="3333" spans="2:9">
      <c r="B3333" s="496"/>
      <c r="C3333" s="497"/>
      <c r="D3333" s="498"/>
      <c r="E3333" s="499"/>
      <c r="F3333" s="500"/>
      <c r="G3333" s="501"/>
      <c r="H3333" s="502"/>
      <c r="I3333" s="503">
        <f t="shared" si="55"/>
        <v>49015.559999999954</v>
      </c>
    </row>
    <row r="3334" spans="2:9">
      <c r="B3334" s="496"/>
      <c r="C3334" s="497"/>
      <c r="D3334" s="498"/>
      <c r="E3334" s="499"/>
      <c r="F3334" s="500"/>
      <c r="G3334" s="501"/>
      <c r="H3334" s="502"/>
      <c r="I3334" s="503">
        <f t="shared" si="55"/>
        <v>49015.559999999954</v>
      </c>
    </row>
    <row r="3335" spans="2:9">
      <c r="B3335" s="496"/>
      <c r="C3335" s="497"/>
      <c r="D3335" s="498"/>
      <c r="E3335" s="499"/>
      <c r="F3335" s="500"/>
      <c r="G3335" s="501"/>
      <c r="H3335" s="502"/>
      <c r="I3335" s="503">
        <f t="shared" si="55"/>
        <v>49015.559999999954</v>
      </c>
    </row>
    <row r="3336" spans="2:9">
      <c r="B3336" s="496"/>
      <c r="C3336" s="497"/>
      <c r="D3336" s="498"/>
      <c r="E3336" s="499"/>
      <c r="F3336" s="500"/>
      <c r="G3336" s="501"/>
      <c r="H3336" s="502"/>
      <c r="I3336" s="503">
        <f t="shared" si="55"/>
        <v>49015.559999999954</v>
      </c>
    </row>
    <row r="3337" spans="2:9">
      <c r="B3337" s="496"/>
      <c r="C3337" s="497"/>
      <c r="D3337" s="498"/>
      <c r="E3337" s="499"/>
      <c r="F3337" s="500"/>
      <c r="G3337" s="501"/>
      <c r="H3337" s="502"/>
      <c r="I3337" s="503">
        <f t="shared" si="55"/>
        <v>49015.559999999954</v>
      </c>
    </row>
    <row r="3338" spans="2:9">
      <c r="B3338" s="496"/>
      <c r="C3338" s="497"/>
      <c r="D3338" s="498"/>
      <c r="E3338" s="499"/>
      <c r="F3338" s="500"/>
      <c r="G3338" s="501"/>
      <c r="H3338" s="502"/>
      <c r="I3338" s="503">
        <f t="shared" si="55"/>
        <v>49015.559999999954</v>
      </c>
    </row>
    <row r="3339" spans="2:9">
      <c r="B3339" s="496"/>
      <c r="C3339" s="497"/>
      <c r="D3339" s="498"/>
      <c r="E3339" s="499"/>
      <c r="F3339" s="500"/>
      <c r="G3339" s="501"/>
      <c r="H3339" s="502"/>
      <c r="I3339" s="503">
        <f t="shared" si="55"/>
        <v>49015.559999999954</v>
      </c>
    </row>
    <row r="3340" spans="2:9">
      <c r="B3340" s="496"/>
      <c r="C3340" s="497"/>
      <c r="D3340" s="498"/>
      <c r="E3340" s="499"/>
      <c r="F3340" s="500"/>
      <c r="G3340" s="501"/>
      <c r="H3340" s="502"/>
      <c r="I3340" s="503">
        <f t="shared" si="55"/>
        <v>49015.559999999954</v>
      </c>
    </row>
    <row r="3341" spans="2:9">
      <c r="B3341" s="496"/>
      <c r="C3341" s="497"/>
      <c r="D3341" s="498"/>
      <c r="E3341" s="499"/>
      <c r="F3341" s="500"/>
      <c r="G3341" s="501"/>
      <c r="H3341" s="502"/>
      <c r="I3341" s="503">
        <f t="shared" si="55"/>
        <v>49015.559999999954</v>
      </c>
    </row>
    <row r="3342" spans="2:9">
      <c r="B3342" s="496"/>
      <c r="C3342" s="497"/>
      <c r="D3342" s="498"/>
      <c r="E3342" s="499"/>
      <c r="F3342" s="500"/>
      <c r="G3342" s="501"/>
      <c r="H3342" s="502"/>
      <c r="I3342" s="503">
        <f t="shared" si="55"/>
        <v>49015.559999999954</v>
      </c>
    </row>
    <row r="3343" spans="2:9">
      <c r="B3343" s="496"/>
      <c r="C3343" s="497"/>
      <c r="D3343" s="498"/>
      <c r="E3343" s="499"/>
      <c r="F3343" s="500"/>
      <c r="G3343" s="501"/>
      <c r="H3343" s="502"/>
      <c r="I3343" s="503">
        <f t="shared" si="55"/>
        <v>49015.559999999954</v>
      </c>
    </row>
    <row r="3344" spans="2:9">
      <c r="B3344" s="496"/>
      <c r="C3344" s="497"/>
      <c r="D3344" s="498"/>
      <c r="E3344" s="499"/>
      <c r="F3344" s="500"/>
      <c r="G3344" s="501"/>
      <c r="H3344" s="502"/>
      <c r="I3344" s="503">
        <f t="shared" si="55"/>
        <v>49015.559999999954</v>
      </c>
    </row>
    <row r="3345" spans="2:9">
      <c r="B3345" s="496"/>
      <c r="C3345" s="497"/>
      <c r="D3345" s="498"/>
      <c r="E3345" s="499"/>
      <c r="F3345" s="500"/>
      <c r="G3345" s="501"/>
      <c r="H3345" s="502"/>
      <c r="I3345" s="503">
        <f t="shared" si="55"/>
        <v>49015.559999999954</v>
      </c>
    </row>
    <row r="3346" spans="2:9">
      <c r="B3346" s="496"/>
      <c r="C3346" s="497"/>
      <c r="D3346" s="498"/>
      <c r="E3346" s="499"/>
      <c r="F3346" s="500"/>
      <c r="G3346" s="501"/>
      <c r="H3346" s="502"/>
      <c r="I3346" s="503">
        <f t="shared" si="55"/>
        <v>49015.559999999954</v>
      </c>
    </row>
    <row r="3347" spans="2:9">
      <c r="B3347" s="496"/>
      <c r="C3347" s="497"/>
      <c r="D3347" s="498"/>
      <c r="E3347" s="499"/>
      <c r="F3347" s="500"/>
      <c r="G3347" s="501"/>
      <c r="H3347" s="502"/>
      <c r="I3347" s="503">
        <f t="shared" si="55"/>
        <v>49015.559999999954</v>
      </c>
    </row>
    <row r="3348" spans="2:9">
      <c r="B3348" s="496"/>
      <c r="C3348" s="497"/>
      <c r="D3348" s="498"/>
      <c r="E3348" s="499"/>
      <c r="F3348" s="500"/>
      <c r="G3348" s="501"/>
      <c r="H3348" s="502"/>
      <c r="I3348" s="503">
        <f t="shared" si="55"/>
        <v>49015.559999999954</v>
      </c>
    </row>
    <row r="3349" spans="2:9">
      <c r="B3349" s="496"/>
      <c r="C3349" s="497"/>
      <c r="D3349" s="498"/>
      <c r="E3349" s="499"/>
      <c r="F3349" s="500"/>
      <c r="G3349" s="501"/>
      <c r="H3349" s="502"/>
      <c r="I3349" s="503">
        <f t="shared" si="55"/>
        <v>49015.559999999954</v>
      </c>
    </row>
    <row r="3350" spans="2:9">
      <c r="B3350" s="496"/>
      <c r="C3350" s="497"/>
      <c r="D3350" s="498"/>
      <c r="E3350" s="499"/>
      <c r="F3350" s="500"/>
      <c r="G3350" s="501"/>
      <c r="H3350" s="502"/>
      <c r="I3350" s="503">
        <f t="shared" si="55"/>
        <v>49015.559999999954</v>
      </c>
    </row>
    <row r="3351" spans="2:9">
      <c r="B3351" s="496"/>
      <c r="C3351" s="497"/>
      <c r="D3351" s="498"/>
      <c r="E3351" s="499"/>
      <c r="F3351" s="500"/>
      <c r="G3351" s="501"/>
      <c r="H3351" s="502"/>
      <c r="I3351" s="503">
        <f t="shared" si="55"/>
        <v>49015.559999999954</v>
      </c>
    </row>
    <row r="3352" spans="2:9">
      <c r="B3352" s="496"/>
      <c r="C3352" s="497"/>
      <c r="D3352" s="498"/>
      <c r="E3352" s="499"/>
      <c r="F3352" s="500"/>
      <c r="G3352" s="501"/>
      <c r="H3352" s="502"/>
      <c r="I3352" s="503">
        <f t="shared" si="55"/>
        <v>49015.559999999954</v>
      </c>
    </row>
    <row r="3353" spans="2:9">
      <c r="B3353" s="496"/>
      <c r="C3353" s="497"/>
      <c r="D3353" s="498"/>
      <c r="E3353" s="499"/>
      <c r="F3353" s="500"/>
      <c r="G3353" s="501"/>
      <c r="H3353" s="502"/>
      <c r="I3353" s="503">
        <f t="shared" ref="I3353:I3416" si="56">I3352+E3354-F3355</f>
        <v>49015.559999999954</v>
      </c>
    </row>
    <row r="3354" spans="2:9">
      <c r="B3354" s="496"/>
      <c r="C3354" s="497"/>
      <c r="D3354" s="498"/>
      <c r="E3354" s="499"/>
      <c r="F3354" s="500"/>
      <c r="G3354" s="501"/>
      <c r="H3354" s="502"/>
      <c r="I3354" s="503">
        <f t="shared" si="56"/>
        <v>49015.559999999954</v>
      </c>
    </row>
    <row r="3355" spans="2:9">
      <c r="B3355" s="496"/>
      <c r="C3355" s="497"/>
      <c r="D3355" s="498"/>
      <c r="E3355" s="499"/>
      <c r="F3355" s="500"/>
      <c r="G3355" s="501"/>
      <c r="H3355" s="502"/>
      <c r="I3355" s="503">
        <f t="shared" si="56"/>
        <v>49015.559999999954</v>
      </c>
    </row>
    <row r="3356" spans="2:9">
      <c r="B3356" s="496"/>
      <c r="C3356" s="497"/>
      <c r="D3356" s="498"/>
      <c r="E3356" s="499"/>
      <c r="F3356" s="500"/>
      <c r="G3356" s="501"/>
      <c r="H3356" s="502"/>
      <c r="I3356" s="503">
        <f t="shared" si="56"/>
        <v>49015.559999999954</v>
      </c>
    </row>
    <row r="3357" spans="2:9">
      <c r="B3357" s="496"/>
      <c r="C3357" s="497"/>
      <c r="D3357" s="498"/>
      <c r="E3357" s="499"/>
      <c r="F3357" s="500"/>
      <c r="G3357" s="501"/>
      <c r="H3357" s="502"/>
      <c r="I3357" s="503">
        <f t="shared" si="56"/>
        <v>49015.559999999954</v>
      </c>
    </row>
    <row r="3358" spans="2:9">
      <c r="B3358" s="496"/>
      <c r="C3358" s="497"/>
      <c r="D3358" s="498"/>
      <c r="E3358" s="499"/>
      <c r="F3358" s="500"/>
      <c r="G3358" s="501"/>
      <c r="H3358" s="502"/>
      <c r="I3358" s="503">
        <f t="shared" si="56"/>
        <v>49015.559999999954</v>
      </c>
    </row>
    <row r="3359" spans="2:9">
      <c r="B3359" s="496"/>
      <c r="C3359" s="497"/>
      <c r="D3359" s="498"/>
      <c r="E3359" s="499"/>
      <c r="F3359" s="500"/>
      <c r="G3359" s="501"/>
      <c r="H3359" s="502"/>
      <c r="I3359" s="503">
        <f t="shared" si="56"/>
        <v>49015.559999999954</v>
      </c>
    </row>
    <row r="3360" spans="2:9">
      <c r="B3360" s="496"/>
      <c r="C3360" s="497"/>
      <c r="D3360" s="498"/>
      <c r="E3360" s="499"/>
      <c r="F3360" s="500"/>
      <c r="G3360" s="501"/>
      <c r="H3360" s="502"/>
      <c r="I3360" s="503">
        <f t="shared" si="56"/>
        <v>49015.559999999954</v>
      </c>
    </row>
    <row r="3361" spans="2:9">
      <c r="B3361" s="496"/>
      <c r="C3361" s="497"/>
      <c r="D3361" s="498"/>
      <c r="E3361" s="499"/>
      <c r="F3361" s="500"/>
      <c r="G3361" s="501"/>
      <c r="H3361" s="502"/>
      <c r="I3361" s="503">
        <f t="shared" si="56"/>
        <v>49015.559999999954</v>
      </c>
    </row>
    <row r="3362" spans="2:9">
      <c r="B3362" s="496"/>
      <c r="C3362" s="497"/>
      <c r="D3362" s="498"/>
      <c r="E3362" s="499"/>
      <c r="F3362" s="500"/>
      <c r="G3362" s="501"/>
      <c r="H3362" s="502"/>
      <c r="I3362" s="503">
        <f t="shared" si="56"/>
        <v>49015.559999999954</v>
      </c>
    </row>
    <row r="3363" spans="2:9">
      <c r="B3363" s="496"/>
      <c r="C3363" s="497"/>
      <c r="D3363" s="498"/>
      <c r="E3363" s="499"/>
      <c r="F3363" s="500"/>
      <c r="G3363" s="501"/>
      <c r="H3363" s="502"/>
      <c r="I3363" s="503">
        <f t="shared" si="56"/>
        <v>49015.559999999954</v>
      </c>
    </row>
    <row r="3364" spans="2:9">
      <c r="B3364" s="496"/>
      <c r="C3364" s="497"/>
      <c r="D3364" s="498"/>
      <c r="E3364" s="499"/>
      <c r="F3364" s="500"/>
      <c r="G3364" s="501"/>
      <c r="H3364" s="502"/>
      <c r="I3364" s="503">
        <f t="shared" si="56"/>
        <v>49015.559999999954</v>
      </c>
    </row>
    <row r="3365" spans="2:9">
      <c r="B3365" s="496"/>
      <c r="C3365" s="497"/>
      <c r="D3365" s="498"/>
      <c r="E3365" s="499"/>
      <c r="F3365" s="500"/>
      <c r="G3365" s="501"/>
      <c r="H3365" s="502"/>
      <c r="I3365" s="503">
        <f t="shared" si="56"/>
        <v>49015.559999999954</v>
      </c>
    </row>
    <row r="3366" spans="2:9">
      <c r="B3366" s="496"/>
      <c r="C3366" s="497"/>
      <c r="D3366" s="498"/>
      <c r="E3366" s="499"/>
      <c r="F3366" s="500"/>
      <c r="G3366" s="501"/>
      <c r="H3366" s="502"/>
      <c r="I3366" s="503">
        <f t="shared" si="56"/>
        <v>49015.559999999954</v>
      </c>
    </row>
    <row r="3367" spans="2:9">
      <c r="B3367" s="496"/>
      <c r="C3367" s="497"/>
      <c r="D3367" s="498"/>
      <c r="E3367" s="499"/>
      <c r="F3367" s="500"/>
      <c r="G3367" s="501"/>
      <c r="H3367" s="502"/>
      <c r="I3367" s="503">
        <f t="shared" si="56"/>
        <v>49015.559999999954</v>
      </c>
    </row>
    <row r="3368" spans="2:9">
      <c r="B3368" s="496"/>
      <c r="C3368" s="497"/>
      <c r="D3368" s="498"/>
      <c r="E3368" s="499"/>
      <c r="F3368" s="500"/>
      <c r="G3368" s="501"/>
      <c r="H3368" s="502"/>
      <c r="I3368" s="503">
        <f t="shared" si="56"/>
        <v>49015.559999999954</v>
      </c>
    </row>
    <row r="3369" spans="2:9">
      <c r="B3369" s="496"/>
      <c r="C3369" s="497"/>
      <c r="D3369" s="498"/>
      <c r="E3369" s="499"/>
      <c r="F3369" s="500"/>
      <c r="G3369" s="501"/>
      <c r="H3369" s="502"/>
      <c r="I3369" s="503">
        <f t="shared" si="56"/>
        <v>49015.559999999954</v>
      </c>
    </row>
    <row r="3370" spans="2:9">
      <c r="B3370" s="496"/>
      <c r="C3370" s="497"/>
      <c r="D3370" s="498"/>
      <c r="E3370" s="499"/>
      <c r="F3370" s="500"/>
      <c r="G3370" s="501"/>
      <c r="H3370" s="502"/>
      <c r="I3370" s="503">
        <f t="shared" si="56"/>
        <v>49015.559999999954</v>
      </c>
    </row>
    <row r="3371" spans="2:9">
      <c r="B3371" s="496"/>
      <c r="C3371" s="497"/>
      <c r="D3371" s="498"/>
      <c r="E3371" s="499"/>
      <c r="F3371" s="500"/>
      <c r="G3371" s="501"/>
      <c r="H3371" s="502"/>
      <c r="I3371" s="503">
        <f t="shared" si="56"/>
        <v>49015.559999999954</v>
      </c>
    </row>
    <row r="3372" spans="2:9">
      <c r="B3372" s="496"/>
      <c r="C3372" s="497"/>
      <c r="D3372" s="498"/>
      <c r="E3372" s="499"/>
      <c r="F3372" s="500"/>
      <c r="G3372" s="501"/>
      <c r="H3372" s="502"/>
      <c r="I3372" s="503">
        <f t="shared" si="56"/>
        <v>49015.559999999954</v>
      </c>
    </row>
    <row r="3373" spans="2:9">
      <c r="B3373" s="496"/>
      <c r="C3373" s="497"/>
      <c r="D3373" s="498"/>
      <c r="E3373" s="499"/>
      <c r="F3373" s="500"/>
      <c r="G3373" s="501"/>
      <c r="H3373" s="502"/>
      <c r="I3373" s="503">
        <f t="shared" si="56"/>
        <v>49015.559999999954</v>
      </c>
    </row>
    <row r="3374" spans="2:9">
      <c r="B3374" s="496"/>
      <c r="C3374" s="497"/>
      <c r="D3374" s="498"/>
      <c r="E3374" s="499"/>
      <c r="F3374" s="500"/>
      <c r="G3374" s="501"/>
      <c r="H3374" s="502"/>
      <c r="I3374" s="503">
        <f t="shared" si="56"/>
        <v>49015.559999999954</v>
      </c>
    </row>
    <row r="3375" spans="2:9">
      <c r="B3375" s="496"/>
      <c r="C3375" s="497"/>
      <c r="D3375" s="498"/>
      <c r="E3375" s="499"/>
      <c r="F3375" s="500"/>
      <c r="G3375" s="501"/>
      <c r="H3375" s="502"/>
      <c r="I3375" s="503">
        <f t="shared" si="56"/>
        <v>49015.559999999954</v>
      </c>
    </row>
    <row r="3376" spans="2:9">
      <c r="B3376" s="496"/>
      <c r="C3376" s="497"/>
      <c r="D3376" s="498"/>
      <c r="E3376" s="499"/>
      <c r="F3376" s="500"/>
      <c r="G3376" s="501"/>
      <c r="H3376" s="502"/>
      <c r="I3376" s="503">
        <f t="shared" si="56"/>
        <v>49015.559999999954</v>
      </c>
    </row>
    <row r="3377" spans="2:9">
      <c r="B3377" s="496"/>
      <c r="C3377" s="497"/>
      <c r="D3377" s="498"/>
      <c r="E3377" s="499"/>
      <c r="F3377" s="500"/>
      <c r="G3377" s="501"/>
      <c r="H3377" s="502"/>
      <c r="I3377" s="503">
        <f t="shared" si="56"/>
        <v>49015.559999999954</v>
      </c>
    </row>
    <row r="3378" spans="2:9">
      <c r="B3378" s="496"/>
      <c r="C3378" s="497"/>
      <c r="D3378" s="498"/>
      <c r="E3378" s="499"/>
      <c r="F3378" s="500"/>
      <c r="G3378" s="501"/>
      <c r="H3378" s="502"/>
      <c r="I3378" s="503">
        <f t="shared" si="56"/>
        <v>49015.559999999954</v>
      </c>
    </row>
    <row r="3379" spans="2:9">
      <c r="B3379" s="496"/>
      <c r="C3379" s="497"/>
      <c r="D3379" s="498"/>
      <c r="E3379" s="499"/>
      <c r="F3379" s="500"/>
      <c r="G3379" s="501"/>
      <c r="H3379" s="502"/>
      <c r="I3379" s="503">
        <f t="shared" si="56"/>
        <v>49015.559999999954</v>
      </c>
    </row>
    <row r="3380" spans="2:9">
      <c r="B3380" s="496"/>
      <c r="C3380" s="497"/>
      <c r="D3380" s="498"/>
      <c r="E3380" s="499"/>
      <c r="F3380" s="500"/>
      <c r="G3380" s="501"/>
      <c r="H3380" s="502"/>
      <c r="I3380" s="503">
        <f t="shared" si="56"/>
        <v>49015.559999999954</v>
      </c>
    </row>
    <row r="3381" spans="2:9">
      <c r="B3381" s="496"/>
      <c r="C3381" s="497"/>
      <c r="D3381" s="498"/>
      <c r="E3381" s="499"/>
      <c r="F3381" s="500"/>
      <c r="G3381" s="501"/>
      <c r="H3381" s="502"/>
      <c r="I3381" s="503">
        <f t="shared" si="56"/>
        <v>49015.559999999954</v>
      </c>
    </row>
    <row r="3382" spans="2:9">
      <c r="B3382" s="496"/>
      <c r="C3382" s="497"/>
      <c r="D3382" s="498"/>
      <c r="E3382" s="499"/>
      <c r="F3382" s="500"/>
      <c r="G3382" s="501"/>
      <c r="H3382" s="502"/>
      <c r="I3382" s="503">
        <f t="shared" si="56"/>
        <v>49015.559999999954</v>
      </c>
    </row>
    <row r="3383" spans="2:9">
      <c r="B3383" s="496"/>
      <c r="C3383" s="497"/>
      <c r="D3383" s="498"/>
      <c r="E3383" s="499"/>
      <c r="F3383" s="500"/>
      <c r="G3383" s="501"/>
      <c r="H3383" s="502"/>
      <c r="I3383" s="503">
        <f t="shared" si="56"/>
        <v>49015.559999999954</v>
      </c>
    </row>
    <row r="3384" spans="2:9">
      <c r="B3384" s="496"/>
      <c r="C3384" s="497"/>
      <c r="D3384" s="498"/>
      <c r="E3384" s="499"/>
      <c r="F3384" s="500"/>
      <c r="G3384" s="501"/>
      <c r="H3384" s="502"/>
      <c r="I3384" s="503">
        <f t="shared" si="56"/>
        <v>49015.559999999954</v>
      </c>
    </row>
    <row r="3385" spans="2:9">
      <c r="B3385" s="496"/>
      <c r="C3385" s="497"/>
      <c r="D3385" s="498"/>
      <c r="E3385" s="499"/>
      <c r="F3385" s="500"/>
      <c r="G3385" s="501"/>
      <c r="H3385" s="502"/>
      <c r="I3385" s="503">
        <f t="shared" si="56"/>
        <v>49015.559999999954</v>
      </c>
    </row>
    <row r="3386" spans="2:9">
      <c r="B3386" s="496"/>
      <c r="C3386" s="497"/>
      <c r="D3386" s="498"/>
      <c r="E3386" s="499"/>
      <c r="F3386" s="500"/>
      <c r="G3386" s="501"/>
      <c r="H3386" s="502"/>
      <c r="I3386" s="503">
        <f t="shared" si="56"/>
        <v>49015.559999999954</v>
      </c>
    </row>
    <row r="3387" spans="2:9">
      <c r="B3387" s="496"/>
      <c r="C3387" s="497"/>
      <c r="D3387" s="498"/>
      <c r="E3387" s="499"/>
      <c r="F3387" s="500"/>
      <c r="G3387" s="501"/>
      <c r="H3387" s="502"/>
      <c r="I3387" s="503">
        <f t="shared" si="56"/>
        <v>49015.559999999954</v>
      </c>
    </row>
    <row r="3388" spans="2:9">
      <c r="B3388" s="496"/>
      <c r="C3388" s="497"/>
      <c r="D3388" s="498"/>
      <c r="E3388" s="499"/>
      <c r="F3388" s="500"/>
      <c r="G3388" s="501"/>
      <c r="H3388" s="502"/>
      <c r="I3388" s="503">
        <f t="shared" si="56"/>
        <v>49015.559999999954</v>
      </c>
    </row>
    <row r="3389" spans="2:9">
      <c r="B3389" s="496"/>
      <c r="C3389" s="497"/>
      <c r="D3389" s="498"/>
      <c r="E3389" s="499"/>
      <c r="F3389" s="500"/>
      <c r="G3389" s="501"/>
      <c r="H3389" s="502"/>
      <c r="I3389" s="503">
        <f t="shared" si="56"/>
        <v>49015.559999999954</v>
      </c>
    </row>
    <row r="3390" spans="2:9">
      <c r="B3390" s="496"/>
      <c r="C3390" s="497"/>
      <c r="D3390" s="498"/>
      <c r="E3390" s="499"/>
      <c r="F3390" s="500"/>
      <c r="G3390" s="501"/>
      <c r="H3390" s="502"/>
      <c r="I3390" s="503">
        <f t="shared" si="56"/>
        <v>49015.559999999954</v>
      </c>
    </row>
    <row r="3391" spans="2:9">
      <c r="B3391" s="496"/>
      <c r="C3391" s="497"/>
      <c r="D3391" s="498"/>
      <c r="E3391" s="499"/>
      <c r="F3391" s="500"/>
      <c r="G3391" s="501"/>
      <c r="H3391" s="502"/>
      <c r="I3391" s="503">
        <f t="shared" si="56"/>
        <v>49015.559999999954</v>
      </c>
    </row>
    <row r="3392" spans="2:9">
      <c r="B3392" s="496"/>
      <c r="C3392" s="497"/>
      <c r="D3392" s="498"/>
      <c r="E3392" s="499"/>
      <c r="F3392" s="500"/>
      <c r="G3392" s="501"/>
      <c r="H3392" s="502"/>
      <c r="I3392" s="503">
        <f t="shared" si="56"/>
        <v>49015.559999999954</v>
      </c>
    </row>
    <row r="3393" spans="2:9">
      <c r="B3393" s="496"/>
      <c r="C3393" s="497"/>
      <c r="D3393" s="498"/>
      <c r="E3393" s="499"/>
      <c r="F3393" s="500"/>
      <c r="G3393" s="501"/>
      <c r="H3393" s="502"/>
      <c r="I3393" s="503">
        <f t="shared" si="56"/>
        <v>49015.559999999954</v>
      </c>
    </row>
    <row r="3394" spans="2:9">
      <c r="B3394" s="496"/>
      <c r="C3394" s="497"/>
      <c r="D3394" s="498"/>
      <c r="E3394" s="499"/>
      <c r="F3394" s="500"/>
      <c r="G3394" s="501"/>
      <c r="H3394" s="502"/>
      <c r="I3394" s="503">
        <f t="shared" si="56"/>
        <v>49015.559999999954</v>
      </c>
    </row>
    <row r="3395" spans="2:9">
      <c r="B3395" s="496"/>
      <c r="C3395" s="497"/>
      <c r="D3395" s="498"/>
      <c r="E3395" s="499"/>
      <c r="F3395" s="500"/>
      <c r="G3395" s="501"/>
      <c r="H3395" s="502"/>
      <c r="I3395" s="503">
        <f t="shared" si="56"/>
        <v>49015.559999999954</v>
      </c>
    </row>
    <row r="3396" spans="2:9">
      <c r="B3396" s="496"/>
      <c r="C3396" s="497"/>
      <c r="D3396" s="498"/>
      <c r="E3396" s="499"/>
      <c r="F3396" s="500"/>
      <c r="G3396" s="501"/>
      <c r="H3396" s="502"/>
      <c r="I3396" s="503">
        <f t="shared" si="56"/>
        <v>49015.559999999954</v>
      </c>
    </row>
    <row r="3397" spans="2:9">
      <c r="B3397" s="496"/>
      <c r="C3397" s="497"/>
      <c r="D3397" s="498"/>
      <c r="E3397" s="499"/>
      <c r="F3397" s="500"/>
      <c r="G3397" s="501"/>
      <c r="H3397" s="502"/>
      <c r="I3397" s="503">
        <f t="shared" si="56"/>
        <v>49015.559999999954</v>
      </c>
    </row>
    <row r="3398" spans="2:9">
      <c r="B3398" s="496"/>
      <c r="C3398" s="497"/>
      <c r="D3398" s="498"/>
      <c r="E3398" s="499"/>
      <c r="F3398" s="500"/>
      <c r="G3398" s="501"/>
      <c r="H3398" s="502"/>
      <c r="I3398" s="503">
        <f t="shared" si="56"/>
        <v>49015.559999999954</v>
      </c>
    </row>
    <row r="3399" spans="2:9">
      <c r="B3399" s="496"/>
      <c r="C3399" s="497"/>
      <c r="D3399" s="498"/>
      <c r="E3399" s="499"/>
      <c r="F3399" s="500"/>
      <c r="G3399" s="501"/>
      <c r="H3399" s="502"/>
      <c r="I3399" s="503">
        <f t="shared" si="56"/>
        <v>49015.559999999954</v>
      </c>
    </row>
    <row r="3400" spans="2:9">
      <c r="B3400" s="496"/>
      <c r="C3400" s="497"/>
      <c r="D3400" s="498"/>
      <c r="E3400" s="499"/>
      <c r="F3400" s="500"/>
      <c r="G3400" s="501"/>
      <c r="H3400" s="502"/>
      <c r="I3400" s="503">
        <f t="shared" si="56"/>
        <v>49015.559999999954</v>
      </c>
    </row>
    <row r="3401" spans="2:9">
      <c r="B3401" s="496"/>
      <c r="C3401" s="497"/>
      <c r="D3401" s="498"/>
      <c r="E3401" s="499"/>
      <c r="F3401" s="500"/>
      <c r="G3401" s="501"/>
      <c r="H3401" s="502"/>
      <c r="I3401" s="503">
        <f t="shared" si="56"/>
        <v>49015.559999999954</v>
      </c>
    </row>
    <row r="3402" spans="2:9">
      <c r="B3402" s="496"/>
      <c r="C3402" s="497"/>
      <c r="D3402" s="498"/>
      <c r="E3402" s="499"/>
      <c r="F3402" s="500"/>
      <c r="G3402" s="501"/>
      <c r="H3402" s="502"/>
      <c r="I3402" s="503">
        <f t="shared" si="56"/>
        <v>49015.559999999954</v>
      </c>
    </row>
    <row r="3403" spans="2:9">
      <c r="B3403" s="496"/>
      <c r="C3403" s="497"/>
      <c r="D3403" s="498"/>
      <c r="E3403" s="499"/>
      <c r="F3403" s="500"/>
      <c r="G3403" s="501"/>
      <c r="H3403" s="502"/>
      <c r="I3403" s="503">
        <f t="shared" si="56"/>
        <v>49015.559999999954</v>
      </c>
    </row>
    <row r="3404" spans="2:9">
      <c r="B3404" s="496"/>
      <c r="C3404" s="497"/>
      <c r="D3404" s="498"/>
      <c r="E3404" s="499"/>
      <c r="F3404" s="500"/>
      <c r="G3404" s="501"/>
      <c r="H3404" s="502"/>
      <c r="I3404" s="503">
        <f t="shared" si="56"/>
        <v>49015.559999999954</v>
      </c>
    </row>
    <row r="3405" spans="2:9">
      <c r="B3405" s="496"/>
      <c r="C3405" s="497"/>
      <c r="D3405" s="498"/>
      <c r="E3405" s="499"/>
      <c r="F3405" s="500"/>
      <c r="G3405" s="501"/>
      <c r="H3405" s="502"/>
      <c r="I3405" s="503">
        <f t="shared" si="56"/>
        <v>49015.559999999954</v>
      </c>
    </row>
    <row r="3406" spans="2:9">
      <c r="B3406" s="496"/>
      <c r="C3406" s="497"/>
      <c r="D3406" s="498"/>
      <c r="E3406" s="499"/>
      <c r="F3406" s="500"/>
      <c r="G3406" s="501"/>
      <c r="H3406" s="502"/>
      <c r="I3406" s="503">
        <f t="shared" si="56"/>
        <v>49015.559999999954</v>
      </c>
    </row>
    <row r="3407" spans="2:9">
      <c r="B3407" s="496"/>
      <c r="C3407" s="497"/>
      <c r="D3407" s="498"/>
      <c r="E3407" s="499"/>
      <c r="F3407" s="500"/>
      <c r="G3407" s="501"/>
      <c r="H3407" s="502"/>
      <c r="I3407" s="503">
        <f t="shared" si="56"/>
        <v>49015.559999999954</v>
      </c>
    </row>
    <row r="3408" spans="2:9">
      <c r="B3408" s="496"/>
      <c r="C3408" s="497"/>
      <c r="D3408" s="498"/>
      <c r="E3408" s="499"/>
      <c r="F3408" s="500"/>
      <c r="G3408" s="501"/>
      <c r="H3408" s="502"/>
      <c r="I3408" s="503">
        <f t="shared" si="56"/>
        <v>49015.559999999954</v>
      </c>
    </row>
    <row r="3409" spans="2:9">
      <c r="B3409" s="496"/>
      <c r="C3409" s="497"/>
      <c r="D3409" s="498"/>
      <c r="E3409" s="499"/>
      <c r="F3409" s="500"/>
      <c r="G3409" s="501"/>
      <c r="H3409" s="502"/>
      <c r="I3409" s="503">
        <f t="shared" si="56"/>
        <v>49015.559999999954</v>
      </c>
    </row>
    <row r="3410" spans="2:9">
      <c r="B3410" s="496"/>
      <c r="C3410" s="497"/>
      <c r="D3410" s="498"/>
      <c r="E3410" s="499"/>
      <c r="F3410" s="500"/>
      <c r="G3410" s="501"/>
      <c r="H3410" s="502"/>
      <c r="I3410" s="503">
        <f t="shared" si="56"/>
        <v>49015.559999999954</v>
      </c>
    </row>
    <row r="3411" spans="2:9">
      <c r="B3411" s="496"/>
      <c r="C3411" s="497"/>
      <c r="D3411" s="498"/>
      <c r="E3411" s="499"/>
      <c r="F3411" s="500"/>
      <c r="G3411" s="501"/>
      <c r="H3411" s="502"/>
      <c r="I3411" s="503">
        <f t="shared" si="56"/>
        <v>49015.559999999954</v>
      </c>
    </row>
    <row r="3412" spans="2:9">
      <c r="B3412" s="496"/>
      <c r="C3412" s="497"/>
      <c r="D3412" s="498"/>
      <c r="E3412" s="499"/>
      <c r="F3412" s="500"/>
      <c r="G3412" s="501"/>
      <c r="H3412" s="502"/>
      <c r="I3412" s="503">
        <f t="shared" si="56"/>
        <v>49015.559999999954</v>
      </c>
    </row>
    <row r="3413" spans="2:9">
      <c r="B3413" s="496"/>
      <c r="C3413" s="497"/>
      <c r="D3413" s="498"/>
      <c r="E3413" s="499"/>
      <c r="F3413" s="500"/>
      <c r="G3413" s="501"/>
      <c r="H3413" s="502"/>
      <c r="I3413" s="503">
        <f t="shared" si="56"/>
        <v>49015.559999999954</v>
      </c>
    </row>
    <row r="3414" spans="2:9">
      <c r="B3414" s="496"/>
      <c r="C3414" s="497"/>
      <c r="D3414" s="498"/>
      <c r="E3414" s="499"/>
      <c r="F3414" s="500"/>
      <c r="G3414" s="501"/>
      <c r="H3414" s="502"/>
      <c r="I3414" s="503">
        <f t="shared" si="56"/>
        <v>49015.559999999954</v>
      </c>
    </row>
    <row r="3415" spans="2:9">
      <c r="B3415" s="496"/>
      <c r="C3415" s="497"/>
      <c r="D3415" s="498"/>
      <c r="E3415" s="499"/>
      <c r="F3415" s="500"/>
      <c r="G3415" s="501"/>
      <c r="H3415" s="502"/>
      <c r="I3415" s="503">
        <f t="shared" si="56"/>
        <v>49015.559999999954</v>
      </c>
    </row>
    <row r="3416" spans="2:9">
      <c r="B3416" s="496"/>
      <c r="C3416" s="497"/>
      <c r="D3416" s="498"/>
      <c r="E3416" s="499"/>
      <c r="F3416" s="500"/>
      <c r="G3416" s="501"/>
      <c r="H3416" s="502"/>
      <c r="I3416" s="503">
        <f t="shared" si="56"/>
        <v>49015.559999999954</v>
      </c>
    </row>
    <row r="3417" spans="2:9">
      <c r="B3417" s="496"/>
      <c r="C3417" s="497"/>
      <c r="D3417" s="498"/>
      <c r="E3417" s="499"/>
      <c r="F3417" s="500"/>
      <c r="G3417" s="501"/>
      <c r="H3417" s="502"/>
      <c r="I3417" s="503">
        <f t="shared" ref="I3417:I3478" si="57">I3416+E3418-F3419</f>
        <v>49015.559999999954</v>
      </c>
    </row>
    <row r="3418" spans="2:9">
      <c r="B3418" s="496"/>
      <c r="C3418" s="497"/>
      <c r="D3418" s="498"/>
      <c r="E3418" s="499"/>
      <c r="F3418" s="500"/>
      <c r="G3418" s="501"/>
      <c r="H3418" s="502"/>
      <c r="I3418" s="503">
        <f t="shared" si="57"/>
        <v>49015.559999999954</v>
      </c>
    </row>
    <row r="3419" spans="2:9">
      <c r="B3419" s="496"/>
      <c r="C3419" s="497"/>
      <c r="D3419" s="498"/>
      <c r="E3419" s="499"/>
      <c r="F3419" s="500"/>
      <c r="G3419" s="501"/>
      <c r="H3419" s="502"/>
      <c r="I3419" s="503">
        <f t="shared" si="57"/>
        <v>49015.559999999954</v>
      </c>
    </row>
    <row r="3420" spans="2:9">
      <c r="B3420" s="496"/>
      <c r="C3420" s="497"/>
      <c r="D3420" s="498"/>
      <c r="E3420" s="499"/>
      <c r="F3420" s="500"/>
      <c r="G3420" s="501"/>
      <c r="H3420" s="502"/>
      <c r="I3420" s="503">
        <f t="shared" si="57"/>
        <v>49015.559999999954</v>
      </c>
    </row>
    <row r="3421" spans="2:9">
      <c r="B3421" s="496"/>
      <c r="C3421" s="497"/>
      <c r="D3421" s="498"/>
      <c r="E3421" s="499"/>
      <c r="F3421" s="500"/>
      <c r="G3421" s="501"/>
      <c r="H3421" s="502"/>
      <c r="I3421" s="503">
        <f t="shared" si="57"/>
        <v>49015.559999999954</v>
      </c>
    </row>
    <row r="3422" spans="2:9">
      <c r="B3422" s="496"/>
      <c r="C3422" s="497"/>
      <c r="D3422" s="498"/>
      <c r="E3422" s="499"/>
      <c r="F3422" s="500"/>
      <c r="G3422" s="501"/>
      <c r="H3422" s="502"/>
      <c r="I3422" s="503">
        <f t="shared" si="57"/>
        <v>49015.559999999954</v>
      </c>
    </row>
    <row r="3423" spans="2:9">
      <c r="B3423" s="496"/>
      <c r="C3423" s="497"/>
      <c r="D3423" s="498"/>
      <c r="E3423" s="499"/>
      <c r="F3423" s="500"/>
      <c r="G3423" s="501"/>
      <c r="H3423" s="502"/>
      <c r="I3423" s="503">
        <f t="shared" si="57"/>
        <v>49015.559999999954</v>
      </c>
    </row>
    <row r="3424" spans="2:9">
      <c r="B3424" s="496"/>
      <c r="C3424" s="497"/>
      <c r="D3424" s="498"/>
      <c r="E3424" s="499"/>
      <c r="F3424" s="500"/>
      <c r="G3424" s="501"/>
      <c r="H3424" s="502"/>
      <c r="I3424" s="503">
        <f t="shared" si="57"/>
        <v>49015.559999999954</v>
      </c>
    </row>
    <row r="3425" spans="2:9">
      <c r="B3425" s="496"/>
      <c r="C3425" s="497"/>
      <c r="D3425" s="498"/>
      <c r="E3425" s="499"/>
      <c r="F3425" s="500"/>
      <c r="G3425" s="501"/>
      <c r="H3425" s="502"/>
      <c r="I3425" s="503">
        <f t="shared" si="57"/>
        <v>49015.559999999954</v>
      </c>
    </row>
    <row r="3426" spans="2:9">
      <c r="B3426" s="496"/>
      <c r="C3426" s="497"/>
      <c r="D3426" s="498"/>
      <c r="E3426" s="499"/>
      <c r="F3426" s="500"/>
      <c r="G3426" s="501"/>
      <c r="H3426" s="502"/>
      <c r="I3426" s="503">
        <f t="shared" si="57"/>
        <v>49015.559999999954</v>
      </c>
    </row>
    <row r="3427" spans="2:9">
      <c r="B3427" s="496"/>
      <c r="C3427" s="497"/>
      <c r="D3427" s="498"/>
      <c r="E3427" s="499"/>
      <c r="F3427" s="500"/>
      <c r="G3427" s="501"/>
      <c r="H3427" s="502"/>
      <c r="I3427" s="503">
        <f t="shared" si="57"/>
        <v>49015.559999999954</v>
      </c>
    </row>
    <row r="3428" spans="2:9">
      <c r="B3428" s="496"/>
      <c r="C3428" s="497"/>
      <c r="D3428" s="498"/>
      <c r="E3428" s="499"/>
      <c r="F3428" s="500"/>
      <c r="G3428" s="501"/>
      <c r="H3428" s="502"/>
      <c r="I3428" s="503">
        <f t="shared" si="57"/>
        <v>49015.559999999954</v>
      </c>
    </row>
    <row r="3429" spans="2:9">
      <c r="B3429" s="496"/>
      <c r="C3429" s="497"/>
      <c r="D3429" s="498"/>
      <c r="E3429" s="499"/>
      <c r="F3429" s="500"/>
      <c r="G3429" s="501"/>
      <c r="H3429" s="502"/>
      <c r="I3429" s="503">
        <f t="shared" si="57"/>
        <v>49015.559999999954</v>
      </c>
    </row>
    <row r="3430" spans="2:9">
      <c r="B3430" s="496"/>
      <c r="C3430" s="497"/>
      <c r="D3430" s="498"/>
      <c r="E3430" s="499"/>
      <c r="F3430" s="500"/>
      <c r="G3430" s="501"/>
      <c r="H3430" s="502"/>
      <c r="I3430" s="503">
        <f t="shared" si="57"/>
        <v>49015.559999999954</v>
      </c>
    </row>
    <row r="3431" spans="2:9">
      <c r="B3431" s="496"/>
      <c r="C3431" s="497"/>
      <c r="D3431" s="498"/>
      <c r="E3431" s="499"/>
      <c r="F3431" s="500"/>
      <c r="G3431" s="501"/>
      <c r="H3431" s="502"/>
      <c r="I3431" s="503">
        <f t="shared" si="57"/>
        <v>49015.559999999954</v>
      </c>
    </row>
    <row r="3432" spans="2:9">
      <c r="B3432" s="496"/>
      <c r="C3432" s="497"/>
      <c r="D3432" s="498"/>
      <c r="E3432" s="499"/>
      <c r="F3432" s="500"/>
      <c r="G3432" s="501"/>
      <c r="H3432" s="502"/>
      <c r="I3432" s="503">
        <f t="shared" si="57"/>
        <v>49015.559999999954</v>
      </c>
    </row>
    <row r="3433" spans="2:9">
      <c r="B3433" s="496"/>
      <c r="C3433" s="497"/>
      <c r="D3433" s="498"/>
      <c r="E3433" s="499"/>
      <c r="F3433" s="500"/>
      <c r="G3433" s="501"/>
      <c r="H3433" s="502"/>
      <c r="I3433" s="503">
        <f t="shared" si="57"/>
        <v>49015.559999999954</v>
      </c>
    </row>
    <row r="3434" spans="2:9">
      <c r="B3434" s="496"/>
      <c r="C3434" s="497"/>
      <c r="D3434" s="498"/>
      <c r="E3434" s="499"/>
      <c r="F3434" s="500"/>
      <c r="G3434" s="501"/>
      <c r="H3434" s="502"/>
      <c r="I3434" s="503">
        <f t="shared" si="57"/>
        <v>49015.559999999954</v>
      </c>
    </row>
    <row r="3435" spans="2:9">
      <c r="B3435" s="496"/>
      <c r="C3435" s="497"/>
      <c r="D3435" s="498"/>
      <c r="E3435" s="499"/>
      <c r="F3435" s="500"/>
      <c r="G3435" s="501"/>
      <c r="H3435" s="502"/>
      <c r="I3435" s="503">
        <f t="shared" si="57"/>
        <v>49015.559999999954</v>
      </c>
    </row>
    <row r="3436" spans="2:9">
      <c r="B3436" s="496"/>
      <c r="C3436" s="497"/>
      <c r="D3436" s="498"/>
      <c r="E3436" s="499"/>
      <c r="F3436" s="500"/>
      <c r="G3436" s="501"/>
      <c r="H3436" s="502"/>
      <c r="I3436" s="503">
        <f t="shared" si="57"/>
        <v>49015.559999999954</v>
      </c>
    </row>
    <row r="3437" spans="2:9">
      <c r="B3437" s="496"/>
      <c r="C3437" s="497"/>
      <c r="D3437" s="498"/>
      <c r="E3437" s="499"/>
      <c r="F3437" s="500"/>
      <c r="G3437" s="501"/>
      <c r="H3437" s="502"/>
      <c r="I3437" s="503">
        <f t="shared" si="57"/>
        <v>49015.559999999954</v>
      </c>
    </row>
    <row r="3438" spans="2:9">
      <c r="B3438" s="496"/>
      <c r="C3438" s="497"/>
      <c r="D3438" s="498"/>
      <c r="E3438" s="499"/>
      <c r="F3438" s="500"/>
      <c r="G3438" s="501"/>
      <c r="H3438" s="502"/>
      <c r="I3438" s="503">
        <f t="shared" si="57"/>
        <v>49015.559999999954</v>
      </c>
    </row>
    <row r="3439" spans="2:9">
      <c r="B3439" s="496"/>
      <c r="C3439" s="497"/>
      <c r="D3439" s="498"/>
      <c r="E3439" s="499"/>
      <c r="F3439" s="500"/>
      <c r="G3439" s="501"/>
      <c r="H3439" s="502"/>
      <c r="I3439" s="503">
        <f t="shared" si="57"/>
        <v>49015.559999999954</v>
      </c>
    </row>
    <row r="3440" spans="2:9">
      <c r="B3440" s="496"/>
      <c r="C3440" s="497"/>
      <c r="D3440" s="498"/>
      <c r="E3440" s="499"/>
      <c r="F3440" s="500"/>
      <c r="G3440" s="501"/>
      <c r="H3440" s="502"/>
      <c r="I3440" s="503">
        <f t="shared" si="57"/>
        <v>49015.559999999954</v>
      </c>
    </row>
    <row r="3441" spans="2:9">
      <c r="B3441" s="496"/>
      <c r="C3441" s="497"/>
      <c r="D3441" s="498"/>
      <c r="E3441" s="499"/>
      <c r="F3441" s="500"/>
      <c r="G3441" s="501"/>
      <c r="H3441" s="502"/>
      <c r="I3441" s="503">
        <f t="shared" si="57"/>
        <v>49015.559999999954</v>
      </c>
    </row>
    <row r="3442" spans="2:9">
      <c r="B3442" s="496"/>
      <c r="C3442" s="497"/>
      <c r="D3442" s="498"/>
      <c r="E3442" s="499"/>
      <c r="F3442" s="500"/>
      <c r="G3442" s="501"/>
      <c r="H3442" s="502"/>
      <c r="I3442" s="503">
        <f t="shared" si="57"/>
        <v>49015.559999999954</v>
      </c>
    </row>
    <row r="3443" spans="2:9">
      <c r="B3443" s="496"/>
      <c r="C3443" s="497"/>
      <c r="D3443" s="498"/>
      <c r="E3443" s="499"/>
      <c r="F3443" s="500"/>
      <c r="G3443" s="501"/>
      <c r="H3443" s="502"/>
      <c r="I3443" s="503">
        <f t="shared" si="57"/>
        <v>49015.559999999954</v>
      </c>
    </row>
    <row r="3444" spans="2:9">
      <c r="B3444" s="496"/>
      <c r="C3444" s="497"/>
      <c r="D3444" s="498"/>
      <c r="E3444" s="499"/>
      <c r="F3444" s="500"/>
      <c r="G3444" s="501"/>
      <c r="H3444" s="502"/>
      <c r="I3444" s="503">
        <f t="shared" si="57"/>
        <v>49015.559999999954</v>
      </c>
    </row>
    <row r="3445" spans="2:9">
      <c r="B3445" s="496"/>
      <c r="C3445" s="497"/>
      <c r="D3445" s="498"/>
      <c r="E3445" s="499"/>
      <c r="F3445" s="500"/>
      <c r="G3445" s="501"/>
      <c r="H3445" s="502"/>
      <c r="I3445" s="503">
        <f t="shared" si="57"/>
        <v>49015.559999999954</v>
      </c>
    </row>
    <row r="3446" spans="2:9">
      <c r="B3446" s="496"/>
      <c r="C3446" s="497"/>
      <c r="D3446" s="498"/>
      <c r="E3446" s="499"/>
      <c r="F3446" s="500"/>
      <c r="G3446" s="501"/>
      <c r="H3446" s="502"/>
      <c r="I3446" s="503">
        <f t="shared" si="57"/>
        <v>49015.559999999954</v>
      </c>
    </row>
    <row r="3447" spans="2:9">
      <c r="B3447" s="496"/>
      <c r="C3447" s="497"/>
      <c r="D3447" s="498"/>
      <c r="E3447" s="499"/>
      <c r="F3447" s="500"/>
      <c r="G3447" s="501"/>
      <c r="H3447" s="502"/>
      <c r="I3447" s="503">
        <f t="shared" si="57"/>
        <v>49015.559999999954</v>
      </c>
    </row>
    <row r="3448" spans="2:9">
      <c r="B3448" s="496"/>
      <c r="C3448" s="497"/>
      <c r="D3448" s="498"/>
      <c r="E3448" s="499"/>
      <c r="F3448" s="500"/>
      <c r="G3448" s="501"/>
      <c r="H3448" s="502"/>
      <c r="I3448" s="503">
        <f t="shared" si="57"/>
        <v>49015.559999999954</v>
      </c>
    </row>
    <row r="3449" spans="2:9">
      <c r="B3449" s="496"/>
      <c r="C3449" s="497"/>
      <c r="D3449" s="498"/>
      <c r="E3449" s="499"/>
      <c r="F3449" s="500"/>
      <c r="G3449" s="501"/>
      <c r="H3449" s="502"/>
      <c r="I3449" s="503">
        <f t="shared" si="57"/>
        <v>49015.559999999954</v>
      </c>
    </row>
    <row r="3450" spans="2:9">
      <c r="B3450" s="496"/>
      <c r="C3450" s="497"/>
      <c r="D3450" s="498"/>
      <c r="E3450" s="499"/>
      <c r="F3450" s="500"/>
      <c r="G3450" s="501"/>
      <c r="H3450" s="502"/>
      <c r="I3450" s="503">
        <f t="shared" si="57"/>
        <v>49015.559999999954</v>
      </c>
    </row>
    <row r="3451" spans="2:9">
      <c r="B3451" s="496"/>
      <c r="C3451" s="497"/>
      <c r="D3451" s="498"/>
      <c r="E3451" s="499"/>
      <c r="F3451" s="500"/>
      <c r="G3451" s="501"/>
      <c r="H3451" s="502"/>
      <c r="I3451" s="503">
        <f t="shared" si="57"/>
        <v>49015.559999999954</v>
      </c>
    </row>
    <row r="3452" spans="2:9">
      <c r="B3452" s="496"/>
      <c r="C3452" s="497"/>
      <c r="D3452" s="498"/>
      <c r="E3452" s="499"/>
      <c r="F3452" s="500"/>
      <c r="G3452" s="501"/>
      <c r="H3452" s="502"/>
      <c r="I3452" s="503">
        <f t="shared" si="57"/>
        <v>49015.559999999954</v>
      </c>
    </row>
    <row r="3453" spans="2:9">
      <c r="B3453" s="496"/>
      <c r="C3453" s="497"/>
      <c r="D3453" s="498"/>
      <c r="E3453" s="499"/>
      <c r="F3453" s="500"/>
      <c r="G3453" s="501"/>
      <c r="H3453" s="502"/>
      <c r="I3453" s="503">
        <f t="shared" si="57"/>
        <v>49015.559999999954</v>
      </c>
    </row>
    <row r="3454" spans="2:9">
      <c r="B3454" s="496"/>
      <c r="C3454" s="497"/>
      <c r="D3454" s="498"/>
      <c r="E3454" s="499"/>
      <c r="F3454" s="500"/>
      <c r="G3454" s="501"/>
      <c r="H3454" s="502"/>
      <c r="I3454" s="503">
        <f t="shared" si="57"/>
        <v>49015.559999999954</v>
      </c>
    </row>
    <row r="3455" spans="2:9">
      <c r="B3455" s="496"/>
      <c r="C3455" s="497"/>
      <c r="D3455" s="498"/>
      <c r="E3455" s="499"/>
      <c r="F3455" s="500"/>
      <c r="G3455" s="501"/>
      <c r="H3455" s="502"/>
      <c r="I3455" s="503">
        <f t="shared" si="57"/>
        <v>49015.559999999954</v>
      </c>
    </row>
    <row r="3456" spans="2:9">
      <c r="B3456" s="496"/>
      <c r="C3456" s="497"/>
      <c r="D3456" s="498"/>
      <c r="E3456" s="499"/>
      <c r="F3456" s="500"/>
      <c r="G3456" s="501"/>
      <c r="H3456" s="502"/>
      <c r="I3456" s="503">
        <f t="shared" si="57"/>
        <v>49015.559999999954</v>
      </c>
    </row>
    <row r="3457" spans="2:9">
      <c r="B3457" s="496"/>
      <c r="C3457" s="497"/>
      <c r="D3457" s="498"/>
      <c r="E3457" s="499"/>
      <c r="F3457" s="500"/>
      <c r="G3457" s="501"/>
      <c r="H3457" s="502"/>
      <c r="I3457" s="503">
        <f t="shared" si="57"/>
        <v>49015.559999999954</v>
      </c>
    </row>
    <row r="3458" spans="2:9">
      <c r="B3458" s="496"/>
      <c r="C3458" s="497"/>
      <c r="D3458" s="498"/>
      <c r="E3458" s="499"/>
      <c r="F3458" s="500"/>
      <c r="G3458" s="501"/>
      <c r="H3458" s="502"/>
      <c r="I3458" s="503">
        <f t="shared" si="57"/>
        <v>49015.559999999954</v>
      </c>
    </row>
    <row r="3459" spans="2:9">
      <c r="B3459" s="496"/>
      <c r="C3459" s="497"/>
      <c r="D3459" s="498"/>
      <c r="E3459" s="499"/>
      <c r="F3459" s="500"/>
      <c r="G3459" s="501"/>
      <c r="H3459" s="502"/>
      <c r="I3459" s="503">
        <f t="shared" si="57"/>
        <v>49015.559999999954</v>
      </c>
    </row>
    <row r="3460" spans="2:9">
      <c r="B3460" s="496"/>
      <c r="C3460" s="497"/>
      <c r="D3460" s="498"/>
      <c r="E3460" s="499"/>
      <c r="F3460" s="500"/>
      <c r="G3460" s="501"/>
      <c r="H3460" s="502"/>
      <c r="I3460" s="503">
        <f t="shared" si="57"/>
        <v>49015.559999999954</v>
      </c>
    </row>
    <row r="3461" spans="2:9">
      <c r="B3461" s="496"/>
      <c r="C3461" s="497"/>
      <c r="D3461" s="498"/>
      <c r="E3461" s="499"/>
      <c r="F3461" s="500"/>
      <c r="G3461" s="501"/>
      <c r="H3461" s="502"/>
      <c r="I3461" s="503">
        <f t="shared" si="57"/>
        <v>49015.559999999954</v>
      </c>
    </row>
    <row r="3462" spans="2:9">
      <c r="B3462" s="496"/>
      <c r="C3462" s="497"/>
      <c r="D3462" s="498"/>
      <c r="E3462" s="499"/>
      <c r="F3462" s="500"/>
      <c r="G3462" s="501"/>
      <c r="H3462" s="502"/>
      <c r="I3462" s="503">
        <f t="shared" si="57"/>
        <v>49015.559999999954</v>
      </c>
    </row>
    <row r="3463" spans="2:9">
      <c r="B3463" s="496"/>
      <c r="C3463" s="497"/>
      <c r="D3463" s="498"/>
      <c r="E3463" s="499"/>
      <c r="F3463" s="500"/>
      <c r="G3463" s="501"/>
      <c r="H3463" s="502"/>
      <c r="I3463" s="503">
        <f t="shared" si="57"/>
        <v>49015.559999999954</v>
      </c>
    </row>
    <row r="3464" spans="2:9">
      <c r="B3464" s="496"/>
      <c r="C3464" s="497"/>
      <c r="D3464" s="498"/>
      <c r="E3464" s="499"/>
      <c r="F3464" s="500"/>
      <c r="G3464" s="501"/>
      <c r="H3464" s="502"/>
      <c r="I3464" s="503">
        <f t="shared" si="57"/>
        <v>49015.559999999954</v>
      </c>
    </row>
    <row r="3465" spans="2:9">
      <c r="B3465" s="496"/>
      <c r="C3465" s="497"/>
      <c r="D3465" s="498"/>
      <c r="E3465" s="499"/>
      <c r="F3465" s="500"/>
      <c r="G3465" s="501"/>
      <c r="H3465" s="502"/>
      <c r="I3465" s="503">
        <f t="shared" si="57"/>
        <v>49015.559999999954</v>
      </c>
    </row>
    <row r="3466" spans="2:9">
      <c r="B3466" s="496"/>
      <c r="C3466" s="497"/>
      <c r="D3466" s="498"/>
      <c r="E3466" s="499"/>
      <c r="F3466" s="500"/>
      <c r="G3466" s="501"/>
      <c r="H3466" s="502"/>
      <c r="I3466" s="503">
        <f t="shared" si="57"/>
        <v>49015.559999999954</v>
      </c>
    </row>
    <row r="3467" spans="2:9">
      <c r="B3467" s="496"/>
      <c r="C3467" s="497"/>
      <c r="D3467" s="498"/>
      <c r="E3467" s="499"/>
      <c r="F3467" s="500"/>
      <c r="G3467" s="501"/>
      <c r="H3467" s="502"/>
      <c r="I3467" s="503">
        <f t="shared" si="57"/>
        <v>49015.559999999954</v>
      </c>
    </row>
    <row r="3468" spans="2:9">
      <c r="B3468" s="496"/>
      <c r="C3468" s="497"/>
      <c r="D3468" s="498"/>
      <c r="E3468" s="499"/>
      <c r="F3468" s="500"/>
      <c r="G3468" s="501"/>
      <c r="H3468" s="502"/>
      <c r="I3468" s="503">
        <f t="shared" si="57"/>
        <v>49015.559999999954</v>
      </c>
    </row>
    <row r="3469" spans="2:9">
      <c r="B3469" s="496"/>
      <c r="C3469" s="497"/>
      <c r="D3469" s="498"/>
      <c r="E3469" s="499"/>
      <c r="F3469" s="500"/>
      <c r="G3469" s="501"/>
      <c r="H3469" s="502"/>
      <c r="I3469" s="503">
        <f t="shared" si="57"/>
        <v>49015.559999999954</v>
      </c>
    </row>
    <row r="3470" spans="2:9">
      <c r="B3470" s="496"/>
      <c r="C3470" s="497"/>
      <c r="D3470" s="498"/>
      <c r="E3470" s="499"/>
      <c r="F3470" s="500"/>
      <c r="G3470" s="501"/>
      <c r="H3470" s="502"/>
      <c r="I3470" s="503">
        <f t="shared" si="57"/>
        <v>49015.559999999954</v>
      </c>
    </row>
    <row r="3471" spans="2:9">
      <c r="B3471" s="496"/>
      <c r="C3471" s="497"/>
      <c r="D3471" s="498"/>
      <c r="E3471" s="499"/>
      <c r="F3471" s="500"/>
      <c r="G3471" s="501"/>
      <c r="H3471" s="502"/>
      <c r="I3471" s="503">
        <f t="shared" si="57"/>
        <v>49015.559999999954</v>
      </c>
    </row>
    <row r="3472" spans="2:9">
      <c r="B3472" s="496"/>
      <c r="C3472" s="497"/>
      <c r="D3472" s="498"/>
      <c r="E3472" s="499"/>
      <c r="F3472" s="500"/>
      <c r="G3472" s="501"/>
      <c r="H3472" s="502"/>
      <c r="I3472" s="503">
        <f t="shared" si="57"/>
        <v>49015.559999999954</v>
      </c>
    </row>
    <row r="3473" spans="2:9">
      <c r="B3473" s="496"/>
      <c r="C3473" s="497"/>
      <c r="D3473" s="498"/>
      <c r="E3473" s="499"/>
      <c r="F3473" s="500"/>
      <c r="G3473" s="501"/>
      <c r="H3473" s="502"/>
      <c r="I3473" s="503">
        <f t="shared" si="57"/>
        <v>49015.559999999954</v>
      </c>
    </row>
    <row r="3474" spans="2:9">
      <c r="B3474" s="496"/>
      <c r="C3474" s="497"/>
      <c r="D3474" s="498"/>
      <c r="E3474" s="499"/>
      <c r="F3474" s="500"/>
      <c r="G3474" s="501"/>
      <c r="H3474" s="502"/>
      <c r="I3474" s="503">
        <f t="shared" si="57"/>
        <v>49015.559999999954</v>
      </c>
    </row>
    <row r="3475" spans="2:9">
      <c r="B3475" s="496"/>
      <c r="C3475" s="497"/>
      <c r="D3475" s="498"/>
      <c r="E3475" s="499"/>
      <c r="F3475" s="500"/>
      <c r="G3475" s="501"/>
      <c r="H3475" s="502"/>
      <c r="I3475" s="503">
        <f t="shared" si="57"/>
        <v>49015.559999999954</v>
      </c>
    </row>
    <row r="3476" spans="2:9">
      <c r="B3476" s="496"/>
      <c r="C3476" s="497"/>
      <c r="D3476" s="498"/>
      <c r="E3476" s="499"/>
      <c r="F3476" s="500"/>
      <c r="G3476" s="501"/>
      <c r="H3476" s="502"/>
      <c r="I3476" s="503">
        <f t="shared" si="57"/>
        <v>49015.559999999954</v>
      </c>
    </row>
    <row r="3477" spans="2:9">
      <c r="B3477" s="496"/>
      <c r="C3477" s="497"/>
      <c r="D3477" s="498"/>
      <c r="E3477" s="499"/>
      <c r="F3477" s="500"/>
      <c r="G3477" s="501"/>
      <c r="H3477" s="502"/>
      <c r="I3477" s="503">
        <f t="shared" si="57"/>
        <v>49015.559999999954</v>
      </c>
    </row>
    <row r="3478" spans="2:9">
      <c r="B3478" s="496"/>
      <c r="C3478" s="497"/>
      <c r="D3478" s="498"/>
      <c r="E3478" s="499"/>
      <c r="F3478" s="500"/>
      <c r="G3478" s="501"/>
      <c r="H3478" s="502"/>
      <c r="I3478" s="503">
        <f t="shared" si="57"/>
        <v>49015.559999999954</v>
      </c>
    </row>
    <row r="3479" spans="2:9">
      <c r="B3479" s="496"/>
      <c r="C3479" s="497"/>
      <c r="D3479" s="498"/>
      <c r="E3479" s="499"/>
      <c r="F3479" s="500"/>
    </row>
    <row r="3480" spans="2:9">
      <c r="B3480" s="474"/>
      <c r="C3480" s="167"/>
      <c r="D3480" s="168"/>
    </row>
    <row r="3481" spans="2:9">
      <c r="B3481" s="474"/>
      <c r="C3481" s="167"/>
      <c r="D3481" s="168"/>
    </row>
    <row r="3482" spans="2:9">
      <c r="B3482" s="474"/>
      <c r="C3482" s="167"/>
      <c r="D3482" s="168"/>
    </row>
    <row r="3483" spans="2:9">
      <c r="B3483" s="474"/>
      <c r="C3483" s="167"/>
      <c r="D3483" s="168"/>
    </row>
    <row r="3484" spans="2:9">
      <c r="B3484" s="474"/>
      <c r="C3484" s="167"/>
      <c r="D3484" s="168"/>
    </row>
    <row r="3485" spans="2:9">
      <c r="B3485" s="474"/>
      <c r="C3485" s="167"/>
      <c r="D3485" s="168"/>
    </row>
    <row r="3486" spans="2:9">
      <c r="B3486" s="474"/>
      <c r="C3486" s="167"/>
      <c r="D3486" s="168"/>
    </row>
    <row r="3487" spans="2:9">
      <c r="B3487" s="474"/>
      <c r="C3487" s="167"/>
      <c r="D3487" s="168"/>
    </row>
    <row r="3488" spans="2:9">
      <c r="B3488" s="474"/>
      <c r="C3488" s="167"/>
      <c r="D3488" s="168"/>
    </row>
    <row r="3489" spans="2:4">
      <c r="B3489" s="474"/>
      <c r="C3489" s="167"/>
      <c r="D3489" s="168"/>
    </row>
    <row r="3490" spans="2:4">
      <c r="B3490" s="474"/>
      <c r="C3490" s="167"/>
      <c r="D3490" s="168"/>
    </row>
    <row r="3491" spans="2:4">
      <c r="B3491" s="474"/>
      <c r="C3491" s="167"/>
      <c r="D3491" s="168"/>
    </row>
    <row r="3492" spans="2:4">
      <c r="B3492" s="474"/>
      <c r="C3492" s="167"/>
      <c r="D3492" s="168"/>
    </row>
    <row r="3493" spans="2:4">
      <c r="B3493" s="474"/>
      <c r="C3493" s="167"/>
      <c r="D3493" s="168"/>
    </row>
    <row r="3494" spans="2:4">
      <c r="B3494" s="474"/>
      <c r="C3494" s="167"/>
      <c r="D3494" s="168"/>
    </row>
    <row r="3495" spans="2:4">
      <c r="B3495" s="474"/>
      <c r="C3495" s="167"/>
      <c r="D3495" s="168"/>
    </row>
    <row r="3496" spans="2:4">
      <c r="B3496" s="474"/>
      <c r="C3496" s="167"/>
      <c r="D3496" s="168"/>
    </row>
    <row r="3497" spans="2:4">
      <c r="B3497" s="474"/>
      <c r="C3497" s="167"/>
      <c r="D3497" s="168"/>
    </row>
    <row r="3498" spans="2:4">
      <c r="B3498" s="474"/>
      <c r="C3498" s="167"/>
      <c r="D3498" s="168"/>
    </row>
    <row r="3499" spans="2:4">
      <c r="B3499" s="474"/>
      <c r="C3499" s="167"/>
      <c r="D3499" s="168"/>
    </row>
    <row r="3500" spans="2:4">
      <c r="B3500" s="474"/>
      <c r="C3500" s="167"/>
      <c r="D3500" s="168"/>
    </row>
    <row r="3501" spans="2:4">
      <c r="B3501" s="474"/>
      <c r="C3501" s="167"/>
      <c r="D3501" s="168"/>
    </row>
    <row r="3502" spans="2:4">
      <c r="B3502" s="474"/>
      <c r="C3502" s="167"/>
      <c r="D3502" s="168"/>
    </row>
    <row r="3503" spans="2:4">
      <c r="B3503" s="474"/>
      <c r="C3503" s="167"/>
      <c r="D3503" s="168"/>
    </row>
    <row r="3504" spans="2:4">
      <c r="B3504" s="474"/>
      <c r="C3504" s="167"/>
      <c r="D3504" s="168"/>
    </row>
    <row r="3505" spans="2:4">
      <c r="B3505" s="474"/>
      <c r="C3505" s="167"/>
      <c r="D3505" s="168"/>
    </row>
    <row r="3506" spans="2:4">
      <c r="B3506" s="474"/>
      <c r="C3506" s="167"/>
      <c r="D3506" s="168"/>
    </row>
    <row r="3507" spans="2:4">
      <c r="B3507" s="474"/>
      <c r="C3507" s="167"/>
      <c r="D3507" s="168"/>
    </row>
    <row r="3508" spans="2:4">
      <c r="B3508" s="474"/>
      <c r="C3508" s="167"/>
      <c r="D3508" s="168"/>
    </row>
    <row r="3509" spans="2:4">
      <c r="B3509" s="474"/>
      <c r="C3509" s="167"/>
      <c r="D3509" s="168"/>
    </row>
    <row r="3510" spans="2:4">
      <c r="B3510" s="474"/>
      <c r="C3510" s="167"/>
      <c r="D3510" s="168"/>
    </row>
    <row r="3511" spans="2:4">
      <c r="B3511" s="474"/>
      <c r="C3511" s="167"/>
      <c r="D3511" s="168"/>
    </row>
    <row r="3512" spans="2:4">
      <c r="B3512" s="474"/>
      <c r="C3512" s="167"/>
      <c r="D3512" s="168"/>
    </row>
    <row r="3513" spans="2:4">
      <c r="B3513" s="474"/>
      <c r="C3513" s="167"/>
      <c r="D3513" s="168"/>
    </row>
    <row r="3514" spans="2:4">
      <c r="B3514" s="474"/>
      <c r="C3514" s="167"/>
      <c r="D3514" s="168"/>
    </row>
    <row r="3515" spans="2:4">
      <c r="B3515" s="474"/>
      <c r="C3515" s="167"/>
      <c r="D3515" s="168"/>
    </row>
    <row r="3516" spans="2:4">
      <c r="B3516" s="474"/>
      <c r="C3516" s="167"/>
      <c r="D3516" s="168"/>
    </row>
    <row r="3517" spans="2:4">
      <c r="B3517" s="474"/>
      <c r="C3517" s="167"/>
      <c r="D3517" s="168"/>
    </row>
    <row r="3518" spans="2:4">
      <c r="B3518" s="474"/>
      <c r="C3518" s="167"/>
      <c r="D3518" s="168"/>
    </row>
    <row r="3519" spans="2:4">
      <c r="B3519" s="474"/>
      <c r="C3519" s="167"/>
      <c r="D3519" s="168"/>
    </row>
    <row r="3520" spans="2:4">
      <c r="B3520" s="474"/>
      <c r="C3520" s="167"/>
      <c r="D3520" s="168"/>
    </row>
    <row r="3521" spans="2:4">
      <c r="B3521" s="474"/>
      <c r="C3521" s="167"/>
      <c r="D3521" s="168"/>
    </row>
    <row r="3522" spans="2:4">
      <c r="B3522" s="474"/>
      <c r="C3522" s="167"/>
      <c r="D3522" s="168"/>
    </row>
    <row r="3523" spans="2:4">
      <c r="B3523" s="474"/>
      <c r="C3523" s="167"/>
      <c r="D3523" s="168"/>
    </row>
    <row r="3524" spans="2:4">
      <c r="B3524" s="474"/>
      <c r="C3524" s="167"/>
      <c r="D3524" s="168"/>
    </row>
    <row r="3525" spans="2:4">
      <c r="B3525" s="474"/>
      <c r="C3525" s="167"/>
      <c r="D3525" s="168"/>
    </row>
    <row r="3526" spans="2:4">
      <c r="B3526" s="474"/>
      <c r="C3526" s="167"/>
      <c r="D3526" s="168"/>
    </row>
    <row r="3527" spans="2:4">
      <c r="B3527" s="474"/>
      <c r="C3527" s="167"/>
      <c r="D3527" s="168"/>
    </row>
    <row r="3528" spans="2:4">
      <c r="B3528" s="474"/>
      <c r="C3528" s="167"/>
      <c r="D3528" s="168"/>
    </row>
    <row r="3529" spans="2:4">
      <c r="B3529" s="474"/>
      <c r="C3529" s="167"/>
      <c r="D3529" s="168"/>
    </row>
    <row r="3530" spans="2:4">
      <c r="B3530" s="474"/>
      <c r="C3530" s="167"/>
      <c r="D3530" s="168"/>
    </row>
    <row r="3531" spans="2:4">
      <c r="B3531" s="474"/>
      <c r="C3531" s="167"/>
      <c r="D3531" s="168"/>
    </row>
    <row r="3532" spans="2:4">
      <c r="B3532" s="474"/>
      <c r="C3532" s="167"/>
      <c r="D3532" s="168"/>
    </row>
    <row r="3533" spans="2:4">
      <c r="B3533" s="474"/>
      <c r="C3533" s="167"/>
      <c r="D3533" s="168"/>
    </row>
    <row r="3534" spans="2:4">
      <c r="B3534" s="474"/>
      <c r="C3534" s="167"/>
      <c r="D3534" s="168"/>
    </row>
    <row r="3535" spans="2:4">
      <c r="B3535" s="474"/>
      <c r="C3535" s="167"/>
      <c r="D3535" s="168"/>
    </row>
    <row r="3536" spans="2:4">
      <c r="B3536" s="474"/>
      <c r="C3536" s="167"/>
      <c r="D3536" s="168"/>
    </row>
    <row r="3537" spans="2:4">
      <c r="B3537" s="474"/>
      <c r="C3537" s="167"/>
      <c r="D3537" s="168"/>
    </row>
    <row r="3538" spans="2:4">
      <c r="B3538" s="474"/>
      <c r="C3538" s="167"/>
      <c r="D3538" s="168"/>
    </row>
    <row r="3539" spans="2:4">
      <c r="B3539" s="474"/>
      <c r="C3539" s="167"/>
      <c r="D3539" s="168"/>
    </row>
    <row r="3540" spans="2:4">
      <c r="B3540" s="474"/>
      <c r="C3540" s="167"/>
      <c r="D3540" s="168"/>
    </row>
    <row r="3541" spans="2:4">
      <c r="B3541" s="474"/>
      <c r="C3541" s="167"/>
      <c r="D3541" s="168"/>
    </row>
    <row r="3542" spans="2:4">
      <c r="B3542" s="474"/>
      <c r="C3542" s="167"/>
      <c r="D3542" s="168"/>
    </row>
    <row r="3543" spans="2:4">
      <c r="B3543" s="474"/>
      <c r="C3543" s="167"/>
      <c r="D3543" s="168"/>
    </row>
    <row r="3544" spans="2:4">
      <c r="B3544" s="474"/>
      <c r="C3544" s="167"/>
      <c r="D3544" s="168"/>
    </row>
    <row r="3545" spans="2:4">
      <c r="B3545" s="474"/>
      <c r="C3545" s="167"/>
      <c r="D3545" s="168"/>
    </row>
    <row r="3546" spans="2:4">
      <c r="B3546" s="474"/>
      <c r="C3546" s="167"/>
      <c r="D3546" s="168"/>
    </row>
    <row r="3547" spans="2:4">
      <c r="B3547" s="474"/>
      <c r="C3547" s="167"/>
      <c r="D3547" s="168"/>
    </row>
    <row r="3548" spans="2:4">
      <c r="B3548" s="474"/>
      <c r="C3548" s="167"/>
      <c r="D3548" s="168"/>
    </row>
    <row r="3549" spans="2:4">
      <c r="B3549" s="474"/>
      <c r="C3549" s="167"/>
      <c r="D3549" s="168"/>
    </row>
    <row r="3550" spans="2:4">
      <c r="B3550" s="474"/>
      <c r="C3550" s="167"/>
      <c r="D3550" s="168"/>
    </row>
    <row r="3551" spans="2:4">
      <c r="B3551" s="474"/>
      <c r="C3551" s="167"/>
      <c r="D3551" s="168"/>
    </row>
    <row r="3552" spans="2:4">
      <c r="B3552" s="474"/>
      <c r="C3552" s="167"/>
      <c r="D3552" s="168"/>
    </row>
    <row r="3553" spans="2:4">
      <c r="B3553" s="474"/>
      <c r="C3553" s="167"/>
      <c r="D3553" s="168"/>
    </row>
    <row r="3554" spans="2:4">
      <c r="B3554" s="474"/>
      <c r="C3554" s="167"/>
      <c r="D3554" s="168"/>
    </row>
    <row r="3555" spans="2:4">
      <c r="B3555" s="474"/>
      <c r="C3555" s="167"/>
      <c r="D3555" s="168"/>
    </row>
    <row r="3556" spans="2:4">
      <c r="B3556" s="474"/>
      <c r="C3556" s="167"/>
      <c r="D3556" s="168"/>
    </row>
    <row r="3557" spans="2:4">
      <c r="B3557" s="474"/>
      <c r="C3557" s="167"/>
      <c r="D3557" s="168"/>
    </row>
    <row r="3558" spans="2:4">
      <c r="B3558" s="474"/>
      <c r="C3558" s="167"/>
      <c r="D3558" s="168"/>
    </row>
    <row r="3559" spans="2:4">
      <c r="B3559" s="474"/>
      <c r="C3559" s="167"/>
      <c r="D3559" s="168"/>
    </row>
    <row r="3560" spans="2:4">
      <c r="B3560" s="474"/>
      <c r="C3560" s="167"/>
      <c r="D3560" s="168"/>
    </row>
    <row r="3561" spans="2:4">
      <c r="B3561" s="474"/>
      <c r="C3561" s="167"/>
      <c r="D3561" s="168"/>
    </row>
    <row r="3562" spans="2:4">
      <c r="B3562" s="474"/>
      <c r="C3562" s="167"/>
      <c r="D3562" s="168"/>
    </row>
    <row r="3563" spans="2:4">
      <c r="B3563" s="474"/>
      <c r="C3563" s="167"/>
      <c r="D3563" s="168"/>
    </row>
    <row r="3564" spans="2:4">
      <c r="B3564" s="474"/>
      <c r="C3564" s="167"/>
      <c r="D3564" s="168"/>
    </row>
    <row r="3565" spans="2:4">
      <c r="B3565" s="474"/>
      <c r="C3565" s="167"/>
      <c r="D3565" s="168"/>
    </row>
    <row r="3566" spans="2:4">
      <c r="B3566" s="474"/>
      <c r="C3566" s="167"/>
      <c r="D3566" s="168"/>
    </row>
    <row r="3567" spans="2:4">
      <c r="B3567" s="474"/>
      <c r="C3567" s="167"/>
      <c r="D3567" s="168"/>
    </row>
    <row r="3568" spans="2:4">
      <c r="B3568" s="474"/>
      <c r="C3568" s="167"/>
      <c r="D3568" s="168"/>
    </row>
    <row r="3569" spans="2:4">
      <c r="B3569" s="474"/>
      <c r="C3569" s="167"/>
      <c r="D3569" s="168"/>
    </row>
    <row r="3570" spans="2:4">
      <c r="B3570" s="474"/>
      <c r="C3570" s="167"/>
      <c r="D3570" s="168"/>
    </row>
    <row r="3571" spans="2:4">
      <c r="B3571" s="474"/>
      <c r="C3571" s="167"/>
      <c r="D3571" s="168"/>
    </row>
    <row r="3572" spans="2:4">
      <c r="B3572" s="474"/>
      <c r="C3572" s="167"/>
      <c r="D3572" s="168"/>
    </row>
    <row r="3573" spans="2:4">
      <c r="B3573" s="474"/>
      <c r="C3573" s="167"/>
      <c r="D3573" s="168"/>
    </row>
    <row r="3574" spans="2:4">
      <c r="B3574" s="474"/>
      <c r="C3574" s="167"/>
      <c r="D3574" s="168"/>
    </row>
    <row r="3575" spans="2:4">
      <c r="B3575" s="474"/>
      <c r="C3575" s="167"/>
      <c r="D3575" s="168"/>
    </row>
    <row r="3576" spans="2:4">
      <c r="B3576" s="474"/>
      <c r="C3576" s="167"/>
      <c r="D3576" s="168"/>
    </row>
    <row r="3577" spans="2:4">
      <c r="B3577" s="474"/>
      <c r="C3577" s="167"/>
      <c r="D3577" s="168"/>
    </row>
    <row r="3578" spans="2:4">
      <c r="B3578" s="474"/>
      <c r="C3578" s="167"/>
      <c r="D3578" s="168"/>
    </row>
    <row r="3579" spans="2:4">
      <c r="B3579" s="474"/>
      <c r="C3579" s="167"/>
      <c r="D3579" s="168"/>
    </row>
    <row r="3580" spans="2:4">
      <c r="B3580" s="474"/>
      <c r="C3580" s="167"/>
      <c r="D3580" s="168"/>
    </row>
    <row r="3581" spans="2:4">
      <c r="B3581" s="474"/>
      <c r="C3581" s="167"/>
      <c r="D3581" s="168"/>
    </row>
    <row r="3582" spans="2:4">
      <c r="B3582" s="474"/>
      <c r="C3582" s="167"/>
      <c r="D3582" s="168"/>
    </row>
    <row r="3583" spans="2:4">
      <c r="B3583" s="474"/>
      <c r="C3583" s="167"/>
      <c r="D3583" s="168"/>
    </row>
    <row r="3584" spans="2:4">
      <c r="B3584" s="474"/>
      <c r="C3584" s="167"/>
      <c r="D3584" s="168"/>
    </row>
    <row r="3585" spans="2:4">
      <c r="B3585" s="474"/>
      <c r="C3585" s="167"/>
      <c r="D3585" s="168"/>
    </row>
    <row r="3586" spans="2:4">
      <c r="B3586" s="474"/>
      <c r="C3586" s="167"/>
      <c r="D3586" s="168"/>
    </row>
    <row r="3587" spans="2:4">
      <c r="B3587" s="474"/>
      <c r="C3587" s="167"/>
      <c r="D3587" s="168"/>
    </row>
    <row r="3588" spans="2:4">
      <c r="B3588" s="474"/>
      <c r="C3588" s="167"/>
      <c r="D3588" s="168"/>
    </row>
    <row r="3589" spans="2:4">
      <c r="B3589" s="474"/>
      <c r="C3589" s="167"/>
      <c r="D3589" s="168"/>
    </row>
    <row r="3590" spans="2:4">
      <c r="B3590" s="474"/>
      <c r="C3590" s="167"/>
      <c r="D3590" s="168"/>
    </row>
    <row r="3591" spans="2:4">
      <c r="B3591" s="474"/>
      <c r="C3591" s="167"/>
      <c r="D3591" s="168"/>
    </row>
    <row r="3592" spans="2:4">
      <c r="B3592" s="474"/>
      <c r="C3592" s="167"/>
      <c r="D3592" s="168"/>
    </row>
    <row r="3593" spans="2:4">
      <c r="B3593" s="474"/>
      <c r="C3593" s="167"/>
      <c r="D3593" s="168"/>
    </row>
    <row r="3594" spans="2:4">
      <c r="B3594" s="474"/>
      <c r="C3594" s="167"/>
      <c r="D3594" s="168"/>
    </row>
    <row r="3595" spans="2:4">
      <c r="B3595" s="474"/>
      <c r="C3595" s="167"/>
      <c r="D3595" s="168"/>
    </row>
    <row r="3596" spans="2:4">
      <c r="B3596" s="474"/>
      <c r="C3596" s="167"/>
      <c r="D3596" s="168"/>
    </row>
    <row r="3597" spans="2:4">
      <c r="B3597" s="474"/>
      <c r="C3597" s="167"/>
      <c r="D3597" s="168"/>
    </row>
    <row r="3598" spans="2:4">
      <c r="B3598" s="474"/>
      <c r="C3598" s="167"/>
      <c r="D3598" s="168"/>
    </row>
    <row r="3599" spans="2:4">
      <c r="B3599" s="474"/>
      <c r="C3599" s="167"/>
      <c r="D3599" s="168"/>
    </row>
    <row r="3600" spans="2:4">
      <c r="B3600" s="474"/>
      <c r="C3600" s="167"/>
      <c r="D3600" s="168"/>
    </row>
    <row r="3601" spans="2:4">
      <c r="B3601" s="474"/>
      <c r="C3601" s="167"/>
      <c r="D3601" s="168"/>
    </row>
    <row r="3602" spans="2:4">
      <c r="B3602" s="474"/>
      <c r="C3602" s="167"/>
      <c r="D3602" s="168"/>
    </row>
    <row r="3603" spans="2:4">
      <c r="B3603" s="474"/>
      <c r="C3603" s="167"/>
      <c r="D3603" s="168"/>
    </row>
    <row r="3604" spans="2:4">
      <c r="B3604" s="474"/>
      <c r="C3604" s="167"/>
      <c r="D3604" s="168"/>
    </row>
    <row r="3605" spans="2:4">
      <c r="B3605" s="474"/>
      <c r="C3605" s="167"/>
      <c r="D3605" s="168"/>
    </row>
    <row r="3606" spans="2:4">
      <c r="B3606" s="474"/>
      <c r="C3606" s="167"/>
      <c r="D3606" s="168"/>
    </row>
    <row r="3607" spans="2:4">
      <c r="B3607" s="474"/>
      <c r="C3607" s="167"/>
      <c r="D3607" s="168"/>
    </row>
    <row r="3608" spans="2:4">
      <c r="B3608" s="474"/>
      <c r="C3608" s="167"/>
      <c r="D3608" s="168"/>
    </row>
    <row r="3609" spans="2:4">
      <c r="B3609" s="474"/>
      <c r="C3609" s="167"/>
      <c r="D3609" s="168"/>
    </row>
    <row r="3610" spans="2:4">
      <c r="B3610" s="474"/>
      <c r="C3610" s="167"/>
      <c r="D3610" s="168"/>
    </row>
    <row r="3611" spans="2:4">
      <c r="B3611" s="474"/>
      <c r="C3611" s="167"/>
      <c r="D3611" s="168"/>
    </row>
    <row r="3612" spans="2:4">
      <c r="B3612" s="474"/>
      <c r="C3612" s="167"/>
      <c r="D3612" s="168"/>
    </row>
    <row r="3613" spans="2:4">
      <c r="B3613" s="474"/>
      <c r="C3613" s="167"/>
      <c r="D3613" s="168"/>
    </row>
    <row r="3614" spans="2:4">
      <c r="B3614" s="474"/>
      <c r="C3614" s="167"/>
      <c r="D3614" s="168"/>
    </row>
    <row r="3615" spans="2:4">
      <c r="B3615" s="474"/>
      <c r="C3615" s="167"/>
      <c r="D3615" s="168"/>
    </row>
    <row r="3616" spans="2:4">
      <c r="B3616" s="474"/>
      <c r="C3616" s="167"/>
      <c r="D3616" s="168"/>
    </row>
    <row r="3617" spans="2:4">
      <c r="B3617" s="474"/>
      <c r="C3617" s="167"/>
      <c r="D3617" s="168"/>
    </row>
    <row r="3618" spans="2:4">
      <c r="B3618" s="474"/>
      <c r="C3618" s="167"/>
      <c r="D3618" s="168"/>
    </row>
    <row r="3619" spans="2:4">
      <c r="B3619" s="474"/>
      <c r="C3619" s="167"/>
      <c r="D3619" s="168"/>
    </row>
    <row r="3620" spans="2:4">
      <c r="B3620" s="474"/>
      <c r="C3620" s="167"/>
      <c r="D3620" s="168"/>
    </row>
    <row r="3621" spans="2:4">
      <c r="B3621" s="474"/>
      <c r="C3621" s="167"/>
      <c r="D3621" s="168"/>
    </row>
    <row r="3622" spans="2:4">
      <c r="B3622" s="474"/>
      <c r="C3622" s="167"/>
      <c r="D3622" s="168"/>
    </row>
    <row r="3623" spans="2:4">
      <c r="B3623" s="474"/>
      <c r="C3623" s="167"/>
      <c r="D3623" s="168"/>
    </row>
    <row r="3624" spans="2:4">
      <c r="B3624" s="474"/>
      <c r="C3624" s="167"/>
      <c r="D3624" s="168"/>
    </row>
    <row r="3625" spans="2:4">
      <c r="B3625" s="474"/>
      <c r="C3625" s="167"/>
      <c r="D3625" s="168"/>
    </row>
    <row r="3626" spans="2:4">
      <c r="B3626" s="474"/>
      <c r="C3626" s="167"/>
      <c r="D3626" s="168"/>
    </row>
    <row r="3627" spans="2:4">
      <c r="B3627" s="474"/>
      <c r="C3627" s="167"/>
      <c r="D3627" s="168"/>
    </row>
    <row r="3628" spans="2:4">
      <c r="B3628" s="474"/>
      <c r="C3628" s="167"/>
      <c r="D3628" s="168"/>
    </row>
    <row r="3629" spans="2:4">
      <c r="B3629" s="474"/>
      <c r="C3629" s="167"/>
      <c r="D3629" s="168"/>
    </row>
    <row r="3630" spans="2:4">
      <c r="B3630" s="474"/>
      <c r="C3630" s="167"/>
      <c r="D3630" s="168"/>
    </row>
    <row r="3631" spans="2:4">
      <c r="B3631" s="474"/>
      <c r="C3631" s="167"/>
      <c r="D3631" s="168"/>
    </row>
    <row r="3632" spans="2:4">
      <c r="B3632" s="474"/>
      <c r="C3632" s="167"/>
      <c r="D3632" s="168"/>
    </row>
    <row r="3633" spans="2:4">
      <c r="B3633" s="474"/>
      <c r="C3633" s="167"/>
      <c r="D3633" s="168"/>
    </row>
    <row r="3634" spans="2:4">
      <c r="B3634" s="474"/>
      <c r="C3634" s="167"/>
      <c r="D3634" s="168"/>
    </row>
    <row r="3635" spans="2:4">
      <c r="B3635" s="474"/>
      <c r="C3635" s="167"/>
      <c r="D3635" s="168"/>
    </row>
    <row r="3636" spans="2:4">
      <c r="B3636" s="474"/>
      <c r="C3636" s="167"/>
      <c r="D3636" s="168"/>
    </row>
    <row r="3637" spans="2:4">
      <c r="B3637" s="474"/>
      <c r="C3637" s="167"/>
      <c r="D3637" s="168"/>
    </row>
    <row r="3638" spans="2:4">
      <c r="B3638" s="474"/>
      <c r="C3638" s="167"/>
      <c r="D3638" s="168"/>
    </row>
    <row r="3639" spans="2:4">
      <c r="B3639" s="474"/>
      <c r="C3639" s="167"/>
      <c r="D3639" s="168"/>
    </row>
    <row r="3640" spans="2:4">
      <c r="B3640" s="474"/>
      <c r="C3640" s="167"/>
      <c r="D3640" s="168"/>
    </row>
    <row r="3641" spans="2:4">
      <c r="B3641" s="474"/>
      <c r="C3641" s="167"/>
      <c r="D3641" s="168"/>
    </row>
    <row r="3642" spans="2:4">
      <c r="B3642" s="474"/>
      <c r="C3642" s="167"/>
      <c r="D3642" s="168"/>
    </row>
    <row r="3643" spans="2:4">
      <c r="B3643" s="474"/>
      <c r="C3643" s="167"/>
      <c r="D3643" s="168"/>
    </row>
    <row r="3644" spans="2:4">
      <c r="B3644" s="474"/>
      <c r="C3644" s="167"/>
      <c r="D3644" s="168"/>
    </row>
    <row r="3645" spans="2:4">
      <c r="B3645" s="474"/>
      <c r="C3645" s="167"/>
      <c r="D3645" s="168"/>
    </row>
    <row r="3646" spans="2:4">
      <c r="B3646" s="474"/>
      <c r="C3646" s="167"/>
      <c r="D3646" s="168"/>
    </row>
    <row r="3647" spans="2:4">
      <c r="B3647" s="474"/>
      <c r="C3647" s="167"/>
      <c r="D3647" s="168"/>
    </row>
    <row r="3648" spans="2:4">
      <c r="B3648" s="474"/>
      <c r="C3648" s="167"/>
      <c r="D3648" s="168"/>
    </row>
    <row r="3649" spans="2:4">
      <c r="B3649" s="474"/>
      <c r="C3649" s="167"/>
      <c r="D3649" s="168"/>
    </row>
    <row r="3650" spans="2:4">
      <c r="B3650" s="474"/>
      <c r="C3650" s="167"/>
      <c r="D3650" s="168"/>
    </row>
    <row r="3651" spans="2:4">
      <c r="B3651" s="474"/>
      <c r="C3651" s="167"/>
      <c r="D3651" s="168"/>
    </row>
    <row r="3652" spans="2:4">
      <c r="B3652" s="474"/>
      <c r="C3652" s="167"/>
      <c r="D3652" s="168"/>
    </row>
    <row r="3653" spans="2:4">
      <c r="B3653" s="474"/>
      <c r="C3653" s="167"/>
      <c r="D3653" s="168"/>
    </row>
    <row r="3654" spans="2:4">
      <c r="B3654" s="474"/>
      <c r="C3654" s="167"/>
      <c r="D3654" s="168"/>
    </row>
    <row r="3655" spans="2:4">
      <c r="B3655" s="474"/>
      <c r="C3655" s="167"/>
      <c r="D3655" s="168"/>
    </row>
    <row r="3656" spans="2:4">
      <c r="B3656" s="474"/>
      <c r="C3656" s="167"/>
      <c r="D3656" s="168"/>
    </row>
    <row r="3657" spans="2:4">
      <c r="B3657" s="474"/>
      <c r="C3657" s="167"/>
      <c r="D3657" s="168"/>
    </row>
    <row r="3658" spans="2:4">
      <c r="B3658" s="474"/>
      <c r="C3658" s="167"/>
      <c r="D3658" s="168"/>
    </row>
    <row r="3659" spans="2:4">
      <c r="B3659" s="474"/>
      <c r="C3659" s="167"/>
      <c r="D3659" s="168"/>
    </row>
    <row r="3660" spans="2:4">
      <c r="B3660" s="474"/>
      <c r="C3660" s="167"/>
      <c r="D3660" s="168"/>
    </row>
    <row r="3661" spans="2:4">
      <c r="B3661" s="474"/>
      <c r="C3661" s="167"/>
      <c r="D3661" s="168"/>
    </row>
    <row r="3662" spans="2:4">
      <c r="B3662" s="474"/>
      <c r="C3662" s="167"/>
      <c r="D3662" s="168"/>
    </row>
    <row r="3663" spans="2:4">
      <c r="B3663" s="474"/>
      <c r="C3663" s="167"/>
      <c r="D3663" s="168"/>
    </row>
    <row r="3664" spans="2:4">
      <c r="B3664" s="474"/>
      <c r="C3664" s="167"/>
      <c r="D3664" s="168"/>
    </row>
    <row r="3665" spans="2:4">
      <c r="B3665" s="474"/>
      <c r="C3665" s="167"/>
      <c r="D3665" s="168"/>
    </row>
    <row r="3666" spans="2:4">
      <c r="B3666" s="474"/>
      <c r="C3666" s="167"/>
      <c r="D3666" s="168"/>
    </row>
    <row r="3667" spans="2:4">
      <c r="B3667" s="474"/>
      <c r="C3667" s="167"/>
      <c r="D3667" s="168"/>
    </row>
    <row r="3668" spans="2:4">
      <c r="B3668" s="474"/>
      <c r="C3668" s="167"/>
      <c r="D3668" s="168"/>
    </row>
    <row r="3669" spans="2:4">
      <c r="B3669" s="474"/>
      <c r="C3669" s="167"/>
      <c r="D3669" s="168"/>
    </row>
    <row r="3670" spans="2:4">
      <c r="B3670" s="474"/>
      <c r="C3670" s="167"/>
      <c r="D3670" s="168"/>
    </row>
    <row r="3671" spans="2:4">
      <c r="B3671" s="474"/>
      <c r="C3671" s="167"/>
      <c r="D3671" s="168"/>
    </row>
    <row r="3672" spans="2:4">
      <c r="B3672" s="474"/>
      <c r="C3672" s="167"/>
      <c r="D3672" s="168"/>
    </row>
    <row r="3673" spans="2:4">
      <c r="B3673" s="474"/>
      <c r="C3673" s="167"/>
      <c r="D3673" s="168"/>
    </row>
    <row r="3674" spans="2:4">
      <c r="B3674" s="474"/>
      <c r="C3674" s="167"/>
      <c r="D3674" s="168"/>
    </row>
    <row r="3675" spans="2:4">
      <c r="B3675" s="474"/>
      <c r="C3675" s="167"/>
      <c r="D3675" s="168"/>
    </row>
    <row r="3676" spans="2:4">
      <c r="B3676" s="474"/>
      <c r="C3676" s="167"/>
      <c r="D3676" s="168"/>
    </row>
    <row r="3677" spans="2:4">
      <c r="B3677" s="474"/>
      <c r="C3677" s="167"/>
      <c r="D3677" s="168"/>
    </row>
    <row r="3678" spans="2:4">
      <c r="B3678" s="474"/>
      <c r="C3678" s="167"/>
      <c r="D3678" s="168"/>
    </row>
    <row r="3679" spans="2:4">
      <c r="B3679" s="474"/>
      <c r="C3679" s="167"/>
      <c r="D3679" s="168"/>
    </row>
    <row r="3680" spans="2:4">
      <c r="B3680" s="474"/>
      <c r="C3680" s="167"/>
      <c r="D3680" s="168"/>
    </row>
    <row r="3681" spans="2:4">
      <c r="B3681" s="474"/>
      <c r="C3681" s="167"/>
      <c r="D3681" s="168"/>
    </row>
    <row r="3682" spans="2:4">
      <c r="B3682" s="474"/>
      <c r="C3682" s="167"/>
      <c r="D3682" s="168"/>
    </row>
    <row r="3683" spans="2:4">
      <c r="B3683" s="474"/>
      <c r="C3683" s="167"/>
      <c r="D3683" s="168"/>
    </row>
    <row r="3684" spans="2:4">
      <c r="B3684" s="474"/>
      <c r="C3684" s="167"/>
      <c r="D3684" s="168"/>
    </row>
    <row r="3685" spans="2:4">
      <c r="B3685" s="474"/>
      <c r="C3685" s="167"/>
      <c r="D3685" s="168"/>
    </row>
    <row r="3686" spans="2:4">
      <c r="B3686" s="474"/>
      <c r="C3686" s="167"/>
      <c r="D3686" s="168"/>
    </row>
    <row r="3687" spans="2:4">
      <c r="B3687" s="474"/>
      <c r="C3687" s="167"/>
      <c r="D3687" s="168"/>
    </row>
    <row r="3688" spans="2:4">
      <c r="B3688" s="474"/>
      <c r="C3688" s="167"/>
      <c r="D3688" s="168"/>
    </row>
    <row r="3689" spans="2:4">
      <c r="B3689" s="474"/>
      <c r="C3689" s="167"/>
      <c r="D3689" s="168"/>
    </row>
    <row r="3690" spans="2:4">
      <c r="B3690" s="474"/>
      <c r="C3690" s="167"/>
      <c r="D3690" s="168"/>
    </row>
    <row r="3691" spans="2:4">
      <c r="B3691" s="474"/>
      <c r="C3691" s="167"/>
      <c r="D3691" s="168"/>
    </row>
    <row r="3692" spans="2:4">
      <c r="B3692" s="474"/>
      <c r="C3692" s="167"/>
      <c r="D3692" s="168"/>
    </row>
    <row r="3693" spans="2:4">
      <c r="B3693" s="474"/>
      <c r="C3693" s="167"/>
      <c r="D3693" s="168"/>
    </row>
    <row r="3694" spans="2:4">
      <c r="B3694" s="474"/>
      <c r="C3694" s="167"/>
      <c r="D3694" s="168"/>
    </row>
    <row r="3695" spans="2:4">
      <c r="B3695" s="474"/>
      <c r="C3695" s="167"/>
      <c r="D3695" s="168"/>
    </row>
    <row r="3696" spans="2:4">
      <c r="B3696" s="474"/>
      <c r="C3696" s="167"/>
      <c r="D3696" s="168"/>
    </row>
    <row r="3697" spans="2:4">
      <c r="B3697" s="474"/>
      <c r="C3697" s="167"/>
      <c r="D3697" s="168"/>
    </row>
    <row r="3698" spans="2:4">
      <c r="B3698" s="474"/>
      <c r="C3698" s="167"/>
      <c r="D3698" s="168"/>
    </row>
    <row r="3699" spans="2:4">
      <c r="B3699" s="474"/>
      <c r="C3699" s="167"/>
      <c r="D3699" s="168"/>
    </row>
    <row r="3700" spans="2:4">
      <c r="B3700" s="474"/>
      <c r="C3700" s="167"/>
      <c r="D3700" s="168"/>
    </row>
    <row r="3701" spans="2:4">
      <c r="B3701" s="474"/>
      <c r="C3701" s="167"/>
      <c r="D3701" s="168"/>
    </row>
    <row r="3702" spans="2:4">
      <c r="B3702" s="474"/>
      <c r="C3702" s="167"/>
      <c r="D3702" s="168"/>
    </row>
    <row r="3703" spans="2:4">
      <c r="B3703" s="474"/>
      <c r="C3703" s="167"/>
      <c r="D3703" s="168"/>
    </row>
    <row r="3704" spans="2:4">
      <c r="B3704" s="474"/>
      <c r="C3704" s="167"/>
      <c r="D3704" s="168"/>
    </row>
    <row r="3705" spans="2:4">
      <c r="B3705" s="474"/>
      <c r="C3705" s="167"/>
      <c r="D3705" s="168"/>
    </row>
    <row r="3706" spans="2:4">
      <c r="B3706" s="474"/>
      <c r="C3706" s="167"/>
      <c r="D3706" s="168"/>
    </row>
    <row r="3707" spans="2:4">
      <c r="B3707" s="474"/>
      <c r="C3707" s="167"/>
      <c r="D3707" s="168"/>
    </row>
    <row r="3708" spans="2:4">
      <c r="B3708" s="474"/>
      <c r="C3708" s="167"/>
      <c r="D3708" s="168"/>
    </row>
    <row r="3709" spans="2:4">
      <c r="B3709" s="474"/>
      <c r="C3709" s="167"/>
      <c r="D3709" s="168"/>
    </row>
    <row r="3710" spans="2:4">
      <c r="B3710" s="474"/>
      <c r="C3710" s="167"/>
      <c r="D3710" s="168"/>
    </row>
    <row r="3711" spans="2:4">
      <c r="B3711" s="474"/>
      <c r="C3711" s="167"/>
      <c r="D3711" s="168"/>
    </row>
    <row r="3712" spans="2:4">
      <c r="B3712" s="474"/>
      <c r="C3712" s="167"/>
      <c r="D3712" s="168"/>
    </row>
    <row r="3713" spans="2:4">
      <c r="B3713" s="474"/>
      <c r="C3713" s="167"/>
      <c r="D3713" s="168"/>
    </row>
    <row r="3714" spans="2:4">
      <c r="B3714" s="474"/>
      <c r="C3714" s="167"/>
      <c r="D3714" s="168"/>
    </row>
    <row r="3715" spans="2:4">
      <c r="B3715" s="474"/>
      <c r="C3715" s="167"/>
      <c r="D3715" s="168"/>
    </row>
    <row r="3716" spans="2:4">
      <c r="B3716" s="474"/>
      <c r="C3716" s="167"/>
      <c r="D3716" s="168"/>
    </row>
    <row r="3717" spans="2:4">
      <c r="B3717" s="474"/>
      <c r="C3717" s="167"/>
      <c r="D3717" s="168"/>
    </row>
    <row r="3718" spans="2:4">
      <c r="B3718" s="474"/>
      <c r="C3718" s="167"/>
      <c r="D3718" s="168"/>
    </row>
    <row r="3719" spans="2:4">
      <c r="B3719" s="474"/>
      <c r="C3719" s="167"/>
      <c r="D3719" s="168"/>
    </row>
    <row r="3720" spans="2:4">
      <c r="B3720" s="474"/>
      <c r="C3720" s="167"/>
      <c r="D3720" s="168"/>
    </row>
    <row r="3721" spans="2:4">
      <c r="B3721" s="474"/>
      <c r="C3721" s="167"/>
      <c r="D3721" s="168"/>
    </row>
    <row r="3722" spans="2:4">
      <c r="B3722" s="474"/>
      <c r="C3722" s="167"/>
      <c r="D3722" s="168"/>
    </row>
    <row r="3723" spans="2:4">
      <c r="B3723" s="474"/>
      <c r="C3723" s="167"/>
      <c r="D3723" s="168"/>
    </row>
    <row r="3724" spans="2:4">
      <c r="B3724" s="474"/>
      <c r="C3724" s="167"/>
      <c r="D3724" s="168"/>
    </row>
    <row r="3725" spans="2:4">
      <c r="B3725" s="474"/>
      <c r="C3725" s="167"/>
      <c r="D3725" s="168"/>
    </row>
    <row r="3726" spans="2:4">
      <c r="B3726" s="474"/>
      <c r="C3726" s="167"/>
      <c r="D3726" s="168"/>
    </row>
    <row r="3727" spans="2:4">
      <c r="B3727" s="474"/>
      <c r="C3727" s="167"/>
      <c r="D3727" s="168"/>
    </row>
    <row r="3728" spans="2:4">
      <c r="B3728" s="474"/>
      <c r="C3728" s="167"/>
      <c r="D3728" s="168"/>
    </row>
    <row r="3729" spans="2:4">
      <c r="B3729" s="474"/>
      <c r="C3729" s="167"/>
      <c r="D3729" s="168"/>
    </row>
    <row r="3730" spans="2:4">
      <c r="B3730" s="474"/>
      <c r="C3730" s="167"/>
      <c r="D3730" s="168"/>
    </row>
    <row r="3731" spans="2:4">
      <c r="B3731" s="474"/>
      <c r="C3731" s="167"/>
      <c r="D3731" s="168"/>
    </row>
    <row r="3732" spans="2:4">
      <c r="B3732" s="474"/>
      <c r="C3732" s="167"/>
      <c r="D3732" s="168"/>
    </row>
    <row r="3733" spans="2:4">
      <c r="B3733" s="474"/>
      <c r="C3733" s="167"/>
      <c r="D3733" s="168"/>
    </row>
    <row r="3734" spans="2:4">
      <c r="B3734" s="474"/>
      <c r="C3734" s="167"/>
      <c r="D3734" s="168"/>
    </row>
    <row r="3735" spans="2:4">
      <c r="B3735" s="474"/>
      <c r="C3735" s="167"/>
      <c r="D3735" s="168"/>
    </row>
    <row r="3736" spans="2:4">
      <c r="B3736" s="474"/>
      <c r="C3736" s="167"/>
      <c r="D3736" s="168"/>
    </row>
    <row r="3737" spans="2:4">
      <c r="B3737" s="474"/>
      <c r="C3737" s="167"/>
      <c r="D3737" s="168"/>
    </row>
    <row r="3738" spans="2:4">
      <c r="B3738" s="474"/>
      <c r="C3738" s="167"/>
      <c r="D3738" s="168"/>
    </row>
    <row r="3739" spans="2:4">
      <c r="B3739" s="474"/>
      <c r="C3739" s="167"/>
      <c r="D3739" s="168"/>
    </row>
    <row r="3740" spans="2:4">
      <c r="B3740" s="474"/>
      <c r="C3740" s="167"/>
      <c r="D3740" s="168"/>
    </row>
    <row r="3741" spans="2:4">
      <c r="B3741" s="474"/>
      <c r="C3741" s="167"/>
      <c r="D3741" s="168"/>
    </row>
    <row r="3742" spans="2:4">
      <c r="B3742" s="474"/>
      <c r="C3742" s="167"/>
      <c r="D3742" s="168"/>
    </row>
    <row r="3743" spans="2:4">
      <c r="B3743" s="474"/>
      <c r="C3743" s="167"/>
      <c r="D3743" s="168"/>
    </row>
    <row r="3744" spans="2:4">
      <c r="B3744" s="474"/>
      <c r="C3744" s="167"/>
      <c r="D3744" s="168"/>
    </row>
    <row r="3745" spans="2:4">
      <c r="B3745" s="474"/>
      <c r="C3745" s="167"/>
      <c r="D3745" s="168"/>
    </row>
    <row r="3746" spans="2:4">
      <c r="B3746" s="474"/>
      <c r="C3746" s="167"/>
      <c r="D3746" s="168"/>
    </row>
    <row r="3747" spans="2:4">
      <c r="B3747" s="474"/>
      <c r="C3747" s="167"/>
      <c r="D3747" s="168"/>
    </row>
    <row r="3748" spans="2:4">
      <c r="B3748" s="474"/>
      <c r="C3748" s="167"/>
      <c r="D3748" s="168"/>
    </row>
    <row r="3749" spans="2:4">
      <c r="B3749" s="474"/>
      <c r="C3749" s="167"/>
      <c r="D3749" s="168"/>
    </row>
    <row r="3750" spans="2:4">
      <c r="B3750" s="474"/>
      <c r="C3750" s="167"/>
      <c r="D3750" s="168"/>
    </row>
    <row r="3751" spans="2:4">
      <c r="B3751" s="474"/>
      <c r="C3751" s="167"/>
      <c r="D3751" s="168"/>
    </row>
    <row r="3752" spans="2:4">
      <c r="B3752" s="474"/>
      <c r="C3752" s="167"/>
      <c r="D3752" s="168"/>
    </row>
    <row r="3753" spans="2:4">
      <c r="B3753" s="474"/>
      <c r="C3753" s="167"/>
      <c r="D3753" s="168"/>
    </row>
    <row r="3754" spans="2:4">
      <c r="B3754" s="474"/>
      <c r="C3754" s="167"/>
      <c r="D3754" s="168"/>
    </row>
    <row r="3755" spans="2:4">
      <c r="B3755" s="474"/>
      <c r="C3755" s="167"/>
      <c r="D3755" s="168"/>
    </row>
    <row r="3756" spans="2:4">
      <c r="B3756" s="474"/>
      <c r="C3756" s="167"/>
      <c r="D3756" s="168"/>
    </row>
    <row r="3757" spans="2:4">
      <c r="B3757" s="474"/>
      <c r="C3757" s="167"/>
      <c r="D3757" s="168"/>
    </row>
    <row r="3758" spans="2:4">
      <c r="B3758" s="474"/>
      <c r="C3758" s="167"/>
      <c r="D3758" s="168"/>
    </row>
    <row r="3759" spans="2:4">
      <c r="B3759" s="474"/>
      <c r="C3759" s="167"/>
      <c r="D3759" s="168"/>
    </row>
    <row r="3760" spans="2:4">
      <c r="B3760" s="474"/>
      <c r="C3760" s="167"/>
      <c r="D3760" s="168"/>
    </row>
    <row r="3761" spans="2:4">
      <c r="B3761" s="474"/>
      <c r="C3761" s="167"/>
      <c r="D3761" s="168"/>
    </row>
    <row r="3762" spans="2:4">
      <c r="B3762" s="474"/>
      <c r="C3762" s="167"/>
      <c r="D3762" s="168"/>
    </row>
    <row r="3763" spans="2:4">
      <c r="B3763" s="474"/>
      <c r="C3763" s="167"/>
      <c r="D3763" s="168"/>
    </row>
    <row r="3764" spans="2:4">
      <c r="B3764" s="474"/>
      <c r="C3764" s="167"/>
      <c r="D3764" s="168"/>
    </row>
    <row r="3765" spans="2:4">
      <c r="B3765" s="474"/>
      <c r="C3765" s="167"/>
      <c r="D3765" s="168"/>
    </row>
    <row r="3766" spans="2:4">
      <c r="B3766" s="474"/>
      <c r="C3766" s="167"/>
      <c r="D3766" s="168"/>
    </row>
    <row r="3767" spans="2:4">
      <c r="B3767" s="474"/>
      <c r="C3767" s="167"/>
      <c r="D3767" s="168"/>
    </row>
    <row r="3768" spans="2:4">
      <c r="B3768" s="474"/>
      <c r="C3768" s="167"/>
      <c r="D3768" s="168"/>
    </row>
    <row r="3769" spans="2:4">
      <c r="B3769" s="474"/>
      <c r="C3769" s="167"/>
      <c r="D3769" s="168"/>
    </row>
    <row r="3770" spans="2:4">
      <c r="B3770" s="474"/>
      <c r="C3770" s="167"/>
      <c r="D3770" s="168"/>
    </row>
    <row r="3771" spans="2:4">
      <c r="B3771" s="474"/>
      <c r="C3771" s="167"/>
      <c r="D3771" s="168"/>
    </row>
    <row r="3772" spans="2:4">
      <c r="B3772" s="474"/>
      <c r="C3772" s="167"/>
      <c r="D3772" s="168"/>
    </row>
    <row r="3773" spans="2:4">
      <c r="B3773" s="474"/>
      <c r="C3773" s="167"/>
      <c r="D3773" s="168"/>
    </row>
    <row r="3774" spans="2:4">
      <c r="B3774" s="474"/>
      <c r="C3774" s="167"/>
      <c r="D3774" s="168"/>
    </row>
    <row r="3775" spans="2:4">
      <c r="B3775" s="474"/>
      <c r="C3775" s="167"/>
      <c r="D3775" s="168"/>
    </row>
    <row r="3776" spans="2:4">
      <c r="B3776" s="474"/>
      <c r="C3776" s="167"/>
      <c r="D3776" s="168"/>
    </row>
    <row r="3777" spans="2:4">
      <c r="B3777" s="474"/>
      <c r="C3777" s="167"/>
      <c r="D3777" s="168"/>
    </row>
    <row r="3778" spans="2:4">
      <c r="B3778" s="474"/>
      <c r="C3778" s="167"/>
      <c r="D3778" s="168"/>
    </row>
    <row r="3779" spans="2:4">
      <c r="B3779" s="474"/>
      <c r="C3779" s="167"/>
      <c r="D3779" s="168"/>
    </row>
    <row r="3780" spans="2:4">
      <c r="B3780" s="474"/>
      <c r="C3780" s="167"/>
      <c r="D3780" s="168"/>
    </row>
    <row r="3781" spans="2:4">
      <c r="B3781" s="474"/>
      <c r="C3781" s="167"/>
      <c r="D3781" s="168"/>
    </row>
    <row r="3782" spans="2:4">
      <c r="B3782" s="474"/>
      <c r="C3782" s="167"/>
      <c r="D3782" s="168"/>
    </row>
    <row r="3783" spans="2:4">
      <c r="B3783" s="474"/>
      <c r="C3783" s="167"/>
      <c r="D3783" s="168"/>
    </row>
    <row r="3784" spans="2:4">
      <c r="B3784" s="474"/>
      <c r="C3784" s="167"/>
      <c r="D3784" s="168"/>
    </row>
    <row r="3785" spans="2:4">
      <c r="B3785" s="474"/>
      <c r="C3785" s="167"/>
      <c r="D3785" s="168"/>
    </row>
    <row r="3786" spans="2:4">
      <c r="B3786" s="474"/>
      <c r="C3786" s="167"/>
      <c r="D3786" s="168"/>
    </row>
    <row r="3787" spans="2:4">
      <c r="B3787" s="474"/>
      <c r="C3787" s="167"/>
      <c r="D3787" s="168"/>
    </row>
    <row r="3788" spans="2:4">
      <c r="B3788" s="474"/>
      <c r="C3788" s="167"/>
      <c r="D3788" s="168"/>
    </row>
    <row r="3789" spans="2:4">
      <c r="B3789" s="474"/>
      <c r="C3789" s="167"/>
      <c r="D3789" s="168"/>
    </row>
    <row r="3790" spans="2:4">
      <c r="B3790" s="474"/>
      <c r="C3790" s="167"/>
      <c r="D3790" s="168"/>
    </row>
    <row r="3791" spans="2:4">
      <c r="B3791" s="474"/>
      <c r="C3791" s="167"/>
      <c r="D3791" s="168"/>
    </row>
    <row r="3792" spans="2:4">
      <c r="B3792" s="474"/>
      <c r="C3792" s="167"/>
      <c r="D3792" s="168"/>
    </row>
    <row r="3793" spans="2:4">
      <c r="B3793" s="474"/>
      <c r="C3793" s="167"/>
      <c r="D3793" s="168"/>
    </row>
    <row r="3794" spans="2:4">
      <c r="B3794" s="474"/>
      <c r="C3794" s="167"/>
      <c r="D3794" s="168"/>
    </row>
    <row r="3795" spans="2:4">
      <c r="B3795" s="474"/>
      <c r="C3795" s="167"/>
      <c r="D3795" s="168"/>
    </row>
    <row r="3796" spans="2:4">
      <c r="B3796" s="474"/>
      <c r="C3796" s="167"/>
      <c r="D3796" s="168"/>
    </row>
    <row r="3797" spans="2:4">
      <c r="B3797" s="474"/>
      <c r="C3797" s="167"/>
      <c r="D3797" s="168"/>
    </row>
    <row r="3798" spans="2:4">
      <c r="B3798" s="474"/>
      <c r="C3798" s="167"/>
      <c r="D3798" s="168"/>
    </row>
    <row r="3799" spans="2:4">
      <c r="B3799" s="474"/>
      <c r="C3799" s="167"/>
      <c r="D3799" s="168"/>
    </row>
    <row r="3800" spans="2:4">
      <c r="B3800" s="474"/>
      <c r="C3800" s="167"/>
      <c r="D3800" s="168"/>
    </row>
    <row r="3801" spans="2:4">
      <c r="B3801" s="474"/>
      <c r="C3801" s="167"/>
      <c r="D3801" s="168"/>
    </row>
    <row r="3802" spans="2:4">
      <c r="B3802" s="474"/>
      <c r="C3802" s="167"/>
      <c r="D3802" s="168"/>
    </row>
    <row r="3803" spans="2:4">
      <c r="B3803" s="474"/>
      <c r="C3803" s="167"/>
      <c r="D3803" s="168"/>
    </row>
    <row r="3804" spans="2:4">
      <c r="B3804" s="474"/>
      <c r="C3804" s="167"/>
      <c r="D3804" s="168"/>
    </row>
    <row r="3805" spans="2:4">
      <c r="B3805" s="474"/>
      <c r="C3805" s="167"/>
      <c r="D3805" s="168"/>
    </row>
    <row r="3806" spans="2:4">
      <c r="B3806" s="474"/>
      <c r="C3806" s="167"/>
      <c r="D3806" s="168"/>
    </row>
    <row r="3807" spans="2:4">
      <c r="B3807" s="474"/>
      <c r="C3807" s="167"/>
      <c r="D3807" s="168"/>
    </row>
    <row r="3808" spans="2:4">
      <c r="B3808" s="474"/>
      <c r="C3808" s="167"/>
      <c r="D3808" s="168"/>
    </row>
    <row r="3809" spans="2:4">
      <c r="B3809" s="474"/>
      <c r="C3809" s="167"/>
      <c r="D3809" s="168"/>
    </row>
    <row r="3810" spans="2:4">
      <c r="B3810" s="474"/>
      <c r="C3810" s="167"/>
      <c r="D3810" s="168"/>
    </row>
    <row r="3811" spans="2:4">
      <c r="B3811" s="474"/>
      <c r="C3811" s="167"/>
      <c r="D3811" s="168"/>
    </row>
    <row r="3812" spans="2:4">
      <c r="B3812" s="474"/>
      <c r="C3812" s="167"/>
      <c r="D3812" s="168"/>
    </row>
    <row r="3813" spans="2:4">
      <c r="B3813" s="474"/>
      <c r="C3813" s="167"/>
      <c r="D3813" s="168"/>
    </row>
    <row r="3814" spans="2:4">
      <c r="B3814" s="474"/>
      <c r="C3814" s="167"/>
      <c r="D3814" s="168"/>
    </row>
    <row r="3815" spans="2:4">
      <c r="B3815" s="474"/>
      <c r="C3815" s="167"/>
      <c r="D3815" s="168"/>
    </row>
    <row r="3816" spans="2:4">
      <c r="B3816" s="474"/>
      <c r="C3816" s="167"/>
      <c r="D3816" s="168"/>
    </row>
    <row r="3817" spans="2:4">
      <c r="B3817" s="474"/>
      <c r="C3817" s="167"/>
      <c r="D3817" s="168"/>
    </row>
    <row r="3818" spans="2:4">
      <c r="B3818" s="474"/>
      <c r="C3818" s="167"/>
      <c r="D3818" s="168"/>
    </row>
    <row r="3819" spans="2:4">
      <c r="B3819" s="474"/>
      <c r="C3819" s="167"/>
      <c r="D3819" s="168"/>
    </row>
    <row r="3820" spans="2:4">
      <c r="B3820" s="474"/>
      <c r="C3820" s="167"/>
      <c r="D3820" s="168"/>
    </row>
    <row r="3821" spans="2:4">
      <c r="B3821" s="474"/>
      <c r="C3821" s="167"/>
      <c r="D3821" s="168"/>
    </row>
    <row r="3822" spans="2:4">
      <c r="B3822" s="474"/>
      <c r="C3822" s="167"/>
      <c r="D3822" s="168"/>
    </row>
    <row r="3823" spans="2:4">
      <c r="B3823" s="474"/>
      <c r="C3823" s="167"/>
      <c r="D3823" s="168"/>
    </row>
    <row r="3824" spans="2:4">
      <c r="B3824" s="474"/>
      <c r="C3824" s="167"/>
      <c r="D3824" s="168"/>
    </row>
    <row r="3825" spans="2:4">
      <c r="B3825" s="474"/>
      <c r="C3825" s="167"/>
      <c r="D3825" s="168"/>
    </row>
    <row r="3826" spans="2:4">
      <c r="B3826" s="474"/>
      <c r="C3826" s="167"/>
      <c r="D3826" s="168"/>
    </row>
    <row r="3827" spans="2:4">
      <c r="B3827" s="474"/>
      <c r="C3827" s="167"/>
      <c r="D3827" s="168"/>
    </row>
    <row r="3828" spans="2:4">
      <c r="B3828" s="474"/>
      <c r="C3828" s="167"/>
      <c r="D3828" s="168"/>
    </row>
    <row r="3829" spans="2:4">
      <c r="B3829" s="474"/>
      <c r="C3829" s="167"/>
      <c r="D3829" s="168"/>
    </row>
    <row r="3830" spans="2:4">
      <c r="B3830" s="474"/>
      <c r="C3830" s="167"/>
      <c r="D3830" s="168"/>
    </row>
    <row r="3831" spans="2:4">
      <c r="B3831" s="474"/>
      <c r="C3831" s="167"/>
      <c r="D3831" s="168"/>
    </row>
    <row r="3832" spans="2:4">
      <c r="B3832" s="474"/>
      <c r="C3832" s="167"/>
      <c r="D3832" s="168"/>
    </row>
    <row r="3833" spans="2:4">
      <c r="B3833" s="474"/>
      <c r="C3833" s="167"/>
      <c r="D3833" s="168"/>
    </row>
    <row r="3834" spans="2:4">
      <c r="B3834" s="474"/>
      <c r="C3834" s="167"/>
      <c r="D3834" s="168"/>
    </row>
    <row r="3835" spans="2:4">
      <c r="B3835" s="474"/>
      <c r="C3835" s="167"/>
      <c r="D3835" s="168"/>
    </row>
    <row r="3836" spans="2:4">
      <c r="B3836" s="474"/>
      <c r="C3836" s="167"/>
      <c r="D3836" s="168"/>
    </row>
    <row r="3837" spans="2:4">
      <c r="B3837" s="474"/>
      <c r="C3837" s="167"/>
      <c r="D3837" s="168"/>
    </row>
    <row r="3838" spans="2:4">
      <c r="B3838" s="474"/>
      <c r="C3838" s="167"/>
      <c r="D3838" s="168"/>
    </row>
    <row r="3839" spans="2:4">
      <c r="B3839" s="474"/>
      <c r="C3839" s="167"/>
      <c r="D3839" s="168"/>
    </row>
    <row r="3840" spans="2:4">
      <c r="B3840" s="474"/>
      <c r="C3840" s="167"/>
      <c r="D3840" s="168"/>
    </row>
    <row r="3841" spans="2:4">
      <c r="B3841" s="474"/>
      <c r="C3841" s="167"/>
      <c r="D3841" s="168"/>
    </row>
    <row r="3842" spans="2:4">
      <c r="B3842" s="474"/>
      <c r="C3842" s="167"/>
      <c r="D3842" s="168"/>
    </row>
    <row r="3843" spans="2:4">
      <c r="B3843" s="474"/>
      <c r="C3843" s="167"/>
      <c r="D3843" s="168"/>
    </row>
    <row r="3844" spans="2:4">
      <c r="B3844" s="474"/>
      <c r="C3844" s="167"/>
      <c r="D3844" s="168"/>
    </row>
    <row r="3845" spans="2:4">
      <c r="B3845" s="474"/>
      <c r="C3845" s="167"/>
      <c r="D3845" s="168"/>
    </row>
    <row r="3846" spans="2:4">
      <c r="B3846" s="474"/>
      <c r="C3846" s="167"/>
      <c r="D3846" s="168"/>
    </row>
    <row r="3847" spans="2:4">
      <c r="B3847" s="474"/>
      <c r="C3847" s="167"/>
      <c r="D3847" s="168"/>
    </row>
    <row r="3848" spans="2:4">
      <c r="B3848" s="474"/>
      <c r="C3848" s="167"/>
      <c r="D3848" s="168"/>
    </row>
    <row r="3849" spans="2:4">
      <c r="B3849" s="474"/>
      <c r="C3849" s="167"/>
      <c r="D3849" s="168"/>
    </row>
    <row r="3850" spans="2:4">
      <c r="B3850" s="474"/>
      <c r="C3850" s="167"/>
      <c r="D3850" s="168"/>
    </row>
    <row r="3851" spans="2:4">
      <c r="B3851" s="474"/>
      <c r="C3851" s="167"/>
      <c r="D3851" s="168"/>
    </row>
    <row r="3852" spans="2:4">
      <c r="B3852" s="474"/>
      <c r="C3852" s="167"/>
      <c r="D3852" s="168"/>
    </row>
    <row r="3853" spans="2:4">
      <c r="B3853" s="474"/>
      <c r="C3853" s="167"/>
      <c r="D3853" s="168"/>
    </row>
    <row r="3854" spans="2:4">
      <c r="B3854" s="474"/>
      <c r="C3854" s="167"/>
      <c r="D3854" s="168"/>
    </row>
    <row r="3855" spans="2:4">
      <c r="B3855" s="474"/>
      <c r="C3855" s="167"/>
      <c r="D3855" s="168"/>
    </row>
    <row r="3856" spans="2:4">
      <c r="B3856" s="474"/>
      <c r="C3856" s="167"/>
      <c r="D3856" s="168"/>
    </row>
    <row r="3857" spans="2:4">
      <c r="B3857" s="474"/>
      <c r="C3857" s="167"/>
      <c r="D3857" s="168"/>
    </row>
    <row r="3858" spans="2:4">
      <c r="B3858" s="474"/>
      <c r="C3858" s="167"/>
      <c r="D3858" s="168"/>
    </row>
    <row r="3859" spans="2:4">
      <c r="B3859" s="474"/>
      <c r="C3859" s="167"/>
      <c r="D3859" s="168"/>
    </row>
    <row r="3860" spans="2:4">
      <c r="B3860" s="474"/>
      <c r="C3860" s="167"/>
      <c r="D3860" s="168"/>
    </row>
    <row r="3861" spans="2:4">
      <c r="B3861" s="474"/>
      <c r="C3861" s="167"/>
      <c r="D3861" s="168"/>
    </row>
    <row r="3862" spans="2:4">
      <c r="B3862" s="474"/>
      <c r="C3862" s="167"/>
      <c r="D3862" s="168"/>
    </row>
    <row r="3863" spans="2:4">
      <c r="B3863" s="474"/>
      <c r="C3863" s="167"/>
      <c r="D3863" s="168"/>
    </row>
    <row r="3864" spans="2:4">
      <c r="B3864" s="474"/>
      <c r="C3864" s="167"/>
      <c r="D3864" s="168"/>
    </row>
    <row r="3865" spans="2:4">
      <c r="B3865" s="474"/>
      <c r="C3865" s="167"/>
      <c r="D3865" s="168"/>
    </row>
    <row r="3866" spans="2:4">
      <c r="B3866" s="474"/>
      <c r="C3866" s="167"/>
      <c r="D3866" s="168"/>
    </row>
    <row r="3867" spans="2:4">
      <c r="B3867" s="474"/>
      <c r="C3867" s="167"/>
      <c r="D3867" s="168"/>
    </row>
    <row r="3868" spans="2:4">
      <c r="B3868" s="474"/>
      <c r="C3868" s="167"/>
      <c r="D3868" s="168"/>
    </row>
    <row r="3869" spans="2:4">
      <c r="B3869" s="474"/>
      <c r="C3869" s="167"/>
      <c r="D3869" s="168"/>
    </row>
    <row r="3870" spans="2:4">
      <c r="B3870" s="474"/>
      <c r="C3870" s="167"/>
      <c r="D3870" s="168"/>
    </row>
    <row r="3871" spans="2:4">
      <c r="B3871" s="474"/>
      <c r="C3871" s="167"/>
      <c r="D3871" s="168"/>
    </row>
    <row r="3872" spans="2:4">
      <c r="B3872" s="474"/>
      <c r="C3872" s="167"/>
      <c r="D3872" s="168"/>
    </row>
    <row r="3873" spans="2:4">
      <c r="B3873" s="474"/>
      <c r="C3873" s="167"/>
      <c r="D3873" s="168"/>
    </row>
    <row r="3874" spans="2:4">
      <c r="B3874" s="474"/>
      <c r="C3874" s="167"/>
      <c r="D3874" s="168"/>
    </row>
    <row r="3875" spans="2:4">
      <c r="B3875" s="474"/>
      <c r="C3875" s="167"/>
      <c r="D3875" s="168"/>
    </row>
    <row r="3876" spans="2:4">
      <c r="B3876" s="474"/>
      <c r="C3876" s="167"/>
      <c r="D3876" s="168"/>
    </row>
    <row r="3877" spans="2:4">
      <c r="B3877" s="474"/>
      <c r="C3877" s="167"/>
      <c r="D3877" s="168"/>
    </row>
    <row r="3878" spans="2:4">
      <c r="B3878" s="474"/>
      <c r="C3878" s="167"/>
      <c r="D3878" s="168"/>
    </row>
    <row r="3879" spans="2:4">
      <c r="B3879" s="474"/>
      <c r="C3879" s="167"/>
      <c r="D3879" s="168"/>
    </row>
    <row r="3880" spans="2:4">
      <c r="B3880" s="474"/>
      <c r="C3880" s="167"/>
      <c r="D3880" s="168"/>
    </row>
    <row r="3881" spans="2:4">
      <c r="B3881" s="474"/>
      <c r="C3881" s="167"/>
      <c r="D3881" s="168"/>
    </row>
    <row r="3882" spans="2:4">
      <c r="B3882" s="474"/>
      <c r="C3882" s="167"/>
      <c r="D3882" s="168"/>
    </row>
    <row r="3883" spans="2:4">
      <c r="B3883" s="474"/>
      <c r="C3883" s="167"/>
      <c r="D3883" s="168"/>
    </row>
    <row r="3884" spans="2:4">
      <c r="B3884" s="474"/>
      <c r="C3884" s="167"/>
      <c r="D3884" s="168"/>
    </row>
    <row r="3885" spans="2:4">
      <c r="B3885" s="474"/>
      <c r="C3885" s="167"/>
      <c r="D3885" s="168"/>
    </row>
    <row r="3886" spans="2:4">
      <c r="B3886" s="474"/>
      <c r="C3886" s="167"/>
      <c r="D3886" s="168"/>
    </row>
    <row r="3887" spans="2:4">
      <c r="B3887" s="474"/>
      <c r="C3887" s="167"/>
      <c r="D3887" s="168"/>
    </row>
    <row r="3888" spans="2:4">
      <c r="B3888" s="474"/>
      <c r="C3888" s="167"/>
      <c r="D3888" s="168"/>
    </row>
    <row r="3889" spans="2:4">
      <c r="B3889" s="474"/>
      <c r="C3889" s="167"/>
      <c r="D3889" s="168"/>
    </row>
    <row r="3890" spans="2:4">
      <c r="B3890" s="474"/>
      <c r="C3890" s="167"/>
      <c r="D3890" s="168"/>
    </row>
    <row r="3891" spans="2:4">
      <c r="B3891" s="474"/>
      <c r="C3891" s="167"/>
      <c r="D3891" s="168"/>
    </row>
    <row r="3892" spans="2:4">
      <c r="B3892" s="474"/>
      <c r="C3892" s="167"/>
      <c r="D3892" s="168"/>
    </row>
    <row r="3893" spans="2:4">
      <c r="B3893" s="474"/>
      <c r="C3893" s="167"/>
      <c r="D3893" s="168"/>
    </row>
    <row r="3894" spans="2:4">
      <c r="B3894" s="474"/>
      <c r="C3894" s="167"/>
      <c r="D3894" s="168"/>
    </row>
    <row r="3895" spans="2:4">
      <c r="B3895" s="474"/>
      <c r="C3895" s="167"/>
      <c r="D3895" s="168"/>
    </row>
    <row r="3896" spans="2:4">
      <c r="B3896" s="474"/>
      <c r="C3896" s="167"/>
      <c r="D3896" s="168"/>
    </row>
    <row r="3897" spans="2:4">
      <c r="B3897" s="474"/>
      <c r="C3897" s="167"/>
      <c r="D3897" s="168"/>
    </row>
    <row r="3898" spans="2:4">
      <c r="B3898" s="474"/>
      <c r="C3898" s="167"/>
      <c r="D3898" s="168"/>
    </row>
    <row r="3899" spans="2:4">
      <c r="B3899" s="474"/>
      <c r="C3899" s="167"/>
      <c r="D3899" s="168"/>
    </row>
    <row r="3900" spans="2:4">
      <c r="B3900" s="474"/>
      <c r="C3900" s="167"/>
      <c r="D3900" s="168"/>
    </row>
    <row r="3901" spans="2:4">
      <c r="B3901" s="474"/>
      <c r="C3901" s="167"/>
      <c r="D3901" s="168"/>
    </row>
    <row r="3902" spans="2:4">
      <c r="B3902" s="474"/>
      <c r="C3902" s="167"/>
      <c r="D3902" s="168"/>
    </row>
    <row r="3903" spans="2:4">
      <c r="B3903" s="474"/>
      <c r="C3903" s="167"/>
      <c r="D3903" s="168"/>
    </row>
    <row r="3904" spans="2:4">
      <c r="B3904" s="474"/>
      <c r="C3904" s="167"/>
      <c r="D3904" s="168"/>
    </row>
    <row r="3905" spans="2:4">
      <c r="B3905" s="474"/>
      <c r="C3905" s="167"/>
      <c r="D3905" s="168"/>
    </row>
    <row r="3906" spans="2:4">
      <c r="B3906" s="474"/>
      <c r="C3906" s="167"/>
      <c r="D3906" s="168"/>
    </row>
    <row r="3907" spans="2:4">
      <c r="B3907" s="474"/>
      <c r="C3907" s="167"/>
      <c r="D3907" s="168"/>
    </row>
    <row r="3908" spans="2:4">
      <c r="B3908" s="474"/>
      <c r="C3908" s="167"/>
      <c r="D3908" s="168"/>
    </row>
    <row r="3909" spans="2:4">
      <c r="B3909" s="474"/>
      <c r="C3909" s="167"/>
      <c r="D3909" s="168"/>
    </row>
    <row r="3910" spans="2:4">
      <c r="B3910" s="474"/>
      <c r="C3910" s="167"/>
      <c r="D3910" s="168"/>
    </row>
    <row r="3911" spans="2:4">
      <c r="B3911" s="474"/>
      <c r="C3911" s="167"/>
      <c r="D3911" s="168"/>
    </row>
    <row r="3912" spans="2:4">
      <c r="B3912" s="474"/>
      <c r="C3912" s="167"/>
      <c r="D3912" s="168"/>
    </row>
    <row r="3913" spans="2:4">
      <c r="B3913" s="474"/>
      <c r="C3913" s="167"/>
      <c r="D3913" s="168"/>
    </row>
    <row r="3914" spans="2:4">
      <c r="B3914" s="474"/>
      <c r="C3914" s="167"/>
      <c r="D3914" s="168"/>
    </row>
    <row r="3915" spans="2:4">
      <c r="B3915" s="474"/>
      <c r="C3915" s="167"/>
      <c r="D3915" s="168"/>
    </row>
    <row r="3916" spans="2:4">
      <c r="B3916" s="474"/>
      <c r="C3916" s="167"/>
      <c r="D3916" s="168"/>
    </row>
    <row r="3917" spans="2:4">
      <c r="B3917" s="474"/>
      <c r="C3917" s="167"/>
      <c r="D3917" s="168"/>
    </row>
    <row r="3918" spans="2:4">
      <c r="B3918" s="474"/>
      <c r="C3918" s="167"/>
      <c r="D3918" s="168"/>
    </row>
    <row r="3919" spans="2:4">
      <c r="B3919" s="474"/>
      <c r="C3919" s="167"/>
      <c r="D3919" s="168"/>
    </row>
    <row r="3920" spans="2:4">
      <c r="B3920" s="474"/>
      <c r="C3920" s="167"/>
      <c r="D3920" s="168"/>
    </row>
    <row r="3921" spans="2:4">
      <c r="B3921" s="474"/>
      <c r="C3921" s="167"/>
      <c r="D3921" s="168"/>
    </row>
    <row r="3922" spans="2:4">
      <c r="B3922" s="474"/>
      <c r="C3922" s="167"/>
      <c r="D3922" s="168"/>
    </row>
    <row r="3923" spans="2:4">
      <c r="B3923" s="474"/>
      <c r="C3923" s="167"/>
      <c r="D3923" s="168"/>
    </row>
    <row r="3924" spans="2:4">
      <c r="B3924" s="474"/>
      <c r="C3924" s="167"/>
      <c r="D3924" s="168"/>
    </row>
    <row r="3925" spans="2:4">
      <c r="B3925" s="474"/>
      <c r="C3925" s="167"/>
      <c r="D3925" s="168"/>
    </row>
    <row r="3926" spans="2:4">
      <c r="B3926" s="474"/>
      <c r="C3926" s="167"/>
      <c r="D3926" s="168"/>
    </row>
    <row r="3927" spans="2:4">
      <c r="B3927" s="474"/>
      <c r="C3927" s="167"/>
      <c r="D3927" s="168"/>
    </row>
    <row r="3928" spans="2:4">
      <c r="B3928" s="474"/>
      <c r="C3928" s="167"/>
      <c r="D3928" s="168"/>
    </row>
    <row r="3929" spans="2:4">
      <c r="B3929" s="474"/>
      <c r="C3929" s="167"/>
      <c r="D3929" s="168"/>
    </row>
    <row r="3930" spans="2:4">
      <c r="B3930" s="474"/>
      <c r="C3930" s="167"/>
      <c r="D3930" s="168"/>
    </row>
    <row r="3931" spans="2:4">
      <c r="B3931" s="474"/>
      <c r="C3931" s="167"/>
      <c r="D3931" s="168"/>
    </row>
    <row r="3932" spans="2:4">
      <c r="B3932" s="474"/>
      <c r="C3932" s="167"/>
      <c r="D3932" s="168"/>
    </row>
    <row r="3933" spans="2:4">
      <c r="B3933" s="474"/>
      <c r="C3933" s="167"/>
      <c r="D3933" s="168"/>
    </row>
    <row r="3934" spans="2:4">
      <c r="B3934" s="474"/>
      <c r="C3934" s="167"/>
      <c r="D3934" s="168"/>
    </row>
    <row r="3935" spans="2:4">
      <c r="B3935" s="474"/>
      <c r="C3935" s="167"/>
      <c r="D3935" s="168"/>
    </row>
    <row r="3936" spans="2:4">
      <c r="B3936" s="474"/>
      <c r="C3936" s="167"/>
      <c r="D3936" s="168"/>
    </row>
    <row r="3937" spans="2:4">
      <c r="B3937" s="474"/>
      <c r="C3937" s="167"/>
      <c r="D3937" s="168"/>
    </row>
    <row r="3938" spans="2:4">
      <c r="B3938" s="474"/>
      <c r="C3938" s="167"/>
      <c r="D3938" s="168"/>
    </row>
    <row r="3939" spans="2:4">
      <c r="B3939" s="474"/>
      <c r="C3939" s="167"/>
      <c r="D3939" s="168"/>
    </row>
    <row r="3940" spans="2:4">
      <c r="B3940" s="474"/>
      <c r="C3940" s="167"/>
      <c r="D3940" s="168"/>
    </row>
    <row r="3941" spans="2:4">
      <c r="B3941" s="474"/>
      <c r="C3941" s="167"/>
      <c r="D3941" s="168"/>
    </row>
    <row r="3942" spans="2:4">
      <c r="B3942" s="474"/>
      <c r="C3942" s="167"/>
      <c r="D3942" s="168"/>
    </row>
    <row r="3943" spans="2:4">
      <c r="B3943" s="474"/>
      <c r="C3943" s="167"/>
      <c r="D3943" s="168"/>
    </row>
    <row r="3944" spans="2:4">
      <c r="B3944" s="474"/>
      <c r="C3944" s="167"/>
      <c r="D3944" s="168"/>
    </row>
    <row r="3945" spans="2:4">
      <c r="B3945" s="474"/>
      <c r="C3945" s="167"/>
      <c r="D3945" s="168"/>
    </row>
    <row r="3946" spans="2:4">
      <c r="B3946" s="474"/>
      <c r="C3946" s="167"/>
      <c r="D3946" s="168"/>
    </row>
    <row r="3947" spans="2:4">
      <c r="B3947" s="474"/>
      <c r="C3947" s="167"/>
      <c r="D3947" s="168"/>
    </row>
    <row r="3948" spans="2:4">
      <c r="B3948" s="474"/>
      <c r="C3948" s="167"/>
      <c r="D3948" s="168"/>
    </row>
    <row r="3949" spans="2:4">
      <c r="B3949" s="474"/>
      <c r="C3949" s="167"/>
      <c r="D3949" s="168"/>
    </row>
    <row r="3950" spans="2:4">
      <c r="B3950" s="474"/>
      <c r="C3950" s="167"/>
      <c r="D3950" s="168"/>
    </row>
    <row r="3951" spans="2:4">
      <c r="B3951" s="474"/>
      <c r="C3951" s="167"/>
      <c r="D3951" s="168"/>
    </row>
    <row r="3952" spans="2:4">
      <c r="B3952" s="474"/>
      <c r="C3952" s="167"/>
      <c r="D3952" s="168"/>
    </row>
    <row r="3953" spans="2:4">
      <c r="B3953" s="474"/>
      <c r="C3953" s="167"/>
      <c r="D3953" s="168"/>
    </row>
    <row r="3954" spans="2:4">
      <c r="B3954" s="474"/>
      <c r="C3954" s="167"/>
      <c r="D3954" s="168"/>
    </row>
    <row r="3955" spans="2:4">
      <c r="B3955" s="474"/>
      <c r="C3955" s="167"/>
      <c r="D3955" s="168"/>
    </row>
    <row r="3956" spans="2:4">
      <c r="B3956" s="474"/>
      <c r="C3956" s="167"/>
      <c r="D3956" s="168"/>
    </row>
    <row r="3957" spans="2:4">
      <c r="B3957" s="474"/>
      <c r="C3957" s="167"/>
      <c r="D3957" s="168"/>
    </row>
    <row r="3958" spans="2:4">
      <c r="B3958" s="474"/>
      <c r="C3958" s="167"/>
      <c r="D3958" s="168"/>
    </row>
    <row r="3959" spans="2:4">
      <c r="B3959" s="474"/>
      <c r="C3959" s="167"/>
      <c r="D3959" s="168"/>
    </row>
    <row r="3960" spans="2:4">
      <c r="B3960" s="474"/>
      <c r="C3960" s="167"/>
      <c r="D3960" s="168"/>
    </row>
    <row r="3961" spans="2:4">
      <c r="B3961" s="474"/>
      <c r="C3961" s="167"/>
      <c r="D3961" s="168"/>
    </row>
    <row r="3962" spans="2:4">
      <c r="B3962" s="474"/>
      <c r="C3962" s="167"/>
      <c r="D3962" s="168"/>
    </row>
    <row r="3963" spans="2:4">
      <c r="B3963" s="474"/>
      <c r="C3963" s="167"/>
      <c r="D3963" s="168"/>
    </row>
    <row r="3964" spans="2:4">
      <c r="B3964" s="474"/>
      <c r="C3964" s="167"/>
      <c r="D3964" s="168"/>
    </row>
    <row r="3965" spans="2:4">
      <c r="B3965" s="474"/>
      <c r="C3965" s="167"/>
      <c r="D3965" s="168"/>
    </row>
    <row r="3966" spans="2:4">
      <c r="B3966" s="474"/>
      <c r="C3966" s="167"/>
      <c r="D3966" s="168"/>
    </row>
    <row r="3967" spans="2:4">
      <c r="B3967" s="474"/>
      <c r="C3967" s="167"/>
      <c r="D3967" s="168"/>
    </row>
    <row r="3968" spans="2:4">
      <c r="B3968" s="474"/>
      <c r="C3968" s="167"/>
      <c r="D3968" s="168"/>
    </row>
    <row r="3969" spans="2:4">
      <c r="B3969" s="474"/>
      <c r="C3969" s="167"/>
      <c r="D3969" s="168"/>
    </row>
    <row r="3970" spans="2:4">
      <c r="B3970" s="474"/>
      <c r="C3970" s="167"/>
      <c r="D3970" s="168"/>
    </row>
    <row r="3971" spans="2:4">
      <c r="B3971" s="474"/>
      <c r="C3971" s="167"/>
      <c r="D3971" s="168"/>
    </row>
    <row r="3972" spans="2:4">
      <c r="B3972" s="474"/>
      <c r="C3972" s="167"/>
      <c r="D3972" s="168"/>
    </row>
    <row r="3973" spans="2:4">
      <c r="B3973" s="474"/>
      <c r="C3973" s="167"/>
      <c r="D3973" s="168"/>
    </row>
    <row r="3974" spans="2:4">
      <c r="B3974" s="474"/>
      <c r="C3974" s="167"/>
      <c r="D3974" s="168"/>
    </row>
    <row r="3975" spans="2:4">
      <c r="B3975" s="474"/>
      <c r="C3975" s="167"/>
      <c r="D3975" s="168"/>
    </row>
    <row r="3976" spans="2:4">
      <c r="B3976" s="474"/>
      <c r="C3976" s="167"/>
      <c r="D3976" s="168"/>
    </row>
    <row r="3977" spans="2:4">
      <c r="B3977" s="474"/>
      <c r="C3977" s="167"/>
      <c r="D3977" s="168"/>
    </row>
    <row r="3978" spans="2:4">
      <c r="B3978" s="474"/>
      <c r="C3978" s="167"/>
      <c r="D3978" s="168"/>
    </row>
    <row r="3979" spans="2:4">
      <c r="B3979" s="474"/>
      <c r="C3979" s="167"/>
      <c r="D3979" s="168"/>
    </row>
    <row r="3980" spans="2:4">
      <c r="B3980" s="474"/>
      <c r="C3980" s="167"/>
      <c r="D3980" s="168"/>
    </row>
    <row r="3981" spans="2:4">
      <c r="B3981" s="474"/>
      <c r="C3981" s="167"/>
      <c r="D3981" s="168"/>
    </row>
    <row r="3982" spans="2:4">
      <c r="B3982" s="474"/>
      <c r="C3982" s="167"/>
      <c r="D3982" s="168"/>
    </row>
    <row r="3983" spans="2:4">
      <c r="B3983" s="474"/>
      <c r="C3983" s="167"/>
      <c r="D3983" s="168"/>
    </row>
    <row r="3984" spans="2:4">
      <c r="B3984" s="474"/>
      <c r="C3984" s="167"/>
      <c r="D3984" s="168"/>
    </row>
    <row r="3985" spans="2:4">
      <c r="B3985" s="474"/>
      <c r="C3985" s="167"/>
      <c r="D3985" s="168"/>
    </row>
    <row r="3986" spans="2:4">
      <c r="B3986" s="474"/>
      <c r="C3986" s="167"/>
      <c r="D3986" s="168"/>
    </row>
    <row r="3987" spans="2:4">
      <c r="B3987" s="474"/>
      <c r="C3987" s="167"/>
      <c r="D3987" s="168"/>
    </row>
    <row r="3988" spans="2:4">
      <c r="B3988" s="474"/>
      <c r="C3988" s="167"/>
      <c r="D3988" s="168"/>
    </row>
    <row r="3989" spans="2:4">
      <c r="B3989" s="474"/>
      <c r="C3989" s="167"/>
      <c r="D3989" s="168"/>
    </row>
    <row r="3990" spans="2:4">
      <c r="B3990" s="474"/>
      <c r="C3990" s="167"/>
      <c r="D3990" s="168"/>
    </row>
    <row r="3991" spans="2:4">
      <c r="B3991" s="474"/>
      <c r="C3991" s="167"/>
      <c r="D3991" s="168"/>
    </row>
    <row r="3992" spans="2:4">
      <c r="B3992" s="474"/>
      <c r="C3992" s="167"/>
      <c r="D3992" s="168"/>
    </row>
    <row r="3993" spans="2:4">
      <c r="B3993" s="474"/>
      <c r="C3993" s="167"/>
      <c r="D3993" s="168"/>
    </row>
    <row r="3994" spans="2:4">
      <c r="B3994" s="474"/>
      <c r="C3994" s="167"/>
      <c r="D3994" s="168"/>
    </row>
    <row r="3995" spans="2:4">
      <c r="B3995" s="474"/>
      <c r="C3995" s="167"/>
      <c r="D3995" s="168"/>
    </row>
    <row r="3996" spans="2:4">
      <c r="B3996" s="474"/>
      <c r="C3996" s="167"/>
      <c r="D3996" s="168"/>
    </row>
    <row r="3997" spans="2:4">
      <c r="B3997" s="474"/>
      <c r="C3997" s="167"/>
      <c r="D3997" s="168"/>
    </row>
    <row r="3998" spans="2:4">
      <c r="B3998" s="474"/>
      <c r="C3998" s="167"/>
      <c r="D3998" s="168"/>
    </row>
    <row r="3999" spans="2:4">
      <c r="B3999" s="474"/>
      <c r="C3999" s="167"/>
      <c r="D3999" s="168"/>
    </row>
    <row r="4000" spans="2:4">
      <c r="B4000" s="474"/>
      <c r="C4000" s="167"/>
      <c r="D4000" s="168"/>
    </row>
    <row r="4001" spans="2:4">
      <c r="B4001" s="474"/>
      <c r="C4001" s="167"/>
      <c r="D4001" s="168"/>
    </row>
    <row r="4002" spans="2:4">
      <c r="B4002" s="474"/>
      <c r="C4002" s="167"/>
      <c r="D4002" s="168"/>
    </row>
    <row r="4003" spans="2:4">
      <c r="B4003" s="474"/>
      <c r="C4003" s="167"/>
      <c r="D4003" s="168"/>
    </row>
    <row r="4004" spans="2:4">
      <c r="B4004" s="474"/>
      <c r="C4004" s="167"/>
      <c r="D4004" s="168"/>
    </row>
    <row r="4005" spans="2:4">
      <c r="B4005" s="474"/>
      <c r="C4005" s="167"/>
      <c r="D4005" s="168"/>
    </row>
    <row r="4006" spans="2:4">
      <c r="B4006" s="474"/>
      <c r="C4006" s="167"/>
      <c r="D4006" s="168"/>
    </row>
    <row r="4007" spans="2:4">
      <c r="B4007" s="474"/>
      <c r="C4007" s="167"/>
      <c r="D4007" s="168"/>
    </row>
    <row r="4008" spans="2:4">
      <c r="B4008" s="474"/>
      <c r="C4008" s="167"/>
      <c r="D4008" s="168"/>
    </row>
    <row r="4009" spans="2:4">
      <c r="B4009" s="474"/>
      <c r="C4009" s="167"/>
      <c r="D4009" s="168"/>
    </row>
    <row r="4010" spans="2:4">
      <c r="B4010" s="474"/>
      <c r="C4010" s="167"/>
      <c r="D4010" s="168"/>
    </row>
    <row r="4011" spans="2:4">
      <c r="B4011" s="474"/>
      <c r="C4011" s="167"/>
      <c r="D4011" s="168"/>
    </row>
    <row r="4012" spans="2:4">
      <c r="B4012" s="474"/>
      <c r="C4012" s="167"/>
      <c r="D4012" s="168"/>
    </row>
    <row r="4013" spans="2:4">
      <c r="B4013" s="474"/>
      <c r="C4013" s="167"/>
      <c r="D4013" s="168"/>
    </row>
    <row r="4014" spans="2:4">
      <c r="B4014" s="474"/>
      <c r="C4014" s="167"/>
      <c r="D4014" s="168"/>
    </row>
    <row r="4015" spans="2:4">
      <c r="B4015" s="474"/>
      <c r="C4015" s="167"/>
      <c r="D4015" s="168"/>
    </row>
    <row r="4016" spans="2:4">
      <c r="B4016" s="474"/>
      <c r="C4016" s="167"/>
      <c r="D4016" s="168"/>
    </row>
    <row r="4017" spans="2:4">
      <c r="B4017" s="474"/>
      <c r="C4017" s="167"/>
      <c r="D4017" s="168"/>
    </row>
    <row r="4018" spans="2:4">
      <c r="B4018" s="474"/>
      <c r="C4018" s="167"/>
      <c r="D4018" s="168"/>
    </row>
    <row r="4019" spans="2:4">
      <c r="B4019" s="474"/>
      <c r="C4019" s="167"/>
      <c r="D4019" s="168"/>
    </row>
    <row r="4020" spans="2:4">
      <c r="B4020" s="474"/>
      <c r="C4020" s="167"/>
      <c r="D4020" s="168"/>
    </row>
    <row r="4021" spans="2:4">
      <c r="B4021" s="474"/>
      <c r="C4021" s="167"/>
      <c r="D4021" s="168"/>
    </row>
    <row r="4022" spans="2:4">
      <c r="B4022" s="474"/>
      <c r="C4022" s="167"/>
      <c r="D4022" s="168"/>
    </row>
    <row r="4023" spans="2:4">
      <c r="B4023" s="474"/>
      <c r="C4023" s="167"/>
      <c r="D4023" s="168"/>
    </row>
    <row r="4024" spans="2:4">
      <c r="B4024" s="474"/>
      <c r="C4024" s="167"/>
      <c r="D4024" s="168"/>
    </row>
    <row r="4025" spans="2:4">
      <c r="B4025" s="474"/>
      <c r="C4025" s="167"/>
      <c r="D4025" s="168"/>
    </row>
    <row r="4026" spans="2:4">
      <c r="B4026" s="474"/>
      <c r="C4026" s="167"/>
      <c r="D4026" s="168"/>
    </row>
    <row r="4027" spans="2:4">
      <c r="B4027" s="474"/>
      <c r="C4027" s="167"/>
      <c r="D4027" s="168"/>
    </row>
    <row r="4028" spans="2:4">
      <c r="B4028" s="474"/>
      <c r="C4028" s="167"/>
      <c r="D4028" s="168"/>
    </row>
    <row r="4029" spans="2:4">
      <c r="B4029" s="474"/>
      <c r="C4029" s="167"/>
      <c r="D4029" s="168"/>
    </row>
    <row r="4030" spans="2:4">
      <c r="B4030" s="474"/>
      <c r="C4030" s="167"/>
      <c r="D4030" s="168"/>
    </row>
    <row r="4031" spans="2:4">
      <c r="B4031" s="474"/>
      <c r="C4031" s="167"/>
      <c r="D4031" s="168"/>
    </row>
    <row r="4032" spans="2:4">
      <c r="B4032" s="474"/>
      <c r="C4032" s="167"/>
      <c r="D4032" s="168"/>
    </row>
    <row r="4033" spans="2:4">
      <c r="B4033" s="474"/>
      <c r="C4033" s="167"/>
      <c r="D4033" s="168"/>
    </row>
    <row r="4034" spans="2:4">
      <c r="B4034" s="474"/>
      <c r="C4034" s="167"/>
      <c r="D4034" s="168"/>
    </row>
    <row r="4035" spans="2:4">
      <c r="B4035" s="474"/>
      <c r="C4035" s="167"/>
      <c r="D4035" s="168"/>
    </row>
    <row r="4036" spans="2:4">
      <c r="B4036" s="474"/>
      <c r="C4036" s="167"/>
      <c r="D4036" s="168"/>
    </row>
    <row r="4037" spans="2:4">
      <c r="B4037" s="474"/>
      <c r="C4037" s="167"/>
      <c r="D4037" s="168"/>
    </row>
    <row r="4038" spans="2:4">
      <c r="B4038" s="474"/>
      <c r="C4038" s="167"/>
      <c r="D4038" s="168"/>
    </row>
    <row r="4039" spans="2:4">
      <c r="B4039" s="474"/>
      <c r="C4039" s="167"/>
      <c r="D4039" s="168"/>
    </row>
    <row r="4040" spans="2:4">
      <c r="B4040" s="474"/>
      <c r="C4040" s="167"/>
      <c r="D4040" s="168"/>
    </row>
    <row r="4041" spans="2:4">
      <c r="B4041" s="474"/>
      <c r="C4041" s="167"/>
      <c r="D4041" s="168"/>
    </row>
    <row r="4042" spans="2:4">
      <c r="B4042" s="474"/>
      <c r="C4042" s="167"/>
      <c r="D4042" s="168"/>
    </row>
    <row r="4043" spans="2:4">
      <c r="B4043" s="474"/>
      <c r="C4043" s="167"/>
      <c r="D4043" s="168"/>
    </row>
    <row r="4044" spans="2:4">
      <c r="B4044" s="474"/>
      <c r="C4044" s="167"/>
      <c r="D4044" s="168"/>
    </row>
    <row r="4045" spans="2:4">
      <c r="B4045" s="474"/>
      <c r="C4045" s="167"/>
      <c r="D4045" s="168"/>
    </row>
    <row r="4046" spans="2:4">
      <c r="B4046" s="474"/>
      <c r="C4046" s="167"/>
      <c r="D4046" s="168"/>
    </row>
    <row r="4047" spans="2:4">
      <c r="B4047" s="474"/>
      <c r="C4047" s="167"/>
      <c r="D4047" s="168"/>
    </row>
    <row r="4048" spans="2:4">
      <c r="B4048" s="474"/>
      <c r="C4048" s="167"/>
      <c r="D4048" s="168"/>
    </row>
    <row r="4049" spans="2:4">
      <c r="B4049" s="474"/>
      <c r="C4049" s="167"/>
      <c r="D4049" s="168"/>
    </row>
    <row r="4050" spans="2:4">
      <c r="B4050" s="474"/>
      <c r="C4050" s="167"/>
      <c r="D4050" s="168"/>
    </row>
    <row r="4051" spans="2:4">
      <c r="B4051" s="474"/>
      <c r="C4051" s="167"/>
      <c r="D4051" s="168"/>
    </row>
    <row r="4052" spans="2:4">
      <c r="B4052" s="474"/>
      <c r="C4052" s="167"/>
      <c r="D4052" s="168"/>
    </row>
    <row r="4053" spans="2:4">
      <c r="B4053" s="474"/>
      <c r="C4053" s="167"/>
      <c r="D4053" s="168"/>
    </row>
    <row r="4054" spans="2:4">
      <c r="B4054" s="474"/>
      <c r="C4054" s="167"/>
      <c r="D4054" s="168"/>
    </row>
    <row r="4055" spans="2:4">
      <c r="B4055" s="474"/>
      <c r="C4055" s="167"/>
      <c r="D4055" s="168"/>
    </row>
    <row r="4056" spans="2:4">
      <c r="B4056" s="474"/>
      <c r="C4056" s="167"/>
      <c r="D4056" s="168"/>
    </row>
    <row r="4057" spans="2:4">
      <c r="B4057" s="474"/>
      <c r="C4057" s="167"/>
      <c r="D4057" s="168"/>
    </row>
    <row r="4058" spans="2:4">
      <c r="B4058" s="474"/>
      <c r="C4058" s="167"/>
      <c r="D4058" s="168"/>
    </row>
    <row r="4059" spans="2:4">
      <c r="B4059" s="474"/>
      <c r="C4059" s="167"/>
      <c r="D4059" s="168"/>
    </row>
    <row r="4060" spans="2:4">
      <c r="B4060" s="474"/>
      <c r="C4060" s="167"/>
      <c r="D4060" s="168"/>
    </row>
    <row r="4061" spans="2:4">
      <c r="B4061" s="474"/>
      <c r="C4061" s="167"/>
      <c r="D4061" s="168"/>
    </row>
    <row r="4062" spans="2:4">
      <c r="B4062" s="474"/>
      <c r="C4062" s="167"/>
      <c r="D4062" s="168"/>
    </row>
    <row r="4063" spans="2:4">
      <c r="B4063" s="474"/>
      <c r="C4063" s="167"/>
      <c r="D4063" s="168"/>
    </row>
    <row r="4064" spans="2:4">
      <c r="B4064" s="474"/>
      <c r="C4064" s="167"/>
      <c r="D4064" s="168"/>
    </row>
    <row r="4065" spans="2:4">
      <c r="B4065" s="474"/>
      <c r="C4065" s="167"/>
      <c r="D4065" s="168"/>
    </row>
    <row r="4066" spans="2:4">
      <c r="B4066" s="474"/>
      <c r="C4066" s="167"/>
      <c r="D4066" s="168"/>
    </row>
    <row r="4067" spans="2:4">
      <c r="B4067" s="474"/>
      <c r="C4067" s="167"/>
      <c r="D4067" s="168"/>
    </row>
    <row r="4068" spans="2:4">
      <c r="B4068" s="474"/>
      <c r="C4068" s="167"/>
      <c r="D4068" s="168"/>
    </row>
    <row r="4069" spans="2:4">
      <c r="B4069" s="474"/>
      <c r="C4069" s="167"/>
      <c r="D4069" s="168"/>
    </row>
    <row r="4070" spans="2:4">
      <c r="B4070" s="474"/>
      <c r="C4070" s="167"/>
      <c r="D4070" s="168"/>
    </row>
    <row r="4071" spans="2:4">
      <c r="B4071" s="474"/>
      <c r="C4071" s="167"/>
      <c r="D4071" s="168"/>
    </row>
    <row r="4072" spans="2:4">
      <c r="B4072" s="474"/>
      <c r="C4072" s="167"/>
      <c r="D4072" s="168"/>
    </row>
    <row r="4073" spans="2:4">
      <c r="B4073" s="474"/>
      <c r="C4073" s="167"/>
      <c r="D4073" s="168"/>
    </row>
    <row r="4074" spans="2:4">
      <c r="B4074" s="474"/>
      <c r="C4074" s="167"/>
      <c r="D4074" s="168"/>
    </row>
    <row r="4075" spans="2:4">
      <c r="B4075" s="474"/>
      <c r="C4075" s="167"/>
      <c r="D4075" s="168"/>
    </row>
    <row r="4076" spans="2:4">
      <c r="B4076" s="474"/>
      <c r="C4076" s="167"/>
      <c r="D4076" s="168"/>
    </row>
    <row r="4077" spans="2:4">
      <c r="B4077" s="474"/>
      <c r="C4077" s="167"/>
      <c r="D4077" s="168"/>
    </row>
    <row r="4078" spans="2:4">
      <c r="B4078" s="474"/>
      <c r="C4078" s="167"/>
      <c r="D4078" s="168"/>
    </row>
    <row r="4079" spans="2:4">
      <c r="B4079" s="474"/>
      <c r="C4079" s="167"/>
      <c r="D4079" s="168"/>
    </row>
    <row r="4080" spans="2:4">
      <c r="B4080" s="474"/>
      <c r="C4080" s="167"/>
      <c r="D4080" s="168"/>
    </row>
    <row r="4081" spans="2:4">
      <c r="B4081" s="474"/>
      <c r="C4081" s="167"/>
      <c r="D4081" s="168"/>
    </row>
    <row r="4082" spans="2:4">
      <c r="B4082" s="474"/>
      <c r="C4082" s="167"/>
      <c r="D4082" s="168"/>
    </row>
    <row r="4083" spans="2:4">
      <c r="B4083" s="474"/>
      <c r="C4083" s="167"/>
      <c r="D4083" s="168"/>
    </row>
    <row r="4084" spans="2:4">
      <c r="B4084" s="474"/>
      <c r="C4084" s="167"/>
      <c r="D4084" s="168"/>
    </row>
    <row r="4085" spans="2:4">
      <c r="B4085" s="474"/>
      <c r="C4085" s="167"/>
      <c r="D4085" s="168"/>
    </row>
    <row r="4086" spans="2:4">
      <c r="B4086" s="474"/>
      <c r="C4086" s="167"/>
      <c r="D4086" s="168"/>
    </row>
    <row r="4087" spans="2:4">
      <c r="B4087" s="474"/>
      <c r="C4087" s="167"/>
      <c r="D4087" s="168"/>
    </row>
    <row r="4088" spans="2:4">
      <c r="B4088" s="474"/>
      <c r="C4088" s="167"/>
      <c r="D4088" s="168"/>
    </row>
    <row r="4089" spans="2:4">
      <c r="B4089" s="474"/>
      <c r="C4089" s="167"/>
      <c r="D4089" s="168"/>
    </row>
    <row r="4090" spans="2:4">
      <c r="B4090" s="474"/>
      <c r="C4090" s="167"/>
      <c r="D4090" s="168"/>
    </row>
    <row r="4091" spans="2:4">
      <c r="B4091" s="474"/>
      <c r="C4091" s="167"/>
      <c r="D4091" s="168"/>
    </row>
    <row r="4092" spans="2:4">
      <c r="B4092" s="474"/>
      <c r="C4092" s="167"/>
      <c r="D4092" s="168"/>
    </row>
    <row r="4093" spans="2:4">
      <c r="B4093" s="474"/>
      <c r="C4093" s="167"/>
      <c r="D4093" s="168"/>
    </row>
    <row r="4094" spans="2:4">
      <c r="B4094" s="474"/>
      <c r="C4094" s="167"/>
      <c r="D4094" s="168"/>
    </row>
    <row r="4095" spans="2:4">
      <c r="B4095" s="474"/>
      <c r="C4095" s="167"/>
      <c r="D4095" s="168"/>
    </row>
    <row r="4096" spans="2:4">
      <c r="B4096" s="474"/>
      <c r="C4096" s="167"/>
      <c r="D4096" s="168"/>
    </row>
    <row r="4097" spans="2:4">
      <c r="B4097" s="474"/>
      <c r="C4097" s="167"/>
      <c r="D4097" s="168"/>
    </row>
    <row r="4098" spans="2:4">
      <c r="B4098" s="474"/>
      <c r="C4098" s="167"/>
      <c r="D4098" s="168"/>
    </row>
    <row r="4099" spans="2:4">
      <c r="B4099" s="474"/>
      <c r="C4099" s="167"/>
      <c r="D4099" s="168"/>
    </row>
    <row r="4100" spans="2:4">
      <c r="B4100" s="474"/>
      <c r="C4100" s="167"/>
      <c r="D4100" s="168"/>
    </row>
    <row r="4101" spans="2:4">
      <c r="B4101" s="474"/>
      <c r="C4101" s="167"/>
      <c r="D4101" s="168"/>
    </row>
    <row r="4102" spans="2:4">
      <c r="B4102" s="474"/>
      <c r="C4102" s="167"/>
      <c r="D4102" s="168"/>
    </row>
    <row r="4103" spans="2:4">
      <c r="B4103" s="474"/>
      <c r="C4103" s="167"/>
      <c r="D4103" s="168"/>
    </row>
    <row r="4104" spans="2:4">
      <c r="B4104" s="474"/>
      <c r="C4104" s="167"/>
      <c r="D4104" s="168"/>
    </row>
    <row r="4105" spans="2:4">
      <c r="B4105" s="474"/>
      <c r="C4105" s="167"/>
      <c r="D4105" s="168"/>
    </row>
    <row r="4106" spans="2:4">
      <c r="B4106" s="474"/>
      <c r="C4106" s="167"/>
      <c r="D4106" s="168"/>
    </row>
    <row r="4107" spans="2:4">
      <c r="B4107" s="474"/>
      <c r="C4107" s="167"/>
      <c r="D4107" s="168"/>
    </row>
    <row r="4108" spans="2:4">
      <c r="B4108" s="474"/>
      <c r="C4108" s="167"/>
      <c r="D4108" s="168"/>
    </row>
    <row r="4109" spans="2:4">
      <c r="B4109" s="474"/>
      <c r="C4109" s="167"/>
      <c r="D4109" s="168"/>
    </row>
    <row r="4110" spans="2:4">
      <c r="B4110" s="474"/>
      <c r="C4110" s="167"/>
      <c r="D4110" s="168"/>
    </row>
    <row r="4111" spans="2:4">
      <c r="B4111" s="474"/>
      <c r="C4111" s="167"/>
      <c r="D4111" s="168"/>
    </row>
    <row r="4112" spans="2:4">
      <c r="B4112" s="474"/>
      <c r="C4112" s="167"/>
      <c r="D4112" s="168"/>
    </row>
    <row r="4113" spans="2:4">
      <c r="B4113" s="474"/>
      <c r="C4113" s="167"/>
      <c r="D4113" s="168"/>
    </row>
    <row r="4114" spans="2:4">
      <c r="B4114" s="474"/>
      <c r="C4114" s="167"/>
      <c r="D4114" s="168"/>
    </row>
    <row r="4115" spans="2:4">
      <c r="B4115" s="474"/>
      <c r="C4115" s="167"/>
      <c r="D4115" s="168"/>
    </row>
    <row r="4116" spans="2:4">
      <c r="B4116" s="474"/>
      <c r="C4116" s="167"/>
      <c r="D4116" s="168"/>
    </row>
    <row r="4117" spans="2:4">
      <c r="B4117" s="474"/>
      <c r="C4117" s="167"/>
      <c r="D4117" s="168"/>
    </row>
    <row r="4118" spans="2:4">
      <c r="B4118" s="474"/>
      <c r="C4118" s="167"/>
      <c r="D4118" s="168"/>
    </row>
    <row r="4119" spans="2:4">
      <c r="B4119" s="474"/>
      <c r="C4119" s="167"/>
      <c r="D4119" s="168"/>
    </row>
    <row r="4120" spans="2:4">
      <c r="B4120" s="474"/>
      <c r="C4120" s="167"/>
      <c r="D4120" s="168"/>
    </row>
    <row r="4121" spans="2:4">
      <c r="B4121" s="474"/>
      <c r="C4121" s="167"/>
      <c r="D4121" s="168"/>
    </row>
    <row r="4122" spans="2:4">
      <c r="B4122" s="474"/>
      <c r="C4122" s="167"/>
      <c r="D4122" s="168"/>
    </row>
    <row r="4123" spans="2:4">
      <c r="B4123" s="474"/>
      <c r="C4123" s="167"/>
      <c r="D4123" s="168"/>
    </row>
    <row r="4124" spans="2:4">
      <c r="B4124" s="474"/>
      <c r="C4124" s="167"/>
      <c r="D4124" s="168"/>
    </row>
    <row r="4125" spans="2:4">
      <c r="B4125" s="474"/>
      <c r="C4125" s="167"/>
      <c r="D4125" s="168"/>
    </row>
    <row r="4126" spans="2:4">
      <c r="B4126" s="474"/>
      <c r="C4126" s="167"/>
      <c r="D4126" s="168"/>
    </row>
    <row r="4127" spans="2:4">
      <c r="B4127" s="474"/>
      <c r="C4127" s="167"/>
      <c r="D4127" s="168"/>
    </row>
    <row r="4128" spans="2:4">
      <c r="B4128" s="474"/>
      <c r="C4128" s="167"/>
      <c r="D4128" s="168"/>
    </row>
    <row r="4129" spans="2:4">
      <c r="B4129" s="474"/>
      <c r="C4129" s="167"/>
      <c r="D4129" s="168"/>
    </row>
    <row r="4130" spans="2:4">
      <c r="B4130" s="474"/>
      <c r="C4130" s="167"/>
      <c r="D4130" s="168"/>
    </row>
    <row r="4131" spans="2:4">
      <c r="B4131" s="474"/>
      <c r="C4131" s="167"/>
      <c r="D4131" s="168"/>
    </row>
    <row r="4132" spans="2:4">
      <c r="B4132" s="474"/>
      <c r="C4132" s="167"/>
      <c r="D4132" s="168"/>
    </row>
    <row r="4133" spans="2:4">
      <c r="B4133" s="474"/>
      <c r="C4133" s="167"/>
      <c r="D4133" s="168"/>
    </row>
    <row r="4134" spans="2:4">
      <c r="B4134" s="474"/>
      <c r="C4134" s="167"/>
      <c r="D4134" s="168"/>
    </row>
    <row r="4135" spans="2:4">
      <c r="B4135" s="474"/>
      <c r="C4135" s="167"/>
      <c r="D4135" s="168"/>
    </row>
    <row r="4136" spans="2:4">
      <c r="B4136" s="474"/>
      <c r="C4136" s="167"/>
      <c r="D4136" s="168"/>
    </row>
    <row r="4137" spans="2:4">
      <c r="B4137" s="474"/>
      <c r="C4137" s="167"/>
      <c r="D4137" s="168"/>
    </row>
    <row r="4138" spans="2:4">
      <c r="B4138" s="474"/>
      <c r="C4138" s="167"/>
      <c r="D4138" s="168"/>
    </row>
    <row r="4139" spans="2:4">
      <c r="B4139" s="474"/>
      <c r="C4139" s="167"/>
      <c r="D4139" s="168"/>
    </row>
    <row r="4140" spans="2:4">
      <c r="B4140" s="474"/>
      <c r="C4140" s="167"/>
      <c r="D4140" s="168"/>
    </row>
    <row r="4141" spans="2:4">
      <c r="B4141" s="474"/>
      <c r="C4141" s="167"/>
      <c r="D4141" s="168"/>
    </row>
    <row r="4142" spans="2:4">
      <c r="B4142" s="474"/>
      <c r="C4142" s="167"/>
      <c r="D4142" s="168"/>
    </row>
    <row r="4143" spans="2:4">
      <c r="B4143" s="474"/>
      <c r="C4143" s="167"/>
      <c r="D4143" s="168"/>
    </row>
    <row r="4144" spans="2:4">
      <c r="B4144" s="474"/>
      <c r="C4144" s="167"/>
      <c r="D4144" s="168"/>
    </row>
    <row r="4145" spans="2:4">
      <c r="B4145" s="474"/>
      <c r="C4145" s="167"/>
      <c r="D4145" s="168"/>
    </row>
    <row r="4146" spans="2:4">
      <c r="B4146" s="474"/>
      <c r="C4146" s="167"/>
      <c r="D4146" s="168"/>
    </row>
    <row r="4147" spans="2:4">
      <c r="B4147" s="474"/>
      <c r="C4147" s="167"/>
      <c r="D4147" s="168"/>
    </row>
    <row r="4148" spans="2:4">
      <c r="B4148" s="474"/>
      <c r="C4148" s="167"/>
      <c r="D4148" s="168"/>
    </row>
    <row r="4149" spans="2:4">
      <c r="B4149" s="474"/>
      <c r="C4149" s="167"/>
      <c r="D4149" s="168"/>
    </row>
    <row r="4150" spans="2:4">
      <c r="B4150" s="474"/>
      <c r="C4150" s="167"/>
      <c r="D4150" s="168"/>
    </row>
    <row r="4151" spans="2:4">
      <c r="B4151" s="474"/>
      <c r="C4151" s="167"/>
      <c r="D4151" s="168"/>
    </row>
    <row r="4152" spans="2:4">
      <c r="B4152" s="474"/>
      <c r="C4152" s="167"/>
      <c r="D4152" s="168"/>
    </row>
    <row r="4153" spans="2:4">
      <c r="B4153" s="474"/>
      <c r="C4153" s="167"/>
      <c r="D4153" s="168"/>
    </row>
    <row r="4154" spans="2:4">
      <c r="B4154" s="474"/>
      <c r="C4154" s="167"/>
      <c r="D4154" s="168"/>
    </row>
    <row r="4155" spans="2:4">
      <c r="B4155" s="474"/>
      <c r="C4155" s="167"/>
      <c r="D4155" s="168"/>
    </row>
    <row r="4156" spans="2:4">
      <c r="B4156" s="474"/>
      <c r="C4156" s="167"/>
      <c r="D4156" s="168"/>
    </row>
    <row r="4157" spans="2:4">
      <c r="B4157" s="474"/>
      <c r="C4157" s="167"/>
      <c r="D4157" s="168"/>
    </row>
    <row r="4158" spans="2:4">
      <c r="B4158" s="474"/>
      <c r="C4158" s="167"/>
      <c r="D4158" s="168"/>
    </row>
    <row r="4159" spans="2:4">
      <c r="B4159" s="474"/>
      <c r="C4159" s="167"/>
      <c r="D4159" s="168"/>
    </row>
    <row r="4160" spans="2:4">
      <c r="B4160" s="474"/>
      <c r="C4160" s="167"/>
      <c r="D4160" s="168"/>
    </row>
    <row r="4161" spans="2:4">
      <c r="B4161" s="474"/>
      <c r="C4161" s="167"/>
      <c r="D4161" s="168"/>
    </row>
    <row r="4162" spans="2:4">
      <c r="B4162" s="474"/>
      <c r="C4162" s="167"/>
      <c r="D4162" s="168"/>
    </row>
    <row r="4163" spans="2:4">
      <c r="B4163" s="474"/>
      <c r="C4163" s="167"/>
      <c r="D4163" s="168"/>
    </row>
    <row r="4164" spans="2:4">
      <c r="B4164" s="474"/>
      <c r="C4164" s="167"/>
      <c r="D4164" s="168"/>
    </row>
    <row r="4165" spans="2:4">
      <c r="B4165" s="474"/>
      <c r="C4165" s="167"/>
      <c r="D4165" s="168"/>
    </row>
    <row r="4166" spans="2:4">
      <c r="B4166" s="474"/>
      <c r="C4166" s="167"/>
      <c r="D4166" s="168"/>
    </row>
    <row r="4167" spans="2:4">
      <c r="B4167" s="474"/>
      <c r="C4167" s="167"/>
      <c r="D4167" s="168"/>
    </row>
    <row r="4168" spans="2:4">
      <c r="B4168" s="474"/>
      <c r="C4168" s="167"/>
      <c r="D4168" s="168"/>
    </row>
    <row r="4169" spans="2:4">
      <c r="B4169" s="474"/>
      <c r="C4169" s="167"/>
      <c r="D4169" s="168"/>
    </row>
    <row r="4170" spans="2:4">
      <c r="B4170" s="474"/>
      <c r="C4170" s="167"/>
      <c r="D4170" s="168"/>
    </row>
    <row r="4171" spans="2:4">
      <c r="B4171" s="474"/>
      <c r="C4171" s="167"/>
      <c r="D4171" s="168"/>
    </row>
    <row r="4172" spans="2:4">
      <c r="B4172" s="474"/>
      <c r="C4172" s="167"/>
      <c r="D4172" s="168"/>
    </row>
    <row r="4173" spans="2:4">
      <c r="B4173" s="474"/>
      <c r="C4173" s="167"/>
      <c r="D4173" s="168"/>
    </row>
    <row r="4174" spans="2:4">
      <c r="B4174" s="474"/>
      <c r="C4174" s="167"/>
      <c r="D4174" s="168"/>
    </row>
    <row r="4175" spans="2:4">
      <c r="B4175" s="474"/>
      <c r="C4175" s="167"/>
      <c r="D4175" s="168"/>
    </row>
    <row r="4176" spans="2:4">
      <c r="B4176" s="474"/>
      <c r="C4176" s="167"/>
      <c r="D4176" s="168"/>
    </row>
    <row r="4177" spans="2:4">
      <c r="B4177" s="474"/>
      <c r="C4177" s="167"/>
      <c r="D4177" s="168"/>
    </row>
    <row r="4178" spans="2:4">
      <c r="B4178" s="474"/>
      <c r="C4178" s="167"/>
      <c r="D4178" s="168"/>
    </row>
    <row r="4179" spans="2:4">
      <c r="B4179" s="474"/>
      <c r="C4179" s="167"/>
      <c r="D4179" s="168"/>
    </row>
    <row r="4180" spans="2:4">
      <c r="B4180" s="474"/>
      <c r="C4180" s="167"/>
      <c r="D4180" s="168"/>
    </row>
    <row r="4181" spans="2:4">
      <c r="B4181" s="474"/>
      <c r="C4181" s="167"/>
      <c r="D4181" s="168"/>
    </row>
    <row r="4182" spans="2:4">
      <c r="B4182" s="474"/>
      <c r="C4182" s="167"/>
      <c r="D4182" s="168"/>
    </row>
    <row r="4183" spans="2:4">
      <c r="B4183" s="474"/>
      <c r="C4183" s="167"/>
      <c r="D4183" s="168"/>
    </row>
    <row r="4184" spans="2:4">
      <c r="B4184" s="474"/>
      <c r="C4184" s="167"/>
      <c r="D4184" s="168"/>
    </row>
    <row r="4185" spans="2:4">
      <c r="B4185" s="474"/>
      <c r="C4185" s="167"/>
      <c r="D4185" s="168"/>
    </row>
    <row r="4186" spans="2:4">
      <c r="B4186" s="474"/>
      <c r="C4186" s="167"/>
      <c r="D4186" s="168"/>
    </row>
    <row r="4187" spans="2:4">
      <c r="B4187" s="474"/>
      <c r="C4187" s="167"/>
      <c r="D4187" s="168"/>
    </row>
    <row r="4188" spans="2:4">
      <c r="B4188" s="474"/>
      <c r="C4188" s="167"/>
      <c r="D4188" s="168"/>
    </row>
    <row r="4189" spans="2:4">
      <c r="B4189" s="474"/>
      <c r="C4189" s="167"/>
      <c r="D4189" s="168"/>
    </row>
    <row r="4190" spans="2:4">
      <c r="B4190" s="474"/>
      <c r="C4190" s="167"/>
      <c r="D4190" s="168"/>
    </row>
    <row r="4191" spans="2:4">
      <c r="B4191" s="474"/>
      <c r="C4191" s="167"/>
      <c r="D4191" s="168"/>
    </row>
    <row r="4192" spans="2:4">
      <c r="B4192" s="474"/>
      <c r="C4192" s="167"/>
      <c r="D4192" s="168"/>
    </row>
    <row r="4193" spans="2:4">
      <c r="B4193" s="474"/>
      <c r="C4193" s="167"/>
      <c r="D4193" s="168"/>
    </row>
    <row r="4194" spans="2:4">
      <c r="B4194" s="474"/>
      <c r="C4194" s="167"/>
      <c r="D4194" s="168"/>
    </row>
    <row r="4195" spans="2:4">
      <c r="B4195" s="474"/>
      <c r="C4195" s="167"/>
      <c r="D4195" s="168"/>
    </row>
    <row r="4196" spans="2:4">
      <c r="B4196" s="474"/>
      <c r="C4196" s="167"/>
      <c r="D4196" s="168"/>
    </row>
    <row r="4197" spans="2:4">
      <c r="B4197" s="474"/>
      <c r="C4197" s="167"/>
      <c r="D4197" s="168"/>
    </row>
    <row r="4198" spans="2:4">
      <c r="B4198" s="474"/>
      <c r="C4198" s="167"/>
      <c r="D4198" s="168"/>
    </row>
    <row r="4199" spans="2:4">
      <c r="B4199" s="474"/>
      <c r="C4199" s="167"/>
      <c r="D4199" s="168"/>
    </row>
    <row r="4200" spans="2:4">
      <c r="B4200" s="474"/>
      <c r="C4200" s="167"/>
      <c r="D4200" s="168"/>
    </row>
    <row r="4201" spans="2:4">
      <c r="B4201" s="474"/>
      <c r="C4201" s="167"/>
      <c r="D4201" s="168"/>
    </row>
    <row r="4202" spans="2:4">
      <c r="B4202" s="474"/>
      <c r="C4202" s="167"/>
      <c r="D4202" s="168"/>
    </row>
    <row r="4203" spans="2:4">
      <c r="B4203" s="474"/>
      <c r="C4203" s="167"/>
      <c r="D4203" s="168"/>
    </row>
    <row r="4204" spans="2:4">
      <c r="B4204" s="474"/>
      <c r="C4204" s="167"/>
      <c r="D4204" s="168"/>
    </row>
    <row r="4205" spans="2:4">
      <c r="B4205" s="474"/>
      <c r="C4205" s="167"/>
      <c r="D4205" s="168"/>
    </row>
    <row r="4206" spans="2:4">
      <c r="B4206" s="474"/>
      <c r="C4206" s="167"/>
      <c r="D4206" s="168"/>
    </row>
    <row r="4207" spans="2:4">
      <c r="B4207" s="474"/>
      <c r="C4207" s="167"/>
      <c r="D4207" s="168"/>
    </row>
    <row r="4208" spans="2:4">
      <c r="B4208" s="474"/>
      <c r="C4208" s="167"/>
      <c r="D4208" s="168"/>
    </row>
    <row r="4209" spans="2:4">
      <c r="B4209" s="474"/>
      <c r="C4209" s="167"/>
      <c r="D4209" s="168"/>
    </row>
    <row r="4210" spans="2:4">
      <c r="B4210" s="474"/>
      <c r="C4210" s="167"/>
      <c r="D4210" s="168"/>
    </row>
    <row r="4211" spans="2:4">
      <c r="B4211" s="474"/>
      <c r="C4211" s="167"/>
      <c r="D4211" s="168"/>
    </row>
    <row r="4212" spans="2:4">
      <c r="B4212" s="474"/>
      <c r="C4212" s="167"/>
      <c r="D4212" s="168"/>
    </row>
    <row r="4213" spans="2:4">
      <c r="B4213" s="474"/>
      <c r="C4213" s="167"/>
      <c r="D4213" s="168"/>
    </row>
    <row r="4214" spans="2:4">
      <c r="B4214" s="474"/>
      <c r="C4214" s="167"/>
      <c r="D4214" s="168"/>
    </row>
    <row r="4215" spans="2:4">
      <c r="B4215" s="474"/>
      <c r="C4215" s="167"/>
      <c r="D4215" s="168"/>
    </row>
    <row r="4216" spans="2:4">
      <c r="B4216" s="474"/>
      <c r="C4216" s="167"/>
      <c r="D4216" s="168"/>
    </row>
    <row r="4217" spans="2:4">
      <c r="B4217" s="474"/>
      <c r="C4217" s="167"/>
      <c r="D4217" s="168"/>
    </row>
    <row r="4218" spans="2:4">
      <c r="B4218" s="474"/>
      <c r="C4218" s="167"/>
      <c r="D4218" s="168"/>
    </row>
    <row r="4219" spans="2:4">
      <c r="B4219" s="474"/>
      <c r="C4219" s="167"/>
      <c r="D4219" s="168"/>
    </row>
    <row r="4220" spans="2:4">
      <c r="B4220" s="474"/>
      <c r="C4220" s="167"/>
      <c r="D4220" s="168"/>
    </row>
    <row r="4221" spans="2:4">
      <c r="B4221" s="474"/>
      <c r="C4221" s="167"/>
      <c r="D4221" s="168"/>
    </row>
    <row r="4222" spans="2:4">
      <c r="B4222" s="474"/>
      <c r="C4222" s="167"/>
      <c r="D4222" s="168"/>
    </row>
    <row r="4223" spans="2:4">
      <c r="B4223" s="474"/>
      <c r="C4223" s="167"/>
      <c r="D4223" s="168"/>
    </row>
    <row r="4224" spans="2:4">
      <c r="B4224" s="474"/>
      <c r="C4224" s="167"/>
      <c r="D4224" s="168"/>
    </row>
    <row r="4225" spans="2:4">
      <c r="B4225" s="474"/>
      <c r="C4225" s="167"/>
      <c r="D4225" s="168"/>
    </row>
    <row r="4226" spans="2:4">
      <c r="B4226" s="474"/>
      <c r="C4226" s="167"/>
      <c r="D4226" s="168"/>
    </row>
    <row r="4227" spans="2:4">
      <c r="B4227" s="474"/>
      <c r="C4227" s="167"/>
      <c r="D4227" s="168"/>
    </row>
    <row r="4228" spans="2:4">
      <c r="B4228" s="474"/>
      <c r="C4228" s="167"/>
      <c r="D4228" s="168"/>
    </row>
    <row r="4229" spans="2:4">
      <c r="B4229" s="474"/>
      <c r="C4229" s="167"/>
      <c r="D4229" s="168"/>
    </row>
    <row r="4230" spans="2:4">
      <c r="B4230" s="474"/>
      <c r="C4230" s="167"/>
      <c r="D4230" s="168"/>
    </row>
    <row r="4231" spans="2:4">
      <c r="B4231" s="474"/>
      <c r="C4231" s="167"/>
      <c r="D4231" s="168"/>
    </row>
    <row r="4232" spans="2:4">
      <c r="B4232" s="474"/>
      <c r="C4232" s="167"/>
      <c r="D4232" s="168"/>
    </row>
    <row r="4233" spans="2:4">
      <c r="B4233" s="474"/>
      <c r="C4233" s="167"/>
      <c r="D4233" s="168"/>
    </row>
    <row r="4234" spans="2:4">
      <c r="B4234" s="474"/>
      <c r="C4234" s="167"/>
      <c r="D4234" s="168"/>
    </row>
    <row r="4235" spans="2:4">
      <c r="B4235" s="474"/>
      <c r="C4235" s="167"/>
      <c r="D4235" s="168"/>
    </row>
    <row r="4236" spans="2:4">
      <c r="B4236" s="474"/>
      <c r="C4236" s="167"/>
      <c r="D4236" s="168"/>
    </row>
    <row r="4237" spans="2:4">
      <c r="B4237" s="474"/>
      <c r="C4237" s="167"/>
      <c r="D4237" s="168"/>
    </row>
    <row r="4238" spans="2:4">
      <c r="B4238" s="474"/>
      <c r="C4238" s="167"/>
      <c r="D4238" s="168"/>
    </row>
    <row r="4239" spans="2:4">
      <c r="B4239" s="474"/>
      <c r="C4239" s="167"/>
      <c r="D4239" s="168"/>
    </row>
    <row r="4240" spans="2:4">
      <c r="B4240" s="474"/>
      <c r="C4240" s="167"/>
      <c r="D4240" s="168"/>
    </row>
    <row r="4241" spans="2:4">
      <c r="B4241" s="474"/>
      <c r="C4241" s="167"/>
      <c r="D4241" s="168"/>
    </row>
    <row r="4242" spans="2:4">
      <c r="B4242" s="474"/>
      <c r="C4242" s="167"/>
      <c r="D4242" s="168"/>
    </row>
    <row r="4243" spans="2:4">
      <c r="B4243" s="474"/>
      <c r="C4243" s="167"/>
      <c r="D4243" s="168"/>
    </row>
    <row r="4244" spans="2:4">
      <c r="B4244" s="474"/>
      <c r="C4244" s="167"/>
      <c r="D4244" s="168"/>
    </row>
    <row r="4245" spans="2:4">
      <c r="B4245" s="474"/>
      <c r="C4245" s="167"/>
      <c r="D4245" s="168"/>
    </row>
    <row r="4246" spans="2:4">
      <c r="B4246" s="474"/>
      <c r="C4246" s="167"/>
      <c r="D4246" s="168"/>
    </row>
    <row r="4247" spans="2:4">
      <c r="B4247" s="474"/>
      <c r="C4247" s="167"/>
      <c r="D4247" s="168"/>
    </row>
    <row r="4248" spans="2:4">
      <c r="B4248" s="474"/>
      <c r="C4248" s="167"/>
      <c r="D4248" s="168"/>
    </row>
    <row r="4249" spans="2:4">
      <c r="B4249" s="474"/>
      <c r="C4249" s="167"/>
      <c r="D4249" s="168"/>
    </row>
    <row r="4250" spans="2:4">
      <c r="B4250" s="474"/>
      <c r="C4250" s="167"/>
      <c r="D4250" s="168"/>
    </row>
    <row r="4251" spans="2:4">
      <c r="B4251" s="474"/>
      <c r="C4251" s="167"/>
      <c r="D4251" s="168"/>
    </row>
    <row r="4252" spans="2:4">
      <c r="B4252" s="474"/>
      <c r="C4252" s="167"/>
      <c r="D4252" s="168"/>
    </row>
    <row r="4253" spans="2:4">
      <c r="B4253" s="474"/>
      <c r="C4253" s="167"/>
      <c r="D4253" s="168"/>
    </row>
    <row r="4254" spans="2:4">
      <c r="B4254" s="474"/>
      <c r="C4254" s="167"/>
      <c r="D4254" s="168"/>
    </row>
    <row r="4255" spans="2:4">
      <c r="B4255" s="474"/>
      <c r="C4255" s="167"/>
      <c r="D4255" s="168"/>
    </row>
    <row r="4256" spans="2:4">
      <c r="B4256" s="474"/>
      <c r="C4256" s="167"/>
      <c r="D4256" s="168"/>
    </row>
    <row r="4257" spans="2:4">
      <c r="B4257" s="474"/>
      <c r="C4257" s="167"/>
      <c r="D4257" s="168"/>
    </row>
    <row r="4258" spans="2:4">
      <c r="B4258" s="474"/>
      <c r="C4258" s="167"/>
      <c r="D4258" s="168"/>
    </row>
    <row r="4259" spans="2:4">
      <c r="B4259" s="474"/>
      <c r="C4259" s="167"/>
      <c r="D4259" s="168"/>
    </row>
    <row r="4260" spans="2:4">
      <c r="B4260" s="474"/>
      <c r="C4260" s="167"/>
      <c r="D4260" s="168"/>
    </row>
    <row r="4261" spans="2:4">
      <c r="B4261" s="474"/>
      <c r="C4261" s="167"/>
      <c r="D4261" s="168"/>
    </row>
    <row r="4262" spans="2:4">
      <c r="B4262" s="474"/>
      <c r="C4262" s="167"/>
      <c r="D4262" s="168"/>
    </row>
    <row r="4263" spans="2:4">
      <c r="B4263" s="474"/>
      <c r="C4263" s="167"/>
      <c r="D4263" s="168"/>
    </row>
    <row r="4264" spans="2:4">
      <c r="B4264" s="474"/>
      <c r="C4264" s="167"/>
      <c r="D4264" s="168"/>
    </row>
    <row r="4265" spans="2:4">
      <c r="B4265" s="474"/>
      <c r="C4265" s="167"/>
      <c r="D4265" s="168"/>
    </row>
    <row r="4266" spans="2:4">
      <c r="B4266" s="474"/>
      <c r="C4266" s="167"/>
      <c r="D4266" s="168"/>
    </row>
    <row r="4267" spans="2:4">
      <c r="B4267" s="474"/>
      <c r="C4267" s="167"/>
      <c r="D4267" s="168"/>
    </row>
    <row r="4268" spans="2:4">
      <c r="B4268" s="474"/>
      <c r="C4268" s="167"/>
      <c r="D4268" s="168"/>
    </row>
    <row r="4269" spans="2:4">
      <c r="B4269" s="474"/>
      <c r="C4269" s="167"/>
      <c r="D4269" s="168"/>
    </row>
    <row r="4270" spans="2:4">
      <c r="B4270" s="474"/>
      <c r="C4270" s="167"/>
      <c r="D4270" s="168"/>
    </row>
    <row r="4271" spans="2:4">
      <c r="B4271" s="474"/>
      <c r="C4271" s="167"/>
      <c r="D4271" s="168"/>
    </row>
    <row r="4272" spans="2:4">
      <c r="B4272" s="474"/>
      <c r="C4272" s="167"/>
      <c r="D4272" s="168"/>
    </row>
    <row r="4273" spans="2:4">
      <c r="B4273" s="474"/>
      <c r="C4273" s="167"/>
      <c r="D4273" s="168"/>
    </row>
    <row r="4274" spans="2:4">
      <c r="B4274" s="474"/>
      <c r="C4274" s="167"/>
      <c r="D4274" s="168"/>
    </row>
    <row r="4275" spans="2:4">
      <c r="B4275" s="474"/>
      <c r="C4275" s="167"/>
      <c r="D4275" s="168"/>
    </row>
    <row r="4276" spans="2:4">
      <c r="B4276" s="474"/>
      <c r="C4276" s="167"/>
      <c r="D4276" s="168"/>
    </row>
    <row r="4277" spans="2:4">
      <c r="B4277" s="474"/>
      <c r="C4277" s="167"/>
      <c r="D4277" s="168"/>
    </row>
    <row r="4278" spans="2:4">
      <c r="B4278" s="474"/>
      <c r="C4278" s="167"/>
      <c r="D4278" s="168"/>
    </row>
    <row r="4279" spans="2:4">
      <c r="B4279" s="474"/>
      <c r="C4279" s="167"/>
      <c r="D4279" s="168"/>
    </row>
    <row r="4280" spans="2:4">
      <c r="B4280" s="474"/>
      <c r="C4280" s="167"/>
      <c r="D4280" s="168"/>
    </row>
    <row r="4281" spans="2:4">
      <c r="B4281" s="474"/>
      <c r="C4281" s="167"/>
      <c r="D4281" s="168"/>
    </row>
    <row r="4282" spans="2:4">
      <c r="B4282" s="474"/>
      <c r="C4282" s="167"/>
      <c r="D4282" s="168"/>
    </row>
    <row r="4283" spans="2:4">
      <c r="B4283" s="474"/>
      <c r="C4283" s="167"/>
      <c r="D4283" s="168"/>
    </row>
    <row r="4284" spans="2:4">
      <c r="B4284" s="474"/>
      <c r="C4284" s="167"/>
      <c r="D4284" s="168"/>
    </row>
    <row r="4285" spans="2:4">
      <c r="B4285" s="474"/>
      <c r="C4285" s="167"/>
      <c r="D4285" s="168"/>
    </row>
    <row r="4286" spans="2:4">
      <c r="B4286" s="474"/>
      <c r="C4286" s="167"/>
      <c r="D4286" s="168"/>
    </row>
    <row r="4287" spans="2:4">
      <c r="B4287" s="474"/>
      <c r="C4287" s="167"/>
      <c r="D4287" s="168"/>
    </row>
    <row r="4288" spans="2:4">
      <c r="B4288" s="474"/>
      <c r="C4288" s="167"/>
      <c r="D4288" s="168"/>
    </row>
    <row r="4289" spans="2:4">
      <c r="B4289" s="474"/>
      <c r="C4289" s="167"/>
      <c r="D4289" s="168"/>
    </row>
    <row r="4290" spans="2:4">
      <c r="B4290" s="474"/>
      <c r="C4290" s="167"/>
      <c r="D4290" s="168"/>
    </row>
    <row r="4291" spans="2:4">
      <c r="B4291" s="474"/>
      <c r="C4291" s="167"/>
      <c r="D4291" s="168"/>
    </row>
    <row r="4292" spans="2:4">
      <c r="B4292" s="474"/>
      <c r="C4292" s="167"/>
      <c r="D4292" s="168"/>
    </row>
    <row r="4293" spans="2:4">
      <c r="B4293" s="474"/>
      <c r="C4293" s="167"/>
      <c r="D4293" s="168"/>
    </row>
    <row r="4294" spans="2:4">
      <c r="B4294" s="474"/>
      <c r="C4294" s="167"/>
      <c r="D4294" s="168"/>
    </row>
    <row r="4295" spans="2:4">
      <c r="B4295" s="474"/>
      <c r="C4295" s="167"/>
      <c r="D4295" s="168"/>
    </row>
    <row r="4296" spans="2:4">
      <c r="B4296" s="474"/>
      <c r="C4296" s="167"/>
      <c r="D4296" s="168"/>
    </row>
    <row r="4297" spans="2:4">
      <c r="B4297" s="474"/>
      <c r="C4297" s="167"/>
      <c r="D4297" s="168"/>
    </row>
    <row r="4298" spans="2:4">
      <c r="B4298" s="474"/>
      <c r="C4298" s="167"/>
      <c r="D4298" s="168"/>
    </row>
    <row r="4299" spans="2:4">
      <c r="B4299" s="474"/>
      <c r="C4299" s="167"/>
      <c r="D4299" s="168"/>
    </row>
    <row r="4300" spans="2:4">
      <c r="B4300" s="474"/>
      <c r="C4300" s="167"/>
      <c r="D4300" s="168"/>
    </row>
    <row r="4301" spans="2:4">
      <c r="B4301" s="474"/>
      <c r="C4301" s="167"/>
      <c r="D4301" s="168"/>
    </row>
    <row r="4302" spans="2:4">
      <c r="B4302" s="474"/>
      <c r="C4302" s="167"/>
      <c r="D4302" s="168"/>
    </row>
    <row r="4303" spans="2:4">
      <c r="B4303" s="474"/>
      <c r="C4303" s="167"/>
      <c r="D4303" s="168"/>
    </row>
    <row r="4304" spans="2:4">
      <c r="B4304" s="474"/>
      <c r="C4304" s="167"/>
      <c r="D4304" s="168"/>
    </row>
    <row r="4305" spans="2:4">
      <c r="B4305" s="474"/>
      <c r="C4305" s="167"/>
      <c r="D4305" s="168"/>
    </row>
    <row r="4306" spans="2:4">
      <c r="B4306" s="474"/>
      <c r="C4306" s="167"/>
      <c r="D4306" s="168"/>
    </row>
    <row r="4307" spans="2:4">
      <c r="B4307" s="474"/>
      <c r="C4307" s="167"/>
      <c r="D4307" s="168"/>
    </row>
    <row r="4308" spans="2:4">
      <c r="B4308" s="474"/>
      <c r="C4308" s="167"/>
      <c r="D4308" s="168"/>
    </row>
    <row r="4309" spans="2:4">
      <c r="B4309" s="474"/>
      <c r="C4309" s="167"/>
      <c r="D4309" s="168"/>
    </row>
    <row r="4310" spans="2:4">
      <c r="B4310" s="474"/>
      <c r="C4310" s="167"/>
      <c r="D4310" s="168"/>
    </row>
    <row r="4311" spans="2:4">
      <c r="B4311" s="474"/>
      <c r="C4311" s="167"/>
      <c r="D4311" s="168"/>
    </row>
    <row r="4312" spans="2:4">
      <c r="B4312" s="474"/>
      <c r="C4312" s="167"/>
      <c r="D4312" s="168"/>
    </row>
    <row r="4313" spans="2:4">
      <c r="B4313" s="474"/>
      <c r="C4313" s="167"/>
      <c r="D4313" s="168"/>
    </row>
    <row r="4314" spans="2:4">
      <c r="B4314" s="474"/>
      <c r="C4314" s="167"/>
      <c r="D4314" s="168"/>
    </row>
    <row r="4315" spans="2:4">
      <c r="B4315" s="474"/>
      <c r="C4315" s="167"/>
      <c r="D4315" s="168"/>
    </row>
    <row r="4316" spans="2:4">
      <c r="B4316" s="474"/>
      <c r="C4316" s="167"/>
      <c r="D4316" s="168"/>
    </row>
    <row r="4317" spans="2:4">
      <c r="B4317" s="474"/>
      <c r="C4317" s="167"/>
      <c r="D4317" s="168"/>
    </row>
    <row r="4318" spans="2:4">
      <c r="B4318" s="474"/>
      <c r="C4318" s="167"/>
      <c r="D4318" s="168"/>
    </row>
    <row r="4319" spans="2:4">
      <c r="B4319" s="474"/>
      <c r="C4319" s="167"/>
      <c r="D4319" s="168"/>
    </row>
    <row r="4320" spans="2:4">
      <c r="B4320" s="474"/>
      <c r="C4320" s="167"/>
      <c r="D4320" s="168"/>
    </row>
    <row r="4321" spans="2:4">
      <c r="B4321" s="474"/>
      <c r="C4321" s="167"/>
      <c r="D4321" s="168"/>
    </row>
    <row r="4322" spans="2:4">
      <c r="B4322" s="474"/>
      <c r="C4322" s="167"/>
      <c r="D4322" s="168"/>
    </row>
    <row r="4323" spans="2:4">
      <c r="B4323" s="474"/>
      <c r="C4323" s="167"/>
      <c r="D4323" s="168"/>
    </row>
    <row r="4324" spans="2:4">
      <c r="B4324" s="474"/>
      <c r="C4324" s="167"/>
      <c r="D4324" s="168"/>
    </row>
    <row r="4325" spans="2:4">
      <c r="B4325" s="474"/>
      <c r="C4325" s="167"/>
      <c r="D4325" s="168"/>
    </row>
    <row r="4326" spans="2:4">
      <c r="B4326" s="474"/>
      <c r="C4326" s="167"/>
      <c r="D4326" s="168"/>
    </row>
    <row r="4327" spans="2:4">
      <c r="B4327" s="474"/>
      <c r="C4327" s="167"/>
      <c r="D4327" s="168"/>
    </row>
    <row r="4328" spans="2:4">
      <c r="B4328" s="474"/>
      <c r="C4328" s="167"/>
      <c r="D4328" s="168"/>
    </row>
    <row r="4329" spans="2:4">
      <c r="B4329" s="474"/>
      <c r="C4329" s="167"/>
      <c r="D4329" s="168"/>
    </row>
    <row r="4330" spans="2:4">
      <c r="B4330" s="474"/>
      <c r="C4330" s="167"/>
      <c r="D4330" s="168"/>
    </row>
    <row r="4331" spans="2:4">
      <c r="B4331" s="474"/>
      <c r="C4331" s="167"/>
      <c r="D4331" s="168"/>
    </row>
    <row r="4332" spans="2:4">
      <c r="B4332" s="474"/>
      <c r="C4332" s="167"/>
      <c r="D4332" s="168"/>
    </row>
    <row r="4333" spans="2:4">
      <c r="B4333" s="474"/>
      <c r="C4333" s="167"/>
      <c r="D4333" s="168"/>
    </row>
    <row r="4334" spans="2:4">
      <c r="B4334" s="474"/>
      <c r="C4334" s="167"/>
      <c r="D4334" s="168"/>
    </row>
    <row r="4335" spans="2:4">
      <c r="B4335" s="474"/>
      <c r="C4335" s="167"/>
      <c r="D4335" s="168"/>
    </row>
    <row r="4336" spans="2:4">
      <c r="B4336" s="474"/>
      <c r="C4336" s="167"/>
      <c r="D4336" s="168"/>
    </row>
    <row r="4337" spans="2:4">
      <c r="B4337" s="474"/>
      <c r="C4337" s="167"/>
      <c r="D4337" s="168"/>
    </row>
    <row r="4338" spans="2:4">
      <c r="B4338" s="474"/>
      <c r="C4338" s="167"/>
      <c r="D4338" s="168"/>
    </row>
    <row r="4339" spans="2:4">
      <c r="B4339" s="474"/>
      <c r="C4339" s="167"/>
      <c r="D4339" s="168"/>
    </row>
    <row r="4340" spans="2:4">
      <c r="B4340" s="474"/>
      <c r="C4340" s="167"/>
      <c r="D4340" s="168"/>
    </row>
    <row r="4341" spans="2:4">
      <c r="B4341" s="474"/>
      <c r="C4341" s="167"/>
      <c r="D4341" s="168"/>
    </row>
    <row r="4342" spans="2:4">
      <c r="B4342" s="474"/>
      <c r="C4342" s="167"/>
      <c r="D4342" s="168"/>
    </row>
    <row r="4343" spans="2:4">
      <c r="B4343" s="474"/>
      <c r="C4343" s="167"/>
      <c r="D4343" s="168"/>
    </row>
    <row r="4344" spans="2:4">
      <c r="B4344" s="474"/>
      <c r="C4344" s="167"/>
      <c r="D4344" s="168"/>
    </row>
    <row r="4345" spans="2:4">
      <c r="B4345" s="474"/>
      <c r="C4345" s="167"/>
      <c r="D4345" s="168"/>
    </row>
    <row r="4346" spans="2:4">
      <c r="B4346" s="474"/>
      <c r="C4346" s="167"/>
      <c r="D4346" s="168"/>
    </row>
    <row r="4347" spans="2:4">
      <c r="B4347" s="474"/>
      <c r="C4347" s="167"/>
      <c r="D4347" s="168"/>
    </row>
    <row r="4348" spans="2:4">
      <c r="B4348" s="474"/>
      <c r="C4348" s="167"/>
      <c r="D4348" s="168"/>
    </row>
    <row r="4349" spans="2:4">
      <c r="B4349" s="474"/>
      <c r="C4349" s="167"/>
      <c r="D4349" s="168"/>
    </row>
    <row r="4350" spans="2:4">
      <c r="B4350" s="474"/>
      <c r="C4350" s="167"/>
      <c r="D4350" s="168"/>
    </row>
    <row r="4351" spans="2:4">
      <c r="B4351" s="474"/>
      <c r="C4351" s="167"/>
      <c r="D4351" s="168"/>
    </row>
    <row r="4352" spans="2:4">
      <c r="B4352" s="474"/>
      <c r="C4352" s="167"/>
      <c r="D4352" s="168"/>
    </row>
    <row r="4353" spans="2:4">
      <c r="B4353" s="474"/>
      <c r="C4353" s="167"/>
      <c r="D4353" s="168"/>
    </row>
    <row r="4354" spans="2:4">
      <c r="B4354" s="474"/>
      <c r="C4354" s="167"/>
      <c r="D4354" s="168"/>
    </row>
    <row r="4355" spans="2:4">
      <c r="B4355" s="474"/>
      <c r="C4355" s="167"/>
      <c r="D4355" s="168"/>
    </row>
    <row r="4356" spans="2:4">
      <c r="B4356" s="474"/>
      <c r="C4356" s="167"/>
      <c r="D4356" s="168"/>
    </row>
    <row r="4357" spans="2:4">
      <c r="B4357" s="474"/>
      <c r="C4357" s="167"/>
      <c r="D4357" s="168"/>
    </row>
    <row r="4358" spans="2:4">
      <c r="B4358" s="474"/>
      <c r="C4358" s="167"/>
      <c r="D4358" s="168"/>
    </row>
    <row r="4359" spans="2:4">
      <c r="B4359" s="474"/>
      <c r="C4359" s="167"/>
      <c r="D4359" s="168"/>
    </row>
    <row r="4360" spans="2:4">
      <c r="B4360" s="474"/>
      <c r="C4360" s="167"/>
      <c r="D4360" s="168"/>
    </row>
    <row r="4361" spans="2:4">
      <c r="B4361" s="474"/>
      <c r="C4361" s="167"/>
      <c r="D4361" s="168"/>
    </row>
    <row r="4362" spans="2:4">
      <c r="B4362" s="474"/>
      <c r="C4362" s="167"/>
      <c r="D4362" s="168"/>
    </row>
    <row r="4363" spans="2:4">
      <c r="B4363" s="474"/>
      <c r="C4363" s="167"/>
      <c r="D4363" s="168"/>
    </row>
    <row r="4364" spans="2:4">
      <c r="B4364" s="474"/>
      <c r="C4364" s="167"/>
      <c r="D4364" s="168"/>
    </row>
    <row r="4365" spans="2:4">
      <c r="B4365" s="474"/>
      <c r="C4365" s="167"/>
      <c r="D4365" s="168"/>
    </row>
    <row r="4366" spans="2:4">
      <c r="B4366" s="474"/>
      <c r="C4366" s="167"/>
      <c r="D4366" s="168"/>
    </row>
    <row r="4367" spans="2:4">
      <c r="B4367" s="474"/>
      <c r="C4367" s="167"/>
      <c r="D4367" s="168"/>
    </row>
    <row r="4368" spans="2:4">
      <c r="B4368" s="474"/>
      <c r="C4368" s="167"/>
      <c r="D4368" s="168"/>
    </row>
    <row r="4369" spans="2:4">
      <c r="B4369" s="474"/>
      <c r="C4369" s="167"/>
      <c r="D4369" s="168"/>
    </row>
    <row r="4370" spans="2:4">
      <c r="B4370" s="474"/>
      <c r="C4370" s="167"/>
      <c r="D4370" s="168"/>
    </row>
    <row r="4371" spans="2:4">
      <c r="B4371" s="474"/>
      <c r="C4371" s="167"/>
      <c r="D4371" s="168"/>
    </row>
    <row r="4372" spans="2:4">
      <c r="B4372" s="474"/>
      <c r="C4372" s="167"/>
      <c r="D4372" s="168"/>
    </row>
    <row r="4373" spans="2:4">
      <c r="B4373" s="474"/>
      <c r="C4373" s="167"/>
      <c r="D4373" s="168"/>
    </row>
    <row r="4374" spans="2:4">
      <c r="B4374" s="474"/>
      <c r="C4374" s="167"/>
      <c r="D4374" s="168"/>
    </row>
    <row r="4375" spans="2:4">
      <c r="B4375" s="474"/>
      <c r="C4375" s="167"/>
      <c r="D4375" s="168"/>
    </row>
    <row r="4376" spans="2:4">
      <c r="B4376" s="474"/>
      <c r="C4376" s="167"/>
      <c r="D4376" s="168"/>
    </row>
    <row r="4377" spans="2:4">
      <c r="B4377" s="474"/>
      <c r="C4377" s="167"/>
      <c r="D4377" s="168"/>
    </row>
    <row r="4378" spans="2:4">
      <c r="B4378" s="474"/>
      <c r="C4378" s="167"/>
      <c r="D4378" s="168"/>
    </row>
    <row r="4379" spans="2:4">
      <c r="B4379" s="474"/>
      <c r="C4379" s="167"/>
      <c r="D4379" s="168"/>
    </row>
    <row r="4380" spans="2:4">
      <c r="B4380" s="474"/>
      <c r="C4380" s="167"/>
      <c r="D4380" s="168"/>
    </row>
    <row r="4381" spans="2:4">
      <c r="B4381" s="474"/>
      <c r="C4381" s="167"/>
      <c r="D4381" s="168"/>
    </row>
    <row r="4382" spans="2:4">
      <c r="B4382" s="474"/>
      <c r="C4382" s="167"/>
      <c r="D4382" s="168"/>
    </row>
    <row r="4383" spans="2:4">
      <c r="B4383" s="474"/>
      <c r="C4383" s="167"/>
      <c r="D4383" s="168"/>
    </row>
    <row r="4384" spans="2:4">
      <c r="B4384" s="474"/>
      <c r="C4384" s="167"/>
      <c r="D4384" s="168"/>
    </row>
    <row r="4385" spans="2:4">
      <c r="B4385" s="474"/>
      <c r="C4385" s="167"/>
      <c r="D4385" s="168"/>
    </row>
    <row r="4386" spans="2:4">
      <c r="B4386" s="474"/>
      <c r="C4386" s="167"/>
      <c r="D4386" s="168"/>
    </row>
    <row r="4387" spans="2:4">
      <c r="B4387" s="474"/>
      <c r="C4387" s="167"/>
      <c r="D4387" s="168"/>
    </row>
    <row r="4388" spans="2:4">
      <c r="B4388" s="474"/>
      <c r="C4388" s="167"/>
      <c r="D4388" s="168"/>
    </row>
    <row r="4389" spans="2:4">
      <c r="B4389" s="474"/>
      <c r="C4389" s="167"/>
      <c r="D4389" s="168"/>
    </row>
    <row r="4390" spans="2:4">
      <c r="B4390" s="474"/>
      <c r="C4390" s="167"/>
      <c r="D4390" s="168"/>
    </row>
    <row r="4391" spans="2:4">
      <c r="B4391" s="474"/>
      <c r="C4391" s="167"/>
      <c r="D4391" s="168"/>
    </row>
    <row r="4392" spans="2:4">
      <c r="B4392" s="474"/>
      <c r="C4392" s="167"/>
      <c r="D4392" s="168"/>
    </row>
    <row r="4393" spans="2:4">
      <c r="B4393" s="474"/>
      <c r="C4393" s="167"/>
      <c r="D4393" s="168"/>
    </row>
    <row r="4394" spans="2:4">
      <c r="B4394" s="474"/>
      <c r="C4394" s="167"/>
      <c r="D4394" s="168"/>
    </row>
    <row r="4395" spans="2:4">
      <c r="B4395" s="474"/>
      <c r="C4395" s="167"/>
      <c r="D4395" s="168"/>
    </row>
    <row r="4396" spans="2:4">
      <c r="B4396" s="474"/>
      <c r="C4396" s="167"/>
      <c r="D4396" s="168"/>
    </row>
    <row r="4397" spans="2:4">
      <c r="B4397" s="474"/>
      <c r="C4397" s="167"/>
      <c r="D4397" s="168"/>
    </row>
    <row r="4398" spans="2:4">
      <c r="B4398" s="474"/>
      <c r="C4398" s="167"/>
      <c r="D4398" s="168"/>
    </row>
    <row r="4399" spans="2:4">
      <c r="B4399" s="474"/>
      <c r="C4399" s="167"/>
      <c r="D4399" s="168"/>
    </row>
    <row r="4400" spans="2:4">
      <c r="B4400" s="474"/>
      <c r="C4400" s="167"/>
      <c r="D4400" s="168"/>
    </row>
    <row r="4401" spans="2:4">
      <c r="B4401" s="474"/>
      <c r="C4401" s="167"/>
      <c r="D4401" s="168"/>
    </row>
    <row r="4402" spans="2:4">
      <c r="B4402" s="474"/>
      <c r="C4402" s="167"/>
      <c r="D4402" s="168"/>
    </row>
    <row r="4403" spans="2:4">
      <c r="B4403" s="474"/>
      <c r="C4403" s="167"/>
      <c r="D4403" s="168"/>
    </row>
    <row r="4404" spans="2:4">
      <c r="B4404" s="474"/>
      <c r="C4404" s="167"/>
      <c r="D4404" s="168"/>
    </row>
    <row r="4405" spans="2:4">
      <c r="B4405" s="474"/>
      <c r="C4405" s="167"/>
      <c r="D4405" s="168"/>
    </row>
    <row r="4406" spans="2:4">
      <c r="B4406" s="474"/>
      <c r="C4406" s="167"/>
      <c r="D4406" s="168"/>
    </row>
    <row r="4407" spans="2:4">
      <c r="B4407" s="474"/>
      <c r="C4407" s="167"/>
      <c r="D4407" s="168"/>
    </row>
    <row r="4408" spans="2:4">
      <c r="B4408" s="474"/>
      <c r="C4408" s="167"/>
      <c r="D4408" s="168"/>
    </row>
    <row r="4409" spans="2:4">
      <c r="B4409" s="474"/>
      <c r="C4409" s="167"/>
      <c r="D4409" s="168"/>
    </row>
    <row r="4410" spans="2:4">
      <c r="B4410" s="474"/>
      <c r="C4410" s="167"/>
      <c r="D4410" s="168"/>
    </row>
    <row r="4411" spans="2:4">
      <c r="B4411" s="474"/>
      <c r="C4411" s="167"/>
      <c r="D4411" s="168"/>
    </row>
    <row r="4412" spans="2:4">
      <c r="B4412" s="474"/>
      <c r="C4412" s="167"/>
      <c r="D4412" s="168"/>
    </row>
    <row r="4413" spans="2:4">
      <c r="B4413" s="474"/>
      <c r="C4413" s="167"/>
      <c r="D4413" s="168"/>
    </row>
    <row r="4414" spans="2:4">
      <c r="B4414" s="474"/>
      <c r="C4414" s="167"/>
      <c r="D4414" s="168"/>
    </row>
    <row r="4415" spans="2:4">
      <c r="B4415" s="474"/>
      <c r="C4415" s="167"/>
      <c r="D4415" s="168"/>
    </row>
    <row r="4416" spans="2:4">
      <c r="B4416" s="474"/>
      <c r="C4416" s="167"/>
      <c r="D4416" s="168"/>
    </row>
    <row r="4417" spans="2:4">
      <c r="B4417" s="474"/>
      <c r="C4417" s="167"/>
      <c r="D4417" s="168"/>
    </row>
    <row r="4418" spans="2:4">
      <c r="B4418" s="474"/>
      <c r="C4418" s="167"/>
      <c r="D4418" s="168"/>
    </row>
    <row r="4419" spans="2:4">
      <c r="B4419" s="474"/>
      <c r="C4419" s="167"/>
      <c r="D4419" s="168"/>
    </row>
    <row r="4420" spans="2:4">
      <c r="B4420" s="474"/>
      <c r="C4420" s="167"/>
      <c r="D4420" s="168"/>
    </row>
    <row r="4421" spans="2:4">
      <c r="B4421" s="474"/>
      <c r="C4421" s="167"/>
      <c r="D4421" s="168"/>
    </row>
    <row r="4422" spans="2:4">
      <c r="B4422" s="474"/>
      <c r="C4422" s="167"/>
      <c r="D4422" s="168"/>
    </row>
    <row r="4423" spans="2:4">
      <c r="B4423" s="474"/>
      <c r="C4423" s="167"/>
      <c r="D4423" s="168"/>
    </row>
    <row r="4424" spans="2:4">
      <c r="B4424" s="474"/>
      <c r="C4424" s="167"/>
      <c r="D4424" s="168"/>
    </row>
    <row r="4425" spans="2:4">
      <c r="B4425" s="474"/>
      <c r="C4425" s="167"/>
      <c r="D4425" s="168"/>
    </row>
    <row r="4426" spans="2:4">
      <c r="B4426" s="474"/>
      <c r="C4426" s="167"/>
      <c r="D4426" s="168"/>
    </row>
    <row r="4427" spans="2:4">
      <c r="B4427" s="474"/>
      <c r="C4427" s="167"/>
      <c r="D4427" s="168"/>
    </row>
    <row r="4428" spans="2:4">
      <c r="B4428" s="474"/>
      <c r="C4428" s="167"/>
      <c r="D4428" s="168"/>
    </row>
    <row r="4429" spans="2:4">
      <c r="B4429" s="474"/>
      <c r="C4429" s="167"/>
      <c r="D4429" s="168"/>
    </row>
    <row r="4430" spans="2:4">
      <c r="B4430" s="474"/>
      <c r="C4430" s="167"/>
      <c r="D4430" s="168"/>
    </row>
    <row r="4431" spans="2:4">
      <c r="B4431" s="474"/>
      <c r="C4431" s="167"/>
      <c r="D4431" s="168"/>
    </row>
    <row r="4432" spans="2:4">
      <c r="B4432" s="474"/>
      <c r="C4432" s="167"/>
      <c r="D4432" s="168"/>
    </row>
    <row r="4433" spans="2:4">
      <c r="B4433" s="474"/>
      <c r="C4433" s="167"/>
      <c r="D4433" s="168"/>
    </row>
    <row r="4434" spans="2:4">
      <c r="B4434" s="474"/>
      <c r="C4434" s="167"/>
      <c r="D4434" s="168"/>
    </row>
    <row r="4435" spans="2:4">
      <c r="B4435" s="474"/>
      <c r="C4435" s="167"/>
      <c r="D4435" s="168"/>
    </row>
    <row r="4436" spans="2:4">
      <c r="B4436" s="474"/>
      <c r="C4436" s="167"/>
      <c r="D4436" s="168"/>
    </row>
    <row r="4437" spans="2:4">
      <c r="B4437" s="474"/>
      <c r="C4437" s="167"/>
      <c r="D4437" s="168"/>
    </row>
    <row r="4438" spans="2:4">
      <c r="B4438" s="474"/>
      <c r="C4438" s="167"/>
      <c r="D4438" s="168"/>
    </row>
    <row r="4439" spans="2:4">
      <c r="B4439" s="474"/>
      <c r="C4439" s="167"/>
      <c r="D4439" s="168"/>
    </row>
    <row r="4440" spans="2:4">
      <c r="B4440" s="474"/>
      <c r="C4440" s="167"/>
      <c r="D4440" s="168"/>
    </row>
    <row r="4441" spans="2:4">
      <c r="B4441" s="474"/>
      <c r="C4441" s="167"/>
      <c r="D4441" s="168"/>
    </row>
    <row r="4442" spans="2:4">
      <c r="B4442" s="474"/>
      <c r="C4442" s="167"/>
      <c r="D4442" s="168"/>
    </row>
    <row r="4443" spans="2:4">
      <c r="B4443" s="474"/>
      <c r="C4443" s="167"/>
      <c r="D4443" s="168"/>
    </row>
    <row r="4444" spans="2:4">
      <c r="B4444" s="474"/>
      <c r="C4444" s="167"/>
      <c r="D4444" s="168"/>
    </row>
    <row r="4445" spans="2:4">
      <c r="B4445" s="474"/>
      <c r="C4445" s="167"/>
      <c r="D4445" s="168"/>
    </row>
    <row r="4446" spans="2:4">
      <c r="B4446" s="474"/>
      <c r="C4446" s="167"/>
      <c r="D4446" s="168"/>
    </row>
    <row r="4447" spans="2:4">
      <c r="B4447" s="474"/>
      <c r="C4447" s="167"/>
      <c r="D4447" s="168"/>
    </row>
    <row r="4448" spans="2:4">
      <c r="B4448" s="474"/>
      <c r="C4448" s="167"/>
      <c r="D4448" s="168"/>
    </row>
    <row r="4449" spans="2:4">
      <c r="B4449" s="474"/>
      <c r="C4449" s="167"/>
      <c r="D4449" s="168"/>
    </row>
    <row r="4450" spans="2:4">
      <c r="B4450" s="474"/>
      <c r="C4450" s="167"/>
      <c r="D4450" s="168"/>
    </row>
    <row r="4451" spans="2:4">
      <c r="B4451" s="474"/>
      <c r="C4451" s="167"/>
      <c r="D4451" s="168"/>
    </row>
    <row r="4452" spans="2:4">
      <c r="B4452" s="474"/>
      <c r="C4452" s="167"/>
      <c r="D4452" s="168"/>
    </row>
    <row r="4453" spans="2:4">
      <c r="B4453" s="474"/>
      <c r="C4453" s="167"/>
      <c r="D4453" s="168"/>
    </row>
    <row r="4454" spans="2:4">
      <c r="B4454" s="474"/>
      <c r="C4454" s="167"/>
      <c r="D4454" s="168"/>
    </row>
    <row r="4455" spans="2:4">
      <c r="B4455" s="474"/>
      <c r="C4455" s="167"/>
      <c r="D4455" s="168"/>
    </row>
    <row r="4456" spans="2:4">
      <c r="B4456" s="474"/>
      <c r="C4456" s="167"/>
      <c r="D4456" s="168"/>
    </row>
    <row r="4457" spans="2:4">
      <c r="B4457" s="474"/>
      <c r="C4457" s="167"/>
      <c r="D4457" s="168"/>
    </row>
    <row r="4458" spans="2:4">
      <c r="B4458" s="474"/>
      <c r="C4458" s="167"/>
      <c r="D4458" s="168"/>
    </row>
    <row r="4459" spans="2:4">
      <c r="B4459" s="474"/>
      <c r="C4459" s="167"/>
      <c r="D4459" s="168"/>
    </row>
    <row r="4460" spans="2:4">
      <c r="B4460" s="474"/>
      <c r="C4460" s="167"/>
      <c r="D4460" s="168"/>
    </row>
    <row r="4461" spans="2:4">
      <c r="B4461" s="474"/>
      <c r="C4461" s="167"/>
      <c r="D4461" s="168"/>
    </row>
    <row r="4462" spans="2:4">
      <c r="B4462" s="474"/>
      <c r="C4462" s="167"/>
      <c r="D4462" s="168"/>
    </row>
    <row r="4463" spans="2:4">
      <c r="B4463" s="474"/>
      <c r="C4463" s="167"/>
      <c r="D4463" s="168"/>
    </row>
    <row r="4464" spans="2:4">
      <c r="B4464" s="474"/>
      <c r="C4464" s="167"/>
      <c r="D4464" s="168"/>
    </row>
    <row r="4465" spans="2:4">
      <c r="B4465" s="474"/>
      <c r="C4465" s="167"/>
      <c r="D4465" s="168"/>
    </row>
    <row r="4466" spans="2:4">
      <c r="B4466" s="474"/>
      <c r="C4466" s="167"/>
      <c r="D4466" s="168"/>
    </row>
    <row r="4467" spans="2:4">
      <c r="B4467" s="474"/>
      <c r="C4467" s="167"/>
      <c r="D4467" s="168"/>
    </row>
    <row r="4468" spans="2:4">
      <c r="B4468" s="474"/>
      <c r="C4468" s="167"/>
      <c r="D4468" s="168"/>
    </row>
    <row r="4469" spans="2:4">
      <c r="B4469" s="474"/>
      <c r="C4469" s="167"/>
      <c r="D4469" s="168"/>
    </row>
    <row r="4470" spans="2:4">
      <c r="B4470" s="474"/>
      <c r="C4470" s="167"/>
      <c r="D4470" s="168"/>
    </row>
    <row r="4471" spans="2:4">
      <c r="B4471" s="474"/>
      <c r="C4471" s="167"/>
      <c r="D4471" s="168"/>
    </row>
    <row r="4472" spans="2:4">
      <c r="B4472" s="474"/>
      <c r="C4472" s="167"/>
      <c r="D4472" s="168"/>
    </row>
    <row r="4473" spans="2:4">
      <c r="B4473" s="474"/>
      <c r="C4473" s="167"/>
      <c r="D4473" s="168"/>
    </row>
    <row r="4474" spans="2:4">
      <c r="B4474" s="474"/>
      <c r="C4474" s="167"/>
      <c r="D4474" s="168"/>
    </row>
    <row r="4475" spans="2:4">
      <c r="B4475" s="474"/>
      <c r="C4475" s="167"/>
      <c r="D4475" s="168"/>
    </row>
    <row r="4476" spans="2:4">
      <c r="B4476" s="474"/>
      <c r="C4476" s="167"/>
      <c r="D4476" s="168"/>
    </row>
    <row r="4477" spans="2:4">
      <c r="B4477" s="474"/>
      <c r="C4477" s="167"/>
      <c r="D4477" s="168"/>
    </row>
    <row r="4478" spans="2:4">
      <c r="B4478" s="474"/>
      <c r="C4478" s="167"/>
      <c r="D4478" s="168"/>
    </row>
    <row r="4479" spans="2:4">
      <c r="B4479" s="474"/>
      <c r="C4479" s="167"/>
      <c r="D4479" s="168"/>
    </row>
    <row r="4480" spans="2:4">
      <c r="B4480" s="474"/>
      <c r="C4480" s="167"/>
      <c r="D4480" s="168"/>
    </row>
    <row r="4481" spans="2:4">
      <c r="B4481" s="474"/>
      <c r="C4481" s="167"/>
      <c r="D4481" s="168"/>
    </row>
    <row r="4482" spans="2:4">
      <c r="B4482" s="474"/>
      <c r="C4482" s="167"/>
      <c r="D4482" s="168"/>
    </row>
    <row r="4483" spans="2:4">
      <c r="B4483" s="474"/>
      <c r="C4483" s="167"/>
      <c r="D4483" s="168"/>
    </row>
    <row r="4484" spans="2:4">
      <c r="B4484" s="474"/>
      <c r="C4484" s="167"/>
      <c r="D4484" s="168"/>
    </row>
    <row r="4485" spans="2:4">
      <c r="B4485" s="474"/>
      <c r="C4485" s="167"/>
      <c r="D4485" s="168"/>
    </row>
    <row r="4486" spans="2:4">
      <c r="B4486" s="474"/>
      <c r="C4486" s="167"/>
      <c r="D4486" s="168"/>
    </row>
    <row r="4487" spans="2:4">
      <c r="B4487" s="474"/>
      <c r="C4487" s="167"/>
      <c r="D4487" s="168"/>
    </row>
    <row r="4488" spans="2:4">
      <c r="B4488" s="474"/>
      <c r="C4488" s="167"/>
      <c r="D4488" s="168"/>
    </row>
    <row r="4489" spans="2:4">
      <c r="B4489" s="474"/>
      <c r="C4489" s="167"/>
      <c r="D4489" s="168"/>
    </row>
    <row r="4490" spans="2:4">
      <c r="B4490" s="474"/>
      <c r="C4490" s="167"/>
      <c r="D4490" s="168"/>
    </row>
    <row r="4491" spans="2:4">
      <c r="B4491" s="474"/>
      <c r="C4491" s="167"/>
      <c r="D4491" s="168"/>
    </row>
    <row r="4492" spans="2:4">
      <c r="B4492" s="474"/>
      <c r="C4492" s="167"/>
      <c r="D4492" s="168"/>
    </row>
    <row r="4493" spans="2:4">
      <c r="B4493" s="474"/>
      <c r="C4493" s="167"/>
      <c r="D4493" s="168"/>
    </row>
    <row r="4494" spans="2:4">
      <c r="B4494" s="474"/>
      <c r="C4494" s="167"/>
      <c r="D4494" s="168"/>
    </row>
    <row r="4495" spans="2:4">
      <c r="B4495" s="474"/>
      <c r="C4495" s="167"/>
      <c r="D4495" s="168"/>
    </row>
    <row r="4496" spans="2:4">
      <c r="B4496" s="474"/>
      <c r="C4496" s="167"/>
      <c r="D4496" s="168"/>
    </row>
    <row r="4497" spans="2:4">
      <c r="B4497" s="474"/>
      <c r="C4497" s="167"/>
      <c r="D4497" s="168"/>
    </row>
    <row r="4498" spans="2:4">
      <c r="B4498" s="474"/>
      <c r="C4498" s="167"/>
      <c r="D4498" s="168"/>
    </row>
    <row r="4499" spans="2:4">
      <c r="B4499" s="474"/>
      <c r="C4499" s="167"/>
      <c r="D4499" s="168"/>
    </row>
    <row r="4500" spans="2:4">
      <c r="B4500" s="474"/>
      <c r="C4500" s="167"/>
      <c r="D4500" s="168"/>
    </row>
    <row r="4501" spans="2:4">
      <c r="B4501" s="474"/>
      <c r="C4501" s="167"/>
      <c r="D4501" s="168"/>
    </row>
    <row r="4502" spans="2:4">
      <c r="B4502" s="474"/>
      <c r="C4502" s="167"/>
      <c r="D4502" s="168"/>
    </row>
    <row r="4503" spans="2:4">
      <c r="B4503" s="474"/>
      <c r="C4503" s="167"/>
      <c r="D4503" s="168"/>
    </row>
    <row r="4504" spans="2:4">
      <c r="B4504" s="474"/>
      <c r="C4504" s="167"/>
      <c r="D4504" s="168"/>
    </row>
    <row r="4505" spans="2:4">
      <c r="B4505" s="474"/>
      <c r="C4505" s="167"/>
      <c r="D4505" s="168"/>
    </row>
    <row r="4506" spans="2:4">
      <c r="B4506" s="474"/>
      <c r="C4506" s="167"/>
      <c r="D4506" s="168"/>
    </row>
    <row r="4507" spans="2:4">
      <c r="B4507" s="474"/>
      <c r="C4507" s="167"/>
      <c r="D4507" s="168"/>
    </row>
    <row r="4508" spans="2:4">
      <c r="B4508" s="474"/>
      <c r="C4508" s="167"/>
      <c r="D4508" s="168"/>
    </row>
    <row r="4509" spans="2:4">
      <c r="B4509" s="474"/>
      <c r="C4509" s="167"/>
      <c r="D4509" s="168"/>
    </row>
    <row r="4510" spans="2:4">
      <c r="B4510" s="474"/>
      <c r="C4510" s="167"/>
      <c r="D4510" s="168"/>
    </row>
    <row r="4511" spans="2:4">
      <c r="B4511" s="474"/>
      <c r="C4511" s="167"/>
      <c r="D4511" s="168"/>
    </row>
    <row r="4512" spans="2:4">
      <c r="B4512" s="474"/>
      <c r="C4512" s="167"/>
      <c r="D4512" s="168"/>
    </row>
    <row r="4513" spans="2:4">
      <c r="B4513" s="474"/>
      <c r="C4513" s="167"/>
      <c r="D4513" s="168"/>
    </row>
    <row r="4514" spans="2:4">
      <c r="B4514" s="474"/>
      <c r="C4514" s="167"/>
      <c r="D4514" s="168"/>
    </row>
    <row r="4515" spans="2:4">
      <c r="B4515" s="474"/>
      <c r="C4515" s="167"/>
      <c r="D4515" s="168"/>
    </row>
    <row r="4516" spans="2:4">
      <c r="B4516" s="474"/>
      <c r="C4516" s="167"/>
      <c r="D4516" s="168"/>
    </row>
    <row r="4517" spans="2:4">
      <c r="B4517" s="474"/>
      <c r="C4517" s="167"/>
      <c r="D4517" s="168"/>
    </row>
    <row r="4518" spans="2:4">
      <c r="B4518" s="474"/>
      <c r="C4518" s="167"/>
      <c r="D4518" s="168"/>
    </row>
    <row r="4519" spans="2:4">
      <c r="B4519" s="474"/>
      <c r="C4519" s="167"/>
      <c r="D4519" s="168"/>
    </row>
    <row r="4520" spans="2:4">
      <c r="B4520" s="474"/>
      <c r="C4520" s="167"/>
      <c r="D4520" s="168"/>
    </row>
    <row r="4521" spans="2:4">
      <c r="B4521" s="474"/>
      <c r="C4521" s="167"/>
      <c r="D4521" s="168"/>
    </row>
    <row r="4522" spans="2:4">
      <c r="B4522" s="474"/>
      <c r="C4522" s="167"/>
      <c r="D4522" s="168"/>
    </row>
    <row r="4523" spans="2:4">
      <c r="B4523" s="474"/>
      <c r="C4523" s="167"/>
      <c r="D4523" s="168"/>
    </row>
    <row r="4524" spans="2:4">
      <c r="B4524" s="474"/>
      <c r="C4524" s="167"/>
      <c r="D4524" s="168"/>
    </row>
    <row r="4525" spans="2:4">
      <c r="B4525" s="474"/>
      <c r="C4525" s="167"/>
      <c r="D4525" s="168"/>
    </row>
    <row r="4526" spans="2:4">
      <c r="B4526" s="474"/>
      <c r="C4526" s="167"/>
      <c r="D4526" s="168"/>
    </row>
    <row r="4527" spans="2:4">
      <c r="B4527" s="474"/>
      <c r="C4527" s="167"/>
      <c r="D4527" s="168"/>
    </row>
    <row r="4528" spans="2:4">
      <c r="B4528" s="474"/>
      <c r="C4528" s="167"/>
      <c r="D4528" s="168"/>
    </row>
    <row r="4529" spans="2:4">
      <c r="B4529" s="474"/>
      <c r="C4529" s="167"/>
      <c r="D4529" s="168"/>
    </row>
    <row r="4530" spans="2:4">
      <c r="B4530" s="474"/>
      <c r="C4530" s="167"/>
      <c r="D4530" s="168"/>
    </row>
    <row r="4531" spans="2:4">
      <c r="B4531" s="474"/>
      <c r="C4531" s="167"/>
      <c r="D4531" s="168"/>
    </row>
    <row r="4532" spans="2:4">
      <c r="B4532" s="474"/>
      <c r="C4532" s="167"/>
      <c r="D4532" s="168"/>
    </row>
    <row r="4533" spans="2:4">
      <c r="B4533" s="474"/>
      <c r="C4533" s="167"/>
      <c r="D4533" s="168"/>
    </row>
    <row r="4534" spans="2:4">
      <c r="B4534" s="474"/>
      <c r="C4534" s="167"/>
      <c r="D4534" s="168"/>
    </row>
    <row r="4535" spans="2:4">
      <c r="B4535" s="474"/>
      <c r="C4535" s="167"/>
      <c r="D4535" s="168"/>
    </row>
    <row r="4536" spans="2:4">
      <c r="B4536" s="474"/>
      <c r="C4536" s="167"/>
      <c r="D4536" s="168"/>
    </row>
    <row r="4537" spans="2:4">
      <c r="B4537" s="474"/>
      <c r="C4537" s="167"/>
      <c r="D4537" s="168"/>
    </row>
    <row r="4538" spans="2:4">
      <c r="B4538" s="474"/>
      <c r="C4538" s="167"/>
      <c r="D4538" s="168"/>
    </row>
    <row r="4539" spans="2:4">
      <c r="B4539" s="474"/>
      <c r="C4539" s="167"/>
      <c r="D4539" s="168"/>
    </row>
    <row r="4540" spans="2:4">
      <c r="B4540" s="474"/>
      <c r="C4540" s="167"/>
      <c r="D4540" s="168"/>
    </row>
    <row r="4541" spans="2:4">
      <c r="B4541" s="474"/>
      <c r="C4541" s="167"/>
      <c r="D4541" s="168"/>
    </row>
    <row r="4542" spans="2:4">
      <c r="B4542" s="474"/>
      <c r="C4542" s="167"/>
      <c r="D4542" s="168"/>
    </row>
    <row r="4543" spans="2:4">
      <c r="B4543" s="474"/>
      <c r="C4543" s="167"/>
      <c r="D4543" s="168"/>
    </row>
    <row r="4544" spans="2:4">
      <c r="B4544" s="474"/>
      <c r="C4544" s="167"/>
      <c r="D4544" s="168"/>
    </row>
    <row r="4545" spans="2:4">
      <c r="B4545" s="474"/>
      <c r="C4545" s="167"/>
      <c r="D4545" s="168"/>
    </row>
    <row r="4546" spans="2:4">
      <c r="B4546" s="474"/>
      <c r="C4546" s="167"/>
      <c r="D4546" s="168"/>
    </row>
    <row r="4547" spans="2:4">
      <c r="B4547" s="474"/>
      <c r="C4547" s="167"/>
      <c r="D4547" s="168"/>
    </row>
    <row r="4548" spans="2:4">
      <c r="B4548" s="474"/>
      <c r="C4548" s="167"/>
      <c r="D4548" s="168"/>
    </row>
    <row r="4549" spans="2:4">
      <c r="B4549" s="474"/>
      <c r="C4549" s="167"/>
      <c r="D4549" s="168"/>
    </row>
    <row r="4550" spans="2:4">
      <c r="B4550" s="474"/>
      <c r="C4550" s="167"/>
      <c r="D4550" s="168"/>
    </row>
    <row r="4551" spans="2:4">
      <c r="B4551" s="474"/>
      <c r="C4551" s="167"/>
      <c r="D4551" s="168"/>
    </row>
    <row r="4552" spans="2:4">
      <c r="B4552" s="474"/>
      <c r="C4552" s="167"/>
      <c r="D4552" s="168"/>
    </row>
    <row r="4553" spans="2:4">
      <c r="B4553" s="474"/>
      <c r="C4553" s="167"/>
      <c r="D4553" s="168"/>
    </row>
    <row r="4554" spans="2:4">
      <c r="B4554" s="474"/>
      <c r="C4554" s="167"/>
      <c r="D4554" s="168"/>
    </row>
    <row r="4555" spans="2:4">
      <c r="B4555" s="474"/>
      <c r="C4555" s="167"/>
      <c r="D4555" s="168"/>
    </row>
    <row r="4556" spans="2:4">
      <c r="B4556" s="474"/>
      <c r="C4556" s="167"/>
      <c r="D4556" s="168"/>
    </row>
    <row r="4557" spans="2:4">
      <c r="B4557" s="474"/>
      <c r="C4557" s="167"/>
      <c r="D4557" s="168"/>
    </row>
    <row r="4558" spans="2:4">
      <c r="B4558" s="474"/>
      <c r="C4558" s="167"/>
      <c r="D4558" s="168"/>
    </row>
    <row r="4559" spans="2:4">
      <c r="B4559" s="474"/>
      <c r="C4559" s="167"/>
      <c r="D4559" s="168"/>
    </row>
    <row r="4560" spans="2:4">
      <c r="B4560" s="474"/>
      <c r="C4560" s="167"/>
      <c r="D4560" s="168"/>
    </row>
    <row r="4561" spans="2:4">
      <c r="B4561" s="474"/>
      <c r="C4561" s="167"/>
      <c r="D4561" s="168"/>
    </row>
    <row r="4562" spans="2:4">
      <c r="B4562" s="474"/>
      <c r="C4562" s="167"/>
      <c r="D4562" s="168"/>
    </row>
    <row r="4563" spans="2:4">
      <c r="B4563" s="474"/>
      <c r="C4563" s="167"/>
      <c r="D4563" s="168"/>
    </row>
    <row r="4564" spans="2:4">
      <c r="B4564" s="474"/>
      <c r="C4564" s="167"/>
      <c r="D4564" s="168"/>
    </row>
    <row r="4565" spans="2:4">
      <c r="B4565" s="474"/>
      <c r="C4565" s="167"/>
      <c r="D4565" s="168"/>
    </row>
    <row r="4566" spans="2:4">
      <c r="B4566" s="474"/>
      <c r="C4566" s="167"/>
      <c r="D4566" s="168"/>
    </row>
    <row r="4567" spans="2:4">
      <c r="B4567" s="474"/>
      <c r="C4567" s="167"/>
      <c r="D4567" s="168"/>
    </row>
    <row r="4568" spans="2:4">
      <c r="B4568" s="474"/>
      <c r="C4568" s="167"/>
      <c r="D4568" s="168"/>
    </row>
    <row r="4569" spans="2:4">
      <c r="B4569" s="474"/>
      <c r="C4569" s="167"/>
      <c r="D4569" s="168"/>
    </row>
    <row r="4570" spans="2:4">
      <c r="B4570" s="474"/>
      <c r="C4570" s="167"/>
      <c r="D4570" s="168"/>
    </row>
    <row r="4571" spans="2:4">
      <c r="B4571" s="474"/>
      <c r="C4571" s="167"/>
      <c r="D4571" s="168"/>
    </row>
    <row r="4572" spans="2:4">
      <c r="B4572" s="474"/>
      <c r="C4572" s="167"/>
      <c r="D4572" s="168"/>
    </row>
    <row r="4573" spans="2:4">
      <c r="B4573" s="474"/>
      <c r="C4573" s="167"/>
      <c r="D4573" s="168"/>
    </row>
    <row r="4574" spans="2:4">
      <c r="B4574" s="474"/>
      <c r="C4574" s="167"/>
      <c r="D4574" s="168"/>
    </row>
    <row r="4575" spans="2:4">
      <c r="B4575" s="474"/>
      <c r="C4575" s="167"/>
      <c r="D4575" s="168"/>
    </row>
    <row r="4576" spans="2:4">
      <c r="B4576" s="474"/>
      <c r="C4576" s="167"/>
      <c r="D4576" s="168"/>
    </row>
    <row r="4577" spans="2:4">
      <c r="B4577" s="474"/>
      <c r="C4577" s="167"/>
      <c r="D4577" s="168"/>
    </row>
    <row r="4578" spans="2:4">
      <c r="B4578" s="474"/>
      <c r="C4578" s="167"/>
      <c r="D4578" s="168"/>
    </row>
    <row r="4579" spans="2:4">
      <c r="B4579" s="474"/>
      <c r="C4579" s="167"/>
      <c r="D4579" s="168"/>
    </row>
    <row r="4580" spans="2:4">
      <c r="B4580" s="474"/>
      <c r="C4580" s="167"/>
      <c r="D4580" s="168"/>
    </row>
    <row r="4581" spans="2:4">
      <c r="B4581" s="474"/>
      <c r="C4581" s="167"/>
      <c r="D4581" s="168"/>
    </row>
    <row r="4582" spans="2:4">
      <c r="B4582" s="474"/>
      <c r="C4582" s="167"/>
      <c r="D4582" s="168"/>
    </row>
    <row r="4583" spans="2:4">
      <c r="B4583" s="474"/>
      <c r="C4583" s="167"/>
      <c r="D4583" s="168"/>
    </row>
    <row r="4584" spans="2:4">
      <c r="B4584" s="474"/>
      <c r="C4584" s="167"/>
      <c r="D4584" s="168"/>
    </row>
    <row r="4585" spans="2:4">
      <c r="B4585" s="474"/>
      <c r="C4585" s="167"/>
      <c r="D4585" s="168"/>
    </row>
    <row r="4586" spans="2:4">
      <c r="B4586" s="474"/>
      <c r="C4586" s="167"/>
      <c r="D4586" s="168"/>
    </row>
    <row r="4587" spans="2:4">
      <c r="B4587" s="474"/>
      <c r="C4587" s="167"/>
      <c r="D4587" s="168"/>
    </row>
    <row r="4588" spans="2:4">
      <c r="B4588" s="474"/>
      <c r="C4588" s="167"/>
      <c r="D4588" s="168"/>
    </row>
    <row r="4589" spans="2:4">
      <c r="B4589" s="474"/>
      <c r="C4589" s="167"/>
      <c r="D4589" s="168"/>
    </row>
    <row r="4590" spans="2:4">
      <c r="B4590" s="474"/>
      <c r="C4590" s="167"/>
      <c r="D4590" s="168"/>
    </row>
    <row r="4591" spans="2:4">
      <c r="B4591" s="474"/>
      <c r="C4591" s="167"/>
      <c r="D4591" s="168"/>
    </row>
    <row r="4592" spans="2:4">
      <c r="B4592" s="474"/>
      <c r="C4592" s="167"/>
      <c r="D4592" s="168"/>
    </row>
    <row r="4593" spans="2:4">
      <c r="B4593" s="474"/>
      <c r="C4593" s="167"/>
      <c r="D4593" s="168"/>
    </row>
    <row r="4594" spans="2:4">
      <c r="B4594" s="474"/>
      <c r="C4594" s="167"/>
      <c r="D4594" s="168"/>
    </row>
    <row r="4595" spans="2:4">
      <c r="B4595" s="474"/>
      <c r="C4595" s="167"/>
      <c r="D4595" s="168"/>
    </row>
    <row r="4596" spans="2:4">
      <c r="B4596" s="474"/>
      <c r="C4596" s="167"/>
      <c r="D4596" s="168"/>
    </row>
    <row r="4597" spans="2:4">
      <c r="B4597" s="474"/>
      <c r="C4597" s="167"/>
      <c r="D4597" s="168"/>
    </row>
    <row r="4598" spans="2:4">
      <c r="B4598" s="474"/>
      <c r="C4598" s="167"/>
      <c r="D4598" s="168"/>
    </row>
    <row r="4599" spans="2:4">
      <c r="B4599" s="474"/>
      <c r="C4599" s="167"/>
      <c r="D4599" s="168"/>
    </row>
    <row r="4600" spans="2:4">
      <c r="B4600" s="474"/>
      <c r="C4600" s="167"/>
      <c r="D4600" s="168"/>
    </row>
    <row r="4601" spans="2:4">
      <c r="B4601" s="474"/>
      <c r="C4601" s="167"/>
      <c r="D4601" s="168"/>
    </row>
    <row r="4602" spans="2:4">
      <c r="B4602" s="474"/>
      <c r="C4602" s="167"/>
      <c r="D4602" s="168"/>
    </row>
    <row r="4603" spans="2:4">
      <c r="B4603" s="474"/>
      <c r="C4603" s="167"/>
      <c r="D4603" s="168"/>
    </row>
    <row r="4604" spans="2:4">
      <c r="B4604" s="474"/>
      <c r="C4604" s="167"/>
      <c r="D4604" s="168"/>
    </row>
    <row r="4605" spans="2:4">
      <c r="B4605" s="474"/>
      <c r="C4605" s="167"/>
      <c r="D4605" s="168"/>
    </row>
    <row r="4606" spans="2:4">
      <c r="B4606" s="474"/>
      <c r="C4606" s="167"/>
      <c r="D4606" s="168"/>
    </row>
    <row r="4607" spans="2:4">
      <c r="B4607" s="474"/>
      <c r="C4607" s="167"/>
      <c r="D4607" s="168"/>
    </row>
    <row r="4608" spans="2:4">
      <c r="B4608" s="474"/>
      <c r="C4608" s="167"/>
      <c r="D4608" s="168"/>
    </row>
    <row r="4609" spans="2:4">
      <c r="B4609" s="474"/>
      <c r="C4609" s="167"/>
      <c r="D4609" s="168"/>
    </row>
    <row r="4610" spans="2:4">
      <c r="B4610" s="474"/>
      <c r="C4610" s="167"/>
      <c r="D4610" s="168"/>
    </row>
    <row r="4611" spans="2:4">
      <c r="B4611" s="474"/>
      <c r="C4611" s="167"/>
      <c r="D4611" s="168"/>
    </row>
    <row r="4612" spans="2:4">
      <c r="B4612" s="474"/>
      <c r="C4612" s="167"/>
      <c r="D4612" s="168"/>
    </row>
    <row r="4613" spans="2:4">
      <c r="B4613" s="474"/>
      <c r="C4613" s="167"/>
      <c r="D4613" s="168"/>
    </row>
    <row r="4614" spans="2:4">
      <c r="B4614" s="474"/>
      <c r="C4614" s="167"/>
      <c r="D4614" s="168"/>
    </row>
    <row r="4615" spans="2:4">
      <c r="B4615" s="474"/>
      <c r="C4615" s="167"/>
      <c r="D4615" s="168"/>
    </row>
    <row r="4616" spans="2:4">
      <c r="B4616" s="474"/>
      <c r="C4616" s="167"/>
      <c r="D4616" s="168"/>
    </row>
    <row r="4617" spans="2:4">
      <c r="B4617" s="474"/>
      <c r="C4617" s="167"/>
      <c r="D4617" s="168"/>
    </row>
    <row r="4618" spans="2:4">
      <c r="B4618" s="474"/>
      <c r="C4618" s="167"/>
      <c r="D4618" s="168"/>
    </row>
    <row r="4619" spans="2:4">
      <c r="B4619" s="474"/>
      <c r="C4619" s="167"/>
      <c r="D4619" s="168"/>
    </row>
    <row r="4620" spans="2:4">
      <c r="B4620" s="474"/>
      <c r="C4620" s="167"/>
      <c r="D4620" s="168"/>
    </row>
    <row r="4621" spans="2:4">
      <c r="B4621" s="474"/>
      <c r="C4621" s="167"/>
      <c r="D4621" s="168"/>
    </row>
    <row r="4622" spans="2:4">
      <c r="B4622" s="474"/>
      <c r="C4622" s="167"/>
      <c r="D4622" s="168"/>
    </row>
    <row r="4623" spans="2:4">
      <c r="B4623" s="474"/>
      <c r="C4623" s="167"/>
      <c r="D4623" s="168"/>
    </row>
    <row r="4624" spans="2:4">
      <c r="B4624" s="474"/>
      <c r="C4624" s="167"/>
      <c r="D4624" s="168"/>
    </row>
    <row r="4625" spans="2:4">
      <c r="B4625" s="474"/>
      <c r="C4625" s="167"/>
      <c r="D4625" s="168"/>
    </row>
    <row r="4626" spans="2:4">
      <c r="B4626" s="474"/>
      <c r="C4626" s="167"/>
      <c r="D4626" s="168"/>
    </row>
    <row r="4627" spans="2:4">
      <c r="B4627" s="474"/>
      <c r="C4627" s="167"/>
      <c r="D4627" s="168"/>
    </row>
    <row r="4628" spans="2:4">
      <c r="B4628" s="474"/>
      <c r="C4628" s="167"/>
      <c r="D4628" s="168"/>
    </row>
    <row r="4629" spans="2:4">
      <c r="B4629" s="474"/>
      <c r="C4629" s="167"/>
      <c r="D4629" s="168"/>
    </row>
    <row r="4630" spans="2:4">
      <c r="B4630" s="474"/>
      <c r="C4630" s="167"/>
      <c r="D4630" s="168"/>
    </row>
    <row r="4631" spans="2:4">
      <c r="B4631" s="474"/>
      <c r="C4631" s="167"/>
      <c r="D4631" s="168"/>
    </row>
    <row r="4632" spans="2:4">
      <c r="B4632" s="474"/>
      <c r="C4632" s="167"/>
      <c r="D4632" s="168"/>
    </row>
    <row r="4633" spans="2:4">
      <c r="B4633" s="474"/>
      <c r="C4633" s="167"/>
      <c r="D4633" s="168"/>
    </row>
    <row r="4634" spans="2:4">
      <c r="B4634" s="474"/>
      <c r="C4634" s="167"/>
      <c r="D4634" s="168"/>
    </row>
    <row r="4635" spans="2:4">
      <c r="B4635" s="474"/>
      <c r="C4635" s="167"/>
      <c r="D4635" s="168"/>
    </row>
    <row r="4636" spans="2:4">
      <c r="B4636" s="474"/>
      <c r="C4636" s="167"/>
      <c r="D4636" s="168"/>
    </row>
    <row r="4637" spans="2:4">
      <c r="B4637" s="474"/>
      <c r="C4637" s="167"/>
      <c r="D4637" s="168"/>
    </row>
    <row r="4638" spans="2:4">
      <c r="B4638" s="474"/>
      <c r="C4638" s="167"/>
      <c r="D4638" s="168"/>
    </row>
    <row r="4639" spans="2:4">
      <c r="B4639" s="474"/>
      <c r="C4639" s="167"/>
      <c r="D4639" s="168"/>
    </row>
    <row r="4640" spans="2:4">
      <c r="B4640" s="474"/>
      <c r="C4640" s="167"/>
      <c r="D4640" s="168"/>
    </row>
    <row r="4641" spans="2:4">
      <c r="B4641" s="474"/>
      <c r="C4641" s="167"/>
      <c r="D4641" s="168"/>
    </row>
    <row r="4642" spans="2:4">
      <c r="B4642" s="474"/>
      <c r="C4642" s="167"/>
      <c r="D4642" s="168"/>
    </row>
    <row r="4643" spans="2:4">
      <c r="B4643" s="474"/>
      <c r="C4643" s="167"/>
      <c r="D4643" s="168"/>
    </row>
    <row r="4644" spans="2:4">
      <c r="B4644" s="474"/>
      <c r="C4644" s="167"/>
      <c r="D4644" s="168"/>
    </row>
    <row r="4645" spans="2:4">
      <c r="B4645" s="474"/>
      <c r="C4645" s="167"/>
      <c r="D4645" s="168"/>
    </row>
    <row r="4646" spans="2:4">
      <c r="B4646" s="474"/>
      <c r="C4646" s="167"/>
      <c r="D4646" s="168"/>
    </row>
    <row r="4647" spans="2:4">
      <c r="B4647" s="474"/>
      <c r="C4647" s="167"/>
      <c r="D4647" s="168"/>
    </row>
    <row r="4648" spans="2:4">
      <c r="B4648" s="474"/>
      <c r="C4648" s="167"/>
      <c r="D4648" s="168"/>
    </row>
    <row r="4649" spans="2:4">
      <c r="B4649" s="474"/>
      <c r="C4649" s="167"/>
      <c r="D4649" s="168"/>
    </row>
    <row r="4650" spans="2:4">
      <c r="B4650" s="474"/>
      <c r="C4650" s="167"/>
      <c r="D4650" s="168"/>
    </row>
    <row r="4651" spans="2:4">
      <c r="B4651" s="474"/>
      <c r="C4651" s="167"/>
      <c r="D4651" s="168"/>
    </row>
    <row r="4652" spans="2:4">
      <c r="B4652" s="474"/>
      <c r="C4652" s="167"/>
      <c r="D4652" s="168"/>
    </row>
    <row r="4653" spans="2:4">
      <c r="B4653" s="474"/>
      <c r="C4653" s="167"/>
      <c r="D4653" s="168"/>
    </row>
    <row r="4654" spans="2:4">
      <c r="B4654" s="474"/>
      <c r="C4654" s="167"/>
      <c r="D4654" s="168"/>
    </row>
    <row r="4655" spans="2:4">
      <c r="B4655" s="474"/>
      <c r="C4655" s="167"/>
      <c r="D4655" s="168"/>
    </row>
    <row r="4656" spans="2:4">
      <c r="B4656" s="474"/>
      <c r="C4656" s="167"/>
      <c r="D4656" s="168"/>
    </row>
    <row r="4657" spans="2:4">
      <c r="B4657" s="474"/>
      <c r="C4657" s="167"/>
      <c r="D4657" s="168"/>
    </row>
    <row r="4658" spans="2:4">
      <c r="B4658" s="474"/>
      <c r="C4658" s="167"/>
      <c r="D4658" s="168"/>
    </row>
    <row r="4659" spans="2:4">
      <c r="B4659" s="474"/>
      <c r="C4659" s="167"/>
      <c r="D4659" s="168"/>
    </row>
    <row r="4660" spans="2:4">
      <c r="B4660" s="474"/>
      <c r="C4660" s="167"/>
      <c r="D4660" s="168"/>
    </row>
    <row r="4661" spans="2:4">
      <c r="B4661" s="474"/>
      <c r="C4661" s="167"/>
      <c r="D4661" s="168"/>
    </row>
    <row r="4662" spans="2:4">
      <c r="B4662" s="474"/>
      <c r="C4662" s="167"/>
      <c r="D4662" s="168"/>
    </row>
    <row r="4663" spans="2:4">
      <c r="B4663" s="474"/>
      <c r="C4663" s="167"/>
      <c r="D4663" s="168"/>
    </row>
    <row r="4664" spans="2:4">
      <c r="B4664" s="474"/>
      <c r="C4664" s="167"/>
      <c r="D4664" s="168"/>
    </row>
    <row r="4665" spans="2:4">
      <c r="B4665" s="474"/>
      <c r="C4665" s="167"/>
      <c r="D4665" s="168"/>
    </row>
    <row r="4666" spans="2:4">
      <c r="B4666" s="474"/>
      <c r="C4666" s="167"/>
      <c r="D4666" s="168"/>
    </row>
    <row r="4667" spans="2:4">
      <c r="B4667" s="474"/>
      <c r="C4667" s="167"/>
      <c r="D4667" s="168"/>
    </row>
    <row r="4668" spans="2:4">
      <c r="B4668" s="474"/>
      <c r="C4668" s="167"/>
      <c r="D4668" s="168"/>
    </row>
    <row r="4669" spans="2:4">
      <c r="B4669" s="474"/>
      <c r="C4669" s="167"/>
      <c r="D4669" s="168"/>
    </row>
    <row r="4670" spans="2:4">
      <c r="B4670" s="474"/>
      <c r="C4670" s="167"/>
      <c r="D4670" s="168"/>
    </row>
    <row r="4671" spans="2:4">
      <c r="B4671" s="474"/>
      <c r="C4671" s="167"/>
      <c r="D4671" s="168"/>
    </row>
    <row r="4672" spans="2:4">
      <c r="B4672" s="474"/>
      <c r="C4672" s="167"/>
      <c r="D4672" s="168"/>
    </row>
    <row r="4673" spans="2:4">
      <c r="B4673" s="474"/>
      <c r="C4673" s="167"/>
      <c r="D4673" s="168"/>
    </row>
    <row r="4674" spans="2:4">
      <c r="B4674" s="474"/>
      <c r="C4674" s="167"/>
      <c r="D4674" s="168"/>
    </row>
    <row r="4675" spans="2:4">
      <c r="B4675" s="474"/>
      <c r="C4675" s="167"/>
      <c r="D4675" s="168"/>
    </row>
    <row r="4676" spans="2:4">
      <c r="B4676" s="474"/>
      <c r="C4676" s="167"/>
      <c r="D4676" s="168"/>
    </row>
    <row r="4677" spans="2:4">
      <c r="B4677" s="474"/>
      <c r="C4677" s="167"/>
      <c r="D4677" s="168"/>
    </row>
    <row r="4678" spans="2:4">
      <c r="B4678" s="474"/>
      <c r="C4678" s="167"/>
      <c r="D4678" s="168"/>
    </row>
    <row r="4679" spans="2:4">
      <c r="B4679" s="474"/>
      <c r="C4679" s="167"/>
      <c r="D4679" s="168"/>
    </row>
    <row r="4680" spans="2:4">
      <c r="B4680" s="474"/>
      <c r="C4680" s="167"/>
      <c r="D4680" s="168"/>
    </row>
    <row r="4681" spans="2:4">
      <c r="B4681" s="474"/>
      <c r="C4681" s="167"/>
      <c r="D4681" s="168"/>
    </row>
    <row r="4682" spans="2:4">
      <c r="B4682" s="474"/>
      <c r="C4682" s="167"/>
      <c r="D4682" s="168"/>
    </row>
    <row r="4683" spans="2:4">
      <c r="B4683" s="474"/>
      <c r="C4683" s="167"/>
      <c r="D4683" s="168"/>
    </row>
    <row r="4684" spans="2:4">
      <c r="B4684" s="474"/>
      <c r="C4684" s="167"/>
      <c r="D4684" s="168"/>
    </row>
    <row r="4685" spans="2:4">
      <c r="B4685" s="474"/>
      <c r="C4685" s="167"/>
      <c r="D4685" s="168"/>
    </row>
    <row r="4686" spans="2:4">
      <c r="B4686" s="474"/>
      <c r="C4686" s="167"/>
      <c r="D4686" s="168"/>
    </row>
    <row r="4687" spans="2:4">
      <c r="B4687" s="474"/>
      <c r="C4687" s="167"/>
      <c r="D4687" s="168"/>
    </row>
    <row r="4688" spans="2:4">
      <c r="B4688" s="474"/>
      <c r="C4688" s="167"/>
      <c r="D4688" s="168"/>
    </row>
    <row r="4689" spans="2:4">
      <c r="B4689" s="474"/>
      <c r="C4689" s="167"/>
      <c r="D4689" s="168"/>
    </row>
    <row r="4690" spans="2:4">
      <c r="B4690" s="474"/>
      <c r="C4690" s="167"/>
      <c r="D4690" s="168"/>
    </row>
    <row r="4691" spans="2:4">
      <c r="B4691" s="474"/>
      <c r="C4691" s="167"/>
      <c r="D4691" s="168"/>
    </row>
    <row r="4692" spans="2:4">
      <c r="B4692" s="474"/>
      <c r="C4692" s="167"/>
      <c r="D4692" s="168"/>
    </row>
    <row r="4693" spans="2:4">
      <c r="B4693" s="474"/>
      <c r="C4693" s="167"/>
      <c r="D4693" s="168"/>
    </row>
    <row r="4694" spans="2:4">
      <c r="B4694" s="474"/>
      <c r="C4694" s="167"/>
      <c r="D4694" s="168"/>
    </row>
    <row r="4695" spans="2:4">
      <c r="B4695" s="474"/>
      <c r="C4695" s="167"/>
      <c r="D4695" s="168"/>
    </row>
    <row r="4696" spans="2:4">
      <c r="B4696" s="474"/>
      <c r="C4696" s="167"/>
      <c r="D4696" s="168"/>
    </row>
    <row r="4697" spans="2:4">
      <c r="B4697" s="474"/>
      <c r="C4697" s="167"/>
      <c r="D4697" s="168"/>
    </row>
    <row r="4698" spans="2:4">
      <c r="B4698" s="474"/>
      <c r="C4698" s="167"/>
      <c r="D4698" s="168"/>
    </row>
    <row r="4699" spans="2:4">
      <c r="B4699" s="474"/>
      <c r="C4699" s="167"/>
      <c r="D4699" s="168"/>
    </row>
    <row r="4700" spans="2:4">
      <c r="B4700" s="474"/>
      <c r="C4700" s="167"/>
      <c r="D4700" s="168"/>
    </row>
    <row r="4701" spans="2:4">
      <c r="B4701" s="474"/>
      <c r="C4701" s="167"/>
      <c r="D4701" s="168"/>
    </row>
    <row r="4702" spans="2:4">
      <c r="B4702" s="474"/>
      <c r="C4702" s="167"/>
      <c r="D4702" s="168"/>
    </row>
    <row r="4703" spans="2:4">
      <c r="B4703" s="474"/>
      <c r="C4703" s="167"/>
      <c r="D4703" s="168"/>
    </row>
    <row r="4704" spans="2:4">
      <c r="B4704" s="474"/>
      <c r="C4704" s="167"/>
      <c r="D4704" s="168"/>
    </row>
    <row r="4705" spans="2:4">
      <c r="B4705" s="474"/>
      <c r="C4705" s="167"/>
      <c r="D4705" s="168"/>
    </row>
    <row r="4706" spans="2:4">
      <c r="B4706" s="474"/>
      <c r="C4706" s="167"/>
      <c r="D4706" s="168"/>
    </row>
    <row r="4707" spans="2:4">
      <c r="B4707" s="474"/>
      <c r="C4707" s="167"/>
      <c r="D4707" s="168"/>
    </row>
    <row r="4708" spans="2:4">
      <c r="B4708" s="474"/>
      <c r="C4708" s="167"/>
      <c r="D4708" s="168"/>
    </row>
    <row r="4709" spans="2:4">
      <c r="B4709" s="474"/>
      <c r="C4709" s="167"/>
      <c r="D4709" s="168"/>
    </row>
    <row r="4710" spans="2:4">
      <c r="B4710" s="474"/>
      <c r="C4710" s="167"/>
      <c r="D4710" s="168"/>
    </row>
    <row r="4711" spans="2:4">
      <c r="B4711" s="474"/>
      <c r="C4711" s="167"/>
      <c r="D4711" s="168"/>
    </row>
    <row r="4712" spans="2:4">
      <c r="B4712" s="474"/>
      <c r="C4712" s="167"/>
      <c r="D4712" s="168"/>
    </row>
    <row r="4713" spans="2:4">
      <c r="B4713" s="474"/>
      <c r="C4713" s="167"/>
      <c r="D4713" s="168"/>
    </row>
    <row r="4714" spans="2:4">
      <c r="B4714" s="474"/>
      <c r="C4714" s="167"/>
      <c r="D4714" s="168"/>
    </row>
    <row r="4715" spans="2:4">
      <c r="B4715" s="474"/>
      <c r="C4715" s="167"/>
      <c r="D4715" s="168"/>
    </row>
    <row r="4716" spans="2:4">
      <c r="B4716" s="474"/>
      <c r="C4716" s="167"/>
      <c r="D4716" s="168"/>
    </row>
    <row r="4717" spans="2:4">
      <c r="B4717" s="474"/>
      <c r="C4717" s="167"/>
      <c r="D4717" s="168"/>
    </row>
    <row r="4718" spans="2:4">
      <c r="B4718" s="474"/>
      <c r="C4718" s="167"/>
      <c r="D4718" s="168"/>
    </row>
    <row r="4719" spans="2:4">
      <c r="B4719" s="474"/>
      <c r="C4719" s="167"/>
      <c r="D4719" s="168"/>
    </row>
    <row r="4720" spans="2:4">
      <c r="B4720" s="474"/>
      <c r="C4720" s="167"/>
      <c r="D4720" s="168"/>
    </row>
    <row r="4721" spans="2:4">
      <c r="B4721" s="474"/>
      <c r="C4721" s="167"/>
      <c r="D4721" s="168"/>
    </row>
    <row r="4722" spans="2:4">
      <c r="B4722" s="474"/>
      <c r="C4722" s="167"/>
      <c r="D4722" s="168"/>
    </row>
    <row r="4723" spans="2:4">
      <c r="B4723" s="474"/>
      <c r="C4723" s="167"/>
      <c r="D4723" s="168"/>
    </row>
    <row r="4724" spans="2:4">
      <c r="B4724" s="474"/>
      <c r="C4724" s="167"/>
      <c r="D4724" s="168"/>
    </row>
    <row r="4725" spans="2:4">
      <c r="B4725" s="474"/>
      <c r="C4725" s="167"/>
      <c r="D4725" s="168"/>
    </row>
    <row r="4726" spans="2:4">
      <c r="B4726" s="474"/>
      <c r="C4726" s="167"/>
      <c r="D4726" s="168"/>
    </row>
    <row r="4727" spans="2:4">
      <c r="B4727" s="474"/>
      <c r="C4727" s="167"/>
      <c r="D4727" s="168"/>
    </row>
    <row r="4728" spans="2:4">
      <c r="B4728" s="474"/>
      <c r="C4728" s="167"/>
      <c r="D4728" s="168"/>
    </row>
    <row r="4729" spans="2:4">
      <c r="B4729" s="474"/>
      <c r="C4729" s="167"/>
      <c r="D4729" s="168"/>
    </row>
    <row r="4730" spans="2:4">
      <c r="B4730" s="474"/>
      <c r="C4730" s="167"/>
      <c r="D4730" s="168"/>
    </row>
    <row r="4731" spans="2:4">
      <c r="B4731" s="474"/>
      <c r="C4731" s="167"/>
      <c r="D4731" s="168"/>
    </row>
    <row r="4732" spans="2:4">
      <c r="B4732" s="474"/>
      <c r="C4732" s="167"/>
      <c r="D4732" s="168"/>
    </row>
    <row r="4733" spans="2:4">
      <c r="B4733" s="474"/>
      <c r="C4733" s="167"/>
      <c r="D4733" s="168"/>
    </row>
    <row r="4734" spans="2:4">
      <c r="B4734" s="474"/>
      <c r="C4734" s="167"/>
      <c r="D4734" s="168"/>
    </row>
    <row r="4735" spans="2:4">
      <c r="B4735" s="474"/>
      <c r="C4735" s="167"/>
      <c r="D4735" s="168"/>
    </row>
    <row r="4736" spans="2:4">
      <c r="B4736" s="474"/>
      <c r="C4736" s="167"/>
      <c r="D4736" s="168"/>
    </row>
    <row r="4737" spans="2:4">
      <c r="B4737" s="474"/>
      <c r="C4737" s="167"/>
      <c r="D4737" s="168"/>
    </row>
    <row r="4738" spans="2:4">
      <c r="B4738" s="474"/>
      <c r="C4738" s="167"/>
      <c r="D4738" s="168"/>
    </row>
    <row r="4739" spans="2:4">
      <c r="B4739" s="474"/>
      <c r="C4739" s="167"/>
      <c r="D4739" s="168"/>
    </row>
    <row r="4740" spans="2:4">
      <c r="B4740" s="474"/>
      <c r="C4740" s="167"/>
      <c r="D4740" s="168"/>
    </row>
    <row r="4741" spans="2:4">
      <c r="B4741" s="474"/>
      <c r="C4741" s="167"/>
      <c r="D4741" s="168"/>
    </row>
    <row r="4742" spans="2:4">
      <c r="B4742" s="474"/>
      <c r="C4742" s="167"/>
      <c r="D4742" s="168"/>
    </row>
    <row r="4743" spans="2:4">
      <c r="B4743" s="474"/>
      <c r="C4743" s="167"/>
      <c r="D4743" s="168"/>
    </row>
    <row r="4744" spans="2:4">
      <c r="B4744" s="474"/>
      <c r="C4744" s="167"/>
      <c r="D4744" s="168"/>
    </row>
    <row r="4745" spans="2:4">
      <c r="B4745" s="474"/>
      <c r="C4745" s="167"/>
      <c r="D4745" s="168"/>
    </row>
    <row r="4746" spans="2:4">
      <c r="B4746" s="474"/>
      <c r="C4746" s="167"/>
      <c r="D4746" s="168"/>
    </row>
    <row r="4747" spans="2:4">
      <c r="B4747" s="474"/>
      <c r="C4747" s="167"/>
      <c r="D4747" s="168"/>
    </row>
    <row r="4748" spans="2:4">
      <c r="B4748" s="474"/>
      <c r="C4748" s="167"/>
      <c r="D4748" s="168"/>
    </row>
    <row r="4749" spans="2:4">
      <c r="B4749" s="474"/>
      <c r="C4749" s="167"/>
      <c r="D4749" s="168"/>
    </row>
    <row r="4750" spans="2:4">
      <c r="B4750" s="474"/>
      <c r="C4750" s="167"/>
      <c r="D4750" s="168"/>
    </row>
    <row r="4751" spans="2:4">
      <c r="B4751" s="474"/>
      <c r="C4751" s="167"/>
      <c r="D4751" s="168"/>
    </row>
    <row r="4752" spans="2:4">
      <c r="B4752" s="474"/>
      <c r="C4752" s="167"/>
      <c r="D4752" s="168"/>
    </row>
    <row r="4753" spans="2:4">
      <c r="B4753" s="474"/>
      <c r="C4753" s="167"/>
      <c r="D4753" s="168"/>
    </row>
    <row r="4754" spans="2:4">
      <c r="B4754" s="474"/>
      <c r="C4754" s="167"/>
      <c r="D4754" s="168"/>
    </row>
    <row r="4755" spans="2:4">
      <c r="B4755" s="474"/>
      <c r="C4755" s="167"/>
      <c r="D4755" s="168"/>
    </row>
    <row r="4756" spans="2:4">
      <c r="B4756" s="474"/>
      <c r="C4756" s="167"/>
      <c r="D4756" s="168"/>
    </row>
    <row r="4757" spans="2:4">
      <c r="B4757" s="474"/>
      <c r="C4757" s="167"/>
      <c r="D4757" s="168"/>
    </row>
    <row r="4758" spans="2:4">
      <c r="B4758" s="474"/>
      <c r="C4758" s="167"/>
      <c r="D4758" s="168"/>
    </row>
    <row r="4759" spans="2:4">
      <c r="B4759" s="474"/>
      <c r="C4759" s="167"/>
      <c r="D4759" s="168"/>
    </row>
    <row r="4760" spans="2:4">
      <c r="B4760" s="474"/>
      <c r="C4760" s="167"/>
      <c r="D4760" s="168"/>
    </row>
    <row r="4761" spans="2:4">
      <c r="B4761" s="474"/>
      <c r="C4761" s="167"/>
      <c r="D4761" s="168"/>
    </row>
    <row r="4762" spans="2:4">
      <c r="B4762" s="474"/>
      <c r="C4762" s="167"/>
      <c r="D4762" s="168"/>
    </row>
    <row r="4763" spans="2:4">
      <c r="B4763" s="474"/>
      <c r="C4763" s="167"/>
      <c r="D4763" s="168"/>
    </row>
    <row r="4764" spans="2:4">
      <c r="B4764" s="474"/>
      <c r="C4764" s="167"/>
      <c r="D4764" s="168"/>
    </row>
    <row r="4765" spans="2:4">
      <c r="B4765" s="474"/>
      <c r="C4765" s="167"/>
      <c r="D4765" s="168"/>
    </row>
    <row r="4766" spans="2:4">
      <c r="B4766" s="474"/>
      <c r="C4766" s="167"/>
      <c r="D4766" s="168"/>
    </row>
    <row r="4767" spans="2:4">
      <c r="B4767" s="474"/>
      <c r="C4767" s="167"/>
      <c r="D4767" s="168"/>
    </row>
    <row r="4768" spans="2:4">
      <c r="B4768" s="474"/>
      <c r="C4768" s="167"/>
      <c r="D4768" s="168"/>
    </row>
    <row r="4769" spans="2:4">
      <c r="B4769" s="474"/>
      <c r="C4769" s="167"/>
      <c r="D4769" s="168"/>
    </row>
    <row r="4770" spans="2:4">
      <c r="B4770" s="474"/>
      <c r="C4770" s="167"/>
      <c r="D4770" s="168"/>
    </row>
    <row r="4771" spans="2:4">
      <c r="B4771" s="474"/>
      <c r="C4771" s="167"/>
      <c r="D4771" s="168"/>
    </row>
    <row r="4772" spans="2:4">
      <c r="B4772" s="474"/>
      <c r="C4772" s="167"/>
      <c r="D4772" s="168"/>
    </row>
    <row r="4773" spans="2:4">
      <c r="B4773" s="474"/>
      <c r="C4773" s="167"/>
      <c r="D4773" s="168"/>
    </row>
    <row r="4774" spans="2:4">
      <c r="B4774" s="474"/>
      <c r="C4774" s="167"/>
      <c r="D4774" s="168"/>
    </row>
    <row r="4775" spans="2:4">
      <c r="B4775" s="474"/>
      <c r="C4775" s="167"/>
      <c r="D4775" s="168"/>
    </row>
    <row r="4776" spans="2:4">
      <c r="B4776" s="474"/>
      <c r="C4776" s="167"/>
      <c r="D4776" s="168"/>
    </row>
    <row r="4777" spans="2:4">
      <c r="B4777" s="474"/>
      <c r="C4777" s="167"/>
      <c r="D4777" s="168"/>
    </row>
    <row r="4778" spans="2:4">
      <c r="B4778" s="474"/>
      <c r="C4778" s="167"/>
      <c r="D4778" s="168"/>
    </row>
    <row r="4779" spans="2:4">
      <c r="B4779" s="474"/>
      <c r="C4779" s="167"/>
      <c r="D4779" s="168"/>
    </row>
    <row r="4780" spans="2:4">
      <c r="B4780" s="474"/>
      <c r="C4780" s="167"/>
      <c r="D4780" s="168"/>
    </row>
    <row r="4781" spans="2:4">
      <c r="B4781" s="474"/>
      <c r="C4781" s="167"/>
      <c r="D4781" s="168"/>
    </row>
    <row r="4782" spans="2:4">
      <c r="B4782" s="474"/>
      <c r="C4782" s="167"/>
      <c r="D4782" s="168"/>
    </row>
    <row r="4783" spans="2:4">
      <c r="B4783" s="474"/>
      <c r="C4783" s="167"/>
      <c r="D4783" s="168"/>
    </row>
    <row r="4784" spans="2:4">
      <c r="B4784" s="474"/>
      <c r="C4784" s="167"/>
      <c r="D4784" s="168"/>
    </row>
    <row r="4785" spans="2:4">
      <c r="B4785" s="474"/>
      <c r="C4785" s="167"/>
      <c r="D4785" s="168"/>
    </row>
    <row r="4786" spans="2:4">
      <c r="B4786" s="474"/>
      <c r="C4786" s="167"/>
      <c r="D4786" s="168"/>
    </row>
    <row r="4787" spans="2:4">
      <c r="B4787" s="474"/>
      <c r="C4787" s="167"/>
      <c r="D4787" s="168"/>
    </row>
    <row r="4788" spans="2:4">
      <c r="B4788" s="474"/>
      <c r="C4788" s="167"/>
      <c r="D4788" s="168"/>
    </row>
    <row r="4789" spans="2:4">
      <c r="B4789" s="474"/>
      <c r="C4789" s="167"/>
      <c r="D4789" s="168"/>
    </row>
    <row r="4790" spans="2:4">
      <c r="B4790" s="474"/>
      <c r="C4790" s="167"/>
      <c r="D4790" s="168"/>
    </row>
    <row r="4791" spans="2:4">
      <c r="B4791" s="474"/>
      <c r="C4791" s="167"/>
      <c r="D4791" s="168"/>
    </row>
    <row r="4792" spans="2:4">
      <c r="B4792" s="474"/>
      <c r="C4792" s="167"/>
      <c r="D4792" s="168"/>
    </row>
    <row r="4793" spans="2:4">
      <c r="B4793" s="474"/>
      <c r="C4793" s="167"/>
      <c r="D4793" s="168"/>
    </row>
    <row r="4794" spans="2:4">
      <c r="B4794" s="474"/>
      <c r="C4794" s="167"/>
      <c r="D4794" s="168"/>
    </row>
    <row r="4795" spans="2:4">
      <c r="B4795" s="474"/>
      <c r="C4795" s="167"/>
      <c r="D4795" s="168"/>
    </row>
    <row r="4796" spans="2:4">
      <c r="B4796" s="474"/>
      <c r="C4796" s="167"/>
      <c r="D4796" s="168"/>
    </row>
    <row r="4797" spans="2:4">
      <c r="B4797" s="474"/>
      <c r="C4797" s="167"/>
      <c r="D4797" s="168"/>
    </row>
    <row r="4798" spans="2:4">
      <c r="B4798" s="474"/>
      <c r="C4798" s="167"/>
      <c r="D4798" s="168"/>
    </row>
    <row r="4799" spans="2:4">
      <c r="B4799" s="474"/>
      <c r="C4799" s="167"/>
      <c r="D4799" s="168"/>
    </row>
    <row r="4800" spans="2:4">
      <c r="B4800" s="474"/>
      <c r="C4800" s="167"/>
      <c r="D4800" s="168"/>
    </row>
    <row r="4801" spans="2:4">
      <c r="B4801" s="474"/>
      <c r="C4801" s="167"/>
      <c r="D4801" s="168"/>
    </row>
    <row r="4802" spans="2:4">
      <c r="B4802" s="474"/>
      <c r="C4802" s="167"/>
      <c r="D4802" s="168"/>
    </row>
    <row r="4803" spans="2:4">
      <c r="B4803" s="474"/>
      <c r="C4803" s="167"/>
      <c r="D4803" s="168"/>
    </row>
    <row r="4804" spans="2:4">
      <c r="B4804" s="474"/>
      <c r="C4804" s="167"/>
      <c r="D4804" s="168"/>
    </row>
    <row r="4805" spans="2:4">
      <c r="B4805" s="474"/>
      <c r="C4805" s="167"/>
      <c r="D4805" s="168"/>
    </row>
    <row r="4806" spans="2:4">
      <c r="B4806" s="474"/>
      <c r="C4806" s="167"/>
      <c r="D4806" s="168"/>
    </row>
    <row r="4807" spans="2:4">
      <c r="B4807" s="474"/>
      <c r="C4807" s="167"/>
      <c r="D4807" s="168"/>
    </row>
    <row r="4808" spans="2:4">
      <c r="B4808" s="474"/>
      <c r="C4808" s="167"/>
      <c r="D4808" s="168"/>
    </row>
    <row r="4809" spans="2:4">
      <c r="B4809" s="474"/>
      <c r="C4809" s="167"/>
      <c r="D4809" s="168"/>
    </row>
    <row r="4810" spans="2:4">
      <c r="B4810" s="474"/>
      <c r="C4810" s="167"/>
      <c r="D4810" s="168"/>
    </row>
    <row r="4811" spans="2:4">
      <c r="B4811" s="474"/>
      <c r="C4811" s="167"/>
      <c r="D4811" s="168"/>
    </row>
    <row r="4812" spans="2:4">
      <c r="B4812" s="474"/>
      <c r="C4812" s="167"/>
      <c r="D4812" s="168"/>
    </row>
    <row r="4813" spans="2:4">
      <c r="B4813" s="474"/>
      <c r="C4813" s="167"/>
      <c r="D4813" s="168"/>
    </row>
    <row r="4814" spans="2:4">
      <c r="B4814" s="474"/>
      <c r="C4814" s="167"/>
      <c r="D4814" s="168"/>
    </row>
    <row r="4815" spans="2:4">
      <c r="B4815" s="474"/>
      <c r="C4815" s="167"/>
      <c r="D4815" s="168"/>
    </row>
    <row r="4816" spans="2:4">
      <c r="B4816" s="474"/>
      <c r="C4816" s="167"/>
      <c r="D4816" s="168"/>
    </row>
    <row r="4817" spans="2:4">
      <c r="B4817" s="474"/>
      <c r="C4817" s="167"/>
      <c r="D4817" s="168"/>
    </row>
    <row r="4818" spans="2:4">
      <c r="B4818" s="474"/>
      <c r="C4818" s="167"/>
      <c r="D4818" s="168"/>
    </row>
    <row r="4819" spans="2:4">
      <c r="B4819" s="474"/>
      <c r="C4819" s="167"/>
      <c r="D4819" s="168"/>
    </row>
    <row r="4820" spans="2:4">
      <c r="B4820" s="474"/>
      <c r="C4820" s="167"/>
      <c r="D4820" s="168"/>
    </row>
    <row r="4821" spans="2:4">
      <c r="B4821" s="474"/>
      <c r="C4821" s="167"/>
      <c r="D4821" s="168"/>
    </row>
    <row r="4822" spans="2:4">
      <c r="B4822" s="474"/>
      <c r="C4822" s="167"/>
      <c r="D4822" s="168"/>
    </row>
    <row r="4823" spans="2:4">
      <c r="B4823" s="474"/>
      <c r="C4823" s="167"/>
      <c r="D4823" s="168"/>
    </row>
    <row r="4824" spans="2:4">
      <c r="B4824" s="474"/>
      <c r="C4824" s="167"/>
      <c r="D4824" s="168"/>
    </row>
    <row r="4825" spans="2:4">
      <c r="B4825" s="474"/>
      <c r="C4825" s="167"/>
      <c r="D4825" s="168"/>
    </row>
    <row r="4826" spans="2:4">
      <c r="B4826" s="474"/>
      <c r="C4826" s="167"/>
      <c r="D4826" s="168"/>
    </row>
    <row r="4827" spans="2:4">
      <c r="B4827" s="474"/>
      <c r="C4827" s="167"/>
      <c r="D4827" s="168"/>
    </row>
    <row r="4828" spans="2:4">
      <c r="B4828" s="474"/>
      <c r="C4828" s="167"/>
      <c r="D4828" s="168"/>
    </row>
    <row r="4829" spans="2:4">
      <c r="B4829" s="474"/>
      <c r="C4829" s="167"/>
      <c r="D4829" s="168"/>
    </row>
    <row r="4830" spans="2:4">
      <c r="B4830" s="474"/>
      <c r="C4830" s="167"/>
      <c r="D4830" s="168"/>
    </row>
    <row r="4831" spans="2:4">
      <c r="B4831" s="474"/>
      <c r="C4831" s="167"/>
      <c r="D4831" s="168"/>
    </row>
    <row r="4832" spans="2:4">
      <c r="B4832" s="474"/>
      <c r="C4832" s="167"/>
      <c r="D4832" s="168"/>
    </row>
    <row r="4833" spans="2:4">
      <c r="B4833" s="474"/>
      <c r="C4833" s="167"/>
      <c r="D4833" s="168"/>
    </row>
    <row r="4834" spans="2:4">
      <c r="B4834" s="474"/>
      <c r="C4834" s="167"/>
      <c r="D4834" s="168"/>
    </row>
    <row r="4835" spans="2:4">
      <c r="B4835" s="474"/>
      <c r="C4835" s="167"/>
      <c r="D4835" s="168"/>
    </row>
    <row r="4836" spans="2:4">
      <c r="B4836" s="474"/>
      <c r="C4836" s="167"/>
      <c r="D4836" s="168"/>
    </row>
    <row r="4837" spans="2:4">
      <c r="B4837" s="474"/>
      <c r="C4837" s="167"/>
      <c r="D4837" s="168"/>
    </row>
    <row r="4838" spans="2:4">
      <c r="B4838" s="474"/>
      <c r="C4838" s="167"/>
      <c r="D4838" s="168"/>
    </row>
    <row r="4839" spans="2:4">
      <c r="B4839" s="474"/>
      <c r="C4839" s="167"/>
      <c r="D4839" s="168"/>
    </row>
    <row r="4840" spans="2:4">
      <c r="B4840" s="474"/>
      <c r="C4840" s="167"/>
      <c r="D4840" s="168"/>
    </row>
    <row r="4841" spans="2:4">
      <c r="B4841" s="474"/>
      <c r="C4841" s="167"/>
      <c r="D4841" s="168"/>
    </row>
    <row r="4842" spans="2:4">
      <c r="B4842" s="474"/>
      <c r="C4842" s="167"/>
      <c r="D4842" s="168"/>
    </row>
    <row r="4843" spans="2:4">
      <c r="B4843" s="474"/>
      <c r="C4843" s="167"/>
      <c r="D4843" s="168"/>
    </row>
    <row r="4844" spans="2:4">
      <c r="B4844" s="474"/>
      <c r="C4844" s="167"/>
      <c r="D4844" s="168"/>
    </row>
    <row r="4845" spans="2:4">
      <c r="B4845" s="474"/>
      <c r="C4845" s="167"/>
      <c r="D4845" s="168"/>
    </row>
    <row r="4846" spans="2:4">
      <c r="B4846" s="474"/>
      <c r="C4846" s="167"/>
      <c r="D4846" s="168"/>
    </row>
    <row r="4847" spans="2:4">
      <c r="B4847" s="474"/>
      <c r="C4847" s="167"/>
      <c r="D4847" s="168"/>
    </row>
    <row r="4848" spans="2:4">
      <c r="B4848" s="474"/>
      <c r="C4848" s="167"/>
      <c r="D4848" s="168"/>
    </row>
    <row r="4849" spans="2:4">
      <c r="B4849" s="474"/>
      <c r="C4849" s="167"/>
      <c r="D4849" s="168"/>
    </row>
    <row r="4850" spans="2:4">
      <c r="B4850" s="474"/>
      <c r="C4850" s="167"/>
      <c r="D4850" s="168"/>
    </row>
    <row r="4851" spans="2:4">
      <c r="B4851" s="474"/>
      <c r="C4851" s="167"/>
      <c r="D4851" s="168"/>
    </row>
    <row r="4852" spans="2:4">
      <c r="B4852" s="474"/>
      <c r="C4852" s="167"/>
      <c r="D4852" s="168"/>
    </row>
    <row r="4853" spans="2:4">
      <c r="B4853" s="474"/>
      <c r="C4853" s="167"/>
      <c r="D4853" s="168"/>
    </row>
    <row r="4854" spans="2:4">
      <c r="B4854" s="474"/>
      <c r="C4854" s="167"/>
      <c r="D4854" s="168"/>
    </row>
    <row r="4855" spans="2:4">
      <c r="B4855" s="474"/>
      <c r="C4855" s="167"/>
      <c r="D4855" s="168"/>
    </row>
    <row r="4856" spans="2:4">
      <c r="B4856" s="474"/>
      <c r="C4856" s="167"/>
      <c r="D4856" s="168"/>
    </row>
    <row r="4857" spans="2:4">
      <c r="B4857" s="474"/>
      <c r="C4857" s="167"/>
      <c r="D4857" s="168"/>
    </row>
    <row r="4858" spans="2:4">
      <c r="B4858" s="474"/>
      <c r="C4858" s="167"/>
      <c r="D4858" s="168"/>
    </row>
    <row r="4859" spans="2:4">
      <c r="B4859" s="474"/>
      <c r="C4859" s="167"/>
      <c r="D4859" s="168"/>
    </row>
    <row r="4860" spans="2:4">
      <c r="B4860" s="474"/>
      <c r="C4860" s="167"/>
      <c r="D4860" s="168"/>
    </row>
    <row r="4861" spans="2:4">
      <c r="B4861" s="474"/>
      <c r="C4861" s="167"/>
      <c r="D4861" s="168"/>
    </row>
    <row r="4862" spans="2:4">
      <c r="B4862" s="474"/>
      <c r="C4862" s="167"/>
      <c r="D4862" s="168"/>
    </row>
    <row r="4863" spans="2:4">
      <c r="B4863" s="474"/>
      <c r="C4863" s="167"/>
      <c r="D4863" s="168"/>
    </row>
    <row r="4864" spans="2:4">
      <c r="B4864" s="474"/>
      <c r="C4864" s="167"/>
      <c r="D4864" s="168"/>
    </row>
    <row r="4865" spans="2:4">
      <c r="B4865" s="474"/>
      <c r="C4865" s="167"/>
      <c r="D4865" s="168"/>
    </row>
    <row r="4866" spans="2:4">
      <c r="B4866" s="474"/>
      <c r="C4866" s="167"/>
      <c r="D4866" s="168"/>
    </row>
    <row r="4867" spans="2:4">
      <c r="B4867" s="474"/>
      <c r="C4867" s="167"/>
      <c r="D4867" s="168"/>
    </row>
    <row r="4868" spans="2:4">
      <c r="B4868" s="474"/>
      <c r="C4868" s="167"/>
      <c r="D4868" s="168"/>
    </row>
    <row r="4869" spans="2:4">
      <c r="B4869" s="474"/>
      <c r="C4869" s="167"/>
      <c r="D4869" s="168"/>
    </row>
    <row r="4870" spans="2:4">
      <c r="B4870" s="474"/>
      <c r="C4870" s="167"/>
      <c r="D4870" s="168"/>
    </row>
    <row r="4871" spans="2:4">
      <c r="B4871" s="474"/>
      <c r="C4871" s="167"/>
      <c r="D4871" s="168"/>
    </row>
    <row r="4872" spans="2:4">
      <c r="B4872" s="474"/>
      <c r="C4872" s="167"/>
      <c r="D4872" s="168"/>
    </row>
    <row r="4873" spans="2:4">
      <c r="B4873" s="474"/>
      <c r="C4873" s="167"/>
      <c r="D4873" s="168"/>
    </row>
    <row r="4874" spans="2:4">
      <c r="B4874" s="474"/>
      <c r="C4874" s="167"/>
      <c r="D4874" s="168"/>
    </row>
    <row r="4875" spans="2:4">
      <c r="B4875" s="474"/>
      <c r="C4875" s="167"/>
      <c r="D4875" s="168"/>
    </row>
    <row r="4876" spans="2:4">
      <c r="B4876" s="474"/>
      <c r="C4876" s="167"/>
      <c r="D4876" s="168"/>
    </row>
    <row r="4877" spans="2:4">
      <c r="B4877" s="474"/>
      <c r="C4877" s="167"/>
      <c r="D4877" s="168"/>
    </row>
    <row r="4878" spans="2:4">
      <c r="B4878" s="474"/>
      <c r="C4878" s="167"/>
      <c r="D4878" s="168"/>
    </row>
    <row r="4879" spans="2:4">
      <c r="B4879" s="474"/>
      <c r="C4879" s="167"/>
      <c r="D4879" s="168"/>
    </row>
    <row r="4880" spans="2:4">
      <c r="B4880" s="474"/>
      <c r="C4880" s="167"/>
      <c r="D4880" s="168"/>
    </row>
    <row r="4881" spans="2:4">
      <c r="B4881" s="474"/>
      <c r="C4881" s="167"/>
      <c r="D4881" s="168"/>
    </row>
    <row r="4882" spans="2:4">
      <c r="B4882" s="474"/>
      <c r="C4882" s="167"/>
      <c r="D4882" s="168"/>
    </row>
    <row r="4883" spans="2:4">
      <c r="B4883" s="474"/>
      <c r="C4883" s="167"/>
      <c r="D4883" s="168"/>
    </row>
    <row r="4884" spans="2:4">
      <c r="B4884" s="474"/>
      <c r="C4884" s="167"/>
      <c r="D4884" s="168"/>
    </row>
    <row r="4885" spans="2:4">
      <c r="B4885" s="474"/>
      <c r="C4885" s="167"/>
      <c r="D4885" s="168"/>
    </row>
    <row r="4886" spans="2:4">
      <c r="B4886" s="474"/>
      <c r="C4886" s="167"/>
      <c r="D4886" s="168"/>
    </row>
    <row r="4887" spans="2:4">
      <c r="B4887" s="474"/>
      <c r="C4887" s="167"/>
      <c r="D4887" s="168"/>
    </row>
    <row r="4888" spans="2:4">
      <c r="B4888" s="474"/>
      <c r="C4888" s="167"/>
      <c r="D4888" s="168"/>
    </row>
    <row r="4889" spans="2:4">
      <c r="B4889" s="474"/>
      <c r="C4889" s="167"/>
      <c r="D4889" s="168"/>
    </row>
    <row r="4890" spans="2:4">
      <c r="B4890" s="474"/>
      <c r="C4890" s="167"/>
      <c r="D4890" s="168"/>
    </row>
    <row r="4891" spans="2:4">
      <c r="B4891" s="474"/>
      <c r="C4891" s="167"/>
      <c r="D4891" s="168"/>
    </row>
    <row r="4892" spans="2:4">
      <c r="B4892" s="474"/>
      <c r="C4892" s="167"/>
      <c r="D4892" s="168"/>
    </row>
    <row r="4893" spans="2:4">
      <c r="B4893" s="474"/>
      <c r="C4893" s="167"/>
      <c r="D4893" s="168"/>
    </row>
    <row r="4894" spans="2:4">
      <c r="B4894" s="474"/>
      <c r="C4894" s="167"/>
      <c r="D4894" s="168"/>
    </row>
    <row r="4895" spans="2:4">
      <c r="B4895" s="474"/>
      <c r="C4895" s="167"/>
      <c r="D4895" s="168"/>
    </row>
    <row r="4896" spans="2:4">
      <c r="B4896" s="474"/>
      <c r="C4896" s="167"/>
      <c r="D4896" s="168"/>
    </row>
    <row r="4897" spans="2:4">
      <c r="B4897" s="474"/>
      <c r="C4897" s="167"/>
      <c r="D4897" s="168"/>
    </row>
    <row r="4898" spans="2:4">
      <c r="B4898" s="474"/>
      <c r="C4898" s="167"/>
      <c r="D4898" s="168"/>
    </row>
    <row r="4899" spans="2:4">
      <c r="B4899" s="474"/>
      <c r="C4899" s="167"/>
      <c r="D4899" s="168"/>
    </row>
    <row r="4900" spans="2:4">
      <c r="B4900" s="474"/>
      <c r="C4900" s="167"/>
      <c r="D4900" s="168"/>
    </row>
    <row r="4901" spans="2:4">
      <c r="B4901" s="474"/>
      <c r="C4901" s="167"/>
      <c r="D4901" s="168"/>
    </row>
    <row r="4902" spans="2:4">
      <c r="B4902" s="474"/>
      <c r="C4902" s="167"/>
      <c r="D4902" s="168"/>
    </row>
    <row r="4903" spans="2:4">
      <c r="B4903" s="474"/>
      <c r="C4903" s="167"/>
      <c r="D4903" s="168"/>
    </row>
    <row r="4904" spans="2:4">
      <c r="B4904" s="474"/>
      <c r="C4904" s="167"/>
      <c r="D4904" s="168"/>
    </row>
    <row r="4905" spans="2:4">
      <c r="B4905" s="474"/>
      <c r="C4905" s="167"/>
      <c r="D4905" s="168"/>
    </row>
    <row r="4906" spans="2:4">
      <c r="B4906" s="474"/>
      <c r="C4906" s="167"/>
      <c r="D4906" s="168"/>
    </row>
    <row r="4907" spans="2:4">
      <c r="B4907" s="474"/>
      <c r="C4907" s="167"/>
      <c r="D4907" s="168"/>
    </row>
    <row r="4908" spans="2:4">
      <c r="B4908" s="474"/>
      <c r="C4908" s="167"/>
      <c r="D4908" s="168"/>
    </row>
    <row r="4909" spans="2:4">
      <c r="B4909" s="474"/>
      <c r="C4909" s="167"/>
      <c r="D4909" s="168"/>
    </row>
    <row r="4910" spans="2:4">
      <c r="B4910" s="474"/>
      <c r="C4910" s="167"/>
      <c r="D4910" s="168"/>
    </row>
    <row r="4911" spans="2:4">
      <c r="B4911" s="474"/>
      <c r="C4911" s="167"/>
      <c r="D4911" s="168"/>
    </row>
    <row r="4912" spans="2:4">
      <c r="B4912" s="474"/>
      <c r="C4912" s="167"/>
      <c r="D4912" s="168"/>
    </row>
    <row r="4913" spans="2:4">
      <c r="B4913" s="474"/>
      <c r="C4913" s="167"/>
      <c r="D4913" s="168"/>
    </row>
    <row r="4914" spans="2:4">
      <c r="B4914" s="474"/>
      <c r="C4914" s="167"/>
      <c r="D4914" s="168"/>
    </row>
    <row r="4915" spans="2:4">
      <c r="B4915" s="474"/>
      <c r="C4915" s="167"/>
      <c r="D4915" s="168"/>
    </row>
    <row r="4916" spans="2:4">
      <c r="B4916" s="474"/>
      <c r="C4916" s="167"/>
      <c r="D4916" s="168"/>
    </row>
    <row r="4917" spans="2:4">
      <c r="B4917" s="474"/>
      <c r="C4917" s="167"/>
      <c r="D4917" s="168"/>
    </row>
    <row r="4918" spans="2:4">
      <c r="B4918" s="474"/>
      <c r="C4918" s="167"/>
      <c r="D4918" s="168"/>
    </row>
    <row r="4919" spans="2:4">
      <c r="B4919" s="474"/>
      <c r="C4919" s="167"/>
      <c r="D4919" s="168"/>
    </row>
    <row r="4920" spans="2:4">
      <c r="B4920" s="474"/>
      <c r="C4920" s="167"/>
      <c r="D4920" s="168"/>
    </row>
    <row r="4921" spans="2:4">
      <c r="B4921" s="474"/>
      <c r="C4921" s="167"/>
      <c r="D4921" s="168"/>
    </row>
    <row r="4922" spans="2:4">
      <c r="B4922" s="474"/>
      <c r="C4922" s="167"/>
      <c r="D4922" s="168"/>
    </row>
    <row r="4923" spans="2:4">
      <c r="B4923" s="474"/>
      <c r="C4923" s="167"/>
      <c r="D4923" s="168"/>
    </row>
    <row r="4924" spans="2:4">
      <c r="B4924" s="474"/>
      <c r="C4924" s="167"/>
      <c r="D4924" s="168"/>
    </row>
    <row r="4925" spans="2:4">
      <c r="B4925" s="474"/>
      <c r="C4925" s="167"/>
      <c r="D4925" s="168"/>
    </row>
    <row r="4926" spans="2:4">
      <c r="B4926" s="474"/>
      <c r="C4926" s="167"/>
      <c r="D4926" s="168"/>
    </row>
    <row r="4927" spans="2:4">
      <c r="B4927" s="474"/>
      <c r="C4927" s="167"/>
      <c r="D4927" s="168"/>
    </row>
    <row r="4928" spans="2:4">
      <c r="B4928" s="474"/>
      <c r="C4928" s="167"/>
      <c r="D4928" s="168"/>
    </row>
    <row r="4929" spans="2:4">
      <c r="B4929" s="474"/>
      <c r="C4929" s="167"/>
      <c r="D4929" s="168"/>
    </row>
    <row r="4930" spans="2:4">
      <c r="B4930" s="474"/>
      <c r="C4930" s="167"/>
      <c r="D4930" s="168"/>
    </row>
    <row r="4931" spans="2:4">
      <c r="B4931" s="474"/>
      <c r="C4931" s="167"/>
      <c r="D4931" s="168"/>
    </row>
    <row r="4932" spans="2:4">
      <c r="B4932" s="474"/>
      <c r="C4932" s="167"/>
      <c r="D4932" s="168"/>
    </row>
    <row r="4933" spans="2:4">
      <c r="B4933" s="474"/>
      <c r="C4933" s="167"/>
      <c r="D4933" s="168"/>
    </row>
    <row r="4934" spans="2:4">
      <c r="B4934" s="474"/>
      <c r="C4934" s="167"/>
      <c r="D4934" s="168"/>
    </row>
    <row r="4935" spans="2:4">
      <c r="B4935" s="474"/>
      <c r="C4935" s="167"/>
      <c r="D4935" s="168"/>
    </row>
    <row r="4936" spans="2:4">
      <c r="B4936" s="474"/>
      <c r="C4936" s="167"/>
      <c r="D4936" s="168"/>
    </row>
    <row r="4937" spans="2:4">
      <c r="B4937" s="474"/>
      <c r="C4937" s="167"/>
      <c r="D4937" s="168"/>
    </row>
    <row r="4938" spans="2:4">
      <c r="B4938" s="474"/>
      <c r="C4938" s="167"/>
      <c r="D4938" s="168"/>
    </row>
    <row r="4939" spans="2:4">
      <c r="B4939" s="474"/>
      <c r="C4939" s="167"/>
      <c r="D4939" s="168"/>
    </row>
    <row r="4940" spans="2:4">
      <c r="B4940" s="474"/>
      <c r="C4940" s="167"/>
      <c r="D4940" s="168"/>
    </row>
    <row r="4941" spans="2:4">
      <c r="B4941" s="474"/>
      <c r="C4941" s="167"/>
      <c r="D4941" s="168"/>
    </row>
    <row r="4942" spans="2:4">
      <c r="B4942" s="474"/>
      <c r="C4942" s="167"/>
      <c r="D4942" s="168"/>
    </row>
    <row r="4943" spans="2:4">
      <c r="B4943" s="474"/>
      <c r="C4943" s="167"/>
      <c r="D4943" s="168"/>
    </row>
    <row r="4944" spans="2:4">
      <c r="B4944" s="474"/>
      <c r="C4944" s="167"/>
      <c r="D4944" s="168"/>
    </row>
    <row r="4945" spans="2:4">
      <c r="B4945" s="474"/>
      <c r="C4945" s="167"/>
      <c r="D4945" s="168"/>
    </row>
    <row r="4946" spans="2:4">
      <c r="B4946" s="474"/>
      <c r="C4946" s="167"/>
      <c r="D4946" s="168"/>
    </row>
    <row r="4947" spans="2:4">
      <c r="B4947" s="474"/>
      <c r="C4947" s="167"/>
      <c r="D4947" s="168"/>
    </row>
    <row r="4948" spans="2:4">
      <c r="B4948" s="474"/>
      <c r="C4948" s="167"/>
      <c r="D4948" s="168"/>
    </row>
    <row r="4949" spans="2:4">
      <c r="B4949" s="474"/>
      <c r="C4949" s="167"/>
      <c r="D4949" s="168"/>
    </row>
    <row r="4950" spans="2:4">
      <c r="B4950" s="474"/>
      <c r="C4950" s="167"/>
      <c r="D4950" s="168"/>
    </row>
    <row r="4951" spans="2:4">
      <c r="B4951" s="474"/>
      <c r="C4951" s="167"/>
      <c r="D4951" s="168"/>
    </row>
    <row r="4952" spans="2:4">
      <c r="B4952" s="474"/>
      <c r="C4952" s="167"/>
      <c r="D4952" s="168"/>
    </row>
    <row r="4953" spans="2:4">
      <c r="B4953" s="474"/>
      <c r="C4953" s="167"/>
      <c r="D4953" s="168"/>
    </row>
    <row r="4954" spans="2:4">
      <c r="B4954" s="474"/>
      <c r="C4954" s="167"/>
      <c r="D4954" s="168"/>
    </row>
    <row r="4955" spans="2:4">
      <c r="B4955" s="474"/>
      <c r="C4955" s="167"/>
      <c r="D4955" s="168"/>
    </row>
    <row r="4956" spans="2:4">
      <c r="B4956" s="474"/>
      <c r="C4956" s="167"/>
      <c r="D4956" s="168"/>
    </row>
    <row r="4957" spans="2:4">
      <c r="B4957" s="474"/>
      <c r="C4957" s="167"/>
      <c r="D4957" s="168"/>
    </row>
    <row r="4958" spans="2:4">
      <c r="B4958" s="474"/>
      <c r="C4958" s="167"/>
      <c r="D4958" s="168"/>
    </row>
    <row r="4959" spans="2:4">
      <c r="B4959" s="474"/>
      <c r="C4959" s="167"/>
      <c r="D4959" s="168"/>
    </row>
    <row r="4960" spans="2:4">
      <c r="B4960" s="474"/>
      <c r="C4960" s="167"/>
      <c r="D4960" s="168"/>
    </row>
    <row r="4961" spans="2:4">
      <c r="B4961" s="474"/>
      <c r="C4961" s="167"/>
      <c r="D4961" s="168"/>
    </row>
    <row r="4962" spans="2:4">
      <c r="B4962" s="474"/>
      <c r="C4962" s="167"/>
      <c r="D4962" s="168"/>
    </row>
    <row r="4963" spans="2:4">
      <c r="B4963" s="474"/>
      <c r="C4963" s="167"/>
      <c r="D4963" s="168"/>
    </row>
    <row r="4964" spans="2:4">
      <c r="B4964" s="474"/>
      <c r="C4964" s="167"/>
      <c r="D4964" s="168"/>
    </row>
    <row r="4965" spans="2:4">
      <c r="B4965" s="474"/>
      <c r="C4965" s="167"/>
      <c r="D4965" s="168"/>
    </row>
    <row r="4966" spans="2:4">
      <c r="B4966" s="474"/>
      <c r="C4966" s="167"/>
      <c r="D4966" s="168"/>
    </row>
    <row r="4967" spans="2:4">
      <c r="B4967" s="474"/>
      <c r="C4967" s="167"/>
      <c r="D4967" s="168"/>
    </row>
    <row r="4968" spans="2:4">
      <c r="B4968" s="474"/>
      <c r="C4968" s="167"/>
      <c r="D4968" s="168"/>
    </row>
    <row r="4969" spans="2:4">
      <c r="B4969" s="474"/>
      <c r="C4969" s="167"/>
      <c r="D4969" s="168"/>
    </row>
    <row r="4970" spans="2:4">
      <c r="B4970" s="474"/>
      <c r="C4970" s="167"/>
      <c r="D4970" s="168"/>
    </row>
    <row r="4971" spans="2:4">
      <c r="B4971" s="474"/>
      <c r="C4971" s="167"/>
      <c r="D4971" s="168"/>
    </row>
    <row r="4972" spans="2:4">
      <c r="B4972" s="474"/>
      <c r="C4972" s="167"/>
      <c r="D4972" s="168"/>
    </row>
    <row r="4973" spans="2:4">
      <c r="B4973" s="474"/>
      <c r="C4973" s="167"/>
      <c r="D4973" s="168"/>
    </row>
    <row r="4974" spans="2:4">
      <c r="B4974" s="474"/>
      <c r="C4974" s="167"/>
      <c r="D4974" s="168"/>
    </row>
    <row r="4975" spans="2:4">
      <c r="B4975" s="474"/>
      <c r="C4975" s="167"/>
      <c r="D4975" s="168"/>
    </row>
    <row r="4976" spans="2:4">
      <c r="B4976" s="474"/>
      <c r="C4976" s="167"/>
      <c r="D4976" s="168"/>
    </row>
    <row r="4977" spans="2:4">
      <c r="B4977" s="474"/>
      <c r="C4977" s="167"/>
      <c r="D4977" s="168"/>
    </row>
    <row r="4978" spans="2:4">
      <c r="B4978" s="474"/>
      <c r="C4978" s="167"/>
      <c r="D4978" s="168"/>
    </row>
    <row r="4979" spans="2:4">
      <c r="B4979" s="474"/>
      <c r="C4979" s="167"/>
      <c r="D4979" s="168"/>
    </row>
    <row r="4980" spans="2:4">
      <c r="B4980" s="474"/>
      <c r="C4980" s="167"/>
      <c r="D4980" s="168"/>
    </row>
    <row r="4981" spans="2:4">
      <c r="B4981" s="474"/>
      <c r="C4981" s="167"/>
      <c r="D4981" s="168"/>
    </row>
    <row r="4982" spans="2:4">
      <c r="B4982" s="474"/>
      <c r="C4982" s="167"/>
      <c r="D4982" s="168"/>
    </row>
    <row r="4983" spans="2:4">
      <c r="B4983" s="474"/>
      <c r="C4983" s="167"/>
      <c r="D4983" s="168"/>
    </row>
    <row r="4984" spans="2:4">
      <c r="B4984" s="474"/>
      <c r="C4984" s="167"/>
      <c r="D4984" s="168"/>
    </row>
    <row r="4985" spans="2:4">
      <c r="B4985" s="474"/>
      <c r="C4985" s="167"/>
      <c r="D4985" s="168"/>
    </row>
    <row r="4986" spans="2:4">
      <c r="B4986" s="474"/>
      <c r="C4986" s="167"/>
      <c r="D4986" s="168"/>
    </row>
    <row r="4987" spans="2:4">
      <c r="B4987" s="474"/>
      <c r="C4987" s="167"/>
      <c r="D4987" s="168"/>
    </row>
    <row r="4988" spans="2:4">
      <c r="B4988" s="474"/>
      <c r="C4988" s="167"/>
      <c r="D4988" s="168"/>
    </row>
    <row r="4989" spans="2:4">
      <c r="B4989" s="474"/>
      <c r="C4989" s="167"/>
      <c r="D4989" s="168"/>
    </row>
    <row r="4990" spans="2:4">
      <c r="B4990" s="474"/>
      <c r="C4990" s="167"/>
      <c r="D4990" s="168"/>
    </row>
    <row r="4991" spans="2:4">
      <c r="B4991" s="474"/>
      <c r="C4991" s="167"/>
      <c r="D4991" s="168"/>
    </row>
    <row r="4992" spans="2:4">
      <c r="B4992" s="474"/>
      <c r="C4992" s="167"/>
      <c r="D4992" s="168"/>
    </row>
    <row r="4993" spans="2:4">
      <c r="B4993" s="474"/>
      <c r="C4993" s="167"/>
      <c r="D4993" s="168"/>
    </row>
    <row r="4994" spans="2:4">
      <c r="B4994" s="474"/>
      <c r="C4994" s="167"/>
      <c r="D4994" s="168"/>
    </row>
    <row r="4995" spans="2:4">
      <c r="B4995" s="474"/>
      <c r="C4995" s="167"/>
      <c r="D4995" s="168"/>
    </row>
    <row r="4996" spans="2:4">
      <c r="B4996" s="474"/>
      <c r="C4996" s="167"/>
      <c r="D4996" s="168"/>
    </row>
    <row r="4997" spans="2:4">
      <c r="B4997" s="474"/>
      <c r="C4997" s="167"/>
      <c r="D4997" s="168"/>
    </row>
    <row r="4998" spans="2:4">
      <c r="B4998" s="474"/>
      <c r="C4998" s="167"/>
      <c r="D4998" s="168"/>
    </row>
    <row r="4999" spans="2:4">
      <c r="B4999" s="474"/>
      <c r="C4999" s="167"/>
      <c r="D4999" s="168"/>
    </row>
    <row r="5000" spans="2:4">
      <c r="B5000" s="474"/>
      <c r="C5000" s="167"/>
      <c r="D5000" s="168"/>
    </row>
    <row r="5001" spans="2:4">
      <c r="B5001" s="474"/>
      <c r="C5001" s="167"/>
      <c r="D5001" s="168"/>
    </row>
    <row r="5002" spans="2:4">
      <c r="B5002" s="474"/>
      <c r="C5002" s="167"/>
      <c r="D5002" s="168"/>
    </row>
    <row r="5003" spans="2:4">
      <c r="B5003" s="474"/>
      <c r="C5003" s="167"/>
      <c r="D5003" s="168"/>
    </row>
    <row r="5004" spans="2:4">
      <c r="B5004" s="474"/>
      <c r="C5004" s="167"/>
      <c r="D5004" s="168"/>
    </row>
    <row r="5005" spans="2:4">
      <c r="B5005" s="474"/>
      <c r="C5005" s="167"/>
      <c r="D5005" s="168"/>
    </row>
    <row r="5006" spans="2:4">
      <c r="B5006" s="474"/>
      <c r="C5006" s="167"/>
      <c r="D5006" s="168"/>
    </row>
    <row r="5007" spans="2:4">
      <c r="B5007" s="474"/>
      <c r="C5007" s="167"/>
      <c r="D5007" s="168"/>
    </row>
    <row r="5008" spans="2:4">
      <c r="B5008" s="474"/>
      <c r="C5008" s="167"/>
      <c r="D5008" s="168"/>
    </row>
    <row r="5009" spans="2:4">
      <c r="B5009" s="474"/>
      <c r="C5009" s="167"/>
      <c r="D5009" s="168"/>
    </row>
    <row r="5010" spans="2:4">
      <c r="B5010" s="474"/>
      <c r="C5010" s="167"/>
      <c r="D5010" s="168"/>
    </row>
    <row r="5011" spans="2:4">
      <c r="B5011" s="474"/>
      <c r="C5011" s="167"/>
      <c r="D5011" s="168"/>
    </row>
    <row r="5012" spans="2:4">
      <c r="B5012" s="474"/>
      <c r="C5012" s="167"/>
      <c r="D5012" s="168"/>
    </row>
    <row r="5013" spans="2:4">
      <c r="B5013" s="474"/>
      <c r="C5013" s="167"/>
      <c r="D5013" s="168"/>
    </row>
    <row r="5014" spans="2:4">
      <c r="B5014" s="474"/>
      <c r="C5014" s="167"/>
      <c r="D5014" s="168"/>
    </row>
    <row r="5015" spans="2:4">
      <c r="B5015" s="474"/>
      <c r="C5015" s="167"/>
      <c r="D5015" s="168"/>
    </row>
    <row r="5016" spans="2:4">
      <c r="B5016" s="474"/>
      <c r="C5016" s="167"/>
      <c r="D5016" s="168"/>
    </row>
    <row r="5017" spans="2:4">
      <c r="B5017" s="474"/>
      <c r="C5017" s="167"/>
      <c r="D5017" s="168"/>
    </row>
    <row r="5018" spans="2:4">
      <c r="B5018" s="474"/>
      <c r="C5018" s="167"/>
      <c r="D5018" s="168"/>
    </row>
    <row r="5019" spans="2:4">
      <c r="B5019" s="474"/>
      <c r="C5019" s="167"/>
      <c r="D5019" s="168"/>
    </row>
    <row r="5020" spans="2:4">
      <c r="B5020" s="474"/>
      <c r="C5020" s="167"/>
      <c r="D5020" s="168"/>
    </row>
    <row r="5021" spans="2:4">
      <c r="B5021" s="474"/>
      <c r="C5021" s="167"/>
      <c r="D5021" s="168"/>
    </row>
    <row r="5022" spans="2:4">
      <c r="B5022" s="474"/>
      <c r="C5022" s="167"/>
      <c r="D5022" s="168"/>
    </row>
    <row r="5023" spans="2:4">
      <c r="B5023" s="474"/>
      <c r="C5023" s="167"/>
      <c r="D5023" s="168"/>
    </row>
    <row r="5024" spans="2:4">
      <c r="B5024" s="474"/>
      <c r="C5024" s="167"/>
      <c r="D5024" s="168"/>
    </row>
    <row r="5025" spans="2:4">
      <c r="B5025" s="474"/>
      <c r="C5025" s="167"/>
      <c r="D5025" s="168"/>
    </row>
    <row r="5026" spans="2:4">
      <c r="B5026" s="474"/>
      <c r="C5026" s="167"/>
      <c r="D5026" s="168"/>
    </row>
    <row r="5027" spans="2:4">
      <c r="B5027" s="474"/>
      <c r="C5027" s="167"/>
      <c r="D5027" s="168"/>
    </row>
    <row r="5028" spans="2:4">
      <c r="B5028" s="474"/>
      <c r="C5028" s="167"/>
      <c r="D5028" s="168"/>
    </row>
    <row r="5029" spans="2:4">
      <c r="B5029" s="474"/>
      <c r="C5029" s="167"/>
      <c r="D5029" s="168"/>
    </row>
    <row r="5030" spans="2:4">
      <c r="B5030" s="474"/>
      <c r="C5030" s="167"/>
      <c r="D5030" s="168"/>
    </row>
    <row r="5031" spans="2:4">
      <c r="B5031" s="474"/>
      <c r="C5031" s="167"/>
      <c r="D5031" s="168"/>
    </row>
    <row r="5032" spans="2:4">
      <c r="B5032" s="474"/>
      <c r="C5032" s="167"/>
      <c r="D5032" s="168"/>
    </row>
    <row r="5033" spans="2:4">
      <c r="B5033" s="474"/>
      <c r="C5033" s="167"/>
      <c r="D5033" s="168"/>
    </row>
    <row r="5034" spans="2:4">
      <c r="B5034" s="474"/>
      <c r="C5034" s="167"/>
      <c r="D5034" s="168"/>
    </row>
    <row r="5035" spans="2:4">
      <c r="B5035" s="474"/>
      <c r="C5035" s="167"/>
      <c r="D5035" s="168"/>
    </row>
    <row r="5036" spans="2:4">
      <c r="B5036" s="474"/>
      <c r="C5036" s="167"/>
      <c r="D5036" s="168"/>
    </row>
    <row r="5037" spans="2:4">
      <c r="B5037" s="474"/>
      <c r="C5037" s="167"/>
      <c r="D5037" s="168"/>
    </row>
    <row r="5038" spans="2:4">
      <c r="B5038" s="474"/>
      <c r="C5038" s="167"/>
      <c r="D5038" s="168"/>
    </row>
    <row r="5039" spans="2:4">
      <c r="B5039" s="474"/>
      <c r="C5039" s="167"/>
      <c r="D5039" s="168"/>
    </row>
    <row r="5040" spans="2:4">
      <c r="B5040" s="474"/>
      <c r="C5040" s="167"/>
      <c r="D5040" s="168"/>
    </row>
    <row r="5041" spans="2:4">
      <c r="B5041" s="474"/>
      <c r="C5041" s="167"/>
      <c r="D5041" s="168"/>
    </row>
    <row r="5042" spans="2:4">
      <c r="B5042" s="474"/>
      <c r="C5042" s="167"/>
      <c r="D5042" s="168"/>
    </row>
    <row r="5043" spans="2:4">
      <c r="B5043" s="474"/>
      <c r="C5043" s="167"/>
      <c r="D5043" s="168"/>
    </row>
    <row r="5044" spans="2:4">
      <c r="B5044" s="474"/>
      <c r="C5044" s="167"/>
      <c r="D5044" s="168"/>
    </row>
    <row r="5045" spans="2:4">
      <c r="B5045" s="474"/>
      <c r="C5045" s="167"/>
      <c r="D5045" s="168"/>
    </row>
    <row r="5046" spans="2:4">
      <c r="B5046" s="474"/>
      <c r="C5046" s="167"/>
      <c r="D5046" s="168"/>
    </row>
    <row r="5047" spans="2:4">
      <c r="B5047" s="474"/>
      <c r="C5047" s="167"/>
      <c r="D5047" s="168"/>
    </row>
    <row r="5048" spans="2:4">
      <c r="B5048" s="474"/>
      <c r="C5048" s="167"/>
      <c r="D5048" s="168"/>
    </row>
    <row r="5049" spans="2:4">
      <c r="B5049" s="474"/>
      <c r="C5049" s="167"/>
      <c r="D5049" s="168"/>
    </row>
    <row r="5050" spans="2:4">
      <c r="B5050" s="474"/>
      <c r="C5050" s="167"/>
      <c r="D5050" s="168"/>
    </row>
    <row r="5051" spans="2:4">
      <c r="B5051" s="474"/>
      <c r="C5051" s="167"/>
      <c r="D5051" s="168"/>
    </row>
    <row r="5052" spans="2:4">
      <c r="B5052" s="474"/>
      <c r="C5052" s="167"/>
      <c r="D5052" s="168"/>
    </row>
    <row r="5053" spans="2:4">
      <c r="B5053" s="474"/>
      <c r="C5053" s="167"/>
      <c r="D5053" s="168"/>
    </row>
    <row r="5054" spans="2:4">
      <c r="B5054" s="474"/>
      <c r="C5054" s="167"/>
      <c r="D5054" s="168"/>
    </row>
    <row r="5055" spans="2:4">
      <c r="B5055" s="474"/>
      <c r="C5055" s="167"/>
      <c r="D5055" s="168"/>
    </row>
    <row r="5056" spans="2:4">
      <c r="B5056" s="474"/>
      <c r="C5056" s="167"/>
      <c r="D5056" s="168"/>
    </row>
    <row r="5057" spans="2:4">
      <c r="B5057" s="474"/>
      <c r="C5057" s="167"/>
      <c r="D5057" s="168"/>
    </row>
    <row r="5058" spans="2:4">
      <c r="B5058" s="474"/>
      <c r="C5058" s="167"/>
      <c r="D5058" s="168"/>
    </row>
    <row r="5059" spans="2:4">
      <c r="B5059" s="474"/>
      <c r="C5059" s="167"/>
      <c r="D5059" s="168"/>
    </row>
    <row r="5060" spans="2:4">
      <c r="B5060" s="474"/>
      <c r="C5060" s="167"/>
      <c r="D5060" s="168"/>
    </row>
    <row r="5061" spans="2:4">
      <c r="B5061" s="474"/>
      <c r="C5061" s="167"/>
      <c r="D5061" s="168"/>
    </row>
    <row r="5062" spans="2:4">
      <c r="B5062" s="474"/>
      <c r="C5062" s="167"/>
      <c r="D5062" s="168"/>
    </row>
    <row r="5063" spans="2:4">
      <c r="B5063" s="474"/>
      <c r="C5063" s="167"/>
      <c r="D5063" s="168"/>
    </row>
    <row r="5064" spans="2:4">
      <c r="B5064" s="474"/>
      <c r="C5064" s="167"/>
      <c r="D5064" s="168"/>
    </row>
    <row r="5065" spans="2:4">
      <c r="B5065" s="474"/>
      <c r="C5065" s="167"/>
      <c r="D5065" s="168"/>
    </row>
    <row r="5066" spans="2:4">
      <c r="B5066" s="474"/>
      <c r="C5066" s="167"/>
      <c r="D5066" s="168"/>
    </row>
    <row r="5067" spans="2:4">
      <c r="B5067" s="474"/>
      <c r="C5067" s="167"/>
      <c r="D5067" s="168"/>
    </row>
    <row r="5068" spans="2:4">
      <c r="B5068" s="474"/>
      <c r="C5068" s="167"/>
      <c r="D5068" s="168"/>
    </row>
    <row r="5069" spans="2:4">
      <c r="B5069" s="474"/>
      <c r="C5069" s="167"/>
      <c r="D5069" s="168"/>
    </row>
    <row r="5070" spans="2:4">
      <c r="B5070" s="474"/>
      <c r="C5070" s="167"/>
      <c r="D5070" s="168"/>
    </row>
    <row r="5071" spans="2:4">
      <c r="B5071" s="474"/>
      <c r="C5071" s="167"/>
      <c r="D5071" s="168"/>
    </row>
    <row r="5072" spans="2:4">
      <c r="B5072" s="474"/>
      <c r="C5072" s="167"/>
      <c r="D5072" s="168"/>
    </row>
    <row r="5073" spans="2:4">
      <c r="B5073" s="474"/>
      <c r="C5073" s="167"/>
      <c r="D5073" s="168"/>
    </row>
    <row r="5074" spans="2:4">
      <c r="B5074" s="474"/>
      <c r="C5074" s="167"/>
      <c r="D5074" s="168"/>
    </row>
    <row r="5075" spans="2:4">
      <c r="B5075" s="474"/>
      <c r="C5075" s="167"/>
      <c r="D5075" s="168"/>
    </row>
    <row r="5076" spans="2:4">
      <c r="B5076" s="474"/>
      <c r="C5076" s="167"/>
      <c r="D5076" s="168"/>
    </row>
    <row r="5077" spans="2:4">
      <c r="B5077" s="474"/>
      <c r="C5077" s="167"/>
      <c r="D5077" s="168"/>
    </row>
    <row r="5078" spans="2:4">
      <c r="B5078" s="474"/>
      <c r="C5078" s="167"/>
      <c r="D5078" s="168"/>
    </row>
    <row r="5079" spans="2:4">
      <c r="B5079" s="474"/>
      <c r="C5079" s="167"/>
      <c r="D5079" s="168"/>
    </row>
    <row r="5080" spans="2:4">
      <c r="B5080" s="474"/>
      <c r="C5080" s="167"/>
      <c r="D5080" s="168"/>
    </row>
    <row r="5081" spans="2:4">
      <c r="B5081" s="474"/>
      <c r="C5081" s="167"/>
      <c r="D5081" s="168"/>
    </row>
    <row r="5082" spans="2:4">
      <c r="B5082" s="474"/>
      <c r="C5082" s="167"/>
      <c r="D5082" s="168"/>
    </row>
    <row r="5083" spans="2:4">
      <c r="B5083" s="474"/>
      <c r="C5083" s="167"/>
      <c r="D5083" s="168"/>
    </row>
    <row r="5084" spans="2:4">
      <c r="B5084" s="474"/>
      <c r="C5084" s="167"/>
      <c r="D5084" s="168"/>
    </row>
    <row r="5085" spans="2:4">
      <c r="B5085" s="474"/>
      <c r="C5085" s="167"/>
      <c r="D5085" s="168"/>
    </row>
    <row r="5086" spans="2:4">
      <c r="B5086" s="474"/>
      <c r="C5086" s="167"/>
      <c r="D5086" s="168"/>
    </row>
    <row r="5087" spans="2:4">
      <c r="B5087" s="474"/>
      <c r="C5087" s="167"/>
      <c r="D5087" s="168"/>
    </row>
    <row r="5088" spans="2:4">
      <c r="B5088" s="474"/>
      <c r="C5088" s="167"/>
      <c r="D5088" s="168"/>
    </row>
    <row r="5089" spans="2:4">
      <c r="B5089" s="474"/>
      <c r="C5089" s="167"/>
      <c r="D5089" s="168"/>
    </row>
    <row r="5090" spans="2:4">
      <c r="B5090" s="474"/>
      <c r="C5090" s="167"/>
      <c r="D5090" s="168"/>
    </row>
    <row r="5091" spans="2:4">
      <c r="B5091" s="474"/>
      <c r="C5091" s="167"/>
      <c r="D5091" s="168"/>
    </row>
    <row r="5092" spans="2:4">
      <c r="B5092" s="474"/>
      <c r="C5092" s="167"/>
      <c r="D5092" s="168"/>
    </row>
    <row r="5093" spans="2:4">
      <c r="B5093" s="474"/>
      <c r="C5093" s="167"/>
      <c r="D5093" s="168"/>
    </row>
    <row r="5094" spans="2:4">
      <c r="B5094" s="474"/>
      <c r="C5094" s="167"/>
      <c r="D5094" s="168"/>
    </row>
    <row r="5095" spans="2:4">
      <c r="B5095" s="474"/>
      <c r="C5095" s="167"/>
      <c r="D5095" s="168"/>
    </row>
    <row r="5096" spans="2:4">
      <c r="B5096" s="474"/>
      <c r="C5096" s="167"/>
      <c r="D5096" s="168"/>
    </row>
    <row r="5097" spans="2:4">
      <c r="B5097" s="474"/>
      <c r="C5097" s="167"/>
      <c r="D5097" s="168"/>
    </row>
    <row r="5098" spans="2:4">
      <c r="B5098" s="474"/>
      <c r="C5098" s="167"/>
      <c r="D5098" s="168"/>
    </row>
    <row r="5099" spans="2:4">
      <c r="B5099" s="474"/>
      <c r="C5099" s="167"/>
      <c r="D5099" s="168"/>
    </row>
    <row r="5100" spans="2:4">
      <c r="B5100" s="474"/>
      <c r="C5100" s="167"/>
      <c r="D5100" s="168"/>
    </row>
    <row r="5101" spans="2:4">
      <c r="B5101" s="474"/>
      <c r="C5101" s="167"/>
      <c r="D5101" s="168"/>
    </row>
    <row r="5102" spans="2:4">
      <c r="B5102" s="474"/>
      <c r="C5102" s="167"/>
      <c r="D5102" s="168"/>
    </row>
    <row r="5103" spans="2:4">
      <c r="B5103" s="474"/>
      <c r="C5103" s="167"/>
      <c r="D5103" s="168"/>
    </row>
    <row r="5104" spans="2:4">
      <c r="B5104" s="474"/>
      <c r="C5104" s="167"/>
      <c r="D5104" s="168"/>
    </row>
    <row r="5105" spans="2:4">
      <c r="B5105" s="474"/>
      <c r="C5105" s="167"/>
      <c r="D5105" s="168"/>
    </row>
    <row r="5106" spans="2:4">
      <c r="B5106" s="474"/>
      <c r="C5106" s="167"/>
      <c r="D5106" s="168"/>
    </row>
    <row r="5107" spans="2:4">
      <c r="B5107" s="474"/>
      <c r="C5107" s="167"/>
      <c r="D5107" s="168"/>
    </row>
    <row r="5108" spans="2:4">
      <c r="B5108" s="474"/>
      <c r="C5108" s="167"/>
      <c r="D5108" s="168"/>
    </row>
    <row r="5109" spans="2:4">
      <c r="B5109" s="474"/>
      <c r="C5109" s="167"/>
      <c r="D5109" s="168"/>
    </row>
    <row r="5110" spans="2:4">
      <c r="B5110" s="474"/>
      <c r="C5110" s="167"/>
      <c r="D5110" s="168"/>
    </row>
    <row r="5111" spans="2:4">
      <c r="B5111" s="474"/>
      <c r="C5111" s="167"/>
      <c r="D5111" s="168"/>
    </row>
    <row r="5112" spans="2:4">
      <c r="B5112" s="474"/>
      <c r="C5112" s="167"/>
      <c r="D5112" s="168"/>
    </row>
    <row r="5113" spans="2:4">
      <c r="B5113" s="474"/>
      <c r="C5113" s="167"/>
      <c r="D5113" s="168"/>
    </row>
    <row r="5114" spans="2:4">
      <c r="B5114" s="474"/>
      <c r="C5114" s="167"/>
      <c r="D5114" s="168"/>
    </row>
    <row r="5115" spans="2:4">
      <c r="B5115" s="474"/>
      <c r="C5115" s="167"/>
      <c r="D5115" s="168"/>
    </row>
    <row r="5116" spans="2:4">
      <c r="B5116" s="474"/>
      <c r="C5116" s="167"/>
      <c r="D5116" s="168"/>
    </row>
    <row r="5117" spans="2:4">
      <c r="B5117" s="474"/>
      <c r="C5117" s="167"/>
      <c r="D5117" s="168"/>
    </row>
    <row r="5118" spans="2:4">
      <c r="B5118" s="474"/>
      <c r="C5118" s="167"/>
      <c r="D5118" s="168"/>
    </row>
    <row r="5119" spans="2:4">
      <c r="B5119" s="474"/>
      <c r="C5119" s="167"/>
      <c r="D5119" s="168"/>
    </row>
    <row r="5120" spans="2:4">
      <c r="B5120" s="474"/>
      <c r="C5120" s="167"/>
      <c r="D5120" s="168"/>
    </row>
    <row r="5121" spans="2:4">
      <c r="B5121" s="474"/>
      <c r="C5121" s="167"/>
      <c r="D5121" s="168"/>
    </row>
    <row r="5122" spans="2:4">
      <c r="B5122" s="474"/>
      <c r="C5122" s="167"/>
      <c r="D5122" s="168"/>
    </row>
    <row r="5123" spans="2:4">
      <c r="B5123" s="474"/>
      <c r="C5123" s="167"/>
      <c r="D5123" s="168"/>
    </row>
    <row r="5124" spans="2:4">
      <c r="B5124" s="474"/>
      <c r="C5124" s="167"/>
      <c r="D5124" s="168"/>
    </row>
    <row r="5125" spans="2:4">
      <c r="B5125" s="474"/>
      <c r="C5125" s="167"/>
      <c r="D5125" s="168"/>
    </row>
    <row r="5126" spans="2:4">
      <c r="B5126" s="474"/>
      <c r="C5126" s="167"/>
      <c r="D5126" s="168"/>
    </row>
    <row r="5127" spans="2:4">
      <c r="B5127" s="474"/>
      <c r="C5127" s="167"/>
      <c r="D5127" s="168"/>
    </row>
    <row r="5128" spans="2:4">
      <c r="B5128" s="474"/>
      <c r="C5128" s="167"/>
      <c r="D5128" s="168"/>
    </row>
    <row r="5129" spans="2:4">
      <c r="B5129" s="474"/>
      <c r="C5129" s="167"/>
      <c r="D5129" s="168"/>
    </row>
    <row r="5130" spans="2:4">
      <c r="B5130" s="474"/>
      <c r="C5130" s="167"/>
      <c r="D5130" s="168"/>
    </row>
    <row r="5131" spans="2:4">
      <c r="B5131" s="474"/>
      <c r="C5131" s="167"/>
      <c r="D5131" s="168"/>
    </row>
    <row r="5132" spans="2:4">
      <c r="B5132" s="474"/>
      <c r="C5132" s="167"/>
      <c r="D5132" s="168"/>
    </row>
    <row r="5133" spans="2:4">
      <c r="B5133" s="474"/>
      <c r="C5133" s="167"/>
      <c r="D5133" s="168"/>
    </row>
    <row r="5134" spans="2:4">
      <c r="B5134" s="474"/>
      <c r="C5134" s="167"/>
      <c r="D5134" s="168"/>
    </row>
    <row r="5135" spans="2:4">
      <c r="B5135" s="474"/>
      <c r="C5135" s="167"/>
      <c r="D5135" s="168"/>
    </row>
    <row r="5136" spans="2:4">
      <c r="B5136" s="474"/>
      <c r="C5136" s="167"/>
      <c r="D5136" s="168"/>
    </row>
    <row r="5137" spans="2:4">
      <c r="B5137" s="474"/>
      <c r="C5137" s="167"/>
      <c r="D5137" s="168"/>
    </row>
    <row r="5138" spans="2:4">
      <c r="B5138" s="474"/>
      <c r="C5138" s="167"/>
      <c r="D5138" s="168"/>
    </row>
    <row r="5139" spans="2:4">
      <c r="B5139" s="474"/>
      <c r="C5139" s="167"/>
      <c r="D5139" s="168"/>
    </row>
    <row r="5140" spans="2:4">
      <c r="B5140" s="474"/>
      <c r="C5140" s="167"/>
      <c r="D5140" s="168"/>
    </row>
    <row r="5141" spans="2:4">
      <c r="B5141" s="474"/>
      <c r="C5141" s="167"/>
      <c r="D5141" s="168"/>
    </row>
    <row r="5142" spans="2:4">
      <c r="B5142" s="474"/>
      <c r="C5142" s="167"/>
      <c r="D5142" s="168"/>
    </row>
    <row r="5143" spans="2:4">
      <c r="B5143" s="474"/>
      <c r="C5143" s="167"/>
      <c r="D5143" s="168"/>
    </row>
    <row r="5144" spans="2:4">
      <c r="B5144" s="474"/>
      <c r="C5144" s="167"/>
      <c r="D5144" s="168"/>
    </row>
    <row r="5145" spans="2:4">
      <c r="B5145" s="474"/>
      <c r="C5145" s="167"/>
      <c r="D5145" s="168"/>
    </row>
    <row r="5146" spans="2:4">
      <c r="B5146" s="474"/>
      <c r="C5146" s="167"/>
      <c r="D5146" s="168"/>
    </row>
    <row r="5147" spans="2:4">
      <c r="B5147" s="474"/>
      <c r="C5147" s="167"/>
      <c r="D5147" s="168"/>
    </row>
    <row r="5148" spans="2:4">
      <c r="B5148" s="474"/>
      <c r="C5148" s="167"/>
      <c r="D5148" s="168"/>
    </row>
    <row r="5149" spans="2:4">
      <c r="B5149" s="474"/>
      <c r="C5149" s="167"/>
      <c r="D5149" s="168"/>
    </row>
    <row r="5150" spans="2:4">
      <c r="B5150" s="474"/>
      <c r="C5150" s="167"/>
      <c r="D5150" s="168"/>
    </row>
    <row r="5151" spans="2:4">
      <c r="B5151" s="474"/>
      <c r="C5151" s="167"/>
      <c r="D5151" s="168"/>
    </row>
    <row r="5152" spans="2:4">
      <c r="B5152" s="474"/>
      <c r="C5152" s="167"/>
      <c r="D5152" s="168"/>
    </row>
    <row r="5153" spans="2:4">
      <c r="B5153" s="474"/>
      <c r="C5153" s="167"/>
      <c r="D5153" s="168"/>
    </row>
    <row r="5154" spans="2:4">
      <c r="B5154" s="474"/>
      <c r="C5154" s="167"/>
      <c r="D5154" s="168"/>
    </row>
    <row r="5155" spans="2:4">
      <c r="B5155" s="474"/>
      <c r="C5155" s="167"/>
      <c r="D5155" s="168"/>
    </row>
    <row r="5156" spans="2:4">
      <c r="B5156" s="474"/>
      <c r="C5156" s="167"/>
      <c r="D5156" s="168"/>
    </row>
    <row r="5157" spans="2:4">
      <c r="B5157" s="474"/>
      <c r="C5157" s="167"/>
      <c r="D5157" s="168"/>
    </row>
    <row r="5158" spans="2:4">
      <c r="B5158" s="474"/>
      <c r="C5158" s="167"/>
      <c r="D5158" s="168"/>
    </row>
    <row r="5159" spans="2:4">
      <c r="B5159" s="474"/>
      <c r="C5159" s="167"/>
      <c r="D5159" s="168"/>
    </row>
    <row r="5160" spans="2:4">
      <c r="B5160" s="474"/>
      <c r="C5160" s="167"/>
      <c r="D5160" s="168"/>
    </row>
    <row r="5161" spans="2:4">
      <c r="B5161" s="474"/>
      <c r="C5161" s="167"/>
      <c r="D5161" s="168"/>
    </row>
    <row r="5162" spans="2:4">
      <c r="B5162" s="474"/>
      <c r="C5162" s="167"/>
      <c r="D5162" s="168"/>
    </row>
    <row r="5163" spans="2:4">
      <c r="B5163" s="474"/>
      <c r="C5163" s="167"/>
      <c r="D5163" s="168"/>
    </row>
    <row r="5164" spans="2:4">
      <c r="B5164" s="474"/>
      <c r="C5164" s="167"/>
      <c r="D5164" s="168"/>
    </row>
    <row r="5165" spans="2:4">
      <c r="B5165" s="474"/>
      <c r="C5165" s="167"/>
      <c r="D5165" s="168"/>
    </row>
    <row r="5166" spans="2:4">
      <c r="B5166" s="474"/>
      <c r="C5166" s="167"/>
      <c r="D5166" s="168"/>
    </row>
    <row r="5167" spans="2:4">
      <c r="B5167" s="474"/>
      <c r="C5167" s="167"/>
      <c r="D5167" s="168"/>
    </row>
    <row r="5168" spans="2:4">
      <c r="B5168" s="474"/>
      <c r="C5168" s="167"/>
      <c r="D5168" s="168"/>
    </row>
    <row r="5169" spans="2:4">
      <c r="B5169" s="474"/>
      <c r="C5169" s="167"/>
      <c r="D5169" s="168"/>
    </row>
    <row r="5170" spans="2:4">
      <c r="B5170" s="474"/>
      <c r="C5170" s="167"/>
      <c r="D5170" s="168"/>
    </row>
    <row r="5171" spans="2:4">
      <c r="B5171" s="474"/>
      <c r="C5171" s="167"/>
      <c r="D5171" s="168"/>
    </row>
    <row r="5172" spans="2:4">
      <c r="B5172" s="474"/>
      <c r="C5172" s="167"/>
      <c r="D5172" s="168"/>
    </row>
    <row r="5173" spans="2:4">
      <c r="B5173" s="474"/>
      <c r="C5173" s="167"/>
      <c r="D5173" s="168"/>
    </row>
    <row r="5174" spans="2:4">
      <c r="B5174" s="474"/>
      <c r="C5174" s="167"/>
      <c r="D5174" s="168"/>
    </row>
    <row r="5175" spans="2:4">
      <c r="B5175" s="474"/>
      <c r="C5175" s="167"/>
      <c r="D5175" s="168"/>
    </row>
    <row r="5176" spans="2:4">
      <c r="B5176" s="474"/>
      <c r="C5176" s="167"/>
      <c r="D5176" s="168"/>
    </row>
    <row r="5177" spans="2:4">
      <c r="B5177" s="474"/>
      <c r="C5177" s="167"/>
      <c r="D5177" s="168"/>
    </row>
    <row r="5178" spans="2:4">
      <c r="B5178" s="474"/>
      <c r="C5178" s="167"/>
      <c r="D5178" s="168"/>
    </row>
    <row r="5179" spans="2:4">
      <c r="B5179" s="474"/>
      <c r="C5179" s="167"/>
      <c r="D5179" s="168"/>
    </row>
    <row r="5180" spans="2:4">
      <c r="B5180" s="474"/>
      <c r="C5180" s="167"/>
      <c r="D5180" s="168"/>
    </row>
    <row r="5181" spans="2:4">
      <c r="B5181" s="474"/>
      <c r="C5181" s="167"/>
      <c r="D5181" s="168"/>
    </row>
    <row r="5182" spans="2:4">
      <c r="B5182" s="474"/>
      <c r="C5182" s="167"/>
      <c r="D5182" s="168"/>
    </row>
    <row r="5183" spans="2:4">
      <c r="B5183" s="474"/>
      <c r="C5183" s="167"/>
      <c r="D5183" s="168"/>
    </row>
    <row r="5184" spans="2:4">
      <c r="B5184" s="474"/>
      <c r="C5184" s="167"/>
      <c r="D5184" s="168"/>
    </row>
    <row r="5185" spans="2:4">
      <c r="B5185" s="474"/>
      <c r="C5185" s="167"/>
      <c r="D5185" s="168"/>
    </row>
    <row r="5186" spans="2:4">
      <c r="B5186" s="474"/>
      <c r="C5186" s="167"/>
      <c r="D5186" s="168"/>
    </row>
    <row r="5187" spans="2:4">
      <c r="B5187" s="474"/>
      <c r="C5187" s="167"/>
      <c r="D5187" s="168"/>
    </row>
    <row r="5188" spans="2:4">
      <c r="B5188" s="474"/>
      <c r="C5188" s="167"/>
      <c r="D5188" s="168"/>
    </row>
    <row r="5189" spans="2:4">
      <c r="B5189" s="474"/>
      <c r="C5189" s="167"/>
      <c r="D5189" s="168"/>
    </row>
    <row r="5190" spans="2:4">
      <c r="B5190" s="474"/>
      <c r="C5190" s="167"/>
      <c r="D5190" s="168"/>
    </row>
    <row r="5191" spans="2:4">
      <c r="B5191" s="474"/>
      <c r="C5191" s="167"/>
      <c r="D5191" s="168"/>
    </row>
    <row r="5192" spans="2:4">
      <c r="B5192" s="474"/>
      <c r="C5192" s="167"/>
      <c r="D5192" s="168"/>
    </row>
    <row r="5193" spans="2:4">
      <c r="B5193" s="474"/>
      <c r="C5193" s="167"/>
      <c r="D5193" s="168"/>
    </row>
    <row r="5194" spans="2:4">
      <c r="B5194" s="474"/>
      <c r="C5194" s="167"/>
      <c r="D5194" s="168"/>
    </row>
    <row r="5195" spans="2:4">
      <c r="B5195" s="474"/>
      <c r="C5195" s="167"/>
      <c r="D5195" s="168"/>
    </row>
    <row r="5196" spans="2:4">
      <c r="B5196" s="474"/>
      <c r="C5196" s="167"/>
      <c r="D5196" s="168"/>
    </row>
    <row r="5197" spans="2:4">
      <c r="B5197" s="474"/>
      <c r="C5197" s="167"/>
      <c r="D5197" s="168"/>
    </row>
    <row r="5198" spans="2:4">
      <c r="B5198" s="474"/>
      <c r="C5198" s="167"/>
      <c r="D5198" s="168"/>
    </row>
    <row r="5199" spans="2:4">
      <c r="B5199" s="474"/>
      <c r="C5199" s="167"/>
      <c r="D5199" s="168"/>
    </row>
    <row r="5200" spans="2:4">
      <c r="B5200" s="474"/>
      <c r="C5200" s="167"/>
      <c r="D5200" s="168"/>
    </row>
    <row r="5201" spans="2:4">
      <c r="B5201" s="474"/>
      <c r="C5201" s="167"/>
      <c r="D5201" s="168"/>
    </row>
    <row r="5202" spans="2:4">
      <c r="B5202" s="474"/>
      <c r="C5202" s="167"/>
      <c r="D5202" s="168"/>
    </row>
    <row r="5203" spans="2:4">
      <c r="B5203" s="474"/>
      <c r="C5203" s="167"/>
      <c r="D5203" s="168"/>
    </row>
    <row r="5204" spans="2:4">
      <c r="B5204" s="474"/>
      <c r="C5204" s="167"/>
      <c r="D5204" s="168"/>
    </row>
    <row r="5205" spans="2:4">
      <c r="B5205" s="474"/>
      <c r="C5205" s="167"/>
      <c r="D5205" s="168"/>
    </row>
    <row r="5206" spans="2:4">
      <c r="B5206" s="474"/>
      <c r="C5206" s="167"/>
      <c r="D5206" s="168"/>
    </row>
    <row r="5207" spans="2:4">
      <c r="B5207" s="474"/>
      <c r="C5207" s="167"/>
      <c r="D5207" s="168"/>
    </row>
    <row r="5208" spans="2:4">
      <c r="B5208" s="474"/>
      <c r="C5208" s="167"/>
      <c r="D5208" s="168"/>
    </row>
    <row r="5209" spans="2:4">
      <c r="B5209" s="474"/>
      <c r="C5209" s="167"/>
      <c r="D5209" s="168"/>
    </row>
    <row r="5210" spans="2:4">
      <c r="B5210" s="474"/>
      <c r="C5210" s="167"/>
      <c r="D5210" s="168"/>
    </row>
    <row r="5211" spans="2:4">
      <c r="B5211" s="474"/>
      <c r="C5211" s="167"/>
      <c r="D5211" s="168"/>
    </row>
    <row r="5212" spans="2:4">
      <c r="B5212" s="474"/>
      <c r="C5212" s="167"/>
      <c r="D5212" s="168"/>
    </row>
    <row r="5213" spans="2:4">
      <c r="B5213" s="474"/>
      <c r="C5213" s="167"/>
      <c r="D5213" s="168"/>
    </row>
    <row r="5214" spans="2:4">
      <c r="B5214" s="474"/>
      <c r="C5214" s="167"/>
      <c r="D5214" s="168"/>
    </row>
    <row r="5215" spans="2:4">
      <c r="B5215" s="474"/>
      <c r="C5215" s="167"/>
      <c r="D5215" s="168"/>
    </row>
    <row r="5216" spans="2:4">
      <c r="B5216" s="474"/>
      <c r="C5216" s="167"/>
      <c r="D5216" s="168"/>
    </row>
    <row r="5217" spans="2:4">
      <c r="B5217" s="474"/>
      <c r="C5217" s="167"/>
      <c r="D5217" s="168"/>
    </row>
    <row r="5218" spans="2:4">
      <c r="B5218" s="474"/>
      <c r="C5218" s="167"/>
      <c r="D5218" s="168"/>
    </row>
    <row r="5219" spans="2:4">
      <c r="B5219" s="474"/>
      <c r="C5219" s="167"/>
      <c r="D5219" s="168"/>
    </row>
    <row r="5220" spans="2:4">
      <c r="B5220" s="474"/>
      <c r="C5220" s="167"/>
      <c r="D5220" s="168"/>
    </row>
    <row r="5221" spans="2:4">
      <c r="B5221" s="474"/>
      <c r="C5221" s="167"/>
      <c r="D5221" s="168"/>
    </row>
    <row r="5222" spans="2:4">
      <c r="B5222" s="474"/>
      <c r="C5222" s="167"/>
      <c r="D5222" s="168"/>
    </row>
    <row r="5223" spans="2:4">
      <c r="B5223" s="474"/>
      <c r="C5223" s="167"/>
      <c r="D5223" s="168"/>
    </row>
    <row r="5224" spans="2:4">
      <c r="B5224" s="474"/>
      <c r="C5224" s="167"/>
      <c r="D5224" s="168"/>
    </row>
    <row r="5225" spans="2:4">
      <c r="B5225" s="474"/>
      <c r="C5225" s="167"/>
      <c r="D5225" s="168"/>
    </row>
    <row r="5226" spans="2:4">
      <c r="B5226" s="474"/>
      <c r="C5226" s="167"/>
      <c r="D5226" s="168"/>
    </row>
    <row r="5227" spans="2:4">
      <c r="B5227" s="474"/>
      <c r="C5227" s="167"/>
      <c r="D5227" s="168"/>
    </row>
    <row r="5228" spans="2:4">
      <c r="B5228" s="474"/>
      <c r="C5228" s="167"/>
      <c r="D5228" s="168"/>
    </row>
    <row r="5229" spans="2:4">
      <c r="B5229" s="474"/>
      <c r="C5229" s="167"/>
      <c r="D5229" s="168"/>
    </row>
    <row r="5230" spans="2:4">
      <c r="B5230" s="474"/>
      <c r="C5230" s="167"/>
      <c r="D5230" s="168"/>
    </row>
    <row r="5231" spans="2:4">
      <c r="B5231" s="474"/>
      <c r="C5231" s="167"/>
      <c r="D5231" s="168"/>
    </row>
    <row r="5232" spans="2:4">
      <c r="B5232" s="474"/>
      <c r="C5232" s="167"/>
      <c r="D5232" s="168"/>
    </row>
    <row r="5233" spans="2:4">
      <c r="B5233" s="474"/>
      <c r="C5233" s="167"/>
      <c r="D5233" s="168"/>
    </row>
    <row r="5234" spans="2:4">
      <c r="B5234" s="474"/>
      <c r="C5234" s="167"/>
      <c r="D5234" s="168"/>
    </row>
    <row r="5235" spans="2:4">
      <c r="B5235" s="474"/>
      <c r="C5235" s="167"/>
      <c r="D5235" s="168"/>
    </row>
    <row r="5236" spans="2:4">
      <c r="B5236" s="474"/>
      <c r="C5236" s="167"/>
      <c r="D5236" s="168"/>
    </row>
    <row r="5237" spans="2:4">
      <c r="B5237" s="474"/>
      <c r="C5237" s="167"/>
      <c r="D5237" s="168"/>
    </row>
    <row r="5238" spans="2:4">
      <c r="B5238" s="474"/>
      <c r="C5238" s="167"/>
      <c r="D5238" s="168"/>
    </row>
    <row r="5239" spans="2:4">
      <c r="B5239" s="474"/>
      <c r="C5239" s="167"/>
      <c r="D5239" s="168"/>
    </row>
  </sheetData>
  <sortState xmlns:xlrd2="http://schemas.microsoft.com/office/spreadsheetml/2017/richdata2" ref="B1:H574">
    <sortCondition ref="B1128:B1131"/>
  </sortState>
  <dataConsolidate/>
  <mergeCells count="4">
    <mergeCell ref="B2:H2"/>
    <mergeCell ref="B3:C3"/>
    <mergeCell ref="B4:C4"/>
    <mergeCell ref="B5:C5"/>
  </mergeCells>
  <phoneticPr fontId="8" type="noConversion"/>
  <conditionalFormatting sqref="C1:C526 C530:C542 C544:C557 C559 C561:C572 C574:C577 C579:C585 C587:C588 C590 C592:C595 C597:C602 C604 C606:C610 C612:C625 C627:C633 C635:C640 C642:C707 C709:C747 C749:C775 C777:C778 C780:C794 C796:C797 C799:C807 C809:C813 C815:C821 C823:C824 C826:C838 C840:C845 C847 C849:C854 C856 C858:C878 C880 C882:C944 C946:C947 C949:C968 C970 C972:C973 C975:C976 C978:C979 C981:C984 C986:C987 C989:C1217 C1222:C1801 C1803:C1861 C1863:C1871 C1873:C1956 C1962:C2193 C2195:C10170">
    <cfRule type="containsText" dxfId="258" priority="940" operator="containsText" text="VERSAMENTO">
      <formula>NOT(ISERROR(SEARCH("VERSAMENTO",C1)))</formula>
    </cfRule>
    <cfRule type="containsText" dxfId="257" priority="945" operator="containsText" text="INCASSO">
      <formula>NOT(ISERROR(SEARCH("INCASSO",C1)))</formula>
    </cfRule>
  </conditionalFormatting>
  <conditionalFormatting sqref="C1:C1217 C1222:C1801 C1803:C1861 C1863:C1871 C1873:C1956 C1962:C2193 C2195:C1048576">
    <cfRule type="containsText" dxfId="256" priority="924" operator="containsText" text="PERSONALE">
      <formula>NOT(ISERROR(SEARCH("PERSONALE",C1)))</formula>
    </cfRule>
    <cfRule type="containsText" dxfId="255" priority="923" operator="containsText" text="NICOLA">
      <formula>NOT(ISERROR(SEARCH("NICOLA",C1)))</formula>
    </cfRule>
  </conditionalFormatting>
  <conditionalFormatting sqref="C527:D529">
    <cfRule type="containsText" dxfId="254" priority="927" operator="containsText" text="INCASSO">
      <formula>NOT(ISERROR(SEARCH("INCASSO",C527)))</formula>
    </cfRule>
    <cfRule type="containsText" dxfId="253" priority="926" operator="containsText" text="VERSAMENTO">
      <formula>NOT(ISERROR(SEARCH("VERSAMENTO",C527)))</formula>
    </cfRule>
  </conditionalFormatting>
  <conditionalFormatting sqref="C543:D543">
    <cfRule type="containsText" dxfId="252" priority="918" operator="containsText" text="INCASSO">
      <formula>NOT(ISERROR(SEARCH("INCASSO",C543)))</formula>
    </cfRule>
    <cfRule type="containsText" dxfId="251" priority="917" operator="containsText" text="VERSAMENTO">
      <formula>NOT(ISERROR(SEARCH("VERSAMENTO",C543)))</formula>
    </cfRule>
  </conditionalFormatting>
  <conditionalFormatting sqref="C558:D558">
    <cfRule type="containsText" dxfId="250" priority="916" operator="containsText" text="INCASSO">
      <formula>NOT(ISERROR(SEARCH("INCASSO",C558)))</formula>
    </cfRule>
    <cfRule type="containsText" dxfId="249" priority="915" operator="containsText" text="VERSAMENTO">
      <formula>NOT(ISERROR(SEARCH("VERSAMENTO",C558)))</formula>
    </cfRule>
  </conditionalFormatting>
  <conditionalFormatting sqref="C560:D560">
    <cfRule type="containsText" dxfId="248" priority="914" operator="containsText" text="INCASSO">
      <formula>NOT(ISERROR(SEARCH("INCASSO",C560)))</formula>
    </cfRule>
    <cfRule type="containsText" dxfId="247" priority="913" operator="containsText" text="VERSAMENTO">
      <formula>NOT(ISERROR(SEARCH("VERSAMENTO",C560)))</formula>
    </cfRule>
  </conditionalFormatting>
  <conditionalFormatting sqref="C573:D573">
    <cfRule type="containsText" dxfId="246" priority="912" operator="containsText" text="INCASSO">
      <formula>NOT(ISERROR(SEARCH("INCASSO",C573)))</formula>
    </cfRule>
    <cfRule type="containsText" dxfId="245" priority="911" operator="containsText" text="VERSAMENTO">
      <formula>NOT(ISERROR(SEARCH("VERSAMENTO",C573)))</formula>
    </cfRule>
  </conditionalFormatting>
  <conditionalFormatting sqref="C578:D578">
    <cfRule type="containsText" dxfId="244" priority="910" operator="containsText" text="INCASSO">
      <formula>NOT(ISERROR(SEARCH("INCASSO",C578)))</formula>
    </cfRule>
    <cfRule type="containsText" dxfId="243" priority="909" operator="containsText" text="VERSAMENTO">
      <formula>NOT(ISERROR(SEARCH("VERSAMENTO",C578)))</formula>
    </cfRule>
  </conditionalFormatting>
  <conditionalFormatting sqref="C586:D586">
    <cfRule type="containsText" dxfId="242" priority="907" operator="containsText" text="VERSAMENTO">
      <formula>NOT(ISERROR(SEARCH("VERSAMENTO",C586)))</formula>
    </cfRule>
    <cfRule type="containsText" dxfId="241" priority="908" operator="containsText" text="INCASSO">
      <formula>NOT(ISERROR(SEARCH("INCASSO",C586)))</formula>
    </cfRule>
  </conditionalFormatting>
  <conditionalFormatting sqref="C589:D589">
    <cfRule type="containsText" dxfId="240" priority="905" operator="containsText" text="VERSAMENTO">
      <formula>NOT(ISERROR(SEARCH("VERSAMENTO",C589)))</formula>
    </cfRule>
    <cfRule type="containsText" dxfId="239" priority="906" operator="containsText" text="INCASSO">
      <formula>NOT(ISERROR(SEARCH("INCASSO",C589)))</formula>
    </cfRule>
  </conditionalFormatting>
  <conditionalFormatting sqref="C591:D591">
    <cfRule type="containsText" dxfId="238" priority="903" operator="containsText" text="VERSAMENTO">
      <formula>NOT(ISERROR(SEARCH("VERSAMENTO",C591)))</formula>
    </cfRule>
    <cfRule type="containsText" dxfId="237" priority="904" operator="containsText" text="INCASSO">
      <formula>NOT(ISERROR(SEARCH("INCASSO",C591)))</formula>
    </cfRule>
  </conditionalFormatting>
  <conditionalFormatting sqref="C596:D596">
    <cfRule type="containsText" dxfId="236" priority="902" operator="containsText" text="INCASSO">
      <formula>NOT(ISERROR(SEARCH("INCASSO",C596)))</formula>
    </cfRule>
    <cfRule type="containsText" dxfId="235" priority="901" operator="containsText" text="VERSAMENTO">
      <formula>NOT(ISERROR(SEARCH("VERSAMENTO",C596)))</formula>
    </cfRule>
  </conditionalFormatting>
  <conditionalFormatting sqref="C603:D603">
    <cfRule type="containsText" dxfId="234" priority="899" operator="containsText" text="VERSAMENTO">
      <formula>NOT(ISERROR(SEARCH("VERSAMENTO",C603)))</formula>
    </cfRule>
    <cfRule type="containsText" dxfId="233" priority="900" operator="containsText" text="INCASSO">
      <formula>NOT(ISERROR(SEARCH("INCASSO",C603)))</formula>
    </cfRule>
  </conditionalFormatting>
  <conditionalFormatting sqref="C605:D605">
    <cfRule type="containsText" dxfId="232" priority="898" operator="containsText" text="INCASSO">
      <formula>NOT(ISERROR(SEARCH("INCASSO",C605)))</formula>
    </cfRule>
    <cfRule type="containsText" dxfId="231" priority="897" operator="containsText" text="VERSAMENTO">
      <formula>NOT(ISERROR(SEARCH("VERSAMENTO",C605)))</formula>
    </cfRule>
  </conditionalFormatting>
  <conditionalFormatting sqref="C611:D611">
    <cfRule type="containsText" dxfId="230" priority="895" operator="containsText" text="VERSAMENTO">
      <formula>NOT(ISERROR(SEARCH("VERSAMENTO",C611)))</formula>
    </cfRule>
    <cfRule type="containsText" dxfId="229" priority="896" operator="containsText" text="INCASSO">
      <formula>NOT(ISERROR(SEARCH("INCASSO",C611)))</formula>
    </cfRule>
  </conditionalFormatting>
  <conditionalFormatting sqref="C626:D626">
    <cfRule type="containsText" dxfId="228" priority="894" operator="containsText" text="INCASSO">
      <formula>NOT(ISERROR(SEARCH("INCASSO",C626)))</formula>
    </cfRule>
    <cfRule type="containsText" dxfId="227" priority="893" operator="containsText" text="VERSAMENTO">
      <formula>NOT(ISERROR(SEARCH("VERSAMENTO",C626)))</formula>
    </cfRule>
  </conditionalFormatting>
  <conditionalFormatting sqref="C634:D634">
    <cfRule type="containsText" dxfId="226" priority="889" operator="containsText" text="VERSAMENTO">
      <formula>NOT(ISERROR(SEARCH("VERSAMENTO",C634)))</formula>
    </cfRule>
    <cfRule type="containsText" dxfId="225" priority="890" operator="containsText" text="INCASSO">
      <formula>NOT(ISERROR(SEARCH("INCASSO",C634)))</formula>
    </cfRule>
  </conditionalFormatting>
  <conditionalFormatting sqref="C641:D641">
    <cfRule type="containsText" dxfId="224" priority="888" operator="containsText" text="INCASSO">
      <formula>NOT(ISERROR(SEARCH("INCASSO",C641)))</formula>
    </cfRule>
    <cfRule type="containsText" dxfId="223" priority="887" operator="containsText" text="VERSAMENTO">
      <formula>NOT(ISERROR(SEARCH("VERSAMENTO",C641)))</formula>
    </cfRule>
  </conditionalFormatting>
  <conditionalFormatting sqref="C708:D708">
    <cfRule type="containsText" dxfId="222" priority="885" operator="containsText" text="VERSAMENTO">
      <formula>NOT(ISERROR(SEARCH("VERSAMENTO",C708)))</formula>
    </cfRule>
    <cfRule type="containsText" dxfId="221" priority="886" operator="containsText" text="INCASSO">
      <formula>NOT(ISERROR(SEARCH("INCASSO",C708)))</formula>
    </cfRule>
  </conditionalFormatting>
  <conditionalFormatting sqref="C748:D748">
    <cfRule type="containsText" dxfId="220" priority="884" operator="containsText" text="INCASSO">
      <formula>NOT(ISERROR(SEARCH("INCASSO",C748)))</formula>
    </cfRule>
    <cfRule type="containsText" dxfId="219" priority="883" operator="containsText" text="VERSAMENTO">
      <formula>NOT(ISERROR(SEARCH("VERSAMENTO",C748)))</formula>
    </cfRule>
  </conditionalFormatting>
  <conditionalFormatting sqref="C776:D776">
    <cfRule type="containsText" dxfId="218" priority="881" operator="containsText" text="VERSAMENTO">
      <formula>NOT(ISERROR(SEARCH("VERSAMENTO",C776)))</formula>
    </cfRule>
    <cfRule type="containsText" dxfId="217" priority="882" operator="containsText" text="INCASSO">
      <formula>NOT(ISERROR(SEARCH("INCASSO",C776)))</formula>
    </cfRule>
  </conditionalFormatting>
  <conditionalFormatting sqref="C779:D779">
    <cfRule type="containsText" dxfId="216" priority="880" operator="containsText" text="INCASSO">
      <formula>NOT(ISERROR(SEARCH("INCASSO",C779)))</formula>
    </cfRule>
    <cfRule type="containsText" dxfId="215" priority="879" operator="containsText" text="VERSAMENTO">
      <formula>NOT(ISERROR(SEARCH("VERSAMENTO",C779)))</formula>
    </cfRule>
  </conditionalFormatting>
  <conditionalFormatting sqref="C795:D795">
    <cfRule type="containsText" dxfId="214" priority="875" operator="containsText" text="VERSAMENTO">
      <formula>NOT(ISERROR(SEARCH("VERSAMENTO",C795)))</formula>
    </cfRule>
    <cfRule type="containsText" dxfId="213" priority="876" operator="containsText" text="INCASSO">
      <formula>NOT(ISERROR(SEARCH("INCASSO",C795)))</formula>
    </cfRule>
  </conditionalFormatting>
  <conditionalFormatting sqref="C798:D798">
    <cfRule type="containsText" dxfId="212" priority="878" operator="containsText" text="INCASSO">
      <formula>NOT(ISERROR(SEARCH("INCASSO",C798)))</formula>
    </cfRule>
    <cfRule type="containsText" dxfId="211" priority="877" operator="containsText" text="VERSAMENTO">
      <formula>NOT(ISERROR(SEARCH("VERSAMENTO",C798)))</formula>
    </cfRule>
  </conditionalFormatting>
  <conditionalFormatting sqref="C808:D808">
    <cfRule type="containsText" dxfId="210" priority="874" operator="containsText" text="INCASSO">
      <formula>NOT(ISERROR(SEARCH("INCASSO",C808)))</formula>
    </cfRule>
    <cfRule type="containsText" dxfId="209" priority="873" operator="containsText" text="VERSAMENTO">
      <formula>NOT(ISERROR(SEARCH("VERSAMENTO",C808)))</formula>
    </cfRule>
  </conditionalFormatting>
  <conditionalFormatting sqref="C814:D814">
    <cfRule type="containsText" dxfId="208" priority="871" operator="containsText" text="VERSAMENTO">
      <formula>NOT(ISERROR(SEARCH("VERSAMENTO",C814)))</formula>
    </cfRule>
    <cfRule type="containsText" dxfId="207" priority="872" operator="containsText" text="INCASSO">
      <formula>NOT(ISERROR(SEARCH("INCASSO",C814)))</formula>
    </cfRule>
  </conditionalFormatting>
  <conditionalFormatting sqref="C822:D822">
    <cfRule type="containsText" dxfId="206" priority="870" operator="containsText" text="INCASSO">
      <formula>NOT(ISERROR(SEARCH("INCASSO",C822)))</formula>
    </cfRule>
    <cfRule type="containsText" dxfId="205" priority="869" operator="containsText" text="VERSAMENTO">
      <formula>NOT(ISERROR(SEARCH("VERSAMENTO",C822)))</formula>
    </cfRule>
  </conditionalFormatting>
  <conditionalFormatting sqref="C825:D825">
    <cfRule type="containsText" dxfId="204" priority="867" operator="containsText" text="VERSAMENTO">
      <formula>NOT(ISERROR(SEARCH("VERSAMENTO",C825)))</formula>
    </cfRule>
    <cfRule type="containsText" dxfId="203" priority="868" operator="containsText" text="INCASSO">
      <formula>NOT(ISERROR(SEARCH("INCASSO",C825)))</formula>
    </cfRule>
  </conditionalFormatting>
  <conditionalFormatting sqref="C839:D839">
    <cfRule type="containsText" dxfId="202" priority="866" operator="containsText" text="INCASSO">
      <formula>NOT(ISERROR(SEARCH("INCASSO",C839)))</formula>
    </cfRule>
    <cfRule type="containsText" dxfId="201" priority="865" operator="containsText" text="VERSAMENTO">
      <formula>NOT(ISERROR(SEARCH("VERSAMENTO",C839)))</formula>
    </cfRule>
  </conditionalFormatting>
  <conditionalFormatting sqref="C846:D846">
    <cfRule type="containsText" dxfId="200" priority="864" operator="containsText" text="INCASSO">
      <formula>NOT(ISERROR(SEARCH("INCASSO",C846)))</formula>
    </cfRule>
    <cfRule type="containsText" dxfId="199" priority="863" operator="containsText" text="VERSAMENTO">
      <formula>NOT(ISERROR(SEARCH("VERSAMENTO",C846)))</formula>
    </cfRule>
  </conditionalFormatting>
  <conditionalFormatting sqref="C848:D848">
    <cfRule type="containsText" dxfId="198" priority="862" operator="containsText" text="INCASSO">
      <formula>NOT(ISERROR(SEARCH("INCASSO",C848)))</formula>
    </cfRule>
    <cfRule type="containsText" dxfId="197" priority="861" operator="containsText" text="VERSAMENTO">
      <formula>NOT(ISERROR(SEARCH("VERSAMENTO",C848)))</formula>
    </cfRule>
  </conditionalFormatting>
  <conditionalFormatting sqref="C855:D855">
    <cfRule type="containsText" dxfId="196" priority="860" operator="containsText" text="INCASSO">
      <formula>NOT(ISERROR(SEARCH("INCASSO",C855)))</formula>
    </cfRule>
    <cfRule type="containsText" dxfId="195" priority="859" operator="containsText" text="VERSAMENTO">
      <formula>NOT(ISERROR(SEARCH("VERSAMENTO",C855)))</formula>
    </cfRule>
  </conditionalFormatting>
  <conditionalFormatting sqref="C857:D857">
    <cfRule type="containsText" dxfId="194" priority="858" operator="containsText" text="INCASSO">
      <formula>NOT(ISERROR(SEARCH("INCASSO",C857)))</formula>
    </cfRule>
    <cfRule type="containsText" dxfId="193" priority="857" operator="containsText" text="VERSAMENTO">
      <formula>NOT(ISERROR(SEARCH("VERSAMENTO",C857)))</formula>
    </cfRule>
  </conditionalFormatting>
  <conditionalFormatting sqref="C879:D879">
    <cfRule type="containsText" dxfId="192" priority="856" operator="containsText" text="INCASSO">
      <formula>NOT(ISERROR(SEARCH("INCASSO",C879)))</formula>
    </cfRule>
    <cfRule type="containsText" dxfId="191" priority="855" operator="containsText" text="VERSAMENTO">
      <formula>NOT(ISERROR(SEARCH("VERSAMENTO",C879)))</formula>
    </cfRule>
  </conditionalFormatting>
  <conditionalFormatting sqref="C881:D881">
    <cfRule type="containsText" dxfId="190" priority="854" operator="containsText" text="INCASSO">
      <formula>NOT(ISERROR(SEARCH("INCASSO",C881)))</formula>
    </cfRule>
    <cfRule type="containsText" dxfId="189" priority="853" operator="containsText" text="VERSAMENTO">
      <formula>NOT(ISERROR(SEARCH("VERSAMENTO",C881)))</formula>
    </cfRule>
  </conditionalFormatting>
  <conditionalFormatting sqref="C945:D945">
    <cfRule type="containsText" dxfId="188" priority="852" operator="containsText" text="INCASSO">
      <formula>NOT(ISERROR(SEARCH("INCASSO",C945)))</formula>
    </cfRule>
    <cfRule type="containsText" dxfId="187" priority="851" operator="containsText" text="VERSAMENTO">
      <formula>NOT(ISERROR(SEARCH("VERSAMENTO",C945)))</formula>
    </cfRule>
  </conditionalFormatting>
  <conditionalFormatting sqref="C948:D948">
    <cfRule type="containsText" dxfId="186" priority="849" operator="containsText" text="VERSAMENTO">
      <formula>NOT(ISERROR(SEARCH("VERSAMENTO",C948)))</formula>
    </cfRule>
    <cfRule type="containsText" dxfId="185" priority="850" operator="containsText" text="INCASSO">
      <formula>NOT(ISERROR(SEARCH("INCASSO",C948)))</formula>
    </cfRule>
  </conditionalFormatting>
  <conditionalFormatting sqref="C969:D969">
    <cfRule type="containsText" dxfId="184" priority="847" operator="containsText" text="VERSAMENTO">
      <formula>NOT(ISERROR(SEARCH("VERSAMENTO",C969)))</formula>
    </cfRule>
    <cfRule type="containsText" dxfId="183" priority="848" operator="containsText" text="INCASSO">
      <formula>NOT(ISERROR(SEARCH("INCASSO",C969)))</formula>
    </cfRule>
  </conditionalFormatting>
  <conditionalFormatting sqref="C971:D971">
    <cfRule type="containsText" dxfId="182" priority="845" operator="containsText" text="VERSAMENTO">
      <formula>NOT(ISERROR(SEARCH("VERSAMENTO",C971)))</formula>
    </cfRule>
    <cfRule type="containsText" dxfId="181" priority="846" operator="containsText" text="INCASSO">
      <formula>NOT(ISERROR(SEARCH("INCASSO",C971)))</formula>
    </cfRule>
  </conditionalFormatting>
  <conditionalFormatting sqref="C974:D974">
    <cfRule type="containsText" dxfId="180" priority="844" operator="containsText" text="INCASSO">
      <formula>NOT(ISERROR(SEARCH("INCASSO",C974)))</formula>
    </cfRule>
    <cfRule type="containsText" dxfId="179" priority="843" operator="containsText" text="VERSAMENTO">
      <formula>NOT(ISERROR(SEARCH("VERSAMENTO",C974)))</formula>
    </cfRule>
  </conditionalFormatting>
  <conditionalFormatting sqref="C977:D977">
    <cfRule type="containsText" dxfId="178" priority="841" operator="containsText" text="VERSAMENTO">
      <formula>NOT(ISERROR(SEARCH("VERSAMENTO",C977)))</formula>
    </cfRule>
    <cfRule type="containsText" dxfId="177" priority="842" operator="containsText" text="INCASSO">
      <formula>NOT(ISERROR(SEARCH("INCASSO",C977)))</formula>
    </cfRule>
  </conditionalFormatting>
  <conditionalFormatting sqref="C980:D980">
    <cfRule type="containsText" dxfId="176" priority="840" operator="containsText" text="INCASSO">
      <formula>NOT(ISERROR(SEARCH("INCASSO",C980)))</formula>
    </cfRule>
    <cfRule type="containsText" dxfId="175" priority="839" operator="containsText" text="VERSAMENTO">
      <formula>NOT(ISERROR(SEARCH("VERSAMENTO",C980)))</formula>
    </cfRule>
  </conditionalFormatting>
  <conditionalFormatting sqref="C985:D985">
    <cfRule type="containsText" dxfId="174" priority="837" operator="containsText" text="VERSAMENTO">
      <formula>NOT(ISERROR(SEARCH("VERSAMENTO",C985)))</formula>
    </cfRule>
    <cfRule type="containsText" dxfId="173" priority="838" operator="containsText" text="INCASSO">
      <formula>NOT(ISERROR(SEARCH("INCASSO",C985)))</formula>
    </cfRule>
  </conditionalFormatting>
  <conditionalFormatting sqref="C988:D988">
    <cfRule type="containsText" dxfId="172" priority="836" operator="containsText" text="INCASSO">
      <formula>NOT(ISERROR(SEARCH("INCASSO",C988)))</formula>
    </cfRule>
    <cfRule type="containsText" dxfId="171" priority="835" operator="containsText" text="VERSAMENTO">
      <formula>NOT(ISERROR(SEARCH("VERSAMENTO",C988)))</formula>
    </cfRule>
  </conditionalFormatting>
  <conditionalFormatting sqref="C1066:D1066">
    <cfRule type="containsText" dxfId="170" priority="828" operator="containsText" text="INCASSO">
      <formula>NOT(ISERROR(SEARCH("INCASSO",C1066)))</formula>
    </cfRule>
    <cfRule type="containsText" dxfId="169" priority="827" operator="containsText" text="VERSAMENTO">
      <formula>NOT(ISERROR(SEARCH("VERSAMENTO",C1066)))</formula>
    </cfRule>
  </conditionalFormatting>
  <conditionalFormatting sqref="C1068:D1068">
    <cfRule type="containsText" dxfId="168" priority="834" operator="containsText" text="INCASSO">
      <formula>NOT(ISERROR(SEARCH("INCASSO",C1068)))</formula>
    </cfRule>
    <cfRule type="containsText" dxfId="167" priority="833" operator="containsText" text="VERSAMENTO">
      <formula>NOT(ISERROR(SEARCH("VERSAMENTO",C1068)))</formula>
    </cfRule>
  </conditionalFormatting>
  <conditionalFormatting sqref="C1073:D1073">
    <cfRule type="containsText" dxfId="166" priority="826" operator="containsText" text="INCASSO">
      <formula>NOT(ISERROR(SEARCH("INCASSO",C1073)))</formula>
    </cfRule>
    <cfRule type="containsText" dxfId="165" priority="825" operator="containsText" text="VERSAMENTO">
      <formula>NOT(ISERROR(SEARCH("VERSAMENTO",C1073)))</formula>
    </cfRule>
  </conditionalFormatting>
  <conditionalFormatting sqref="C1080:D1081">
    <cfRule type="containsText" dxfId="164" priority="823" operator="containsText" text="VERSAMENTO">
      <formula>NOT(ISERROR(SEARCH("VERSAMENTO",C1080)))</formula>
    </cfRule>
    <cfRule type="containsText" dxfId="163" priority="824" operator="containsText" text="INCASSO">
      <formula>NOT(ISERROR(SEARCH("INCASSO",C1080)))</formula>
    </cfRule>
  </conditionalFormatting>
  <conditionalFormatting sqref="C1083:D1083">
    <cfRule type="containsText" dxfId="162" priority="829" operator="containsText" text="VERSAMENTO">
      <formula>NOT(ISERROR(SEARCH("VERSAMENTO",C1083)))</formula>
    </cfRule>
    <cfRule type="containsText" dxfId="161" priority="830" operator="containsText" text="INCASSO">
      <formula>NOT(ISERROR(SEARCH("INCASSO",C1083)))</formula>
    </cfRule>
  </conditionalFormatting>
  <conditionalFormatting sqref="C1087:D1089">
    <cfRule type="containsText" dxfId="160" priority="818" operator="containsText" text="INCASSO">
      <formula>NOT(ISERROR(SEARCH("INCASSO",C1087)))</formula>
    </cfRule>
    <cfRule type="containsText" dxfId="159" priority="817" operator="containsText" text="VERSAMENTO">
      <formula>NOT(ISERROR(SEARCH("VERSAMENTO",C1087)))</formula>
    </cfRule>
  </conditionalFormatting>
  <conditionalFormatting sqref="C1110:D1110">
    <cfRule type="containsText" dxfId="158" priority="815" operator="containsText" text="VERSAMENTO">
      <formula>NOT(ISERROR(SEARCH("VERSAMENTO",C1110)))</formula>
    </cfRule>
    <cfRule type="containsText" dxfId="157" priority="816" operator="containsText" text="INCASSO">
      <formula>NOT(ISERROR(SEARCH("INCASSO",C1110)))</formula>
    </cfRule>
  </conditionalFormatting>
  <conditionalFormatting sqref="C1112:D1112">
    <cfRule type="containsText" dxfId="156" priority="814" operator="containsText" text="INCASSO">
      <formula>NOT(ISERROR(SEARCH("INCASSO",C1112)))</formula>
    </cfRule>
    <cfRule type="containsText" dxfId="155" priority="813" operator="containsText" text="VERSAMENTO">
      <formula>NOT(ISERROR(SEARCH("VERSAMENTO",C1112)))</formula>
    </cfRule>
  </conditionalFormatting>
  <conditionalFormatting sqref="C1118:D1118">
    <cfRule type="containsText" dxfId="154" priority="811" operator="containsText" text="VERSAMENTO">
      <formula>NOT(ISERROR(SEARCH("VERSAMENTO",C1118)))</formula>
    </cfRule>
    <cfRule type="containsText" dxfId="153" priority="812" operator="containsText" text="INCASSO">
      <formula>NOT(ISERROR(SEARCH("INCASSO",C1118)))</formula>
    </cfRule>
  </conditionalFormatting>
  <conditionalFormatting sqref="C1135:D1135">
    <cfRule type="containsText" dxfId="152" priority="810" operator="containsText" text="INCASSO">
      <formula>NOT(ISERROR(SEARCH("INCASSO",C1135)))</formula>
    </cfRule>
    <cfRule type="containsText" dxfId="151" priority="809" operator="containsText" text="VERSAMENTO">
      <formula>NOT(ISERROR(SEARCH("VERSAMENTO",C1135)))</formula>
    </cfRule>
  </conditionalFormatting>
  <conditionalFormatting sqref="C1152:D1152">
    <cfRule type="containsText" dxfId="150" priority="807" operator="containsText" text="VERSAMENTO">
      <formula>NOT(ISERROR(SEARCH("VERSAMENTO",C1152)))</formula>
    </cfRule>
    <cfRule type="containsText" dxfId="149" priority="808" operator="containsText" text="INCASSO">
      <formula>NOT(ISERROR(SEARCH("INCASSO",C1152)))</formula>
    </cfRule>
  </conditionalFormatting>
  <conditionalFormatting sqref="C1159:D1159">
    <cfRule type="containsText" dxfId="148" priority="806" operator="containsText" text="INCASSO">
      <formula>NOT(ISERROR(SEARCH("INCASSO",C1159)))</formula>
    </cfRule>
    <cfRule type="containsText" dxfId="147" priority="805" operator="containsText" text="VERSAMENTO">
      <formula>NOT(ISERROR(SEARCH("VERSAMENTO",C1159)))</formula>
    </cfRule>
  </conditionalFormatting>
  <conditionalFormatting sqref="D1:D526 D530:D542 D544:D557 D559 D561:D572 D574:D577 D579:D585 D587:D588 D590 D592:D595 D597:D602 D604 D606:D610 D612:D625 D627:D633 D635:D640 D642:D707 D709:D747 D749:D775 D777:D778 D780:D794 D796:D797 D799:D807 D809:D813 D815:D821 D823:D824 D826:D838 D840:D845 D847 D849:D854 D856 D858:D878 D880 D882:D944 D946:D947 D949:D968 D970 D972:D973 D975:D976 D978:D979 D981:D984 D986:D987 D989:D1217 D2003:D2143">
    <cfRule type="containsText" dxfId="146" priority="943" stopIfTrue="1" operator="containsText" text="INCASSO SUMUP">
      <formula>NOT(ISERROR(SEARCH("INCASSO SUMUP",D1)))</formula>
    </cfRule>
    <cfRule type="containsText" dxfId="145" priority="946" operator="containsText" text="INCASSO POS">
      <formula>NOT(ISERROR(SEARCH("INCASSO POS",D1)))</formula>
    </cfRule>
    <cfRule type="containsText" dxfId="144" priority="944" stopIfTrue="1" operator="containsText" text="INCASSO AXERVE">
      <formula>NOT(ISERROR(SEARCH("INCASSO AXERVE",D1)))</formula>
    </cfRule>
    <cfRule type="containsText" dxfId="143" priority="942" stopIfTrue="1" operator="containsText" text="INCASSO PAYPAL">
      <formula>NOT(ISERROR(SEARCH("INCASSO PAYPAL",D1)))</formula>
    </cfRule>
    <cfRule type="containsText" dxfId="142" priority="941" stopIfTrue="1" operator="containsText" text="VERSAMENTO CONTANTI">
      <formula>NOT(ISERROR(SEARCH("VERSAMENTO CONTANTI",D1)))</formula>
    </cfRule>
  </conditionalFormatting>
  <conditionalFormatting sqref="D3:D6">
    <cfRule type="containsText" dxfId="141" priority="937" operator="containsText" text="VERSAMENTO">
      <formula>NOT(ISERROR(SEARCH("VERSAMENTO",D3)))</formula>
    </cfRule>
    <cfRule type="containsText" dxfId="140" priority="938" stopIfTrue="1" operator="containsText" text="INCASSO">
      <formula>NOT(ISERROR(SEARCH("INCASSO",D3)))</formula>
    </cfRule>
    <cfRule type="cellIs" dxfId="139" priority="934" operator="greaterThan">
      <formula>0</formula>
    </cfRule>
    <cfRule type="cellIs" dxfId="138" priority="935" operator="lessThan">
      <formula>0</formula>
    </cfRule>
  </conditionalFormatting>
  <conditionalFormatting sqref="D3:D1217 D2003:D2143">
    <cfRule type="containsText" dxfId="137" priority="936" stopIfTrue="1" operator="containsText" text="COMPENSO AMMINISTRATORE">
      <formula>NOT(ISERROR(SEARCH("COMPENSO AMMINISTRATORE",D3)))</formula>
    </cfRule>
  </conditionalFormatting>
  <conditionalFormatting sqref="D1222:D1608 D1900:D1956">
    <cfRule type="containsText" dxfId="136" priority="688" operator="containsText" text="INCASSO POS">
      <formula>NOT(ISERROR(SEARCH("INCASSO POS",D1222)))</formula>
    </cfRule>
    <cfRule type="containsText" dxfId="135" priority="684" stopIfTrue="1" operator="containsText" text="VERSAMENTO CONTANTI">
      <formula>NOT(ISERROR(SEARCH("VERSAMENTO CONTANTI",D1222)))</formula>
    </cfRule>
    <cfRule type="containsText" dxfId="134" priority="685" stopIfTrue="1" operator="containsText" text="INCASSO PAYPAL">
      <formula>NOT(ISERROR(SEARCH("INCASSO PAYPAL",D1222)))</formula>
    </cfRule>
    <cfRule type="containsText" dxfId="133" priority="686" stopIfTrue="1" operator="containsText" text="INCASSO SUMUP">
      <formula>NOT(ISERROR(SEARCH("INCASSO SUMUP",D1222)))</formula>
    </cfRule>
    <cfRule type="containsText" dxfId="132" priority="687" stopIfTrue="1" operator="containsText" text="INCASSO AXERVE">
      <formula>NOT(ISERROR(SEARCH("INCASSO AXERVE",D1222)))</formula>
    </cfRule>
  </conditionalFormatting>
  <conditionalFormatting sqref="D1610:D1620">
    <cfRule type="containsText" dxfId="131" priority="774" stopIfTrue="1" operator="containsText" text="INCASSO SUMUP">
      <formula>NOT(ISERROR(SEARCH("INCASSO SUMUP",D1610)))</formula>
    </cfRule>
    <cfRule type="containsText" dxfId="130" priority="773" stopIfTrue="1" operator="containsText" text="INCASSO PAYPAL">
      <formula>NOT(ISERROR(SEARCH("INCASSO PAYPAL",D1610)))</formula>
    </cfRule>
    <cfRule type="containsText" dxfId="129" priority="772" stopIfTrue="1" operator="containsText" text="VERSAMENTO CONTANTI">
      <formula>NOT(ISERROR(SEARCH("VERSAMENTO CONTANTI",D1610)))</formula>
    </cfRule>
    <cfRule type="containsText" dxfId="128" priority="776" operator="containsText" text="INCASSO POS">
      <formula>NOT(ISERROR(SEARCH("INCASSO POS",D1610)))</formula>
    </cfRule>
    <cfRule type="containsText" dxfId="127" priority="775" stopIfTrue="1" operator="containsText" text="INCASSO AXERVE">
      <formula>NOT(ISERROR(SEARCH("INCASSO AXERVE",D1610)))</formula>
    </cfRule>
    <cfRule type="containsText" dxfId="126" priority="771" stopIfTrue="1" operator="containsText" text="COMPENSO AMMINISTRATORE">
      <formula>NOT(ISERROR(SEARCH("COMPENSO AMMINISTRATORE",D1610)))</formula>
    </cfRule>
  </conditionalFormatting>
  <conditionalFormatting sqref="D1622:D1629 D1694:D1700">
    <cfRule type="containsText" dxfId="125" priority="792" stopIfTrue="1" operator="containsText" text="INCASSO SUMUP">
      <formula>NOT(ISERROR(SEARCH("INCASSO SUMUP",D1622)))</formula>
    </cfRule>
    <cfRule type="containsText" dxfId="124" priority="791" stopIfTrue="1" operator="containsText" text="INCASSO PAYPAL">
      <formula>NOT(ISERROR(SEARCH("INCASSO PAYPAL",D1622)))</formula>
    </cfRule>
    <cfRule type="containsText" dxfId="123" priority="790" stopIfTrue="1" operator="containsText" text="VERSAMENTO CONTANTI">
      <formula>NOT(ISERROR(SEARCH("VERSAMENTO CONTANTI",D1622)))</formula>
    </cfRule>
    <cfRule type="containsText" dxfId="122" priority="794" operator="containsText" text="INCASSO POS">
      <formula>NOT(ISERROR(SEARCH("INCASSO POS",D1622)))</formula>
    </cfRule>
    <cfRule type="containsText" dxfId="121" priority="793" stopIfTrue="1" operator="containsText" text="INCASSO AXERVE">
      <formula>NOT(ISERROR(SEARCH("INCASSO AXERVE",D1622)))</formula>
    </cfRule>
  </conditionalFormatting>
  <conditionalFormatting sqref="D1631:D1633 D1964:D2001 D2214:D2421">
    <cfRule type="containsText" dxfId="120" priority="758" operator="containsText" text="INCASSO POS">
      <formula>NOT(ISERROR(SEARCH("INCASSO POS",D1631)))</formula>
    </cfRule>
    <cfRule type="containsText" dxfId="119" priority="757" stopIfTrue="1" operator="containsText" text="INCASSO AXERVE">
      <formula>NOT(ISERROR(SEARCH("INCASSO AXERVE",D1631)))</formula>
    </cfRule>
    <cfRule type="containsText" dxfId="118" priority="756" stopIfTrue="1" operator="containsText" text="INCASSO SUMUP">
      <formula>NOT(ISERROR(SEARCH("INCASSO SUMUP",D1631)))</formula>
    </cfRule>
    <cfRule type="containsText" dxfId="117" priority="755" stopIfTrue="1" operator="containsText" text="INCASSO PAYPAL">
      <formula>NOT(ISERROR(SEARCH("INCASSO PAYPAL",D1631)))</formula>
    </cfRule>
    <cfRule type="containsText" dxfId="116" priority="754" stopIfTrue="1" operator="containsText" text="VERSAMENTO CONTANTI">
      <formula>NOT(ISERROR(SEARCH("VERSAMENTO CONTANTI",D1631)))</formula>
    </cfRule>
  </conditionalFormatting>
  <conditionalFormatting sqref="D1637:D1638">
    <cfRule type="containsText" dxfId="115" priority="799" stopIfTrue="1" operator="containsText" text="VERSAMENTO CONTANTI">
      <formula>NOT(ISERROR(SEARCH("VERSAMENTO CONTANTI",D1637)))</formula>
    </cfRule>
    <cfRule type="containsText" dxfId="114" priority="797" stopIfTrue="1" operator="containsText" text="COMPENSO AMMINISTRATORE">
      <formula>NOT(ISERROR(SEARCH("COMPENSO AMMINISTRATORE",D1637)))</formula>
    </cfRule>
    <cfRule type="containsText" dxfId="113" priority="804" operator="containsText" text="INCASSO POS">
      <formula>NOT(ISERROR(SEARCH("INCASSO POS",D1637)))</formula>
    </cfRule>
    <cfRule type="containsText" dxfId="112" priority="800" stopIfTrue="1" operator="containsText" text="INCASSO PAYPAL">
      <formula>NOT(ISERROR(SEARCH("INCASSO PAYPAL",D1637)))</formula>
    </cfRule>
    <cfRule type="containsText" dxfId="111" priority="801" stopIfTrue="1" operator="containsText" text="INCASSO SUMUP">
      <formula>NOT(ISERROR(SEARCH("INCASSO SUMUP",D1637)))</formula>
    </cfRule>
    <cfRule type="containsText" dxfId="110" priority="802" stopIfTrue="1" operator="containsText" text="INCASSO AXERVE">
      <formula>NOT(ISERROR(SEARCH("INCASSO AXERVE",D1637)))</formula>
    </cfRule>
  </conditionalFormatting>
  <conditionalFormatting sqref="D1640:D1645">
    <cfRule type="containsText" dxfId="109" priority="741" stopIfTrue="1" operator="containsText" text="COMPENSO AMMINISTRATORE">
      <formula>NOT(ISERROR(SEARCH("COMPENSO AMMINISTRATORE",D1640)))</formula>
    </cfRule>
    <cfRule type="containsText" dxfId="108" priority="742" stopIfTrue="1" operator="containsText" text="VERSAMENTO CONTANTI">
      <formula>NOT(ISERROR(SEARCH("VERSAMENTO CONTANTI",D1640)))</formula>
    </cfRule>
    <cfRule type="containsText" dxfId="107" priority="743" stopIfTrue="1" operator="containsText" text="INCASSO PAYPAL">
      <formula>NOT(ISERROR(SEARCH("INCASSO PAYPAL",D1640)))</formula>
    </cfRule>
    <cfRule type="containsText" dxfId="106" priority="744" stopIfTrue="1" operator="containsText" text="INCASSO SUMUP">
      <formula>NOT(ISERROR(SEARCH("INCASSO SUMUP",D1640)))</formula>
    </cfRule>
    <cfRule type="containsText" dxfId="105" priority="745" stopIfTrue="1" operator="containsText" text="INCASSO AXERVE">
      <formula>NOT(ISERROR(SEARCH("INCASSO AXERVE",D1640)))</formula>
    </cfRule>
    <cfRule type="containsText" dxfId="104" priority="746" operator="containsText" text="INCASSO POS">
      <formula>NOT(ISERROR(SEARCH("INCASSO POS",D1640)))</formula>
    </cfRule>
  </conditionalFormatting>
  <conditionalFormatting sqref="D1649:D1693 D1698:D1699 D1701:D1723">
    <cfRule type="containsText" dxfId="103" priority="712" stopIfTrue="1" operator="containsText" text="VERSAMENTO CONTANTI">
      <formula>NOT(ISERROR(SEARCH("VERSAMENTO CONTANTI",D1649)))</formula>
    </cfRule>
    <cfRule type="containsText" dxfId="102" priority="716" operator="containsText" text="INCASSO POS">
      <formula>NOT(ISERROR(SEARCH("INCASSO POS",D1649)))</formula>
    </cfRule>
    <cfRule type="containsText" dxfId="101" priority="713" stopIfTrue="1" operator="containsText" text="INCASSO PAYPAL">
      <formula>NOT(ISERROR(SEARCH("INCASSO PAYPAL",D1649)))</formula>
    </cfRule>
    <cfRule type="containsText" dxfId="100" priority="715" stopIfTrue="1" operator="containsText" text="INCASSO AXERVE">
      <formula>NOT(ISERROR(SEARCH("INCASSO AXERVE",D1649)))</formula>
    </cfRule>
    <cfRule type="containsText" dxfId="99" priority="714" stopIfTrue="1" operator="containsText" text="INCASSO SUMUP">
      <formula>NOT(ISERROR(SEARCH("INCASSO SUMUP",D1649)))</formula>
    </cfRule>
  </conditionalFormatting>
  <conditionalFormatting sqref="D1694:D1700 D1622:D1629">
    <cfRule type="containsText" dxfId="98" priority="789" stopIfTrue="1" operator="containsText" text="COMPENSO AMMINISTRATORE">
      <formula>NOT(ISERROR(SEARCH("COMPENSO AMMINISTRATORE",D1622)))</formula>
    </cfRule>
  </conditionalFormatting>
  <conditionalFormatting sqref="D1701:D1723 D1649:D1693 D1698:D1699">
    <cfRule type="containsText" dxfId="97" priority="711" stopIfTrue="1" operator="containsText" text="COMPENSO AMMINISTRATORE">
      <formula>NOT(ISERROR(SEARCH("COMPENSO AMMINISTRATORE",D1649)))</formula>
    </cfRule>
  </conditionalFormatting>
  <conditionalFormatting sqref="D1702">
    <cfRule type="containsText" dxfId="96" priority="682" operator="containsText" text="INCASSO POS">
      <formula>NOT(ISERROR(SEARCH("INCASSO POS",D1702)))</formula>
    </cfRule>
    <cfRule type="containsText" dxfId="95" priority="681" stopIfTrue="1" operator="containsText" text="INCASSO AXERVE">
      <formula>NOT(ISERROR(SEARCH("INCASSO AXERVE",D1702)))</formula>
    </cfRule>
    <cfRule type="containsText" dxfId="94" priority="680" stopIfTrue="1" operator="containsText" text="INCASSO SUMUP">
      <formula>NOT(ISERROR(SEARCH("INCASSO SUMUP",D1702)))</formula>
    </cfRule>
    <cfRule type="containsText" dxfId="93" priority="679" stopIfTrue="1" operator="containsText" text="INCASSO PAYPAL">
      <formula>NOT(ISERROR(SEARCH("INCASSO PAYPAL",D1702)))</formula>
    </cfRule>
    <cfRule type="containsText" dxfId="92" priority="678" stopIfTrue="1" operator="containsText" text="VERSAMENTO CONTANTI">
      <formula>NOT(ISERROR(SEARCH("VERSAMENTO CONTANTI",D1702)))</formula>
    </cfRule>
    <cfRule type="containsText" dxfId="91" priority="677" stopIfTrue="1" operator="containsText" text="COMPENSO AMMINISTRATORE">
      <formula>NOT(ISERROR(SEARCH("COMPENSO AMMINISTRATORE",D1702)))</formula>
    </cfRule>
  </conditionalFormatting>
  <conditionalFormatting sqref="D1724:D1736">
    <cfRule type="containsText" dxfId="90" priority="665" stopIfTrue="1" operator="containsText" text="COMPENSO AMMINISTRATORE">
      <formula>NOT(ISERROR(SEARCH("COMPENSO AMMINISTRATORE",D1724)))</formula>
    </cfRule>
    <cfRule type="containsText" dxfId="89" priority="666" stopIfTrue="1" operator="containsText" text="VERSAMENTO CONTANTI">
      <formula>NOT(ISERROR(SEARCH("VERSAMENTO CONTANTI",D1724)))</formula>
    </cfRule>
    <cfRule type="containsText" dxfId="88" priority="667" stopIfTrue="1" operator="containsText" text="INCASSO PAYPAL">
      <formula>NOT(ISERROR(SEARCH("INCASSO PAYPAL",D1724)))</formula>
    </cfRule>
    <cfRule type="containsText" dxfId="87" priority="669" stopIfTrue="1" operator="containsText" text="INCASSO AXERVE">
      <formula>NOT(ISERROR(SEARCH("INCASSO AXERVE",D1724)))</formula>
    </cfRule>
    <cfRule type="containsText" dxfId="86" priority="670" operator="containsText" text="INCASSO POS">
      <formula>NOT(ISERROR(SEARCH("INCASSO POS",D1724)))</formula>
    </cfRule>
    <cfRule type="containsText" dxfId="85" priority="668" stopIfTrue="1" operator="containsText" text="INCASSO SUMUP">
      <formula>NOT(ISERROR(SEARCH("INCASSO SUMUP",D1724)))</formula>
    </cfRule>
  </conditionalFormatting>
  <conditionalFormatting sqref="D1736:D1760">
    <cfRule type="containsText" dxfId="84" priority="604" operator="containsText" text="INCASSO POS">
      <formula>NOT(ISERROR(SEARCH("INCASSO POS",D1736)))</formula>
    </cfRule>
    <cfRule type="containsText" dxfId="83" priority="603" stopIfTrue="1" operator="containsText" text="INCASSO AXERVE">
      <formula>NOT(ISERROR(SEARCH("INCASSO AXERVE",D1736)))</formula>
    </cfRule>
    <cfRule type="containsText" dxfId="82" priority="602" stopIfTrue="1" operator="containsText" text="INCASSO SUMUP">
      <formula>NOT(ISERROR(SEARCH("INCASSO SUMUP",D1736)))</formula>
    </cfRule>
    <cfRule type="containsText" dxfId="81" priority="601" stopIfTrue="1" operator="containsText" text="INCASSO PAYPAL">
      <formula>NOT(ISERROR(SEARCH("INCASSO PAYPAL",D1736)))</formula>
    </cfRule>
    <cfRule type="containsText" dxfId="80" priority="600" stopIfTrue="1" operator="containsText" text="VERSAMENTO CONTANTI">
      <formula>NOT(ISERROR(SEARCH("VERSAMENTO CONTANTI",D1736)))</formula>
    </cfRule>
    <cfRule type="containsText" dxfId="79" priority="599" stopIfTrue="1" operator="containsText" text="COMPENSO AMMINISTRATORE">
      <formula>NOT(ISERROR(SEARCH("COMPENSO AMMINISTRATORE",D1736)))</formula>
    </cfRule>
  </conditionalFormatting>
  <conditionalFormatting sqref="D1758">
    <cfRule type="containsText" dxfId="78" priority="598" operator="containsText" text="INCASSO POS">
      <formula>NOT(ISERROR(SEARCH("INCASSO POS",D1758)))</formula>
    </cfRule>
    <cfRule type="containsText" dxfId="77" priority="597" stopIfTrue="1" operator="containsText" text="INCASSO AXERVE">
      <formula>NOT(ISERROR(SEARCH("INCASSO AXERVE",D1758)))</formula>
    </cfRule>
    <cfRule type="containsText" dxfId="76" priority="596" stopIfTrue="1" operator="containsText" text="INCASSO SUMUP">
      <formula>NOT(ISERROR(SEARCH("INCASSO SUMUP",D1758)))</formula>
    </cfRule>
    <cfRule type="containsText" dxfId="75" priority="595" stopIfTrue="1" operator="containsText" text="INCASSO PAYPAL">
      <formula>NOT(ISERROR(SEARCH("INCASSO PAYPAL",D1758)))</formula>
    </cfRule>
    <cfRule type="containsText" dxfId="74" priority="594" stopIfTrue="1" operator="containsText" text="VERSAMENTO CONTANTI">
      <formula>NOT(ISERROR(SEARCH("VERSAMENTO CONTANTI",D1758)))</formula>
    </cfRule>
    <cfRule type="containsText" dxfId="73" priority="593" stopIfTrue="1" operator="containsText" text="COMPENSO AMMINISTRATORE">
      <formula>NOT(ISERROR(SEARCH("COMPENSO AMMINISTRATORE",D1758)))</formula>
    </cfRule>
  </conditionalFormatting>
  <conditionalFormatting sqref="D1761:D1790">
    <cfRule type="containsText" dxfId="72" priority="524" stopIfTrue="1" operator="containsText" text="INCASSO SUMUP">
      <formula>NOT(ISERROR(SEARCH("INCASSO SUMUP",D1761)))</formula>
    </cfRule>
    <cfRule type="containsText" dxfId="71" priority="525" stopIfTrue="1" operator="containsText" text="INCASSO AXERVE">
      <formula>NOT(ISERROR(SEARCH("INCASSO AXERVE",D1761)))</formula>
    </cfRule>
    <cfRule type="containsText" dxfId="70" priority="523" stopIfTrue="1" operator="containsText" text="INCASSO PAYPAL">
      <formula>NOT(ISERROR(SEARCH("INCASSO PAYPAL",D1761)))</formula>
    </cfRule>
    <cfRule type="containsText" dxfId="69" priority="526" operator="containsText" text="INCASSO POS">
      <formula>NOT(ISERROR(SEARCH("INCASSO POS",D1761)))</formula>
    </cfRule>
    <cfRule type="containsText" dxfId="68" priority="521" stopIfTrue="1" operator="containsText" text="COMPENSO AMMINISTRATORE">
      <formula>NOT(ISERROR(SEARCH("COMPENSO AMMINISTRATORE",D1761)))</formula>
    </cfRule>
    <cfRule type="containsText" dxfId="67" priority="522" stopIfTrue="1" operator="containsText" text="VERSAMENTO CONTANTI">
      <formula>NOT(ISERROR(SEARCH("VERSAMENTO CONTANTI",D1761)))</formula>
    </cfRule>
  </conditionalFormatting>
  <conditionalFormatting sqref="D1792:D1801">
    <cfRule type="containsText" dxfId="66" priority="502" operator="containsText" text="INCASSO POS">
      <formula>NOT(ISERROR(SEARCH("INCASSO POS",D1792)))</formula>
    </cfRule>
    <cfRule type="containsText" dxfId="65" priority="501" stopIfTrue="1" operator="containsText" text="INCASSO AXERVE">
      <formula>NOT(ISERROR(SEARCH("INCASSO AXERVE",D1792)))</formula>
    </cfRule>
    <cfRule type="containsText" dxfId="64" priority="500" stopIfTrue="1" operator="containsText" text="INCASSO SUMUP">
      <formula>NOT(ISERROR(SEARCH("INCASSO SUMUP",D1792)))</formula>
    </cfRule>
    <cfRule type="containsText" dxfId="63" priority="499" stopIfTrue="1" operator="containsText" text="INCASSO PAYPAL">
      <formula>NOT(ISERROR(SEARCH("INCASSO PAYPAL",D1792)))</formula>
    </cfRule>
    <cfRule type="containsText" dxfId="62" priority="498" stopIfTrue="1" operator="containsText" text="VERSAMENTO CONTANTI">
      <formula>NOT(ISERROR(SEARCH("VERSAMENTO CONTANTI",D1792)))</formula>
    </cfRule>
    <cfRule type="containsText" dxfId="61" priority="497" stopIfTrue="1" operator="containsText" text="COMPENSO AMMINISTRATORE">
      <formula>NOT(ISERROR(SEARCH("COMPENSO AMMINISTRATORE",D1792)))</formula>
    </cfRule>
  </conditionalFormatting>
  <conditionalFormatting sqref="D1803:D1861">
    <cfRule type="containsText" dxfId="60" priority="475" stopIfTrue="1" operator="containsText" text="INCASSO PAYPAL">
      <formula>NOT(ISERROR(SEARCH("INCASSO PAYPAL",D1803)))</formula>
    </cfRule>
    <cfRule type="containsText" dxfId="59" priority="474" stopIfTrue="1" operator="containsText" text="VERSAMENTO CONTANTI">
      <formula>NOT(ISERROR(SEARCH("VERSAMENTO CONTANTI",D1803)))</formula>
    </cfRule>
    <cfRule type="containsText" dxfId="58" priority="476" stopIfTrue="1" operator="containsText" text="INCASSO SUMUP">
      <formula>NOT(ISERROR(SEARCH("INCASSO SUMUP",D1803)))</formula>
    </cfRule>
    <cfRule type="containsText" dxfId="57" priority="477" stopIfTrue="1" operator="containsText" text="INCASSO AXERVE">
      <formula>NOT(ISERROR(SEARCH("INCASSO AXERVE",D1803)))</formula>
    </cfRule>
    <cfRule type="containsText" dxfId="56" priority="478" operator="containsText" text="INCASSO POS">
      <formula>NOT(ISERROR(SEARCH("INCASSO POS",D1803)))</formula>
    </cfRule>
    <cfRule type="containsText" dxfId="55" priority="473" stopIfTrue="1" operator="containsText" text="COMPENSO AMMINISTRATORE">
      <formula>NOT(ISERROR(SEARCH("COMPENSO AMMINISTRATORE",D1803)))</formula>
    </cfRule>
  </conditionalFormatting>
  <conditionalFormatting sqref="D1863:D1871">
    <cfRule type="containsText" dxfId="54" priority="466" operator="containsText" text="INCASSO POS">
      <formula>NOT(ISERROR(SEARCH("INCASSO POS",D1863)))</formula>
    </cfRule>
    <cfRule type="containsText" dxfId="53" priority="461" stopIfTrue="1" operator="containsText" text="COMPENSO AMMINISTRATORE">
      <formula>NOT(ISERROR(SEARCH("COMPENSO AMMINISTRATORE",D1863)))</formula>
    </cfRule>
    <cfRule type="containsText" dxfId="52" priority="462" stopIfTrue="1" operator="containsText" text="VERSAMENTO CONTANTI">
      <formula>NOT(ISERROR(SEARCH("VERSAMENTO CONTANTI",D1863)))</formula>
    </cfRule>
    <cfRule type="containsText" dxfId="51" priority="463" stopIfTrue="1" operator="containsText" text="INCASSO PAYPAL">
      <formula>NOT(ISERROR(SEARCH("INCASSO PAYPAL",D1863)))</formula>
    </cfRule>
    <cfRule type="containsText" dxfId="50" priority="464" stopIfTrue="1" operator="containsText" text="INCASSO SUMUP">
      <formula>NOT(ISERROR(SEARCH("INCASSO SUMUP",D1863)))</formula>
    </cfRule>
    <cfRule type="containsText" dxfId="49" priority="465" stopIfTrue="1" operator="containsText" text="INCASSO AXERVE">
      <formula>NOT(ISERROR(SEARCH("INCASSO AXERVE",D1863)))</formula>
    </cfRule>
  </conditionalFormatting>
  <conditionalFormatting sqref="D1873:D1900">
    <cfRule type="containsText" dxfId="48" priority="311" stopIfTrue="1" operator="containsText" text="INCASSO AXERVE">
      <formula>NOT(ISERROR(SEARCH("INCASSO AXERVE",D1873)))</formula>
    </cfRule>
    <cfRule type="containsText" dxfId="47" priority="310" stopIfTrue="1" operator="containsText" text="INCASSO SUMUP">
      <formula>NOT(ISERROR(SEARCH("INCASSO SUMUP",D1873)))</formula>
    </cfRule>
    <cfRule type="containsText" dxfId="46" priority="309" stopIfTrue="1" operator="containsText" text="INCASSO PAYPAL">
      <formula>NOT(ISERROR(SEARCH("INCASSO PAYPAL",D1873)))</formula>
    </cfRule>
    <cfRule type="containsText" dxfId="45" priority="308" stopIfTrue="1" operator="containsText" text="VERSAMENTO CONTANTI">
      <formula>NOT(ISERROR(SEARCH("VERSAMENTO CONTANTI",D1873)))</formula>
    </cfRule>
    <cfRule type="containsText" dxfId="44" priority="307" stopIfTrue="1" operator="containsText" text="COMPENSO AMMINISTRATORE">
      <formula>NOT(ISERROR(SEARCH("COMPENSO AMMINISTRATORE",D1873)))</formula>
    </cfRule>
    <cfRule type="containsText" dxfId="43" priority="312" operator="containsText" text="INCASSO POS">
      <formula>NOT(ISERROR(SEARCH("INCASSO POS",D1873)))</formula>
    </cfRule>
  </conditionalFormatting>
  <conditionalFormatting sqref="D1900:D1956 D1222:D1608">
    <cfRule type="containsText" dxfId="42" priority="683" stopIfTrue="1" operator="containsText" text="COMPENSO AMMINISTRATORE">
      <formula>NOT(ISERROR(SEARCH("COMPENSO AMMINISTRATORE",D1222)))</formula>
    </cfRule>
  </conditionalFormatting>
  <conditionalFormatting sqref="D1908">
    <cfRule type="containsText" dxfId="41" priority="424" operator="containsText" text="INCASSO POS">
      <formula>NOT(ISERROR(SEARCH("INCASSO POS",D1908)))</formula>
    </cfRule>
    <cfRule type="containsText" dxfId="40" priority="423" stopIfTrue="1" operator="containsText" text="INCASSO AXERVE">
      <formula>NOT(ISERROR(SEARCH("INCASSO AXERVE",D1908)))</formula>
    </cfRule>
    <cfRule type="containsText" dxfId="39" priority="422" stopIfTrue="1" operator="containsText" text="INCASSO SUMUP">
      <formula>NOT(ISERROR(SEARCH("INCASSO SUMUP",D1908)))</formula>
    </cfRule>
    <cfRule type="containsText" dxfId="38" priority="421" stopIfTrue="1" operator="containsText" text="INCASSO PAYPAL">
      <formula>NOT(ISERROR(SEARCH("INCASSO PAYPAL",D1908)))</formula>
    </cfRule>
    <cfRule type="containsText" dxfId="37" priority="420" stopIfTrue="1" operator="containsText" text="VERSAMENTO CONTANTI">
      <formula>NOT(ISERROR(SEARCH("VERSAMENTO CONTANTI",D1908)))</formula>
    </cfRule>
    <cfRule type="containsText" dxfId="36" priority="419" stopIfTrue="1" operator="containsText" text="COMPENSO AMMINISTRATORE">
      <formula>NOT(ISERROR(SEARCH("COMPENSO AMMINISTRATORE",D1908)))</formula>
    </cfRule>
  </conditionalFormatting>
  <conditionalFormatting sqref="D2137">
    <cfRule type="containsText" dxfId="35" priority="282" operator="containsText" text="INCASSO POS">
      <formula>NOT(ISERROR(SEARCH("INCASSO POS",D2137)))</formula>
    </cfRule>
    <cfRule type="containsText" dxfId="34" priority="277" stopIfTrue="1" operator="containsText" text="COMPENSO AMMINISTRATORE">
      <formula>NOT(ISERROR(SEARCH("COMPENSO AMMINISTRATORE",D2137)))</formula>
    </cfRule>
    <cfRule type="containsText" dxfId="33" priority="281" stopIfTrue="1" operator="containsText" text="INCASSO AXERVE">
      <formula>NOT(ISERROR(SEARCH("INCASSO AXERVE",D2137)))</formula>
    </cfRule>
    <cfRule type="containsText" dxfId="32" priority="280" stopIfTrue="1" operator="containsText" text="INCASSO SUMUP">
      <formula>NOT(ISERROR(SEARCH("INCASSO SUMUP",D2137)))</formula>
    </cfRule>
    <cfRule type="containsText" dxfId="31" priority="279" stopIfTrue="1" operator="containsText" text="INCASSO PAYPAL">
      <formula>NOT(ISERROR(SEARCH("INCASSO PAYPAL",D2137)))</formula>
    </cfRule>
    <cfRule type="containsText" dxfId="30" priority="278" stopIfTrue="1" operator="containsText" text="VERSAMENTO CONTANTI">
      <formula>NOT(ISERROR(SEARCH("VERSAMENTO CONTANTI",D2137)))</formula>
    </cfRule>
  </conditionalFormatting>
  <conditionalFormatting sqref="D2144:D2193">
    <cfRule type="containsText" dxfId="29" priority="204" operator="containsText" text="INCASSO POS">
      <formula>NOT(ISERROR(SEARCH("INCASSO POS",D2144)))</formula>
    </cfRule>
    <cfRule type="containsText" dxfId="28" priority="203" stopIfTrue="1" operator="containsText" text="INCASSO AXERVE">
      <formula>NOT(ISERROR(SEARCH("INCASSO AXERVE",D2144)))</formula>
    </cfRule>
    <cfRule type="containsText" dxfId="27" priority="199" stopIfTrue="1" operator="containsText" text="COMPENSO AMMINISTRATORE">
      <formula>NOT(ISERROR(SEARCH("COMPENSO AMMINISTRATORE",D2144)))</formula>
    </cfRule>
    <cfRule type="containsText" dxfId="26" priority="200" stopIfTrue="1" operator="containsText" text="VERSAMENTO CONTANTI">
      <formula>NOT(ISERROR(SEARCH("VERSAMENTO CONTANTI",D2144)))</formula>
    </cfRule>
    <cfRule type="containsText" dxfId="25" priority="201" stopIfTrue="1" operator="containsText" text="INCASSO PAYPAL">
      <formula>NOT(ISERROR(SEARCH("INCASSO PAYPAL",D2144)))</formula>
    </cfRule>
    <cfRule type="containsText" dxfId="24" priority="202" stopIfTrue="1" operator="containsText" text="INCASSO SUMUP">
      <formula>NOT(ISERROR(SEARCH("INCASSO SUMUP",D2144)))</formula>
    </cfRule>
  </conditionalFormatting>
  <conditionalFormatting sqref="D2195:D2212">
    <cfRule type="containsText" dxfId="23" priority="155" stopIfTrue="1" operator="containsText" text="INCASSO AXERVE">
      <formula>NOT(ISERROR(SEARCH("INCASSO AXERVE",D2195)))</formula>
    </cfRule>
    <cfRule type="containsText" dxfId="22" priority="154" stopIfTrue="1" operator="containsText" text="INCASSO SUMUP">
      <formula>NOT(ISERROR(SEARCH("INCASSO SUMUP",D2195)))</formula>
    </cfRule>
    <cfRule type="containsText" dxfId="21" priority="153" stopIfTrue="1" operator="containsText" text="INCASSO PAYPAL">
      <formula>NOT(ISERROR(SEARCH("INCASSO PAYPAL",D2195)))</formula>
    </cfRule>
    <cfRule type="containsText" dxfId="20" priority="152" stopIfTrue="1" operator="containsText" text="VERSAMENTO CONTANTI">
      <formula>NOT(ISERROR(SEARCH("VERSAMENTO CONTANTI",D2195)))</formula>
    </cfRule>
    <cfRule type="containsText" dxfId="19" priority="151" stopIfTrue="1" operator="containsText" text="COMPENSO AMMINISTRATORE">
      <formula>NOT(ISERROR(SEARCH("COMPENSO AMMINISTRATORE",D2195)))</formula>
    </cfRule>
    <cfRule type="containsText" dxfId="18" priority="156" operator="containsText" text="INCASSO POS">
      <formula>NOT(ISERROR(SEARCH("INCASSO POS",D2195)))</formula>
    </cfRule>
  </conditionalFormatting>
  <conditionalFormatting sqref="D2214:D2421 D1631:D1633 D1964:D2001">
    <cfRule type="containsText" dxfId="17" priority="753" stopIfTrue="1" operator="containsText" text="COMPENSO AMMINISTRATORE">
      <formula>NOT(ISERROR(SEARCH("COMPENSO AMMINISTRATORE",D1631)))</formula>
    </cfRule>
  </conditionalFormatting>
  <conditionalFormatting sqref="D2354">
    <cfRule type="containsText" dxfId="16" priority="66" operator="containsText" text="INCASSO POS">
      <formula>NOT(ISERROR(SEARCH("INCASSO POS",D2354)))</formula>
    </cfRule>
    <cfRule type="containsText" dxfId="15" priority="64" stopIfTrue="1" operator="containsText" text="INCASSO SUMUP">
      <formula>NOT(ISERROR(SEARCH("INCASSO SUMUP",D2354)))</formula>
    </cfRule>
    <cfRule type="containsText" dxfId="14" priority="63" stopIfTrue="1" operator="containsText" text="INCASSO PAYPAL">
      <formula>NOT(ISERROR(SEARCH("INCASSO PAYPAL",D2354)))</formula>
    </cfRule>
    <cfRule type="containsText" dxfId="13" priority="62" stopIfTrue="1" operator="containsText" text="VERSAMENTO CONTANTI">
      <formula>NOT(ISERROR(SEARCH("VERSAMENTO CONTANTI",D2354)))</formula>
    </cfRule>
    <cfRule type="containsText" dxfId="12" priority="61" stopIfTrue="1" operator="containsText" text="COMPENSO AMMINISTRATORE">
      <formula>NOT(ISERROR(SEARCH("COMPENSO AMMINISTRATORE",D2354)))</formula>
    </cfRule>
    <cfRule type="containsText" dxfId="11" priority="65" stopIfTrue="1" operator="containsText" text="INCASSO AXERVE">
      <formula>NOT(ISERROR(SEARCH("INCASSO AXERVE",D2354)))</formula>
    </cfRule>
  </conditionalFormatting>
  <conditionalFormatting sqref="D2423:D10170">
    <cfRule type="containsText" dxfId="10" priority="2" stopIfTrue="1" operator="containsText" text="VERSAMENTO CONTANTI">
      <formula>NOT(ISERROR(SEARCH("VERSAMENTO CONTANTI",D2423)))</formula>
    </cfRule>
    <cfRule type="containsText" dxfId="9" priority="1" stopIfTrue="1" operator="containsText" text="COMPENSO AMMINISTRATORE">
      <formula>NOT(ISERROR(SEARCH("COMPENSO AMMINISTRATORE",D2423)))</formula>
    </cfRule>
    <cfRule type="containsText" dxfId="8" priority="6" operator="containsText" text="INCASSO POS">
      <formula>NOT(ISERROR(SEARCH("INCASSO POS",D2423)))</formula>
    </cfRule>
    <cfRule type="containsText" dxfId="7" priority="5" stopIfTrue="1" operator="containsText" text="INCASSO AXERVE">
      <formula>NOT(ISERROR(SEARCH("INCASSO AXERVE",D2423)))</formula>
    </cfRule>
    <cfRule type="containsText" dxfId="6" priority="4" stopIfTrue="1" operator="containsText" text="INCASSO SUMUP">
      <formula>NOT(ISERROR(SEARCH("INCASSO SUMUP",D2423)))</formula>
    </cfRule>
    <cfRule type="containsText" dxfId="5" priority="3" stopIfTrue="1" operator="containsText" text="INCASSO PAYPAL">
      <formula>NOT(ISERROR(SEARCH("INCASSO PAYPAL",D2423)))</formula>
    </cfRule>
  </conditionalFormatting>
  <conditionalFormatting sqref="G1">
    <cfRule type="cellIs" dxfId="4" priority="16286" operator="greaterThan">
      <formula>0</formula>
    </cfRule>
    <cfRule type="cellIs" dxfId="3" priority="16287" operator="lessThan">
      <formula>0</formula>
    </cfRule>
  </conditionalFormatting>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F656BEC-2787-EA4A-A2D4-6D6E56E90A45}">
          <x14:formula1>
            <xm:f>'BILANCIO 25'!$K$2:$K$91</xm:f>
          </x14:formula1>
          <xm:sqref>G1206 G1380 G1377 G1375 G1224 G1189 G1186 G1183 G1180 G1169 G1166 G1164 G1148 G1105:G1106 G1038 G1035 G1032 G1002 G995 G992 G990 G964 G961 G958 G953 G920 G803 G785 G744 G734 G731 G706 G703 G700 G673 G522 G501 G482 G480 G477 G474 G472 G468:G470 G465 G459 G456 G454 G452 G427 G408 G395 G382 G379 G374 G365 G346 G343 G332 G316 G313 G298 G291 G280 G271 G266 G263 G104 G99 G89 G86 G82 G69 G58 G63 G66 G39 G14 G11 G720 G718 G723 G729 G1192 G1212 G1222 G1217 G9 G1194:G1195 G1210 G1208 G115 G139 G144 G151 G156 G169 G191 G202 G205 G208 G211 G221 G234 G244 G254</xm:sqref>
        </x14:dataValidation>
        <x14:dataValidation type="list" allowBlank="1" showInputMessage="1" showErrorMessage="1" xr:uid="{4E125F6A-45A7-504E-9E9A-B185AE10E7BC}">
          <x14:formula1>
            <xm:f>'BILANCIO 25'!$K$2:$K$104</xm:f>
          </x14:formula1>
          <xm:sqref>G8 G1353:G1374 G1464 G1693:G1699 G105:G114 G209:G210 G206:G207 G203:G204 G192:G201 G185:G190 G170:G181 G145:G150 G157:G168 G152:G155 G100:G103 G116:G143 G10 G12:G13 G212:G233 G40:G57 G59:G62 G64:G65 G67:G68 G70:G81 G83:G85 G87:G88 G90:G98 G235:G290 G292:G315 G317:G426 G428:G435 G439:G451 G455 G453 G457:G458 G460:G464 G466:G467 G471:G481 G483:G500 G1472:G1474 G585:G672 G674:G680 G684:G699 G701:G702 G704:G705 G719 G707:G717 G721:G722 G724:G728 G730 G732:G733 G735:G743 G745:G784 G786:G802 G1039:G1104 G921:G937 G941:G952 G954:G957 G959:G960 G962:G963 G991 G993:G994 G996:G1001 G965:G989 G1003:G1031 G1033:G1034 G1036:G1037 G1578:G1634 G1107:G1147 G1149:G1153 G1157:G1163 G1167:G1168 G1165 G1170:G1179 G1181:G1182 G1184:G1185 G1187:G1188 G1190:G1191 G1193 G1196:G1205 G1207 G1209 G1211 G1213:G1216 G1223 G1220 G804:G919 G1903:G1905 G1376 G1378:G1379 G1381:G1414 G1487:G1488 G1490:G1491 G1493:G1494 G1496:G1498 G1500:G1501 G1657 G15:G38 G1431 G1648:G1651 G1662:G1672 G502:G583 G1225:G1349 G1701:G1707 G1734:G1735 G1504:G1574 G1739:G1761 G1766:G1768 G1770:G1771 G1773:G1775 G1777:G1780 G1789:G1790 G1792:G1800 G1823:G1835 G1803:G1805 G1811 G1815:G1816 G1818:G1820 G1783:G1785 G1840:G1861 G1863:G1871 G1873:G1876 G1879:G1883 G1885:G1886 G1888:G1897 G1713:G1732 G1933 G1950:G1956 G1935:G1937 G1915:G1916 G1911:G1912 G1939:G1941 G1943:G1947 G1925:G1928 G2107:G2110 G2120:G2136 G2112:G2118 G1636:G1640 G1642:G1646 G2140:G2193 G1964:G2001 G2195:G2212 G2357:G2421 G2214:G2353 G2003:G2104 G2423:G3478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B3F80-CA2A-2F4F-B505-70E218CC30E7}">
  <sheetPr>
    <tabColor theme="4" tint="0.39997558519241921"/>
  </sheetPr>
  <dimension ref="A1:K357"/>
  <sheetViews>
    <sheetView topLeftCell="A303" zoomScale="156" zoomScaleNormal="130" workbookViewId="0">
      <selection activeCell="B318" sqref="B318"/>
    </sheetView>
  </sheetViews>
  <sheetFormatPr baseColWidth="10" defaultColWidth="10.83203125" defaultRowHeight="15"/>
  <cols>
    <col min="1" max="1" width="22.33203125" style="272" customWidth="1"/>
    <col min="2" max="2" width="9.1640625" style="272" customWidth="1"/>
    <col min="3" max="3" width="12.6640625" style="272" bestFit="1" customWidth="1"/>
    <col min="4" max="4" width="14.33203125" style="272" bestFit="1" customWidth="1"/>
    <col min="5" max="5" width="9.1640625" style="663" bestFit="1" customWidth="1"/>
    <col min="6" max="6" width="53.6640625" style="272" customWidth="1"/>
    <col min="7" max="7" width="10.83203125" style="272"/>
    <col min="8" max="8" width="18.83203125" style="272" bestFit="1" customWidth="1"/>
    <col min="9" max="9" width="10.83203125" style="663"/>
    <col min="10" max="10" width="11.83203125" style="663" customWidth="1"/>
    <col min="11" max="11" width="10.83203125" style="663"/>
    <col min="12" max="16384" width="10.83203125" style="272"/>
  </cols>
  <sheetData>
    <row r="1" spans="1:11" ht="4" customHeight="1"/>
    <row r="2" spans="1:11" s="346" customFormat="1" ht="21" customHeight="1">
      <c r="A2" s="345" t="s">
        <v>1294</v>
      </c>
      <c r="B2" s="952" t="s">
        <v>1295</v>
      </c>
      <c r="C2" s="952"/>
      <c r="E2" s="724"/>
      <c r="I2" s="724"/>
      <c r="J2" s="724"/>
      <c r="K2" s="724"/>
    </row>
    <row r="3" spans="1:11" s="346" customFormat="1" ht="21" customHeight="1">
      <c r="A3" s="345" t="s">
        <v>1296</v>
      </c>
      <c r="B3" s="951" t="s">
        <v>1297</v>
      </c>
      <c r="C3" s="951"/>
      <c r="E3" s="724"/>
      <c r="I3" s="724"/>
      <c r="J3" s="724"/>
      <c r="K3" s="724"/>
    </row>
    <row r="5" spans="1:11" s="242" customFormat="1" ht="34" customHeight="1">
      <c r="A5" s="347" t="s">
        <v>1298</v>
      </c>
      <c r="B5" s="347" t="s">
        <v>1299</v>
      </c>
      <c r="C5" s="347" t="s">
        <v>1300</v>
      </c>
      <c r="D5" s="347" t="s">
        <v>1301</v>
      </c>
      <c r="E5" s="347" t="s">
        <v>1920</v>
      </c>
      <c r="F5" s="347" t="s">
        <v>1302</v>
      </c>
      <c r="H5" s="347" t="s">
        <v>1298</v>
      </c>
      <c r="I5" s="347" t="s">
        <v>1299</v>
      </c>
      <c r="J5" s="347" t="s">
        <v>1300</v>
      </c>
      <c r="K5" s="347" t="s">
        <v>1920</v>
      </c>
    </row>
    <row r="6" spans="1:11" s="351" customFormat="1" ht="19" customHeight="1">
      <c r="A6" s="348" t="s">
        <v>1303</v>
      </c>
      <c r="B6" s="349">
        <v>162</v>
      </c>
      <c r="C6" s="350">
        <v>1236</v>
      </c>
      <c r="D6" s="350">
        <f>1600-C6+1</f>
        <v>365</v>
      </c>
      <c r="E6" s="725">
        <f>(C6+D6)/B6</f>
        <v>9.8827160493827169</v>
      </c>
      <c r="F6" s="349" t="s">
        <v>1304</v>
      </c>
      <c r="H6" s="348" t="s">
        <v>1303</v>
      </c>
      <c r="I6" s="349">
        <f>SUMIF(A:A,H6,B:B)</f>
        <v>1964</v>
      </c>
      <c r="J6" s="725">
        <f>SUMIF(A:A,H6,C:C)+SUMIF(A:A,H6,D:D)</f>
        <v>21457</v>
      </c>
      <c r="K6" s="725">
        <f>J6/I6</f>
        <v>10.925152749490834</v>
      </c>
    </row>
    <row r="7" spans="1:11" s="351" customFormat="1" ht="19" customHeight="1">
      <c r="A7" s="352" t="s">
        <v>1305</v>
      </c>
      <c r="B7" s="353">
        <v>189</v>
      </c>
      <c r="C7" s="354">
        <v>1511</v>
      </c>
      <c r="D7" s="354">
        <f>1600-C7+1</f>
        <v>90</v>
      </c>
      <c r="E7" s="726">
        <f>(C7+D7)/B7</f>
        <v>8.4708994708994716</v>
      </c>
      <c r="F7" s="353" t="s">
        <v>1304</v>
      </c>
      <c r="H7" s="352" t="s">
        <v>1305</v>
      </c>
      <c r="I7" s="353">
        <f t="shared" ref="I7:I11" si="0">SUMIF(A:A,H7,B:B)</f>
        <v>2069</v>
      </c>
      <c r="J7" s="726">
        <f t="shared" ref="J7:J11" si="1">SUMIF(A:A,H7,C:C)+SUMIF(A:A,H7,D:D)</f>
        <v>19540</v>
      </c>
      <c r="K7" s="726">
        <f t="shared" ref="K7:K11" si="2">J7/I7</f>
        <v>9.4441759304011601</v>
      </c>
    </row>
    <row r="8" spans="1:11" s="351" customFormat="1" ht="19" customHeight="1">
      <c r="A8" s="348" t="s">
        <v>1306</v>
      </c>
      <c r="B8" s="349">
        <v>54</v>
      </c>
      <c r="C8" s="350">
        <v>0</v>
      </c>
      <c r="D8" s="350">
        <f>B8*8+3</f>
        <v>435</v>
      </c>
      <c r="E8" s="725">
        <f t="shared" ref="E8:E23" si="3">(C8+D8)/B8</f>
        <v>8.0555555555555554</v>
      </c>
      <c r="F8" s="349" t="s">
        <v>1304</v>
      </c>
      <c r="H8" s="348" t="s">
        <v>2030</v>
      </c>
      <c r="I8" s="349">
        <f t="shared" si="0"/>
        <v>756</v>
      </c>
      <c r="J8" s="725">
        <f t="shared" si="1"/>
        <v>7180</v>
      </c>
      <c r="K8" s="725">
        <f t="shared" si="2"/>
        <v>9.4973544973544968</v>
      </c>
    </row>
    <row r="9" spans="1:11" s="351" customFormat="1" ht="19" customHeight="1">
      <c r="A9" s="352"/>
      <c r="B9" s="353"/>
      <c r="C9" s="354"/>
      <c r="D9" s="354"/>
      <c r="E9" s="726"/>
      <c r="F9" s="353"/>
      <c r="H9" s="352" t="s">
        <v>1307</v>
      </c>
      <c r="I9" s="353">
        <f t="shared" si="0"/>
        <v>2048</v>
      </c>
      <c r="J9" s="726">
        <f t="shared" si="1"/>
        <v>30340</v>
      </c>
      <c r="K9" s="726">
        <f t="shared" si="2"/>
        <v>14.814453125</v>
      </c>
    </row>
    <row r="10" spans="1:11" s="351" customFormat="1" ht="19" customHeight="1">
      <c r="A10" s="348" t="s">
        <v>1307</v>
      </c>
      <c r="B10" s="349">
        <v>62</v>
      </c>
      <c r="C10" s="350">
        <v>1509</v>
      </c>
      <c r="D10" s="350">
        <f>2100-C10+850</f>
        <v>1441</v>
      </c>
      <c r="E10" s="725">
        <f t="shared" si="3"/>
        <v>47.58064516129032</v>
      </c>
      <c r="F10" s="349" t="s">
        <v>1308</v>
      </c>
      <c r="H10" s="348" t="s">
        <v>1309</v>
      </c>
      <c r="I10" s="349">
        <f t="shared" si="0"/>
        <v>2331</v>
      </c>
      <c r="J10" s="725">
        <f t="shared" si="1"/>
        <v>22415</v>
      </c>
      <c r="K10" s="725">
        <f t="shared" si="2"/>
        <v>9.6160446160446167</v>
      </c>
    </row>
    <row r="11" spans="1:11" s="351" customFormat="1" ht="19" customHeight="1">
      <c r="A11" s="352" t="s">
        <v>1309</v>
      </c>
      <c r="B11" s="353">
        <v>247.5</v>
      </c>
      <c r="C11" s="354">
        <v>1379</v>
      </c>
      <c r="D11" s="354">
        <f>1700-C11-1</f>
        <v>320</v>
      </c>
      <c r="E11" s="726">
        <f t="shared" si="3"/>
        <v>6.8646464646464649</v>
      </c>
      <c r="F11" s="353" t="s">
        <v>1304</v>
      </c>
      <c r="H11" s="352" t="s">
        <v>1310</v>
      </c>
      <c r="I11" s="353">
        <f t="shared" si="0"/>
        <v>1956.5</v>
      </c>
      <c r="J11" s="726">
        <f t="shared" si="1"/>
        <v>23104</v>
      </c>
      <c r="K11" s="726">
        <f t="shared" si="2"/>
        <v>11.808842320470227</v>
      </c>
    </row>
    <row r="12" spans="1:11" s="351" customFormat="1" ht="19" customHeight="1">
      <c r="A12" s="348" t="s">
        <v>1310</v>
      </c>
      <c r="B12" s="349">
        <v>44</v>
      </c>
      <c r="C12" s="350">
        <v>1050</v>
      </c>
      <c r="D12" s="350">
        <f>1700-C12+830</f>
        <v>1480</v>
      </c>
      <c r="E12" s="725">
        <f t="shared" si="3"/>
        <v>57.5</v>
      </c>
      <c r="F12" s="349" t="s">
        <v>1311</v>
      </c>
      <c r="I12" s="279"/>
      <c r="J12" s="279"/>
      <c r="K12" s="279"/>
    </row>
    <row r="13" spans="1:11" s="351" customFormat="1" ht="19" customHeight="1">
      <c r="A13" s="355" t="s">
        <v>1312</v>
      </c>
      <c r="B13" s="353">
        <v>32.5</v>
      </c>
      <c r="C13" s="354">
        <v>0</v>
      </c>
      <c r="D13" s="354">
        <f>B13*12</f>
        <v>390</v>
      </c>
      <c r="E13" s="726">
        <f t="shared" si="3"/>
        <v>12</v>
      </c>
      <c r="F13" s="353" t="s">
        <v>1304</v>
      </c>
      <c r="I13" s="279"/>
      <c r="J13" s="279"/>
      <c r="K13" s="279"/>
    </row>
    <row r="14" spans="1:11" s="351" customFormat="1" ht="19" customHeight="1">
      <c r="A14" s="348" t="s">
        <v>1313</v>
      </c>
      <c r="B14" s="349">
        <v>113</v>
      </c>
      <c r="C14" s="350">
        <v>576</v>
      </c>
      <c r="D14" s="350">
        <f>B14*8-C14+2</f>
        <v>330</v>
      </c>
      <c r="E14" s="725">
        <f t="shared" si="3"/>
        <v>8.0176991150442483</v>
      </c>
      <c r="F14" s="349" t="s">
        <v>1304</v>
      </c>
      <c r="I14" s="279"/>
      <c r="J14" s="279"/>
      <c r="K14" s="279"/>
    </row>
    <row r="15" spans="1:11" s="351" customFormat="1" ht="19" customHeight="1">
      <c r="A15" s="355" t="s">
        <v>1314</v>
      </c>
      <c r="B15" s="353">
        <v>176</v>
      </c>
      <c r="C15" s="354">
        <v>758</v>
      </c>
      <c r="D15" s="354">
        <f>B15*8-C15</f>
        <v>650</v>
      </c>
      <c r="E15" s="726">
        <f t="shared" si="3"/>
        <v>8</v>
      </c>
      <c r="F15" s="353" t="s">
        <v>1304</v>
      </c>
      <c r="I15" s="279"/>
      <c r="J15" s="279"/>
      <c r="K15" s="279"/>
    </row>
    <row r="16" spans="1:11" s="351" customFormat="1" ht="19" customHeight="1">
      <c r="A16" s="348"/>
      <c r="B16" s="349"/>
      <c r="C16" s="350"/>
      <c r="D16" s="350"/>
      <c r="E16" s="725"/>
      <c r="F16" s="349"/>
      <c r="I16" s="279"/>
      <c r="J16" s="279"/>
      <c r="K16" s="279"/>
    </row>
    <row r="17" spans="1:11" s="351" customFormat="1" ht="19" customHeight="1">
      <c r="A17" s="355"/>
      <c r="B17" s="353"/>
      <c r="C17" s="354"/>
      <c r="D17" s="354"/>
      <c r="E17" s="726"/>
      <c r="F17" s="353"/>
      <c r="I17" s="279"/>
      <c r="J17" s="279"/>
      <c r="K17" s="279"/>
    </row>
    <row r="18" spans="1:11" s="351" customFormat="1" ht="19" customHeight="1">
      <c r="A18" s="348"/>
      <c r="B18" s="349"/>
      <c r="C18" s="350"/>
      <c r="D18" s="350"/>
      <c r="E18" s="725"/>
      <c r="F18" s="349"/>
      <c r="I18" s="279"/>
      <c r="J18" s="279"/>
      <c r="K18" s="279"/>
    </row>
    <row r="19" spans="1:11" s="351" customFormat="1" ht="19" customHeight="1">
      <c r="A19" s="352"/>
      <c r="B19" s="353"/>
      <c r="C19" s="354"/>
      <c r="D19" s="354"/>
      <c r="E19" s="726"/>
      <c r="F19" s="353"/>
      <c r="I19" s="279"/>
      <c r="J19" s="279"/>
      <c r="K19" s="279"/>
    </row>
    <row r="20" spans="1:11" s="351" customFormat="1" ht="19" customHeight="1">
      <c r="A20" s="348"/>
      <c r="B20" s="349"/>
      <c r="C20" s="350"/>
      <c r="D20" s="350"/>
      <c r="E20" s="725"/>
      <c r="F20" s="349"/>
      <c r="I20" s="279"/>
      <c r="J20" s="279"/>
      <c r="K20" s="279"/>
    </row>
    <row r="21" spans="1:11" s="351" customFormat="1" ht="19" customHeight="1">
      <c r="A21" s="352"/>
      <c r="B21" s="353"/>
      <c r="C21" s="354"/>
      <c r="D21" s="354"/>
      <c r="E21" s="726"/>
      <c r="F21" s="353"/>
      <c r="I21" s="279"/>
      <c r="J21" s="279"/>
      <c r="K21" s="279"/>
    </row>
    <row r="22" spans="1:11" s="351" customFormat="1" ht="19" customHeight="1">
      <c r="A22" s="348" t="s">
        <v>1315</v>
      </c>
      <c r="B22" s="349">
        <v>40</v>
      </c>
      <c r="C22" s="350"/>
      <c r="D22" s="350">
        <v>400</v>
      </c>
      <c r="E22" s="725">
        <f t="shared" si="3"/>
        <v>10</v>
      </c>
      <c r="F22" s="349" t="s">
        <v>1304</v>
      </c>
      <c r="I22" s="279"/>
      <c r="J22" s="279"/>
      <c r="K22" s="279"/>
    </row>
    <row r="23" spans="1:11" s="351" customFormat="1" ht="19" customHeight="1">
      <c r="A23" s="352" t="s">
        <v>1316</v>
      </c>
      <c r="B23" s="353">
        <v>9</v>
      </c>
      <c r="C23" s="354"/>
      <c r="D23" s="354">
        <v>90</v>
      </c>
      <c r="E23" s="726">
        <f t="shared" si="3"/>
        <v>10</v>
      </c>
      <c r="F23" s="353" t="s">
        <v>1304</v>
      </c>
      <c r="I23" s="279"/>
      <c r="J23" s="279"/>
      <c r="K23" s="279"/>
    </row>
    <row r="24" spans="1:11" s="359" customFormat="1" ht="10" customHeight="1">
      <c r="A24" s="356"/>
      <c r="B24" s="357"/>
      <c r="C24" s="358"/>
      <c r="D24" s="357"/>
      <c r="E24" s="357"/>
      <c r="F24" s="357"/>
      <c r="I24" s="364"/>
      <c r="J24" s="364"/>
      <c r="K24" s="364"/>
    </row>
    <row r="25" spans="1:11" s="360" customFormat="1" ht="23" customHeight="1">
      <c r="A25" s="360" t="s">
        <v>1317</v>
      </c>
      <c r="C25" s="361">
        <f>SUM(C6:C23)</f>
        <v>8019</v>
      </c>
      <c r="D25" s="361">
        <f>SUM(D6:D23)</f>
        <v>5991</v>
      </c>
      <c r="E25" s="727"/>
      <c r="I25" s="728"/>
      <c r="J25" s="728"/>
      <c r="K25" s="728"/>
    </row>
    <row r="26" spans="1:11" s="360" customFormat="1" ht="23" customHeight="1">
      <c r="A26" s="360" t="s">
        <v>250</v>
      </c>
      <c r="B26" s="232"/>
      <c r="C26" s="361">
        <v>3993.96</v>
      </c>
      <c r="E26" s="728"/>
      <c r="I26" s="728"/>
      <c r="J26" s="728"/>
      <c r="K26" s="728"/>
    </row>
    <row r="27" spans="1:11" s="360" customFormat="1" ht="23" customHeight="1">
      <c r="A27" s="360" t="s">
        <v>130</v>
      </c>
      <c r="B27" s="232"/>
      <c r="C27" s="361">
        <f>C25+C26+D25</f>
        <v>18003.96</v>
      </c>
      <c r="E27" s="728"/>
      <c r="I27" s="728"/>
      <c r="J27" s="728"/>
      <c r="K27" s="728"/>
    </row>
    <row r="28" spans="1:11" s="360" customFormat="1" ht="21" customHeight="1">
      <c r="B28" s="232"/>
      <c r="C28" s="361"/>
      <c r="E28" s="728"/>
      <c r="I28" s="728"/>
      <c r="J28" s="728"/>
      <c r="K28" s="728"/>
    </row>
    <row r="29" spans="1:11" s="346" customFormat="1" ht="21" customHeight="1">
      <c r="A29" s="345" t="s">
        <v>1294</v>
      </c>
      <c r="B29" s="952" t="s">
        <v>1318</v>
      </c>
      <c r="C29" s="952"/>
      <c r="E29" s="724"/>
      <c r="I29" s="724"/>
      <c r="J29" s="724"/>
      <c r="K29" s="724"/>
    </row>
    <row r="30" spans="1:11" s="346" customFormat="1" ht="21" customHeight="1">
      <c r="A30" s="345" t="s">
        <v>1296</v>
      </c>
      <c r="B30" s="951" t="s">
        <v>1297</v>
      </c>
      <c r="C30" s="951"/>
      <c r="E30" s="724"/>
      <c r="I30" s="724"/>
      <c r="J30" s="724"/>
      <c r="K30" s="724"/>
    </row>
    <row r="32" spans="1:11" s="242" customFormat="1" ht="34" customHeight="1">
      <c r="A32" s="347" t="s">
        <v>1298</v>
      </c>
      <c r="B32" s="347" t="s">
        <v>1299</v>
      </c>
      <c r="C32" s="347" t="s">
        <v>1300</v>
      </c>
      <c r="D32" s="347" t="s">
        <v>1301</v>
      </c>
      <c r="E32" s="347" t="s">
        <v>1920</v>
      </c>
      <c r="F32" s="347" t="s">
        <v>1302</v>
      </c>
    </row>
    <row r="33" spans="1:11" s="351" customFormat="1" ht="19" customHeight="1">
      <c r="A33" s="348" t="s">
        <v>1303</v>
      </c>
      <c r="B33" s="349">
        <v>90</v>
      </c>
      <c r="C33" s="350">
        <v>1188</v>
      </c>
      <c r="D33" s="350">
        <v>415</v>
      </c>
      <c r="E33" s="725">
        <f>(C33+D33)/B33</f>
        <v>17.81111111111111</v>
      </c>
      <c r="F33" s="349" t="s">
        <v>1304</v>
      </c>
      <c r="I33" s="279"/>
      <c r="J33" s="279"/>
      <c r="K33" s="279"/>
    </row>
    <row r="34" spans="1:11" s="351" customFormat="1" ht="19" customHeight="1">
      <c r="A34" s="352" t="s">
        <v>1305</v>
      </c>
      <c r="B34" s="353">
        <v>169</v>
      </c>
      <c r="C34" s="354">
        <v>1089</v>
      </c>
      <c r="D34" s="354">
        <v>570</v>
      </c>
      <c r="E34" s="726">
        <f>(C34+D34)/B34</f>
        <v>9.8165680473372774</v>
      </c>
      <c r="F34" s="353" t="s">
        <v>1304</v>
      </c>
      <c r="I34" s="279"/>
      <c r="J34" s="279"/>
      <c r="K34" s="279"/>
    </row>
    <row r="35" spans="1:11" s="351" customFormat="1" ht="19" customHeight="1">
      <c r="A35" s="348" t="s">
        <v>1306</v>
      </c>
      <c r="B35" s="349">
        <v>60.5</v>
      </c>
      <c r="C35" s="350">
        <v>0</v>
      </c>
      <c r="D35" s="350">
        <f>B35*8+1</f>
        <v>485</v>
      </c>
      <c r="E35" s="725">
        <f t="shared" ref="E35:E50" si="4">(C35+D35)/B35</f>
        <v>8.0165289256198342</v>
      </c>
      <c r="F35" s="349" t="s">
        <v>1304</v>
      </c>
      <c r="I35" s="279"/>
      <c r="J35" s="279"/>
      <c r="K35" s="279"/>
    </row>
    <row r="36" spans="1:11" s="351" customFormat="1" ht="19" customHeight="1">
      <c r="A36" s="352"/>
      <c r="B36" s="353"/>
      <c r="C36" s="354"/>
      <c r="D36" s="354"/>
      <c r="E36" s="726"/>
      <c r="F36" s="353"/>
      <c r="I36" s="279"/>
      <c r="J36" s="279"/>
      <c r="K36" s="279"/>
    </row>
    <row r="37" spans="1:11" s="351" customFormat="1" ht="19" customHeight="1">
      <c r="A37" s="348" t="s">
        <v>1307</v>
      </c>
      <c r="B37" s="349">
        <v>88</v>
      </c>
      <c r="C37" s="350">
        <v>1388</v>
      </c>
      <c r="D37" s="350">
        <v>715</v>
      </c>
      <c r="E37" s="725">
        <f t="shared" si="4"/>
        <v>23.897727272727273</v>
      </c>
      <c r="F37" s="349" t="s">
        <v>1304</v>
      </c>
      <c r="I37" s="279"/>
      <c r="J37" s="279"/>
      <c r="K37" s="279"/>
    </row>
    <row r="38" spans="1:11" s="351" customFormat="1" ht="19" customHeight="1">
      <c r="A38" s="352" t="s">
        <v>1309</v>
      </c>
      <c r="B38" s="353">
        <v>159.5</v>
      </c>
      <c r="C38" s="354">
        <v>1275</v>
      </c>
      <c r="D38" s="354">
        <f>1600-C38</f>
        <v>325</v>
      </c>
      <c r="E38" s="726">
        <f t="shared" si="4"/>
        <v>10.031347962382446</v>
      </c>
      <c r="F38" s="353" t="s">
        <v>1304</v>
      </c>
      <c r="I38" s="279"/>
      <c r="J38" s="279"/>
      <c r="K38" s="279"/>
    </row>
    <row r="39" spans="1:11" s="351" customFormat="1" ht="19" customHeight="1">
      <c r="A39" s="348" t="s">
        <v>1310</v>
      </c>
      <c r="B39" s="349">
        <v>95</v>
      </c>
      <c r="C39" s="350">
        <v>844</v>
      </c>
      <c r="D39" s="350">
        <v>855</v>
      </c>
      <c r="E39" s="725">
        <f t="shared" si="4"/>
        <v>17.88421052631579</v>
      </c>
      <c r="F39" s="349" t="s">
        <v>1319</v>
      </c>
      <c r="I39" s="279"/>
      <c r="J39" s="279"/>
      <c r="K39" s="279"/>
    </row>
    <row r="40" spans="1:11" s="351" customFormat="1" ht="19" customHeight="1">
      <c r="A40" s="355" t="s">
        <v>1312</v>
      </c>
      <c r="B40" s="353">
        <v>105</v>
      </c>
      <c r="C40" s="354">
        <v>72</v>
      </c>
      <c r="D40" s="354">
        <v>1190</v>
      </c>
      <c r="E40" s="726">
        <f t="shared" si="4"/>
        <v>12.019047619047619</v>
      </c>
      <c r="F40" s="353" t="s">
        <v>1304</v>
      </c>
      <c r="I40" s="279"/>
      <c r="J40" s="279"/>
      <c r="K40" s="279"/>
    </row>
    <row r="41" spans="1:11" s="351" customFormat="1" ht="19" customHeight="1">
      <c r="A41" s="348" t="s">
        <v>1313</v>
      </c>
      <c r="B41" s="349">
        <v>46</v>
      </c>
      <c r="C41" s="350">
        <v>422</v>
      </c>
      <c r="D41" s="350">
        <f>B41*8-C41</f>
        <v>-54</v>
      </c>
      <c r="E41" s="725">
        <f t="shared" si="4"/>
        <v>8</v>
      </c>
      <c r="F41" s="349" t="s">
        <v>1304</v>
      </c>
      <c r="I41" s="279"/>
      <c r="J41" s="279"/>
      <c r="K41" s="279"/>
    </row>
    <row r="42" spans="1:11" s="351" customFormat="1" ht="19" customHeight="1">
      <c r="A42" s="355" t="s">
        <v>1314</v>
      </c>
      <c r="B42" s="353">
        <v>94.5</v>
      </c>
      <c r="C42" s="354">
        <v>223</v>
      </c>
      <c r="D42" s="354">
        <v>535</v>
      </c>
      <c r="E42" s="726">
        <f t="shared" si="4"/>
        <v>8.0211640211640205</v>
      </c>
      <c r="F42" s="353" t="s">
        <v>1304</v>
      </c>
      <c r="I42" s="279"/>
      <c r="J42" s="279"/>
      <c r="K42" s="279"/>
    </row>
    <row r="43" spans="1:11" s="351" customFormat="1" ht="19" customHeight="1">
      <c r="A43" s="348"/>
      <c r="B43" s="349"/>
      <c r="C43" s="350"/>
      <c r="D43" s="350"/>
      <c r="E43" s="725"/>
      <c r="F43" s="349"/>
      <c r="I43" s="279"/>
      <c r="J43" s="279"/>
      <c r="K43" s="279"/>
    </row>
    <row r="44" spans="1:11" s="351" customFormat="1" ht="19" customHeight="1">
      <c r="A44" s="355"/>
      <c r="B44" s="353"/>
      <c r="C44" s="354"/>
      <c r="D44" s="354"/>
      <c r="E44" s="726"/>
      <c r="F44" s="353"/>
      <c r="I44" s="279"/>
      <c r="J44" s="279"/>
      <c r="K44" s="279"/>
    </row>
    <row r="45" spans="1:11" s="351" customFormat="1" ht="19" customHeight="1">
      <c r="A45" s="348"/>
      <c r="B45" s="349"/>
      <c r="C45" s="350"/>
      <c r="D45" s="350"/>
      <c r="E45" s="725"/>
      <c r="F45" s="349"/>
      <c r="I45" s="279"/>
      <c r="J45" s="279"/>
      <c r="K45" s="279"/>
    </row>
    <row r="46" spans="1:11" s="351" customFormat="1" ht="19" customHeight="1">
      <c r="A46" s="352"/>
      <c r="B46" s="353"/>
      <c r="C46" s="354"/>
      <c r="D46" s="354"/>
      <c r="E46" s="726"/>
      <c r="F46" s="353"/>
      <c r="I46" s="279"/>
      <c r="J46" s="279"/>
      <c r="K46" s="279"/>
    </row>
    <row r="47" spans="1:11" s="351" customFormat="1" ht="19" customHeight="1">
      <c r="A47" s="348"/>
      <c r="B47" s="349"/>
      <c r="C47" s="350"/>
      <c r="D47" s="350"/>
      <c r="E47" s="725"/>
      <c r="F47" s="349"/>
      <c r="I47" s="279"/>
      <c r="J47" s="279"/>
      <c r="K47" s="279"/>
    </row>
    <row r="48" spans="1:11" s="351" customFormat="1" ht="19" customHeight="1">
      <c r="A48" s="352"/>
      <c r="B48" s="353"/>
      <c r="C48" s="354"/>
      <c r="D48" s="354"/>
      <c r="E48" s="726"/>
      <c r="F48" s="353"/>
      <c r="I48" s="279"/>
      <c r="J48" s="279"/>
      <c r="K48" s="279"/>
    </row>
    <row r="49" spans="1:11" s="351" customFormat="1" ht="19" customHeight="1">
      <c r="A49" s="348" t="s">
        <v>1315</v>
      </c>
      <c r="B49" s="349">
        <v>4.5</v>
      </c>
      <c r="C49" s="350"/>
      <c r="D49" s="350">
        <f>B49*10</f>
        <v>45</v>
      </c>
      <c r="E49" s="725">
        <f t="shared" si="4"/>
        <v>10</v>
      </c>
      <c r="F49" s="349" t="s">
        <v>1304</v>
      </c>
      <c r="I49" s="279"/>
      <c r="J49" s="279"/>
      <c r="K49" s="279"/>
    </row>
    <row r="50" spans="1:11" s="351" customFormat="1" ht="19" customHeight="1">
      <c r="A50" s="352" t="s">
        <v>1316</v>
      </c>
      <c r="B50" s="353">
        <v>7.5</v>
      </c>
      <c r="C50" s="354"/>
      <c r="D50" s="354">
        <f>B50*10</f>
        <v>75</v>
      </c>
      <c r="E50" s="726">
        <f t="shared" si="4"/>
        <v>10</v>
      </c>
      <c r="F50" s="353" t="s">
        <v>1304</v>
      </c>
      <c r="I50" s="279"/>
      <c r="J50" s="279"/>
      <c r="K50" s="279"/>
    </row>
    <row r="51" spans="1:11" s="359" customFormat="1" ht="10" customHeight="1">
      <c r="A51" s="356"/>
      <c r="B51" s="357"/>
      <c r="C51" s="358"/>
      <c r="D51" s="357"/>
      <c r="E51" s="357"/>
      <c r="F51" s="357"/>
      <c r="I51" s="364"/>
      <c r="J51" s="364"/>
      <c r="K51" s="364"/>
    </row>
    <row r="52" spans="1:11" s="360" customFormat="1" ht="23" customHeight="1">
      <c r="A52" s="360" t="s">
        <v>1317</v>
      </c>
      <c r="C52" s="361">
        <f>SUM(C33:C50)</f>
        <v>6501</v>
      </c>
      <c r="D52" s="361">
        <f>SUM(D33:D50)</f>
        <v>5156</v>
      </c>
      <c r="E52" s="727"/>
      <c r="I52" s="728"/>
      <c r="J52" s="728"/>
      <c r="K52" s="728"/>
    </row>
    <row r="53" spans="1:11" s="360" customFormat="1" ht="23" customHeight="1">
      <c r="A53" s="360" t="s">
        <v>250</v>
      </c>
      <c r="B53" s="232"/>
      <c r="C53" s="361">
        <v>3248.8</v>
      </c>
      <c r="E53" s="728"/>
      <c r="I53" s="728"/>
      <c r="J53" s="728"/>
      <c r="K53" s="728"/>
    </row>
    <row r="54" spans="1:11" s="360" customFormat="1" ht="23" customHeight="1">
      <c r="A54" s="360" t="s">
        <v>130</v>
      </c>
      <c r="B54" s="232"/>
      <c r="C54" s="361">
        <f>C52+C53+D52</f>
        <v>14905.8</v>
      </c>
      <c r="E54" s="728"/>
      <c r="I54" s="728"/>
      <c r="J54" s="728"/>
      <c r="K54" s="728"/>
    </row>
    <row r="55" spans="1:11" s="360" customFormat="1" ht="21" customHeight="1">
      <c r="B55" s="232"/>
      <c r="C55" s="361"/>
      <c r="E55" s="728"/>
      <c r="I55" s="728"/>
      <c r="J55" s="728"/>
      <c r="K55" s="728"/>
    </row>
    <row r="56" spans="1:11" ht="4" customHeight="1"/>
    <row r="57" spans="1:11" s="346" customFormat="1" ht="21" customHeight="1">
      <c r="A57" s="345" t="s">
        <v>1294</v>
      </c>
      <c r="B57" s="952" t="s">
        <v>1320</v>
      </c>
      <c r="C57" s="952"/>
      <c r="E57" s="724"/>
      <c r="I57" s="724"/>
      <c r="J57" s="724"/>
      <c r="K57" s="724"/>
    </row>
    <row r="58" spans="1:11" s="346" customFormat="1" ht="21" customHeight="1">
      <c r="A58" s="345" t="s">
        <v>1296</v>
      </c>
      <c r="B58" s="951" t="s">
        <v>1297</v>
      </c>
      <c r="C58" s="951"/>
      <c r="E58" s="724"/>
      <c r="I58" s="724"/>
      <c r="J58" s="724"/>
      <c r="K58" s="724"/>
    </row>
    <row r="60" spans="1:11" s="242" customFormat="1" ht="34" customHeight="1">
      <c r="A60" s="347" t="s">
        <v>1298</v>
      </c>
      <c r="B60" s="347" t="s">
        <v>1299</v>
      </c>
      <c r="C60" s="347" t="s">
        <v>1300</v>
      </c>
      <c r="D60" s="347" t="s">
        <v>1301</v>
      </c>
      <c r="E60" s="347" t="s">
        <v>1920</v>
      </c>
      <c r="F60" s="347" t="s">
        <v>1302</v>
      </c>
    </row>
    <row r="61" spans="1:11" s="351" customFormat="1" ht="19" customHeight="1">
      <c r="A61" s="348" t="s">
        <v>1303</v>
      </c>
      <c r="B61" s="349">
        <v>90</v>
      </c>
      <c r="C61" s="350">
        <v>1026</v>
      </c>
      <c r="D61" s="350">
        <f>1600-C61</f>
        <v>574</v>
      </c>
      <c r="E61" s="725">
        <f>(C61+D61)/B61</f>
        <v>17.777777777777779</v>
      </c>
      <c r="F61" s="349" t="s">
        <v>1304</v>
      </c>
      <c r="I61" s="279"/>
      <c r="J61" s="279"/>
      <c r="K61" s="279"/>
    </row>
    <row r="62" spans="1:11" s="351" customFormat="1" ht="19" customHeight="1">
      <c r="A62" s="352" t="s">
        <v>1305</v>
      </c>
      <c r="B62" s="353">
        <v>180.5</v>
      </c>
      <c r="C62" s="354">
        <v>1059</v>
      </c>
      <c r="D62" s="354">
        <f>1600-C62</f>
        <v>541</v>
      </c>
      <c r="E62" s="726">
        <f>(C62+D62)/B62</f>
        <v>8.86426592797784</v>
      </c>
      <c r="F62" s="353" t="s">
        <v>1304</v>
      </c>
      <c r="I62" s="279"/>
      <c r="J62" s="279"/>
      <c r="K62" s="279"/>
    </row>
    <row r="63" spans="1:11" s="351" customFormat="1" ht="19" customHeight="1">
      <c r="A63" s="348" t="s">
        <v>1306</v>
      </c>
      <c r="B63" s="349">
        <v>148</v>
      </c>
      <c r="C63" s="350">
        <v>0</v>
      </c>
      <c r="D63" s="350">
        <f>B63*8-C63</f>
        <v>1184</v>
      </c>
      <c r="E63" s="725">
        <f t="shared" ref="E63:E71" si="5">(C63+D63)/B63</f>
        <v>8</v>
      </c>
      <c r="F63" s="349" t="s">
        <v>1304</v>
      </c>
      <c r="I63" s="279"/>
      <c r="J63" s="279"/>
      <c r="K63" s="279"/>
    </row>
    <row r="64" spans="1:11" s="351" customFormat="1" ht="19" customHeight="1">
      <c r="A64" s="352"/>
      <c r="B64" s="353"/>
      <c r="C64" s="354"/>
      <c r="D64" s="354"/>
      <c r="E64" s="726"/>
      <c r="F64" s="353"/>
      <c r="I64" s="279"/>
      <c r="J64" s="279"/>
      <c r="K64" s="279"/>
    </row>
    <row r="65" spans="1:11" s="351" customFormat="1" ht="19" customHeight="1">
      <c r="A65" s="348" t="s">
        <v>1307</v>
      </c>
      <c r="B65" s="349">
        <v>161</v>
      </c>
      <c r="C65" s="350">
        <v>1358</v>
      </c>
      <c r="D65" s="350">
        <f>2100-C65</f>
        <v>742</v>
      </c>
      <c r="E65" s="725">
        <f t="shared" si="5"/>
        <v>13.043478260869565</v>
      </c>
      <c r="F65" s="349" t="s">
        <v>1304</v>
      </c>
      <c r="I65" s="279"/>
      <c r="J65" s="279"/>
      <c r="K65" s="279"/>
    </row>
    <row r="66" spans="1:11" s="351" customFormat="1" ht="19" customHeight="1">
      <c r="A66" s="352" t="s">
        <v>1309</v>
      </c>
      <c r="B66" s="353">
        <v>155</v>
      </c>
      <c r="C66" s="354">
        <v>1247</v>
      </c>
      <c r="D66" s="354">
        <f>1600-C66</f>
        <v>353</v>
      </c>
      <c r="E66" s="726">
        <f t="shared" si="5"/>
        <v>10.32258064516129</v>
      </c>
      <c r="F66" s="353" t="s">
        <v>1304</v>
      </c>
      <c r="I66" s="279"/>
      <c r="J66" s="279"/>
      <c r="K66" s="279"/>
    </row>
    <row r="67" spans="1:11" s="351" customFormat="1" ht="19" customHeight="1">
      <c r="A67" s="348" t="s">
        <v>1310</v>
      </c>
      <c r="B67" s="349">
        <v>106.5</v>
      </c>
      <c r="C67" s="350">
        <v>819</v>
      </c>
      <c r="D67" s="350">
        <f>1600-C67</f>
        <v>781</v>
      </c>
      <c r="E67" s="725">
        <f t="shared" si="5"/>
        <v>15.023474178403756</v>
      </c>
      <c r="F67" s="349" t="s">
        <v>1304</v>
      </c>
      <c r="I67" s="279"/>
      <c r="J67" s="279"/>
      <c r="K67" s="279"/>
    </row>
    <row r="68" spans="1:11" s="351" customFormat="1" ht="19" customHeight="1">
      <c r="A68" s="355" t="s">
        <v>1312</v>
      </c>
      <c r="B68" s="353">
        <v>103</v>
      </c>
      <c r="C68" s="354">
        <v>72</v>
      </c>
      <c r="D68" s="354">
        <f>B68*12-C68</f>
        <v>1164</v>
      </c>
      <c r="E68" s="726">
        <f t="shared" si="5"/>
        <v>12</v>
      </c>
      <c r="F68" s="353" t="s">
        <v>1304</v>
      </c>
      <c r="I68" s="279"/>
      <c r="J68" s="279"/>
      <c r="K68" s="279"/>
    </row>
    <row r="69" spans="1:11" s="351" customFormat="1" ht="19" customHeight="1">
      <c r="A69" s="348" t="s">
        <v>1313</v>
      </c>
      <c r="B69" s="349">
        <v>86</v>
      </c>
      <c r="C69" s="350">
        <v>424</v>
      </c>
      <c r="D69" s="350">
        <f>B69*8-C69+D41</f>
        <v>210</v>
      </c>
      <c r="E69" s="725">
        <f t="shared" si="5"/>
        <v>7.3720930232558137</v>
      </c>
      <c r="F69" s="349" t="s">
        <v>1304</v>
      </c>
      <c r="I69" s="279"/>
      <c r="J69" s="279"/>
      <c r="K69" s="279"/>
    </row>
    <row r="70" spans="1:11" s="351" customFormat="1" ht="19" customHeight="1">
      <c r="A70" s="355" t="s">
        <v>1314</v>
      </c>
      <c r="B70" s="353">
        <v>105</v>
      </c>
      <c r="C70" s="354">
        <v>179.86</v>
      </c>
      <c r="D70" s="354">
        <f>B70*8-C70</f>
        <v>660.14</v>
      </c>
      <c r="E70" s="726">
        <f t="shared" si="5"/>
        <v>8</v>
      </c>
      <c r="F70" s="353" t="s">
        <v>1304</v>
      </c>
      <c r="I70" s="279"/>
      <c r="J70" s="279"/>
      <c r="K70" s="279"/>
    </row>
    <row r="71" spans="1:11" s="351" customFormat="1" ht="19" customHeight="1">
      <c r="A71" s="348" t="s">
        <v>1321</v>
      </c>
      <c r="B71" s="349">
        <v>21.5</v>
      </c>
      <c r="C71" s="350">
        <v>0</v>
      </c>
      <c r="D71" s="350">
        <v>215</v>
      </c>
      <c r="E71" s="725">
        <f t="shared" si="5"/>
        <v>10</v>
      </c>
      <c r="F71" s="349" t="s">
        <v>1304</v>
      </c>
      <c r="I71" s="279"/>
      <c r="J71" s="279"/>
      <c r="K71" s="279"/>
    </row>
    <row r="72" spans="1:11" s="351" customFormat="1" ht="19" customHeight="1">
      <c r="A72" s="355"/>
      <c r="B72" s="353"/>
      <c r="C72" s="354"/>
      <c r="D72" s="354"/>
      <c r="E72" s="726"/>
      <c r="F72" s="353"/>
      <c r="I72" s="279"/>
      <c r="J72" s="279"/>
      <c r="K72" s="279"/>
    </row>
    <row r="73" spans="1:11" s="351" customFormat="1" ht="19" customHeight="1">
      <c r="A73" s="348"/>
      <c r="B73" s="349"/>
      <c r="C73" s="350"/>
      <c r="D73" s="350"/>
      <c r="E73" s="725"/>
      <c r="F73" s="349"/>
      <c r="I73" s="279"/>
      <c r="J73" s="279"/>
      <c r="K73" s="279"/>
    </row>
    <row r="74" spans="1:11" s="351" customFormat="1" ht="19" customHeight="1">
      <c r="A74" s="352"/>
      <c r="B74" s="353"/>
      <c r="C74" s="354"/>
      <c r="D74" s="354"/>
      <c r="E74" s="726"/>
      <c r="F74" s="353"/>
      <c r="I74" s="279"/>
      <c r="J74" s="279"/>
      <c r="K74" s="279"/>
    </row>
    <row r="75" spans="1:11" s="351" customFormat="1" ht="19" customHeight="1">
      <c r="A75" s="348"/>
      <c r="B75" s="349"/>
      <c r="C75" s="350"/>
      <c r="D75" s="350"/>
      <c r="E75" s="725"/>
      <c r="F75" s="349"/>
      <c r="I75" s="279"/>
      <c r="J75" s="279"/>
      <c r="K75" s="279"/>
    </row>
    <row r="76" spans="1:11" s="351" customFormat="1" ht="19" customHeight="1">
      <c r="A76" s="352"/>
      <c r="B76" s="353"/>
      <c r="C76" s="354"/>
      <c r="D76" s="354"/>
      <c r="E76" s="726"/>
      <c r="F76" s="353"/>
      <c r="I76" s="279"/>
      <c r="J76" s="279"/>
      <c r="K76" s="279"/>
    </row>
    <row r="77" spans="1:11" s="351" customFormat="1" ht="19" customHeight="1">
      <c r="A77" s="348" t="s">
        <v>1315</v>
      </c>
      <c r="B77" s="349"/>
      <c r="C77" s="350"/>
      <c r="D77" s="350"/>
      <c r="E77" s="725"/>
      <c r="F77" s="349"/>
      <c r="I77" s="279"/>
      <c r="J77" s="279"/>
      <c r="K77" s="279"/>
    </row>
    <row r="78" spans="1:11" s="351" customFormat="1" ht="19" customHeight="1">
      <c r="A78" s="352" t="s">
        <v>1316</v>
      </c>
      <c r="B78" s="353"/>
      <c r="C78" s="354"/>
      <c r="D78" s="354"/>
      <c r="E78" s="726"/>
      <c r="F78" s="353"/>
      <c r="I78" s="279"/>
      <c r="J78" s="279"/>
      <c r="K78" s="279"/>
    </row>
    <row r="79" spans="1:11" s="359" customFormat="1" ht="10" customHeight="1">
      <c r="A79" s="356"/>
      <c r="B79" s="357"/>
      <c r="C79" s="358"/>
      <c r="D79" s="357"/>
      <c r="E79" s="357"/>
      <c r="F79" s="357"/>
      <c r="I79" s="364"/>
      <c r="J79" s="364"/>
      <c r="K79" s="364"/>
    </row>
    <row r="80" spans="1:11" s="360" customFormat="1" ht="23" customHeight="1">
      <c r="A80" s="360" t="s">
        <v>1317</v>
      </c>
      <c r="C80" s="361">
        <f>SUM(C61:C78)</f>
        <v>6184.86</v>
      </c>
      <c r="D80" s="361">
        <f>SUM(D61:D78)</f>
        <v>6424.14</v>
      </c>
      <c r="E80" s="727"/>
      <c r="I80" s="728"/>
      <c r="J80" s="728"/>
      <c r="K80" s="728"/>
    </row>
    <row r="81" spans="1:11" s="360" customFormat="1" ht="23" customHeight="1">
      <c r="A81" s="360" t="s">
        <v>250</v>
      </c>
      <c r="B81" s="232"/>
      <c r="C81" s="361">
        <v>2725.72</v>
      </c>
      <c r="E81" s="728"/>
      <c r="I81" s="728"/>
      <c r="J81" s="728"/>
      <c r="K81" s="728"/>
    </row>
    <row r="82" spans="1:11" s="360" customFormat="1" ht="23" customHeight="1">
      <c r="A82" s="360" t="s">
        <v>130</v>
      </c>
      <c r="B82" s="232"/>
      <c r="C82" s="361">
        <f>C80+C81+D80</f>
        <v>15334.720000000001</v>
      </c>
      <c r="E82" s="728"/>
      <c r="I82" s="728"/>
      <c r="J82" s="728"/>
      <c r="K82" s="728"/>
    </row>
    <row r="83" spans="1:11" s="360" customFormat="1" ht="21" customHeight="1">
      <c r="B83" s="232"/>
      <c r="C83" s="361"/>
      <c r="E83" s="728"/>
      <c r="I83" s="728"/>
      <c r="J83" s="728"/>
      <c r="K83" s="728"/>
    </row>
    <row r="84" spans="1:11" s="346" customFormat="1" ht="21" customHeight="1">
      <c r="A84" s="345" t="s">
        <v>1294</v>
      </c>
      <c r="B84" s="952" t="s">
        <v>1322</v>
      </c>
      <c r="C84" s="952"/>
      <c r="E84" s="724"/>
      <c r="I84" s="724"/>
      <c r="J84" s="724"/>
      <c r="K84" s="724"/>
    </row>
    <row r="85" spans="1:11" s="346" customFormat="1" ht="21" customHeight="1">
      <c r="A85" s="345" t="s">
        <v>1296</v>
      </c>
      <c r="B85" s="951" t="s">
        <v>1297</v>
      </c>
      <c r="C85" s="951"/>
      <c r="E85" s="724"/>
      <c r="I85" s="724"/>
      <c r="J85" s="724"/>
      <c r="K85" s="724"/>
    </row>
    <row r="87" spans="1:11" s="242" customFormat="1" ht="34" customHeight="1">
      <c r="A87" s="347" t="s">
        <v>1298</v>
      </c>
      <c r="B87" s="347" t="s">
        <v>1299</v>
      </c>
      <c r="C87" s="347" t="s">
        <v>1300</v>
      </c>
      <c r="D87" s="347" t="s">
        <v>1301</v>
      </c>
      <c r="E87" s="347" t="s">
        <v>1920</v>
      </c>
      <c r="F87" s="347" t="s">
        <v>1302</v>
      </c>
    </row>
    <row r="88" spans="1:11" s="351" customFormat="1" ht="19" customHeight="1">
      <c r="A88" s="348" t="s">
        <v>1303</v>
      </c>
      <c r="B88" s="349">
        <v>198</v>
      </c>
      <c r="C88" s="350">
        <v>1248</v>
      </c>
      <c r="D88" s="350">
        <f>1600-C88+3</f>
        <v>355</v>
      </c>
      <c r="E88" s="725">
        <f>(C88+D88)/B88</f>
        <v>8.0959595959595951</v>
      </c>
      <c r="F88" s="349"/>
      <c r="I88" s="279"/>
      <c r="J88" s="279"/>
      <c r="K88" s="279"/>
    </row>
    <row r="89" spans="1:11" s="351" customFormat="1" ht="19" customHeight="1">
      <c r="A89" s="352" t="s">
        <v>1305</v>
      </c>
      <c r="B89" s="353">
        <v>198</v>
      </c>
      <c r="C89" s="354">
        <v>1150</v>
      </c>
      <c r="D89" s="354">
        <f>1600-C89</f>
        <v>450</v>
      </c>
      <c r="E89" s="726">
        <f>(C89+D89)/B89</f>
        <v>8.0808080808080813</v>
      </c>
      <c r="F89" s="353"/>
      <c r="I89" s="279"/>
      <c r="J89" s="279"/>
      <c r="K89" s="279"/>
    </row>
    <row r="90" spans="1:11" s="351" customFormat="1" ht="19" customHeight="1">
      <c r="A90" s="348" t="s">
        <v>1306</v>
      </c>
      <c r="B90" s="349">
        <f>18+58.5</f>
        <v>76.5</v>
      </c>
      <c r="C90" s="350">
        <v>0</v>
      </c>
      <c r="D90" s="350">
        <f>B90*8+3</f>
        <v>615</v>
      </c>
      <c r="E90" s="725">
        <f t="shared" ref="E90:E105" si="6">(C90+D90)/B90</f>
        <v>8.0392156862745097</v>
      </c>
      <c r="F90" s="349" t="s">
        <v>1323</v>
      </c>
      <c r="I90" s="279"/>
      <c r="J90" s="279"/>
      <c r="K90" s="279"/>
    </row>
    <row r="91" spans="1:11" s="351" customFormat="1" ht="19" customHeight="1">
      <c r="A91" s="352"/>
      <c r="B91" s="353"/>
      <c r="C91" s="354"/>
      <c r="D91" s="354"/>
      <c r="E91" s="726"/>
      <c r="F91" s="353"/>
      <c r="I91" s="279"/>
      <c r="J91" s="279"/>
      <c r="K91" s="279"/>
    </row>
    <row r="92" spans="1:11" s="351" customFormat="1" ht="19" customHeight="1">
      <c r="A92" s="348" t="s">
        <v>1307</v>
      </c>
      <c r="B92" s="349">
        <v>204</v>
      </c>
      <c r="C92" s="350">
        <v>1440</v>
      </c>
      <c r="D92" s="350">
        <f>2100+150+200-C92</f>
        <v>1010</v>
      </c>
      <c r="E92" s="725">
        <f t="shared" si="6"/>
        <v>12.009803921568627</v>
      </c>
      <c r="F92" s="349" t="s">
        <v>1324</v>
      </c>
      <c r="I92" s="279"/>
      <c r="J92" s="279"/>
      <c r="K92" s="279"/>
    </row>
    <row r="93" spans="1:11" s="351" customFormat="1" ht="19" customHeight="1">
      <c r="A93" s="352" t="s">
        <v>1309</v>
      </c>
      <c r="B93" s="353">
        <v>223.5</v>
      </c>
      <c r="C93" s="354">
        <v>1308</v>
      </c>
      <c r="D93" s="354">
        <f>1600+150-C93+3</f>
        <v>445</v>
      </c>
      <c r="E93" s="726">
        <f t="shared" si="6"/>
        <v>7.8434004474272934</v>
      </c>
      <c r="F93" s="353"/>
      <c r="I93" s="279"/>
      <c r="J93" s="279"/>
      <c r="K93" s="279"/>
    </row>
    <row r="94" spans="1:11" s="351" customFormat="1" ht="19" customHeight="1">
      <c r="A94" s="348" t="s">
        <v>1310</v>
      </c>
      <c r="B94" s="349">
        <v>214.5</v>
      </c>
      <c r="C94" s="350">
        <v>926</v>
      </c>
      <c r="D94" s="350">
        <f>1600+150-C94</f>
        <v>824</v>
      </c>
      <c r="E94" s="725">
        <f t="shared" si="6"/>
        <v>8.1585081585081589</v>
      </c>
      <c r="F94" s="349"/>
      <c r="I94" s="279"/>
      <c r="J94" s="279"/>
      <c r="K94" s="279"/>
    </row>
    <row r="95" spans="1:11" s="351" customFormat="1" ht="19" customHeight="1">
      <c r="A95" s="355" t="s">
        <v>1312</v>
      </c>
      <c r="B95" s="353">
        <v>98</v>
      </c>
      <c r="C95" s="354">
        <f>36*3</f>
        <v>108</v>
      </c>
      <c r="D95" s="354">
        <f>B95*12-C95+2</f>
        <v>1070</v>
      </c>
      <c r="E95" s="726">
        <f t="shared" si="6"/>
        <v>12.020408163265307</v>
      </c>
      <c r="F95" s="353" t="s">
        <v>1325</v>
      </c>
      <c r="I95" s="279"/>
      <c r="J95" s="279"/>
      <c r="K95" s="279"/>
    </row>
    <row r="96" spans="1:11" s="351" customFormat="1" ht="19" customHeight="1">
      <c r="A96" s="348" t="s">
        <v>1313</v>
      </c>
      <c r="B96" s="349">
        <v>117</v>
      </c>
      <c r="C96" s="350">
        <v>438</v>
      </c>
      <c r="D96" s="350">
        <f>B96*8-C96+2-175</f>
        <v>325</v>
      </c>
      <c r="E96" s="725">
        <f t="shared" si="6"/>
        <v>6.5213675213675213</v>
      </c>
      <c r="F96" s="349" t="s">
        <v>1326</v>
      </c>
      <c r="I96" s="279"/>
      <c r="J96" s="279"/>
      <c r="K96" s="279"/>
    </row>
    <row r="97" spans="1:11" s="351" customFormat="1" ht="19" customHeight="1">
      <c r="A97" s="355" t="s">
        <v>1327</v>
      </c>
      <c r="B97" s="353">
        <v>15.5</v>
      </c>
      <c r="C97" s="354">
        <v>72</v>
      </c>
      <c r="D97" s="354">
        <f>B97*10-C97</f>
        <v>83</v>
      </c>
      <c r="E97" s="726">
        <f t="shared" si="6"/>
        <v>10</v>
      </c>
      <c r="F97" s="353" t="s">
        <v>1328</v>
      </c>
      <c r="I97" s="279"/>
      <c r="J97" s="279"/>
      <c r="K97" s="279"/>
    </row>
    <row r="98" spans="1:11" s="351" customFormat="1" ht="19" customHeight="1">
      <c r="A98" s="348" t="s">
        <v>1321</v>
      </c>
      <c r="B98" s="349">
        <v>50.5</v>
      </c>
      <c r="C98" s="350">
        <v>0</v>
      </c>
      <c r="D98" s="350">
        <f>B98*10</f>
        <v>505</v>
      </c>
      <c r="E98" s="725">
        <f t="shared" si="6"/>
        <v>10</v>
      </c>
      <c r="F98" s="362" t="s">
        <v>1329</v>
      </c>
      <c r="I98" s="279"/>
      <c r="J98" s="279"/>
      <c r="K98" s="279"/>
    </row>
    <row r="99" spans="1:11" s="351" customFormat="1" ht="19" customHeight="1">
      <c r="A99" s="355"/>
      <c r="B99" s="353"/>
      <c r="C99" s="354"/>
      <c r="D99" s="354"/>
      <c r="E99" s="726"/>
      <c r="F99" s="353"/>
      <c r="I99" s="279"/>
      <c r="J99" s="279"/>
      <c r="K99" s="279"/>
    </row>
    <row r="100" spans="1:11" s="351" customFormat="1" ht="19" customHeight="1">
      <c r="A100" s="348"/>
      <c r="B100" s="349"/>
      <c r="C100" s="350"/>
      <c r="D100" s="350"/>
      <c r="E100" s="725"/>
      <c r="F100" s="349"/>
      <c r="I100" s="279"/>
      <c r="J100" s="279"/>
      <c r="K100" s="279"/>
    </row>
    <row r="101" spans="1:11" s="351" customFormat="1" ht="19" customHeight="1">
      <c r="A101" s="352"/>
      <c r="B101" s="353"/>
      <c r="C101" s="354"/>
      <c r="D101" s="354"/>
      <c r="E101" s="726"/>
      <c r="F101" s="353"/>
      <c r="I101" s="279"/>
      <c r="J101" s="279"/>
      <c r="K101" s="279"/>
    </row>
    <row r="102" spans="1:11" s="351" customFormat="1" ht="19" customHeight="1">
      <c r="A102" s="348"/>
      <c r="B102" s="349"/>
      <c r="C102" s="350"/>
      <c r="D102" s="350"/>
      <c r="E102" s="725"/>
      <c r="F102" s="349"/>
      <c r="I102" s="279"/>
      <c r="J102" s="279"/>
      <c r="K102" s="279"/>
    </row>
    <row r="103" spans="1:11" s="351" customFormat="1" ht="19" customHeight="1">
      <c r="A103" s="352"/>
      <c r="B103" s="353"/>
      <c r="C103" s="354"/>
      <c r="D103" s="354"/>
      <c r="E103" s="726"/>
      <c r="F103" s="353"/>
      <c r="I103" s="279"/>
      <c r="J103" s="279"/>
      <c r="K103" s="279"/>
    </row>
    <row r="104" spans="1:11" s="351" customFormat="1" ht="19" customHeight="1">
      <c r="A104" s="348" t="s">
        <v>1315</v>
      </c>
      <c r="B104" s="349"/>
      <c r="C104" s="350"/>
      <c r="D104" s="350"/>
      <c r="E104" s="725"/>
      <c r="F104" s="349"/>
      <c r="I104" s="279"/>
      <c r="J104" s="279"/>
      <c r="K104" s="279"/>
    </row>
    <row r="105" spans="1:11" s="351" customFormat="1" ht="19" customHeight="1">
      <c r="A105" s="352" t="s">
        <v>1316</v>
      </c>
      <c r="B105" s="353">
        <v>15</v>
      </c>
      <c r="C105" s="354"/>
      <c r="D105" s="354">
        <f>B105*10</f>
        <v>150</v>
      </c>
      <c r="E105" s="726">
        <f t="shared" si="6"/>
        <v>10</v>
      </c>
      <c r="F105" s="353"/>
      <c r="I105" s="279"/>
      <c r="J105" s="279"/>
      <c r="K105" s="279"/>
    </row>
    <row r="106" spans="1:11" s="359" customFormat="1" ht="10" customHeight="1">
      <c r="A106" s="356"/>
      <c r="B106" s="357"/>
      <c r="C106" s="358"/>
      <c r="D106" s="357"/>
      <c r="E106" s="357"/>
      <c r="F106" s="357"/>
      <c r="I106" s="364"/>
      <c r="J106" s="364"/>
      <c r="K106" s="364"/>
    </row>
    <row r="107" spans="1:11" s="360" customFormat="1" ht="23" customHeight="1">
      <c r="A107" s="360" t="s">
        <v>1317</v>
      </c>
      <c r="C107" s="361">
        <f>SUM(C88:C105)</f>
        <v>6690</v>
      </c>
      <c r="D107" s="361">
        <f>SUM(D88:D105)</f>
        <v>5832</v>
      </c>
      <c r="E107" s="727"/>
      <c r="I107" s="728"/>
      <c r="J107" s="728"/>
      <c r="K107" s="728"/>
    </row>
    <row r="108" spans="1:11" s="360" customFormat="1" ht="23" customHeight="1">
      <c r="A108" s="360" t="s">
        <v>250</v>
      </c>
      <c r="B108" s="232"/>
      <c r="C108" s="361">
        <v>3727.22</v>
      </c>
      <c r="E108" s="728"/>
      <c r="F108" s="360" t="s">
        <v>1330</v>
      </c>
      <c r="I108" s="728"/>
      <c r="J108" s="728"/>
      <c r="K108" s="728"/>
    </row>
    <row r="109" spans="1:11" s="360" customFormat="1" ht="23" customHeight="1">
      <c r="A109" s="360" t="s">
        <v>130</v>
      </c>
      <c r="B109" s="232"/>
      <c r="C109" s="361">
        <f>C107+C108+D107</f>
        <v>16249.22</v>
      </c>
      <c r="E109" s="728"/>
      <c r="I109" s="728"/>
      <c r="J109" s="728"/>
      <c r="K109" s="728"/>
    </row>
    <row r="110" spans="1:11" s="360" customFormat="1" ht="21" customHeight="1">
      <c r="B110" s="232"/>
      <c r="C110" s="361"/>
      <c r="E110" s="728"/>
      <c r="I110" s="728"/>
      <c r="J110" s="728"/>
      <c r="K110" s="728"/>
    </row>
    <row r="111" spans="1:11" ht="4" customHeight="1"/>
    <row r="112" spans="1:11" s="346" customFormat="1" ht="21" customHeight="1">
      <c r="A112" s="345" t="s">
        <v>1294</v>
      </c>
      <c r="B112" s="952" t="s">
        <v>1331</v>
      </c>
      <c r="C112" s="952"/>
      <c r="E112" s="724"/>
      <c r="I112" s="724"/>
      <c r="J112" s="724"/>
      <c r="K112" s="724"/>
    </row>
    <row r="113" spans="1:11" s="346" customFormat="1" ht="21" customHeight="1">
      <c r="A113" s="345" t="s">
        <v>1296</v>
      </c>
      <c r="B113" s="951" t="s">
        <v>1297</v>
      </c>
      <c r="C113" s="951"/>
      <c r="E113" s="724"/>
      <c r="I113" s="724"/>
      <c r="J113" s="724"/>
      <c r="K113" s="724"/>
    </row>
    <row r="115" spans="1:11" s="242" customFormat="1" ht="34" customHeight="1">
      <c r="A115" s="347" t="s">
        <v>1298</v>
      </c>
      <c r="B115" s="347" t="s">
        <v>1299</v>
      </c>
      <c r="C115" s="347" t="s">
        <v>1300</v>
      </c>
      <c r="D115" s="347" t="s">
        <v>1301</v>
      </c>
      <c r="E115" s="347" t="s">
        <v>1920</v>
      </c>
      <c r="F115" s="347" t="s">
        <v>1302</v>
      </c>
    </row>
    <row r="116" spans="1:11" s="351" customFormat="1" ht="19" customHeight="1">
      <c r="A116" s="348" t="s">
        <v>1303</v>
      </c>
      <c r="B116" s="349">
        <v>189</v>
      </c>
      <c r="C116" s="350">
        <v>1183</v>
      </c>
      <c r="D116" s="350">
        <f>1700-C116+3</f>
        <v>520</v>
      </c>
      <c r="E116" s="725">
        <f>(C116+D116)/B116</f>
        <v>9.0105820105820111</v>
      </c>
      <c r="F116" s="349"/>
      <c r="I116" s="279"/>
      <c r="J116" s="279"/>
      <c r="K116" s="279"/>
    </row>
    <row r="117" spans="1:11" s="351" customFormat="1" ht="19" customHeight="1">
      <c r="A117" s="352" t="s">
        <v>1305</v>
      </c>
      <c r="B117" s="353">
        <v>153</v>
      </c>
      <c r="C117" s="354">
        <v>1081</v>
      </c>
      <c r="D117" s="354">
        <f>1900-C117+1</f>
        <v>820</v>
      </c>
      <c r="E117" s="726">
        <f>(C117+D117)/B117</f>
        <v>12.42483660130719</v>
      </c>
      <c r="F117" s="353"/>
      <c r="I117" s="279"/>
      <c r="J117" s="279"/>
      <c r="K117" s="279"/>
    </row>
    <row r="118" spans="1:11" s="351" customFormat="1" ht="19" customHeight="1">
      <c r="A118" s="348"/>
      <c r="B118" s="349"/>
      <c r="C118" s="350"/>
      <c r="D118" s="350"/>
      <c r="E118" s="725"/>
      <c r="F118" s="349"/>
      <c r="I118" s="279"/>
      <c r="J118" s="279"/>
      <c r="K118" s="279"/>
    </row>
    <row r="119" spans="1:11" s="351" customFormat="1" ht="19" customHeight="1">
      <c r="A119" s="352"/>
      <c r="B119" s="353"/>
      <c r="C119" s="354"/>
      <c r="D119" s="354"/>
      <c r="E119" s="726"/>
      <c r="F119" s="353"/>
      <c r="I119" s="279"/>
      <c r="J119" s="279"/>
      <c r="K119" s="279"/>
    </row>
    <row r="120" spans="1:11" s="351" customFormat="1" ht="19" customHeight="1">
      <c r="A120" s="348" t="s">
        <v>1307</v>
      </c>
      <c r="B120" s="349">
        <v>220</v>
      </c>
      <c r="C120" s="350">
        <v>1423</v>
      </c>
      <c r="D120" s="350">
        <f>2100+200+200-C120+3</f>
        <v>1080</v>
      </c>
      <c r="E120" s="725">
        <f t="shared" ref="E120:E128" si="7">(C120+D120)/B120</f>
        <v>11.377272727272727</v>
      </c>
      <c r="F120" s="349"/>
      <c r="I120" s="279"/>
      <c r="J120" s="279"/>
      <c r="K120" s="279"/>
    </row>
    <row r="121" spans="1:11" s="351" customFormat="1" ht="19" customHeight="1">
      <c r="A121" s="352" t="s">
        <v>1309</v>
      </c>
      <c r="B121" s="353">
        <v>230.5</v>
      </c>
      <c r="C121" s="354">
        <v>1306</v>
      </c>
      <c r="D121" s="354">
        <f>1600+400-C121+1</f>
        <v>695</v>
      </c>
      <c r="E121" s="726">
        <f t="shared" si="7"/>
        <v>8.6811279826464212</v>
      </c>
      <c r="F121" s="353"/>
      <c r="I121" s="279"/>
      <c r="J121" s="279"/>
      <c r="K121" s="279"/>
    </row>
    <row r="122" spans="1:11" s="351" customFormat="1" ht="19" customHeight="1">
      <c r="A122" s="348" t="s">
        <v>1310</v>
      </c>
      <c r="B122" s="349">
        <v>207.5</v>
      </c>
      <c r="C122" s="350">
        <v>841</v>
      </c>
      <c r="D122" s="350">
        <f>1600+400-C122+1</f>
        <v>1160</v>
      </c>
      <c r="E122" s="725">
        <f t="shared" si="7"/>
        <v>9.6433734939759042</v>
      </c>
      <c r="F122" s="349"/>
      <c r="I122" s="279"/>
      <c r="J122" s="279"/>
      <c r="K122" s="279"/>
    </row>
    <row r="123" spans="1:11" s="351" customFormat="1" ht="19" customHeight="1">
      <c r="A123" s="355" t="s">
        <v>1312</v>
      </c>
      <c r="B123" s="353">
        <v>95.5</v>
      </c>
      <c r="C123" s="354">
        <f>36*3+72</f>
        <v>180</v>
      </c>
      <c r="D123" s="354">
        <f>B123*12-C123-1</f>
        <v>965</v>
      </c>
      <c r="E123" s="726">
        <f t="shared" si="7"/>
        <v>11.989528795811518</v>
      </c>
      <c r="F123" s="604" t="s">
        <v>1332</v>
      </c>
      <c r="I123" s="279"/>
      <c r="J123" s="279"/>
      <c r="K123" s="279"/>
    </row>
    <row r="124" spans="1:11" s="351" customFormat="1" ht="19" customHeight="1">
      <c r="A124" s="348" t="s">
        <v>1313</v>
      </c>
      <c r="B124" s="349">
        <v>83.5</v>
      </c>
      <c r="C124" s="350">
        <v>425</v>
      </c>
      <c r="D124" s="350">
        <f>B124*8-C124+2</f>
        <v>245</v>
      </c>
      <c r="E124" s="725">
        <f t="shared" si="7"/>
        <v>8.023952095808383</v>
      </c>
      <c r="F124" s="349"/>
      <c r="I124" s="279"/>
      <c r="J124" s="279"/>
      <c r="K124" s="279"/>
    </row>
    <row r="125" spans="1:11" s="351" customFormat="1" ht="19" customHeight="1">
      <c r="A125" s="355" t="s">
        <v>1327</v>
      </c>
      <c r="B125" s="353">
        <v>18</v>
      </c>
      <c r="C125" s="354">
        <v>72</v>
      </c>
      <c r="D125" s="606">
        <f>B125*10-C125+2</f>
        <v>110</v>
      </c>
      <c r="E125" s="726">
        <f t="shared" si="7"/>
        <v>10.111111111111111</v>
      </c>
      <c r="F125" s="604" t="s">
        <v>1333</v>
      </c>
      <c r="I125" s="279"/>
      <c r="J125" s="279"/>
      <c r="K125" s="279"/>
    </row>
    <row r="126" spans="1:11" s="351" customFormat="1" ht="19" customHeight="1">
      <c r="A126" s="348" t="s">
        <v>1321</v>
      </c>
      <c r="B126" s="349">
        <v>65</v>
      </c>
      <c r="C126" s="350"/>
      <c r="D126" s="350">
        <f>B126*10</f>
        <v>650</v>
      </c>
      <c r="E126" s="725">
        <f t="shared" si="7"/>
        <v>10</v>
      </c>
      <c r="F126" s="349"/>
      <c r="I126" s="279"/>
      <c r="J126" s="279"/>
      <c r="K126" s="279"/>
    </row>
    <row r="127" spans="1:11" s="351" customFormat="1" ht="19" customHeight="1">
      <c r="A127" s="355" t="s">
        <v>1334</v>
      </c>
      <c r="B127" s="353">
        <v>45</v>
      </c>
      <c r="C127" s="354">
        <v>108</v>
      </c>
      <c r="D127" s="354">
        <f>B127*9-C127+3</f>
        <v>300</v>
      </c>
      <c r="E127" s="726">
        <f t="shared" si="7"/>
        <v>9.0666666666666664</v>
      </c>
      <c r="F127" s="604" t="s">
        <v>1335</v>
      </c>
      <c r="I127" s="279"/>
      <c r="J127" s="279"/>
      <c r="K127" s="279"/>
    </row>
    <row r="128" spans="1:11" s="351" customFormat="1" ht="19" customHeight="1">
      <c r="A128" s="348" t="s">
        <v>1336</v>
      </c>
      <c r="B128" s="349">
        <v>18.5</v>
      </c>
      <c r="C128" s="350">
        <v>36</v>
      </c>
      <c r="D128" s="614">
        <f>B128*10-C128</f>
        <v>149</v>
      </c>
      <c r="E128" s="725">
        <f t="shared" si="7"/>
        <v>10</v>
      </c>
      <c r="F128" s="605" t="s">
        <v>1337</v>
      </c>
      <c r="I128" s="279"/>
      <c r="J128" s="279"/>
      <c r="K128" s="279"/>
    </row>
    <row r="129" spans="1:11" s="351" customFormat="1" ht="19" customHeight="1">
      <c r="A129" s="352"/>
      <c r="B129" s="353"/>
      <c r="C129" s="354"/>
      <c r="D129" s="354"/>
      <c r="E129" s="726"/>
      <c r="F129" s="353"/>
      <c r="I129" s="279"/>
      <c r="J129" s="279"/>
      <c r="K129" s="279"/>
    </row>
    <row r="130" spans="1:11" s="351" customFormat="1" ht="19" customHeight="1">
      <c r="A130" s="348"/>
      <c r="B130" s="349"/>
      <c r="C130" s="350"/>
      <c r="D130" s="350"/>
      <c r="E130" s="725"/>
      <c r="F130" s="349"/>
      <c r="I130" s="279"/>
      <c r="J130" s="279"/>
      <c r="K130" s="279"/>
    </row>
    <row r="131" spans="1:11" s="351" customFormat="1" ht="19" customHeight="1">
      <c r="A131" s="352"/>
      <c r="B131" s="353"/>
      <c r="C131" s="354"/>
      <c r="D131" s="354"/>
      <c r="E131" s="726"/>
      <c r="F131" s="353"/>
      <c r="I131" s="279"/>
      <c r="J131" s="279"/>
      <c r="K131" s="279"/>
    </row>
    <row r="132" spans="1:11" s="351" customFormat="1" ht="19" customHeight="1">
      <c r="A132" s="348" t="s">
        <v>1315</v>
      </c>
      <c r="B132" s="349"/>
      <c r="C132" s="350"/>
      <c r="D132" s="350"/>
      <c r="E132" s="725"/>
      <c r="F132" s="349"/>
      <c r="I132" s="279"/>
      <c r="J132" s="279"/>
      <c r="K132" s="279"/>
    </row>
    <row r="133" spans="1:11" s="351" customFormat="1" ht="19" customHeight="1">
      <c r="A133" s="352" t="s">
        <v>1316</v>
      </c>
      <c r="B133" s="353"/>
      <c r="C133" s="354"/>
      <c r="D133" s="354"/>
      <c r="E133" s="726"/>
      <c r="F133" s="353"/>
      <c r="I133" s="279"/>
      <c r="J133" s="279"/>
      <c r="K133" s="279"/>
    </row>
    <row r="134" spans="1:11" s="359" customFormat="1" ht="10" customHeight="1">
      <c r="A134" s="356"/>
      <c r="B134" s="357"/>
      <c r="C134" s="358"/>
      <c r="D134" s="357"/>
      <c r="E134" s="357"/>
      <c r="F134" s="357"/>
      <c r="I134" s="364"/>
      <c r="J134" s="364"/>
      <c r="K134" s="364"/>
    </row>
    <row r="135" spans="1:11" s="360" customFormat="1" ht="23" customHeight="1">
      <c r="A135" s="360" t="s">
        <v>1317</v>
      </c>
      <c r="C135" s="361">
        <f>SUM(C116:C133)</f>
        <v>6655</v>
      </c>
      <c r="D135" s="361">
        <f>SUM(D116:D133)</f>
        <v>6694</v>
      </c>
      <c r="E135" s="727"/>
      <c r="I135" s="728"/>
      <c r="J135" s="728"/>
      <c r="K135" s="728"/>
    </row>
    <row r="136" spans="1:11" s="360" customFormat="1" ht="23" customHeight="1">
      <c r="A136" s="360" t="s">
        <v>250</v>
      </c>
      <c r="B136" s="232"/>
      <c r="C136" s="361">
        <f>3193.53+39.82</f>
        <v>3233.3500000000004</v>
      </c>
      <c r="E136" s="728"/>
      <c r="I136" s="728"/>
      <c r="J136" s="728"/>
      <c r="K136" s="728"/>
    </row>
    <row r="137" spans="1:11" s="360" customFormat="1" ht="23" customHeight="1">
      <c r="A137" s="360" t="s">
        <v>130</v>
      </c>
      <c r="B137" s="232"/>
      <c r="C137" s="361">
        <f>C135+C136+D135</f>
        <v>16582.349999999999</v>
      </c>
      <c r="E137" s="728"/>
      <c r="I137" s="728"/>
      <c r="J137" s="728"/>
      <c r="K137" s="728"/>
    </row>
    <row r="138" spans="1:11" s="360" customFormat="1" ht="21" customHeight="1">
      <c r="B138" s="232"/>
      <c r="C138" s="361"/>
      <c r="E138" s="728"/>
      <c r="I138" s="728"/>
      <c r="J138" s="728"/>
      <c r="K138" s="728"/>
    </row>
    <row r="139" spans="1:11" s="346" customFormat="1" ht="21" customHeight="1">
      <c r="A139" s="345" t="s">
        <v>1294</v>
      </c>
      <c r="B139" s="952" t="s">
        <v>1338</v>
      </c>
      <c r="C139" s="952"/>
      <c r="E139" s="724"/>
      <c r="I139" s="724"/>
      <c r="J139" s="724"/>
      <c r="K139" s="724"/>
    </row>
    <row r="140" spans="1:11" s="346" customFormat="1" ht="21" customHeight="1">
      <c r="A140" s="345" t="s">
        <v>1296</v>
      </c>
      <c r="B140" s="951" t="s">
        <v>1297</v>
      </c>
      <c r="C140" s="951"/>
      <c r="E140" s="724"/>
      <c r="I140" s="724"/>
      <c r="J140" s="724"/>
      <c r="K140" s="724"/>
    </row>
    <row r="142" spans="1:11" s="242" customFormat="1" ht="34" customHeight="1">
      <c r="A142" s="347" t="s">
        <v>1298</v>
      </c>
      <c r="B142" s="347" t="s">
        <v>1299</v>
      </c>
      <c r="C142" s="347" t="s">
        <v>1300</v>
      </c>
      <c r="D142" s="347" t="s">
        <v>1301</v>
      </c>
      <c r="E142" s="347" t="s">
        <v>1920</v>
      </c>
      <c r="F142" s="347" t="s">
        <v>1302</v>
      </c>
    </row>
    <row r="143" spans="1:11" s="351" customFormat="1" ht="19" customHeight="1">
      <c r="A143" s="348" t="s">
        <v>1303</v>
      </c>
      <c r="B143" s="349">
        <v>208</v>
      </c>
      <c r="C143" s="350">
        <v>1243</v>
      </c>
      <c r="D143" s="350">
        <f>1750-C143+3</f>
        <v>510</v>
      </c>
      <c r="E143" s="725">
        <f>(C143+D143)/B143</f>
        <v>8.427884615384615</v>
      </c>
      <c r="F143" s="349"/>
      <c r="I143" s="279"/>
      <c r="J143" s="279"/>
      <c r="K143" s="279"/>
    </row>
    <row r="144" spans="1:11" s="351" customFormat="1" ht="19" customHeight="1">
      <c r="A144" s="352" t="s">
        <v>1305</v>
      </c>
      <c r="B144" s="353">
        <v>202</v>
      </c>
      <c r="C144" s="354">
        <v>1219</v>
      </c>
      <c r="D144" s="354">
        <f>1750-C144+4</f>
        <v>535</v>
      </c>
      <c r="E144" s="726">
        <f>(C144+D144)/B144</f>
        <v>8.6831683168316829</v>
      </c>
      <c r="F144" s="353"/>
      <c r="I144" s="279"/>
      <c r="J144" s="279"/>
      <c r="K144" s="279"/>
    </row>
    <row r="145" spans="1:11" s="351" customFormat="1" ht="19" customHeight="1">
      <c r="A145" s="348" t="s">
        <v>1339</v>
      </c>
      <c r="B145" s="349">
        <v>35</v>
      </c>
      <c r="C145" s="350">
        <v>0</v>
      </c>
      <c r="D145" s="350">
        <v>350</v>
      </c>
      <c r="E145" s="725">
        <f t="shared" ref="E145:E153" si="8">(C145+D145)/B145</f>
        <v>10</v>
      </c>
      <c r="F145" s="349"/>
      <c r="I145" s="279"/>
      <c r="J145" s="279"/>
      <c r="K145" s="279"/>
    </row>
    <row r="146" spans="1:11" s="351" customFormat="1" ht="19" customHeight="1">
      <c r="A146" s="352"/>
      <c r="B146" s="353"/>
      <c r="C146" s="354"/>
      <c r="D146" s="354"/>
      <c r="E146" s="726"/>
      <c r="F146" s="353"/>
      <c r="I146" s="279"/>
      <c r="J146" s="279"/>
      <c r="K146" s="279"/>
    </row>
    <row r="147" spans="1:11" s="351" customFormat="1" ht="19" customHeight="1">
      <c r="A147" s="348" t="s">
        <v>1307</v>
      </c>
      <c r="B147" s="349">
        <v>234.5</v>
      </c>
      <c r="C147" s="350">
        <v>1448</v>
      </c>
      <c r="D147" s="350">
        <f>2600-C147+3</f>
        <v>1155</v>
      </c>
      <c r="E147" s="725">
        <f t="shared" si="8"/>
        <v>11.100213219616204</v>
      </c>
      <c r="F147" s="349"/>
      <c r="I147" s="279"/>
      <c r="J147" s="279"/>
      <c r="K147" s="279"/>
    </row>
    <row r="148" spans="1:11" s="351" customFormat="1" ht="19" customHeight="1">
      <c r="A148" s="352" t="s">
        <v>1309</v>
      </c>
      <c r="B148" s="353">
        <v>198.5</v>
      </c>
      <c r="C148" s="354">
        <v>1211</v>
      </c>
      <c r="D148" s="354">
        <f>1750-C148+1</f>
        <v>540</v>
      </c>
      <c r="E148" s="726">
        <f t="shared" si="8"/>
        <v>8.8211586901763219</v>
      </c>
      <c r="F148" s="353"/>
      <c r="I148" s="279"/>
      <c r="J148" s="279"/>
      <c r="K148" s="279"/>
    </row>
    <row r="149" spans="1:11" s="351" customFormat="1" ht="19" customHeight="1">
      <c r="A149" s="348" t="s">
        <v>1310</v>
      </c>
      <c r="B149" s="349">
        <v>228.5</v>
      </c>
      <c r="C149" s="350">
        <v>947</v>
      </c>
      <c r="D149" s="350">
        <f>2000-C149+2</f>
        <v>1055</v>
      </c>
      <c r="E149" s="725">
        <f t="shared" si="8"/>
        <v>8.7614879649890582</v>
      </c>
      <c r="F149" s="349"/>
      <c r="I149" s="279"/>
      <c r="J149" s="279"/>
      <c r="K149" s="279"/>
    </row>
    <row r="150" spans="1:11" s="351" customFormat="1" ht="19" customHeight="1">
      <c r="A150" s="355" t="s">
        <v>1312</v>
      </c>
      <c r="B150" s="353">
        <v>77.5</v>
      </c>
      <c r="C150" s="354">
        <v>0</v>
      </c>
      <c r="D150" s="354">
        <v>930</v>
      </c>
      <c r="E150" s="726">
        <f t="shared" si="8"/>
        <v>12</v>
      </c>
      <c r="F150" s="353" t="s">
        <v>1340</v>
      </c>
      <c r="I150" s="279"/>
      <c r="J150" s="279"/>
      <c r="K150" s="279"/>
    </row>
    <row r="151" spans="1:11" s="351" customFormat="1" ht="19" customHeight="1">
      <c r="A151" s="348" t="s">
        <v>1313</v>
      </c>
      <c r="B151" s="349">
        <v>83</v>
      </c>
      <c r="C151" s="350">
        <v>571</v>
      </c>
      <c r="D151" s="350">
        <f>B151*8-C151+2</f>
        <v>95</v>
      </c>
      <c r="E151" s="725">
        <f t="shared" si="8"/>
        <v>8.024096385542169</v>
      </c>
      <c r="F151" s="349"/>
      <c r="I151" s="279"/>
      <c r="J151" s="279"/>
      <c r="K151" s="279"/>
    </row>
    <row r="152" spans="1:11" s="351" customFormat="1" ht="19" customHeight="1">
      <c r="A152" s="355" t="s">
        <v>1327</v>
      </c>
      <c r="B152" s="353">
        <v>83.5</v>
      </c>
      <c r="C152" s="354"/>
      <c r="D152" s="354">
        <f>B152*12-150+3</f>
        <v>855</v>
      </c>
      <c r="E152" s="726">
        <f t="shared" si="8"/>
        <v>10.239520958083832</v>
      </c>
      <c r="F152" s="353" t="s">
        <v>1341</v>
      </c>
      <c r="I152" s="279"/>
      <c r="J152" s="279"/>
      <c r="K152" s="279"/>
    </row>
    <row r="153" spans="1:11" s="351" customFormat="1" ht="19" customHeight="1">
      <c r="A153" s="348" t="s">
        <v>1321</v>
      </c>
      <c r="B153" s="349">
        <v>55</v>
      </c>
      <c r="C153" s="350">
        <v>79</v>
      </c>
      <c r="D153" s="350">
        <f>B153*12-C153-1</f>
        <v>580</v>
      </c>
      <c r="E153" s="725">
        <f t="shared" si="8"/>
        <v>11.981818181818182</v>
      </c>
      <c r="F153" s="349"/>
      <c r="I153" s="279"/>
      <c r="J153" s="279"/>
      <c r="K153" s="279"/>
    </row>
    <row r="154" spans="1:11" s="351" customFormat="1" ht="19" customHeight="1">
      <c r="A154" s="355" t="s">
        <v>1334</v>
      </c>
      <c r="B154" s="353">
        <v>0</v>
      </c>
      <c r="C154" s="354"/>
      <c r="D154" s="354"/>
      <c r="E154" s="726"/>
      <c r="F154" s="353" t="s">
        <v>428</v>
      </c>
      <c r="I154" s="279"/>
      <c r="J154" s="279"/>
      <c r="K154" s="279"/>
    </row>
    <row r="155" spans="1:11" s="351" customFormat="1" ht="19" customHeight="1">
      <c r="A155" s="348" t="s">
        <v>1336</v>
      </c>
      <c r="B155" s="349">
        <v>0</v>
      </c>
      <c r="C155" s="350"/>
      <c r="D155" s="350"/>
      <c r="E155" s="725"/>
      <c r="F155" s="349"/>
      <c r="I155" s="279"/>
      <c r="J155" s="279"/>
      <c r="K155" s="279"/>
    </row>
    <row r="156" spans="1:11" s="351" customFormat="1" ht="19" customHeight="1">
      <c r="A156" s="352"/>
      <c r="B156" s="353"/>
      <c r="C156" s="354"/>
      <c r="D156" s="354"/>
      <c r="E156" s="726"/>
      <c r="F156" s="353"/>
      <c r="I156" s="279"/>
      <c r="J156" s="279"/>
      <c r="K156" s="279"/>
    </row>
    <row r="157" spans="1:11" s="351" customFormat="1" ht="19" customHeight="1">
      <c r="A157" s="348"/>
      <c r="B157" s="349"/>
      <c r="C157" s="350"/>
      <c r="D157" s="350"/>
      <c r="E157" s="725"/>
      <c r="F157" s="349"/>
      <c r="I157" s="279"/>
      <c r="J157" s="279"/>
      <c r="K157" s="279"/>
    </row>
    <row r="158" spans="1:11" s="351" customFormat="1" ht="19" customHeight="1">
      <c r="A158" s="352"/>
      <c r="B158" s="353"/>
      <c r="C158" s="354"/>
      <c r="D158" s="354"/>
      <c r="E158" s="726"/>
      <c r="F158" s="353"/>
      <c r="I158" s="279"/>
      <c r="J158" s="279"/>
      <c r="K158" s="279"/>
    </row>
    <row r="159" spans="1:11" s="351" customFormat="1" ht="19" customHeight="1">
      <c r="A159" s="348" t="s">
        <v>1315</v>
      </c>
      <c r="B159" s="349"/>
      <c r="C159" s="350"/>
      <c r="D159" s="350"/>
      <c r="E159" s="725"/>
      <c r="F159" s="349"/>
      <c r="I159" s="279"/>
      <c r="J159" s="279"/>
      <c r="K159" s="279"/>
    </row>
    <row r="160" spans="1:11" s="351" customFormat="1" ht="19" customHeight="1">
      <c r="A160" s="352" t="s">
        <v>1316</v>
      </c>
      <c r="B160" s="353"/>
      <c r="C160" s="354"/>
      <c r="D160" s="354"/>
      <c r="E160" s="726"/>
      <c r="F160" s="353"/>
      <c r="I160" s="279"/>
      <c r="J160" s="279"/>
      <c r="K160" s="279"/>
    </row>
    <row r="161" spans="1:11" s="359" customFormat="1" ht="10" customHeight="1">
      <c r="A161" s="356"/>
      <c r="B161" s="357"/>
      <c r="C161" s="358"/>
      <c r="D161" s="357"/>
      <c r="E161" s="357"/>
      <c r="F161" s="357"/>
      <c r="I161" s="364"/>
      <c r="J161" s="364"/>
      <c r="K161" s="364"/>
    </row>
    <row r="162" spans="1:11" s="360" customFormat="1" ht="23" customHeight="1">
      <c r="A162" s="360" t="s">
        <v>1317</v>
      </c>
      <c r="C162" s="361">
        <f>SUM(C143:C160)</f>
        <v>6718</v>
      </c>
      <c r="D162" s="361">
        <f>SUM(D143:D160)</f>
        <v>6605</v>
      </c>
      <c r="E162" s="727"/>
      <c r="I162" s="728"/>
      <c r="J162" s="728"/>
      <c r="K162" s="728"/>
    </row>
    <row r="163" spans="1:11" s="360" customFormat="1" ht="23" customHeight="1">
      <c r="A163" s="360" t="s">
        <v>250</v>
      </c>
      <c r="B163" s="232"/>
      <c r="C163" s="361">
        <f>3326+39.81</f>
        <v>3365.81</v>
      </c>
      <c r="E163" s="728"/>
      <c r="I163" s="728"/>
      <c r="J163" s="728"/>
      <c r="K163" s="728"/>
    </row>
    <row r="164" spans="1:11" s="360" customFormat="1" ht="23" customHeight="1">
      <c r="A164" s="360" t="s">
        <v>130</v>
      </c>
      <c r="B164" s="232"/>
      <c r="C164" s="361">
        <f>C162+C163+D162</f>
        <v>16688.809999999998</v>
      </c>
      <c r="E164" s="728"/>
      <c r="I164" s="728"/>
      <c r="J164" s="728"/>
      <c r="K164" s="728"/>
    </row>
    <row r="165" spans="1:11" s="360" customFormat="1" ht="21" customHeight="1">
      <c r="B165" s="232"/>
      <c r="C165" s="361"/>
      <c r="E165" s="728"/>
      <c r="I165" s="728"/>
      <c r="J165" s="728"/>
      <c r="K165" s="728"/>
    </row>
    <row r="166" spans="1:11" ht="4" customHeight="1"/>
    <row r="167" spans="1:11" s="346" customFormat="1" ht="21" customHeight="1">
      <c r="A167" s="345" t="s">
        <v>1294</v>
      </c>
      <c r="B167" s="952" t="s">
        <v>1342</v>
      </c>
      <c r="C167" s="952"/>
      <c r="E167" s="724"/>
      <c r="I167" s="724"/>
      <c r="J167" s="724"/>
      <c r="K167" s="724"/>
    </row>
    <row r="168" spans="1:11" s="346" customFormat="1" ht="21" customHeight="1">
      <c r="A168" s="345" t="s">
        <v>1296</v>
      </c>
      <c r="B168" s="951" t="s">
        <v>1297</v>
      </c>
      <c r="C168" s="951"/>
      <c r="E168" s="724"/>
      <c r="I168" s="724"/>
      <c r="J168" s="724"/>
      <c r="K168" s="724"/>
    </row>
    <row r="170" spans="1:11" s="242" customFormat="1" ht="34" customHeight="1">
      <c r="A170" s="347" t="s">
        <v>1298</v>
      </c>
      <c r="B170" s="347" t="s">
        <v>1299</v>
      </c>
      <c r="C170" s="347" t="s">
        <v>1300</v>
      </c>
      <c r="D170" s="347" t="s">
        <v>1301</v>
      </c>
      <c r="E170" s="347" t="s">
        <v>1920</v>
      </c>
      <c r="F170" s="347" t="s">
        <v>1302</v>
      </c>
    </row>
    <row r="171" spans="1:11" s="351" customFormat="1" ht="19" customHeight="1">
      <c r="A171" s="348" t="s">
        <v>1303</v>
      </c>
      <c r="B171" s="349">
        <v>180</v>
      </c>
      <c r="C171" s="350">
        <v>1506</v>
      </c>
      <c r="D171" s="350">
        <f>1750-C171+239+2</f>
        <v>485</v>
      </c>
      <c r="E171" s="725">
        <f>(C171+D171)/B171</f>
        <v>11.061111111111112</v>
      </c>
      <c r="F171" s="349" t="s">
        <v>1343</v>
      </c>
      <c r="I171" s="279"/>
      <c r="J171" s="279"/>
      <c r="K171" s="279"/>
    </row>
    <row r="172" spans="1:11" s="351" customFormat="1" ht="19" customHeight="1">
      <c r="A172" s="352" t="s">
        <v>1305</v>
      </c>
      <c r="B172" s="353">
        <v>176</v>
      </c>
      <c r="C172" s="354">
        <v>1217</v>
      </c>
      <c r="D172" s="354">
        <f>B172*8-C172-1</f>
        <v>190</v>
      </c>
      <c r="E172" s="726">
        <f>(C172+D172)/B172</f>
        <v>7.9943181818181817</v>
      </c>
      <c r="F172" s="631"/>
      <c r="I172" s="279"/>
      <c r="J172" s="279"/>
      <c r="K172" s="279"/>
    </row>
    <row r="173" spans="1:11" s="351" customFormat="1" ht="19" customHeight="1">
      <c r="A173" s="348" t="s">
        <v>1339</v>
      </c>
      <c r="B173" s="349">
        <v>98</v>
      </c>
      <c r="C173" s="350">
        <v>641</v>
      </c>
      <c r="D173" s="350">
        <v>350</v>
      </c>
      <c r="E173" s="725">
        <f t="shared" ref="E173:E181" si="9">(C173+D173)/B173</f>
        <v>10.112244897959183</v>
      </c>
      <c r="F173" s="349"/>
      <c r="I173" s="279"/>
      <c r="J173" s="279"/>
      <c r="K173" s="279"/>
    </row>
    <row r="174" spans="1:11" s="351" customFormat="1" ht="19" customHeight="1">
      <c r="A174" s="352"/>
      <c r="B174" s="353"/>
      <c r="C174" s="354"/>
      <c r="D174" s="354"/>
      <c r="E174" s="726"/>
      <c r="F174" s="353"/>
      <c r="I174" s="279"/>
      <c r="J174" s="279"/>
      <c r="K174" s="279"/>
    </row>
    <row r="175" spans="1:11" s="351" customFormat="1" ht="19" customHeight="1">
      <c r="A175" s="348" t="s">
        <v>1307</v>
      </c>
      <c r="B175" s="349">
        <v>206.5</v>
      </c>
      <c r="C175" s="350">
        <v>1481</v>
      </c>
      <c r="D175" s="350">
        <f>2400-C175+1</f>
        <v>920</v>
      </c>
      <c r="E175" s="725">
        <f t="shared" si="9"/>
        <v>11.627118644067796</v>
      </c>
      <c r="F175" s="349"/>
      <c r="I175" s="279"/>
      <c r="J175" s="279"/>
      <c r="K175" s="279"/>
    </row>
    <row r="176" spans="1:11" s="351" customFormat="1" ht="19" customHeight="1">
      <c r="A176" s="352" t="s">
        <v>1309</v>
      </c>
      <c r="B176" s="353">
        <v>206.5</v>
      </c>
      <c r="C176" s="354">
        <v>1357</v>
      </c>
      <c r="D176" s="354">
        <f>1800-C176+2</f>
        <v>445</v>
      </c>
      <c r="E176" s="726">
        <f t="shared" si="9"/>
        <v>8.7263922518159802</v>
      </c>
      <c r="F176" s="353"/>
      <c r="I176" s="279"/>
      <c r="J176" s="279"/>
      <c r="K176" s="279"/>
    </row>
    <row r="177" spans="1:11" s="351" customFormat="1" ht="19" customHeight="1">
      <c r="A177" s="348" t="s">
        <v>1310</v>
      </c>
      <c r="B177" s="349">
        <v>214.5</v>
      </c>
      <c r="C177" s="350">
        <v>1030</v>
      </c>
      <c r="D177" s="350">
        <f>1800-C177</f>
        <v>770</v>
      </c>
      <c r="E177" s="725">
        <f t="shared" si="9"/>
        <v>8.3916083916083917</v>
      </c>
      <c r="F177" s="349"/>
      <c r="I177" s="279"/>
      <c r="J177" s="279"/>
      <c r="K177" s="279"/>
    </row>
    <row r="178" spans="1:11" s="351" customFormat="1" ht="19" customHeight="1">
      <c r="A178" s="355" t="s">
        <v>1344</v>
      </c>
      <c r="B178" s="353">
        <f>57+17.5</f>
        <v>74.5</v>
      </c>
      <c r="C178" s="354">
        <v>150</v>
      </c>
      <c r="D178" s="354">
        <f>B178*10-C178</f>
        <v>595</v>
      </c>
      <c r="E178" s="726">
        <f t="shared" si="9"/>
        <v>10</v>
      </c>
      <c r="F178" s="353" t="s">
        <v>1345</v>
      </c>
      <c r="I178" s="279"/>
      <c r="J178" s="279"/>
      <c r="K178" s="279"/>
    </row>
    <row r="179" spans="1:11" s="351" customFormat="1" ht="19" customHeight="1">
      <c r="A179" s="348" t="s">
        <v>1313</v>
      </c>
      <c r="B179" s="349">
        <v>185.5</v>
      </c>
      <c r="C179" s="350">
        <v>1162</v>
      </c>
      <c r="D179" s="350">
        <f>B179*8-C179+3</f>
        <v>325</v>
      </c>
      <c r="E179" s="725">
        <f t="shared" si="9"/>
        <v>8.0161725067385436</v>
      </c>
      <c r="F179" s="723"/>
      <c r="I179" s="279"/>
      <c r="J179" s="279"/>
      <c r="K179" s="279"/>
    </row>
    <row r="180" spans="1:11" s="351" customFormat="1" ht="19" customHeight="1">
      <c r="A180" s="355" t="s">
        <v>1334</v>
      </c>
      <c r="B180" s="353">
        <v>24.5</v>
      </c>
      <c r="C180" s="354">
        <v>50</v>
      </c>
      <c r="D180" s="354">
        <f>B180*10-C180</f>
        <v>195</v>
      </c>
      <c r="E180" s="726">
        <f t="shared" si="9"/>
        <v>10</v>
      </c>
      <c r="F180" s="353" t="s">
        <v>1346</v>
      </c>
      <c r="I180" s="279"/>
      <c r="J180" s="279"/>
      <c r="K180" s="279"/>
    </row>
    <row r="181" spans="1:11" s="351" customFormat="1" ht="19" customHeight="1">
      <c r="A181" s="348" t="s">
        <v>1321</v>
      </c>
      <c r="B181" s="349">
        <v>48</v>
      </c>
      <c r="C181" s="350">
        <v>405</v>
      </c>
      <c r="D181" s="350">
        <f>B181*12-C181-1</f>
        <v>170</v>
      </c>
      <c r="E181" s="725">
        <f t="shared" si="9"/>
        <v>11.979166666666666</v>
      </c>
      <c r="F181" s="349"/>
      <c r="I181" s="279"/>
      <c r="J181" s="279"/>
      <c r="K181" s="279"/>
    </row>
    <row r="182" spans="1:11" s="351" customFormat="1" ht="19" customHeight="1">
      <c r="A182" s="355"/>
      <c r="B182" s="353"/>
      <c r="C182" s="354"/>
      <c r="D182" s="354"/>
      <c r="E182" s="726"/>
      <c r="F182" s="353"/>
      <c r="I182" s="279"/>
      <c r="J182" s="279"/>
      <c r="K182" s="279"/>
    </row>
    <row r="183" spans="1:11" s="351" customFormat="1" ht="19" customHeight="1">
      <c r="A183" s="348"/>
      <c r="B183" s="349"/>
      <c r="C183" s="350"/>
      <c r="D183" s="350"/>
      <c r="E183" s="725"/>
      <c r="F183" s="349"/>
      <c r="I183" s="279"/>
      <c r="J183" s="279"/>
      <c r="K183" s="279"/>
    </row>
    <row r="184" spans="1:11" s="351" customFormat="1" ht="19" customHeight="1">
      <c r="A184" s="352"/>
      <c r="B184" s="353"/>
      <c r="C184" s="354"/>
      <c r="D184" s="354"/>
      <c r="E184" s="726"/>
      <c r="F184" s="353"/>
      <c r="I184" s="279"/>
      <c r="J184" s="279"/>
      <c r="K184" s="279"/>
    </row>
    <row r="185" spans="1:11" s="351" customFormat="1" ht="19" customHeight="1">
      <c r="A185" s="348"/>
      <c r="B185" s="349"/>
      <c r="C185" s="350"/>
      <c r="D185" s="350"/>
      <c r="E185" s="725"/>
      <c r="F185" s="349"/>
      <c r="I185" s="279"/>
      <c r="J185" s="279"/>
      <c r="K185" s="279"/>
    </row>
    <row r="186" spans="1:11" s="351" customFormat="1" ht="19" customHeight="1">
      <c r="A186" s="352"/>
      <c r="B186" s="353"/>
      <c r="C186" s="354"/>
      <c r="D186" s="354"/>
      <c r="E186" s="726"/>
      <c r="F186" s="353"/>
      <c r="I186" s="279"/>
      <c r="J186" s="279"/>
      <c r="K186" s="279"/>
    </row>
    <row r="187" spans="1:11" s="351" customFormat="1" ht="19" customHeight="1">
      <c r="A187" s="348" t="s">
        <v>1315</v>
      </c>
      <c r="B187" s="349"/>
      <c r="C187" s="350"/>
      <c r="D187" s="350"/>
      <c r="E187" s="725"/>
      <c r="F187" s="349"/>
      <c r="I187" s="279"/>
      <c r="J187" s="279"/>
      <c r="K187" s="279"/>
    </row>
    <row r="188" spans="1:11" s="351" customFormat="1" ht="19" customHeight="1">
      <c r="A188" s="352" t="s">
        <v>1316</v>
      </c>
      <c r="B188" s="353"/>
      <c r="C188" s="354"/>
      <c r="D188" s="354"/>
      <c r="E188" s="726"/>
      <c r="F188" s="353"/>
      <c r="I188" s="279"/>
      <c r="J188" s="279"/>
      <c r="K188" s="279"/>
    </row>
    <row r="189" spans="1:11" s="359" customFormat="1" ht="10" customHeight="1">
      <c r="A189" s="356"/>
      <c r="B189" s="357"/>
      <c r="C189" s="358"/>
      <c r="D189" s="357"/>
      <c r="E189" s="357"/>
      <c r="F189" s="357"/>
      <c r="I189" s="364"/>
      <c r="J189" s="364"/>
      <c r="K189" s="364"/>
    </row>
    <row r="190" spans="1:11" s="360" customFormat="1" ht="23" customHeight="1">
      <c r="A190" s="360" t="s">
        <v>1317</v>
      </c>
      <c r="C190" s="361">
        <f>SUM(C171:C188)</f>
        <v>8999</v>
      </c>
      <c r="D190" s="361">
        <f>SUM(D171:D188)</f>
        <v>4445</v>
      </c>
      <c r="E190" s="727"/>
      <c r="I190" s="728"/>
      <c r="J190" s="728"/>
      <c r="K190" s="728"/>
    </row>
    <row r="191" spans="1:11" s="360" customFormat="1" ht="23" customHeight="1">
      <c r="A191" s="360" t="s">
        <v>250</v>
      </c>
      <c r="B191" s="232"/>
      <c r="C191" s="361">
        <f>2767.77+39.8</f>
        <v>2807.57</v>
      </c>
      <c r="E191" s="728"/>
      <c r="I191" s="728"/>
      <c r="J191" s="728"/>
      <c r="K191" s="728"/>
    </row>
    <row r="192" spans="1:11" s="360" customFormat="1" ht="23" customHeight="1">
      <c r="A192" s="360" t="s">
        <v>130</v>
      </c>
      <c r="B192" s="232"/>
      <c r="C192" s="361">
        <f>C190+C191+D190</f>
        <v>16251.57</v>
      </c>
      <c r="E192" s="728"/>
      <c r="I192" s="728"/>
      <c r="J192" s="728"/>
      <c r="K192" s="728"/>
    </row>
    <row r="193" spans="1:11" s="360" customFormat="1" ht="21" customHeight="1">
      <c r="B193" s="232"/>
      <c r="C193" s="361"/>
      <c r="E193" s="728"/>
      <c r="I193" s="728"/>
      <c r="J193" s="728"/>
      <c r="K193" s="728"/>
    </row>
    <row r="194" spans="1:11" ht="4" customHeight="1"/>
    <row r="195" spans="1:11" s="346" customFormat="1" ht="21" customHeight="1">
      <c r="A195" s="345" t="s">
        <v>1294</v>
      </c>
      <c r="B195" s="952" t="s">
        <v>1347</v>
      </c>
      <c r="C195" s="952"/>
      <c r="E195" s="724"/>
      <c r="I195" s="724"/>
      <c r="J195" s="724"/>
      <c r="K195" s="724"/>
    </row>
    <row r="196" spans="1:11" s="346" customFormat="1" ht="21" customHeight="1">
      <c r="A196" s="345" t="s">
        <v>1296</v>
      </c>
      <c r="B196" s="951" t="s">
        <v>1297</v>
      </c>
      <c r="C196" s="951"/>
      <c r="E196" s="724"/>
      <c r="I196" s="724"/>
      <c r="J196" s="724"/>
      <c r="K196" s="724"/>
    </row>
    <row r="198" spans="1:11" s="242" customFormat="1" ht="34" customHeight="1">
      <c r="A198" s="347" t="s">
        <v>1298</v>
      </c>
      <c r="B198" s="347" t="s">
        <v>1299</v>
      </c>
      <c r="C198" s="347" t="s">
        <v>1300</v>
      </c>
      <c r="D198" s="347" t="s">
        <v>1301</v>
      </c>
      <c r="E198" s="347" t="s">
        <v>1920</v>
      </c>
      <c r="F198" s="347" t="s">
        <v>1302</v>
      </c>
    </row>
    <row r="199" spans="1:11" s="351" customFormat="1" ht="19" customHeight="1">
      <c r="A199" s="348" t="s">
        <v>1303</v>
      </c>
      <c r="B199" s="349">
        <v>198</v>
      </c>
      <c r="C199" s="350">
        <v>1285</v>
      </c>
      <c r="D199" s="350">
        <f>1600-C199</f>
        <v>315</v>
      </c>
      <c r="E199" s="725">
        <f>(C199+D199)/B199</f>
        <v>8.0808080808080813</v>
      </c>
      <c r="F199" s="349"/>
      <c r="I199" s="279"/>
      <c r="J199" s="279"/>
      <c r="K199" s="279"/>
    </row>
    <row r="200" spans="1:11" s="351" customFormat="1" ht="19" customHeight="1">
      <c r="A200" s="352" t="s">
        <v>1305</v>
      </c>
      <c r="B200" s="353">
        <v>164</v>
      </c>
      <c r="C200" s="354">
        <v>943</v>
      </c>
      <c r="D200" s="354">
        <f>B200*8-C200+1</f>
        <v>370</v>
      </c>
      <c r="E200" s="726">
        <f>(C200+D200)/B200</f>
        <v>8.0060975609756095</v>
      </c>
      <c r="F200" s="353"/>
      <c r="I200" s="279"/>
      <c r="J200" s="279"/>
      <c r="K200" s="279"/>
    </row>
    <row r="201" spans="1:11" s="351" customFormat="1" ht="19" customHeight="1">
      <c r="A201" s="348" t="s">
        <v>1339</v>
      </c>
      <c r="B201" s="349">
        <v>108</v>
      </c>
      <c r="C201" s="350">
        <v>690</v>
      </c>
      <c r="D201" s="350">
        <f>B201*10-C201</f>
        <v>390</v>
      </c>
      <c r="E201" s="725">
        <f t="shared" ref="E201:E209" si="10">(C201+D201)/B201</f>
        <v>10</v>
      </c>
      <c r="F201" s="349"/>
      <c r="I201" s="279"/>
      <c r="J201" s="279"/>
      <c r="K201" s="279"/>
    </row>
    <row r="202" spans="1:11" s="351" customFormat="1" ht="19" customHeight="1">
      <c r="A202" s="352"/>
      <c r="B202" s="353"/>
      <c r="C202" s="354"/>
      <c r="D202" s="354"/>
      <c r="E202" s="726"/>
      <c r="F202" s="353"/>
      <c r="I202" s="279"/>
      <c r="J202" s="279"/>
      <c r="K202" s="279"/>
    </row>
    <row r="203" spans="1:11" s="351" customFormat="1" ht="19" customHeight="1">
      <c r="A203" s="348" t="s">
        <v>1307</v>
      </c>
      <c r="B203" s="349">
        <v>188</v>
      </c>
      <c r="C203" s="350">
        <v>1444</v>
      </c>
      <c r="D203" s="350">
        <f>2100-C203-1</f>
        <v>655</v>
      </c>
      <c r="E203" s="725">
        <f t="shared" si="10"/>
        <v>11.164893617021276</v>
      </c>
      <c r="F203" s="349"/>
      <c r="I203" s="279"/>
      <c r="J203" s="279"/>
      <c r="K203" s="279"/>
    </row>
    <row r="204" spans="1:11" s="351" customFormat="1" ht="19" customHeight="1">
      <c r="A204" s="352" t="s">
        <v>1309</v>
      </c>
      <c r="B204" s="353">
        <v>191</v>
      </c>
      <c r="C204" s="354">
        <v>1293</v>
      </c>
      <c r="D204" s="354">
        <f>1700-C204+3</f>
        <v>410</v>
      </c>
      <c r="E204" s="726">
        <f t="shared" si="10"/>
        <v>8.9162303664921474</v>
      </c>
      <c r="F204" s="353"/>
      <c r="I204" s="279"/>
      <c r="J204" s="279"/>
      <c r="K204" s="279"/>
    </row>
    <row r="205" spans="1:11" s="351" customFormat="1" ht="19" customHeight="1">
      <c r="A205" s="348" t="s">
        <v>1310</v>
      </c>
      <c r="B205" s="349">
        <v>176.5</v>
      </c>
      <c r="C205" s="350">
        <v>954</v>
      </c>
      <c r="D205" s="350">
        <f>1700-C205-1</f>
        <v>745</v>
      </c>
      <c r="E205" s="725">
        <f t="shared" si="10"/>
        <v>9.6260623229461757</v>
      </c>
      <c r="F205" s="349"/>
      <c r="I205" s="279"/>
      <c r="J205" s="279"/>
      <c r="K205" s="279"/>
    </row>
    <row r="206" spans="1:11" s="351" customFormat="1" ht="19" customHeight="1">
      <c r="A206" s="355" t="s">
        <v>1344</v>
      </c>
      <c r="B206" s="353">
        <v>124</v>
      </c>
      <c r="C206" s="354">
        <v>0</v>
      </c>
      <c r="D206" s="354">
        <f>B206*10-C206</f>
        <v>1240</v>
      </c>
      <c r="E206" s="726">
        <f t="shared" si="10"/>
        <v>10</v>
      </c>
      <c r="F206" s="353"/>
      <c r="I206" s="279"/>
      <c r="J206" s="279"/>
      <c r="K206" s="279"/>
    </row>
    <row r="207" spans="1:11" s="351" customFormat="1" ht="19" customHeight="1">
      <c r="A207" s="348" t="s">
        <v>1321</v>
      </c>
      <c r="B207" s="349">
        <v>56.5</v>
      </c>
      <c r="C207" s="350">
        <v>330</v>
      </c>
      <c r="D207" s="350">
        <f>B207*12-C207+2</f>
        <v>350</v>
      </c>
      <c r="E207" s="725">
        <f t="shared" si="10"/>
        <v>12.035398230088495</v>
      </c>
      <c r="F207" s="349"/>
      <c r="I207" s="279"/>
      <c r="J207" s="279"/>
      <c r="K207" s="279"/>
    </row>
    <row r="208" spans="1:11" s="351" customFormat="1" ht="19" customHeight="1">
      <c r="A208" s="355" t="s">
        <v>1334</v>
      </c>
      <c r="B208" s="353">
        <v>4</v>
      </c>
      <c r="C208" s="354">
        <v>40</v>
      </c>
      <c r="D208" s="354">
        <v>0</v>
      </c>
      <c r="E208" s="726">
        <f t="shared" si="10"/>
        <v>10</v>
      </c>
      <c r="F208" s="353"/>
      <c r="I208" s="279"/>
      <c r="J208" s="279"/>
      <c r="K208" s="279"/>
    </row>
    <row r="209" spans="1:11" s="351" customFormat="1" ht="19" customHeight="1">
      <c r="A209" s="348" t="s">
        <v>1608</v>
      </c>
      <c r="B209" s="349">
        <v>26.5</v>
      </c>
      <c r="C209" s="350">
        <v>0</v>
      </c>
      <c r="D209" s="350">
        <f>B209*8+3</f>
        <v>215</v>
      </c>
      <c r="E209" s="725">
        <f t="shared" si="10"/>
        <v>8.1132075471698109</v>
      </c>
      <c r="F209" s="723"/>
      <c r="I209" s="279"/>
      <c r="J209" s="279"/>
      <c r="K209" s="279"/>
    </row>
    <row r="210" spans="1:11" s="351" customFormat="1" ht="19" customHeight="1">
      <c r="A210" s="355"/>
      <c r="B210" s="353"/>
      <c r="C210" s="354"/>
      <c r="D210" s="354"/>
      <c r="E210" s="726"/>
      <c r="F210" s="353"/>
      <c r="I210" s="279"/>
      <c r="J210" s="279"/>
      <c r="K210" s="279"/>
    </row>
    <row r="211" spans="1:11" s="351" customFormat="1" ht="19" customHeight="1">
      <c r="A211" s="348"/>
      <c r="B211" s="349"/>
      <c r="C211" s="363"/>
      <c r="D211" s="350"/>
      <c r="E211" s="725"/>
      <c r="F211" s="349"/>
      <c r="I211" s="279"/>
      <c r="J211" s="279"/>
      <c r="K211" s="279"/>
    </row>
    <row r="212" spans="1:11" s="351" customFormat="1" ht="19" customHeight="1">
      <c r="A212" s="352"/>
      <c r="B212" s="353"/>
      <c r="C212" s="354"/>
      <c r="D212" s="354"/>
      <c r="E212" s="726"/>
      <c r="F212" s="353"/>
      <c r="I212" s="279"/>
      <c r="J212" s="279"/>
      <c r="K212" s="279"/>
    </row>
    <row r="213" spans="1:11" s="351" customFormat="1" ht="19" customHeight="1">
      <c r="A213" s="348"/>
      <c r="B213" s="349"/>
      <c r="C213" s="350"/>
      <c r="D213" s="350"/>
      <c r="E213" s="725"/>
      <c r="F213" s="349"/>
      <c r="I213" s="279"/>
      <c r="J213" s="279"/>
      <c r="K213" s="279"/>
    </row>
    <row r="214" spans="1:11" s="351" customFormat="1" ht="19" customHeight="1">
      <c r="A214" s="352"/>
      <c r="B214" s="353"/>
      <c r="C214" s="354"/>
      <c r="D214" s="354"/>
      <c r="E214" s="726"/>
      <c r="F214" s="353"/>
      <c r="I214" s="279"/>
      <c r="J214" s="279"/>
      <c r="K214" s="279"/>
    </row>
    <row r="215" spans="1:11" s="351" customFormat="1" ht="19" customHeight="1">
      <c r="A215" s="348"/>
      <c r="B215" s="349"/>
      <c r="C215" s="350"/>
      <c r="D215" s="350"/>
      <c r="E215" s="725"/>
      <c r="F215" s="349"/>
      <c r="I215" s="279"/>
      <c r="J215" s="279"/>
      <c r="K215" s="279"/>
    </row>
    <row r="216" spans="1:11" s="351" customFormat="1" ht="19" customHeight="1">
      <c r="A216" s="352"/>
      <c r="B216" s="353"/>
      <c r="C216" s="354"/>
      <c r="D216" s="354"/>
      <c r="E216" s="726"/>
      <c r="F216" s="353"/>
      <c r="I216" s="279"/>
      <c r="J216" s="279"/>
      <c r="K216" s="279"/>
    </row>
    <row r="217" spans="1:11" s="359" customFormat="1" ht="10" customHeight="1">
      <c r="A217" s="356"/>
      <c r="B217" s="357"/>
      <c r="C217" s="358"/>
      <c r="D217" s="357"/>
      <c r="E217" s="357"/>
      <c r="F217" s="357"/>
      <c r="I217" s="364"/>
      <c r="J217" s="364"/>
      <c r="K217" s="364"/>
    </row>
    <row r="218" spans="1:11" s="360" customFormat="1" ht="23" customHeight="1">
      <c r="A218" s="360" t="s">
        <v>1317</v>
      </c>
      <c r="C218" s="361">
        <f>SUM(C199:C216)</f>
        <v>6979</v>
      </c>
      <c r="D218" s="361">
        <f>SUM(D199:D216)</f>
        <v>4690</v>
      </c>
      <c r="E218" s="727"/>
      <c r="I218" s="728"/>
      <c r="J218" s="728"/>
      <c r="K218" s="728"/>
    </row>
    <row r="219" spans="1:11" s="360" customFormat="1" ht="23" customHeight="1">
      <c r="A219" s="360" t="s">
        <v>250</v>
      </c>
      <c r="B219" s="232"/>
      <c r="C219" s="361">
        <v>4572</v>
      </c>
      <c r="E219" s="728"/>
      <c r="I219" s="728"/>
      <c r="J219" s="728"/>
      <c r="K219" s="728"/>
    </row>
    <row r="220" spans="1:11" s="360" customFormat="1" ht="23" customHeight="1">
      <c r="A220" s="360" t="s">
        <v>130</v>
      </c>
      <c r="B220" s="232"/>
      <c r="C220" s="361">
        <f>C218+C219+D218</f>
        <v>16241</v>
      </c>
      <c r="E220" s="728"/>
      <c r="I220" s="728"/>
      <c r="J220" s="728"/>
      <c r="K220" s="728"/>
    </row>
    <row r="221" spans="1:11" s="360" customFormat="1" ht="21" customHeight="1">
      <c r="B221" s="232"/>
      <c r="C221" s="361"/>
      <c r="E221" s="728"/>
      <c r="I221" s="728"/>
      <c r="J221" s="728"/>
      <c r="K221" s="728"/>
    </row>
    <row r="222" spans="1:11" ht="4" customHeight="1"/>
    <row r="223" spans="1:11" s="346" customFormat="1" ht="21" customHeight="1">
      <c r="A223" s="345" t="s">
        <v>1294</v>
      </c>
      <c r="B223" s="952" t="s">
        <v>1348</v>
      </c>
      <c r="C223" s="952"/>
      <c r="E223" s="724"/>
      <c r="I223" s="724"/>
      <c r="J223" s="724"/>
      <c r="K223" s="724"/>
    </row>
    <row r="224" spans="1:11" s="346" customFormat="1" ht="21" customHeight="1">
      <c r="A224" s="345" t="s">
        <v>1296</v>
      </c>
      <c r="B224" s="951" t="s">
        <v>1297</v>
      </c>
      <c r="C224" s="951"/>
      <c r="E224" s="724"/>
      <c r="I224" s="724"/>
      <c r="J224" s="724"/>
      <c r="K224" s="724"/>
    </row>
    <row r="226" spans="1:11" s="242" customFormat="1" ht="34" customHeight="1">
      <c r="A226" s="347" t="s">
        <v>1298</v>
      </c>
      <c r="B226" s="347" t="s">
        <v>1299</v>
      </c>
      <c r="C226" s="347" t="s">
        <v>1300</v>
      </c>
      <c r="D226" s="347" t="s">
        <v>1301</v>
      </c>
      <c r="E226" s="347" t="s">
        <v>1920</v>
      </c>
      <c r="F226" s="347" t="s">
        <v>1302</v>
      </c>
    </row>
    <row r="227" spans="1:11" s="351" customFormat="1" ht="19" customHeight="1">
      <c r="A227" s="348" t="s">
        <v>1303</v>
      </c>
      <c r="B227" s="349">
        <v>126</v>
      </c>
      <c r="C227" s="350">
        <v>1214</v>
      </c>
      <c r="D227" s="350">
        <f>1600-C227-1</f>
        <v>385</v>
      </c>
      <c r="E227" s="725">
        <f t="shared" ref="E227:E235" si="11">(C227+D227)/B227</f>
        <v>12.69047619047619</v>
      </c>
      <c r="F227" s="349"/>
      <c r="I227" s="279"/>
      <c r="J227" s="279"/>
      <c r="K227" s="279"/>
    </row>
    <row r="228" spans="1:11" s="351" customFormat="1" ht="19" customHeight="1">
      <c r="A228" s="352" t="s">
        <v>1305</v>
      </c>
      <c r="B228" s="353">
        <v>126</v>
      </c>
      <c r="C228" s="354">
        <v>939</v>
      </c>
      <c r="D228" s="354">
        <f>166*8-C228-218-1</f>
        <v>170</v>
      </c>
      <c r="E228" s="726">
        <f t="shared" si="11"/>
        <v>8.8015873015873023</v>
      </c>
      <c r="F228" s="353" t="s">
        <v>2041</v>
      </c>
      <c r="I228" s="279"/>
      <c r="J228" s="279"/>
      <c r="K228" s="279"/>
    </row>
    <row r="229" spans="1:11" s="351" customFormat="1" ht="19" customHeight="1">
      <c r="A229" s="348" t="s">
        <v>2030</v>
      </c>
      <c r="B229" s="349">
        <v>206</v>
      </c>
      <c r="C229" s="350">
        <v>1917</v>
      </c>
      <c r="D229" s="350">
        <f>1600-C229+290</f>
        <v>-27</v>
      </c>
      <c r="E229" s="725">
        <f t="shared" si="11"/>
        <v>9.1747572815533989</v>
      </c>
      <c r="F229" s="349" t="s">
        <v>2038</v>
      </c>
      <c r="I229" s="279"/>
      <c r="J229" s="279"/>
      <c r="K229" s="279"/>
    </row>
    <row r="230" spans="1:11" s="351" customFormat="1" ht="19" customHeight="1">
      <c r="A230" s="352"/>
      <c r="B230" s="353"/>
      <c r="C230" s="354"/>
      <c r="D230" s="354"/>
      <c r="E230" s="726"/>
      <c r="F230" s="353"/>
      <c r="I230" s="279"/>
      <c r="J230" s="279"/>
      <c r="K230" s="279"/>
    </row>
    <row r="231" spans="1:11" s="351" customFormat="1" ht="19" customHeight="1">
      <c r="A231" s="348" t="s">
        <v>1307</v>
      </c>
      <c r="B231" s="349">
        <v>200.5</v>
      </c>
      <c r="C231" s="350">
        <v>1838</v>
      </c>
      <c r="D231" s="350">
        <f>2100-C231+429-1</f>
        <v>690</v>
      </c>
      <c r="E231" s="725">
        <f t="shared" si="11"/>
        <v>12.608478802992519</v>
      </c>
      <c r="F231" s="349" t="s">
        <v>2039</v>
      </c>
      <c r="I231" s="279"/>
      <c r="J231" s="279"/>
      <c r="K231" s="279"/>
    </row>
    <row r="232" spans="1:11" s="351" customFormat="1" ht="19" customHeight="1">
      <c r="A232" s="352" t="s">
        <v>1309</v>
      </c>
      <c r="B232" s="353">
        <v>206</v>
      </c>
      <c r="C232" s="354">
        <v>1299</v>
      </c>
      <c r="D232" s="354">
        <f>1700-C232-1</f>
        <v>400</v>
      </c>
      <c r="E232" s="726">
        <f t="shared" si="11"/>
        <v>8.2475728155339798</v>
      </c>
      <c r="F232" s="353"/>
      <c r="I232" s="279"/>
      <c r="J232" s="279"/>
      <c r="K232" s="279"/>
    </row>
    <row r="233" spans="1:11" s="351" customFormat="1" ht="19" customHeight="1">
      <c r="A233" s="348" t="s">
        <v>1310</v>
      </c>
      <c r="B233" s="349">
        <v>163</v>
      </c>
      <c r="C233" s="350">
        <v>860</v>
      </c>
      <c r="D233" s="350">
        <f>1700-C233</f>
        <v>840</v>
      </c>
      <c r="E233" s="725">
        <f t="shared" si="11"/>
        <v>10.429447852760736</v>
      </c>
      <c r="F233" s="349"/>
      <c r="I233" s="279"/>
      <c r="J233" s="279"/>
      <c r="K233" s="279"/>
    </row>
    <row r="234" spans="1:11" s="351" customFormat="1" ht="19" customHeight="1">
      <c r="A234" s="355" t="s">
        <v>1344</v>
      </c>
      <c r="B234" s="353">
        <v>160</v>
      </c>
      <c r="C234" s="354">
        <v>0</v>
      </c>
      <c r="D234" s="354">
        <f>B234*10-C234</f>
        <v>1600</v>
      </c>
      <c r="E234" s="726">
        <f t="shared" si="11"/>
        <v>10</v>
      </c>
      <c r="F234" s="353"/>
      <c r="I234" s="279"/>
      <c r="J234" s="279"/>
      <c r="K234" s="279"/>
    </row>
    <row r="235" spans="1:11" s="351" customFormat="1" ht="19" customHeight="1">
      <c r="A235" s="348" t="s">
        <v>1321</v>
      </c>
      <c r="B235" s="349">
        <v>106.5</v>
      </c>
      <c r="C235" s="350">
        <v>264</v>
      </c>
      <c r="D235" s="350">
        <f>B235*12-C235+1</f>
        <v>1015</v>
      </c>
      <c r="E235" s="725">
        <f t="shared" si="11"/>
        <v>12.009389671361502</v>
      </c>
      <c r="F235" s="349" t="s">
        <v>2040</v>
      </c>
      <c r="I235" s="279"/>
      <c r="J235" s="279"/>
      <c r="K235" s="279"/>
    </row>
    <row r="236" spans="1:11" s="351" customFormat="1" ht="19" customHeight="1">
      <c r="A236" s="355"/>
      <c r="B236" s="353"/>
      <c r="C236" s="354"/>
      <c r="D236" s="354"/>
      <c r="E236" s="726"/>
      <c r="F236" s="353"/>
      <c r="I236" s="279"/>
      <c r="J236" s="279"/>
      <c r="K236" s="279"/>
    </row>
    <row r="237" spans="1:11" s="351" customFormat="1" ht="19" customHeight="1">
      <c r="A237" s="348"/>
      <c r="B237" s="349"/>
      <c r="C237" s="350"/>
      <c r="D237" s="350"/>
      <c r="E237" s="725"/>
      <c r="F237" s="349"/>
      <c r="I237" s="279"/>
      <c r="J237" s="279"/>
      <c r="K237" s="279"/>
    </row>
    <row r="238" spans="1:11" s="351" customFormat="1" ht="19" customHeight="1">
      <c r="A238" s="352"/>
      <c r="B238" s="353"/>
      <c r="C238" s="354"/>
      <c r="D238" s="354"/>
      <c r="E238" s="726"/>
      <c r="F238" s="353"/>
      <c r="I238" s="279"/>
      <c r="J238" s="279"/>
      <c r="K238" s="279"/>
    </row>
    <row r="239" spans="1:11" s="351" customFormat="1" ht="19" customHeight="1">
      <c r="A239" s="348"/>
      <c r="B239" s="349"/>
      <c r="C239" s="350"/>
      <c r="D239" s="350"/>
      <c r="E239" s="725"/>
      <c r="F239" s="349"/>
      <c r="I239" s="279"/>
      <c r="J239" s="279"/>
      <c r="K239" s="279"/>
    </row>
    <row r="240" spans="1:11" s="351" customFormat="1" ht="19" customHeight="1">
      <c r="A240" s="352"/>
      <c r="B240" s="353"/>
      <c r="C240" s="354"/>
      <c r="D240" s="354"/>
      <c r="E240" s="726"/>
      <c r="F240" s="353"/>
      <c r="I240" s="279"/>
      <c r="J240" s="279"/>
      <c r="K240" s="279"/>
    </row>
    <row r="241" spans="1:11" s="351" customFormat="1" ht="19" customHeight="1">
      <c r="A241" s="348"/>
      <c r="B241" s="349"/>
      <c r="C241" s="350"/>
      <c r="D241" s="350"/>
      <c r="E241" s="725"/>
      <c r="F241" s="349"/>
      <c r="I241" s="279"/>
      <c r="J241" s="279"/>
      <c r="K241" s="279"/>
    </row>
    <row r="242" spans="1:11" s="351" customFormat="1" ht="19" customHeight="1">
      <c r="A242" s="352"/>
      <c r="B242" s="353"/>
      <c r="C242" s="354"/>
      <c r="D242" s="354"/>
      <c r="E242" s="726"/>
      <c r="F242" s="353"/>
      <c r="I242" s="279"/>
      <c r="J242" s="279"/>
      <c r="K242" s="279"/>
    </row>
    <row r="243" spans="1:11" s="351" customFormat="1" ht="19" customHeight="1">
      <c r="A243" s="348"/>
      <c r="B243" s="349"/>
      <c r="C243" s="350"/>
      <c r="D243" s="350"/>
      <c r="E243" s="725"/>
      <c r="F243" s="349"/>
      <c r="I243" s="279"/>
      <c r="J243" s="279"/>
      <c r="K243" s="279"/>
    </row>
    <row r="244" spans="1:11" s="351" customFormat="1" ht="19" customHeight="1">
      <c r="A244" s="352"/>
      <c r="B244" s="353"/>
      <c r="C244" s="354"/>
      <c r="D244" s="354"/>
      <c r="E244" s="726"/>
      <c r="F244" s="353"/>
      <c r="I244" s="279"/>
      <c r="J244" s="279"/>
      <c r="K244" s="279"/>
    </row>
    <row r="245" spans="1:11" s="359" customFormat="1" ht="10" customHeight="1">
      <c r="A245" s="356"/>
      <c r="B245" s="357"/>
      <c r="C245" s="358"/>
      <c r="D245" s="357"/>
      <c r="E245" s="357"/>
      <c r="F245" s="357"/>
      <c r="I245" s="364"/>
      <c r="J245" s="364"/>
      <c r="K245" s="364"/>
    </row>
    <row r="246" spans="1:11" s="360" customFormat="1" ht="23" customHeight="1">
      <c r="A246" s="360" t="s">
        <v>1317</v>
      </c>
      <c r="C246" s="361">
        <f>SUM(C227:C244)</f>
        <v>8331</v>
      </c>
      <c r="D246" s="361">
        <f>SUM(D227:D244)</f>
        <v>5073</v>
      </c>
      <c r="E246" s="727"/>
      <c r="I246" s="728"/>
      <c r="J246" s="728"/>
      <c r="K246" s="728"/>
    </row>
    <row r="247" spans="1:11" s="360" customFormat="1" ht="23" customHeight="1">
      <c r="A247" s="360" t="s">
        <v>250</v>
      </c>
      <c r="B247" s="232"/>
      <c r="C247" s="361"/>
      <c r="E247" s="728"/>
      <c r="I247" s="728"/>
      <c r="J247" s="728"/>
      <c r="K247" s="728"/>
    </row>
    <row r="248" spans="1:11" s="360" customFormat="1" ht="23" customHeight="1">
      <c r="A248" s="360" t="s">
        <v>130</v>
      </c>
      <c r="B248" s="232"/>
      <c r="C248" s="361">
        <f>C246+C247+D246</f>
        <v>13404</v>
      </c>
      <c r="E248" s="728"/>
      <c r="I248" s="728"/>
      <c r="J248" s="728"/>
      <c r="K248" s="728"/>
    </row>
    <row r="249" spans="1:11" s="360" customFormat="1" ht="21" customHeight="1">
      <c r="B249" s="232"/>
      <c r="C249" s="361"/>
      <c r="E249" s="728"/>
      <c r="I249" s="728"/>
      <c r="J249" s="728"/>
      <c r="K249" s="728"/>
    </row>
    <row r="250" spans="1:11" ht="4" customHeight="1"/>
    <row r="251" spans="1:11" s="346" customFormat="1" ht="21" customHeight="1">
      <c r="A251" s="345" t="s">
        <v>1294</v>
      </c>
      <c r="B251" s="952" t="s">
        <v>1349</v>
      </c>
      <c r="C251" s="952"/>
      <c r="E251" s="724"/>
      <c r="I251" s="724"/>
      <c r="J251" s="724"/>
      <c r="K251" s="724"/>
    </row>
    <row r="252" spans="1:11" s="346" customFormat="1" ht="21" customHeight="1">
      <c r="A252" s="345" t="s">
        <v>1296</v>
      </c>
      <c r="B252" s="951" t="s">
        <v>1297</v>
      </c>
      <c r="C252" s="951"/>
      <c r="E252" s="724"/>
      <c r="I252" s="724"/>
      <c r="J252" s="724"/>
      <c r="K252" s="724"/>
    </row>
    <row r="254" spans="1:11" s="242" customFormat="1" ht="34" customHeight="1">
      <c r="A254" s="347" t="s">
        <v>1298</v>
      </c>
      <c r="B254" s="347" t="s">
        <v>1299</v>
      </c>
      <c r="C254" s="347" t="s">
        <v>1300</v>
      </c>
      <c r="D254" s="347" t="s">
        <v>1301</v>
      </c>
      <c r="E254" s="347" t="s">
        <v>1920</v>
      </c>
      <c r="F254" s="347" t="s">
        <v>1302</v>
      </c>
    </row>
    <row r="255" spans="1:11" s="351" customFormat="1" ht="19" customHeight="1">
      <c r="A255" s="348" t="s">
        <v>1303</v>
      </c>
      <c r="B255" s="349">
        <v>136</v>
      </c>
      <c r="C255" s="350">
        <v>1240</v>
      </c>
      <c r="D255" s="350">
        <f>1600-C255</f>
        <v>360</v>
      </c>
      <c r="E255" s="725">
        <f t="shared" ref="E255:E272" si="12">(C255+D255)/B255</f>
        <v>11.764705882352942</v>
      </c>
      <c r="F255" s="349"/>
      <c r="I255" s="279"/>
      <c r="J255" s="279"/>
      <c r="K255" s="279"/>
    </row>
    <row r="256" spans="1:11" s="351" customFormat="1" ht="19" customHeight="1">
      <c r="A256" s="352" t="s">
        <v>1305</v>
      </c>
      <c r="B256" s="353">
        <v>179</v>
      </c>
      <c r="C256" s="354">
        <v>1153</v>
      </c>
      <c r="D256" s="354">
        <f>B256*8-C256+1</f>
        <v>280</v>
      </c>
      <c r="E256" s="726">
        <f t="shared" si="12"/>
        <v>8.005586592178771</v>
      </c>
      <c r="F256" s="353"/>
      <c r="I256" s="279"/>
      <c r="J256" s="279"/>
      <c r="K256" s="279"/>
    </row>
    <row r="257" spans="1:11" s="351" customFormat="1" ht="19" customHeight="1">
      <c r="A257" s="348" t="s">
        <v>2030</v>
      </c>
      <c r="B257" s="349">
        <v>190</v>
      </c>
      <c r="C257" s="350">
        <v>1497</v>
      </c>
      <c r="D257" s="350">
        <f>1600-C257+2</f>
        <v>105</v>
      </c>
      <c r="E257" s="725">
        <f t="shared" si="12"/>
        <v>8.4315789473684202</v>
      </c>
      <c r="F257" s="349"/>
      <c r="I257" s="279"/>
      <c r="J257" s="279"/>
      <c r="K257" s="279"/>
    </row>
    <row r="258" spans="1:11" s="351" customFormat="1" ht="19" customHeight="1">
      <c r="A258" s="352"/>
      <c r="B258" s="353"/>
      <c r="C258" s="354"/>
      <c r="D258" s="354"/>
      <c r="E258" s="726"/>
      <c r="F258" s="353"/>
      <c r="I258" s="279"/>
      <c r="J258" s="279"/>
      <c r="K258" s="279"/>
    </row>
    <row r="259" spans="1:11" s="351" customFormat="1" ht="19" customHeight="1">
      <c r="A259" s="348" t="s">
        <v>1307</v>
      </c>
      <c r="B259" s="349">
        <v>214</v>
      </c>
      <c r="C259" s="350">
        <v>1466</v>
      </c>
      <c r="D259" s="350">
        <f>2200-C259+1</f>
        <v>735</v>
      </c>
      <c r="E259" s="725">
        <f t="shared" si="12"/>
        <v>10.285046728971963</v>
      </c>
      <c r="F259" s="349"/>
      <c r="I259" s="279"/>
      <c r="J259" s="279"/>
      <c r="K259" s="279"/>
    </row>
    <row r="260" spans="1:11" s="351" customFormat="1" ht="19" customHeight="1">
      <c r="A260" s="352" t="s">
        <v>1309</v>
      </c>
      <c r="B260" s="353">
        <v>192</v>
      </c>
      <c r="C260" s="354">
        <v>1351</v>
      </c>
      <c r="D260" s="354">
        <f>1700-C260+1</f>
        <v>350</v>
      </c>
      <c r="E260" s="726">
        <f t="shared" si="12"/>
        <v>8.859375</v>
      </c>
      <c r="F260" s="353"/>
      <c r="I260" s="279"/>
      <c r="J260" s="279"/>
      <c r="K260" s="279"/>
    </row>
    <row r="261" spans="1:11" s="351" customFormat="1" ht="19" customHeight="1">
      <c r="A261" s="348" t="s">
        <v>1310</v>
      </c>
      <c r="B261" s="349">
        <v>177.5</v>
      </c>
      <c r="C261" s="350">
        <v>916</v>
      </c>
      <c r="D261" s="350">
        <f>1700-C261-240+1</f>
        <v>545</v>
      </c>
      <c r="E261" s="725">
        <f t="shared" si="12"/>
        <v>8.2309859154929583</v>
      </c>
      <c r="F261" s="349" t="s">
        <v>2157</v>
      </c>
      <c r="I261" s="279"/>
      <c r="J261" s="279"/>
      <c r="K261" s="279"/>
    </row>
    <row r="262" spans="1:11" s="351" customFormat="1" ht="19" customHeight="1">
      <c r="A262" s="355" t="s">
        <v>1344</v>
      </c>
      <c r="B262" s="353">
        <v>39.5</v>
      </c>
      <c r="C262" s="354">
        <v>0</v>
      </c>
      <c r="D262" s="354">
        <f>B262*10</f>
        <v>395</v>
      </c>
      <c r="E262" s="726">
        <f t="shared" si="12"/>
        <v>10</v>
      </c>
      <c r="F262" s="353"/>
      <c r="I262" s="279"/>
      <c r="J262" s="279"/>
      <c r="K262" s="279"/>
    </row>
    <row r="263" spans="1:11" s="351" customFormat="1" ht="19" customHeight="1">
      <c r="A263" s="348" t="s">
        <v>1321</v>
      </c>
      <c r="B263" s="349">
        <v>10.5</v>
      </c>
      <c r="C263" s="350">
        <v>152.71</v>
      </c>
      <c r="D263" s="350">
        <f>B263*12</f>
        <v>126</v>
      </c>
      <c r="E263" s="725">
        <f t="shared" si="12"/>
        <v>26.543809523809529</v>
      </c>
      <c r="F263" s="605" t="s">
        <v>2142</v>
      </c>
      <c r="I263" s="279"/>
      <c r="J263" s="279"/>
      <c r="K263" s="279"/>
    </row>
    <row r="264" spans="1:11" s="351" customFormat="1" ht="19" customHeight="1">
      <c r="A264" s="355" t="s">
        <v>2148</v>
      </c>
      <c r="B264" s="353">
        <v>70</v>
      </c>
      <c r="C264" s="354">
        <v>0</v>
      </c>
      <c r="D264" s="354">
        <f>B264*7</f>
        <v>490</v>
      </c>
      <c r="E264" s="726">
        <f t="shared" si="12"/>
        <v>7</v>
      </c>
      <c r="F264" s="353" t="s">
        <v>2165</v>
      </c>
      <c r="I264" s="279"/>
      <c r="J264" s="279"/>
      <c r="K264" s="279"/>
    </row>
    <row r="265" spans="1:11" s="351" customFormat="1" ht="19" customHeight="1">
      <c r="A265" s="348" t="s">
        <v>1608</v>
      </c>
      <c r="B265" s="349">
        <v>130</v>
      </c>
      <c r="C265" s="350">
        <v>853</v>
      </c>
      <c r="D265" s="350">
        <f>780-C265+3</f>
        <v>-70</v>
      </c>
      <c r="E265" s="725">
        <f t="shared" si="12"/>
        <v>6.023076923076923</v>
      </c>
      <c r="F265" s="349" t="s">
        <v>2154</v>
      </c>
      <c r="I265" s="279"/>
      <c r="J265" s="279"/>
      <c r="K265" s="279"/>
    </row>
    <row r="266" spans="1:11" s="351" customFormat="1" ht="19" customHeight="1">
      <c r="A266" s="352"/>
      <c r="B266" s="353"/>
      <c r="C266" s="354"/>
      <c r="D266" s="354"/>
      <c r="E266" s="726" t="e">
        <f t="shared" si="12"/>
        <v>#DIV/0!</v>
      </c>
      <c r="F266" s="353"/>
      <c r="I266" s="279"/>
      <c r="J266" s="279"/>
      <c r="K266" s="279"/>
    </row>
    <row r="267" spans="1:11" s="351" customFormat="1" ht="19" customHeight="1">
      <c r="A267" s="348"/>
      <c r="B267" s="349"/>
      <c r="C267" s="350"/>
      <c r="D267" s="350"/>
      <c r="E267" s="725" t="e">
        <f t="shared" si="12"/>
        <v>#DIV/0!</v>
      </c>
      <c r="F267" s="349"/>
      <c r="I267" s="279"/>
      <c r="J267" s="279"/>
      <c r="K267" s="279"/>
    </row>
    <row r="268" spans="1:11" s="351" customFormat="1" ht="19" customHeight="1">
      <c r="A268" s="352"/>
      <c r="B268" s="353"/>
      <c r="C268" s="354"/>
      <c r="D268" s="354"/>
      <c r="E268" s="726" t="e">
        <f t="shared" si="12"/>
        <v>#DIV/0!</v>
      </c>
      <c r="F268" s="353"/>
      <c r="I268" s="279"/>
      <c r="J268" s="279"/>
      <c r="K268" s="279"/>
    </row>
    <row r="269" spans="1:11" s="351" customFormat="1" ht="19" customHeight="1">
      <c r="A269" s="348"/>
      <c r="B269" s="349"/>
      <c r="C269" s="350"/>
      <c r="D269" s="350"/>
      <c r="E269" s="725" t="e">
        <f t="shared" si="12"/>
        <v>#DIV/0!</v>
      </c>
      <c r="F269" s="349"/>
      <c r="I269" s="279"/>
      <c r="J269" s="279"/>
      <c r="K269" s="279"/>
    </row>
    <row r="270" spans="1:11" s="351" customFormat="1" ht="19" customHeight="1">
      <c r="A270" s="352"/>
      <c r="B270" s="353"/>
      <c r="C270" s="354"/>
      <c r="D270" s="354"/>
      <c r="E270" s="726" t="e">
        <f t="shared" si="12"/>
        <v>#DIV/0!</v>
      </c>
      <c r="F270" s="353"/>
      <c r="I270" s="279"/>
      <c r="J270" s="279"/>
      <c r="K270" s="279"/>
    </row>
    <row r="271" spans="1:11" s="351" customFormat="1" ht="19" customHeight="1">
      <c r="A271" s="348"/>
      <c r="B271" s="349"/>
      <c r="C271" s="350"/>
      <c r="D271" s="350"/>
      <c r="E271" s="725" t="e">
        <f t="shared" si="12"/>
        <v>#DIV/0!</v>
      </c>
      <c r="F271" s="349"/>
      <c r="I271" s="279"/>
      <c r="J271" s="279"/>
      <c r="K271" s="279"/>
    </row>
    <row r="272" spans="1:11" s="351" customFormat="1" ht="19" customHeight="1">
      <c r="A272" s="352"/>
      <c r="B272" s="353"/>
      <c r="C272" s="354"/>
      <c r="D272" s="354"/>
      <c r="E272" s="726" t="e">
        <f t="shared" si="12"/>
        <v>#DIV/0!</v>
      </c>
      <c r="F272" s="353"/>
      <c r="I272" s="279"/>
      <c r="J272" s="279"/>
      <c r="K272" s="279"/>
    </row>
    <row r="273" spans="1:11" s="359" customFormat="1" ht="10" customHeight="1">
      <c r="A273" s="356"/>
      <c r="B273" s="357"/>
      <c r="C273" s="358"/>
      <c r="D273" s="357"/>
      <c r="E273" s="357"/>
      <c r="F273" s="357"/>
      <c r="I273" s="364"/>
      <c r="J273" s="364"/>
      <c r="K273" s="364"/>
    </row>
    <row r="274" spans="1:11" s="360" customFormat="1" ht="23" customHeight="1">
      <c r="A274" s="360" t="s">
        <v>1317</v>
      </c>
      <c r="C274" s="361">
        <f>SUM(C255:C272)</f>
        <v>8628.7099999999991</v>
      </c>
      <c r="D274" s="361">
        <f>SUM(D255:D272)</f>
        <v>3316</v>
      </c>
      <c r="E274" s="727"/>
      <c r="I274" s="728"/>
      <c r="J274" s="728"/>
      <c r="K274" s="728"/>
    </row>
    <row r="275" spans="1:11" s="360" customFormat="1" ht="23" customHeight="1">
      <c r="A275" s="360" t="s">
        <v>250</v>
      </c>
      <c r="B275" s="232"/>
      <c r="C275" s="361">
        <f>205.31+4575.1</f>
        <v>4780.4100000000008</v>
      </c>
      <c r="E275" s="728"/>
      <c r="I275" s="728"/>
      <c r="J275" s="728"/>
      <c r="K275" s="728"/>
    </row>
    <row r="276" spans="1:11" s="360" customFormat="1" ht="23" customHeight="1">
      <c r="A276" s="360" t="s">
        <v>130</v>
      </c>
      <c r="B276" s="232"/>
      <c r="C276" s="361">
        <f>C274+C275+D274</f>
        <v>16725.12</v>
      </c>
      <c r="E276" s="728"/>
      <c r="I276" s="728"/>
      <c r="J276" s="728"/>
      <c r="K276" s="728"/>
    </row>
    <row r="277" spans="1:11" s="359" customFormat="1" ht="20" customHeight="1">
      <c r="A277" s="281"/>
      <c r="B277" s="364"/>
      <c r="C277" s="365"/>
      <c r="D277" s="364"/>
      <c r="E277" s="364"/>
      <c r="F277" s="364"/>
      <c r="I277" s="364"/>
      <c r="J277" s="364"/>
      <c r="K277" s="364"/>
    </row>
    <row r="278" spans="1:11" s="346" customFormat="1" ht="21" customHeight="1">
      <c r="A278" s="345" t="s">
        <v>1294</v>
      </c>
      <c r="B278" s="952" t="s">
        <v>1350</v>
      </c>
      <c r="C278" s="952"/>
      <c r="E278" s="724"/>
      <c r="I278" s="724"/>
      <c r="J278" s="724"/>
      <c r="K278" s="724"/>
    </row>
    <row r="279" spans="1:11" s="346" customFormat="1" ht="21" customHeight="1">
      <c r="A279" s="345" t="s">
        <v>1296</v>
      </c>
      <c r="B279" s="951" t="s">
        <v>1297</v>
      </c>
      <c r="C279" s="951"/>
      <c r="E279" s="724"/>
      <c r="I279" s="724"/>
      <c r="J279" s="724"/>
      <c r="K279" s="724"/>
    </row>
    <row r="281" spans="1:11" s="242" customFormat="1" ht="34" customHeight="1">
      <c r="A281" s="347" t="s">
        <v>1298</v>
      </c>
      <c r="B281" s="347" t="s">
        <v>1299</v>
      </c>
      <c r="C281" s="347" t="s">
        <v>1300</v>
      </c>
      <c r="D281" s="347" t="s">
        <v>1301</v>
      </c>
      <c r="E281" s="347" t="s">
        <v>1920</v>
      </c>
      <c r="F281" s="347" t="s">
        <v>1302</v>
      </c>
    </row>
    <row r="282" spans="1:11" s="351" customFormat="1" ht="19" customHeight="1">
      <c r="A282" s="348" t="s">
        <v>1303</v>
      </c>
      <c r="B282" s="349">
        <v>189</v>
      </c>
      <c r="C282" s="350">
        <v>1276</v>
      </c>
      <c r="D282" s="350">
        <f>1600-C282+1</f>
        <v>325</v>
      </c>
      <c r="E282" s="725">
        <f t="shared" ref="E282:E293" si="13">(C282+D282)/B282</f>
        <v>8.4708994708994716</v>
      </c>
      <c r="F282" s="349"/>
      <c r="I282" s="279"/>
      <c r="J282" s="279"/>
      <c r="K282" s="279"/>
    </row>
    <row r="283" spans="1:11" s="351" customFormat="1" ht="19" customHeight="1">
      <c r="A283" s="352" t="s">
        <v>1305</v>
      </c>
      <c r="B283" s="353">
        <v>176</v>
      </c>
      <c r="C283" s="354">
        <v>1169</v>
      </c>
      <c r="D283" s="354">
        <f>B283*8-C283+1</f>
        <v>240</v>
      </c>
      <c r="E283" s="726">
        <f t="shared" si="13"/>
        <v>8.0056818181818183</v>
      </c>
      <c r="F283" s="353"/>
      <c r="I283" s="279"/>
      <c r="J283" s="279"/>
      <c r="K283" s="279"/>
    </row>
    <row r="284" spans="1:11" s="351" customFormat="1" ht="19" customHeight="1">
      <c r="A284" s="348" t="s">
        <v>2030</v>
      </c>
      <c r="B284" s="349">
        <v>207</v>
      </c>
      <c r="C284" s="350">
        <v>1621</v>
      </c>
      <c r="D284" s="350">
        <f>1600-C284+2</f>
        <v>-19</v>
      </c>
      <c r="E284" s="725">
        <f t="shared" si="13"/>
        <v>7.7391304347826084</v>
      </c>
      <c r="F284" s="349" t="s">
        <v>2262</v>
      </c>
      <c r="I284" s="279"/>
      <c r="J284" s="279"/>
      <c r="K284" s="279"/>
    </row>
    <row r="285" spans="1:11" s="351" customFormat="1" ht="19" customHeight="1">
      <c r="A285" s="352"/>
      <c r="B285" s="353"/>
      <c r="C285" s="354"/>
      <c r="D285" s="354"/>
      <c r="E285" s="726" t="e">
        <f t="shared" si="13"/>
        <v>#DIV/0!</v>
      </c>
      <c r="F285" s="353"/>
      <c r="I285" s="279"/>
      <c r="J285" s="279"/>
      <c r="K285" s="279"/>
    </row>
    <row r="286" spans="1:11" s="351" customFormat="1" ht="19" customHeight="1">
      <c r="A286" s="348" t="s">
        <v>1307</v>
      </c>
      <c r="B286" s="349">
        <v>140</v>
      </c>
      <c r="C286" s="350">
        <v>1495</v>
      </c>
      <c r="D286" s="350">
        <f>2200-C286</f>
        <v>705</v>
      </c>
      <c r="E286" s="725">
        <f t="shared" si="13"/>
        <v>15.714285714285714</v>
      </c>
      <c r="F286" s="349"/>
      <c r="I286" s="279"/>
      <c r="J286" s="279"/>
      <c r="K286" s="279"/>
    </row>
    <row r="287" spans="1:11" s="351" customFormat="1" ht="19" customHeight="1">
      <c r="A287" s="352" t="s">
        <v>1309</v>
      </c>
      <c r="B287" s="353">
        <v>145.5</v>
      </c>
      <c r="C287" s="354">
        <v>1368</v>
      </c>
      <c r="D287" s="354">
        <f>1700-C287+3</f>
        <v>335</v>
      </c>
      <c r="E287" s="726">
        <f t="shared" si="13"/>
        <v>11.704467353951889</v>
      </c>
      <c r="F287" s="353"/>
      <c r="I287" s="279"/>
      <c r="J287" s="279"/>
      <c r="K287" s="279"/>
    </row>
    <row r="288" spans="1:11" s="351" customFormat="1" ht="19" customHeight="1">
      <c r="A288" s="348" t="s">
        <v>1310</v>
      </c>
      <c r="B288" s="349">
        <v>220</v>
      </c>
      <c r="C288" s="350">
        <v>937</v>
      </c>
      <c r="D288" s="350">
        <f>1700-C288-240+2</f>
        <v>525</v>
      </c>
      <c r="E288" s="725">
        <f t="shared" si="13"/>
        <v>6.6454545454545455</v>
      </c>
      <c r="F288" s="349"/>
      <c r="I288" s="279"/>
      <c r="J288" s="279"/>
      <c r="K288" s="279"/>
    </row>
    <row r="289" spans="1:11" s="351" customFormat="1" ht="19" customHeight="1">
      <c r="A289" s="355" t="s">
        <v>1344</v>
      </c>
      <c r="B289" s="353">
        <v>48</v>
      </c>
      <c r="C289" s="354">
        <v>36</v>
      </c>
      <c r="D289" s="354">
        <f>B289*10-C289+1</f>
        <v>445</v>
      </c>
      <c r="E289" s="726">
        <f t="shared" si="13"/>
        <v>10.020833333333334</v>
      </c>
      <c r="F289" s="353" t="s">
        <v>2263</v>
      </c>
      <c r="I289" s="279"/>
      <c r="J289" s="279"/>
      <c r="K289" s="279"/>
    </row>
    <row r="290" spans="1:11" s="351" customFormat="1" ht="19" customHeight="1">
      <c r="A290" s="348" t="s">
        <v>1361</v>
      </c>
      <c r="B290" s="349"/>
      <c r="C290" s="350"/>
      <c r="D290" s="350">
        <f>B290*12</f>
        <v>0</v>
      </c>
      <c r="E290" s="725" t="e">
        <f t="shared" si="13"/>
        <v>#DIV/0!</v>
      </c>
      <c r="F290" s="349"/>
      <c r="I290" s="279"/>
      <c r="J290" s="279"/>
      <c r="K290" s="279"/>
    </row>
    <row r="291" spans="1:11" s="351" customFormat="1" ht="19" customHeight="1">
      <c r="A291" s="355" t="s">
        <v>2148</v>
      </c>
      <c r="B291" s="353">
        <v>83</v>
      </c>
      <c r="C291" s="354">
        <v>36</v>
      </c>
      <c r="D291" s="354">
        <f>B291*7-C291</f>
        <v>545</v>
      </c>
      <c r="E291" s="726">
        <f t="shared" si="13"/>
        <v>7</v>
      </c>
      <c r="F291" s="353" t="s">
        <v>2263</v>
      </c>
      <c r="I291" s="279"/>
      <c r="J291" s="279"/>
      <c r="K291" s="279"/>
    </row>
    <row r="292" spans="1:11" s="351" customFormat="1" ht="19" customHeight="1">
      <c r="A292" s="348" t="s">
        <v>1608</v>
      </c>
      <c r="B292" s="349">
        <v>239</v>
      </c>
      <c r="C292" s="350">
        <v>1252</v>
      </c>
      <c r="D292" s="350">
        <f>1300-C292</f>
        <v>48</v>
      </c>
      <c r="E292" s="725">
        <f t="shared" si="13"/>
        <v>5.4393305439330542</v>
      </c>
      <c r="F292" s="349" t="s">
        <v>2154</v>
      </c>
      <c r="I292" s="279"/>
      <c r="J292" s="279"/>
      <c r="K292" s="279"/>
    </row>
    <row r="293" spans="1:11" s="351" customFormat="1" ht="19" customHeight="1">
      <c r="A293" s="352" t="s">
        <v>2264</v>
      </c>
      <c r="B293" s="353">
        <v>68</v>
      </c>
      <c r="C293" s="354">
        <v>165</v>
      </c>
      <c r="D293" s="354">
        <f>B293*10-C293</f>
        <v>515</v>
      </c>
      <c r="E293" s="726">
        <f t="shared" si="13"/>
        <v>10</v>
      </c>
      <c r="F293" s="353"/>
      <c r="I293" s="279"/>
      <c r="J293" s="279"/>
      <c r="K293" s="279"/>
    </row>
    <row r="294" spans="1:11" s="351" customFormat="1" ht="19" customHeight="1">
      <c r="A294" s="348"/>
      <c r="B294" s="349"/>
      <c r="C294" s="350"/>
      <c r="D294" s="350"/>
      <c r="E294" s="725"/>
      <c r="F294" s="349"/>
      <c r="I294" s="279"/>
      <c r="J294" s="279"/>
      <c r="K294" s="279"/>
    </row>
    <row r="295" spans="1:11" s="351" customFormat="1" ht="19" customHeight="1">
      <c r="A295" s="352"/>
      <c r="B295" s="353"/>
      <c r="C295" s="354"/>
      <c r="D295" s="354"/>
      <c r="E295" s="726"/>
      <c r="F295" s="353"/>
      <c r="I295" s="279"/>
      <c r="J295" s="279"/>
      <c r="K295" s="279"/>
    </row>
    <row r="296" spans="1:11" s="351" customFormat="1" ht="19" customHeight="1">
      <c r="A296" s="348"/>
      <c r="B296" s="349"/>
      <c r="C296" s="350"/>
      <c r="D296" s="350"/>
      <c r="E296" s="725"/>
      <c r="F296" s="349"/>
      <c r="I296" s="279"/>
      <c r="J296" s="279"/>
      <c r="K296" s="279"/>
    </row>
    <row r="297" spans="1:11" s="351" customFormat="1" ht="19" customHeight="1">
      <c r="A297" s="352"/>
      <c r="B297" s="353"/>
      <c r="C297" s="354"/>
      <c r="D297" s="354"/>
      <c r="E297" s="726"/>
      <c r="F297" s="353"/>
      <c r="I297" s="279"/>
      <c r="J297" s="279"/>
      <c r="K297" s="279"/>
    </row>
    <row r="298" spans="1:11" s="351" customFormat="1" ht="19" customHeight="1">
      <c r="A298" s="348"/>
      <c r="B298" s="349"/>
      <c r="C298" s="350"/>
      <c r="D298" s="350"/>
      <c r="E298" s="725"/>
      <c r="F298" s="349"/>
      <c r="I298" s="279"/>
      <c r="J298" s="279"/>
      <c r="K298" s="279"/>
    </row>
    <row r="299" spans="1:11" s="351" customFormat="1" ht="19" customHeight="1">
      <c r="A299" s="352"/>
      <c r="B299" s="353"/>
      <c r="C299" s="354"/>
      <c r="D299" s="354"/>
      <c r="E299" s="726"/>
      <c r="F299" s="353"/>
      <c r="I299" s="279"/>
      <c r="J299" s="279"/>
      <c r="K299" s="279"/>
    </row>
    <row r="300" spans="1:11" s="359" customFormat="1" ht="10" customHeight="1">
      <c r="A300" s="356"/>
      <c r="B300" s="357"/>
      <c r="C300" s="358"/>
      <c r="D300" s="357"/>
      <c r="E300" s="357"/>
      <c r="F300" s="357"/>
      <c r="I300" s="364"/>
      <c r="J300" s="364"/>
      <c r="K300" s="364"/>
    </row>
    <row r="301" spans="1:11" s="360" customFormat="1" ht="23" customHeight="1">
      <c r="A301" s="360" t="s">
        <v>1317</v>
      </c>
      <c r="C301" s="361">
        <f>SUM(C282:C299)</f>
        <v>9355</v>
      </c>
      <c r="D301" s="361">
        <f>SUM(D282:D299)</f>
        <v>3664</v>
      </c>
      <c r="E301" s="727"/>
      <c r="I301" s="728"/>
      <c r="J301" s="728"/>
      <c r="K301" s="728"/>
    </row>
    <row r="302" spans="1:11" s="360" customFormat="1" ht="23" customHeight="1">
      <c r="A302" s="360" t="s">
        <v>250</v>
      </c>
      <c r="B302" s="232"/>
      <c r="C302" s="361">
        <v>4926.1899999999996</v>
      </c>
      <c r="E302" s="728"/>
      <c r="I302" s="728"/>
      <c r="J302" s="728"/>
      <c r="K302" s="728"/>
    </row>
    <row r="303" spans="1:11" s="360" customFormat="1" ht="23" customHeight="1">
      <c r="A303" s="360" t="s">
        <v>130</v>
      </c>
      <c r="B303" s="232"/>
      <c r="C303" s="361">
        <f>C301+C302+D301</f>
        <v>17945.189999999999</v>
      </c>
      <c r="E303" s="728"/>
      <c r="I303" s="728"/>
      <c r="J303" s="728"/>
      <c r="K303" s="728"/>
    </row>
    <row r="304" spans="1:11" s="359" customFormat="1" ht="20" customHeight="1">
      <c r="A304" s="281"/>
      <c r="B304" s="364"/>
      <c r="C304" s="365"/>
      <c r="D304" s="364"/>
      <c r="E304" s="364"/>
      <c r="F304" s="364"/>
      <c r="I304" s="364"/>
      <c r="J304" s="364"/>
      <c r="K304" s="364"/>
    </row>
    <row r="305" spans="1:11" s="346" customFormat="1" ht="21" customHeight="1">
      <c r="A305" s="345" t="s">
        <v>1294</v>
      </c>
      <c r="B305" s="952" t="s">
        <v>1351</v>
      </c>
      <c r="C305" s="952"/>
      <c r="E305" s="724"/>
      <c r="I305" s="724"/>
      <c r="J305" s="724"/>
      <c r="K305" s="724"/>
    </row>
    <row r="306" spans="1:11" s="346" customFormat="1" ht="21" customHeight="1">
      <c r="A306" s="345" t="s">
        <v>1296</v>
      </c>
      <c r="B306" s="951" t="s">
        <v>1297</v>
      </c>
      <c r="C306" s="951"/>
      <c r="E306" s="724"/>
      <c r="I306" s="724"/>
      <c r="J306" s="724"/>
      <c r="K306" s="724"/>
    </row>
    <row r="308" spans="1:11" s="242" customFormat="1" ht="34" customHeight="1">
      <c r="A308" s="347" t="s">
        <v>1298</v>
      </c>
      <c r="B308" s="347" t="s">
        <v>1299</v>
      </c>
      <c r="C308" s="347" t="s">
        <v>1300</v>
      </c>
      <c r="D308" s="347" t="s">
        <v>1301</v>
      </c>
      <c r="E308" s="347" t="s">
        <v>1920</v>
      </c>
      <c r="F308" s="347" t="s">
        <v>1302</v>
      </c>
    </row>
    <row r="309" spans="1:11" s="351" customFormat="1" ht="19" customHeight="1">
      <c r="A309" s="348" t="s">
        <v>1303</v>
      </c>
      <c r="B309" s="349">
        <v>198</v>
      </c>
      <c r="C309" s="350">
        <v>1308</v>
      </c>
      <c r="D309" s="350">
        <f>1600-C309+1600+3</f>
        <v>1895</v>
      </c>
      <c r="E309" s="725">
        <f t="shared" ref="E309" si="14">(C309+D309)/B309</f>
        <v>16.176767676767678</v>
      </c>
      <c r="F309" s="349" t="s">
        <v>2381</v>
      </c>
      <c r="I309" s="279"/>
      <c r="J309" s="279"/>
      <c r="K309" s="279"/>
    </row>
    <row r="310" spans="1:11" s="351" customFormat="1" ht="19" customHeight="1">
      <c r="A310" s="352" t="s">
        <v>1305</v>
      </c>
      <c r="B310" s="353">
        <v>156.5</v>
      </c>
      <c r="C310" s="354">
        <v>1199</v>
      </c>
      <c r="D310" s="354">
        <f>B310*8-C310+1500+2</f>
        <v>1555</v>
      </c>
      <c r="E310" s="726">
        <f t="shared" ref="E310:E326" si="15">(C310+D310)/B310</f>
        <v>17.597444089456868</v>
      </c>
      <c r="F310" s="353" t="s">
        <v>2382</v>
      </c>
      <c r="I310" s="279"/>
      <c r="J310" s="279"/>
      <c r="K310" s="279"/>
    </row>
    <row r="311" spans="1:11" s="351" customFormat="1" ht="19" customHeight="1">
      <c r="A311" s="348" t="s">
        <v>2030</v>
      </c>
      <c r="B311" s="349">
        <v>153</v>
      </c>
      <c r="C311" s="350">
        <v>1646</v>
      </c>
      <c r="D311" s="350">
        <f>530-90</f>
        <v>440</v>
      </c>
      <c r="E311" s="725">
        <f t="shared" si="15"/>
        <v>13.633986928104575</v>
      </c>
      <c r="F311" s="349" t="s">
        <v>2360</v>
      </c>
      <c r="I311" s="279"/>
      <c r="J311" s="279"/>
      <c r="K311" s="279"/>
    </row>
    <row r="312" spans="1:11" s="351" customFormat="1" ht="19" customHeight="1">
      <c r="A312" s="352"/>
      <c r="B312" s="353"/>
      <c r="C312" s="354"/>
      <c r="D312" s="354"/>
      <c r="E312" s="726"/>
      <c r="F312" s="353"/>
      <c r="I312" s="279"/>
      <c r="J312" s="279"/>
      <c r="K312" s="279"/>
    </row>
    <row r="313" spans="1:11" s="351" customFormat="1" ht="19" customHeight="1">
      <c r="A313" s="348" t="s">
        <v>1307</v>
      </c>
      <c r="B313" s="349">
        <v>129.5</v>
      </c>
      <c r="C313" s="350">
        <v>1482</v>
      </c>
      <c r="D313" s="350">
        <f>2100-C313+2100+2</f>
        <v>2720</v>
      </c>
      <c r="E313" s="725">
        <f t="shared" si="15"/>
        <v>32.447876447876446</v>
      </c>
      <c r="F313" s="349" t="s">
        <v>2383</v>
      </c>
      <c r="I313" s="279"/>
      <c r="J313" s="279"/>
      <c r="K313" s="279"/>
    </row>
    <row r="314" spans="1:11" s="351" customFormat="1" ht="19" customHeight="1">
      <c r="A314" s="352" t="s">
        <v>1309</v>
      </c>
      <c r="B314" s="353">
        <v>175.5</v>
      </c>
      <c r="C314" s="354">
        <v>1388</v>
      </c>
      <c r="D314" s="354">
        <f>1700-C314+1700+3</f>
        <v>2015</v>
      </c>
      <c r="E314" s="726">
        <f t="shared" si="15"/>
        <v>19.390313390313391</v>
      </c>
      <c r="F314" s="353" t="s">
        <v>2384</v>
      </c>
      <c r="I314" s="279"/>
      <c r="J314" s="279"/>
      <c r="K314" s="279"/>
    </row>
    <row r="315" spans="1:11" s="351" customFormat="1" ht="19" customHeight="1">
      <c r="A315" s="348" t="s">
        <v>1310</v>
      </c>
      <c r="B315" s="349">
        <v>109</v>
      </c>
      <c r="C315" s="350">
        <v>922</v>
      </c>
      <c r="D315" s="350">
        <f>1700-C315+1700</f>
        <v>2478</v>
      </c>
      <c r="E315" s="725">
        <f t="shared" si="15"/>
        <v>31.192660550458715</v>
      </c>
      <c r="F315" s="349" t="s">
        <v>2384</v>
      </c>
      <c r="I315" s="279"/>
      <c r="J315" s="279"/>
      <c r="K315" s="279"/>
    </row>
    <row r="316" spans="1:11" s="351" customFormat="1" ht="19" customHeight="1">
      <c r="A316" s="355" t="s">
        <v>1344</v>
      </c>
      <c r="B316" s="353">
        <v>12</v>
      </c>
      <c r="C316" s="354">
        <v>144</v>
      </c>
      <c r="D316" s="354">
        <f>B316*10-C316</f>
        <v>-24</v>
      </c>
      <c r="E316" s="726">
        <f t="shared" si="15"/>
        <v>10</v>
      </c>
      <c r="F316" s="353"/>
      <c r="I316" s="279"/>
      <c r="J316" s="279"/>
      <c r="K316" s="279"/>
    </row>
    <row r="317" spans="1:11" s="351" customFormat="1" ht="19" customHeight="1">
      <c r="A317" s="348" t="s">
        <v>1312</v>
      </c>
      <c r="B317" s="349">
        <v>91.5</v>
      </c>
      <c r="C317" s="350">
        <v>1026</v>
      </c>
      <c r="D317" s="350">
        <v>415</v>
      </c>
      <c r="E317" s="725">
        <f t="shared" si="15"/>
        <v>15.748633879781421</v>
      </c>
      <c r="F317" s="349"/>
      <c r="I317" s="279"/>
      <c r="J317" s="279"/>
      <c r="K317" s="279"/>
    </row>
    <row r="318" spans="1:11" s="351" customFormat="1" ht="19" customHeight="1">
      <c r="A318" s="355" t="s">
        <v>2378</v>
      </c>
      <c r="B318" s="353">
        <v>107.5</v>
      </c>
      <c r="C318" s="354">
        <v>72</v>
      </c>
      <c r="D318" s="354">
        <f>B318*7-C318-0.5</f>
        <v>680</v>
      </c>
      <c r="E318" s="726">
        <f t="shared" si="15"/>
        <v>6.9953488372093027</v>
      </c>
      <c r="F318" s="353"/>
      <c r="I318" s="279"/>
      <c r="J318" s="279"/>
      <c r="K318" s="279"/>
    </row>
    <row r="319" spans="1:11" s="351" customFormat="1" ht="19" customHeight="1">
      <c r="A319" s="348" t="s">
        <v>1313</v>
      </c>
      <c r="B319" s="349">
        <v>174.5</v>
      </c>
      <c r="C319" s="350">
        <v>1260</v>
      </c>
      <c r="D319" s="350">
        <f>1300-C319+250</f>
        <v>290</v>
      </c>
      <c r="E319" s="725">
        <f t="shared" si="15"/>
        <v>8.8825214899713458</v>
      </c>
      <c r="F319" s="349" t="s">
        <v>2361</v>
      </c>
      <c r="I319" s="279"/>
      <c r="J319" s="279"/>
      <c r="K319" s="279"/>
    </row>
    <row r="320" spans="1:11" s="351" customFormat="1" ht="19" customHeight="1">
      <c r="A320" s="352" t="s">
        <v>2379</v>
      </c>
      <c r="B320" s="353">
        <v>84</v>
      </c>
      <c r="C320" s="354">
        <v>243</v>
      </c>
      <c r="D320" s="354">
        <f>B320*10-C320-200+3</f>
        <v>400</v>
      </c>
      <c r="E320" s="726">
        <f t="shared" si="15"/>
        <v>7.6547619047619051</v>
      </c>
      <c r="F320" s="867" t="s">
        <v>2380</v>
      </c>
      <c r="I320" s="279"/>
      <c r="J320" s="279"/>
      <c r="K320" s="279"/>
    </row>
    <row r="321" spans="1:11" s="351" customFormat="1" ht="19" customHeight="1">
      <c r="A321" s="348" t="s">
        <v>2377</v>
      </c>
      <c r="B321" s="349"/>
      <c r="C321" s="350"/>
      <c r="D321" s="350"/>
      <c r="E321" s="725" t="e">
        <f t="shared" si="15"/>
        <v>#DIV/0!</v>
      </c>
      <c r="F321" s="349"/>
      <c r="I321" s="279"/>
      <c r="J321" s="279"/>
      <c r="K321" s="279"/>
    </row>
    <row r="322" spans="1:11" s="351" customFormat="1" ht="19" customHeight="1">
      <c r="A322" s="352"/>
      <c r="B322" s="353"/>
      <c r="C322" s="354"/>
      <c r="D322" s="354"/>
      <c r="E322" s="726" t="e">
        <f t="shared" si="15"/>
        <v>#DIV/0!</v>
      </c>
      <c r="F322" s="353"/>
      <c r="I322" s="279"/>
      <c r="J322" s="279"/>
      <c r="K322" s="279"/>
    </row>
    <row r="323" spans="1:11" s="351" customFormat="1" ht="19" customHeight="1">
      <c r="A323" s="348"/>
      <c r="B323" s="349"/>
      <c r="C323" s="350"/>
      <c r="D323" s="350"/>
      <c r="E323" s="725" t="e">
        <f t="shared" si="15"/>
        <v>#DIV/0!</v>
      </c>
      <c r="F323" s="349"/>
      <c r="I323" s="279"/>
      <c r="J323" s="279"/>
      <c r="K323" s="279"/>
    </row>
    <row r="324" spans="1:11" s="351" customFormat="1" ht="19" customHeight="1">
      <c r="A324" s="352"/>
      <c r="B324" s="353"/>
      <c r="C324" s="354"/>
      <c r="D324" s="354"/>
      <c r="E324" s="726" t="e">
        <f t="shared" si="15"/>
        <v>#DIV/0!</v>
      </c>
      <c r="F324" s="353"/>
      <c r="I324" s="279"/>
      <c r="J324" s="279"/>
      <c r="K324" s="279"/>
    </row>
    <row r="325" spans="1:11" s="351" customFormat="1" ht="19" customHeight="1">
      <c r="A325" s="348"/>
      <c r="B325" s="349"/>
      <c r="C325" s="350"/>
      <c r="D325" s="350"/>
      <c r="E325" s="725" t="e">
        <f t="shared" si="15"/>
        <v>#DIV/0!</v>
      </c>
      <c r="F325" s="349"/>
      <c r="I325" s="279"/>
      <c r="J325" s="279"/>
      <c r="K325" s="279"/>
    </row>
    <row r="326" spans="1:11" s="351" customFormat="1" ht="19" customHeight="1">
      <c r="A326" s="352"/>
      <c r="B326" s="353"/>
      <c r="C326" s="354"/>
      <c r="D326" s="354"/>
      <c r="E326" s="726" t="e">
        <f t="shared" si="15"/>
        <v>#DIV/0!</v>
      </c>
      <c r="F326" s="353"/>
      <c r="I326" s="279"/>
      <c r="J326" s="279"/>
      <c r="K326" s="279"/>
    </row>
    <row r="327" spans="1:11" s="359" customFormat="1" ht="10" customHeight="1">
      <c r="A327" s="356"/>
      <c r="B327" s="357"/>
      <c r="C327" s="358"/>
      <c r="D327" s="357"/>
      <c r="E327" s="357"/>
      <c r="F327" s="357"/>
      <c r="I327" s="364"/>
      <c r="J327" s="364"/>
      <c r="K327" s="364"/>
    </row>
    <row r="328" spans="1:11" s="360" customFormat="1" ht="23" customHeight="1">
      <c r="A328" s="360" t="s">
        <v>1317</v>
      </c>
      <c r="C328" s="361">
        <f>SUM(C309:C326)</f>
        <v>10690</v>
      </c>
      <c r="D328" s="361">
        <f>SUM(D309:D326)</f>
        <v>12864</v>
      </c>
      <c r="E328" s="727"/>
      <c r="I328" s="728"/>
      <c r="J328" s="728"/>
      <c r="K328" s="728"/>
    </row>
    <row r="329" spans="1:11" s="360" customFormat="1" ht="23" customHeight="1">
      <c r="A329" s="360" t="s">
        <v>250</v>
      </c>
      <c r="B329" s="232"/>
      <c r="C329" s="361"/>
      <c r="E329" s="728"/>
      <c r="I329" s="728"/>
      <c r="J329" s="728"/>
      <c r="K329" s="728"/>
    </row>
    <row r="330" spans="1:11" s="360" customFormat="1" ht="23" customHeight="1">
      <c r="A330" s="360" t="s">
        <v>130</v>
      </c>
      <c r="B330" s="232"/>
      <c r="C330" s="361">
        <f>C328+C329+D328</f>
        <v>23554</v>
      </c>
      <c r="E330" s="728"/>
      <c r="I330" s="728"/>
      <c r="J330" s="728"/>
      <c r="K330" s="728"/>
    </row>
    <row r="331" spans="1:11" s="359" customFormat="1" ht="20" customHeight="1">
      <c r="A331" s="281"/>
      <c r="B331" s="364"/>
      <c r="C331" s="365"/>
      <c r="D331" s="364"/>
      <c r="E331" s="364"/>
      <c r="F331" s="364"/>
      <c r="I331" s="364"/>
      <c r="J331" s="364"/>
      <c r="K331" s="364"/>
    </row>
    <row r="332" spans="1:11" s="346" customFormat="1" ht="21" customHeight="1">
      <c r="A332" s="345" t="s">
        <v>1294</v>
      </c>
      <c r="B332" s="950" t="s">
        <v>1352</v>
      </c>
      <c r="C332" s="950"/>
      <c r="E332" s="724"/>
      <c r="I332" s="724"/>
      <c r="J332" s="724"/>
      <c r="K332" s="724"/>
    </row>
    <row r="333" spans="1:11" s="346" customFormat="1" ht="21" customHeight="1">
      <c r="A333" s="345" t="s">
        <v>1296</v>
      </c>
      <c r="B333" s="951" t="s">
        <v>1297</v>
      </c>
      <c r="C333" s="951"/>
      <c r="E333" s="724"/>
      <c r="I333" s="724"/>
      <c r="J333" s="724"/>
      <c r="K333" s="724"/>
    </row>
    <row r="335" spans="1:11" s="242" customFormat="1" ht="34" customHeight="1">
      <c r="A335" s="347" t="s">
        <v>1298</v>
      </c>
      <c r="B335" s="347" t="s">
        <v>1299</v>
      </c>
      <c r="C335" s="347" t="s">
        <v>1300</v>
      </c>
      <c r="D335" s="347" t="s">
        <v>1301</v>
      </c>
      <c r="E335" s="347" t="s">
        <v>1920</v>
      </c>
      <c r="F335" s="347" t="s">
        <v>1302</v>
      </c>
    </row>
    <row r="336" spans="1:11" s="351" customFormat="1" ht="19" customHeight="1">
      <c r="A336" s="348"/>
      <c r="B336" s="349"/>
      <c r="C336" s="350"/>
      <c r="D336" s="350"/>
      <c r="E336" s="725" t="e">
        <f t="shared" ref="E336:E353" si="16">(C336+D336)/B336</f>
        <v>#DIV/0!</v>
      </c>
      <c r="F336" s="349"/>
      <c r="I336" s="279"/>
      <c r="J336" s="279"/>
      <c r="K336" s="279"/>
    </row>
    <row r="337" spans="1:11" s="351" customFormat="1" ht="19" customHeight="1">
      <c r="A337" s="352"/>
      <c r="B337" s="353"/>
      <c r="C337" s="354"/>
      <c r="D337" s="354"/>
      <c r="E337" s="726" t="e">
        <f t="shared" si="16"/>
        <v>#DIV/0!</v>
      </c>
      <c r="F337" s="353"/>
      <c r="I337" s="279"/>
      <c r="J337" s="279"/>
      <c r="K337" s="279"/>
    </row>
    <row r="338" spans="1:11" s="351" customFormat="1" ht="19" customHeight="1">
      <c r="A338" s="348"/>
      <c r="B338" s="349"/>
      <c r="C338" s="350"/>
      <c r="D338" s="350"/>
      <c r="E338" s="725" t="e">
        <f t="shared" si="16"/>
        <v>#DIV/0!</v>
      </c>
      <c r="F338" s="349"/>
      <c r="I338" s="279"/>
      <c r="J338" s="279"/>
      <c r="K338" s="279"/>
    </row>
    <row r="339" spans="1:11" s="351" customFormat="1" ht="19" customHeight="1">
      <c r="A339" s="352"/>
      <c r="B339" s="353"/>
      <c r="C339" s="354"/>
      <c r="D339" s="354"/>
      <c r="E339" s="726" t="e">
        <f t="shared" si="16"/>
        <v>#DIV/0!</v>
      </c>
      <c r="F339" s="353"/>
      <c r="I339" s="279"/>
      <c r="J339" s="279"/>
      <c r="K339" s="279"/>
    </row>
    <row r="340" spans="1:11" s="351" customFormat="1" ht="19" customHeight="1">
      <c r="A340" s="348"/>
      <c r="B340" s="349"/>
      <c r="C340" s="350"/>
      <c r="D340" s="350"/>
      <c r="E340" s="725" t="e">
        <f t="shared" si="16"/>
        <v>#DIV/0!</v>
      </c>
      <c r="F340" s="349"/>
      <c r="I340" s="279"/>
      <c r="J340" s="279"/>
      <c r="K340" s="279"/>
    </row>
    <row r="341" spans="1:11" s="351" customFormat="1" ht="19" customHeight="1">
      <c r="A341" s="355"/>
      <c r="B341" s="353"/>
      <c r="C341" s="354"/>
      <c r="D341" s="354"/>
      <c r="E341" s="726" t="e">
        <f t="shared" si="16"/>
        <v>#DIV/0!</v>
      </c>
      <c r="F341" s="353"/>
      <c r="I341" s="279"/>
      <c r="J341" s="279"/>
      <c r="K341" s="279"/>
    </row>
    <row r="342" spans="1:11" s="351" customFormat="1" ht="19" customHeight="1">
      <c r="A342" s="348"/>
      <c r="B342" s="349"/>
      <c r="C342" s="350"/>
      <c r="D342" s="350"/>
      <c r="E342" s="725" t="e">
        <f t="shared" si="16"/>
        <v>#DIV/0!</v>
      </c>
      <c r="F342" s="349"/>
      <c r="I342" s="279"/>
      <c r="J342" s="279"/>
      <c r="K342" s="279"/>
    </row>
    <row r="343" spans="1:11" s="351" customFormat="1" ht="19" customHeight="1">
      <c r="A343" s="355"/>
      <c r="B343" s="353"/>
      <c r="C343" s="354"/>
      <c r="D343" s="354"/>
      <c r="E343" s="726" t="e">
        <f t="shared" si="16"/>
        <v>#DIV/0!</v>
      </c>
      <c r="F343" s="353"/>
      <c r="I343" s="279"/>
      <c r="J343" s="279"/>
      <c r="K343" s="279"/>
    </row>
    <row r="344" spans="1:11" s="351" customFormat="1" ht="19" customHeight="1">
      <c r="A344" s="348"/>
      <c r="B344" s="349"/>
      <c r="C344" s="350"/>
      <c r="D344" s="350"/>
      <c r="E344" s="725" t="e">
        <f t="shared" si="16"/>
        <v>#DIV/0!</v>
      </c>
      <c r="F344" s="349"/>
      <c r="I344" s="279"/>
      <c r="J344" s="279"/>
      <c r="K344" s="279"/>
    </row>
    <row r="345" spans="1:11" s="351" customFormat="1" ht="19" customHeight="1">
      <c r="A345" s="355"/>
      <c r="B345" s="353"/>
      <c r="C345" s="354"/>
      <c r="D345" s="354"/>
      <c r="E345" s="726" t="e">
        <f t="shared" si="16"/>
        <v>#DIV/0!</v>
      </c>
      <c r="F345" s="353"/>
      <c r="I345" s="279"/>
      <c r="J345" s="279"/>
      <c r="K345" s="279"/>
    </row>
    <row r="346" spans="1:11" s="351" customFormat="1" ht="19" customHeight="1">
      <c r="A346" s="348"/>
      <c r="B346" s="349"/>
      <c r="C346" s="350"/>
      <c r="D346" s="350"/>
      <c r="E346" s="725" t="e">
        <f t="shared" si="16"/>
        <v>#DIV/0!</v>
      </c>
      <c r="F346" s="349"/>
      <c r="I346" s="279"/>
      <c r="J346" s="279"/>
      <c r="K346" s="279"/>
    </row>
    <row r="347" spans="1:11" s="351" customFormat="1" ht="19" customHeight="1">
      <c r="A347" s="352"/>
      <c r="B347" s="353"/>
      <c r="C347" s="354"/>
      <c r="D347" s="354"/>
      <c r="E347" s="726" t="e">
        <f t="shared" si="16"/>
        <v>#DIV/0!</v>
      </c>
      <c r="F347" s="353"/>
      <c r="I347" s="279"/>
      <c r="J347" s="279"/>
      <c r="K347" s="279"/>
    </row>
    <row r="348" spans="1:11" s="351" customFormat="1" ht="19" customHeight="1">
      <c r="A348" s="348"/>
      <c r="B348" s="349"/>
      <c r="C348" s="350"/>
      <c r="D348" s="350"/>
      <c r="E348" s="725" t="e">
        <f t="shared" si="16"/>
        <v>#DIV/0!</v>
      </c>
      <c r="F348" s="349"/>
      <c r="I348" s="279"/>
      <c r="J348" s="279"/>
      <c r="K348" s="279"/>
    </row>
    <row r="349" spans="1:11" s="351" customFormat="1" ht="19" customHeight="1">
      <c r="A349" s="352"/>
      <c r="B349" s="353"/>
      <c r="C349" s="354"/>
      <c r="D349" s="354"/>
      <c r="E349" s="726" t="e">
        <f t="shared" si="16"/>
        <v>#DIV/0!</v>
      </c>
      <c r="F349" s="353"/>
      <c r="I349" s="279"/>
      <c r="J349" s="279"/>
      <c r="K349" s="279"/>
    </row>
    <row r="350" spans="1:11" s="351" customFormat="1" ht="19" customHeight="1">
      <c r="A350" s="348"/>
      <c r="B350" s="349"/>
      <c r="C350" s="350"/>
      <c r="D350" s="350"/>
      <c r="E350" s="725" t="e">
        <f t="shared" si="16"/>
        <v>#DIV/0!</v>
      </c>
      <c r="F350" s="349"/>
      <c r="I350" s="279"/>
      <c r="J350" s="279"/>
      <c r="K350" s="279"/>
    </row>
    <row r="351" spans="1:11" s="351" customFormat="1" ht="19" customHeight="1">
      <c r="A351" s="352"/>
      <c r="B351" s="353"/>
      <c r="C351" s="354"/>
      <c r="D351" s="354"/>
      <c r="E351" s="726" t="e">
        <f t="shared" si="16"/>
        <v>#DIV/0!</v>
      </c>
      <c r="F351" s="353"/>
      <c r="I351" s="279"/>
      <c r="J351" s="279"/>
      <c r="K351" s="279"/>
    </row>
    <row r="352" spans="1:11" s="351" customFormat="1" ht="19" customHeight="1">
      <c r="A352" s="348"/>
      <c r="B352" s="349"/>
      <c r="C352" s="350"/>
      <c r="D352" s="350"/>
      <c r="E352" s="725" t="e">
        <f t="shared" si="16"/>
        <v>#DIV/0!</v>
      </c>
      <c r="F352" s="349"/>
      <c r="I352" s="279"/>
      <c r="J352" s="279"/>
      <c r="K352" s="279"/>
    </row>
    <row r="353" spans="1:11" s="351" customFormat="1" ht="19" customHeight="1">
      <c r="A353" s="352"/>
      <c r="B353" s="353"/>
      <c r="C353" s="354"/>
      <c r="D353" s="354"/>
      <c r="E353" s="726" t="e">
        <f t="shared" si="16"/>
        <v>#DIV/0!</v>
      </c>
      <c r="F353" s="353"/>
      <c r="I353" s="279"/>
      <c r="J353" s="279"/>
      <c r="K353" s="279"/>
    </row>
    <row r="354" spans="1:11" s="359" customFormat="1" ht="10" customHeight="1">
      <c r="A354" s="356"/>
      <c r="B354" s="357"/>
      <c r="C354" s="358"/>
      <c r="D354" s="357"/>
      <c r="E354" s="357"/>
      <c r="F354" s="357"/>
      <c r="I354" s="364"/>
      <c r="J354" s="364"/>
      <c r="K354" s="364"/>
    </row>
    <row r="355" spans="1:11" s="360" customFormat="1" ht="23" customHeight="1">
      <c r="A355" s="360" t="s">
        <v>1317</v>
      </c>
      <c r="C355" s="361">
        <f>SUM(C336:C353)</f>
        <v>0</v>
      </c>
      <c r="D355" s="361">
        <f>SUM(D336:D353)</f>
        <v>0</v>
      </c>
      <c r="E355" s="727"/>
      <c r="I355" s="728"/>
      <c r="J355" s="728"/>
      <c r="K355" s="728"/>
    </row>
    <row r="356" spans="1:11" s="360" customFormat="1" ht="23" customHeight="1">
      <c r="A356" s="360" t="s">
        <v>250</v>
      </c>
      <c r="B356" s="232"/>
      <c r="C356" s="361"/>
      <c r="E356" s="728"/>
      <c r="I356" s="728"/>
      <c r="J356" s="728"/>
      <c r="K356" s="728"/>
    </row>
    <row r="357" spans="1:11" s="360" customFormat="1" ht="23" customHeight="1">
      <c r="A357" s="360" t="s">
        <v>130</v>
      </c>
      <c r="B357" s="232"/>
      <c r="C357" s="361">
        <f>C355+C356+D355</f>
        <v>0</v>
      </c>
      <c r="E357" s="728"/>
      <c r="I357" s="728"/>
      <c r="J357" s="728"/>
      <c r="K357" s="728"/>
    </row>
  </sheetData>
  <mergeCells count="26">
    <mergeCell ref="B2:C2"/>
    <mergeCell ref="B3:C3"/>
    <mergeCell ref="B84:C84"/>
    <mergeCell ref="B85:C85"/>
    <mergeCell ref="B112:C112"/>
    <mergeCell ref="B113:C113"/>
    <mergeCell ref="B29:C29"/>
    <mergeCell ref="B30:C30"/>
    <mergeCell ref="B57:C57"/>
    <mergeCell ref="B58:C58"/>
    <mergeCell ref="B332:C332"/>
    <mergeCell ref="B333:C333"/>
    <mergeCell ref="B305:C305"/>
    <mergeCell ref="B306:C306"/>
    <mergeCell ref="B139:C139"/>
    <mergeCell ref="B140:C140"/>
    <mergeCell ref="B195:C195"/>
    <mergeCell ref="B196:C196"/>
    <mergeCell ref="B223:C223"/>
    <mergeCell ref="B167:C167"/>
    <mergeCell ref="B168:C168"/>
    <mergeCell ref="B278:C278"/>
    <mergeCell ref="B279:C279"/>
    <mergeCell ref="B224:C224"/>
    <mergeCell ref="B251:C251"/>
    <mergeCell ref="B252:C252"/>
  </mergeCells>
  <pageMargins left="0.7" right="0.7" top="0.75" bottom="0.75" header="0.3" footer="0.3"/>
  <pageSetup paperSize="9" orientation="landscape" horizontalDpi="0" verticalDpi="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5E08-1CD0-7C4D-9E11-81A5DB396448}">
  <sheetPr>
    <tabColor theme="4" tint="0.39997558519241921"/>
    <pageSetUpPr fitToPage="1"/>
  </sheetPr>
  <dimension ref="A1:AW206"/>
  <sheetViews>
    <sheetView topLeftCell="A177" zoomScale="224" zoomScaleNormal="190" workbookViewId="0">
      <selection activeCell="AC180" sqref="AC180"/>
    </sheetView>
  </sheetViews>
  <sheetFormatPr baseColWidth="10" defaultColWidth="10.83203125" defaultRowHeight="15"/>
  <cols>
    <col min="1" max="1" width="0.33203125" style="272" customWidth="1"/>
    <col min="2" max="2" width="7" style="670" bestFit="1" customWidth="1"/>
    <col min="3" max="33" width="2.83203125" style="267" customWidth="1"/>
    <col min="34" max="34" width="5.33203125" style="722" bestFit="1" customWidth="1"/>
    <col min="35" max="35" width="16.83203125" style="691" customWidth="1"/>
    <col min="36" max="36" width="2.1640625" style="708" bestFit="1" customWidth="1"/>
    <col min="37" max="37" width="1.83203125" style="708" bestFit="1" customWidth="1"/>
    <col min="38" max="38" width="2.5" style="708" bestFit="1" customWidth="1"/>
    <col min="39" max="39" width="1.6640625" style="663" customWidth="1"/>
    <col min="40" max="40" width="8.83203125" style="701" customWidth="1"/>
    <col min="41" max="43" width="10" style="663" customWidth="1"/>
    <col min="44" max="44" width="10" style="664" customWidth="1"/>
    <col min="45" max="49" width="10.83203125" style="272"/>
    <col min="50" max="16384" width="10.83203125" style="273"/>
  </cols>
  <sheetData>
    <row r="1" spans="2:45" s="272" customFormat="1">
      <c r="B1" s="668"/>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4"/>
      <c r="AD1" s="234"/>
      <c r="AE1" s="234"/>
      <c r="AF1" s="234"/>
      <c r="AG1" s="234"/>
      <c r="AH1" s="721"/>
      <c r="AI1" s="690"/>
      <c r="AJ1" s="692"/>
      <c r="AK1" s="692"/>
      <c r="AL1" s="692"/>
      <c r="AM1" s="693"/>
      <c r="AN1" s="701"/>
      <c r="AO1" s="692"/>
      <c r="AP1" s="692"/>
      <c r="AQ1" s="692"/>
      <c r="AR1" s="692"/>
    </row>
    <row r="2" spans="2:45" ht="21" customHeight="1">
      <c r="B2" s="953" t="s">
        <v>1353</v>
      </c>
      <c r="C2" s="953"/>
      <c r="D2" s="953"/>
      <c r="E2" s="953"/>
      <c r="F2" s="953"/>
      <c r="G2" s="953"/>
      <c r="H2" s="953"/>
      <c r="I2" s="953"/>
      <c r="J2" s="953"/>
      <c r="K2" s="953"/>
      <c r="L2" s="953"/>
      <c r="M2" s="953"/>
      <c r="N2" s="953"/>
      <c r="O2" s="953"/>
      <c r="P2" s="953"/>
      <c r="Q2" s="953"/>
      <c r="R2" s="953"/>
      <c r="S2" s="953"/>
      <c r="T2" s="953"/>
      <c r="U2" s="953"/>
      <c r="V2" s="953"/>
      <c r="W2" s="953"/>
      <c r="X2" s="953"/>
      <c r="Y2" s="953"/>
      <c r="Z2" s="953"/>
      <c r="AA2" s="953"/>
      <c r="AB2" s="953"/>
      <c r="AC2" s="953"/>
      <c r="AD2" s="953"/>
      <c r="AE2" s="953"/>
      <c r="AF2" s="953"/>
      <c r="AG2" s="953"/>
      <c r="AH2" s="953"/>
      <c r="AI2" s="690"/>
      <c r="AJ2" s="694"/>
      <c r="AK2" s="694"/>
      <c r="AL2" s="694"/>
      <c r="AM2" s="695"/>
      <c r="AN2" s="955">
        <v>2025</v>
      </c>
      <c r="AO2" s="955"/>
      <c r="AP2" s="955"/>
      <c r="AQ2" s="955"/>
      <c r="AR2" s="955"/>
      <c r="AS2" s="955"/>
    </row>
    <row r="3" spans="2:45">
      <c r="B3" s="669"/>
      <c r="C3" s="367">
        <v>1</v>
      </c>
      <c r="D3" s="367">
        <v>2</v>
      </c>
      <c r="E3" s="367">
        <v>3</v>
      </c>
      <c r="F3" s="367">
        <v>4</v>
      </c>
      <c r="G3" s="684">
        <v>5</v>
      </c>
      <c r="H3" s="705">
        <v>6</v>
      </c>
      <c r="I3" s="367">
        <v>7</v>
      </c>
      <c r="J3" s="367">
        <v>8</v>
      </c>
      <c r="K3" s="367">
        <v>9</v>
      </c>
      <c r="L3" s="367">
        <v>10</v>
      </c>
      <c r="M3" s="367">
        <v>11</v>
      </c>
      <c r="N3" s="684">
        <v>12</v>
      </c>
      <c r="O3" s="704">
        <v>13</v>
      </c>
      <c r="P3" s="367">
        <v>14</v>
      </c>
      <c r="Q3" s="367">
        <v>15</v>
      </c>
      <c r="R3" s="367">
        <v>16</v>
      </c>
      <c r="S3" s="367">
        <v>17</v>
      </c>
      <c r="T3" s="367">
        <v>18</v>
      </c>
      <c r="U3" s="703">
        <v>19</v>
      </c>
      <c r="V3" s="704">
        <v>20</v>
      </c>
      <c r="W3" s="367">
        <v>21</v>
      </c>
      <c r="X3" s="367">
        <v>22</v>
      </c>
      <c r="Y3" s="367">
        <v>23</v>
      </c>
      <c r="Z3" s="367">
        <v>24</v>
      </c>
      <c r="AA3" s="367">
        <v>25</v>
      </c>
      <c r="AB3" s="684">
        <v>26</v>
      </c>
      <c r="AC3" s="704">
        <v>27</v>
      </c>
      <c r="AD3" s="367">
        <v>28</v>
      </c>
      <c r="AE3" s="367">
        <v>29</v>
      </c>
      <c r="AF3" s="367">
        <v>30</v>
      </c>
      <c r="AG3" s="367">
        <v>31</v>
      </c>
      <c r="AH3" s="684" t="s">
        <v>116</v>
      </c>
      <c r="AI3" s="666" t="s">
        <v>292</v>
      </c>
      <c r="AJ3" s="717" t="s">
        <v>27</v>
      </c>
      <c r="AK3" s="718" t="s">
        <v>1909</v>
      </c>
      <c r="AL3" s="719" t="s">
        <v>1355</v>
      </c>
      <c r="AM3" s="695"/>
      <c r="AN3" s="720">
        <f ca="1">_xlfn.ISOWEEKNUM(TODAY())</f>
        <v>1</v>
      </c>
      <c r="AO3" s="709" t="s">
        <v>1910</v>
      </c>
      <c r="AP3" s="711" t="s">
        <v>1911</v>
      </c>
      <c r="AQ3" s="713" t="s">
        <v>1912</v>
      </c>
      <c r="AR3" s="715" t="s">
        <v>116</v>
      </c>
      <c r="AS3" s="795" t="s">
        <v>2008</v>
      </c>
    </row>
    <row r="4" spans="2:45" ht="16" customHeight="1">
      <c r="B4" s="472" t="s">
        <v>1354</v>
      </c>
      <c r="C4" s="469" t="s">
        <v>27</v>
      </c>
      <c r="D4" s="468">
        <v>9</v>
      </c>
      <c r="E4" s="660" t="s">
        <v>1355</v>
      </c>
      <c r="F4" s="660" t="s">
        <v>1355</v>
      </c>
      <c r="G4" s="661" t="s">
        <v>1355</v>
      </c>
      <c r="H4" s="662" t="s">
        <v>1355</v>
      </c>
      <c r="I4" s="469" t="s">
        <v>1355</v>
      </c>
      <c r="J4" s="469" t="s">
        <v>27</v>
      </c>
      <c r="K4" s="469" t="s">
        <v>27</v>
      </c>
      <c r="L4" s="468">
        <v>9</v>
      </c>
      <c r="M4" s="468">
        <v>9</v>
      </c>
      <c r="N4" s="651">
        <v>9</v>
      </c>
      <c r="O4" s="656" t="s">
        <v>27</v>
      </c>
      <c r="P4" s="468">
        <v>9</v>
      </c>
      <c r="Q4" s="468">
        <v>9</v>
      </c>
      <c r="R4" s="468">
        <v>9</v>
      </c>
      <c r="S4" s="468">
        <v>9</v>
      </c>
      <c r="T4" s="468">
        <v>9</v>
      </c>
      <c r="U4" s="651">
        <v>9</v>
      </c>
      <c r="V4" s="656" t="s">
        <v>27</v>
      </c>
      <c r="W4" s="468">
        <v>9</v>
      </c>
      <c r="X4" s="468">
        <v>9</v>
      </c>
      <c r="Y4" s="468">
        <v>9</v>
      </c>
      <c r="Z4" s="468">
        <v>9</v>
      </c>
      <c r="AA4" s="468">
        <v>7</v>
      </c>
      <c r="AB4" s="651">
        <v>9</v>
      </c>
      <c r="AC4" s="656" t="s">
        <v>27</v>
      </c>
      <c r="AD4" s="468">
        <v>9</v>
      </c>
      <c r="AE4" s="469" t="s">
        <v>27</v>
      </c>
      <c r="AF4" s="468">
        <v>9</v>
      </c>
      <c r="AG4" s="468">
        <v>9</v>
      </c>
      <c r="AH4" s="685">
        <f>SUM(C4:AG4)</f>
        <v>169</v>
      </c>
      <c r="AI4" s="699"/>
      <c r="AJ4" s="708">
        <f>COUNTIF(C4:AG4,"R")</f>
        <v>7</v>
      </c>
      <c r="AK4" s="708">
        <f>COUNTIF(C4:AG4,"Z")</f>
        <v>0</v>
      </c>
      <c r="AL4" s="708">
        <f>COUNTIF(C4:AG4,"FE")</f>
        <v>5</v>
      </c>
      <c r="AM4" s="665"/>
      <c r="AN4" s="702" t="s">
        <v>1354</v>
      </c>
      <c r="AO4" s="710">
        <f>SUMIF($B:$B,"Annalisa",AJ:AJ)</f>
        <v>101</v>
      </c>
      <c r="AP4" s="712">
        <f>SUMIF($B:$B,"Annalisa",AK:AK)</f>
        <v>1</v>
      </c>
      <c r="AQ4" s="714">
        <f>SUMIF($B:$B,"Annalisa",AL:AL)</f>
        <v>23</v>
      </c>
      <c r="AR4" s="716">
        <f>SUM(AO4:AQ4)</f>
        <v>125</v>
      </c>
      <c r="AS4" s="796">
        <f>SUMIF($B:$B,AN4,AH:AH)</f>
        <v>1939.5</v>
      </c>
    </row>
    <row r="5" spans="2:45" ht="16" customHeight="1">
      <c r="B5" s="473" t="s">
        <v>1357</v>
      </c>
      <c r="C5" s="469" t="s">
        <v>27</v>
      </c>
      <c r="D5" s="660" t="s">
        <v>1909</v>
      </c>
      <c r="E5" s="471">
        <v>9</v>
      </c>
      <c r="F5" s="471">
        <v>9</v>
      </c>
      <c r="G5" s="652">
        <v>9</v>
      </c>
      <c r="H5" s="654">
        <v>9</v>
      </c>
      <c r="I5" s="469" t="s">
        <v>1909</v>
      </c>
      <c r="J5" s="469" t="s">
        <v>27</v>
      </c>
      <c r="K5" s="469" t="s">
        <v>27</v>
      </c>
      <c r="L5" s="471">
        <v>9</v>
      </c>
      <c r="M5" s="471">
        <v>9</v>
      </c>
      <c r="N5" s="652">
        <v>9</v>
      </c>
      <c r="O5" s="656" t="s">
        <v>27</v>
      </c>
      <c r="P5" s="469" t="s">
        <v>27</v>
      </c>
      <c r="Q5" s="660" t="s">
        <v>1355</v>
      </c>
      <c r="R5" s="660" t="s">
        <v>1355</v>
      </c>
      <c r="S5" s="660" t="s">
        <v>1355</v>
      </c>
      <c r="T5" s="660" t="s">
        <v>1355</v>
      </c>
      <c r="U5" s="661" t="s">
        <v>1355</v>
      </c>
      <c r="V5" s="656" t="s">
        <v>27</v>
      </c>
      <c r="W5" s="469" t="s">
        <v>27</v>
      </c>
      <c r="X5" s="660" t="s">
        <v>1355</v>
      </c>
      <c r="Y5" s="660" t="s">
        <v>1355</v>
      </c>
      <c r="Z5" s="660" t="s">
        <v>1355</v>
      </c>
      <c r="AA5" s="660" t="s">
        <v>1355</v>
      </c>
      <c r="AB5" s="661" t="s">
        <v>1355</v>
      </c>
      <c r="AC5" s="656" t="s">
        <v>27</v>
      </c>
      <c r="AD5" s="469" t="s">
        <v>27</v>
      </c>
      <c r="AE5" s="471">
        <v>9</v>
      </c>
      <c r="AF5" s="471">
        <v>9</v>
      </c>
      <c r="AG5" s="471">
        <v>9</v>
      </c>
      <c r="AH5" s="686">
        <f>SUM(C5:AG5)</f>
        <v>90</v>
      </c>
      <c r="AI5" s="700"/>
      <c r="AJ5" s="708">
        <f t="shared" ref="AJ5:AJ8" si="0">COUNTIF(C5:AG5,"R")</f>
        <v>9</v>
      </c>
      <c r="AK5" s="708">
        <f t="shared" ref="AK5:AK8" si="1">COUNTIF(C5:AG5,"Z")</f>
        <v>2</v>
      </c>
      <c r="AL5" s="708">
        <f t="shared" ref="AL5:AL8" si="2">COUNTIF(C5:AG5,"FE")</f>
        <v>10</v>
      </c>
      <c r="AM5" s="665"/>
      <c r="AN5" s="702" t="s">
        <v>1357</v>
      </c>
      <c r="AO5" s="710">
        <f>SUMIF($B:$B,"Vanessa",AJ:AJ)</f>
        <v>104</v>
      </c>
      <c r="AP5" s="712">
        <f>SUMIF($B:$B,"Vanessa",AK:AK)</f>
        <v>3</v>
      </c>
      <c r="AQ5" s="714">
        <f>SUMIF($B:$B,"Vanessa",AL:AL)</f>
        <v>20</v>
      </c>
      <c r="AR5" s="716">
        <f t="shared" ref="AR5:AR9" si="3">SUM(AO5:AQ5)</f>
        <v>127</v>
      </c>
      <c r="AS5" s="796">
        <f t="shared" ref="AS5:AS9" si="4">SUMIF($B:$B,AN5,AH:AH)</f>
        <v>2072.5</v>
      </c>
    </row>
    <row r="6" spans="2:45" ht="16" customHeight="1">
      <c r="B6" s="472" t="s">
        <v>1358</v>
      </c>
      <c r="C6" s="469" t="s">
        <v>27</v>
      </c>
      <c r="D6" s="469" t="s">
        <v>27</v>
      </c>
      <c r="E6" s="470" t="s">
        <v>1356</v>
      </c>
      <c r="F6" s="470" t="s">
        <v>1356</v>
      </c>
      <c r="G6" s="649" t="s">
        <v>1356</v>
      </c>
      <c r="H6" s="650" t="s">
        <v>1356</v>
      </c>
      <c r="I6" s="470" t="s">
        <v>1356</v>
      </c>
      <c r="J6" s="470" t="s">
        <v>1356</v>
      </c>
      <c r="K6" s="469" t="s">
        <v>27</v>
      </c>
      <c r="L6" s="469" t="s">
        <v>27</v>
      </c>
      <c r="M6" s="469" t="s">
        <v>27</v>
      </c>
      <c r="N6" s="655" t="s">
        <v>27</v>
      </c>
      <c r="O6" s="656" t="s">
        <v>27</v>
      </c>
      <c r="P6" s="468">
        <v>8.5</v>
      </c>
      <c r="Q6" s="468">
        <v>8.5</v>
      </c>
      <c r="R6" s="468">
        <v>9.5</v>
      </c>
      <c r="S6" s="468">
        <v>9.5</v>
      </c>
      <c r="T6" s="468">
        <v>10.5</v>
      </c>
      <c r="U6" s="651">
        <v>12.5</v>
      </c>
      <c r="V6" s="656" t="s">
        <v>27</v>
      </c>
      <c r="W6" s="469" t="s">
        <v>27</v>
      </c>
      <c r="X6" s="660" t="s">
        <v>1355</v>
      </c>
      <c r="Y6" s="660" t="s">
        <v>1355</v>
      </c>
      <c r="Z6" s="660" t="s">
        <v>1355</v>
      </c>
      <c r="AA6" s="660" t="s">
        <v>1355</v>
      </c>
      <c r="AB6" s="661" t="s">
        <v>1355</v>
      </c>
      <c r="AC6" s="656" t="s">
        <v>27</v>
      </c>
      <c r="AD6" s="469" t="s">
        <v>27</v>
      </c>
      <c r="AE6" s="468">
        <v>10</v>
      </c>
      <c r="AF6" s="468">
        <v>8</v>
      </c>
      <c r="AG6" s="468">
        <v>11</v>
      </c>
      <c r="AH6" s="685">
        <f t="shared" ref="AH6:AH16" si="5">SUM(C6:AG6)</f>
        <v>88</v>
      </c>
      <c r="AI6" s="699"/>
      <c r="AJ6" s="708">
        <f t="shared" si="0"/>
        <v>11</v>
      </c>
      <c r="AK6" s="708">
        <f t="shared" si="1"/>
        <v>0</v>
      </c>
      <c r="AL6" s="708">
        <f t="shared" si="2"/>
        <v>5</v>
      </c>
      <c r="AM6" s="665"/>
      <c r="AN6" s="702" t="s">
        <v>1358</v>
      </c>
      <c r="AO6" s="710">
        <f>SUMIF($B:$B,"Sega",AJ:AJ)</f>
        <v>105</v>
      </c>
      <c r="AP6" s="712">
        <f>SUMIF($B:$B,"Sega",AK:AK)</f>
        <v>5</v>
      </c>
      <c r="AQ6" s="714">
        <f>SUMIF($B:$B,"Sega",AL:AL)</f>
        <v>20</v>
      </c>
      <c r="AR6" s="716">
        <f t="shared" si="3"/>
        <v>130</v>
      </c>
      <c r="AS6" s="796">
        <f t="shared" si="4"/>
        <v>2070.5</v>
      </c>
    </row>
    <row r="7" spans="2:45" ht="16" customHeight="1">
      <c r="B7" s="473" t="s">
        <v>1359</v>
      </c>
      <c r="C7" s="469" t="s">
        <v>27</v>
      </c>
      <c r="D7" s="471">
        <v>9.5</v>
      </c>
      <c r="E7" s="471">
        <v>10</v>
      </c>
      <c r="F7" s="471">
        <v>11.5</v>
      </c>
      <c r="G7" s="652">
        <v>11</v>
      </c>
      <c r="H7" s="654">
        <v>12.5</v>
      </c>
      <c r="I7" s="469" t="s">
        <v>27</v>
      </c>
      <c r="J7" s="471" t="s">
        <v>1356</v>
      </c>
      <c r="K7" s="469" t="s">
        <v>27</v>
      </c>
      <c r="L7" s="471">
        <v>11</v>
      </c>
      <c r="M7" s="471">
        <v>11</v>
      </c>
      <c r="N7" s="652">
        <v>8</v>
      </c>
      <c r="O7" s="656" t="s">
        <v>27</v>
      </c>
      <c r="P7" s="659" t="s">
        <v>27</v>
      </c>
      <c r="Q7" s="660" t="s">
        <v>1355</v>
      </c>
      <c r="R7" s="660" t="s">
        <v>1355</v>
      </c>
      <c r="S7" s="660" t="s">
        <v>1355</v>
      </c>
      <c r="T7" s="660" t="s">
        <v>1355</v>
      </c>
      <c r="U7" s="661" t="s">
        <v>1355</v>
      </c>
      <c r="V7" s="656" t="s">
        <v>27</v>
      </c>
      <c r="W7" s="471">
        <v>8.5</v>
      </c>
      <c r="X7" s="471">
        <v>9</v>
      </c>
      <c r="Y7" s="471">
        <v>9</v>
      </c>
      <c r="Z7" s="471">
        <v>10</v>
      </c>
      <c r="AA7" s="471">
        <v>11.5</v>
      </c>
      <c r="AB7" s="655" t="s">
        <v>27</v>
      </c>
      <c r="AC7" s="656" t="s">
        <v>27</v>
      </c>
      <c r="AD7" s="471">
        <v>8</v>
      </c>
      <c r="AE7" s="469" t="s">
        <v>27</v>
      </c>
      <c r="AF7" s="471">
        <v>8</v>
      </c>
      <c r="AG7" s="471">
        <v>11</v>
      </c>
      <c r="AH7" s="686">
        <f t="shared" si="5"/>
        <v>159.5</v>
      </c>
      <c r="AI7" s="700"/>
      <c r="AJ7" s="708">
        <f t="shared" si="0"/>
        <v>9</v>
      </c>
      <c r="AK7" s="708">
        <f t="shared" si="1"/>
        <v>0</v>
      </c>
      <c r="AL7" s="708">
        <f t="shared" si="2"/>
        <v>5</v>
      </c>
      <c r="AM7" s="665"/>
      <c r="AN7" s="702" t="s">
        <v>1359</v>
      </c>
      <c r="AO7" s="710">
        <f>SUMIF($B:$B,"Brian",AJ:AJ)</f>
        <v>106</v>
      </c>
      <c r="AP7" s="712">
        <f>SUMIF($B:$B,"Brian",AK:AK)</f>
        <v>0</v>
      </c>
      <c r="AQ7" s="714">
        <f>SUMIF($B:$B,"Brian",AL:AL)</f>
        <v>25</v>
      </c>
      <c r="AR7" s="716">
        <f t="shared" si="3"/>
        <v>131</v>
      </c>
      <c r="AS7" s="796">
        <f t="shared" si="4"/>
        <v>2152.5</v>
      </c>
    </row>
    <row r="8" spans="2:45" ht="16" customHeight="1">
      <c r="B8" s="472" t="s">
        <v>1360</v>
      </c>
      <c r="C8" s="469" t="s">
        <v>27</v>
      </c>
      <c r="D8" s="468">
        <v>3.5</v>
      </c>
      <c r="E8" s="470" t="s">
        <v>1356</v>
      </c>
      <c r="F8" s="470" t="s">
        <v>1356</v>
      </c>
      <c r="G8" s="649" t="s">
        <v>1356</v>
      </c>
      <c r="H8" s="650" t="s">
        <v>1356</v>
      </c>
      <c r="I8" s="470" t="s">
        <v>1356</v>
      </c>
      <c r="J8" s="470" t="s">
        <v>1356</v>
      </c>
      <c r="K8" s="469" t="s">
        <v>27</v>
      </c>
      <c r="L8" s="468">
        <v>11</v>
      </c>
      <c r="M8" s="660" t="s">
        <v>27</v>
      </c>
      <c r="N8" s="660" t="s">
        <v>1909</v>
      </c>
      <c r="O8" s="656" t="s">
        <v>27</v>
      </c>
      <c r="P8" s="659" t="s">
        <v>27</v>
      </c>
      <c r="Q8" s="660" t="s">
        <v>1909</v>
      </c>
      <c r="R8" s="468">
        <v>9.5</v>
      </c>
      <c r="S8" s="468">
        <v>9.5</v>
      </c>
      <c r="T8" s="468">
        <v>10.5</v>
      </c>
      <c r="U8" s="651">
        <v>12.5</v>
      </c>
      <c r="V8" s="656" t="s">
        <v>27</v>
      </c>
      <c r="W8" s="469" t="s">
        <v>27</v>
      </c>
      <c r="X8" s="660" t="s">
        <v>27</v>
      </c>
      <c r="Y8" s="468">
        <v>9</v>
      </c>
      <c r="Z8" s="468">
        <v>10</v>
      </c>
      <c r="AA8" s="468">
        <v>11.5</v>
      </c>
      <c r="AB8" s="651">
        <v>8</v>
      </c>
      <c r="AC8" s="656" t="s">
        <v>27</v>
      </c>
      <c r="AD8" s="469" t="s">
        <v>27</v>
      </c>
      <c r="AE8" s="660" t="s">
        <v>1355</v>
      </c>
      <c r="AF8" s="660" t="s">
        <v>1355</v>
      </c>
      <c r="AG8" s="660" t="s">
        <v>1355</v>
      </c>
      <c r="AH8" s="685">
        <f t="shared" si="5"/>
        <v>95</v>
      </c>
      <c r="AI8" s="699"/>
      <c r="AJ8" s="708">
        <f t="shared" si="0"/>
        <v>10</v>
      </c>
      <c r="AK8" s="708">
        <f t="shared" si="1"/>
        <v>2</v>
      </c>
      <c r="AL8" s="708">
        <f t="shared" si="2"/>
        <v>3</v>
      </c>
      <c r="AM8" s="665"/>
      <c r="AN8" s="702" t="s">
        <v>1360</v>
      </c>
      <c r="AO8" s="710">
        <f>SUMIF($B:$B,"Silvia",AJ:AJ)</f>
        <v>105</v>
      </c>
      <c r="AP8" s="712">
        <f>SUMIF(B:B,"Silvia",AK:AK)</f>
        <v>5</v>
      </c>
      <c r="AQ8" s="714">
        <f>SUMIF(B:B,"Silvia",AL:AL)</f>
        <v>23</v>
      </c>
      <c r="AR8" s="716">
        <f>SUM(AO8:AQ8)</f>
        <v>133</v>
      </c>
      <c r="AS8" s="796">
        <f>SUMIF($B:$B,AN8,AH:AH)</f>
        <v>1980.5</v>
      </c>
    </row>
    <row r="9" spans="2:45" ht="16" customHeight="1">
      <c r="B9" s="473"/>
      <c r="C9" s="471"/>
      <c r="D9" s="471"/>
      <c r="E9" s="471"/>
      <c r="F9" s="471"/>
      <c r="G9" s="652"/>
      <c r="H9" s="654"/>
      <c r="I9" s="471"/>
      <c r="J9" s="471"/>
      <c r="K9" s="471"/>
      <c r="L9" s="471"/>
      <c r="M9" s="471"/>
      <c r="N9" s="652"/>
      <c r="O9" s="654"/>
      <c r="P9" s="471"/>
      <c r="Q9" s="471"/>
      <c r="R9" s="471"/>
      <c r="S9" s="471"/>
      <c r="T9" s="471"/>
      <c r="U9" s="652"/>
      <c r="V9" s="654"/>
      <c r="W9" s="471"/>
      <c r="X9" s="471"/>
      <c r="Y9" s="471"/>
      <c r="Z9" s="471"/>
      <c r="AA9" s="471"/>
      <c r="AB9" s="652"/>
      <c r="AC9" s="654"/>
      <c r="AD9" s="471"/>
      <c r="AE9" s="471"/>
      <c r="AF9" s="471"/>
      <c r="AG9" s="471"/>
      <c r="AH9" s="686">
        <f t="shared" si="5"/>
        <v>0</v>
      </c>
      <c r="AI9" s="700"/>
      <c r="AN9" s="702" t="s">
        <v>1869</v>
      </c>
      <c r="AO9" s="710">
        <f>SUMIF($B:$B,"Serena",AJ:AJ)</f>
        <v>42</v>
      </c>
      <c r="AP9" s="712">
        <f>SUMIF($B:$B,"Serena",AK:AK)</f>
        <v>0</v>
      </c>
      <c r="AQ9" s="714">
        <f>SUMIF($B:$B,"Serena",AL:AL)</f>
        <v>5</v>
      </c>
      <c r="AR9" s="716">
        <f t="shared" si="3"/>
        <v>47</v>
      </c>
      <c r="AS9" s="796">
        <f t="shared" si="4"/>
        <v>918</v>
      </c>
    </row>
    <row r="10" spans="2:45" ht="16" customHeight="1">
      <c r="B10" s="472" t="s">
        <v>1361</v>
      </c>
      <c r="C10" s="468"/>
      <c r="D10" s="468"/>
      <c r="E10" s="468">
        <v>6.5</v>
      </c>
      <c r="F10" s="468">
        <v>10.5</v>
      </c>
      <c r="G10" s="651">
        <v>11</v>
      </c>
      <c r="H10" s="653">
        <v>12.5</v>
      </c>
      <c r="I10" s="468"/>
      <c r="J10" s="468"/>
      <c r="K10" s="468"/>
      <c r="L10" s="468">
        <v>6</v>
      </c>
      <c r="M10" s="468">
        <v>9</v>
      </c>
      <c r="N10" s="651">
        <v>8</v>
      </c>
      <c r="O10" s="653"/>
      <c r="P10" s="468"/>
      <c r="Q10" s="468"/>
      <c r="R10" s="468"/>
      <c r="S10" s="468">
        <v>4.5</v>
      </c>
      <c r="T10" s="468">
        <v>5.5</v>
      </c>
      <c r="U10" s="651">
        <v>12.5</v>
      </c>
      <c r="V10" s="653"/>
      <c r="W10" s="468"/>
      <c r="X10" s="468"/>
      <c r="Y10" s="468"/>
      <c r="Z10" s="468">
        <v>5</v>
      </c>
      <c r="AA10" s="468">
        <v>6</v>
      </c>
      <c r="AB10" s="651">
        <v>8</v>
      </c>
      <c r="AC10" s="653"/>
      <c r="AD10" s="468"/>
      <c r="AE10" s="468"/>
      <c r="AF10" s="468"/>
      <c r="AG10" s="468"/>
      <c r="AH10" s="685">
        <f t="shared" si="5"/>
        <v>105</v>
      </c>
      <c r="AI10" s="699" t="s">
        <v>1362</v>
      </c>
      <c r="AN10" s="702" t="s">
        <v>1363</v>
      </c>
      <c r="AO10" s="710">
        <f>SUMIF($B:$B,"Matteo M",AJ:AJ)</f>
        <v>6</v>
      </c>
      <c r="AP10" s="712">
        <f>SUMIF($B:$B,"Matteo M",AK:AK)</f>
        <v>0</v>
      </c>
      <c r="AQ10" s="714">
        <f>SUMIF($B:$B,"Matteo M",AL:AL)</f>
        <v>0</v>
      </c>
      <c r="AR10" s="716">
        <f t="shared" ref="AR10" si="6">SUM(AO10:AQ10)</f>
        <v>6</v>
      </c>
      <c r="AS10" s="796">
        <f t="shared" ref="AS10" si="7">SUMIF($B:$B,AN10,AH:AH)</f>
        <v>1306.5</v>
      </c>
    </row>
    <row r="11" spans="2:45" ht="16" customHeight="1">
      <c r="B11" s="473" t="s">
        <v>1363</v>
      </c>
      <c r="C11" s="471"/>
      <c r="D11" s="471"/>
      <c r="E11" s="471"/>
      <c r="F11" s="471"/>
      <c r="G11" s="652"/>
      <c r="H11" s="671">
        <v>12</v>
      </c>
      <c r="I11" s="471"/>
      <c r="J11" s="471"/>
      <c r="K11" s="471"/>
      <c r="L11" s="471"/>
      <c r="M11" s="471">
        <v>11</v>
      </c>
      <c r="N11" s="652">
        <v>4.5</v>
      </c>
      <c r="O11" s="654"/>
      <c r="P11" s="471"/>
      <c r="Q11" s="471"/>
      <c r="R11" s="471"/>
      <c r="S11" s="471"/>
      <c r="T11" s="471">
        <v>10.5</v>
      </c>
      <c r="U11" s="652">
        <v>8</v>
      </c>
      <c r="V11" s="654"/>
      <c r="W11" s="471"/>
      <c r="X11" s="471"/>
      <c r="Y11" s="471"/>
      <c r="Z11" s="471"/>
      <c r="AA11" s="471"/>
      <c r="AB11" s="652"/>
      <c r="AC11" s="654"/>
      <c r="AD11" s="471"/>
      <c r="AE11" s="471"/>
      <c r="AF11" s="471"/>
      <c r="AG11" s="471"/>
      <c r="AH11" s="686">
        <f t="shared" si="5"/>
        <v>46</v>
      </c>
      <c r="AI11" s="700"/>
    </row>
    <row r="12" spans="2:45" ht="16" customHeight="1">
      <c r="B12" s="472" t="s">
        <v>1364</v>
      </c>
      <c r="C12" s="468"/>
      <c r="D12" s="468">
        <v>9.5</v>
      </c>
      <c r="E12" s="468">
        <v>10</v>
      </c>
      <c r="F12" s="468">
        <v>11.5</v>
      </c>
      <c r="G12" s="651">
        <v>11</v>
      </c>
      <c r="H12" s="653">
        <v>12.5</v>
      </c>
      <c r="I12" s="468"/>
      <c r="J12" s="468"/>
      <c r="K12" s="468"/>
      <c r="L12" s="468"/>
      <c r="M12" s="468"/>
      <c r="N12" s="651"/>
      <c r="O12" s="653"/>
      <c r="P12" s="468"/>
      <c r="Q12" s="468"/>
      <c r="R12" s="468"/>
      <c r="S12" s="468"/>
      <c r="T12" s="468"/>
      <c r="U12" s="651">
        <v>12.5</v>
      </c>
      <c r="V12" s="653"/>
      <c r="W12" s="468"/>
      <c r="X12" s="468"/>
      <c r="Y12" s="468"/>
      <c r="Z12" s="468">
        <v>5</v>
      </c>
      <c r="AA12" s="468">
        <v>10.5</v>
      </c>
      <c r="AB12" s="651">
        <v>6</v>
      </c>
      <c r="AC12" s="653"/>
      <c r="AD12" s="468"/>
      <c r="AE12" s="468"/>
      <c r="AF12" s="468"/>
      <c r="AG12" s="468">
        <v>6</v>
      </c>
      <c r="AH12" s="685">
        <f t="shared" si="5"/>
        <v>94.5</v>
      </c>
      <c r="AI12" s="699"/>
    </row>
    <row r="13" spans="2:45" ht="16" customHeight="1">
      <c r="B13" s="473" t="s">
        <v>1878</v>
      </c>
      <c r="C13" s="471"/>
      <c r="D13" s="471">
        <v>9</v>
      </c>
      <c r="E13" s="471">
        <v>9</v>
      </c>
      <c r="F13" s="471">
        <v>9</v>
      </c>
      <c r="G13" s="652">
        <v>9</v>
      </c>
      <c r="H13" s="654">
        <v>9</v>
      </c>
      <c r="I13" s="471"/>
      <c r="J13" s="471"/>
      <c r="K13" s="471"/>
      <c r="L13" s="471"/>
      <c r="M13" s="471"/>
      <c r="N13" s="652"/>
      <c r="O13" s="654"/>
      <c r="P13" s="471"/>
      <c r="Q13" s="471"/>
      <c r="R13" s="471"/>
      <c r="S13" s="471">
        <v>9</v>
      </c>
      <c r="T13" s="471">
        <v>9</v>
      </c>
      <c r="U13" s="652">
        <v>9</v>
      </c>
      <c r="V13" s="654"/>
      <c r="W13" s="471"/>
      <c r="X13" s="471"/>
      <c r="Y13" s="471"/>
      <c r="Z13" s="471">
        <v>9</v>
      </c>
      <c r="AA13" s="471">
        <v>3</v>
      </c>
      <c r="AB13" s="652"/>
      <c r="AC13" s="654"/>
      <c r="AD13" s="471"/>
      <c r="AE13" s="471"/>
      <c r="AF13" s="471"/>
      <c r="AG13" s="471"/>
      <c r="AH13" s="686">
        <f t="shared" si="5"/>
        <v>84</v>
      </c>
      <c r="AI13" s="700"/>
    </row>
    <row r="14" spans="2:45" ht="16" customHeight="1">
      <c r="B14" s="472" t="s">
        <v>1879</v>
      </c>
      <c r="C14" s="468"/>
      <c r="D14" s="468"/>
      <c r="E14" s="468"/>
      <c r="F14" s="468"/>
      <c r="G14" s="651"/>
      <c r="H14" s="653"/>
      <c r="I14" s="468"/>
      <c r="J14" s="468"/>
      <c r="K14" s="468"/>
      <c r="L14" s="468"/>
      <c r="M14" s="468"/>
      <c r="N14" s="651"/>
      <c r="O14" s="653"/>
      <c r="P14" s="468">
        <v>9</v>
      </c>
      <c r="Q14" s="468">
        <v>7</v>
      </c>
      <c r="R14" s="468">
        <v>7.5</v>
      </c>
      <c r="S14" s="468"/>
      <c r="T14" s="468"/>
      <c r="U14" s="651"/>
      <c r="V14" s="653"/>
      <c r="W14" s="468">
        <v>9</v>
      </c>
      <c r="X14" s="468">
        <v>7</v>
      </c>
      <c r="Y14" s="468">
        <v>7</v>
      </c>
      <c r="Z14" s="468"/>
      <c r="AA14" s="468"/>
      <c r="AB14" s="651"/>
      <c r="AC14" s="653"/>
      <c r="AD14" s="468">
        <v>7</v>
      </c>
      <c r="AE14" s="468">
        <v>7</v>
      </c>
      <c r="AF14" s="468"/>
      <c r="AG14" s="468"/>
      <c r="AH14" s="685">
        <f t="shared" si="5"/>
        <v>60.5</v>
      </c>
      <c r="AI14" s="699"/>
    </row>
    <row r="15" spans="2:45" ht="16" customHeight="1">
      <c r="B15" s="473" t="s">
        <v>1416</v>
      </c>
      <c r="C15" s="471"/>
      <c r="D15" s="471"/>
      <c r="E15" s="471"/>
      <c r="F15" s="471"/>
      <c r="G15" s="652"/>
      <c r="H15" s="654"/>
      <c r="I15" s="471"/>
      <c r="J15" s="471"/>
      <c r="K15" s="471"/>
      <c r="L15" s="471"/>
      <c r="M15" s="471"/>
      <c r="N15" s="652"/>
      <c r="O15" s="654"/>
      <c r="P15" s="471">
        <v>8.5</v>
      </c>
      <c r="Q15" s="471">
        <v>8.5</v>
      </c>
      <c r="R15" s="471"/>
      <c r="S15" s="471">
        <v>4.5</v>
      </c>
      <c r="T15" s="471"/>
      <c r="U15" s="652"/>
      <c r="V15" s="654"/>
      <c r="W15" s="471">
        <v>8.5</v>
      </c>
      <c r="X15" s="471">
        <v>9</v>
      </c>
      <c r="Y15" s="471"/>
      <c r="Z15" s="471"/>
      <c r="AA15" s="471"/>
      <c r="AB15" s="652"/>
      <c r="AC15" s="654"/>
      <c r="AD15" s="471">
        <v>8</v>
      </c>
      <c r="AE15" s="471">
        <v>10</v>
      </c>
      <c r="AF15" s="471"/>
      <c r="AG15" s="471"/>
      <c r="AH15" s="686">
        <f>SUM(C15:AG15)</f>
        <v>57</v>
      </c>
      <c r="AI15" s="700"/>
    </row>
    <row r="16" spans="2:45" ht="16" customHeight="1">
      <c r="B16" s="472" t="s">
        <v>1872</v>
      </c>
      <c r="C16" s="468"/>
      <c r="D16" s="468"/>
      <c r="E16" s="468"/>
      <c r="F16" s="468"/>
      <c r="G16" s="651"/>
      <c r="H16" s="653"/>
      <c r="I16" s="468"/>
      <c r="J16" s="468"/>
      <c r="K16" s="468"/>
      <c r="L16" s="468"/>
      <c r="M16" s="468"/>
      <c r="N16" s="651"/>
      <c r="O16" s="653"/>
      <c r="P16" s="468"/>
      <c r="Q16" s="468"/>
      <c r="R16" s="468"/>
      <c r="S16" s="468"/>
      <c r="T16" s="468"/>
      <c r="U16" s="651"/>
      <c r="V16" s="653"/>
      <c r="W16" s="468"/>
      <c r="X16" s="468"/>
      <c r="Y16" s="468"/>
      <c r="Z16" s="468"/>
      <c r="AA16" s="468">
        <v>9</v>
      </c>
      <c r="AB16" s="651">
        <v>9</v>
      </c>
      <c r="AC16" s="653"/>
      <c r="AD16" s="468"/>
      <c r="AE16" s="468"/>
      <c r="AF16" s="468"/>
      <c r="AG16" s="468"/>
      <c r="AH16" s="685">
        <f t="shared" si="5"/>
        <v>18</v>
      </c>
      <c r="AI16" s="699"/>
    </row>
    <row r="17" spans="2:44" s="272" customFormat="1" ht="13" customHeight="1">
      <c r="B17" s="668"/>
      <c r="C17" s="234"/>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721"/>
      <c r="AI17" s="690"/>
      <c r="AJ17" s="708"/>
      <c r="AK17" s="708"/>
      <c r="AL17" s="708"/>
      <c r="AM17" s="663"/>
      <c r="AN17" s="701"/>
      <c r="AO17" s="663"/>
      <c r="AP17" s="663"/>
      <c r="AQ17" s="663"/>
      <c r="AR17" s="664"/>
    </row>
    <row r="18" spans="2:44" s="272" customFormat="1" ht="21" customHeight="1">
      <c r="B18" s="953" t="s">
        <v>1365</v>
      </c>
      <c r="C18" s="953"/>
      <c r="D18" s="953"/>
      <c r="E18" s="953"/>
      <c r="F18" s="953"/>
      <c r="G18" s="953"/>
      <c r="H18" s="953"/>
      <c r="I18" s="953"/>
      <c r="J18" s="953"/>
      <c r="K18" s="953"/>
      <c r="L18" s="953"/>
      <c r="M18" s="953"/>
      <c r="N18" s="953"/>
      <c r="O18" s="953"/>
      <c r="P18" s="953"/>
      <c r="Q18" s="953"/>
      <c r="R18" s="953"/>
      <c r="S18" s="953"/>
      <c r="T18" s="953"/>
      <c r="U18" s="953"/>
      <c r="V18" s="953"/>
      <c r="W18" s="953"/>
      <c r="X18" s="953"/>
      <c r="Y18" s="953"/>
      <c r="Z18" s="953"/>
      <c r="AA18" s="953"/>
      <c r="AB18" s="953"/>
      <c r="AC18" s="953"/>
      <c r="AD18" s="953"/>
      <c r="AE18" s="953"/>
      <c r="AF18" s="953"/>
      <c r="AG18" s="953"/>
      <c r="AH18" s="953"/>
      <c r="AI18" s="690"/>
      <c r="AJ18" s="694"/>
      <c r="AK18" s="694"/>
      <c r="AL18" s="694"/>
      <c r="AM18" s="695"/>
      <c r="AN18" s="701"/>
      <c r="AO18" s="663"/>
      <c r="AP18" s="663"/>
      <c r="AQ18" s="663"/>
      <c r="AR18" s="664"/>
    </row>
    <row r="19" spans="2:44">
      <c r="B19" s="669"/>
      <c r="C19" s="367">
        <v>1</v>
      </c>
      <c r="D19" s="703">
        <v>2</v>
      </c>
      <c r="E19" s="704">
        <v>3</v>
      </c>
      <c r="F19" s="367">
        <v>4</v>
      </c>
      <c r="G19" s="367">
        <v>5</v>
      </c>
      <c r="H19" s="367">
        <v>6</v>
      </c>
      <c r="I19" s="367">
        <v>7</v>
      </c>
      <c r="J19" s="367">
        <v>8</v>
      </c>
      <c r="K19" s="684">
        <v>9</v>
      </c>
      <c r="L19" s="704">
        <v>10</v>
      </c>
      <c r="M19" s="367">
        <v>11</v>
      </c>
      <c r="N19" s="367">
        <v>12</v>
      </c>
      <c r="O19" s="367">
        <v>13</v>
      </c>
      <c r="P19" s="367">
        <v>14</v>
      </c>
      <c r="Q19" s="367">
        <v>15</v>
      </c>
      <c r="R19" s="703">
        <v>16</v>
      </c>
      <c r="S19" s="704">
        <v>17</v>
      </c>
      <c r="T19" s="367">
        <v>18</v>
      </c>
      <c r="U19" s="367">
        <v>19</v>
      </c>
      <c r="V19" s="367">
        <v>20</v>
      </c>
      <c r="W19" s="367">
        <v>21</v>
      </c>
      <c r="X19" s="367">
        <v>22</v>
      </c>
      <c r="Y19" s="684">
        <v>23</v>
      </c>
      <c r="Z19" s="704">
        <v>24</v>
      </c>
      <c r="AA19" s="367">
        <v>25</v>
      </c>
      <c r="AB19" s="367">
        <v>26</v>
      </c>
      <c r="AC19" s="367">
        <v>27</v>
      </c>
      <c r="AD19" s="367">
        <v>28</v>
      </c>
      <c r="AE19" s="367">
        <v>29</v>
      </c>
      <c r="AF19" s="367">
        <v>30</v>
      </c>
      <c r="AG19" s="367">
        <v>31</v>
      </c>
      <c r="AH19" s="367" t="s">
        <v>116</v>
      </c>
      <c r="AI19" s="666" t="s">
        <v>292</v>
      </c>
      <c r="AJ19" s="717" t="s">
        <v>27</v>
      </c>
      <c r="AK19" s="718" t="s">
        <v>1909</v>
      </c>
      <c r="AL19" s="719" t="s">
        <v>1355</v>
      </c>
      <c r="AM19" s="695"/>
    </row>
    <row r="20" spans="2:44" ht="16" customHeight="1">
      <c r="B20" s="472" t="s">
        <v>1354</v>
      </c>
      <c r="C20" s="468">
        <v>9</v>
      </c>
      <c r="D20" s="651">
        <v>9</v>
      </c>
      <c r="E20" s="656" t="s">
        <v>27</v>
      </c>
      <c r="F20" s="469" t="s">
        <v>27</v>
      </c>
      <c r="G20" s="660" t="s">
        <v>1355</v>
      </c>
      <c r="H20" s="660" t="s">
        <v>1355</v>
      </c>
      <c r="I20" s="660" t="s">
        <v>1355</v>
      </c>
      <c r="J20" s="660" t="s">
        <v>1355</v>
      </c>
      <c r="K20" s="661" t="s">
        <v>1355</v>
      </c>
      <c r="L20" s="656" t="s">
        <v>27</v>
      </c>
      <c r="M20" s="469" t="s">
        <v>27</v>
      </c>
      <c r="N20" s="660" t="s">
        <v>1355</v>
      </c>
      <c r="O20" s="660" t="s">
        <v>1355</v>
      </c>
      <c r="P20" s="660" t="s">
        <v>1355</v>
      </c>
      <c r="Q20" s="660" t="s">
        <v>1355</v>
      </c>
      <c r="R20" s="661" t="s">
        <v>1355</v>
      </c>
      <c r="S20" s="656" t="s">
        <v>27</v>
      </c>
      <c r="T20" s="468">
        <v>9</v>
      </c>
      <c r="U20" s="469" t="s">
        <v>27</v>
      </c>
      <c r="V20" s="468">
        <v>9</v>
      </c>
      <c r="W20" s="468">
        <v>9</v>
      </c>
      <c r="X20" s="468">
        <v>9</v>
      </c>
      <c r="Y20" s="651">
        <v>9</v>
      </c>
      <c r="Z20" s="656" t="s">
        <v>27</v>
      </c>
      <c r="AA20" s="468">
        <v>9</v>
      </c>
      <c r="AB20" s="469" t="s">
        <v>27</v>
      </c>
      <c r="AC20" s="468">
        <v>9</v>
      </c>
      <c r="AD20" s="468">
        <v>9</v>
      </c>
      <c r="AE20" s="688" t="s">
        <v>1366</v>
      </c>
      <c r="AF20" s="688" t="s">
        <v>1366</v>
      </c>
      <c r="AG20" s="688" t="s">
        <v>1366</v>
      </c>
      <c r="AH20" s="366">
        <f>SUM(C20:AG20)</f>
        <v>90</v>
      </c>
      <c r="AI20" s="699"/>
      <c r="AJ20" s="708">
        <f>COUNTIF(C20:AG20,"R")</f>
        <v>8</v>
      </c>
      <c r="AK20" s="708">
        <f>COUNTIF(C20:AG20,"Z")</f>
        <v>0</v>
      </c>
      <c r="AL20" s="708">
        <f>COUNTIF(C20:AG20,"FE")</f>
        <v>10</v>
      </c>
      <c r="AM20" s="665"/>
    </row>
    <row r="21" spans="2:44" ht="16" customHeight="1">
      <c r="B21" s="473" t="s">
        <v>1357</v>
      </c>
      <c r="C21" s="471">
        <v>9</v>
      </c>
      <c r="D21" s="652">
        <v>9</v>
      </c>
      <c r="E21" s="656" t="s">
        <v>27</v>
      </c>
      <c r="F21" s="471">
        <v>9</v>
      </c>
      <c r="G21" s="471">
        <v>9</v>
      </c>
      <c r="H21" s="471">
        <v>9</v>
      </c>
      <c r="I21" s="471">
        <v>9</v>
      </c>
      <c r="J21" s="471">
        <v>9</v>
      </c>
      <c r="K21" s="652">
        <v>9</v>
      </c>
      <c r="L21" s="656" t="s">
        <v>27</v>
      </c>
      <c r="M21" s="471">
        <v>9</v>
      </c>
      <c r="N21" s="471">
        <v>9</v>
      </c>
      <c r="O21" s="471">
        <v>9.5</v>
      </c>
      <c r="P21" s="471">
        <v>9</v>
      </c>
      <c r="Q21" s="471">
        <v>9</v>
      </c>
      <c r="R21" s="652">
        <v>9</v>
      </c>
      <c r="S21" s="656" t="s">
        <v>27</v>
      </c>
      <c r="T21" s="469" t="s">
        <v>27</v>
      </c>
      <c r="U21" s="471">
        <v>9</v>
      </c>
      <c r="V21" s="469" t="s">
        <v>27</v>
      </c>
      <c r="W21" s="469" t="s">
        <v>27</v>
      </c>
      <c r="X21" s="471">
        <v>9</v>
      </c>
      <c r="Y21" s="652">
        <v>9</v>
      </c>
      <c r="Z21" s="656" t="s">
        <v>27</v>
      </c>
      <c r="AA21" s="469" t="s">
        <v>27</v>
      </c>
      <c r="AB21" s="471">
        <v>9</v>
      </c>
      <c r="AC21" s="471">
        <v>9</v>
      </c>
      <c r="AD21" s="471">
        <v>9</v>
      </c>
      <c r="AE21" s="688" t="s">
        <v>1366</v>
      </c>
      <c r="AF21" s="688" t="s">
        <v>1366</v>
      </c>
      <c r="AG21" s="688" t="s">
        <v>1366</v>
      </c>
      <c r="AH21" s="687">
        <f>SUM(C21:AG21)</f>
        <v>180.5</v>
      </c>
      <c r="AI21" s="700"/>
      <c r="AJ21" s="708">
        <f t="shared" ref="AJ21:AJ24" si="8">COUNTIF(C21:AG21,"R")</f>
        <v>8</v>
      </c>
      <c r="AK21" s="708">
        <f t="shared" ref="AK21:AK24" si="9">COUNTIF(C21:AG21,"Z")</f>
        <v>0</v>
      </c>
      <c r="AL21" s="708">
        <f t="shared" ref="AL21:AL24" si="10">COUNTIF(C21:AG21,"FE")</f>
        <v>0</v>
      </c>
      <c r="AM21" s="665"/>
    </row>
    <row r="22" spans="2:44" ht="16" customHeight="1">
      <c r="B22" s="472" t="s">
        <v>1358</v>
      </c>
      <c r="C22" s="468">
        <v>11.5</v>
      </c>
      <c r="D22" s="651">
        <v>12.5</v>
      </c>
      <c r="E22" s="656" t="s">
        <v>27</v>
      </c>
      <c r="F22" s="469" t="s">
        <v>27</v>
      </c>
      <c r="G22" s="660" t="s">
        <v>1355</v>
      </c>
      <c r="H22" s="660" t="s">
        <v>1355</v>
      </c>
      <c r="I22" s="660" t="s">
        <v>1355</v>
      </c>
      <c r="J22" s="660" t="s">
        <v>1355</v>
      </c>
      <c r="K22" s="661" t="s">
        <v>1355</v>
      </c>
      <c r="L22" s="656" t="s">
        <v>27</v>
      </c>
      <c r="M22" s="469" t="s">
        <v>27</v>
      </c>
      <c r="N22" s="468">
        <v>10</v>
      </c>
      <c r="O22" s="468">
        <v>9.5</v>
      </c>
      <c r="P22" s="468">
        <v>10</v>
      </c>
      <c r="Q22" s="468">
        <v>11</v>
      </c>
      <c r="R22" s="651">
        <v>12</v>
      </c>
      <c r="S22" s="656" t="s">
        <v>27</v>
      </c>
      <c r="T22" s="468">
        <v>8</v>
      </c>
      <c r="U22" s="468">
        <v>8</v>
      </c>
      <c r="V22" s="468">
        <v>8.5</v>
      </c>
      <c r="W22" s="468">
        <v>10.5</v>
      </c>
      <c r="X22" s="468">
        <v>11.5</v>
      </c>
      <c r="Y22" s="655" t="s">
        <v>27</v>
      </c>
      <c r="Z22" s="656" t="s">
        <v>27</v>
      </c>
      <c r="AA22" s="468">
        <v>9.5</v>
      </c>
      <c r="AB22" s="468">
        <v>8</v>
      </c>
      <c r="AC22" s="468">
        <v>9</v>
      </c>
      <c r="AD22" s="468">
        <v>11.5</v>
      </c>
      <c r="AE22" s="688" t="s">
        <v>1366</v>
      </c>
      <c r="AF22" s="688" t="s">
        <v>1366</v>
      </c>
      <c r="AG22" s="688" t="s">
        <v>1366</v>
      </c>
      <c r="AH22" s="366">
        <f t="shared" ref="AH22:AH32" si="11">SUM(C22:AG22)</f>
        <v>161</v>
      </c>
      <c r="AI22" s="699"/>
      <c r="AJ22" s="708">
        <f t="shared" si="8"/>
        <v>7</v>
      </c>
      <c r="AK22" s="708">
        <f t="shared" si="9"/>
        <v>0</v>
      </c>
      <c r="AL22" s="708">
        <f t="shared" si="10"/>
        <v>5</v>
      </c>
      <c r="AM22" s="665"/>
    </row>
    <row r="23" spans="2:44" ht="16" customHeight="1">
      <c r="B23" s="473" t="s">
        <v>1359</v>
      </c>
      <c r="C23" s="471">
        <v>11.5</v>
      </c>
      <c r="D23" s="652">
        <v>12.5</v>
      </c>
      <c r="E23" s="656" t="s">
        <v>27</v>
      </c>
      <c r="F23" s="471">
        <v>11</v>
      </c>
      <c r="G23" s="471">
        <v>8.5</v>
      </c>
      <c r="H23" s="471">
        <v>9</v>
      </c>
      <c r="I23" s="471">
        <v>11</v>
      </c>
      <c r="J23" s="471">
        <v>11</v>
      </c>
      <c r="K23" s="655" t="s">
        <v>27</v>
      </c>
      <c r="L23" s="656" t="s">
        <v>27</v>
      </c>
      <c r="M23" s="471">
        <v>9.5</v>
      </c>
      <c r="N23" s="469" t="s">
        <v>27</v>
      </c>
      <c r="O23" s="471">
        <v>9.5</v>
      </c>
      <c r="P23" s="471">
        <v>10</v>
      </c>
      <c r="Q23" s="471">
        <v>11</v>
      </c>
      <c r="R23" s="652">
        <v>12</v>
      </c>
      <c r="S23" s="656" t="s">
        <v>27</v>
      </c>
      <c r="T23" s="469" t="s">
        <v>27</v>
      </c>
      <c r="U23" s="660" t="s">
        <v>1355</v>
      </c>
      <c r="V23" s="660" t="s">
        <v>1355</v>
      </c>
      <c r="W23" s="660" t="s">
        <v>1355</v>
      </c>
      <c r="X23" s="660" t="s">
        <v>1355</v>
      </c>
      <c r="Y23" s="661" t="s">
        <v>1355</v>
      </c>
      <c r="Z23" s="656" t="s">
        <v>27</v>
      </c>
      <c r="AA23" s="469" t="s">
        <v>27</v>
      </c>
      <c r="AB23" s="471">
        <v>8</v>
      </c>
      <c r="AC23" s="471">
        <v>9</v>
      </c>
      <c r="AD23" s="471">
        <v>11.5</v>
      </c>
      <c r="AE23" s="688" t="s">
        <v>1366</v>
      </c>
      <c r="AF23" s="688" t="s">
        <v>1366</v>
      </c>
      <c r="AG23" s="688" t="s">
        <v>1366</v>
      </c>
      <c r="AH23" s="687">
        <f t="shared" si="11"/>
        <v>155</v>
      </c>
      <c r="AI23" s="700"/>
      <c r="AJ23" s="708">
        <f t="shared" si="8"/>
        <v>8</v>
      </c>
      <c r="AK23" s="708">
        <f t="shared" si="9"/>
        <v>0</v>
      </c>
      <c r="AL23" s="708">
        <f t="shared" si="10"/>
        <v>5</v>
      </c>
      <c r="AM23" s="665"/>
    </row>
    <row r="24" spans="2:44" ht="16" customHeight="1">
      <c r="B24" s="472" t="s">
        <v>1360</v>
      </c>
      <c r="C24" s="660" t="s">
        <v>1355</v>
      </c>
      <c r="D24" s="661" t="s">
        <v>1355</v>
      </c>
      <c r="E24" s="656" t="s">
        <v>27</v>
      </c>
      <c r="F24" s="469" t="s">
        <v>27</v>
      </c>
      <c r="G24" s="660" t="s">
        <v>1355</v>
      </c>
      <c r="H24" s="468">
        <v>9</v>
      </c>
      <c r="I24" s="468">
        <v>11</v>
      </c>
      <c r="J24" s="468">
        <v>11</v>
      </c>
      <c r="K24" s="651">
        <v>10</v>
      </c>
      <c r="L24" s="656" t="s">
        <v>27</v>
      </c>
      <c r="M24" s="469" t="s">
        <v>27</v>
      </c>
      <c r="N24" s="660" t="s">
        <v>1355</v>
      </c>
      <c r="O24" s="660" t="s">
        <v>1355</v>
      </c>
      <c r="P24" s="660" t="s">
        <v>1355</v>
      </c>
      <c r="Q24" s="660" t="s">
        <v>1355</v>
      </c>
      <c r="R24" s="661" t="s">
        <v>1355</v>
      </c>
      <c r="S24" s="656" t="s">
        <v>27</v>
      </c>
      <c r="T24" s="468">
        <v>8</v>
      </c>
      <c r="U24" s="468">
        <v>8</v>
      </c>
      <c r="V24" s="468">
        <v>8.5</v>
      </c>
      <c r="W24" s="468">
        <v>10.5</v>
      </c>
      <c r="X24" s="468">
        <v>11.5</v>
      </c>
      <c r="Y24" s="651">
        <v>9.5</v>
      </c>
      <c r="Z24" s="656" t="s">
        <v>27</v>
      </c>
      <c r="AA24" s="468">
        <v>9.5</v>
      </c>
      <c r="AB24" s="469" t="s">
        <v>27</v>
      </c>
      <c r="AC24" s="469" t="s">
        <v>27</v>
      </c>
      <c r="AD24" s="660" t="s">
        <v>27</v>
      </c>
      <c r="AE24" s="688" t="s">
        <v>1366</v>
      </c>
      <c r="AF24" s="688" t="s">
        <v>1366</v>
      </c>
      <c r="AG24" s="688" t="s">
        <v>1366</v>
      </c>
      <c r="AH24" s="366">
        <f t="shared" si="11"/>
        <v>106.5</v>
      </c>
      <c r="AI24" s="699"/>
      <c r="AJ24" s="708">
        <f t="shared" si="8"/>
        <v>9</v>
      </c>
      <c r="AK24" s="708">
        <f t="shared" si="9"/>
        <v>0</v>
      </c>
      <c r="AL24" s="708">
        <f t="shared" si="10"/>
        <v>8</v>
      </c>
      <c r="AM24" s="665"/>
    </row>
    <row r="25" spans="2:44" ht="16" customHeight="1">
      <c r="B25" s="473"/>
      <c r="C25" s="471"/>
      <c r="D25" s="652"/>
      <c r="E25" s="654"/>
      <c r="F25" s="471"/>
      <c r="G25" s="471"/>
      <c r="H25" s="471"/>
      <c r="I25" s="471"/>
      <c r="J25" s="471"/>
      <c r="K25" s="652"/>
      <c r="L25" s="654"/>
      <c r="M25" s="471"/>
      <c r="N25" s="471"/>
      <c r="O25" s="471"/>
      <c r="P25" s="471"/>
      <c r="Q25" s="471"/>
      <c r="R25" s="652"/>
      <c r="S25" s="654"/>
      <c r="T25" s="471"/>
      <c r="U25" s="471"/>
      <c r="V25" s="471"/>
      <c r="W25" s="471"/>
      <c r="X25" s="471"/>
      <c r="Y25" s="652"/>
      <c r="Z25" s="654"/>
      <c r="AA25" s="471"/>
      <c r="AB25" s="471"/>
      <c r="AC25" s="471"/>
      <c r="AD25" s="471"/>
      <c r="AE25" s="688" t="s">
        <v>1366</v>
      </c>
      <c r="AF25" s="688" t="s">
        <v>1366</v>
      </c>
      <c r="AG25" s="688" t="s">
        <v>1366</v>
      </c>
      <c r="AH25" s="687">
        <f t="shared" si="11"/>
        <v>0</v>
      </c>
      <c r="AI25" s="700"/>
    </row>
    <row r="26" spans="2:44" ht="16" customHeight="1">
      <c r="B26" s="472" t="s">
        <v>1361</v>
      </c>
      <c r="C26" s="468">
        <v>6.5</v>
      </c>
      <c r="D26" s="651">
        <v>12.5</v>
      </c>
      <c r="E26" s="653"/>
      <c r="F26" s="468"/>
      <c r="G26" s="468"/>
      <c r="H26" s="468"/>
      <c r="I26" s="468">
        <v>8</v>
      </c>
      <c r="J26" s="468">
        <v>9</v>
      </c>
      <c r="K26" s="651">
        <v>10</v>
      </c>
      <c r="L26" s="653"/>
      <c r="M26" s="468"/>
      <c r="N26" s="468"/>
      <c r="O26" s="468"/>
      <c r="P26" s="468">
        <v>5</v>
      </c>
      <c r="Q26" s="468">
        <v>9</v>
      </c>
      <c r="R26" s="651">
        <v>12</v>
      </c>
      <c r="S26" s="653"/>
      <c r="T26" s="468"/>
      <c r="U26" s="468"/>
      <c r="V26" s="468"/>
      <c r="W26" s="468">
        <v>5.5</v>
      </c>
      <c r="X26" s="468">
        <v>9.5</v>
      </c>
      <c r="Y26" s="651">
        <v>9.5</v>
      </c>
      <c r="Z26" s="653"/>
      <c r="AA26" s="468"/>
      <c r="AB26" s="468"/>
      <c r="AC26" s="468"/>
      <c r="AD26" s="468">
        <v>6.5</v>
      </c>
      <c r="AE26" s="688" t="s">
        <v>1366</v>
      </c>
      <c r="AF26" s="688" t="s">
        <v>1366</v>
      </c>
      <c r="AG26" s="688" t="s">
        <v>1366</v>
      </c>
      <c r="AH26" s="366">
        <f t="shared" si="11"/>
        <v>103</v>
      </c>
      <c r="AI26" s="699" t="s">
        <v>1362</v>
      </c>
    </row>
    <row r="27" spans="2:44" ht="16" customHeight="1">
      <c r="B27" s="473" t="s">
        <v>1363</v>
      </c>
      <c r="C27" s="471">
        <v>9.5</v>
      </c>
      <c r="D27" s="652">
        <v>10</v>
      </c>
      <c r="E27" s="654"/>
      <c r="F27" s="471"/>
      <c r="G27" s="471"/>
      <c r="H27" s="471"/>
      <c r="I27" s="471">
        <v>3.5</v>
      </c>
      <c r="J27" s="471">
        <v>11</v>
      </c>
      <c r="K27" s="652">
        <v>7.5</v>
      </c>
      <c r="L27" s="654"/>
      <c r="M27" s="471"/>
      <c r="N27" s="471"/>
      <c r="O27" s="471"/>
      <c r="P27" s="471"/>
      <c r="Q27" s="471">
        <v>11</v>
      </c>
      <c r="R27" s="652">
        <v>10</v>
      </c>
      <c r="S27" s="654"/>
      <c r="T27" s="471"/>
      <c r="U27" s="471"/>
      <c r="V27" s="471"/>
      <c r="W27" s="471">
        <v>3</v>
      </c>
      <c r="X27" s="471">
        <v>11.5</v>
      </c>
      <c r="Y27" s="652">
        <v>9</v>
      </c>
      <c r="Z27" s="654"/>
      <c r="AA27" s="471"/>
      <c r="AB27" s="471"/>
      <c r="AC27" s="471"/>
      <c r="AD27" s="471"/>
      <c r="AE27" s="688" t="s">
        <v>1366</v>
      </c>
      <c r="AF27" s="688" t="s">
        <v>1366</v>
      </c>
      <c r="AG27" s="688" t="s">
        <v>1366</v>
      </c>
      <c r="AH27" s="687">
        <f t="shared" si="11"/>
        <v>86</v>
      </c>
      <c r="AI27" s="700"/>
    </row>
    <row r="28" spans="2:44" ht="16" customHeight="1">
      <c r="B28" s="472" t="s">
        <v>1390</v>
      </c>
      <c r="C28" s="468">
        <v>6.5</v>
      </c>
      <c r="D28" s="651">
        <v>12.5</v>
      </c>
      <c r="E28" s="653"/>
      <c r="F28" s="468">
        <v>11</v>
      </c>
      <c r="G28" s="468">
        <v>8.5</v>
      </c>
      <c r="H28" s="468"/>
      <c r="I28" s="468"/>
      <c r="J28" s="468">
        <v>11</v>
      </c>
      <c r="K28" s="651">
        <v>10</v>
      </c>
      <c r="L28" s="653"/>
      <c r="M28" s="468">
        <v>9.5</v>
      </c>
      <c r="N28" s="468">
        <v>10</v>
      </c>
      <c r="O28" s="468"/>
      <c r="P28" s="468">
        <v>5</v>
      </c>
      <c r="Q28" s="468">
        <v>9</v>
      </c>
      <c r="R28" s="651">
        <v>12</v>
      </c>
      <c r="S28" s="653"/>
      <c r="T28" s="468"/>
      <c r="U28" s="468"/>
      <c r="V28" s="468"/>
      <c r="W28" s="468"/>
      <c r="X28" s="468"/>
      <c r="Y28" s="651"/>
      <c r="Z28" s="653"/>
      <c r="AA28" s="468"/>
      <c r="AB28" s="468"/>
      <c r="AC28" s="468"/>
      <c r="AD28" s="468"/>
      <c r="AE28" s="688" t="s">
        <v>1366</v>
      </c>
      <c r="AF28" s="688" t="s">
        <v>1366</v>
      </c>
      <c r="AG28" s="688" t="s">
        <v>1366</v>
      </c>
      <c r="AH28" s="366">
        <f t="shared" si="11"/>
        <v>105</v>
      </c>
      <c r="AI28" s="699"/>
    </row>
    <row r="29" spans="2:44" ht="16" customHeight="1">
      <c r="B29" s="473" t="s">
        <v>1872</v>
      </c>
      <c r="C29" s="471"/>
      <c r="D29" s="652"/>
      <c r="E29" s="654"/>
      <c r="F29" s="471"/>
      <c r="G29" s="471"/>
      <c r="H29" s="471"/>
      <c r="I29" s="471"/>
      <c r="J29" s="471"/>
      <c r="K29" s="652"/>
      <c r="L29" s="654"/>
      <c r="M29" s="471"/>
      <c r="N29" s="471"/>
      <c r="O29" s="471"/>
      <c r="P29" s="471"/>
      <c r="Q29" s="471"/>
      <c r="R29" s="652"/>
      <c r="S29" s="654"/>
      <c r="T29" s="471"/>
      <c r="U29" s="471"/>
      <c r="V29" s="471"/>
      <c r="W29" s="471"/>
      <c r="X29" s="471"/>
      <c r="Y29" s="652">
        <v>8</v>
      </c>
      <c r="Z29" s="654"/>
      <c r="AA29" s="471"/>
      <c r="AB29" s="471"/>
      <c r="AC29" s="471"/>
      <c r="AD29" s="471"/>
      <c r="AE29" s="688" t="s">
        <v>1366</v>
      </c>
      <c r="AF29" s="688" t="s">
        <v>1366</v>
      </c>
      <c r="AG29" s="688" t="s">
        <v>1366</v>
      </c>
      <c r="AH29" s="687">
        <f t="shared" si="11"/>
        <v>8</v>
      </c>
      <c r="AI29" s="700"/>
    </row>
    <row r="30" spans="2:44" ht="16" customHeight="1">
      <c r="B30" s="472" t="s">
        <v>1879</v>
      </c>
      <c r="C30" s="468"/>
      <c r="D30" s="651"/>
      <c r="E30" s="653"/>
      <c r="F30" s="468">
        <v>9</v>
      </c>
      <c r="G30" s="468">
        <v>9</v>
      </c>
      <c r="H30" s="468">
        <v>8</v>
      </c>
      <c r="I30" s="468">
        <v>8</v>
      </c>
      <c r="J30" s="468">
        <v>9</v>
      </c>
      <c r="K30" s="651">
        <v>9</v>
      </c>
      <c r="L30" s="653"/>
      <c r="M30" s="468">
        <v>8</v>
      </c>
      <c r="N30" s="468">
        <v>8</v>
      </c>
      <c r="O30" s="468">
        <v>9</v>
      </c>
      <c r="P30" s="468">
        <v>7</v>
      </c>
      <c r="Q30" s="468">
        <v>9</v>
      </c>
      <c r="R30" s="651">
        <v>9</v>
      </c>
      <c r="S30" s="653"/>
      <c r="T30" s="468">
        <v>9</v>
      </c>
      <c r="U30" s="468">
        <v>7</v>
      </c>
      <c r="V30" s="468">
        <v>7</v>
      </c>
      <c r="W30" s="468">
        <v>8</v>
      </c>
      <c r="X30" s="468"/>
      <c r="Y30" s="651"/>
      <c r="Z30" s="653"/>
      <c r="AA30" s="468">
        <v>9</v>
      </c>
      <c r="AB30" s="468">
        <v>6</v>
      </c>
      <c r="AC30" s="468"/>
      <c r="AD30" s="468"/>
      <c r="AE30" s="688" t="s">
        <v>1366</v>
      </c>
      <c r="AF30" s="688" t="s">
        <v>1366</v>
      </c>
      <c r="AG30" s="688" t="s">
        <v>1366</v>
      </c>
      <c r="AH30" s="366">
        <f t="shared" si="11"/>
        <v>148</v>
      </c>
      <c r="AI30" s="699"/>
    </row>
    <row r="31" spans="2:44" ht="16" customHeight="1">
      <c r="B31" s="473" t="s">
        <v>1880</v>
      </c>
      <c r="C31" s="471"/>
      <c r="D31" s="652"/>
      <c r="E31" s="654"/>
      <c r="F31" s="471"/>
      <c r="G31" s="471"/>
      <c r="H31" s="471"/>
      <c r="I31" s="471"/>
      <c r="J31" s="471"/>
      <c r="K31" s="652"/>
      <c r="L31" s="654"/>
      <c r="M31" s="471"/>
      <c r="N31" s="471"/>
      <c r="O31" s="471"/>
      <c r="P31" s="471"/>
      <c r="Q31" s="471"/>
      <c r="R31" s="652"/>
      <c r="S31" s="654"/>
      <c r="T31" s="471"/>
      <c r="U31" s="471"/>
      <c r="V31" s="471"/>
      <c r="W31" s="471">
        <v>8.5</v>
      </c>
      <c r="X31" s="471">
        <v>6.5</v>
      </c>
      <c r="Y31" s="652"/>
      <c r="Z31" s="654"/>
      <c r="AA31" s="471"/>
      <c r="AB31" s="471"/>
      <c r="AC31" s="471"/>
      <c r="AD31" s="471">
        <v>6.5</v>
      </c>
      <c r="AE31" s="688" t="s">
        <v>1366</v>
      </c>
      <c r="AF31" s="688" t="s">
        <v>1366</v>
      </c>
      <c r="AG31" s="688" t="s">
        <v>1366</v>
      </c>
      <c r="AH31" s="687">
        <f t="shared" si="11"/>
        <v>21.5</v>
      </c>
      <c r="AI31" s="700"/>
    </row>
    <row r="32" spans="2:44" ht="16" customHeight="1">
      <c r="B32" s="472"/>
      <c r="C32" s="468"/>
      <c r="D32" s="651"/>
      <c r="E32" s="653"/>
      <c r="F32" s="468"/>
      <c r="G32" s="468"/>
      <c r="H32" s="468"/>
      <c r="I32" s="468"/>
      <c r="J32" s="468"/>
      <c r="K32" s="651"/>
      <c r="L32" s="653"/>
      <c r="M32" s="468"/>
      <c r="N32" s="468"/>
      <c r="O32" s="468"/>
      <c r="P32" s="468"/>
      <c r="Q32" s="468"/>
      <c r="R32" s="651"/>
      <c r="S32" s="653"/>
      <c r="T32" s="468"/>
      <c r="U32" s="468"/>
      <c r="V32" s="468"/>
      <c r="W32" s="468"/>
      <c r="X32" s="468"/>
      <c r="Y32" s="651"/>
      <c r="Z32" s="653"/>
      <c r="AA32" s="468"/>
      <c r="AB32" s="468"/>
      <c r="AC32" s="468"/>
      <c r="AD32" s="468"/>
      <c r="AE32" s="688" t="s">
        <v>1366</v>
      </c>
      <c r="AF32" s="688" t="s">
        <v>1366</v>
      </c>
      <c r="AG32" s="688" t="s">
        <v>1366</v>
      </c>
      <c r="AH32" s="366">
        <f t="shared" si="11"/>
        <v>0</v>
      </c>
      <c r="AI32" s="699"/>
    </row>
    <row r="33" spans="2:44" s="272" customFormat="1" ht="3" customHeight="1">
      <c r="B33" s="696"/>
      <c r="C33" s="697"/>
      <c r="D33" s="697"/>
      <c r="E33" s="697"/>
      <c r="F33" s="697"/>
      <c r="G33" s="697"/>
      <c r="H33" s="697"/>
      <c r="I33" s="697"/>
      <c r="J33" s="697"/>
      <c r="K33" s="697"/>
      <c r="L33" s="697"/>
      <c r="M33" s="697"/>
      <c r="N33" s="697"/>
      <c r="O33" s="697"/>
      <c r="P33" s="697"/>
      <c r="Q33" s="697"/>
      <c r="R33" s="697"/>
      <c r="S33" s="697"/>
      <c r="T33" s="697"/>
      <c r="U33" s="697"/>
      <c r="V33" s="697"/>
      <c r="W33" s="697"/>
      <c r="X33" s="697"/>
      <c r="Y33" s="697"/>
      <c r="Z33" s="697"/>
      <c r="AA33" s="697"/>
      <c r="AB33" s="697"/>
      <c r="AC33" s="697"/>
      <c r="AD33" s="697"/>
      <c r="AE33" s="697"/>
      <c r="AF33" s="697"/>
      <c r="AG33" s="697"/>
      <c r="AH33" s="698"/>
      <c r="AI33" s="690"/>
      <c r="AJ33" s="708"/>
      <c r="AK33" s="708"/>
      <c r="AL33" s="708"/>
      <c r="AM33" s="663"/>
      <c r="AN33" s="701"/>
      <c r="AO33" s="663"/>
      <c r="AP33" s="663"/>
      <c r="AQ33" s="663"/>
      <c r="AR33" s="664"/>
    </row>
    <row r="34" spans="2:44" s="234" customFormat="1" ht="21" customHeight="1">
      <c r="B34" s="953" t="s">
        <v>1368</v>
      </c>
      <c r="C34" s="953"/>
      <c r="D34" s="953"/>
      <c r="E34" s="953"/>
      <c r="F34" s="953"/>
      <c r="G34" s="953"/>
      <c r="H34" s="953"/>
      <c r="I34" s="953"/>
      <c r="J34" s="953"/>
      <c r="K34" s="953"/>
      <c r="L34" s="953"/>
      <c r="M34" s="953"/>
      <c r="N34" s="953"/>
      <c r="O34" s="953"/>
      <c r="P34" s="953"/>
      <c r="Q34" s="953"/>
      <c r="R34" s="953"/>
      <c r="S34" s="953"/>
      <c r="T34" s="953"/>
      <c r="U34" s="953"/>
      <c r="V34" s="953"/>
      <c r="W34" s="953"/>
      <c r="X34" s="953"/>
      <c r="Y34" s="953"/>
      <c r="Z34" s="953"/>
      <c r="AA34" s="953"/>
      <c r="AB34" s="953"/>
      <c r="AC34" s="953"/>
      <c r="AD34" s="953"/>
      <c r="AE34" s="953"/>
      <c r="AF34" s="953"/>
      <c r="AG34" s="953"/>
      <c r="AH34" s="953"/>
      <c r="AI34" s="690"/>
      <c r="AJ34" s="694"/>
      <c r="AK34" s="694"/>
      <c r="AL34" s="694"/>
      <c r="AM34" s="695"/>
      <c r="AN34" s="623"/>
      <c r="AR34" s="682"/>
    </row>
    <row r="35" spans="2:44">
      <c r="B35" s="669"/>
      <c r="C35" s="367">
        <v>1</v>
      </c>
      <c r="D35" s="703">
        <v>2</v>
      </c>
      <c r="E35" s="704">
        <v>3</v>
      </c>
      <c r="F35" s="367">
        <v>4</v>
      </c>
      <c r="G35" s="367">
        <v>5</v>
      </c>
      <c r="H35" s="367">
        <v>6</v>
      </c>
      <c r="I35" s="367">
        <v>7</v>
      </c>
      <c r="J35" s="367">
        <v>8</v>
      </c>
      <c r="K35" s="684">
        <v>9</v>
      </c>
      <c r="L35" s="704">
        <v>10</v>
      </c>
      <c r="M35" s="367">
        <v>11</v>
      </c>
      <c r="N35" s="367">
        <v>12</v>
      </c>
      <c r="O35" s="367">
        <v>13</v>
      </c>
      <c r="P35" s="367">
        <v>14</v>
      </c>
      <c r="Q35" s="367">
        <v>15</v>
      </c>
      <c r="R35" s="703">
        <v>16</v>
      </c>
      <c r="S35" s="704">
        <v>17</v>
      </c>
      <c r="T35" s="367">
        <v>18</v>
      </c>
      <c r="U35" s="367">
        <v>19</v>
      </c>
      <c r="V35" s="367">
        <v>20</v>
      </c>
      <c r="W35" s="367">
        <v>21</v>
      </c>
      <c r="X35" s="367">
        <v>22</v>
      </c>
      <c r="Y35" s="703">
        <v>23</v>
      </c>
      <c r="Z35" s="704">
        <v>24</v>
      </c>
      <c r="AA35" s="367">
        <v>25</v>
      </c>
      <c r="AB35" s="367">
        <v>26</v>
      </c>
      <c r="AC35" s="367">
        <v>27</v>
      </c>
      <c r="AD35" s="367">
        <v>28</v>
      </c>
      <c r="AE35" s="367">
        <v>29</v>
      </c>
      <c r="AF35" s="367">
        <v>30</v>
      </c>
      <c r="AG35" s="367">
        <v>31</v>
      </c>
      <c r="AH35" s="367" t="s">
        <v>116</v>
      </c>
      <c r="AI35" s="666" t="s">
        <v>292</v>
      </c>
      <c r="AJ35" s="717" t="s">
        <v>27</v>
      </c>
      <c r="AK35" s="718" t="s">
        <v>1909</v>
      </c>
      <c r="AL35" s="719" t="s">
        <v>1355</v>
      </c>
      <c r="AM35" s="695"/>
    </row>
    <row r="36" spans="2:44" ht="16" customHeight="1">
      <c r="B36" s="472" t="s">
        <v>1354</v>
      </c>
      <c r="C36" s="468">
        <v>9</v>
      </c>
      <c r="D36" s="651">
        <v>9</v>
      </c>
      <c r="E36" s="656" t="s">
        <v>27</v>
      </c>
      <c r="F36" s="468">
        <v>9</v>
      </c>
      <c r="G36" s="469" t="s">
        <v>27</v>
      </c>
      <c r="H36" s="468">
        <v>9</v>
      </c>
      <c r="I36" s="468">
        <v>9</v>
      </c>
      <c r="J36" s="468">
        <v>9</v>
      </c>
      <c r="K36" s="651">
        <v>9</v>
      </c>
      <c r="L36" s="656" t="s">
        <v>27</v>
      </c>
      <c r="M36" s="468">
        <v>9</v>
      </c>
      <c r="N36" s="469" t="s">
        <v>27</v>
      </c>
      <c r="O36" s="468">
        <v>9</v>
      </c>
      <c r="P36" s="468">
        <v>9</v>
      </c>
      <c r="Q36" s="468">
        <v>9</v>
      </c>
      <c r="R36" s="651">
        <v>9</v>
      </c>
      <c r="S36" s="656" t="s">
        <v>27</v>
      </c>
      <c r="T36" s="468">
        <v>9</v>
      </c>
      <c r="U36" s="469" t="s">
        <v>27</v>
      </c>
      <c r="V36" s="468">
        <v>9</v>
      </c>
      <c r="W36" s="468">
        <v>9</v>
      </c>
      <c r="X36" s="468">
        <v>9</v>
      </c>
      <c r="Y36" s="651">
        <v>9</v>
      </c>
      <c r="Z36" s="656" t="s">
        <v>27</v>
      </c>
      <c r="AA36" s="468">
        <v>9</v>
      </c>
      <c r="AB36" s="469" t="s">
        <v>27</v>
      </c>
      <c r="AC36" s="468">
        <v>9</v>
      </c>
      <c r="AD36" s="468">
        <v>9</v>
      </c>
      <c r="AE36" s="468">
        <v>9</v>
      </c>
      <c r="AF36" s="651">
        <v>9</v>
      </c>
      <c r="AG36" s="656" t="s">
        <v>27</v>
      </c>
      <c r="AH36" s="366">
        <f>SUM(C36:AG36)</f>
        <v>198</v>
      </c>
      <c r="AI36" s="699"/>
      <c r="AJ36" s="708">
        <f>COUNTIF(C36:AG36,"R")</f>
        <v>9</v>
      </c>
      <c r="AK36" s="708">
        <f>COUNTIF(C36:AG36,"Z")</f>
        <v>0</v>
      </c>
      <c r="AL36" s="708">
        <f>COUNTIF(C36:AG36,"FE")</f>
        <v>0</v>
      </c>
      <c r="AM36" s="665"/>
    </row>
    <row r="37" spans="2:44" ht="16" customHeight="1">
      <c r="B37" s="473" t="s">
        <v>1357</v>
      </c>
      <c r="C37" s="471">
        <v>9</v>
      </c>
      <c r="D37" s="652">
        <v>9</v>
      </c>
      <c r="E37" s="656" t="s">
        <v>27</v>
      </c>
      <c r="F37" s="469" t="s">
        <v>27</v>
      </c>
      <c r="G37" s="471">
        <v>9</v>
      </c>
      <c r="H37" s="471">
        <v>9</v>
      </c>
      <c r="I37" s="471">
        <v>9</v>
      </c>
      <c r="J37" s="471">
        <v>9</v>
      </c>
      <c r="K37" s="652">
        <v>9</v>
      </c>
      <c r="L37" s="656" t="s">
        <v>27</v>
      </c>
      <c r="M37" s="469" t="s">
        <v>27</v>
      </c>
      <c r="N37" s="471">
        <v>9</v>
      </c>
      <c r="O37" s="471">
        <v>9</v>
      </c>
      <c r="P37" s="471">
        <v>9</v>
      </c>
      <c r="Q37" s="471">
        <v>9</v>
      </c>
      <c r="R37" s="652">
        <v>9</v>
      </c>
      <c r="S37" s="656" t="s">
        <v>27</v>
      </c>
      <c r="T37" s="469" t="s">
        <v>27</v>
      </c>
      <c r="U37" s="471">
        <v>9</v>
      </c>
      <c r="V37" s="471">
        <v>9</v>
      </c>
      <c r="W37" s="471">
        <v>9</v>
      </c>
      <c r="X37" s="471">
        <v>9</v>
      </c>
      <c r="Y37" s="652">
        <v>9</v>
      </c>
      <c r="Z37" s="656" t="s">
        <v>27</v>
      </c>
      <c r="AA37" s="469" t="s">
        <v>27</v>
      </c>
      <c r="AB37" s="471">
        <v>9</v>
      </c>
      <c r="AC37" s="471">
        <v>9</v>
      </c>
      <c r="AD37" s="471">
        <v>9</v>
      </c>
      <c r="AE37" s="471">
        <v>9</v>
      </c>
      <c r="AF37" s="652">
        <v>9</v>
      </c>
      <c r="AG37" s="656" t="s">
        <v>27</v>
      </c>
      <c r="AH37" s="687">
        <f>SUM(C37:AG37)</f>
        <v>198</v>
      </c>
      <c r="AI37" s="700"/>
      <c r="AJ37" s="708">
        <f t="shared" ref="AJ37:AJ40" si="12">COUNTIF(C37:AG37,"R")</f>
        <v>9</v>
      </c>
      <c r="AK37" s="708">
        <f t="shared" ref="AK37:AK40" si="13">COUNTIF(C37:AG37,"Z")</f>
        <v>0</v>
      </c>
      <c r="AL37" s="708">
        <f t="shared" ref="AL37:AL40" si="14">COUNTIF(C37:AG37,"FE")</f>
        <v>0</v>
      </c>
      <c r="AM37" s="665"/>
    </row>
    <row r="38" spans="2:44" ht="16" customHeight="1">
      <c r="B38" s="472" t="s">
        <v>1358</v>
      </c>
      <c r="C38" s="469" t="s">
        <v>27</v>
      </c>
      <c r="D38" s="651">
        <v>12</v>
      </c>
      <c r="E38" s="653">
        <v>8.5</v>
      </c>
      <c r="F38" s="469" t="s">
        <v>27</v>
      </c>
      <c r="G38" s="660" t="s">
        <v>1909</v>
      </c>
      <c r="H38" s="468">
        <v>9</v>
      </c>
      <c r="I38" s="468">
        <v>11.5</v>
      </c>
      <c r="J38" s="468">
        <v>11</v>
      </c>
      <c r="K38" s="655" t="s">
        <v>27</v>
      </c>
      <c r="L38" s="653">
        <v>8.5</v>
      </c>
      <c r="M38" s="468">
        <v>8.5</v>
      </c>
      <c r="N38" s="469" t="s">
        <v>27</v>
      </c>
      <c r="O38" s="468">
        <v>9</v>
      </c>
      <c r="P38" s="468">
        <v>11</v>
      </c>
      <c r="Q38" s="468">
        <v>11</v>
      </c>
      <c r="R38" s="651">
        <v>11.5</v>
      </c>
      <c r="S38" s="656" t="s">
        <v>27</v>
      </c>
      <c r="T38" s="468">
        <v>10.5</v>
      </c>
      <c r="U38" s="469" t="s">
        <v>27</v>
      </c>
      <c r="V38" s="468">
        <v>9.5</v>
      </c>
      <c r="W38" s="468">
        <v>11.5</v>
      </c>
      <c r="X38" s="468">
        <v>10.5</v>
      </c>
      <c r="Y38" s="651">
        <v>11.5</v>
      </c>
      <c r="Z38" s="656" t="s">
        <v>27</v>
      </c>
      <c r="AA38" s="468">
        <v>8.5</v>
      </c>
      <c r="AB38" s="468">
        <v>9</v>
      </c>
      <c r="AC38" s="468">
        <v>9.5</v>
      </c>
      <c r="AD38" s="468">
        <v>10.5</v>
      </c>
      <c r="AE38" s="468">
        <v>10.5</v>
      </c>
      <c r="AF38" s="655" t="s">
        <v>27</v>
      </c>
      <c r="AG38" s="656" t="s">
        <v>27</v>
      </c>
      <c r="AH38" s="366">
        <f t="shared" ref="AH38:AH48" si="15">SUM(C38:AG38)</f>
        <v>213</v>
      </c>
      <c r="AI38" s="699"/>
      <c r="AJ38" s="708">
        <f t="shared" si="12"/>
        <v>9</v>
      </c>
      <c r="AK38" s="708">
        <f t="shared" si="13"/>
        <v>1</v>
      </c>
      <c r="AL38" s="708">
        <f t="shared" si="14"/>
        <v>0</v>
      </c>
      <c r="AM38" s="665"/>
    </row>
    <row r="39" spans="2:44" ht="16" customHeight="1">
      <c r="B39" s="473" t="s">
        <v>1359</v>
      </c>
      <c r="C39" s="471">
        <v>12</v>
      </c>
      <c r="D39" s="652">
        <v>12</v>
      </c>
      <c r="E39" s="656" t="s">
        <v>27</v>
      </c>
      <c r="F39" s="471">
        <v>11</v>
      </c>
      <c r="G39" s="471">
        <v>9</v>
      </c>
      <c r="H39" s="660" t="s">
        <v>27</v>
      </c>
      <c r="I39" s="471">
        <v>11.5</v>
      </c>
      <c r="J39" s="471">
        <v>11</v>
      </c>
      <c r="K39" s="655" t="s">
        <v>27</v>
      </c>
      <c r="L39" s="656" t="s">
        <v>27</v>
      </c>
      <c r="M39" s="471">
        <v>8.5</v>
      </c>
      <c r="N39" s="471">
        <v>8</v>
      </c>
      <c r="O39" s="469" t="s">
        <v>27</v>
      </c>
      <c r="P39" s="471">
        <v>11</v>
      </c>
      <c r="Q39" s="471">
        <v>11</v>
      </c>
      <c r="R39" s="652">
        <v>11.5</v>
      </c>
      <c r="S39" s="654">
        <v>9</v>
      </c>
      <c r="T39" s="471">
        <v>10.5</v>
      </c>
      <c r="U39" s="471">
        <v>9.5</v>
      </c>
      <c r="V39" s="469" t="s">
        <v>27</v>
      </c>
      <c r="W39" s="471">
        <v>11.5</v>
      </c>
      <c r="X39" s="469" t="s">
        <v>27</v>
      </c>
      <c r="Y39" s="652">
        <v>11.5</v>
      </c>
      <c r="Z39" s="654">
        <v>8.5</v>
      </c>
      <c r="AA39" s="471">
        <v>8.5</v>
      </c>
      <c r="AB39" s="469" t="s">
        <v>27</v>
      </c>
      <c r="AC39" s="469" t="s">
        <v>27</v>
      </c>
      <c r="AD39" s="471">
        <v>10.5</v>
      </c>
      <c r="AE39" s="471">
        <v>10.5</v>
      </c>
      <c r="AF39" s="652">
        <v>8.5</v>
      </c>
      <c r="AG39" s="654">
        <v>8.5</v>
      </c>
      <c r="AH39" s="687">
        <f t="shared" si="15"/>
        <v>223.5</v>
      </c>
      <c r="AI39" s="700"/>
      <c r="AJ39" s="708">
        <f t="shared" si="12"/>
        <v>9</v>
      </c>
      <c r="AK39" s="708">
        <f t="shared" si="13"/>
        <v>0</v>
      </c>
      <c r="AL39" s="708">
        <f t="shared" si="14"/>
        <v>0</v>
      </c>
      <c r="AM39" s="665"/>
    </row>
    <row r="40" spans="2:44" ht="16" customHeight="1">
      <c r="B40" s="472" t="s">
        <v>1360</v>
      </c>
      <c r="C40" s="468">
        <v>12</v>
      </c>
      <c r="D40" s="651">
        <v>12</v>
      </c>
      <c r="E40" s="653">
        <v>8.5</v>
      </c>
      <c r="F40" s="468">
        <v>11</v>
      </c>
      <c r="G40" s="469" t="s">
        <v>27</v>
      </c>
      <c r="H40" s="468">
        <v>9</v>
      </c>
      <c r="I40" s="469" t="s">
        <v>27</v>
      </c>
      <c r="J40" s="468">
        <v>11</v>
      </c>
      <c r="K40" s="651">
        <v>7.5</v>
      </c>
      <c r="L40" s="653">
        <v>8.5</v>
      </c>
      <c r="M40" s="469" t="s">
        <v>27</v>
      </c>
      <c r="N40" s="468">
        <v>8</v>
      </c>
      <c r="O40" s="468">
        <v>9</v>
      </c>
      <c r="P40" s="469" t="s">
        <v>27</v>
      </c>
      <c r="Q40" s="468">
        <v>11</v>
      </c>
      <c r="R40" s="651">
        <v>11.5</v>
      </c>
      <c r="S40" s="653">
        <v>9</v>
      </c>
      <c r="T40" s="469" t="s">
        <v>27</v>
      </c>
      <c r="U40" s="468">
        <v>9.5</v>
      </c>
      <c r="V40" s="468">
        <v>9.5</v>
      </c>
      <c r="W40" s="469" t="s">
        <v>27</v>
      </c>
      <c r="X40" s="468">
        <v>10.5</v>
      </c>
      <c r="Y40" s="651">
        <v>11.5</v>
      </c>
      <c r="Z40" s="653">
        <v>8.5</v>
      </c>
      <c r="AA40" s="469" t="s">
        <v>27</v>
      </c>
      <c r="AB40" s="468">
        <v>9</v>
      </c>
      <c r="AC40" s="468">
        <v>9.5</v>
      </c>
      <c r="AD40" s="469" t="s">
        <v>27</v>
      </c>
      <c r="AE40" s="468">
        <v>10.5</v>
      </c>
      <c r="AF40" s="651">
        <v>8.5</v>
      </c>
      <c r="AG40" s="653">
        <v>8.5</v>
      </c>
      <c r="AH40" s="366">
        <f t="shared" si="15"/>
        <v>223.5</v>
      </c>
      <c r="AI40" s="699"/>
      <c r="AJ40" s="708">
        <f t="shared" si="12"/>
        <v>8</v>
      </c>
      <c r="AK40" s="708">
        <f t="shared" si="13"/>
        <v>0</v>
      </c>
      <c r="AL40" s="708">
        <f t="shared" si="14"/>
        <v>0</v>
      </c>
      <c r="AM40" s="665"/>
    </row>
    <row r="41" spans="2:44" ht="16" customHeight="1">
      <c r="B41" s="473"/>
      <c r="C41" s="471"/>
      <c r="D41" s="652"/>
      <c r="E41" s="654"/>
      <c r="F41" s="471"/>
      <c r="G41" s="471"/>
      <c r="H41" s="471"/>
      <c r="I41" s="471"/>
      <c r="J41" s="471"/>
      <c r="K41" s="652"/>
      <c r="L41" s="654"/>
      <c r="M41" s="471"/>
      <c r="N41" s="471"/>
      <c r="O41" s="471"/>
      <c r="P41" s="471"/>
      <c r="Q41" s="471"/>
      <c r="R41" s="652"/>
      <c r="S41" s="654"/>
      <c r="T41" s="471"/>
      <c r="U41" s="471"/>
      <c r="V41" s="471"/>
      <c r="W41" s="471"/>
      <c r="X41" s="471"/>
      <c r="Y41" s="652"/>
      <c r="Z41" s="654"/>
      <c r="AA41" s="471"/>
      <c r="AB41" s="471"/>
      <c r="AC41" s="471"/>
      <c r="AD41" s="471"/>
      <c r="AE41" s="471"/>
      <c r="AF41" s="652"/>
      <c r="AG41" s="654"/>
      <c r="AH41" s="687">
        <f t="shared" si="15"/>
        <v>0</v>
      </c>
      <c r="AI41" s="700"/>
    </row>
    <row r="42" spans="2:44" ht="16" customHeight="1">
      <c r="B42" s="472" t="s">
        <v>1361</v>
      </c>
      <c r="C42" s="468">
        <v>12</v>
      </c>
      <c r="D42" s="651">
        <v>12</v>
      </c>
      <c r="E42" s="653"/>
      <c r="F42" s="468"/>
      <c r="G42" s="468"/>
      <c r="H42" s="468"/>
      <c r="I42" s="468"/>
      <c r="J42" s="468"/>
      <c r="K42" s="651">
        <v>7.5</v>
      </c>
      <c r="L42" s="653"/>
      <c r="M42" s="468"/>
      <c r="N42" s="468"/>
      <c r="O42" s="468"/>
      <c r="P42" s="468">
        <v>6</v>
      </c>
      <c r="Q42" s="468">
        <v>6</v>
      </c>
      <c r="R42" s="651">
        <v>11.5</v>
      </c>
      <c r="S42" s="653"/>
      <c r="T42" s="468"/>
      <c r="U42" s="468"/>
      <c r="V42" s="468"/>
      <c r="W42" s="468">
        <v>6.5</v>
      </c>
      <c r="X42" s="468">
        <v>5.5</v>
      </c>
      <c r="Y42" s="651">
        <v>11.5</v>
      </c>
      <c r="Z42" s="653"/>
      <c r="AA42" s="468"/>
      <c r="AB42" s="468"/>
      <c r="AC42" s="468"/>
      <c r="AD42" s="468">
        <v>5.5</v>
      </c>
      <c r="AE42" s="468">
        <v>5.5</v>
      </c>
      <c r="AF42" s="651">
        <v>8.5</v>
      </c>
      <c r="AG42" s="653"/>
      <c r="AH42" s="366">
        <f t="shared" si="15"/>
        <v>98</v>
      </c>
      <c r="AI42" s="699"/>
    </row>
    <row r="43" spans="2:44" ht="16" customHeight="1">
      <c r="B43" s="473" t="s">
        <v>1363</v>
      </c>
      <c r="C43" s="471">
        <v>12</v>
      </c>
      <c r="D43" s="652">
        <v>12</v>
      </c>
      <c r="E43" s="654"/>
      <c r="F43" s="471">
        <v>11</v>
      </c>
      <c r="G43" s="471">
        <v>9</v>
      </c>
      <c r="H43" s="471"/>
      <c r="I43" s="471">
        <v>6</v>
      </c>
      <c r="J43" s="471">
        <v>6</v>
      </c>
      <c r="K43" s="652">
        <v>7.5</v>
      </c>
      <c r="L43" s="654"/>
      <c r="M43" s="471"/>
      <c r="N43" s="471"/>
      <c r="O43" s="471"/>
      <c r="P43" s="471"/>
      <c r="Q43" s="471">
        <v>9</v>
      </c>
      <c r="R43" s="652">
        <v>9</v>
      </c>
      <c r="S43" s="654"/>
      <c r="T43" s="471">
        <v>3.5</v>
      </c>
      <c r="U43" s="471"/>
      <c r="V43" s="471"/>
      <c r="W43" s="471"/>
      <c r="X43" s="471">
        <v>10.5</v>
      </c>
      <c r="Y43" s="652">
        <v>11.5</v>
      </c>
      <c r="Z43" s="654"/>
      <c r="AA43" s="471"/>
      <c r="AB43" s="471"/>
      <c r="AC43" s="471"/>
      <c r="AD43" s="471"/>
      <c r="AE43" s="471">
        <v>6</v>
      </c>
      <c r="AF43" s="652">
        <v>4</v>
      </c>
      <c r="AG43" s="654"/>
      <c r="AH43" s="687">
        <f t="shared" si="15"/>
        <v>117</v>
      </c>
      <c r="AI43" s="700"/>
    </row>
    <row r="44" spans="2:44" ht="16" customHeight="1">
      <c r="B44" s="472" t="s">
        <v>1455</v>
      </c>
      <c r="C44" s="468"/>
      <c r="D44" s="651"/>
      <c r="E44" s="653"/>
      <c r="F44" s="468"/>
      <c r="G44" s="468"/>
      <c r="H44" s="468"/>
      <c r="I44" s="468">
        <v>6.5</v>
      </c>
      <c r="J44" s="468">
        <v>9</v>
      </c>
      <c r="K44" s="651"/>
      <c r="L44" s="653"/>
      <c r="M44" s="468"/>
      <c r="N44" s="468"/>
      <c r="O44" s="468"/>
      <c r="P44" s="468">
        <v>6</v>
      </c>
      <c r="Q44" s="468">
        <v>6</v>
      </c>
      <c r="R44" s="651"/>
      <c r="S44" s="653"/>
      <c r="T44" s="468"/>
      <c r="U44" s="468"/>
      <c r="V44" s="468"/>
      <c r="W44" s="468">
        <v>6.5</v>
      </c>
      <c r="X44" s="468">
        <v>5.5</v>
      </c>
      <c r="Y44" s="651"/>
      <c r="Z44" s="653"/>
      <c r="AA44" s="468"/>
      <c r="AB44" s="468"/>
      <c r="AC44" s="468"/>
      <c r="AD44" s="468">
        <v>5.5</v>
      </c>
      <c r="AE44" s="468">
        <v>5.5</v>
      </c>
      <c r="AF44" s="651"/>
      <c r="AG44" s="653"/>
      <c r="AH44" s="366">
        <f t="shared" si="15"/>
        <v>50.5</v>
      </c>
      <c r="AI44" s="699"/>
    </row>
    <row r="45" spans="2:44" ht="16" customHeight="1">
      <c r="B45" s="473" t="s">
        <v>1872</v>
      </c>
      <c r="C45" s="471"/>
      <c r="D45" s="652"/>
      <c r="E45" s="654"/>
      <c r="F45" s="471"/>
      <c r="G45" s="471"/>
      <c r="H45" s="471"/>
      <c r="I45" s="471"/>
      <c r="J45" s="471"/>
      <c r="K45" s="652"/>
      <c r="L45" s="654"/>
      <c r="M45" s="471"/>
      <c r="N45" s="471"/>
      <c r="O45" s="471"/>
      <c r="P45" s="471"/>
      <c r="Q45" s="471"/>
      <c r="R45" s="652">
        <v>3</v>
      </c>
      <c r="S45" s="654"/>
      <c r="T45" s="471"/>
      <c r="U45" s="471"/>
      <c r="V45" s="471"/>
      <c r="W45" s="471"/>
      <c r="X45" s="471"/>
      <c r="Y45" s="652"/>
      <c r="Z45" s="654"/>
      <c r="AA45" s="471"/>
      <c r="AB45" s="471"/>
      <c r="AC45" s="471"/>
      <c r="AD45" s="471"/>
      <c r="AE45" s="471"/>
      <c r="AF45" s="652"/>
      <c r="AG45" s="654"/>
      <c r="AH45" s="687">
        <f t="shared" si="15"/>
        <v>3</v>
      </c>
      <c r="AI45" s="700"/>
    </row>
    <row r="46" spans="2:44" ht="16" customHeight="1">
      <c r="B46" s="472" t="s">
        <v>1879</v>
      </c>
      <c r="C46" s="468"/>
      <c r="D46" s="651"/>
      <c r="E46" s="653"/>
      <c r="F46" s="468">
        <v>9</v>
      </c>
      <c r="G46" s="468">
        <v>9</v>
      </c>
      <c r="H46" s="468">
        <v>6</v>
      </c>
      <c r="I46" s="468"/>
      <c r="J46" s="468"/>
      <c r="K46" s="651"/>
      <c r="L46" s="653"/>
      <c r="M46" s="468"/>
      <c r="N46" s="468"/>
      <c r="O46" s="468"/>
      <c r="P46" s="468"/>
      <c r="Q46" s="468"/>
      <c r="R46" s="651"/>
      <c r="S46" s="653"/>
      <c r="T46" s="468">
        <v>9</v>
      </c>
      <c r="U46" s="468">
        <v>9</v>
      </c>
      <c r="V46" s="468"/>
      <c r="W46" s="468"/>
      <c r="X46" s="468"/>
      <c r="Y46" s="651"/>
      <c r="Z46" s="653"/>
      <c r="AA46" s="468">
        <v>8.5</v>
      </c>
      <c r="AB46" s="468">
        <v>8</v>
      </c>
      <c r="AC46" s="468"/>
      <c r="AD46" s="468"/>
      <c r="AE46" s="468"/>
      <c r="AF46" s="651">
        <v>9</v>
      </c>
      <c r="AG46" s="653">
        <v>9</v>
      </c>
      <c r="AH46" s="366">
        <f t="shared" si="15"/>
        <v>76.5</v>
      </c>
      <c r="AI46" s="699"/>
    </row>
    <row r="47" spans="2:44" ht="16" customHeight="1">
      <c r="B47" s="473" t="s">
        <v>1873</v>
      </c>
      <c r="C47" s="471"/>
      <c r="D47" s="652">
        <v>8</v>
      </c>
      <c r="E47" s="654"/>
      <c r="F47" s="471"/>
      <c r="G47" s="471"/>
      <c r="H47" s="471"/>
      <c r="I47" s="471"/>
      <c r="J47" s="471"/>
      <c r="K47" s="652"/>
      <c r="L47" s="654"/>
      <c r="M47" s="471"/>
      <c r="N47" s="471"/>
      <c r="O47" s="471"/>
      <c r="P47" s="471"/>
      <c r="Q47" s="471"/>
      <c r="R47" s="652">
        <v>7.5</v>
      </c>
      <c r="S47" s="654"/>
      <c r="T47" s="471"/>
      <c r="U47" s="471"/>
      <c r="V47" s="471"/>
      <c r="W47" s="471"/>
      <c r="X47" s="471"/>
      <c r="Y47" s="652"/>
      <c r="Z47" s="654"/>
      <c r="AA47" s="471"/>
      <c r="AB47" s="471"/>
      <c r="AC47" s="471"/>
      <c r="AD47" s="471"/>
      <c r="AE47" s="471"/>
      <c r="AF47" s="652"/>
      <c r="AG47" s="654"/>
      <c r="AH47" s="687">
        <f t="shared" si="15"/>
        <v>15.5</v>
      </c>
      <c r="AI47" s="700"/>
    </row>
    <row r="48" spans="2:44" ht="16" customHeight="1">
      <c r="B48" s="472" t="s">
        <v>1415</v>
      </c>
      <c r="C48" s="468"/>
      <c r="D48" s="651"/>
      <c r="E48" s="653"/>
      <c r="F48" s="468"/>
      <c r="G48" s="468"/>
      <c r="H48" s="468"/>
      <c r="I48" s="468"/>
      <c r="J48" s="468"/>
      <c r="K48" s="651"/>
      <c r="L48" s="653"/>
      <c r="M48" s="468"/>
      <c r="N48" s="468"/>
      <c r="O48" s="468"/>
      <c r="P48" s="468"/>
      <c r="Q48" s="468"/>
      <c r="R48" s="651"/>
      <c r="S48" s="653"/>
      <c r="T48" s="468"/>
      <c r="U48" s="468"/>
      <c r="V48" s="468"/>
      <c r="W48" s="468"/>
      <c r="X48" s="468"/>
      <c r="Y48" s="651">
        <v>5.5</v>
      </c>
      <c r="Z48" s="653"/>
      <c r="AA48" s="468"/>
      <c r="AB48" s="468"/>
      <c r="AC48" s="468"/>
      <c r="AD48" s="468"/>
      <c r="AE48" s="468"/>
      <c r="AF48" s="651"/>
      <c r="AG48" s="653"/>
      <c r="AH48" s="366">
        <f t="shared" si="15"/>
        <v>5.5</v>
      </c>
      <c r="AI48" s="699"/>
    </row>
    <row r="49" spans="2:44" s="272" customFormat="1" ht="23" customHeight="1">
      <c r="B49" s="668"/>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721"/>
      <c r="AI49" s="690"/>
      <c r="AJ49" s="708"/>
      <c r="AK49" s="708"/>
      <c r="AL49" s="708"/>
      <c r="AM49" s="663"/>
      <c r="AN49" s="701"/>
      <c r="AO49" s="663"/>
      <c r="AP49" s="663"/>
      <c r="AQ49" s="663"/>
      <c r="AR49" s="664"/>
    </row>
    <row r="50" spans="2:44" s="272" customFormat="1" ht="21" customHeight="1">
      <c r="B50" s="953" t="s">
        <v>1369</v>
      </c>
      <c r="C50" s="953"/>
      <c r="D50" s="953"/>
      <c r="E50" s="953"/>
      <c r="F50" s="953"/>
      <c r="G50" s="953"/>
      <c r="H50" s="953"/>
      <c r="I50" s="953"/>
      <c r="J50" s="953"/>
      <c r="K50" s="953"/>
      <c r="L50" s="953"/>
      <c r="M50" s="953"/>
      <c r="N50" s="953"/>
      <c r="O50" s="953"/>
      <c r="P50" s="953"/>
      <c r="Q50" s="953"/>
      <c r="R50" s="953"/>
      <c r="S50" s="953"/>
      <c r="T50" s="953"/>
      <c r="U50" s="953"/>
      <c r="V50" s="953"/>
      <c r="W50" s="953"/>
      <c r="X50" s="953"/>
      <c r="Y50" s="953"/>
      <c r="Z50" s="953"/>
      <c r="AA50" s="953"/>
      <c r="AB50" s="953"/>
      <c r="AC50" s="953"/>
      <c r="AD50" s="953"/>
      <c r="AE50" s="953"/>
      <c r="AF50" s="953"/>
      <c r="AG50" s="953"/>
      <c r="AH50" s="953"/>
      <c r="AI50" s="690"/>
      <c r="AJ50" s="694"/>
      <c r="AK50" s="694"/>
      <c r="AL50" s="694"/>
      <c r="AM50" s="695"/>
      <c r="AN50" s="701"/>
      <c r="AO50" s="663"/>
      <c r="AP50" s="663"/>
      <c r="AQ50" s="663"/>
      <c r="AR50" s="664"/>
    </row>
    <row r="51" spans="2:44">
      <c r="B51" s="669"/>
      <c r="C51" s="367">
        <v>1</v>
      </c>
      <c r="D51" s="367">
        <v>2</v>
      </c>
      <c r="E51" s="367">
        <v>3</v>
      </c>
      <c r="F51" s="367">
        <v>4</v>
      </c>
      <c r="G51" s="367">
        <v>5</v>
      </c>
      <c r="H51" s="703">
        <v>6</v>
      </c>
      <c r="I51" s="704">
        <v>7</v>
      </c>
      <c r="J51" s="367">
        <v>8</v>
      </c>
      <c r="K51" s="367">
        <v>9</v>
      </c>
      <c r="L51" s="367">
        <v>10</v>
      </c>
      <c r="M51" s="367">
        <v>11</v>
      </c>
      <c r="N51" s="367">
        <v>12</v>
      </c>
      <c r="O51" s="703">
        <v>13</v>
      </c>
      <c r="P51" s="704">
        <v>14</v>
      </c>
      <c r="Q51" s="367">
        <v>15</v>
      </c>
      <c r="R51" s="367">
        <v>16</v>
      </c>
      <c r="S51" s="367">
        <v>17</v>
      </c>
      <c r="T51" s="367">
        <v>18</v>
      </c>
      <c r="U51" s="683">
        <v>19</v>
      </c>
      <c r="V51" s="684">
        <v>20</v>
      </c>
      <c r="W51" s="704">
        <v>21</v>
      </c>
      <c r="X51" s="367">
        <v>22</v>
      </c>
      <c r="Y51" s="367">
        <v>23</v>
      </c>
      <c r="Z51" s="683">
        <v>24</v>
      </c>
      <c r="AA51" s="367">
        <v>25</v>
      </c>
      <c r="AB51" s="367">
        <v>26</v>
      </c>
      <c r="AC51" s="684">
        <v>27</v>
      </c>
      <c r="AD51" s="704">
        <v>28</v>
      </c>
      <c r="AE51" s="367">
        <v>29</v>
      </c>
      <c r="AF51" s="367">
        <v>30</v>
      </c>
      <c r="AG51" s="367">
        <v>31</v>
      </c>
      <c r="AH51" s="367" t="s">
        <v>116</v>
      </c>
      <c r="AI51" s="666" t="s">
        <v>292</v>
      </c>
      <c r="AJ51" s="717" t="s">
        <v>27</v>
      </c>
      <c r="AK51" s="718" t="s">
        <v>1909</v>
      </c>
      <c r="AL51" s="719" t="s">
        <v>1355</v>
      </c>
      <c r="AM51" s="695"/>
    </row>
    <row r="52" spans="2:44" ht="16" customHeight="1">
      <c r="B52" s="472" t="s">
        <v>1354</v>
      </c>
      <c r="C52" s="468">
        <v>9</v>
      </c>
      <c r="D52" s="469" t="s">
        <v>27</v>
      </c>
      <c r="E52" s="468">
        <v>9</v>
      </c>
      <c r="F52" s="660" t="s">
        <v>27</v>
      </c>
      <c r="G52" s="468">
        <v>9</v>
      </c>
      <c r="H52" s="651">
        <v>9</v>
      </c>
      <c r="I52" s="656" t="s">
        <v>27</v>
      </c>
      <c r="J52" s="468">
        <v>9</v>
      </c>
      <c r="K52" s="469" t="s">
        <v>27</v>
      </c>
      <c r="L52" s="667" t="s">
        <v>1370</v>
      </c>
      <c r="M52" s="667" t="s">
        <v>1370</v>
      </c>
      <c r="N52" s="667" t="s">
        <v>1370</v>
      </c>
      <c r="O52" s="651">
        <v>9</v>
      </c>
      <c r="P52" s="656" t="s">
        <v>27</v>
      </c>
      <c r="Q52" s="468">
        <v>9</v>
      </c>
      <c r="R52" s="469" t="s">
        <v>27</v>
      </c>
      <c r="S52" s="468">
        <v>9</v>
      </c>
      <c r="T52" s="468">
        <v>9</v>
      </c>
      <c r="U52" s="468">
        <v>9</v>
      </c>
      <c r="V52" s="651">
        <v>9</v>
      </c>
      <c r="W52" s="653">
        <v>9</v>
      </c>
      <c r="X52" s="468">
        <v>9</v>
      </c>
      <c r="Y52" s="469" t="s">
        <v>27</v>
      </c>
      <c r="Z52" s="469" t="s">
        <v>27</v>
      </c>
      <c r="AA52" s="468">
        <v>9</v>
      </c>
      <c r="AB52" s="468">
        <v>9</v>
      </c>
      <c r="AC52" s="651">
        <v>9</v>
      </c>
      <c r="AD52" s="656" t="s">
        <v>27</v>
      </c>
      <c r="AE52" s="468">
        <v>9</v>
      </c>
      <c r="AF52" s="469" t="s">
        <v>27</v>
      </c>
      <c r="AG52" s="688" t="s">
        <v>1366</v>
      </c>
      <c r="AH52" s="366">
        <f>SUM(C52:AG52)</f>
        <v>153</v>
      </c>
      <c r="AI52" s="699"/>
      <c r="AJ52" s="708">
        <f>COUNTIF(C52:AG52,"R")</f>
        <v>10</v>
      </c>
      <c r="AK52" s="708">
        <f>COUNTIF(C52:AG52,"Z")</f>
        <v>0</v>
      </c>
      <c r="AL52" s="708">
        <f>COUNTIF(C52:AG52,"FE")</f>
        <v>0</v>
      </c>
      <c r="AM52" s="665"/>
    </row>
    <row r="53" spans="2:44" ht="16" customHeight="1">
      <c r="B53" s="473" t="s">
        <v>1357</v>
      </c>
      <c r="C53" s="469" t="s">
        <v>27</v>
      </c>
      <c r="D53" s="471">
        <v>9</v>
      </c>
      <c r="E53" s="471">
        <v>9</v>
      </c>
      <c r="F53" s="471">
        <v>9</v>
      </c>
      <c r="G53" s="471">
        <v>9</v>
      </c>
      <c r="H53" s="652">
        <v>9</v>
      </c>
      <c r="I53" s="656" t="s">
        <v>27</v>
      </c>
      <c r="J53" s="469" t="s">
        <v>27</v>
      </c>
      <c r="K53" s="471">
        <v>9</v>
      </c>
      <c r="L53" s="471">
        <v>9</v>
      </c>
      <c r="M53" s="471">
        <v>9</v>
      </c>
      <c r="N53" s="471">
        <v>9</v>
      </c>
      <c r="O53" s="652">
        <v>9</v>
      </c>
      <c r="P53" s="656" t="s">
        <v>27</v>
      </c>
      <c r="Q53" s="469" t="s">
        <v>27</v>
      </c>
      <c r="R53" s="471">
        <v>9</v>
      </c>
      <c r="S53" s="471">
        <v>9</v>
      </c>
      <c r="T53" s="471">
        <v>9</v>
      </c>
      <c r="U53" s="471">
        <v>9</v>
      </c>
      <c r="V53" s="652">
        <v>9</v>
      </c>
      <c r="W53" s="654">
        <v>9</v>
      </c>
      <c r="X53" s="469" t="s">
        <v>27</v>
      </c>
      <c r="Y53" s="469" t="s">
        <v>27</v>
      </c>
      <c r="Z53" s="471">
        <v>9</v>
      </c>
      <c r="AA53" s="471">
        <v>9</v>
      </c>
      <c r="AB53" s="471">
        <v>9</v>
      </c>
      <c r="AC53" s="652">
        <v>9</v>
      </c>
      <c r="AD53" s="656" t="s">
        <v>27</v>
      </c>
      <c r="AE53" s="469" t="s">
        <v>27</v>
      </c>
      <c r="AF53" s="471">
        <v>9</v>
      </c>
      <c r="AG53" s="688" t="s">
        <v>1366</v>
      </c>
      <c r="AH53" s="687">
        <f>SUM(C53:AG53)</f>
        <v>189</v>
      </c>
      <c r="AI53" s="700"/>
      <c r="AJ53" s="708">
        <f t="shared" ref="AJ53:AJ56" si="16">COUNTIF(C53:AG53,"R")</f>
        <v>9</v>
      </c>
      <c r="AK53" s="708">
        <f t="shared" ref="AK53:AK56" si="17">COUNTIF(C53:AG53,"Z")</f>
        <v>0</v>
      </c>
      <c r="AL53" s="708">
        <f t="shared" ref="AL53:AL56" si="18">COUNTIF(C53:AG53,"FE")</f>
        <v>0</v>
      </c>
      <c r="AM53" s="665"/>
    </row>
    <row r="54" spans="2:44" ht="16" customHeight="1">
      <c r="B54" s="472" t="s">
        <v>1358</v>
      </c>
      <c r="C54" s="468">
        <v>9</v>
      </c>
      <c r="D54" s="469" t="s">
        <v>27</v>
      </c>
      <c r="E54" s="468">
        <v>10</v>
      </c>
      <c r="F54" s="468">
        <v>10</v>
      </c>
      <c r="G54" s="468">
        <v>10.5</v>
      </c>
      <c r="H54" s="651">
        <v>12</v>
      </c>
      <c r="I54" s="656" t="s">
        <v>27</v>
      </c>
      <c r="J54" s="468">
        <v>8.5</v>
      </c>
      <c r="K54" s="469" t="s">
        <v>27</v>
      </c>
      <c r="L54" s="468">
        <v>9</v>
      </c>
      <c r="M54" s="468">
        <v>11</v>
      </c>
      <c r="N54" s="468">
        <v>11.5</v>
      </c>
      <c r="O54" s="651">
        <v>12.5</v>
      </c>
      <c r="P54" s="653">
        <v>8</v>
      </c>
      <c r="Q54" s="469" t="s">
        <v>27</v>
      </c>
      <c r="R54" s="469" t="s">
        <v>27</v>
      </c>
      <c r="S54" s="468">
        <v>10</v>
      </c>
      <c r="T54" s="468">
        <v>12</v>
      </c>
      <c r="U54" s="468">
        <v>13</v>
      </c>
      <c r="V54" s="651">
        <v>8.5</v>
      </c>
      <c r="W54" s="656" t="s">
        <v>27</v>
      </c>
      <c r="X54" s="468">
        <v>10</v>
      </c>
      <c r="Y54" s="469" t="s">
        <v>27</v>
      </c>
      <c r="Z54" s="468">
        <v>13</v>
      </c>
      <c r="AA54" s="468">
        <v>10.5</v>
      </c>
      <c r="AB54" s="468">
        <v>11.5</v>
      </c>
      <c r="AC54" s="651">
        <v>10</v>
      </c>
      <c r="AD54" s="656" t="s">
        <v>27</v>
      </c>
      <c r="AE54" s="468">
        <v>9.5</v>
      </c>
      <c r="AF54" s="469" t="s">
        <v>27</v>
      </c>
      <c r="AG54" s="688" t="s">
        <v>1366</v>
      </c>
      <c r="AH54" s="366">
        <f t="shared" ref="AH54:AH64" si="19">SUM(C54:AG54)</f>
        <v>220</v>
      </c>
      <c r="AI54" s="699"/>
      <c r="AJ54" s="708">
        <f t="shared" si="16"/>
        <v>9</v>
      </c>
      <c r="AK54" s="708">
        <f t="shared" si="17"/>
        <v>0</v>
      </c>
      <c r="AL54" s="708">
        <f t="shared" si="18"/>
        <v>0</v>
      </c>
      <c r="AM54" s="665"/>
    </row>
    <row r="55" spans="2:44" ht="16" customHeight="1">
      <c r="B55" s="473" t="s">
        <v>1359</v>
      </c>
      <c r="C55" s="471">
        <v>9</v>
      </c>
      <c r="D55" s="471">
        <v>9.5</v>
      </c>
      <c r="E55" s="469" t="s">
        <v>27</v>
      </c>
      <c r="F55" s="471">
        <v>10</v>
      </c>
      <c r="G55" s="469" t="s">
        <v>27</v>
      </c>
      <c r="H55" s="652">
        <v>12</v>
      </c>
      <c r="I55" s="654">
        <v>9</v>
      </c>
      <c r="J55" s="471">
        <v>8.5</v>
      </c>
      <c r="K55" s="471">
        <v>9</v>
      </c>
      <c r="L55" s="469" t="s">
        <v>27</v>
      </c>
      <c r="M55" s="469" t="s">
        <v>27</v>
      </c>
      <c r="N55" s="471">
        <v>11.5</v>
      </c>
      <c r="O55" s="652">
        <v>12.5</v>
      </c>
      <c r="P55" s="656" t="s">
        <v>27</v>
      </c>
      <c r="Q55" s="471">
        <v>10</v>
      </c>
      <c r="R55" s="471">
        <v>10</v>
      </c>
      <c r="S55" s="469" t="s">
        <v>27</v>
      </c>
      <c r="T55" s="469" t="s">
        <v>27</v>
      </c>
      <c r="U55" s="471">
        <v>13</v>
      </c>
      <c r="V55" s="652">
        <v>8.5</v>
      </c>
      <c r="W55" s="654">
        <v>11</v>
      </c>
      <c r="X55" s="471">
        <v>10</v>
      </c>
      <c r="Y55" s="471">
        <v>11</v>
      </c>
      <c r="Z55" s="471">
        <v>13</v>
      </c>
      <c r="AA55" s="471">
        <v>10.5</v>
      </c>
      <c r="AB55" s="471">
        <v>11.5</v>
      </c>
      <c r="AC55" s="652">
        <v>10</v>
      </c>
      <c r="AD55" s="656" t="s">
        <v>27</v>
      </c>
      <c r="AE55" s="471">
        <v>9.5</v>
      </c>
      <c r="AF55" s="471">
        <v>11.5</v>
      </c>
      <c r="AG55" s="688" t="s">
        <v>1366</v>
      </c>
      <c r="AH55" s="687">
        <f t="shared" si="19"/>
        <v>230.5</v>
      </c>
      <c r="AI55" s="700"/>
      <c r="AJ55" s="708">
        <f t="shared" si="16"/>
        <v>8</v>
      </c>
      <c r="AK55" s="708">
        <f t="shared" si="17"/>
        <v>0</v>
      </c>
      <c r="AL55" s="708">
        <f t="shared" si="18"/>
        <v>0</v>
      </c>
      <c r="AM55" s="665"/>
    </row>
    <row r="56" spans="2:44" ht="16" customHeight="1">
      <c r="B56" s="472" t="s">
        <v>1360</v>
      </c>
      <c r="C56" s="469" t="s">
        <v>27</v>
      </c>
      <c r="D56" s="468">
        <v>9.5</v>
      </c>
      <c r="E56" s="468">
        <v>10</v>
      </c>
      <c r="F56" s="468">
        <v>5</v>
      </c>
      <c r="G56" s="468">
        <v>10.5</v>
      </c>
      <c r="H56" s="651">
        <v>12</v>
      </c>
      <c r="I56" s="653">
        <v>9</v>
      </c>
      <c r="J56" s="469" t="s">
        <v>27</v>
      </c>
      <c r="K56" s="468">
        <v>9</v>
      </c>
      <c r="L56" s="468">
        <v>9</v>
      </c>
      <c r="M56" s="468">
        <v>11</v>
      </c>
      <c r="N56" s="468">
        <v>11.5</v>
      </c>
      <c r="O56" s="655" t="s">
        <v>27</v>
      </c>
      <c r="P56" s="653">
        <v>8</v>
      </c>
      <c r="Q56" s="468">
        <v>10</v>
      </c>
      <c r="R56" s="468">
        <v>10</v>
      </c>
      <c r="S56" s="469" t="s">
        <v>27</v>
      </c>
      <c r="T56" s="468">
        <v>12</v>
      </c>
      <c r="U56" s="468">
        <v>13</v>
      </c>
      <c r="V56" s="655" t="s">
        <v>27</v>
      </c>
      <c r="W56" s="653">
        <v>11</v>
      </c>
      <c r="X56" s="469" t="s">
        <v>27</v>
      </c>
      <c r="Y56" s="468">
        <v>11</v>
      </c>
      <c r="Z56" s="468">
        <v>13</v>
      </c>
      <c r="AA56" s="469" t="s">
        <v>27</v>
      </c>
      <c r="AB56" s="468">
        <v>11.5</v>
      </c>
      <c r="AC56" s="655" t="s">
        <v>27</v>
      </c>
      <c r="AD56" s="656" t="s">
        <v>27</v>
      </c>
      <c r="AE56" s="469" t="s">
        <v>27</v>
      </c>
      <c r="AF56" s="468">
        <v>11.5</v>
      </c>
      <c r="AG56" s="688" t="s">
        <v>1366</v>
      </c>
      <c r="AH56" s="366">
        <f t="shared" si="19"/>
        <v>207.5</v>
      </c>
      <c r="AI56" s="611" t="s">
        <v>1870</v>
      </c>
      <c r="AJ56" s="708">
        <f t="shared" si="16"/>
        <v>10</v>
      </c>
      <c r="AK56" s="708">
        <f t="shared" si="17"/>
        <v>0</v>
      </c>
      <c r="AL56" s="708">
        <f t="shared" si="18"/>
        <v>0</v>
      </c>
      <c r="AM56" s="665"/>
    </row>
    <row r="57" spans="2:44" ht="16" customHeight="1">
      <c r="B57" s="473" t="s">
        <v>1500</v>
      </c>
      <c r="C57" s="471"/>
      <c r="D57" s="471"/>
      <c r="E57" s="471"/>
      <c r="F57" s="471"/>
      <c r="G57" s="471"/>
      <c r="H57" s="652"/>
      <c r="I57" s="654"/>
      <c r="J57" s="471"/>
      <c r="K57" s="471"/>
      <c r="L57" s="471"/>
      <c r="M57" s="471"/>
      <c r="N57" s="471"/>
      <c r="O57" s="652">
        <v>7.5</v>
      </c>
      <c r="P57" s="654"/>
      <c r="Q57" s="471"/>
      <c r="R57" s="471"/>
      <c r="S57" s="471"/>
      <c r="T57" s="471"/>
      <c r="U57" s="471">
        <v>11</v>
      </c>
      <c r="V57" s="652"/>
      <c r="W57" s="654"/>
      <c r="X57" s="471"/>
      <c r="Y57" s="471"/>
      <c r="Z57" s="471"/>
      <c r="AA57" s="471"/>
      <c r="AB57" s="471"/>
      <c r="AC57" s="652"/>
      <c r="AD57" s="654"/>
      <c r="AE57" s="471"/>
      <c r="AF57" s="471"/>
      <c r="AG57" s="688" t="s">
        <v>1366</v>
      </c>
      <c r="AH57" s="687">
        <f t="shared" si="19"/>
        <v>18.5</v>
      </c>
      <c r="AI57" s="700"/>
    </row>
    <row r="58" spans="2:44" ht="16" customHeight="1">
      <c r="B58" s="472" t="s">
        <v>1361</v>
      </c>
      <c r="C58" s="468"/>
      <c r="D58" s="468"/>
      <c r="E58" s="468"/>
      <c r="F58" s="468"/>
      <c r="G58" s="468"/>
      <c r="H58" s="651">
        <v>12</v>
      </c>
      <c r="I58" s="653"/>
      <c r="J58" s="468"/>
      <c r="K58" s="468"/>
      <c r="L58" s="468"/>
      <c r="M58" s="468">
        <v>6</v>
      </c>
      <c r="N58" s="468">
        <v>9.5</v>
      </c>
      <c r="O58" s="651">
        <v>12.5</v>
      </c>
      <c r="P58" s="653"/>
      <c r="Q58" s="468"/>
      <c r="R58" s="468"/>
      <c r="S58" s="468"/>
      <c r="T58" s="468">
        <v>7</v>
      </c>
      <c r="U58" s="468">
        <v>13</v>
      </c>
      <c r="V58" s="651">
        <v>8.5</v>
      </c>
      <c r="W58" s="653"/>
      <c r="X58" s="468"/>
      <c r="Y58" s="468"/>
      <c r="Z58" s="468"/>
      <c r="AA58" s="468">
        <v>5.5</v>
      </c>
      <c r="AB58" s="468">
        <v>9.5</v>
      </c>
      <c r="AC58" s="651">
        <v>12</v>
      </c>
      <c r="AD58" s="653"/>
      <c r="AE58" s="468"/>
      <c r="AF58" s="468"/>
      <c r="AG58" s="688" t="s">
        <v>1366</v>
      </c>
      <c r="AH58" s="366">
        <f t="shared" si="19"/>
        <v>95.5</v>
      </c>
      <c r="AI58" s="699"/>
    </row>
    <row r="59" spans="2:44" ht="16" customHeight="1">
      <c r="B59" s="473" t="s">
        <v>1363</v>
      </c>
      <c r="C59" s="471"/>
      <c r="D59" s="471"/>
      <c r="E59" s="471"/>
      <c r="F59" s="471"/>
      <c r="G59" s="471">
        <v>10.5</v>
      </c>
      <c r="H59" s="652">
        <v>8.5</v>
      </c>
      <c r="I59" s="654"/>
      <c r="J59" s="471"/>
      <c r="K59" s="471"/>
      <c r="L59" s="471"/>
      <c r="M59" s="471">
        <v>3</v>
      </c>
      <c r="N59" s="471">
        <v>11.5</v>
      </c>
      <c r="O59" s="652">
        <v>9</v>
      </c>
      <c r="P59" s="654">
        <v>4.5</v>
      </c>
      <c r="Q59" s="471"/>
      <c r="R59" s="471"/>
      <c r="S59" s="471"/>
      <c r="T59" s="471"/>
      <c r="U59" s="471"/>
      <c r="V59" s="652"/>
      <c r="W59" s="654"/>
      <c r="X59" s="471"/>
      <c r="Y59" s="471"/>
      <c r="Z59" s="471">
        <v>8</v>
      </c>
      <c r="AA59" s="471"/>
      <c r="AB59" s="471">
        <v>11.5</v>
      </c>
      <c r="AC59" s="652">
        <v>5.5</v>
      </c>
      <c r="AD59" s="654"/>
      <c r="AE59" s="471"/>
      <c r="AF59" s="471">
        <v>11.5</v>
      </c>
      <c r="AG59" s="688" t="s">
        <v>1366</v>
      </c>
      <c r="AH59" s="687">
        <f t="shared" si="19"/>
        <v>83.5</v>
      </c>
      <c r="AI59" s="700"/>
    </row>
    <row r="60" spans="2:44" ht="16" customHeight="1">
      <c r="B60" s="472" t="s">
        <v>1455</v>
      </c>
      <c r="C60" s="468"/>
      <c r="D60" s="468"/>
      <c r="E60" s="468"/>
      <c r="F60" s="468">
        <v>5</v>
      </c>
      <c r="G60" s="468">
        <v>10</v>
      </c>
      <c r="H60" s="651"/>
      <c r="I60" s="653"/>
      <c r="J60" s="468"/>
      <c r="K60" s="468"/>
      <c r="L60" s="468"/>
      <c r="M60" s="468">
        <v>3.5</v>
      </c>
      <c r="N60" s="468"/>
      <c r="O60" s="651"/>
      <c r="P60" s="653"/>
      <c r="Q60" s="468"/>
      <c r="R60" s="468"/>
      <c r="S60" s="468"/>
      <c r="T60" s="468">
        <v>7</v>
      </c>
      <c r="U60" s="468">
        <v>13</v>
      </c>
      <c r="V60" s="651"/>
      <c r="W60" s="653"/>
      <c r="X60" s="468"/>
      <c r="Y60" s="468"/>
      <c r="Z60" s="468">
        <v>8</v>
      </c>
      <c r="AA60" s="468">
        <v>5.5</v>
      </c>
      <c r="AB60" s="468">
        <v>6.5</v>
      </c>
      <c r="AC60" s="651"/>
      <c r="AD60" s="653"/>
      <c r="AE60" s="468"/>
      <c r="AF60" s="468">
        <v>6.5</v>
      </c>
      <c r="AG60" s="688" t="s">
        <v>1366</v>
      </c>
      <c r="AH60" s="366">
        <f t="shared" si="19"/>
        <v>65</v>
      </c>
      <c r="AI60" s="699"/>
    </row>
    <row r="61" spans="2:44" ht="16" customHeight="1">
      <c r="B61" s="473" t="s">
        <v>1872</v>
      </c>
      <c r="C61" s="471"/>
      <c r="D61" s="471"/>
      <c r="E61" s="471"/>
      <c r="F61" s="471"/>
      <c r="G61" s="471"/>
      <c r="H61" s="652"/>
      <c r="I61" s="654"/>
      <c r="J61" s="471">
        <v>8</v>
      </c>
      <c r="K61" s="471">
        <v>7</v>
      </c>
      <c r="L61" s="471"/>
      <c r="M61" s="471"/>
      <c r="N61" s="471"/>
      <c r="O61" s="652"/>
      <c r="P61" s="654"/>
      <c r="Q61" s="471"/>
      <c r="R61" s="471"/>
      <c r="S61" s="471"/>
      <c r="T61" s="471"/>
      <c r="U61" s="471"/>
      <c r="V61" s="652"/>
      <c r="W61" s="654"/>
      <c r="X61" s="471"/>
      <c r="Y61" s="471"/>
      <c r="Z61" s="471"/>
      <c r="AA61" s="471"/>
      <c r="AB61" s="471"/>
      <c r="AC61" s="652"/>
      <c r="AD61" s="654"/>
      <c r="AE61" s="471"/>
      <c r="AF61" s="471"/>
      <c r="AG61" s="688" t="s">
        <v>1366</v>
      </c>
      <c r="AH61" s="687">
        <f t="shared" si="19"/>
        <v>15</v>
      </c>
      <c r="AI61" s="700"/>
    </row>
    <row r="62" spans="2:44" ht="16" customHeight="1">
      <c r="B62" s="472" t="s">
        <v>1871</v>
      </c>
      <c r="C62" s="468"/>
      <c r="D62" s="468"/>
      <c r="E62" s="468"/>
      <c r="F62" s="468">
        <v>9</v>
      </c>
      <c r="G62" s="468"/>
      <c r="H62" s="651"/>
      <c r="I62" s="653"/>
      <c r="J62" s="468"/>
      <c r="K62" s="468"/>
      <c r="L62" s="468">
        <v>2</v>
      </c>
      <c r="M62" s="468">
        <v>9</v>
      </c>
      <c r="N62" s="468">
        <v>9</v>
      </c>
      <c r="O62" s="651"/>
      <c r="P62" s="653"/>
      <c r="Q62" s="468"/>
      <c r="R62" s="468"/>
      <c r="S62" s="468"/>
      <c r="T62" s="468"/>
      <c r="U62" s="468"/>
      <c r="V62" s="651"/>
      <c r="W62" s="653"/>
      <c r="X62" s="468"/>
      <c r="Y62" s="468"/>
      <c r="Z62" s="468"/>
      <c r="AA62" s="468"/>
      <c r="AB62" s="468"/>
      <c r="AC62" s="651"/>
      <c r="AD62" s="653"/>
      <c r="AE62" s="468"/>
      <c r="AF62" s="468"/>
      <c r="AG62" s="688" t="s">
        <v>1366</v>
      </c>
      <c r="AH62" s="366">
        <f t="shared" si="19"/>
        <v>29</v>
      </c>
      <c r="AI62" s="699"/>
    </row>
    <row r="63" spans="2:44" ht="16" customHeight="1">
      <c r="B63" s="473" t="s">
        <v>1873</v>
      </c>
      <c r="C63" s="471"/>
      <c r="D63" s="471"/>
      <c r="E63" s="471"/>
      <c r="F63" s="471"/>
      <c r="G63" s="471"/>
      <c r="H63" s="652">
        <v>8</v>
      </c>
      <c r="I63" s="654"/>
      <c r="J63" s="471"/>
      <c r="K63" s="471"/>
      <c r="L63" s="471"/>
      <c r="M63" s="471"/>
      <c r="N63" s="471"/>
      <c r="O63" s="652"/>
      <c r="P63" s="654"/>
      <c r="Q63" s="471"/>
      <c r="R63" s="471"/>
      <c r="S63" s="471">
        <v>10</v>
      </c>
      <c r="T63" s="471"/>
      <c r="U63" s="471"/>
      <c r="V63" s="652"/>
      <c r="W63" s="654"/>
      <c r="X63" s="471"/>
      <c r="Y63" s="471"/>
      <c r="Z63" s="471">
        <v>13</v>
      </c>
      <c r="AA63" s="471"/>
      <c r="AB63" s="471"/>
      <c r="AC63" s="652"/>
      <c r="AD63" s="654"/>
      <c r="AE63" s="471"/>
      <c r="AF63" s="471"/>
      <c r="AG63" s="688" t="s">
        <v>1366</v>
      </c>
      <c r="AH63" s="687">
        <f>SUM(C63:AG63)</f>
        <v>31</v>
      </c>
      <c r="AI63" s="700"/>
    </row>
    <row r="64" spans="2:44" ht="16" customHeight="1">
      <c r="B64" s="472" t="s">
        <v>1874</v>
      </c>
      <c r="C64" s="468"/>
      <c r="D64" s="468"/>
      <c r="E64" s="468"/>
      <c r="F64" s="468"/>
      <c r="G64" s="468">
        <v>5</v>
      </c>
      <c r="H64" s="651"/>
      <c r="I64" s="653"/>
      <c r="J64" s="468"/>
      <c r="K64" s="468"/>
      <c r="L64" s="468"/>
      <c r="M64" s="468">
        <v>6</v>
      </c>
      <c r="N64" s="468">
        <v>6</v>
      </c>
      <c r="O64" s="651"/>
      <c r="P64" s="653"/>
      <c r="Q64" s="468"/>
      <c r="R64" s="468"/>
      <c r="S64" s="468"/>
      <c r="T64" s="468"/>
      <c r="U64" s="468">
        <v>11</v>
      </c>
      <c r="V64" s="651"/>
      <c r="W64" s="653"/>
      <c r="X64" s="468"/>
      <c r="Y64" s="468">
        <v>6</v>
      </c>
      <c r="Z64" s="468">
        <v>11</v>
      </c>
      <c r="AA64" s="468"/>
      <c r="AB64" s="468"/>
      <c r="AC64" s="651"/>
      <c r="AD64" s="653"/>
      <c r="AE64" s="468"/>
      <c r="AF64" s="468"/>
      <c r="AG64" s="688" t="s">
        <v>1366</v>
      </c>
      <c r="AH64" s="366">
        <f t="shared" si="19"/>
        <v>45</v>
      </c>
      <c r="AI64" s="699"/>
    </row>
    <row r="65" spans="2:44" s="272" customFormat="1" ht="3" customHeight="1">
      <c r="B65" s="696"/>
      <c r="C65" s="697"/>
      <c r="D65" s="697"/>
      <c r="E65" s="697"/>
      <c r="F65" s="697"/>
      <c r="G65" s="697"/>
      <c r="H65" s="697"/>
      <c r="I65" s="697"/>
      <c r="J65" s="697"/>
      <c r="K65" s="697"/>
      <c r="L65" s="697"/>
      <c r="M65" s="697"/>
      <c r="N65" s="697"/>
      <c r="O65" s="697"/>
      <c r="P65" s="697"/>
      <c r="Q65" s="697"/>
      <c r="R65" s="697"/>
      <c r="S65" s="697"/>
      <c r="T65" s="697"/>
      <c r="U65" s="697"/>
      <c r="V65" s="697"/>
      <c r="W65" s="697"/>
      <c r="X65" s="697"/>
      <c r="Y65" s="697"/>
      <c r="Z65" s="697"/>
      <c r="AA65" s="697"/>
      <c r="AB65" s="697"/>
      <c r="AC65" s="697"/>
      <c r="AD65" s="697"/>
      <c r="AE65" s="697"/>
      <c r="AF65" s="697"/>
      <c r="AG65" s="697"/>
      <c r="AH65" s="698"/>
      <c r="AI65" s="690"/>
      <c r="AJ65" s="708"/>
      <c r="AK65" s="708"/>
      <c r="AL65" s="708"/>
      <c r="AM65" s="663"/>
      <c r="AN65" s="701"/>
      <c r="AO65" s="663"/>
      <c r="AP65" s="663"/>
      <c r="AQ65" s="663"/>
      <c r="AR65" s="664"/>
    </row>
    <row r="66" spans="2:44" s="272" customFormat="1" ht="21" customHeight="1">
      <c r="B66" s="954" t="s">
        <v>1371</v>
      </c>
      <c r="C66" s="954"/>
      <c r="D66" s="954"/>
      <c r="E66" s="954"/>
      <c r="F66" s="954"/>
      <c r="G66" s="954"/>
      <c r="H66" s="954"/>
      <c r="I66" s="954"/>
      <c r="J66" s="954"/>
      <c r="K66" s="954"/>
      <c r="L66" s="954"/>
      <c r="M66" s="954"/>
      <c r="N66" s="954"/>
      <c r="O66" s="954"/>
      <c r="P66" s="954"/>
      <c r="Q66" s="954"/>
      <c r="R66" s="954"/>
      <c r="S66" s="954"/>
      <c r="T66" s="954"/>
      <c r="U66" s="954"/>
      <c r="V66" s="954"/>
      <c r="W66" s="954"/>
      <c r="X66" s="954"/>
      <c r="Y66" s="954"/>
      <c r="Z66" s="954"/>
      <c r="AA66" s="954"/>
      <c r="AB66" s="954"/>
      <c r="AC66" s="954"/>
      <c r="AD66" s="954"/>
      <c r="AE66" s="954"/>
      <c r="AF66" s="954"/>
      <c r="AG66" s="954"/>
      <c r="AH66" s="954"/>
      <c r="AI66" s="690"/>
      <c r="AJ66" s="694"/>
      <c r="AK66" s="694"/>
      <c r="AL66" s="694"/>
      <c r="AM66" s="695"/>
      <c r="AN66" s="701"/>
      <c r="AO66" s="663"/>
      <c r="AP66" s="663"/>
      <c r="AQ66" s="663"/>
      <c r="AR66" s="664"/>
    </row>
    <row r="67" spans="2:44">
      <c r="B67" s="669"/>
      <c r="C67" s="367">
        <v>1</v>
      </c>
      <c r="D67" s="367">
        <v>2</v>
      </c>
      <c r="E67" s="367">
        <v>3</v>
      </c>
      <c r="F67" s="684">
        <v>4</v>
      </c>
      <c r="G67" s="704">
        <v>5</v>
      </c>
      <c r="H67" s="367">
        <v>6</v>
      </c>
      <c r="I67" s="367">
        <v>7</v>
      </c>
      <c r="J67" s="367">
        <v>8</v>
      </c>
      <c r="K67" s="367">
        <v>9</v>
      </c>
      <c r="L67" s="367">
        <v>10</v>
      </c>
      <c r="M67" s="684">
        <v>11</v>
      </c>
      <c r="N67" s="704">
        <v>12</v>
      </c>
      <c r="O67" s="367">
        <v>13</v>
      </c>
      <c r="P67" s="367">
        <v>14</v>
      </c>
      <c r="Q67" s="367">
        <v>15</v>
      </c>
      <c r="R67" s="367">
        <v>16</v>
      </c>
      <c r="S67" s="367">
        <v>17</v>
      </c>
      <c r="T67" s="684">
        <v>18</v>
      </c>
      <c r="U67" s="704">
        <v>19</v>
      </c>
      <c r="V67" s="367">
        <v>20</v>
      </c>
      <c r="W67" s="367">
        <v>21</v>
      </c>
      <c r="X67" s="367">
        <v>22</v>
      </c>
      <c r="Y67" s="367">
        <v>23</v>
      </c>
      <c r="Z67" s="367">
        <v>24</v>
      </c>
      <c r="AA67" s="684">
        <v>25</v>
      </c>
      <c r="AB67" s="704">
        <v>26</v>
      </c>
      <c r="AC67" s="367">
        <v>27</v>
      </c>
      <c r="AD67" s="367">
        <v>28</v>
      </c>
      <c r="AE67" s="367">
        <v>29</v>
      </c>
      <c r="AF67" s="367">
        <v>30</v>
      </c>
      <c r="AG67" s="367">
        <v>31</v>
      </c>
      <c r="AH67" s="367" t="s">
        <v>116</v>
      </c>
      <c r="AI67" s="666" t="s">
        <v>292</v>
      </c>
      <c r="AJ67" s="717" t="s">
        <v>27</v>
      </c>
      <c r="AK67" s="718" t="s">
        <v>1909</v>
      </c>
      <c r="AL67" s="719" t="s">
        <v>1355</v>
      </c>
      <c r="AM67" s="695"/>
    </row>
    <row r="68" spans="2:44" ht="16" customHeight="1">
      <c r="B68" s="472" t="s">
        <v>1354</v>
      </c>
      <c r="C68" s="468">
        <v>9</v>
      </c>
      <c r="D68" s="468">
        <v>9</v>
      </c>
      <c r="E68" s="468">
        <v>9</v>
      </c>
      <c r="F68" s="651">
        <v>9</v>
      </c>
      <c r="G68" s="656" t="s">
        <v>27</v>
      </c>
      <c r="H68" s="468">
        <v>9</v>
      </c>
      <c r="I68" s="469" t="s">
        <v>27</v>
      </c>
      <c r="J68" s="468">
        <v>9</v>
      </c>
      <c r="K68" s="468">
        <v>9</v>
      </c>
      <c r="L68" s="468">
        <v>9</v>
      </c>
      <c r="M68" s="651">
        <v>9</v>
      </c>
      <c r="N68" s="656" t="s">
        <v>27</v>
      </c>
      <c r="O68" s="468">
        <v>9</v>
      </c>
      <c r="P68" s="469" t="s">
        <v>27</v>
      </c>
      <c r="Q68" s="468">
        <v>9</v>
      </c>
      <c r="R68" s="468">
        <v>9</v>
      </c>
      <c r="S68" s="468">
        <v>9</v>
      </c>
      <c r="T68" s="651">
        <v>9</v>
      </c>
      <c r="U68" s="656" t="s">
        <v>27</v>
      </c>
      <c r="V68" s="468">
        <v>9</v>
      </c>
      <c r="W68" s="469" t="s">
        <v>27</v>
      </c>
      <c r="X68" s="611">
        <v>6</v>
      </c>
      <c r="Y68" s="468">
        <v>9</v>
      </c>
      <c r="Z68" s="468">
        <v>10</v>
      </c>
      <c r="AA68" s="651">
        <v>9</v>
      </c>
      <c r="AB68" s="656" t="s">
        <v>27</v>
      </c>
      <c r="AC68" s="468">
        <v>9</v>
      </c>
      <c r="AD68" s="469" t="s">
        <v>27</v>
      </c>
      <c r="AE68" s="611">
        <v>8</v>
      </c>
      <c r="AF68" s="611">
        <v>7</v>
      </c>
      <c r="AG68" s="468">
        <v>9</v>
      </c>
      <c r="AH68" s="366">
        <f>SUM(C68:AG68)</f>
        <v>202</v>
      </c>
      <c r="AI68" s="699"/>
      <c r="AJ68" s="708">
        <f>COUNTIF(C68:AG68,"R")</f>
        <v>8</v>
      </c>
      <c r="AK68" s="708">
        <f>COUNTIF(C68:AG68,"Z")</f>
        <v>0</v>
      </c>
      <c r="AL68" s="708">
        <f>COUNTIF(C68:AG68,"FE")</f>
        <v>0</v>
      </c>
      <c r="AM68" s="665"/>
    </row>
    <row r="69" spans="2:44" ht="16" customHeight="1">
      <c r="B69" s="473" t="s">
        <v>1357</v>
      </c>
      <c r="C69" s="471">
        <v>9</v>
      </c>
      <c r="D69" s="471">
        <v>9</v>
      </c>
      <c r="E69" s="471">
        <v>9</v>
      </c>
      <c r="F69" s="652">
        <v>9</v>
      </c>
      <c r="G69" s="656" t="s">
        <v>27</v>
      </c>
      <c r="H69" s="469" t="s">
        <v>27</v>
      </c>
      <c r="I69" s="471">
        <v>9</v>
      </c>
      <c r="J69" s="471">
        <v>9</v>
      </c>
      <c r="K69" s="471">
        <v>9</v>
      </c>
      <c r="L69" s="471">
        <v>9</v>
      </c>
      <c r="M69" s="652">
        <v>9</v>
      </c>
      <c r="N69" s="656" t="s">
        <v>27</v>
      </c>
      <c r="O69" s="469" t="s">
        <v>27</v>
      </c>
      <c r="P69" s="471">
        <v>9</v>
      </c>
      <c r="Q69" s="471">
        <v>9</v>
      </c>
      <c r="R69" s="471">
        <v>9</v>
      </c>
      <c r="S69" s="471">
        <v>9</v>
      </c>
      <c r="T69" s="652">
        <v>9</v>
      </c>
      <c r="U69" s="656" t="s">
        <v>27</v>
      </c>
      <c r="V69" s="469" t="s">
        <v>27</v>
      </c>
      <c r="W69" s="471">
        <v>9</v>
      </c>
      <c r="X69" s="471">
        <v>9</v>
      </c>
      <c r="Y69" s="471">
        <v>9</v>
      </c>
      <c r="Z69" s="471">
        <v>10</v>
      </c>
      <c r="AA69" s="652">
        <v>9</v>
      </c>
      <c r="AB69" s="656" t="s">
        <v>27</v>
      </c>
      <c r="AC69" s="469" t="s">
        <v>27</v>
      </c>
      <c r="AD69" s="471">
        <v>9</v>
      </c>
      <c r="AE69" s="471">
        <v>9</v>
      </c>
      <c r="AF69" s="471">
        <v>9</v>
      </c>
      <c r="AG69" s="471">
        <v>9</v>
      </c>
      <c r="AH69" s="687">
        <f>SUM(C69:AG69)</f>
        <v>208</v>
      </c>
      <c r="AI69" s="700"/>
      <c r="AJ69" s="708">
        <f t="shared" ref="AJ69:AJ72" si="20">COUNTIF(C69:AG69,"R")</f>
        <v>8</v>
      </c>
      <c r="AK69" s="708">
        <f t="shared" ref="AK69:AK72" si="21">COUNTIF(C69:AG69,"Z")</f>
        <v>0</v>
      </c>
      <c r="AL69" s="708">
        <f t="shared" ref="AL69:AL72" si="22">COUNTIF(C69:AG69,"FE")</f>
        <v>0</v>
      </c>
      <c r="AM69" s="665"/>
    </row>
    <row r="70" spans="2:44" ht="16" customHeight="1">
      <c r="B70" s="472" t="s">
        <v>1358</v>
      </c>
      <c r="C70" s="468">
        <v>11.5</v>
      </c>
      <c r="D70" s="660" t="s">
        <v>27</v>
      </c>
      <c r="E70" s="468">
        <v>11</v>
      </c>
      <c r="F70" s="651">
        <v>10</v>
      </c>
      <c r="G70" s="653">
        <v>8</v>
      </c>
      <c r="H70" s="469" t="s">
        <v>27</v>
      </c>
      <c r="I70" s="468">
        <v>9</v>
      </c>
      <c r="J70" s="468">
        <v>9.5</v>
      </c>
      <c r="K70" s="469" t="s">
        <v>27</v>
      </c>
      <c r="L70" s="468">
        <v>12</v>
      </c>
      <c r="M70" s="651">
        <v>10</v>
      </c>
      <c r="N70" s="656" t="s">
        <v>27</v>
      </c>
      <c r="O70" s="468">
        <v>10</v>
      </c>
      <c r="P70" s="468">
        <v>9</v>
      </c>
      <c r="Q70" s="469" t="s">
        <v>27</v>
      </c>
      <c r="R70" s="468">
        <v>11.5</v>
      </c>
      <c r="S70" s="468">
        <v>11</v>
      </c>
      <c r="T70" s="651">
        <v>10</v>
      </c>
      <c r="U70" s="656" t="s">
        <v>27</v>
      </c>
      <c r="V70" s="468">
        <v>9</v>
      </c>
      <c r="W70" s="468">
        <v>10</v>
      </c>
      <c r="X70" s="469" t="s">
        <v>27</v>
      </c>
      <c r="Y70" s="468">
        <v>8</v>
      </c>
      <c r="Z70" s="468">
        <v>15</v>
      </c>
      <c r="AA70" s="651">
        <v>10</v>
      </c>
      <c r="AB70" s="656" t="s">
        <v>27</v>
      </c>
      <c r="AC70" s="468">
        <v>9.5</v>
      </c>
      <c r="AD70" s="468">
        <v>9</v>
      </c>
      <c r="AE70" s="468">
        <v>5</v>
      </c>
      <c r="AF70" s="468">
        <v>12.5</v>
      </c>
      <c r="AG70" s="468">
        <v>14</v>
      </c>
      <c r="AH70" s="366">
        <f t="shared" ref="AH70:AH80" si="23">SUM(C70:AG70)</f>
        <v>234.5</v>
      </c>
      <c r="AI70" s="699"/>
      <c r="AJ70" s="708">
        <f t="shared" si="20"/>
        <v>8</v>
      </c>
      <c r="AK70" s="708">
        <f t="shared" si="21"/>
        <v>0</v>
      </c>
      <c r="AL70" s="708">
        <f t="shared" si="22"/>
        <v>0</v>
      </c>
      <c r="AM70" s="665"/>
    </row>
    <row r="71" spans="2:44" ht="16" customHeight="1">
      <c r="B71" s="473" t="s">
        <v>1359</v>
      </c>
      <c r="C71" s="469" t="s">
        <v>27</v>
      </c>
      <c r="D71" s="471">
        <v>12</v>
      </c>
      <c r="E71" s="471">
        <v>11</v>
      </c>
      <c r="F71" s="652">
        <v>4</v>
      </c>
      <c r="G71" s="654">
        <v>8</v>
      </c>
      <c r="H71" s="471">
        <v>9.5</v>
      </c>
      <c r="I71" s="471">
        <v>5</v>
      </c>
      <c r="J71" s="469" t="s">
        <v>27</v>
      </c>
      <c r="K71" s="471">
        <v>11</v>
      </c>
      <c r="L71" s="471">
        <v>12</v>
      </c>
      <c r="M71" s="655" t="s">
        <v>27</v>
      </c>
      <c r="N71" s="654">
        <v>9.5</v>
      </c>
      <c r="O71" s="471">
        <v>10</v>
      </c>
      <c r="P71" s="469" t="s">
        <v>27</v>
      </c>
      <c r="Q71" s="471">
        <v>8.5</v>
      </c>
      <c r="R71" s="471">
        <v>11.5</v>
      </c>
      <c r="S71" s="471">
        <v>11</v>
      </c>
      <c r="T71" s="655" t="s">
        <v>27</v>
      </c>
      <c r="U71" s="654">
        <v>9</v>
      </c>
      <c r="V71" s="471">
        <v>9</v>
      </c>
      <c r="W71" s="469" t="s">
        <v>27</v>
      </c>
      <c r="X71" s="471">
        <v>10.5</v>
      </c>
      <c r="Y71" s="471">
        <v>13</v>
      </c>
      <c r="Z71" s="471">
        <v>15</v>
      </c>
      <c r="AA71" s="652">
        <v>10</v>
      </c>
      <c r="AB71" s="654">
        <v>9</v>
      </c>
      <c r="AC71" s="469" t="s">
        <v>27</v>
      </c>
      <c r="AD71" s="469" t="s">
        <v>27</v>
      </c>
      <c r="AE71" s="660" t="s">
        <v>1355</v>
      </c>
      <c r="AF71" s="660" t="s">
        <v>1355</v>
      </c>
      <c r="AG71" s="660" t="s">
        <v>1355</v>
      </c>
      <c r="AH71" s="687">
        <f t="shared" si="23"/>
        <v>198.5</v>
      </c>
      <c r="AI71" s="700"/>
      <c r="AJ71" s="708">
        <f t="shared" si="20"/>
        <v>8</v>
      </c>
      <c r="AK71" s="708">
        <f t="shared" si="21"/>
        <v>0</v>
      </c>
      <c r="AL71" s="708">
        <f t="shared" si="22"/>
        <v>3</v>
      </c>
      <c r="AM71" s="665"/>
    </row>
    <row r="72" spans="2:44" ht="16" customHeight="1">
      <c r="B72" s="472" t="s">
        <v>1360</v>
      </c>
      <c r="C72" s="468">
        <v>5</v>
      </c>
      <c r="D72" s="468">
        <v>12</v>
      </c>
      <c r="E72" s="468">
        <v>11</v>
      </c>
      <c r="F72" s="660" t="s">
        <v>27</v>
      </c>
      <c r="G72" s="656" t="s">
        <v>27</v>
      </c>
      <c r="H72" s="468">
        <v>9.5</v>
      </c>
      <c r="I72" s="468">
        <v>4</v>
      </c>
      <c r="J72" s="469" t="s">
        <v>27</v>
      </c>
      <c r="K72" s="468">
        <v>11</v>
      </c>
      <c r="L72" s="468">
        <v>12</v>
      </c>
      <c r="M72" s="651">
        <v>10</v>
      </c>
      <c r="N72" s="653">
        <v>9.5</v>
      </c>
      <c r="O72" s="469" t="s">
        <v>27</v>
      </c>
      <c r="P72" s="468">
        <v>9</v>
      </c>
      <c r="Q72" s="468">
        <v>8.5</v>
      </c>
      <c r="R72" s="469" t="s">
        <v>27</v>
      </c>
      <c r="S72" s="468">
        <v>11</v>
      </c>
      <c r="T72" s="651">
        <v>10</v>
      </c>
      <c r="U72" s="653">
        <v>9</v>
      </c>
      <c r="V72" s="469" t="s">
        <v>27</v>
      </c>
      <c r="W72" s="468">
        <v>10</v>
      </c>
      <c r="X72" s="469" t="s">
        <v>27</v>
      </c>
      <c r="Y72" s="468">
        <v>13</v>
      </c>
      <c r="Z72" s="468">
        <v>15</v>
      </c>
      <c r="AA72" s="655" t="s">
        <v>27</v>
      </c>
      <c r="AB72" s="653">
        <v>9</v>
      </c>
      <c r="AC72" s="468">
        <v>9.5</v>
      </c>
      <c r="AD72" s="468">
        <v>9</v>
      </c>
      <c r="AE72" s="468">
        <v>5</v>
      </c>
      <c r="AF72" s="468">
        <v>12.5</v>
      </c>
      <c r="AG72" s="468">
        <v>14</v>
      </c>
      <c r="AH72" s="366">
        <f t="shared" si="23"/>
        <v>228.5</v>
      </c>
      <c r="AI72" s="699"/>
      <c r="AJ72" s="708">
        <f t="shared" si="20"/>
        <v>8</v>
      </c>
      <c r="AK72" s="708">
        <f t="shared" si="21"/>
        <v>0</v>
      </c>
      <c r="AL72" s="708">
        <f t="shared" si="22"/>
        <v>0</v>
      </c>
      <c r="AM72" s="665"/>
    </row>
    <row r="73" spans="2:44" ht="16" customHeight="1">
      <c r="B73" s="473" t="s">
        <v>1875</v>
      </c>
      <c r="C73" s="471"/>
      <c r="D73" s="471"/>
      <c r="E73" s="471"/>
      <c r="F73" s="652"/>
      <c r="G73" s="654"/>
      <c r="H73" s="471"/>
      <c r="I73" s="471"/>
      <c r="J73" s="471"/>
      <c r="K73" s="471"/>
      <c r="L73" s="471"/>
      <c r="M73" s="652"/>
      <c r="N73" s="654"/>
      <c r="O73" s="471"/>
      <c r="P73" s="471"/>
      <c r="Q73" s="471"/>
      <c r="R73" s="471"/>
      <c r="S73" s="471"/>
      <c r="T73" s="652"/>
      <c r="U73" s="654"/>
      <c r="V73" s="471"/>
      <c r="W73" s="471"/>
      <c r="X73" s="471"/>
      <c r="Y73" s="471"/>
      <c r="Z73" s="471"/>
      <c r="AA73" s="652"/>
      <c r="AB73" s="654"/>
      <c r="AC73" s="471"/>
      <c r="AD73" s="471"/>
      <c r="AE73" s="471"/>
      <c r="AF73" s="471">
        <v>11.5</v>
      </c>
      <c r="AG73" s="471">
        <v>6</v>
      </c>
      <c r="AH73" s="687">
        <f t="shared" si="23"/>
        <v>17.5</v>
      </c>
      <c r="AI73" s="700"/>
    </row>
    <row r="74" spans="2:44" ht="16" customHeight="1">
      <c r="B74" s="472" t="s">
        <v>1361</v>
      </c>
      <c r="C74" s="468"/>
      <c r="D74" s="468">
        <v>7</v>
      </c>
      <c r="E74" s="468">
        <v>9</v>
      </c>
      <c r="F74" s="651">
        <v>10</v>
      </c>
      <c r="G74" s="653"/>
      <c r="H74" s="468"/>
      <c r="I74" s="468"/>
      <c r="J74" s="468"/>
      <c r="K74" s="468">
        <v>6</v>
      </c>
      <c r="L74" s="468">
        <v>10</v>
      </c>
      <c r="M74" s="651">
        <v>10</v>
      </c>
      <c r="N74" s="653"/>
      <c r="O74" s="468"/>
      <c r="P74" s="468"/>
      <c r="Q74" s="468"/>
      <c r="R74" s="468">
        <v>6.5</v>
      </c>
      <c r="S74" s="468">
        <v>9</v>
      </c>
      <c r="T74" s="651">
        <v>10</v>
      </c>
      <c r="U74" s="653"/>
      <c r="V74" s="468"/>
      <c r="W74" s="468"/>
      <c r="X74" s="468"/>
      <c r="Y74" s="468"/>
      <c r="Z74" s="468"/>
      <c r="AA74" s="651"/>
      <c r="AB74" s="653"/>
      <c r="AC74" s="468"/>
      <c r="AD74" s="468"/>
      <c r="AE74" s="468"/>
      <c r="AF74" s="468"/>
      <c r="AG74" s="468"/>
      <c r="AH74" s="366">
        <f t="shared" si="23"/>
        <v>77.5</v>
      </c>
      <c r="AI74" s="699"/>
    </row>
    <row r="75" spans="2:44" ht="16" customHeight="1">
      <c r="B75" s="473" t="s">
        <v>1363</v>
      </c>
      <c r="C75" s="471">
        <v>5</v>
      </c>
      <c r="D75" s="471">
        <v>8</v>
      </c>
      <c r="E75" s="471">
        <v>11</v>
      </c>
      <c r="F75" s="652">
        <v>4</v>
      </c>
      <c r="G75" s="654"/>
      <c r="H75" s="471"/>
      <c r="I75" s="471"/>
      <c r="J75" s="471"/>
      <c r="K75" s="471"/>
      <c r="L75" s="471">
        <v>10</v>
      </c>
      <c r="M75" s="652">
        <v>4</v>
      </c>
      <c r="N75" s="654"/>
      <c r="O75" s="471"/>
      <c r="P75" s="471"/>
      <c r="Q75" s="471"/>
      <c r="R75" s="471">
        <v>3</v>
      </c>
      <c r="S75" s="471">
        <v>6</v>
      </c>
      <c r="T75" s="652">
        <v>4</v>
      </c>
      <c r="U75" s="654"/>
      <c r="V75" s="471"/>
      <c r="W75" s="471"/>
      <c r="X75" s="471"/>
      <c r="Y75" s="471">
        <v>3.5</v>
      </c>
      <c r="Z75" s="471">
        <v>6.5</v>
      </c>
      <c r="AA75" s="652">
        <v>4</v>
      </c>
      <c r="AB75" s="654"/>
      <c r="AC75" s="471"/>
      <c r="AD75" s="471"/>
      <c r="AE75" s="471"/>
      <c r="AF75" s="471"/>
      <c r="AG75" s="471">
        <v>14</v>
      </c>
      <c r="AH75" s="687">
        <f t="shared" si="23"/>
        <v>83</v>
      </c>
      <c r="AI75" s="700"/>
    </row>
    <row r="76" spans="2:44" ht="16" customHeight="1">
      <c r="B76" s="472" t="s">
        <v>1455</v>
      </c>
      <c r="C76" s="468"/>
      <c r="D76" s="468"/>
      <c r="E76" s="468"/>
      <c r="F76" s="651"/>
      <c r="G76" s="653"/>
      <c r="H76" s="468"/>
      <c r="I76" s="468"/>
      <c r="J76" s="468"/>
      <c r="K76" s="468">
        <v>4</v>
      </c>
      <c r="L76" s="468">
        <v>4</v>
      </c>
      <c r="M76" s="651"/>
      <c r="N76" s="653"/>
      <c r="O76" s="468"/>
      <c r="P76" s="468"/>
      <c r="Q76" s="468"/>
      <c r="R76" s="468">
        <v>6.5</v>
      </c>
      <c r="S76" s="468"/>
      <c r="T76" s="651"/>
      <c r="U76" s="653"/>
      <c r="V76" s="468"/>
      <c r="W76" s="468"/>
      <c r="X76" s="468"/>
      <c r="Y76" s="468">
        <v>7.5</v>
      </c>
      <c r="Z76" s="468">
        <v>11.5</v>
      </c>
      <c r="AA76" s="651"/>
      <c r="AB76" s="653"/>
      <c r="AC76" s="468"/>
      <c r="AD76" s="468"/>
      <c r="AE76" s="468"/>
      <c r="AF76" s="468">
        <v>7.5</v>
      </c>
      <c r="AG76" s="468">
        <v>14</v>
      </c>
      <c r="AH76" s="366">
        <f t="shared" si="23"/>
        <v>55</v>
      </c>
      <c r="AI76" s="699"/>
    </row>
    <row r="77" spans="2:44" ht="16" customHeight="1">
      <c r="B77" s="473" t="s">
        <v>1872</v>
      </c>
      <c r="C77" s="471"/>
      <c r="D77" s="471"/>
      <c r="E77" s="471"/>
      <c r="F77" s="652"/>
      <c r="G77" s="654"/>
      <c r="H77" s="471"/>
      <c r="I77" s="471"/>
      <c r="J77" s="471"/>
      <c r="K77" s="471"/>
      <c r="L77" s="471"/>
      <c r="M77" s="652"/>
      <c r="N77" s="654"/>
      <c r="O77" s="471"/>
      <c r="P77" s="471"/>
      <c r="Q77" s="471"/>
      <c r="R77" s="471"/>
      <c r="S77" s="471"/>
      <c r="T77" s="652"/>
      <c r="U77" s="654"/>
      <c r="V77" s="471"/>
      <c r="W77" s="471"/>
      <c r="X77" s="471"/>
      <c r="Y77" s="471"/>
      <c r="Z77" s="471"/>
      <c r="AA77" s="652"/>
      <c r="AB77" s="654"/>
      <c r="AC77" s="471"/>
      <c r="AD77" s="471"/>
      <c r="AE77" s="471"/>
      <c r="AF77" s="471"/>
      <c r="AG77" s="471"/>
      <c r="AH77" s="687">
        <f t="shared" si="23"/>
        <v>0</v>
      </c>
      <c r="AI77" s="700"/>
    </row>
    <row r="78" spans="2:44" ht="16" customHeight="1">
      <c r="B78" s="472" t="s">
        <v>1871</v>
      </c>
      <c r="C78" s="468"/>
      <c r="D78" s="468"/>
      <c r="E78" s="468"/>
      <c r="F78" s="651"/>
      <c r="G78" s="653"/>
      <c r="H78" s="468"/>
      <c r="I78" s="468"/>
      <c r="J78" s="468"/>
      <c r="K78" s="468"/>
      <c r="L78" s="468"/>
      <c r="M78" s="651"/>
      <c r="N78" s="653"/>
      <c r="O78" s="468"/>
      <c r="P78" s="468"/>
      <c r="Q78" s="468"/>
      <c r="R78" s="468"/>
      <c r="S78" s="468"/>
      <c r="T78" s="651"/>
      <c r="U78" s="653"/>
      <c r="V78" s="468"/>
      <c r="W78" s="468"/>
      <c r="X78" s="468"/>
      <c r="Y78" s="468"/>
      <c r="Z78" s="468"/>
      <c r="AA78" s="651"/>
      <c r="AB78" s="653"/>
      <c r="AC78" s="468"/>
      <c r="AD78" s="468"/>
      <c r="AE78" s="468"/>
      <c r="AF78" s="468"/>
      <c r="AG78" s="468"/>
      <c r="AH78" s="366">
        <f t="shared" si="23"/>
        <v>0</v>
      </c>
      <c r="AI78" s="699"/>
    </row>
    <row r="79" spans="2:44" ht="16" customHeight="1">
      <c r="B79" s="473" t="s">
        <v>1873</v>
      </c>
      <c r="C79" s="471">
        <v>11.5</v>
      </c>
      <c r="D79" s="471"/>
      <c r="E79" s="471"/>
      <c r="F79" s="652"/>
      <c r="G79" s="654"/>
      <c r="H79" s="471"/>
      <c r="I79" s="471"/>
      <c r="J79" s="471">
        <v>9</v>
      </c>
      <c r="K79" s="471"/>
      <c r="L79" s="471"/>
      <c r="M79" s="652"/>
      <c r="N79" s="654"/>
      <c r="O79" s="471"/>
      <c r="P79" s="471"/>
      <c r="Q79" s="471"/>
      <c r="R79" s="471"/>
      <c r="S79" s="471"/>
      <c r="T79" s="652"/>
      <c r="U79" s="654"/>
      <c r="V79" s="471"/>
      <c r="W79" s="471"/>
      <c r="X79" s="471">
        <v>10.5</v>
      </c>
      <c r="Y79" s="471"/>
      <c r="Z79" s="471"/>
      <c r="AA79" s="652"/>
      <c r="AB79" s="654"/>
      <c r="AC79" s="471"/>
      <c r="AD79" s="471"/>
      <c r="AE79" s="471"/>
      <c r="AF79" s="471"/>
      <c r="AG79" s="471"/>
      <c r="AH79" s="687">
        <f t="shared" si="23"/>
        <v>31</v>
      </c>
      <c r="AI79" s="700"/>
    </row>
    <row r="80" spans="2:44" ht="16" customHeight="1">
      <c r="B80" s="472" t="s">
        <v>1769</v>
      </c>
      <c r="C80" s="468"/>
      <c r="D80" s="468"/>
      <c r="E80" s="468"/>
      <c r="F80" s="651"/>
      <c r="G80" s="653"/>
      <c r="H80" s="468"/>
      <c r="I80" s="468"/>
      <c r="J80" s="468"/>
      <c r="K80" s="468"/>
      <c r="L80" s="468"/>
      <c r="M80" s="651"/>
      <c r="N80" s="653"/>
      <c r="O80" s="468"/>
      <c r="P80" s="468"/>
      <c r="Q80" s="468"/>
      <c r="R80" s="468"/>
      <c r="S80" s="468"/>
      <c r="T80" s="651"/>
      <c r="U80" s="653"/>
      <c r="V80" s="468"/>
      <c r="W80" s="468"/>
      <c r="X80" s="468"/>
      <c r="Y80" s="468"/>
      <c r="Z80" s="468"/>
      <c r="AA80" s="651"/>
      <c r="AB80" s="653"/>
      <c r="AC80" s="468">
        <v>7</v>
      </c>
      <c r="AD80" s="468">
        <v>7</v>
      </c>
      <c r="AE80" s="468">
        <v>7</v>
      </c>
      <c r="AF80" s="468">
        <v>7</v>
      </c>
      <c r="AG80" s="468">
        <v>7</v>
      </c>
      <c r="AH80" s="366">
        <f t="shared" si="23"/>
        <v>35</v>
      </c>
      <c r="AI80" s="699"/>
    </row>
    <row r="81" spans="2:44" s="272" customFormat="1" ht="23" customHeight="1">
      <c r="B81" s="668"/>
      <c r="C81" s="234"/>
      <c r="D81" s="234"/>
      <c r="E81" s="234"/>
      <c r="F81" s="234"/>
      <c r="G81" s="234"/>
      <c r="H81" s="234"/>
      <c r="I81" s="234"/>
      <c r="J81" s="234"/>
      <c r="K81" s="234"/>
      <c r="L81" s="234"/>
      <c r="M81" s="234"/>
      <c r="N81" s="234"/>
      <c r="O81" s="234"/>
      <c r="P81" s="234"/>
      <c r="Q81" s="234"/>
      <c r="R81" s="234"/>
      <c r="S81" s="234"/>
      <c r="T81" s="234"/>
      <c r="U81" s="234"/>
      <c r="V81" s="234"/>
      <c r="W81" s="234"/>
      <c r="X81" s="234"/>
      <c r="Y81" s="234"/>
      <c r="Z81" s="234"/>
      <c r="AA81" s="234"/>
      <c r="AB81" s="234"/>
      <c r="AC81" s="234"/>
      <c r="AD81" s="234"/>
      <c r="AE81" s="234"/>
      <c r="AF81" s="234"/>
      <c r="AG81" s="234"/>
      <c r="AH81" s="721"/>
      <c r="AI81" s="690"/>
      <c r="AJ81" s="708"/>
      <c r="AK81" s="708"/>
      <c r="AL81" s="708"/>
      <c r="AM81" s="663"/>
      <c r="AN81" s="701"/>
      <c r="AO81" s="663"/>
      <c r="AP81" s="663"/>
      <c r="AQ81" s="663"/>
      <c r="AR81" s="664"/>
    </row>
    <row r="82" spans="2:44" ht="21" customHeight="1">
      <c r="B82" s="953" t="s">
        <v>1372</v>
      </c>
      <c r="C82" s="953"/>
      <c r="D82" s="953"/>
      <c r="E82" s="953"/>
      <c r="F82" s="953"/>
      <c r="G82" s="953"/>
      <c r="H82" s="953"/>
      <c r="I82" s="953"/>
      <c r="J82" s="953"/>
      <c r="K82" s="953"/>
      <c r="L82" s="953"/>
      <c r="M82" s="953"/>
      <c r="N82" s="953"/>
      <c r="O82" s="953"/>
      <c r="P82" s="953"/>
      <c r="Q82" s="953"/>
      <c r="R82" s="953"/>
      <c r="S82" s="953"/>
      <c r="T82" s="953"/>
      <c r="U82" s="953"/>
      <c r="V82" s="953"/>
      <c r="W82" s="953"/>
      <c r="X82" s="953"/>
      <c r="Y82" s="953"/>
      <c r="Z82" s="953"/>
      <c r="AA82" s="953"/>
      <c r="AB82" s="953"/>
      <c r="AC82" s="953"/>
      <c r="AD82" s="953"/>
      <c r="AE82" s="953"/>
      <c r="AF82" s="953"/>
      <c r="AG82" s="953"/>
      <c r="AH82" s="953"/>
      <c r="AI82" s="690"/>
      <c r="AJ82" s="694"/>
      <c r="AK82" s="694"/>
      <c r="AL82" s="694"/>
      <c r="AM82" s="695"/>
    </row>
    <row r="83" spans="2:44">
      <c r="B83" s="669"/>
      <c r="C83" s="684">
        <v>1</v>
      </c>
      <c r="D83" s="704">
        <v>2</v>
      </c>
      <c r="E83" s="367">
        <v>3</v>
      </c>
      <c r="F83" s="367">
        <v>4</v>
      </c>
      <c r="G83" s="367">
        <v>5</v>
      </c>
      <c r="H83" s="367">
        <v>6</v>
      </c>
      <c r="I83" s="367">
        <v>7</v>
      </c>
      <c r="J83" s="684">
        <v>8</v>
      </c>
      <c r="K83" s="704">
        <v>9</v>
      </c>
      <c r="L83" s="367">
        <v>10</v>
      </c>
      <c r="M83" s="367">
        <v>11</v>
      </c>
      <c r="N83" s="367">
        <v>12</v>
      </c>
      <c r="O83" s="367">
        <v>13</v>
      </c>
      <c r="P83" s="367">
        <v>14</v>
      </c>
      <c r="Q83" s="684">
        <v>15</v>
      </c>
      <c r="R83" s="704">
        <v>16</v>
      </c>
      <c r="S83" s="367">
        <v>17</v>
      </c>
      <c r="T83" s="367">
        <v>18</v>
      </c>
      <c r="U83" s="367">
        <v>19</v>
      </c>
      <c r="V83" s="367">
        <v>20</v>
      </c>
      <c r="W83" s="367">
        <v>21</v>
      </c>
      <c r="X83" s="684">
        <v>22</v>
      </c>
      <c r="Y83" s="704">
        <v>23</v>
      </c>
      <c r="Z83" s="367">
        <v>24</v>
      </c>
      <c r="AA83" s="367">
        <v>25</v>
      </c>
      <c r="AB83" s="367">
        <v>26</v>
      </c>
      <c r="AC83" s="367">
        <v>27</v>
      </c>
      <c r="AD83" s="367">
        <v>28</v>
      </c>
      <c r="AE83" s="684">
        <v>29</v>
      </c>
      <c r="AF83" s="704">
        <v>30</v>
      </c>
      <c r="AG83" s="367">
        <v>31</v>
      </c>
      <c r="AH83" s="367" t="s">
        <v>116</v>
      </c>
      <c r="AI83" s="666" t="s">
        <v>292</v>
      </c>
      <c r="AJ83" s="717" t="s">
        <v>27</v>
      </c>
      <c r="AK83" s="718" t="s">
        <v>1909</v>
      </c>
      <c r="AL83" s="719" t="s">
        <v>1355</v>
      </c>
      <c r="AM83" s="695"/>
    </row>
    <row r="84" spans="2:44" ht="16" customHeight="1">
      <c r="B84" s="472" t="s">
        <v>1354</v>
      </c>
      <c r="C84" s="645">
        <v>9</v>
      </c>
      <c r="D84" s="646">
        <v>9</v>
      </c>
      <c r="E84" s="612" t="s">
        <v>27</v>
      </c>
      <c r="F84" s="612" t="s">
        <v>27</v>
      </c>
      <c r="G84" s="611">
        <v>8</v>
      </c>
      <c r="H84" s="611">
        <v>8</v>
      </c>
      <c r="I84" s="611">
        <v>9</v>
      </c>
      <c r="J84" s="645">
        <v>9</v>
      </c>
      <c r="K84" s="646">
        <v>7</v>
      </c>
      <c r="L84" s="611">
        <v>8</v>
      </c>
      <c r="M84" s="611">
        <v>8</v>
      </c>
      <c r="N84" s="611">
        <v>8</v>
      </c>
      <c r="O84" s="611">
        <v>8</v>
      </c>
      <c r="P84" s="612" t="s">
        <v>27</v>
      </c>
      <c r="Q84" s="643" t="s">
        <v>27</v>
      </c>
      <c r="R84" s="646">
        <v>7</v>
      </c>
      <c r="S84" s="611">
        <v>8</v>
      </c>
      <c r="T84" s="611">
        <v>8</v>
      </c>
      <c r="U84" s="611">
        <v>8</v>
      </c>
      <c r="V84" s="611">
        <v>8</v>
      </c>
      <c r="W84" s="612" t="s">
        <v>27</v>
      </c>
      <c r="X84" s="645">
        <v>4</v>
      </c>
      <c r="Y84" s="646">
        <v>6</v>
      </c>
      <c r="Z84" s="611">
        <v>8</v>
      </c>
      <c r="AA84" s="611">
        <v>3</v>
      </c>
      <c r="AB84" s="611">
        <v>8</v>
      </c>
      <c r="AC84" s="611">
        <v>8</v>
      </c>
      <c r="AD84" s="612" t="s">
        <v>27</v>
      </c>
      <c r="AE84" s="645">
        <v>9</v>
      </c>
      <c r="AF84" s="647" t="s">
        <v>27</v>
      </c>
      <c r="AG84" s="689" t="s">
        <v>1366</v>
      </c>
      <c r="AH84" s="366">
        <f>SUM(C84:AG84)</f>
        <v>176</v>
      </c>
      <c r="AI84" s="699"/>
      <c r="AJ84" s="708">
        <f>COUNTIF(C84:AG84,"R")</f>
        <v>7</v>
      </c>
      <c r="AK84" s="708">
        <f>COUNTIF(C84:AG84,"Z")</f>
        <v>0</v>
      </c>
      <c r="AL84" s="708">
        <f>COUNTIF(C84:AG84,"FE")</f>
        <v>0</v>
      </c>
      <c r="AM84" s="665"/>
    </row>
    <row r="85" spans="2:44" ht="16" customHeight="1">
      <c r="B85" s="473" t="s">
        <v>1357</v>
      </c>
      <c r="C85" s="644">
        <v>9</v>
      </c>
      <c r="D85" s="648">
        <v>9</v>
      </c>
      <c r="E85" s="612" t="s">
        <v>27</v>
      </c>
      <c r="F85" s="613">
        <v>9</v>
      </c>
      <c r="G85" s="613">
        <v>9</v>
      </c>
      <c r="H85" s="613">
        <v>9</v>
      </c>
      <c r="I85" s="612" t="s">
        <v>27</v>
      </c>
      <c r="J85" s="660" t="s">
        <v>27</v>
      </c>
      <c r="K85" s="647" t="s">
        <v>27</v>
      </c>
      <c r="L85" s="612" t="s">
        <v>27</v>
      </c>
      <c r="M85" s="613">
        <v>9</v>
      </c>
      <c r="N85" s="613">
        <v>9</v>
      </c>
      <c r="O85" s="613">
        <v>9</v>
      </c>
      <c r="P85" s="613">
        <v>9</v>
      </c>
      <c r="Q85" s="644">
        <v>9</v>
      </c>
      <c r="R85" s="647" t="s">
        <v>27</v>
      </c>
      <c r="S85" s="613">
        <v>9</v>
      </c>
      <c r="T85" s="612" t="s">
        <v>27</v>
      </c>
      <c r="U85" s="622">
        <v>9</v>
      </c>
      <c r="V85" s="613">
        <v>9</v>
      </c>
      <c r="W85" s="613">
        <v>9</v>
      </c>
      <c r="X85" s="644">
        <v>9</v>
      </c>
      <c r="Y85" s="647" t="s">
        <v>27</v>
      </c>
      <c r="Z85" s="612" t="s">
        <v>27</v>
      </c>
      <c r="AA85" s="613">
        <v>9</v>
      </c>
      <c r="AB85" s="613">
        <v>9</v>
      </c>
      <c r="AC85" s="613">
        <v>9</v>
      </c>
      <c r="AD85" s="613">
        <v>9</v>
      </c>
      <c r="AE85" s="644">
        <v>9</v>
      </c>
      <c r="AF85" s="647" t="s">
        <v>27</v>
      </c>
      <c r="AG85" s="689" t="s">
        <v>1366</v>
      </c>
      <c r="AH85" s="687">
        <f>SUM(C85:AG85)</f>
        <v>180</v>
      </c>
      <c r="AI85" s="700"/>
      <c r="AJ85" s="708">
        <f t="shared" ref="AJ85:AJ88" si="24">COUNTIF(C85:AG85,"R")</f>
        <v>10</v>
      </c>
      <c r="AK85" s="708">
        <f t="shared" ref="AK85:AK88" si="25">COUNTIF(C85:AG85,"Z")</f>
        <v>0</v>
      </c>
      <c r="AL85" s="708">
        <f t="shared" ref="AL85:AL88" si="26">COUNTIF(C85:AG85,"FE")</f>
        <v>0</v>
      </c>
      <c r="AM85" s="665"/>
    </row>
    <row r="86" spans="2:44" ht="16" customHeight="1">
      <c r="B86" s="472" t="s">
        <v>1358</v>
      </c>
      <c r="C86" s="645">
        <v>10.5</v>
      </c>
      <c r="D86" s="646">
        <v>9</v>
      </c>
      <c r="E86" s="612" t="s">
        <v>27</v>
      </c>
      <c r="F86" s="612" t="s">
        <v>27</v>
      </c>
      <c r="G86" s="611">
        <v>10</v>
      </c>
      <c r="H86" s="611">
        <v>11.5</v>
      </c>
      <c r="I86" s="611">
        <v>11</v>
      </c>
      <c r="J86" s="645">
        <v>9</v>
      </c>
      <c r="K86" s="647" t="s">
        <v>27</v>
      </c>
      <c r="L86" s="611">
        <v>10.5</v>
      </c>
      <c r="M86" s="611">
        <v>10.5</v>
      </c>
      <c r="N86" s="612" t="s">
        <v>27</v>
      </c>
      <c r="O86" s="611">
        <v>12</v>
      </c>
      <c r="P86" s="611">
        <v>9</v>
      </c>
      <c r="Q86" s="645">
        <v>8</v>
      </c>
      <c r="R86" s="662" t="s">
        <v>27</v>
      </c>
      <c r="S86" s="611">
        <v>11</v>
      </c>
      <c r="T86" s="611">
        <v>11</v>
      </c>
      <c r="U86" s="612" t="s">
        <v>27</v>
      </c>
      <c r="V86" s="611">
        <v>11.5</v>
      </c>
      <c r="W86" s="612" t="s">
        <v>27</v>
      </c>
      <c r="X86" s="645">
        <v>9.5</v>
      </c>
      <c r="Y86" s="647" t="s">
        <v>27</v>
      </c>
      <c r="Z86" s="611">
        <v>10.5</v>
      </c>
      <c r="AA86" s="611">
        <v>10</v>
      </c>
      <c r="AB86" s="612" t="s">
        <v>27</v>
      </c>
      <c r="AC86" s="611">
        <v>12</v>
      </c>
      <c r="AD86" s="611">
        <v>11</v>
      </c>
      <c r="AE86" s="645">
        <v>9</v>
      </c>
      <c r="AF86" s="647" t="s">
        <v>27</v>
      </c>
      <c r="AG86" s="689" t="s">
        <v>1366</v>
      </c>
      <c r="AH86" s="366">
        <f t="shared" ref="AH86:AH89" si="27">SUM(C86:AG86)</f>
        <v>206.5</v>
      </c>
      <c r="AI86" s="699"/>
      <c r="AJ86" s="708">
        <f t="shared" si="24"/>
        <v>10</v>
      </c>
      <c r="AK86" s="708">
        <f t="shared" si="25"/>
        <v>0</v>
      </c>
      <c r="AL86" s="708">
        <f t="shared" si="26"/>
        <v>0</v>
      </c>
      <c r="AM86" s="665"/>
    </row>
    <row r="87" spans="2:44" ht="16" customHeight="1">
      <c r="B87" s="473" t="s">
        <v>1359</v>
      </c>
      <c r="C87" s="661" t="s">
        <v>1355</v>
      </c>
      <c r="D87" s="662" t="s">
        <v>1355</v>
      </c>
      <c r="E87" s="612" t="s">
        <v>27</v>
      </c>
      <c r="F87" s="613">
        <v>11</v>
      </c>
      <c r="G87" s="613">
        <v>10</v>
      </c>
      <c r="H87" s="613">
        <v>11.5</v>
      </c>
      <c r="I87" s="613">
        <v>11</v>
      </c>
      <c r="J87" s="644">
        <v>9</v>
      </c>
      <c r="K87" s="648">
        <v>11.5</v>
      </c>
      <c r="L87" s="612" t="s">
        <v>27</v>
      </c>
      <c r="M87" s="613">
        <v>10.5</v>
      </c>
      <c r="N87" s="613">
        <v>9</v>
      </c>
      <c r="O87" s="613">
        <v>12</v>
      </c>
      <c r="P87" s="613">
        <v>11</v>
      </c>
      <c r="Q87" s="644">
        <v>8</v>
      </c>
      <c r="R87" s="648">
        <v>9</v>
      </c>
      <c r="S87" s="612" t="s">
        <v>27</v>
      </c>
      <c r="T87" s="613">
        <v>11</v>
      </c>
      <c r="U87" s="622">
        <v>9</v>
      </c>
      <c r="V87" s="613">
        <v>11.5</v>
      </c>
      <c r="W87" s="613">
        <v>10.5</v>
      </c>
      <c r="X87" s="643" t="s">
        <v>27</v>
      </c>
      <c r="Y87" s="647" t="s">
        <v>27</v>
      </c>
      <c r="Z87" s="612" t="s">
        <v>27</v>
      </c>
      <c r="AA87" s="612" t="s">
        <v>27</v>
      </c>
      <c r="AB87" s="613">
        <v>9</v>
      </c>
      <c r="AC87" s="613">
        <v>12</v>
      </c>
      <c r="AD87" s="613">
        <v>11</v>
      </c>
      <c r="AE87" s="644">
        <v>9</v>
      </c>
      <c r="AF87" s="647" t="s">
        <v>27</v>
      </c>
      <c r="AG87" s="689" t="s">
        <v>1366</v>
      </c>
      <c r="AH87" s="687">
        <f t="shared" si="27"/>
        <v>206.5</v>
      </c>
      <c r="AI87" s="700"/>
      <c r="AJ87" s="708">
        <f t="shared" si="24"/>
        <v>8</v>
      </c>
      <c r="AK87" s="708">
        <f t="shared" si="25"/>
        <v>0</v>
      </c>
      <c r="AL87" s="708">
        <f t="shared" si="26"/>
        <v>2</v>
      </c>
      <c r="AM87" s="665"/>
    </row>
    <row r="88" spans="2:44" ht="16" customHeight="1">
      <c r="B88" s="472" t="s">
        <v>1360</v>
      </c>
      <c r="C88" s="645">
        <v>10.5</v>
      </c>
      <c r="D88" s="646">
        <v>9</v>
      </c>
      <c r="E88" s="612" t="s">
        <v>27</v>
      </c>
      <c r="F88" s="611">
        <v>11</v>
      </c>
      <c r="G88" s="612" t="s">
        <v>27</v>
      </c>
      <c r="H88" s="611">
        <v>11.5</v>
      </c>
      <c r="I88" s="611">
        <v>11</v>
      </c>
      <c r="J88" s="645">
        <v>4</v>
      </c>
      <c r="K88" s="646">
        <v>11.5</v>
      </c>
      <c r="L88" s="611">
        <v>10.5</v>
      </c>
      <c r="M88" s="612" t="s">
        <v>27</v>
      </c>
      <c r="N88" s="612" t="s">
        <v>27</v>
      </c>
      <c r="O88" s="611">
        <v>12</v>
      </c>
      <c r="P88" s="611">
        <v>9</v>
      </c>
      <c r="Q88" s="645">
        <v>8</v>
      </c>
      <c r="R88" s="646">
        <v>9</v>
      </c>
      <c r="S88" s="611">
        <v>11</v>
      </c>
      <c r="T88" s="612" t="s">
        <v>27</v>
      </c>
      <c r="U88" s="612" t="s">
        <v>27</v>
      </c>
      <c r="V88" s="611">
        <v>11.5</v>
      </c>
      <c r="W88" s="611">
        <v>10.5</v>
      </c>
      <c r="X88" s="645">
        <v>9.5</v>
      </c>
      <c r="Y88" s="646">
        <v>10.5</v>
      </c>
      <c r="Z88" s="611">
        <v>10.5</v>
      </c>
      <c r="AA88" s="612" t="s">
        <v>27</v>
      </c>
      <c r="AB88" s="612" t="s">
        <v>27</v>
      </c>
      <c r="AC88" s="611">
        <v>12</v>
      </c>
      <c r="AD88" s="611">
        <v>11</v>
      </c>
      <c r="AE88" s="660" t="s">
        <v>27</v>
      </c>
      <c r="AF88" s="646">
        <v>11</v>
      </c>
      <c r="AG88" s="689" t="s">
        <v>1366</v>
      </c>
      <c r="AH88" s="366">
        <f t="shared" si="27"/>
        <v>214.5</v>
      </c>
      <c r="AI88" s="699"/>
      <c r="AJ88" s="708">
        <f t="shared" si="24"/>
        <v>9</v>
      </c>
      <c r="AK88" s="708">
        <f t="shared" si="25"/>
        <v>0</v>
      </c>
      <c r="AL88" s="708">
        <f t="shared" si="26"/>
        <v>0</v>
      </c>
      <c r="AM88" s="665"/>
    </row>
    <row r="89" spans="2:44" ht="16" customHeight="1">
      <c r="B89" s="473"/>
      <c r="C89" s="644"/>
      <c r="D89" s="648"/>
      <c r="E89" s="613"/>
      <c r="F89" s="613"/>
      <c r="G89" s="613"/>
      <c r="H89" s="613"/>
      <c r="I89" s="613"/>
      <c r="J89" s="644"/>
      <c r="K89" s="648"/>
      <c r="L89" s="613"/>
      <c r="M89" s="613"/>
      <c r="N89" s="613"/>
      <c r="O89" s="613"/>
      <c r="P89" s="613"/>
      <c r="Q89" s="644"/>
      <c r="R89" s="648"/>
      <c r="S89" s="613"/>
      <c r="T89" s="613"/>
      <c r="U89" s="613"/>
      <c r="V89" s="613"/>
      <c r="W89" s="613"/>
      <c r="X89" s="644"/>
      <c r="Y89" s="648"/>
      <c r="Z89" s="613"/>
      <c r="AA89" s="613"/>
      <c r="AB89" s="613"/>
      <c r="AC89" s="613"/>
      <c r="AD89" s="613"/>
      <c r="AE89" s="644"/>
      <c r="AF89" s="648"/>
      <c r="AG89" s="689" t="s">
        <v>1366</v>
      </c>
      <c r="AH89" s="687">
        <f t="shared" si="27"/>
        <v>0</v>
      </c>
      <c r="AI89" s="700"/>
    </row>
    <row r="90" spans="2:44" ht="16" customHeight="1">
      <c r="B90" s="472"/>
      <c r="C90" s="645"/>
      <c r="D90" s="646"/>
      <c r="E90" s="611"/>
      <c r="F90" s="611"/>
      <c r="G90" s="611"/>
      <c r="H90" s="611"/>
      <c r="I90" s="611"/>
      <c r="J90" s="645"/>
      <c r="K90" s="646"/>
      <c r="L90" s="611"/>
      <c r="M90" s="611"/>
      <c r="N90" s="611"/>
      <c r="O90" s="611"/>
      <c r="P90" s="611"/>
      <c r="Q90" s="645"/>
      <c r="R90" s="646"/>
      <c r="S90" s="611"/>
      <c r="T90" s="611"/>
      <c r="U90" s="611"/>
      <c r="V90" s="611"/>
      <c r="W90" s="611"/>
      <c r="X90" s="645"/>
      <c r="Y90" s="646"/>
      <c r="Z90" s="611"/>
      <c r="AA90" s="611"/>
      <c r="AB90" s="611"/>
      <c r="AC90" s="611"/>
      <c r="AD90" s="611"/>
      <c r="AE90" s="645"/>
      <c r="AF90" s="646"/>
      <c r="AG90" s="689" t="s">
        <v>1366</v>
      </c>
      <c r="AH90" s="366">
        <f t="shared" ref="AH90:AH96" si="28">SUM(C90:AG90)</f>
        <v>0</v>
      </c>
      <c r="AI90" s="699"/>
    </row>
    <row r="91" spans="2:44" ht="16" customHeight="1">
      <c r="B91" s="473" t="s">
        <v>1363</v>
      </c>
      <c r="C91" s="644">
        <v>10.5</v>
      </c>
      <c r="D91" s="648">
        <v>6</v>
      </c>
      <c r="E91" s="613"/>
      <c r="F91" s="613"/>
      <c r="G91" s="613">
        <v>9</v>
      </c>
      <c r="H91" s="613"/>
      <c r="I91" s="613">
        <v>11</v>
      </c>
      <c r="J91" s="644">
        <v>9</v>
      </c>
      <c r="K91" s="648"/>
      <c r="L91" s="613">
        <v>5</v>
      </c>
      <c r="M91" s="613">
        <v>5</v>
      </c>
      <c r="N91" s="613">
        <v>10.5</v>
      </c>
      <c r="O91" s="613">
        <v>9</v>
      </c>
      <c r="P91" s="613">
        <v>11</v>
      </c>
      <c r="Q91" s="644"/>
      <c r="R91" s="648"/>
      <c r="S91" s="613"/>
      <c r="T91" s="613"/>
      <c r="U91" s="613">
        <v>9</v>
      </c>
      <c r="V91" s="613">
        <v>9.5</v>
      </c>
      <c r="W91" s="613">
        <v>10.5</v>
      </c>
      <c r="X91" s="644"/>
      <c r="Y91" s="648">
        <v>10.5</v>
      </c>
      <c r="Z91" s="613"/>
      <c r="AA91" s="613">
        <v>10</v>
      </c>
      <c r="AB91" s="613">
        <v>9</v>
      </c>
      <c r="AC91" s="613">
        <v>12</v>
      </c>
      <c r="AD91" s="613">
        <v>9</v>
      </c>
      <c r="AE91" s="644">
        <v>9</v>
      </c>
      <c r="AF91" s="648">
        <v>11</v>
      </c>
      <c r="AG91" s="689" t="s">
        <v>1366</v>
      </c>
      <c r="AH91" s="687">
        <f t="shared" si="28"/>
        <v>185.5</v>
      </c>
      <c r="AI91" s="700"/>
    </row>
    <row r="92" spans="2:44" ht="16" customHeight="1">
      <c r="B92" s="472" t="s">
        <v>1455</v>
      </c>
      <c r="C92" s="645">
        <v>10.5</v>
      </c>
      <c r="D92" s="646"/>
      <c r="E92" s="611"/>
      <c r="F92" s="611"/>
      <c r="G92" s="611"/>
      <c r="H92" s="611">
        <v>6</v>
      </c>
      <c r="I92" s="611">
        <v>6</v>
      </c>
      <c r="J92" s="645"/>
      <c r="K92" s="646"/>
      <c r="L92" s="611"/>
      <c r="M92" s="611"/>
      <c r="N92" s="611"/>
      <c r="O92" s="611">
        <v>7</v>
      </c>
      <c r="P92" s="611">
        <v>6</v>
      </c>
      <c r="Q92" s="645"/>
      <c r="R92" s="646"/>
      <c r="S92" s="611"/>
      <c r="T92" s="611"/>
      <c r="U92" s="611"/>
      <c r="V92" s="611">
        <v>6.5</v>
      </c>
      <c r="W92" s="611">
        <v>6</v>
      </c>
      <c r="X92" s="645"/>
      <c r="Y92" s="646"/>
      <c r="Z92" s="611"/>
      <c r="AA92" s="611"/>
      <c r="AB92" s="611"/>
      <c r="AC92" s="611"/>
      <c r="AD92" s="611"/>
      <c r="AE92" s="645"/>
      <c r="AF92" s="646"/>
      <c r="AG92" s="689" t="s">
        <v>1366</v>
      </c>
      <c r="AH92" s="366">
        <f t="shared" si="28"/>
        <v>48</v>
      </c>
      <c r="AI92" s="699"/>
    </row>
    <row r="93" spans="2:44" ht="16" customHeight="1">
      <c r="B93" s="473" t="s">
        <v>1875</v>
      </c>
      <c r="C93" s="644">
        <v>10.5</v>
      </c>
      <c r="D93" s="648">
        <v>9</v>
      </c>
      <c r="E93" s="613"/>
      <c r="F93" s="613"/>
      <c r="G93" s="613"/>
      <c r="H93" s="613"/>
      <c r="I93" s="613">
        <v>6</v>
      </c>
      <c r="J93" s="644"/>
      <c r="K93" s="648"/>
      <c r="L93" s="613"/>
      <c r="M93" s="613"/>
      <c r="N93" s="613"/>
      <c r="O93" s="613"/>
      <c r="P93" s="613"/>
      <c r="Q93" s="644"/>
      <c r="R93" s="648"/>
      <c r="S93" s="613"/>
      <c r="T93" s="613"/>
      <c r="U93" s="613"/>
      <c r="V93" s="613"/>
      <c r="W93" s="613">
        <v>8.5</v>
      </c>
      <c r="X93" s="644">
        <v>9.5</v>
      </c>
      <c r="Y93" s="648"/>
      <c r="Z93" s="613">
        <v>8.5</v>
      </c>
      <c r="AA93" s="613">
        <v>5</v>
      </c>
      <c r="AB93" s="613"/>
      <c r="AC93" s="613"/>
      <c r="AD93" s="613"/>
      <c r="AE93" s="644"/>
      <c r="AF93" s="648"/>
      <c r="AG93" s="689" t="s">
        <v>1366</v>
      </c>
      <c r="AH93" s="687">
        <f t="shared" si="28"/>
        <v>57</v>
      </c>
      <c r="AI93" s="700"/>
    </row>
    <row r="94" spans="2:44" ht="16" customHeight="1">
      <c r="B94" s="472" t="s">
        <v>1769</v>
      </c>
      <c r="C94" s="645"/>
      <c r="D94" s="646"/>
      <c r="E94" s="611"/>
      <c r="F94" s="611">
        <v>7</v>
      </c>
      <c r="G94" s="611">
        <v>7</v>
      </c>
      <c r="H94" s="611">
        <v>7</v>
      </c>
      <c r="I94" s="611"/>
      <c r="J94" s="645"/>
      <c r="K94" s="646"/>
      <c r="L94" s="611">
        <v>7</v>
      </c>
      <c r="M94" s="611">
        <v>7</v>
      </c>
      <c r="N94" s="611">
        <v>7</v>
      </c>
      <c r="O94" s="611"/>
      <c r="P94" s="611"/>
      <c r="Q94" s="645"/>
      <c r="R94" s="646"/>
      <c r="S94" s="611">
        <v>7</v>
      </c>
      <c r="T94" s="611">
        <v>7</v>
      </c>
      <c r="U94" s="611">
        <v>7</v>
      </c>
      <c r="V94" s="611">
        <v>7</v>
      </c>
      <c r="W94" s="611"/>
      <c r="X94" s="645"/>
      <c r="Y94" s="646"/>
      <c r="Z94" s="611">
        <v>7</v>
      </c>
      <c r="AA94" s="611">
        <v>7</v>
      </c>
      <c r="AB94" s="611">
        <v>7</v>
      </c>
      <c r="AC94" s="611">
        <v>7</v>
      </c>
      <c r="AD94" s="611"/>
      <c r="AE94" s="645"/>
      <c r="AF94" s="646"/>
      <c r="AG94" s="689" t="s">
        <v>1366</v>
      </c>
      <c r="AH94" s="366">
        <f t="shared" si="28"/>
        <v>98</v>
      </c>
      <c r="AI94" s="699"/>
    </row>
    <row r="95" spans="2:44" ht="16" customHeight="1">
      <c r="B95" s="473" t="s">
        <v>1873</v>
      </c>
      <c r="C95" s="644"/>
      <c r="D95" s="648"/>
      <c r="E95" s="613"/>
      <c r="F95" s="613"/>
      <c r="G95" s="613"/>
      <c r="H95" s="613"/>
      <c r="I95" s="613"/>
      <c r="J95" s="644"/>
      <c r="K95" s="648"/>
      <c r="L95" s="613"/>
      <c r="M95" s="613"/>
      <c r="N95" s="613">
        <v>9</v>
      </c>
      <c r="O95" s="613"/>
      <c r="P95" s="613"/>
      <c r="Q95" s="644"/>
      <c r="R95" s="648"/>
      <c r="S95" s="613"/>
      <c r="T95" s="613"/>
      <c r="U95" s="613">
        <v>7</v>
      </c>
      <c r="V95" s="613"/>
      <c r="W95" s="613"/>
      <c r="X95" s="644"/>
      <c r="Y95" s="648"/>
      <c r="Z95" s="613"/>
      <c r="AA95" s="613"/>
      <c r="AB95" s="613"/>
      <c r="AC95" s="613"/>
      <c r="AD95" s="613"/>
      <c r="AE95" s="644"/>
      <c r="AF95" s="648"/>
      <c r="AG95" s="689" t="s">
        <v>1366</v>
      </c>
      <c r="AH95" s="687">
        <f t="shared" si="28"/>
        <v>16</v>
      </c>
      <c r="AI95" s="700"/>
    </row>
    <row r="96" spans="2:44" ht="16" customHeight="1">
      <c r="B96" s="472" t="s">
        <v>1874</v>
      </c>
      <c r="C96" s="645"/>
      <c r="D96" s="646"/>
      <c r="E96" s="611"/>
      <c r="F96" s="611"/>
      <c r="G96" s="611"/>
      <c r="H96" s="611"/>
      <c r="I96" s="611"/>
      <c r="J96" s="645"/>
      <c r="K96" s="646"/>
      <c r="L96" s="611"/>
      <c r="M96" s="611"/>
      <c r="N96" s="611"/>
      <c r="O96" s="611">
        <v>5</v>
      </c>
      <c r="P96" s="611">
        <v>4</v>
      </c>
      <c r="Q96" s="645"/>
      <c r="R96" s="646"/>
      <c r="S96" s="611">
        <v>9</v>
      </c>
      <c r="T96" s="611">
        <v>6.5</v>
      </c>
      <c r="U96" s="611"/>
      <c r="V96" s="611"/>
      <c r="W96" s="611"/>
      <c r="X96" s="645"/>
      <c r="Y96" s="646"/>
      <c r="Z96" s="611"/>
      <c r="AA96" s="611"/>
      <c r="AB96" s="611"/>
      <c r="AC96" s="611"/>
      <c r="AD96" s="611"/>
      <c r="AE96" s="645"/>
      <c r="AF96" s="646"/>
      <c r="AG96" s="689" t="s">
        <v>1366</v>
      </c>
      <c r="AH96" s="366">
        <f t="shared" si="28"/>
        <v>24.5</v>
      </c>
      <c r="AI96" s="699"/>
    </row>
    <row r="97" spans="2:44" s="272" customFormat="1" ht="3" customHeight="1">
      <c r="B97" s="696"/>
      <c r="C97" s="697"/>
      <c r="D97" s="697"/>
      <c r="E97" s="697"/>
      <c r="F97" s="697"/>
      <c r="G97" s="697"/>
      <c r="H97" s="697"/>
      <c r="I97" s="697"/>
      <c r="J97" s="697"/>
      <c r="K97" s="697"/>
      <c r="L97" s="697"/>
      <c r="M97" s="697"/>
      <c r="N97" s="697"/>
      <c r="O97" s="697"/>
      <c r="P97" s="697"/>
      <c r="Q97" s="697"/>
      <c r="R97" s="697"/>
      <c r="S97" s="697"/>
      <c r="T97" s="697"/>
      <c r="U97" s="697"/>
      <c r="V97" s="697"/>
      <c r="W97" s="697"/>
      <c r="X97" s="697"/>
      <c r="Y97" s="697"/>
      <c r="Z97" s="697"/>
      <c r="AA97" s="697"/>
      <c r="AB97" s="697"/>
      <c r="AC97" s="697"/>
      <c r="AD97" s="697"/>
      <c r="AE97" s="697"/>
      <c r="AF97" s="697"/>
      <c r="AG97" s="697"/>
      <c r="AH97" s="698"/>
      <c r="AI97" s="690"/>
      <c r="AJ97" s="708"/>
      <c r="AK97" s="708"/>
      <c r="AL97" s="708"/>
      <c r="AM97" s="663"/>
      <c r="AN97" s="701"/>
      <c r="AO97" s="663"/>
      <c r="AP97" s="663"/>
      <c r="AQ97" s="663"/>
      <c r="AR97" s="664"/>
    </row>
    <row r="98" spans="2:44" s="272" customFormat="1" ht="20">
      <c r="B98" s="953" t="s">
        <v>1373</v>
      </c>
      <c r="C98" s="953"/>
      <c r="D98" s="953"/>
      <c r="E98" s="953"/>
      <c r="F98" s="953"/>
      <c r="G98" s="953"/>
      <c r="H98" s="953"/>
      <c r="I98" s="953"/>
      <c r="J98" s="953"/>
      <c r="K98" s="953"/>
      <c r="L98" s="953"/>
      <c r="M98" s="953"/>
      <c r="N98" s="953"/>
      <c r="O98" s="953"/>
      <c r="P98" s="953"/>
      <c r="Q98" s="953"/>
      <c r="R98" s="953"/>
      <c r="S98" s="953"/>
      <c r="T98" s="953"/>
      <c r="U98" s="953"/>
      <c r="V98" s="953"/>
      <c r="W98" s="953"/>
      <c r="X98" s="953"/>
      <c r="Y98" s="953"/>
      <c r="Z98" s="953"/>
      <c r="AA98" s="953"/>
      <c r="AB98" s="953"/>
      <c r="AC98" s="953"/>
      <c r="AD98" s="953"/>
      <c r="AE98" s="953"/>
      <c r="AF98" s="953"/>
      <c r="AG98" s="953"/>
      <c r="AH98" s="953"/>
      <c r="AI98" s="690"/>
      <c r="AJ98" s="694"/>
      <c r="AK98" s="694"/>
      <c r="AL98" s="694"/>
      <c r="AM98" s="695"/>
      <c r="AN98" s="701"/>
      <c r="AO98" s="663"/>
      <c r="AP98" s="663"/>
      <c r="AQ98" s="663"/>
      <c r="AR98" s="664"/>
    </row>
    <row r="99" spans="2:44">
      <c r="B99" s="669"/>
      <c r="C99" s="367">
        <v>1</v>
      </c>
      <c r="D99" s="367">
        <v>2</v>
      </c>
      <c r="E99" s="367">
        <v>3</v>
      </c>
      <c r="F99" s="367">
        <v>4</v>
      </c>
      <c r="G99" s="367">
        <v>5</v>
      </c>
      <c r="H99" s="684">
        <v>6</v>
      </c>
      <c r="I99" s="704">
        <v>7</v>
      </c>
      <c r="J99" s="367">
        <v>8</v>
      </c>
      <c r="K99" s="367">
        <v>9</v>
      </c>
      <c r="L99" s="367">
        <v>10</v>
      </c>
      <c r="M99" s="367">
        <v>11</v>
      </c>
      <c r="N99" s="367">
        <v>12</v>
      </c>
      <c r="O99" s="684">
        <v>13</v>
      </c>
      <c r="P99" s="704">
        <v>14</v>
      </c>
      <c r="Q99" s="367">
        <v>15</v>
      </c>
      <c r="R99" s="367">
        <v>16</v>
      </c>
      <c r="S99" s="367">
        <v>17</v>
      </c>
      <c r="T99" s="367">
        <v>18</v>
      </c>
      <c r="U99" s="367">
        <v>19</v>
      </c>
      <c r="V99" s="684">
        <v>20</v>
      </c>
      <c r="W99" s="704">
        <v>21</v>
      </c>
      <c r="X99" s="367">
        <v>22</v>
      </c>
      <c r="Y99" s="367">
        <v>23</v>
      </c>
      <c r="Z99" s="367">
        <v>24</v>
      </c>
      <c r="AA99" s="367">
        <v>25</v>
      </c>
      <c r="AB99" s="367">
        <v>26</v>
      </c>
      <c r="AC99" s="684">
        <v>27</v>
      </c>
      <c r="AD99" s="704">
        <v>28</v>
      </c>
      <c r="AE99" s="367">
        <v>29</v>
      </c>
      <c r="AF99" s="367">
        <v>30</v>
      </c>
      <c r="AG99" s="367">
        <v>31</v>
      </c>
      <c r="AH99" s="367" t="s">
        <v>116</v>
      </c>
      <c r="AI99" s="666" t="s">
        <v>292</v>
      </c>
      <c r="AJ99" s="717" t="s">
        <v>27</v>
      </c>
      <c r="AK99" s="718" t="s">
        <v>1909</v>
      </c>
      <c r="AL99" s="719" t="s">
        <v>1355</v>
      </c>
      <c r="AM99" s="695"/>
    </row>
    <row r="100" spans="2:44" ht="16" customHeight="1">
      <c r="B100" s="472" t="s">
        <v>1354</v>
      </c>
      <c r="C100" s="611">
        <v>8</v>
      </c>
      <c r="D100" s="612" t="s">
        <v>27</v>
      </c>
      <c r="E100" s="611">
        <v>8</v>
      </c>
      <c r="F100" s="612" t="s">
        <v>27</v>
      </c>
      <c r="G100" s="612" t="s">
        <v>27</v>
      </c>
      <c r="H100" s="643" t="s">
        <v>27</v>
      </c>
      <c r="I100" s="646">
        <v>8</v>
      </c>
      <c r="J100" s="611">
        <v>8</v>
      </c>
      <c r="K100" s="611">
        <v>8</v>
      </c>
      <c r="L100" s="611">
        <v>8</v>
      </c>
      <c r="M100" s="611">
        <v>8</v>
      </c>
      <c r="N100" s="612" t="s">
        <v>27</v>
      </c>
      <c r="O100" s="643" t="s">
        <v>27</v>
      </c>
      <c r="P100" s="646">
        <v>6.5</v>
      </c>
      <c r="Q100" s="611">
        <v>8</v>
      </c>
      <c r="R100" s="611">
        <v>8</v>
      </c>
      <c r="S100" s="611">
        <v>8</v>
      </c>
      <c r="T100" s="611">
        <v>8</v>
      </c>
      <c r="U100" s="612" t="s">
        <v>27</v>
      </c>
      <c r="V100" s="643" t="s">
        <v>27</v>
      </c>
      <c r="W100" s="646">
        <v>7</v>
      </c>
      <c r="X100" s="611">
        <v>8</v>
      </c>
      <c r="Y100" s="611">
        <v>8</v>
      </c>
      <c r="Z100" s="611">
        <v>8</v>
      </c>
      <c r="AA100" s="611">
        <v>8</v>
      </c>
      <c r="AB100" s="612" t="s">
        <v>27</v>
      </c>
      <c r="AC100" s="643" t="s">
        <v>27</v>
      </c>
      <c r="AD100" s="646">
        <v>7</v>
      </c>
      <c r="AE100" s="611">
        <v>8</v>
      </c>
      <c r="AF100" s="611">
        <v>8</v>
      </c>
      <c r="AG100" s="611">
        <v>8</v>
      </c>
      <c r="AH100" s="366">
        <f>SUM(C100:AG100)</f>
        <v>164.5</v>
      </c>
      <c r="AI100" s="699"/>
      <c r="AJ100" s="708">
        <f>COUNTIF(C100:AG100,"R")</f>
        <v>10</v>
      </c>
      <c r="AK100" s="708">
        <f>COUNTIF(C100:AG100,"Z")</f>
        <v>0</v>
      </c>
      <c r="AL100" s="708">
        <f>COUNTIF(C100:AG100,"FE")</f>
        <v>0</v>
      </c>
      <c r="AM100" s="665"/>
    </row>
    <row r="101" spans="2:44" ht="16" customHeight="1">
      <c r="B101" s="473" t="s">
        <v>1357</v>
      </c>
      <c r="C101" s="613">
        <v>9</v>
      </c>
      <c r="D101" s="612" t="s">
        <v>27</v>
      </c>
      <c r="E101" s="613">
        <v>9</v>
      </c>
      <c r="F101" s="613">
        <v>9</v>
      </c>
      <c r="G101" s="613">
        <v>9</v>
      </c>
      <c r="H101" s="644">
        <v>9</v>
      </c>
      <c r="I101" s="647" t="s">
        <v>27</v>
      </c>
      <c r="J101" s="612" t="s">
        <v>27</v>
      </c>
      <c r="K101" s="613">
        <v>9</v>
      </c>
      <c r="L101" s="613">
        <v>9</v>
      </c>
      <c r="M101" s="613">
        <v>9</v>
      </c>
      <c r="N101" s="613">
        <v>9</v>
      </c>
      <c r="O101" s="644">
        <v>9</v>
      </c>
      <c r="P101" s="647" t="s">
        <v>27</v>
      </c>
      <c r="Q101" s="613">
        <v>9</v>
      </c>
      <c r="R101" s="612" t="s">
        <v>27</v>
      </c>
      <c r="S101" s="613">
        <v>9</v>
      </c>
      <c r="T101" s="613">
        <v>9</v>
      </c>
      <c r="U101" s="613">
        <v>9</v>
      </c>
      <c r="V101" s="644">
        <v>9</v>
      </c>
      <c r="W101" s="647" t="s">
        <v>27</v>
      </c>
      <c r="X101" s="612" t="s">
        <v>27</v>
      </c>
      <c r="Y101" s="613">
        <v>9</v>
      </c>
      <c r="Z101" s="613">
        <v>9</v>
      </c>
      <c r="AA101" s="613">
        <v>9</v>
      </c>
      <c r="AB101" s="613">
        <v>9</v>
      </c>
      <c r="AC101" s="644">
        <v>9</v>
      </c>
      <c r="AD101" s="647" t="s">
        <v>27</v>
      </c>
      <c r="AE101" s="613">
        <v>9</v>
      </c>
      <c r="AF101" s="612" t="s">
        <v>27</v>
      </c>
      <c r="AG101" s="613">
        <v>9</v>
      </c>
      <c r="AH101" s="687">
        <f>SUM(C101:AG101)</f>
        <v>198</v>
      </c>
      <c r="AI101" s="700"/>
      <c r="AJ101" s="708">
        <f t="shared" ref="AJ101:AJ104" si="29">COUNTIF(C101:AG101,"R")</f>
        <v>9</v>
      </c>
      <c r="AK101" s="708">
        <f t="shared" ref="AK101:AK104" si="30">COUNTIF(C101:AG101,"Z")</f>
        <v>0</v>
      </c>
      <c r="AL101" s="708">
        <f t="shared" ref="AL101:AL104" si="31">COUNTIF(C101:AG101,"FE")</f>
        <v>0</v>
      </c>
      <c r="AM101" s="665"/>
    </row>
    <row r="102" spans="2:44" ht="16" customHeight="1">
      <c r="B102" s="472" t="s">
        <v>1358</v>
      </c>
      <c r="C102" s="611">
        <v>8.5</v>
      </c>
      <c r="D102" s="611">
        <v>10.5</v>
      </c>
      <c r="E102" s="612" t="s">
        <v>27</v>
      </c>
      <c r="F102" s="611">
        <v>12</v>
      </c>
      <c r="G102" s="611">
        <v>10.5</v>
      </c>
      <c r="H102" s="645">
        <v>5</v>
      </c>
      <c r="I102" s="647" t="s">
        <v>27</v>
      </c>
      <c r="J102" s="611">
        <v>9</v>
      </c>
      <c r="K102" s="611">
        <v>9</v>
      </c>
      <c r="L102" s="660" t="s">
        <v>1909</v>
      </c>
      <c r="M102" s="611">
        <v>11</v>
      </c>
      <c r="N102" s="611">
        <v>11.5</v>
      </c>
      <c r="O102" s="643" t="s">
        <v>27</v>
      </c>
      <c r="P102" s="647" t="s">
        <v>27</v>
      </c>
      <c r="Q102" s="611">
        <v>10.5</v>
      </c>
      <c r="R102" s="612" t="s">
        <v>27</v>
      </c>
      <c r="S102" s="611">
        <v>12</v>
      </c>
      <c r="T102" s="611">
        <v>11</v>
      </c>
      <c r="U102" s="611">
        <v>5</v>
      </c>
      <c r="V102" s="645">
        <v>10</v>
      </c>
      <c r="W102" s="647" t="s">
        <v>27</v>
      </c>
      <c r="X102" s="611">
        <v>10.5</v>
      </c>
      <c r="Y102" s="612" t="s">
        <v>27</v>
      </c>
      <c r="Z102" s="611">
        <v>11</v>
      </c>
      <c r="AA102" s="611">
        <v>12</v>
      </c>
      <c r="AB102" s="611">
        <v>10.5</v>
      </c>
      <c r="AC102" s="645">
        <v>8.5</v>
      </c>
      <c r="AD102" s="647" t="s">
        <v>27</v>
      </c>
      <c r="AE102" s="612" t="s">
        <v>27</v>
      </c>
      <c r="AF102" s="660" t="s">
        <v>1909</v>
      </c>
      <c r="AG102" s="660" t="s">
        <v>1909</v>
      </c>
      <c r="AH102" s="366">
        <f t="shared" ref="AH102:AH112" si="32">SUM(C102:AG102)</f>
        <v>188</v>
      </c>
      <c r="AI102" s="699"/>
      <c r="AJ102" s="708">
        <f t="shared" si="29"/>
        <v>9</v>
      </c>
      <c r="AK102" s="708">
        <f t="shared" si="30"/>
        <v>3</v>
      </c>
      <c r="AL102" s="708">
        <f t="shared" si="31"/>
        <v>0</v>
      </c>
      <c r="AM102" s="665"/>
    </row>
    <row r="103" spans="2:44" ht="16" customHeight="1">
      <c r="B103" s="473" t="s">
        <v>1359</v>
      </c>
      <c r="C103" s="613">
        <v>8.5</v>
      </c>
      <c r="D103" s="613">
        <v>10.5</v>
      </c>
      <c r="E103" s="613">
        <v>9.5</v>
      </c>
      <c r="F103" s="613">
        <v>12</v>
      </c>
      <c r="G103" s="613">
        <v>10.5</v>
      </c>
      <c r="H103" s="643" t="s">
        <v>27</v>
      </c>
      <c r="I103" s="648">
        <v>8.5</v>
      </c>
      <c r="J103" s="612" t="s">
        <v>27</v>
      </c>
      <c r="K103" s="612" t="s">
        <v>27</v>
      </c>
      <c r="L103" s="613">
        <v>9.5</v>
      </c>
      <c r="M103" s="613">
        <v>11</v>
      </c>
      <c r="N103" s="613">
        <v>11.5</v>
      </c>
      <c r="O103" s="644">
        <v>8.5</v>
      </c>
      <c r="P103" s="648">
        <v>9</v>
      </c>
      <c r="Q103" s="613">
        <v>10.5</v>
      </c>
      <c r="R103" s="613">
        <v>9</v>
      </c>
      <c r="S103" s="613">
        <v>12</v>
      </c>
      <c r="T103" s="613">
        <v>12</v>
      </c>
      <c r="U103" s="612" t="s">
        <v>27</v>
      </c>
      <c r="V103" s="643" t="s">
        <v>27</v>
      </c>
      <c r="W103" s="662" t="s">
        <v>1355</v>
      </c>
      <c r="X103" s="660" t="s">
        <v>1355</v>
      </c>
      <c r="Y103" s="660" t="s">
        <v>1355</v>
      </c>
      <c r="Z103" s="660" t="s">
        <v>1355</v>
      </c>
      <c r="AA103" s="660" t="s">
        <v>1355</v>
      </c>
      <c r="AB103" s="613">
        <v>10.5</v>
      </c>
      <c r="AC103" s="644">
        <v>8.5</v>
      </c>
      <c r="AD103" s="647" t="s">
        <v>27</v>
      </c>
      <c r="AE103" s="613">
        <v>9.5</v>
      </c>
      <c r="AF103" s="613">
        <v>10</v>
      </c>
      <c r="AG103" s="612" t="s">
        <v>27</v>
      </c>
      <c r="AH103" s="687">
        <f t="shared" si="32"/>
        <v>191</v>
      </c>
      <c r="AI103" s="700"/>
      <c r="AJ103" s="708">
        <f t="shared" si="29"/>
        <v>7</v>
      </c>
      <c r="AK103" s="708">
        <f t="shared" si="30"/>
        <v>0</v>
      </c>
      <c r="AL103" s="708">
        <f t="shared" si="31"/>
        <v>5</v>
      </c>
      <c r="AM103" s="665"/>
    </row>
    <row r="104" spans="2:44" ht="16" customHeight="1">
      <c r="B104" s="472" t="s">
        <v>1360</v>
      </c>
      <c r="C104" s="612" t="s">
        <v>27</v>
      </c>
      <c r="D104" s="612" t="s">
        <v>27</v>
      </c>
      <c r="E104" s="660" t="s">
        <v>1909</v>
      </c>
      <c r="F104" s="611">
        <v>12</v>
      </c>
      <c r="G104" s="611">
        <v>10.5</v>
      </c>
      <c r="H104" s="645">
        <v>9</v>
      </c>
      <c r="I104" s="646">
        <v>8.5</v>
      </c>
      <c r="J104" s="612" t="s">
        <v>27</v>
      </c>
      <c r="K104" s="611">
        <v>9</v>
      </c>
      <c r="L104" s="612" t="s">
        <v>27</v>
      </c>
      <c r="M104" s="611">
        <v>3.5</v>
      </c>
      <c r="N104" s="611">
        <v>11.5</v>
      </c>
      <c r="O104" s="645">
        <v>8.5</v>
      </c>
      <c r="P104" s="646">
        <v>9</v>
      </c>
      <c r="Q104" s="611">
        <v>8.5</v>
      </c>
      <c r="R104" s="660" t="s">
        <v>1909</v>
      </c>
      <c r="S104" s="640" t="s">
        <v>27</v>
      </c>
      <c r="T104" s="611">
        <v>12</v>
      </c>
      <c r="U104" s="611">
        <v>6</v>
      </c>
      <c r="V104" s="643" t="s">
        <v>27</v>
      </c>
      <c r="W104" s="646">
        <v>10.5</v>
      </c>
      <c r="X104" s="660" t="s">
        <v>1909</v>
      </c>
      <c r="Y104" s="611">
        <v>10.5</v>
      </c>
      <c r="Z104" s="612" t="s">
        <v>27</v>
      </c>
      <c r="AA104" s="611">
        <v>7</v>
      </c>
      <c r="AB104" s="611">
        <v>10.5</v>
      </c>
      <c r="AC104" s="643" t="s">
        <v>27</v>
      </c>
      <c r="AD104" s="646">
        <v>11</v>
      </c>
      <c r="AE104" s="611">
        <v>9.5</v>
      </c>
      <c r="AF104" s="612" t="s">
        <v>27</v>
      </c>
      <c r="AG104" s="611">
        <v>9.5</v>
      </c>
      <c r="AH104" s="366">
        <f t="shared" si="32"/>
        <v>176.5</v>
      </c>
      <c r="AI104" s="699"/>
      <c r="AJ104" s="708">
        <f t="shared" si="29"/>
        <v>9</v>
      </c>
      <c r="AK104" s="708">
        <f t="shared" si="30"/>
        <v>3</v>
      </c>
      <c r="AL104" s="708">
        <f t="shared" si="31"/>
        <v>0</v>
      </c>
      <c r="AM104" s="665"/>
    </row>
    <row r="105" spans="2:44" ht="16" customHeight="1">
      <c r="B105" s="473"/>
      <c r="C105" s="613"/>
      <c r="D105" s="613"/>
      <c r="E105" s="613"/>
      <c r="F105" s="613"/>
      <c r="G105" s="613"/>
      <c r="H105" s="644"/>
      <c r="I105" s="648"/>
      <c r="J105" s="613"/>
      <c r="K105" s="613"/>
      <c r="L105" s="613"/>
      <c r="M105" s="613"/>
      <c r="N105" s="613"/>
      <c r="O105" s="644"/>
      <c r="P105" s="648"/>
      <c r="Q105" s="613"/>
      <c r="R105" s="613"/>
      <c r="S105" s="613"/>
      <c r="T105" s="613"/>
      <c r="U105" s="613"/>
      <c r="V105" s="644"/>
      <c r="W105" s="648"/>
      <c r="X105" s="613"/>
      <c r="Y105" s="613"/>
      <c r="Z105" s="613"/>
      <c r="AA105" s="613"/>
      <c r="AB105" s="613"/>
      <c r="AC105" s="644"/>
      <c r="AD105" s="648"/>
      <c r="AE105" s="613"/>
      <c r="AF105" s="613"/>
      <c r="AG105" s="613"/>
      <c r="AH105" s="687">
        <f t="shared" si="32"/>
        <v>0</v>
      </c>
      <c r="AI105" s="700"/>
    </row>
    <row r="106" spans="2:44" ht="16" customHeight="1">
      <c r="B106" s="472" t="s">
        <v>1876</v>
      </c>
      <c r="C106" s="611"/>
      <c r="D106" s="611"/>
      <c r="E106" s="611"/>
      <c r="F106" s="611"/>
      <c r="G106" s="611"/>
      <c r="H106" s="645"/>
      <c r="I106" s="646"/>
      <c r="J106" s="611"/>
      <c r="K106" s="611"/>
      <c r="L106" s="611"/>
      <c r="M106" s="611"/>
      <c r="N106" s="611"/>
      <c r="O106" s="645"/>
      <c r="P106" s="646"/>
      <c r="Q106" s="611"/>
      <c r="R106" s="611"/>
      <c r="S106" s="611"/>
      <c r="T106" s="611"/>
      <c r="U106" s="611"/>
      <c r="V106" s="645"/>
      <c r="W106" s="646"/>
      <c r="X106" s="611">
        <v>10.5</v>
      </c>
      <c r="Y106" s="611">
        <v>5.5</v>
      </c>
      <c r="Z106" s="611"/>
      <c r="AA106" s="611">
        <v>12</v>
      </c>
      <c r="AB106" s="611">
        <v>5.5</v>
      </c>
      <c r="AC106" s="645">
        <v>8.5</v>
      </c>
      <c r="AD106" s="646"/>
      <c r="AE106" s="611">
        <v>7.5</v>
      </c>
      <c r="AF106" s="611">
        <v>5</v>
      </c>
      <c r="AG106" s="611"/>
      <c r="AH106" s="366">
        <f t="shared" si="32"/>
        <v>54.5</v>
      </c>
      <c r="AI106" s="699"/>
    </row>
    <row r="107" spans="2:44" ht="16" customHeight="1">
      <c r="B107" s="473" t="s">
        <v>1363</v>
      </c>
      <c r="C107" s="613">
        <v>6.5</v>
      </c>
      <c r="D107" s="613">
        <v>10.5</v>
      </c>
      <c r="E107" s="613">
        <v>9.5</v>
      </c>
      <c r="F107" s="613"/>
      <c r="G107" s="613"/>
      <c r="H107" s="644"/>
      <c r="I107" s="648"/>
      <c r="J107" s="613"/>
      <c r="K107" s="613"/>
      <c r="L107" s="613"/>
      <c r="M107" s="613"/>
      <c r="N107" s="613"/>
      <c r="O107" s="644"/>
      <c r="P107" s="648"/>
      <c r="Q107" s="613"/>
      <c r="R107" s="613"/>
      <c r="S107" s="613"/>
      <c r="T107" s="613"/>
      <c r="U107" s="613"/>
      <c r="V107" s="644"/>
      <c r="W107" s="648"/>
      <c r="X107" s="613"/>
      <c r="Y107" s="613"/>
      <c r="Z107" s="613"/>
      <c r="AA107" s="613"/>
      <c r="AB107" s="613"/>
      <c r="AC107" s="644"/>
      <c r="AD107" s="648"/>
      <c r="AE107" s="613"/>
      <c r="AF107" s="613"/>
      <c r="AG107" s="613"/>
      <c r="AH107" s="687">
        <f t="shared" si="32"/>
        <v>26.5</v>
      </c>
      <c r="AI107" s="700"/>
    </row>
    <row r="108" spans="2:44" ht="16" customHeight="1">
      <c r="B108" s="472" t="s">
        <v>1455</v>
      </c>
      <c r="C108" s="611"/>
      <c r="D108" s="611"/>
      <c r="E108" s="611"/>
      <c r="F108" s="611">
        <v>7</v>
      </c>
      <c r="G108" s="611">
        <v>5.5</v>
      </c>
      <c r="H108" s="645"/>
      <c r="I108" s="646"/>
      <c r="J108" s="611"/>
      <c r="K108" s="611"/>
      <c r="L108" s="611"/>
      <c r="M108" s="611">
        <v>6</v>
      </c>
      <c r="N108" s="611">
        <v>9.5</v>
      </c>
      <c r="O108" s="645"/>
      <c r="P108" s="646"/>
      <c r="Q108" s="611"/>
      <c r="R108" s="611"/>
      <c r="S108" s="611"/>
      <c r="T108" s="611">
        <v>7</v>
      </c>
      <c r="U108" s="611">
        <v>6</v>
      </c>
      <c r="V108" s="645"/>
      <c r="W108" s="646"/>
      <c r="X108" s="611"/>
      <c r="Y108" s="611"/>
      <c r="Z108" s="611"/>
      <c r="AA108" s="611">
        <v>7</v>
      </c>
      <c r="AB108" s="611">
        <v>8.5</v>
      </c>
      <c r="AC108" s="645"/>
      <c r="AD108" s="646"/>
      <c r="AE108" s="611"/>
      <c r="AF108" s="611"/>
      <c r="AG108" s="611"/>
      <c r="AH108" s="366">
        <f t="shared" si="32"/>
        <v>56.5</v>
      </c>
      <c r="AI108" s="699"/>
    </row>
    <row r="109" spans="2:44" ht="16" customHeight="1">
      <c r="B109" s="473" t="s">
        <v>1875</v>
      </c>
      <c r="C109" s="613"/>
      <c r="D109" s="613"/>
      <c r="E109" s="613">
        <v>7.5</v>
      </c>
      <c r="F109" s="613">
        <v>11</v>
      </c>
      <c r="G109" s="613"/>
      <c r="H109" s="644">
        <v>9</v>
      </c>
      <c r="I109" s="648"/>
      <c r="J109" s="613"/>
      <c r="K109" s="613"/>
      <c r="L109" s="613">
        <v>7.5</v>
      </c>
      <c r="M109" s="613">
        <v>6</v>
      </c>
      <c r="N109" s="613"/>
      <c r="O109" s="644">
        <v>8.5</v>
      </c>
      <c r="P109" s="648"/>
      <c r="Q109" s="613"/>
      <c r="R109" s="613">
        <v>9</v>
      </c>
      <c r="S109" s="613">
        <v>4.5</v>
      </c>
      <c r="T109" s="613">
        <v>7</v>
      </c>
      <c r="U109" s="613">
        <v>6</v>
      </c>
      <c r="V109" s="644">
        <v>10</v>
      </c>
      <c r="W109" s="648">
        <v>8.5</v>
      </c>
      <c r="X109" s="613"/>
      <c r="Y109" s="613"/>
      <c r="Z109" s="613">
        <v>11</v>
      </c>
      <c r="AA109" s="613"/>
      <c r="AB109" s="613"/>
      <c r="AC109" s="644"/>
      <c r="AD109" s="648"/>
      <c r="AE109" s="613"/>
      <c r="AF109" s="613">
        <v>9</v>
      </c>
      <c r="AG109" s="613">
        <v>9.5</v>
      </c>
      <c r="AH109" s="687">
        <f t="shared" si="32"/>
        <v>124</v>
      </c>
      <c r="AI109" s="700"/>
    </row>
    <row r="110" spans="2:44" ht="16" customHeight="1">
      <c r="B110" s="472" t="s">
        <v>1769</v>
      </c>
      <c r="C110" s="611">
        <v>7</v>
      </c>
      <c r="D110" s="611"/>
      <c r="E110" s="611">
        <v>7</v>
      </c>
      <c r="F110" s="611">
        <v>7</v>
      </c>
      <c r="G110" s="611"/>
      <c r="H110" s="645"/>
      <c r="I110" s="646"/>
      <c r="J110" s="611">
        <v>7</v>
      </c>
      <c r="K110" s="611">
        <v>6</v>
      </c>
      <c r="L110" s="611">
        <v>8</v>
      </c>
      <c r="M110" s="611"/>
      <c r="N110" s="611"/>
      <c r="O110" s="645"/>
      <c r="P110" s="646"/>
      <c r="Q110" s="611">
        <v>7</v>
      </c>
      <c r="R110" s="611">
        <v>5</v>
      </c>
      <c r="S110" s="611">
        <v>7</v>
      </c>
      <c r="T110" s="611">
        <v>7</v>
      </c>
      <c r="U110" s="611"/>
      <c r="V110" s="645"/>
      <c r="W110" s="646"/>
      <c r="X110" s="611">
        <v>7</v>
      </c>
      <c r="Y110" s="611">
        <v>7</v>
      </c>
      <c r="Z110" s="611">
        <v>6</v>
      </c>
      <c r="AA110" s="611">
        <v>6.5</v>
      </c>
      <c r="AB110" s="611"/>
      <c r="AC110" s="645"/>
      <c r="AD110" s="646"/>
      <c r="AE110" s="611">
        <v>6.5</v>
      </c>
      <c r="AF110" s="611">
        <v>7</v>
      </c>
      <c r="AG110" s="611"/>
      <c r="AH110" s="366">
        <f t="shared" si="32"/>
        <v>108</v>
      </c>
      <c r="AI110" s="699"/>
    </row>
    <row r="111" spans="2:44" ht="16" customHeight="1">
      <c r="B111" s="473" t="s">
        <v>1877</v>
      </c>
      <c r="C111" s="613"/>
      <c r="D111" s="613"/>
      <c r="E111" s="613"/>
      <c r="F111" s="613"/>
      <c r="G111" s="613"/>
      <c r="H111" s="644"/>
      <c r="I111" s="648"/>
      <c r="J111" s="613"/>
      <c r="K111" s="613"/>
      <c r="L111" s="613"/>
      <c r="M111" s="613"/>
      <c r="N111" s="613"/>
      <c r="O111" s="644"/>
      <c r="P111" s="648"/>
      <c r="Q111" s="613"/>
      <c r="R111" s="613"/>
      <c r="S111" s="613"/>
      <c r="T111" s="613"/>
      <c r="U111" s="613">
        <v>9</v>
      </c>
      <c r="V111" s="644">
        <v>9</v>
      </c>
      <c r="W111" s="648">
        <v>9.5</v>
      </c>
      <c r="X111" s="613">
        <v>8.5</v>
      </c>
      <c r="Y111" s="613"/>
      <c r="Z111" s="613">
        <v>9</v>
      </c>
      <c r="AA111" s="613">
        <v>10</v>
      </c>
      <c r="AB111" s="613">
        <v>10.5</v>
      </c>
      <c r="AC111" s="644"/>
      <c r="AD111" s="648"/>
      <c r="AE111" s="613"/>
      <c r="AF111" s="613"/>
      <c r="AG111" s="613"/>
      <c r="AH111" s="687">
        <f t="shared" si="32"/>
        <v>65.5</v>
      </c>
      <c r="AI111" s="700"/>
    </row>
    <row r="112" spans="2:44" ht="16" customHeight="1">
      <c r="B112" s="472" t="s">
        <v>1874</v>
      </c>
      <c r="C112" s="611"/>
      <c r="D112" s="611"/>
      <c r="E112" s="611"/>
      <c r="F112" s="611"/>
      <c r="G112" s="611"/>
      <c r="H112" s="645"/>
      <c r="I112" s="646"/>
      <c r="J112" s="611"/>
      <c r="K112" s="611">
        <v>4</v>
      </c>
      <c r="L112" s="611"/>
      <c r="M112" s="611"/>
      <c r="N112" s="611"/>
      <c r="O112" s="645"/>
      <c r="P112" s="646"/>
      <c r="Q112" s="611"/>
      <c r="R112" s="611"/>
      <c r="S112" s="611"/>
      <c r="T112" s="611"/>
      <c r="U112" s="611"/>
      <c r="V112" s="645"/>
      <c r="W112" s="646"/>
      <c r="X112" s="611"/>
      <c r="Y112" s="611"/>
      <c r="Z112" s="611"/>
      <c r="AA112" s="611"/>
      <c r="AB112" s="611"/>
      <c r="AC112" s="645"/>
      <c r="AD112" s="646"/>
      <c r="AE112" s="611"/>
      <c r="AF112" s="611"/>
      <c r="AG112" s="611"/>
      <c r="AH112" s="366">
        <f t="shared" si="32"/>
        <v>4</v>
      </c>
      <c r="AI112" s="699"/>
    </row>
    <row r="113" spans="2:44" s="272" customFormat="1" ht="23" customHeight="1">
      <c r="B113" s="668"/>
      <c r="C113" s="234"/>
      <c r="D113" s="234"/>
      <c r="E113" s="234"/>
      <c r="F113" s="234"/>
      <c r="G113" s="234"/>
      <c r="H113" s="234"/>
      <c r="I113" s="234"/>
      <c r="J113" s="234"/>
      <c r="K113" s="234"/>
      <c r="L113" s="234"/>
      <c r="M113" s="234"/>
      <c r="N113" s="234"/>
      <c r="O113" s="234"/>
      <c r="P113" s="234"/>
      <c r="Q113" s="234"/>
      <c r="R113" s="234"/>
      <c r="S113" s="234"/>
      <c r="T113" s="234"/>
      <c r="U113" s="234"/>
      <c r="V113" s="234"/>
      <c r="W113" s="234"/>
      <c r="X113" s="234"/>
      <c r="Y113" s="234"/>
      <c r="Z113" s="234"/>
      <c r="AA113" s="234"/>
      <c r="AB113" s="234"/>
      <c r="AC113" s="234"/>
      <c r="AD113" s="234"/>
      <c r="AE113" s="234"/>
      <c r="AF113" s="234"/>
      <c r="AG113" s="234"/>
      <c r="AH113" s="721"/>
      <c r="AI113" s="690"/>
      <c r="AJ113" s="708"/>
      <c r="AK113" s="708"/>
      <c r="AL113" s="708"/>
      <c r="AM113" s="663"/>
      <c r="AN113" s="701"/>
      <c r="AO113" s="663"/>
      <c r="AP113" s="663"/>
      <c r="AQ113" s="663"/>
      <c r="AR113" s="664"/>
    </row>
    <row r="114" spans="2:44" s="272" customFormat="1" ht="20">
      <c r="B114" s="953" t="s">
        <v>1375</v>
      </c>
      <c r="C114" s="953"/>
      <c r="D114" s="953"/>
      <c r="E114" s="953"/>
      <c r="F114" s="953"/>
      <c r="G114" s="953"/>
      <c r="H114" s="953"/>
      <c r="I114" s="953"/>
      <c r="J114" s="953"/>
      <c r="K114" s="953"/>
      <c r="L114" s="953"/>
      <c r="M114" s="953"/>
      <c r="N114" s="953"/>
      <c r="O114" s="953"/>
      <c r="P114" s="953"/>
      <c r="Q114" s="953"/>
      <c r="R114" s="953"/>
      <c r="S114" s="953"/>
      <c r="T114" s="953"/>
      <c r="U114" s="953"/>
      <c r="V114" s="953"/>
      <c r="W114" s="953"/>
      <c r="X114" s="953"/>
      <c r="Y114" s="953"/>
      <c r="Z114" s="953"/>
      <c r="AA114" s="953"/>
      <c r="AB114" s="953"/>
      <c r="AC114" s="953"/>
      <c r="AD114" s="953"/>
      <c r="AE114" s="953"/>
      <c r="AF114" s="953"/>
      <c r="AG114" s="953"/>
      <c r="AH114" s="953"/>
      <c r="AI114" s="690"/>
      <c r="AJ114" s="694"/>
      <c r="AK114" s="694"/>
      <c r="AL114" s="694"/>
      <c r="AM114" s="695"/>
      <c r="AN114" s="701"/>
      <c r="AO114" s="663"/>
      <c r="AP114" s="663"/>
      <c r="AQ114" s="663"/>
      <c r="AR114" s="664"/>
    </row>
    <row r="115" spans="2:44">
      <c r="B115" s="669"/>
      <c r="C115" s="367">
        <v>1</v>
      </c>
      <c r="D115" s="367">
        <v>2</v>
      </c>
      <c r="E115" s="684">
        <v>3</v>
      </c>
      <c r="F115" s="704">
        <v>4</v>
      </c>
      <c r="G115" s="367">
        <v>5</v>
      </c>
      <c r="H115" s="367">
        <v>6</v>
      </c>
      <c r="I115" s="367">
        <v>7</v>
      </c>
      <c r="J115" s="367">
        <v>8</v>
      </c>
      <c r="K115" s="367">
        <v>9</v>
      </c>
      <c r="L115" s="684">
        <v>10</v>
      </c>
      <c r="M115" s="704">
        <v>11</v>
      </c>
      <c r="N115" s="367">
        <v>12</v>
      </c>
      <c r="O115" s="367">
        <v>13</v>
      </c>
      <c r="P115" s="367">
        <v>14</v>
      </c>
      <c r="Q115" s="367">
        <v>15</v>
      </c>
      <c r="R115" s="367">
        <v>16</v>
      </c>
      <c r="S115" s="684">
        <v>17</v>
      </c>
      <c r="T115" s="704">
        <v>18</v>
      </c>
      <c r="U115" s="367">
        <v>19</v>
      </c>
      <c r="V115" s="367">
        <v>20</v>
      </c>
      <c r="W115" s="367">
        <v>21</v>
      </c>
      <c r="X115" s="367">
        <v>22</v>
      </c>
      <c r="Y115" s="367">
        <v>23</v>
      </c>
      <c r="Z115" s="684">
        <v>24</v>
      </c>
      <c r="AA115" s="704">
        <v>25</v>
      </c>
      <c r="AB115" s="367">
        <v>26</v>
      </c>
      <c r="AC115" s="367">
        <v>27</v>
      </c>
      <c r="AD115" s="367">
        <v>28</v>
      </c>
      <c r="AE115" s="367">
        <v>29</v>
      </c>
      <c r="AF115" s="367">
        <v>30</v>
      </c>
      <c r="AG115" s="367">
        <v>31</v>
      </c>
      <c r="AH115" s="367" t="s">
        <v>116</v>
      </c>
      <c r="AI115" s="666" t="s">
        <v>292</v>
      </c>
      <c r="AJ115" s="717" t="s">
        <v>27</v>
      </c>
      <c r="AK115" s="718" t="s">
        <v>1909</v>
      </c>
      <c r="AL115" s="719" t="s">
        <v>1355</v>
      </c>
      <c r="AM115" s="695"/>
    </row>
    <row r="116" spans="2:44" ht="16" customHeight="1">
      <c r="B116" s="472" t="s">
        <v>1354</v>
      </c>
      <c r="C116" s="468">
        <v>8</v>
      </c>
      <c r="D116" s="612" t="s">
        <v>27</v>
      </c>
      <c r="E116" s="643" t="s">
        <v>27</v>
      </c>
      <c r="F116" s="653">
        <v>7</v>
      </c>
      <c r="G116" s="468">
        <v>8</v>
      </c>
      <c r="H116" s="468">
        <v>8</v>
      </c>
      <c r="I116" s="468">
        <v>8</v>
      </c>
      <c r="J116" s="468">
        <v>8</v>
      </c>
      <c r="K116" s="612" t="s">
        <v>27</v>
      </c>
      <c r="L116" s="643" t="s">
        <v>27</v>
      </c>
      <c r="M116" s="662" t="s">
        <v>1355</v>
      </c>
      <c r="N116" s="660" t="s">
        <v>1355</v>
      </c>
      <c r="O116" s="660" t="s">
        <v>1355</v>
      </c>
      <c r="P116" s="660" t="s">
        <v>1355</v>
      </c>
      <c r="Q116" s="660" t="s">
        <v>1355</v>
      </c>
      <c r="R116" s="640" t="s">
        <v>27</v>
      </c>
      <c r="S116" s="672" t="s">
        <v>27</v>
      </c>
      <c r="T116" s="653">
        <v>8</v>
      </c>
      <c r="U116" s="468">
        <v>8</v>
      </c>
      <c r="V116" s="468">
        <v>8</v>
      </c>
      <c r="W116" s="468">
        <v>8</v>
      </c>
      <c r="X116" s="468">
        <v>7.5</v>
      </c>
      <c r="Y116" s="672" t="s">
        <v>27</v>
      </c>
      <c r="Z116" s="672" t="s">
        <v>27</v>
      </c>
      <c r="AA116" s="653">
        <v>7.5</v>
      </c>
      <c r="AB116" s="468">
        <v>8</v>
      </c>
      <c r="AC116" s="468">
        <v>8</v>
      </c>
      <c r="AD116" s="468">
        <v>8</v>
      </c>
      <c r="AE116" s="468">
        <v>8</v>
      </c>
      <c r="AF116" s="672" t="s">
        <v>27</v>
      </c>
      <c r="AG116" s="672" t="s">
        <v>27</v>
      </c>
      <c r="AH116" s="366">
        <f>SUM(C116:AG116)</f>
        <v>126</v>
      </c>
      <c r="AI116" s="699"/>
      <c r="AJ116" s="708">
        <f>COUNTIF(C116:AG116,"R")</f>
        <v>10</v>
      </c>
      <c r="AK116" s="708">
        <f>COUNTIF(C116:AG116,"Z")</f>
        <v>0</v>
      </c>
      <c r="AL116" s="708">
        <f>COUNTIF(C116:AG116,"FE")</f>
        <v>5</v>
      </c>
      <c r="AM116" s="665"/>
    </row>
    <row r="117" spans="2:44" ht="16" customHeight="1">
      <c r="B117" s="473" t="s">
        <v>1357</v>
      </c>
      <c r="C117" s="471">
        <v>9</v>
      </c>
      <c r="D117" s="660" t="s">
        <v>1355</v>
      </c>
      <c r="E117" s="661" t="s">
        <v>1355</v>
      </c>
      <c r="F117" s="647" t="s">
        <v>27</v>
      </c>
      <c r="G117" s="612" t="s">
        <v>27</v>
      </c>
      <c r="H117" s="660" t="s">
        <v>1355</v>
      </c>
      <c r="I117" s="660" t="s">
        <v>1355</v>
      </c>
      <c r="J117" s="660" t="s">
        <v>1355</v>
      </c>
      <c r="K117" s="471">
        <v>9</v>
      </c>
      <c r="L117" s="652">
        <v>9</v>
      </c>
      <c r="M117" s="647" t="s">
        <v>27</v>
      </c>
      <c r="N117" s="471">
        <v>9</v>
      </c>
      <c r="O117" s="471">
        <v>9</v>
      </c>
      <c r="P117" s="471">
        <v>9</v>
      </c>
      <c r="Q117" s="612" t="s">
        <v>27</v>
      </c>
      <c r="R117" s="471">
        <v>9</v>
      </c>
      <c r="S117" s="652">
        <v>9</v>
      </c>
      <c r="T117" s="654" t="s">
        <v>27</v>
      </c>
      <c r="U117" s="471">
        <v>9</v>
      </c>
      <c r="V117" s="471" t="s">
        <v>27</v>
      </c>
      <c r="W117" s="667" t="s">
        <v>1370</v>
      </c>
      <c r="X117" s="667" t="s">
        <v>1370</v>
      </c>
      <c r="Y117" s="667" t="s">
        <v>1370</v>
      </c>
      <c r="Z117" s="667" t="s">
        <v>1370</v>
      </c>
      <c r="AA117" s="654" t="s">
        <v>27</v>
      </c>
      <c r="AB117" s="471" t="s">
        <v>27</v>
      </c>
      <c r="AC117" s="471">
        <v>9</v>
      </c>
      <c r="AD117" s="471">
        <v>9</v>
      </c>
      <c r="AE117" s="471">
        <v>9</v>
      </c>
      <c r="AF117" s="471">
        <v>9</v>
      </c>
      <c r="AG117" s="471">
        <v>9</v>
      </c>
      <c r="AH117" s="687">
        <f>SUM(C117:AG117)</f>
        <v>126</v>
      </c>
      <c r="AI117" s="700"/>
      <c r="AJ117" s="708">
        <f t="shared" ref="AJ117:AJ120" si="33">COUNTIF(C117:AG117,"R")</f>
        <v>8</v>
      </c>
      <c r="AK117" s="708">
        <f t="shared" ref="AK117:AK121" si="34">COUNTIF(C117:AG117,"Z")</f>
        <v>0</v>
      </c>
      <c r="AL117" s="708">
        <f t="shared" ref="AL117:AL120" si="35">COUNTIF(C117:AG117,"FE")</f>
        <v>5</v>
      </c>
      <c r="AM117" s="665"/>
    </row>
    <row r="118" spans="2:44" ht="16" customHeight="1">
      <c r="B118" s="472" t="s">
        <v>1869</v>
      </c>
      <c r="C118" s="468">
        <v>8</v>
      </c>
      <c r="D118" s="468">
        <v>9</v>
      </c>
      <c r="E118" s="651">
        <v>9</v>
      </c>
      <c r="F118" s="647" t="s">
        <v>27</v>
      </c>
      <c r="G118" s="612" t="s">
        <v>27</v>
      </c>
      <c r="H118" s="468">
        <v>9</v>
      </c>
      <c r="I118" s="468">
        <v>9</v>
      </c>
      <c r="J118" s="468">
        <v>9</v>
      </c>
      <c r="K118" s="468">
        <v>9</v>
      </c>
      <c r="L118" s="651">
        <v>9</v>
      </c>
      <c r="M118" s="647" t="s">
        <v>27</v>
      </c>
      <c r="N118" s="468">
        <v>9</v>
      </c>
      <c r="O118" s="468">
        <v>9</v>
      </c>
      <c r="P118" s="468">
        <v>9</v>
      </c>
      <c r="Q118" s="612" t="s">
        <v>27</v>
      </c>
      <c r="R118" s="468">
        <v>9</v>
      </c>
      <c r="S118" s="651">
        <v>9</v>
      </c>
      <c r="T118" s="653" t="s">
        <v>27</v>
      </c>
      <c r="U118" s="468" t="s">
        <v>27</v>
      </c>
      <c r="V118" s="468">
        <v>9</v>
      </c>
      <c r="W118" s="468">
        <v>9</v>
      </c>
      <c r="X118" s="468">
        <v>9</v>
      </c>
      <c r="Y118" s="468">
        <v>9</v>
      </c>
      <c r="Z118" s="651">
        <v>9</v>
      </c>
      <c r="AA118" s="653" t="s">
        <v>27</v>
      </c>
      <c r="AB118" s="471">
        <v>9</v>
      </c>
      <c r="AC118" s="468" t="s">
        <v>27</v>
      </c>
      <c r="AD118" s="468">
        <v>9</v>
      </c>
      <c r="AE118" s="468">
        <v>9</v>
      </c>
      <c r="AF118" s="468">
        <v>9</v>
      </c>
      <c r="AG118" s="468">
        <v>9</v>
      </c>
      <c r="AH118" s="366">
        <f t="shared" ref="AH118:AH128" si="36">SUM(C118:AG118)</f>
        <v>206</v>
      </c>
      <c r="AI118" s="699"/>
      <c r="AJ118" s="708">
        <f t="shared" si="33"/>
        <v>8</v>
      </c>
      <c r="AK118" s="708">
        <f t="shared" si="34"/>
        <v>0</v>
      </c>
      <c r="AL118" s="708">
        <f t="shared" si="35"/>
        <v>0</v>
      </c>
      <c r="AM118" s="665"/>
    </row>
    <row r="119" spans="2:44" ht="16" customHeight="1">
      <c r="B119" s="473" t="s">
        <v>1358</v>
      </c>
      <c r="C119" s="471">
        <v>12.5</v>
      </c>
      <c r="D119" s="471">
        <v>11.5</v>
      </c>
      <c r="E119" s="652">
        <v>9.5</v>
      </c>
      <c r="F119" s="654">
        <v>9</v>
      </c>
      <c r="G119" s="471">
        <v>8.5</v>
      </c>
      <c r="H119" s="471">
        <v>9.5</v>
      </c>
      <c r="I119" s="471">
        <v>9.5</v>
      </c>
      <c r="J119" s="471">
        <v>11</v>
      </c>
      <c r="K119" s="471">
        <v>10.5</v>
      </c>
      <c r="L119" s="643" t="s">
        <v>27</v>
      </c>
      <c r="M119" s="654">
        <v>10.5</v>
      </c>
      <c r="N119" s="471">
        <v>10.5</v>
      </c>
      <c r="O119" s="471" t="s">
        <v>27</v>
      </c>
      <c r="P119" s="613">
        <v>10.5</v>
      </c>
      <c r="Q119" s="612" t="s">
        <v>27</v>
      </c>
      <c r="R119" s="471">
        <v>12</v>
      </c>
      <c r="S119" s="652">
        <v>10</v>
      </c>
      <c r="T119" s="654" t="s">
        <v>27</v>
      </c>
      <c r="U119" s="471" t="s">
        <v>27</v>
      </c>
      <c r="V119" s="471" t="s">
        <v>1355</v>
      </c>
      <c r="W119" s="471" t="s">
        <v>1355</v>
      </c>
      <c r="X119" s="471" t="s">
        <v>1355</v>
      </c>
      <c r="Y119" s="471" t="s">
        <v>1355</v>
      </c>
      <c r="Z119" s="652">
        <v>10.5</v>
      </c>
      <c r="AA119" s="654" t="s">
        <v>1355</v>
      </c>
      <c r="AB119" s="471" t="s">
        <v>27</v>
      </c>
      <c r="AC119" s="471" t="s">
        <v>27</v>
      </c>
      <c r="AD119" s="471">
        <v>12</v>
      </c>
      <c r="AE119" s="471">
        <v>11.5</v>
      </c>
      <c r="AF119" s="471">
        <v>11</v>
      </c>
      <c r="AG119" s="471">
        <v>10.5</v>
      </c>
      <c r="AH119" s="687">
        <f t="shared" si="36"/>
        <v>200.5</v>
      </c>
      <c r="AI119" s="700"/>
      <c r="AJ119" s="708">
        <f t="shared" si="33"/>
        <v>7</v>
      </c>
      <c r="AK119" s="708">
        <f t="shared" si="34"/>
        <v>0</v>
      </c>
      <c r="AL119" s="708">
        <f t="shared" si="35"/>
        <v>5</v>
      </c>
      <c r="AM119" s="665"/>
    </row>
    <row r="120" spans="2:44" ht="16" customHeight="1">
      <c r="B120" s="472" t="s">
        <v>1359</v>
      </c>
      <c r="C120" s="468">
        <v>12.5</v>
      </c>
      <c r="D120" s="611">
        <v>11.5</v>
      </c>
      <c r="E120" s="651">
        <v>9.5</v>
      </c>
      <c r="F120" s="653">
        <v>9</v>
      </c>
      <c r="G120" s="468">
        <v>10.5</v>
      </c>
      <c r="H120" s="611">
        <v>7</v>
      </c>
      <c r="I120" s="468">
        <v>9.5</v>
      </c>
      <c r="J120" s="468">
        <v>11</v>
      </c>
      <c r="K120" s="611">
        <v>10.5</v>
      </c>
      <c r="L120" s="651">
        <v>9</v>
      </c>
      <c r="M120" s="647" t="s">
        <v>27</v>
      </c>
      <c r="N120" s="468" t="s">
        <v>27</v>
      </c>
      <c r="O120" s="611">
        <v>9.5</v>
      </c>
      <c r="P120" s="468" t="s">
        <v>27</v>
      </c>
      <c r="Q120" s="612" t="s">
        <v>27</v>
      </c>
      <c r="R120" s="470" t="s">
        <v>27</v>
      </c>
      <c r="S120" s="651" t="s">
        <v>27</v>
      </c>
      <c r="T120" s="653" t="s">
        <v>27</v>
      </c>
      <c r="U120" s="468">
        <v>10.5</v>
      </c>
      <c r="V120" s="611">
        <v>10.5</v>
      </c>
      <c r="W120" s="468" t="s">
        <v>27</v>
      </c>
      <c r="X120" s="468">
        <v>9.5</v>
      </c>
      <c r="Y120" s="468">
        <v>11.5</v>
      </c>
      <c r="Z120" s="651">
        <v>10.5</v>
      </c>
      <c r="AA120" s="653">
        <v>10.5</v>
      </c>
      <c r="AB120" s="468">
        <v>11</v>
      </c>
      <c r="AC120" s="468" t="s">
        <v>27</v>
      </c>
      <c r="AD120" s="468" t="s">
        <v>27</v>
      </c>
      <c r="AE120" s="468">
        <v>11.5</v>
      </c>
      <c r="AF120" s="468">
        <v>11</v>
      </c>
      <c r="AG120" s="468" t="s">
        <v>27</v>
      </c>
      <c r="AH120" s="366">
        <f t="shared" si="36"/>
        <v>206</v>
      </c>
      <c r="AI120" s="699"/>
      <c r="AJ120" s="708">
        <f t="shared" si="33"/>
        <v>11</v>
      </c>
      <c r="AK120" s="708">
        <f t="shared" si="34"/>
        <v>0</v>
      </c>
      <c r="AL120" s="708">
        <f t="shared" si="35"/>
        <v>0</v>
      </c>
      <c r="AM120" s="665"/>
    </row>
    <row r="121" spans="2:44" ht="16" customHeight="1">
      <c r="B121" s="473" t="s">
        <v>1360</v>
      </c>
      <c r="C121" s="612" t="s">
        <v>27</v>
      </c>
      <c r="D121" s="660" t="s">
        <v>1355</v>
      </c>
      <c r="E121" s="661" t="s">
        <v>1355</v>
      </c>
      <c r="F121" s="662" t="s">
        <v>1355</v>
      </c>
      <c r="G121" s="660" t="s">
        <v>1355</v>
      </c>
      <c r="H121" s="660" t="s">
        <v>1355</v>
      </c>
      <c r="I121" s="612" t="s">
        <v>27</v>
      </c>
      <c r="J121" s="643" t="s">
        <v>27</v>
      </c>
      <c r="K121" s="660" t="s">
        <v>1355</v>
      </c>
      <c r="L121" s="661" t="s">
        <v>1355</v>
      </c>
      <c r="M121" s="654">
        <v>10.5</v>
      </c>
      <c r="N121" s="471">
        <v>10.5</v>
      </c>
      <c r="O121" s="471">
        <v>9.5</v>
      </c>
      <c r="P121" s="471">
        <v>10.5</v>
      </c>
      <c r="Q121" s="612" t="s">
        <v>27</v>
      </c>
      <c r="R121" s="471">
        <v>5</v>
      </c>
      <c r="S121" s="652">
        <v>8</v>
      </c>
      <c r="T121" s="654">
        <v>11.5</v>
      </c>
      <c r="U121" s="471">
        <v>8</v>
      </c>
      <c r="V121" s="471">
        <v>10.5</v>
      </c>
      <c r="W121" s="471">
        <v>12</v>
      </c>
      <c r="X121" s="471">
        <v>9.5</v>
      </c>
      <c r="Y121" s="471">
        <v>11.5</v>
      </c>
      <c r="Z121" s="468" t="s">
        <v>27</v>
      </c>
      <c r="AA121" s="654" t="s">
        <v>27</v>
      </c>
      <c r="AB121" s="471" t="s">
        <v>27</v>
      </c>
      <c r="AC121" s="471">
        <v>12</v>
      </c>
      <c r="AD121" s="471">
        <v>12</v>
      </c>
      <c r="AE121" s="471">
        <v>11.5</v>
      </c>
      <c r="AF121" s="667" t="s">
        <v>1370</v>
      </c>
      <c r="AG121" s="471">
        <v>10.5</v>
      </c>
      <c r="AH121" s="687">
        <f t="shared" si="36"/>
        <v>163</v>
      </c>
      <c r="AI121" s="700"/>
      <c r="AJ121" s="708">
        <f t="shared" ref="AJ121" si="37">COUNTIF(C121:AG121,"R")</f>
        <v>7</v>
      </c>
      <c r="AK121" s="708">
        <f t="shared" si="34"/>
        <v>0</v>
      </c>
      <c r="AL121" s="708">
        <f t="shared" ref="AL121" si="38">COUNTIF(C121:AG121,"FE")</f>
        <v>7</v>
      </c>
      <c r="AM121" s="665"/>
    </row>
    <row r="122" spans="2:44" ht="16" customHeight="1">
      <c r="B122" s="472"/>
      <c r="C122" s="468"/>
      <c r="D122" s="468"/>
      <c r="E122" s="651"/>
      <c r="F122" s="653"/>
      <c r="G122" s="468"/>
      <c r="H122" s="468"/>
      <c r="I122" s="468"/>
      <c r="J122" s="468"/>
      <c r="K122" s="468"/>
      <c r="L122" s="651"/>
      <c r="M122" s="653"/>
      <c r="N122" s="468"/>
      <c r="O122" s="468"/>
      <c r="P122" s="468"/>
      <c r="Q122" s="468"/>
      <c r="R122" s="468"/>
      <c r="S122" s="651"/>
      <c r="T122" s="653"/>
      <c r="U122" s="468"/>
      <c r="V122" s="468"/>
      <c r="W122" s="468"/>
      <c r="X122" s="468"/>
      <c r="Y122" s="468"/>
      <c r="Z122" s="651"/>
      <c r="AA122" s="653"/>
      <c r="AB122" s="468"/>
      <c r="AC122" s="468"/>
      <c r="AD122" s="468"/>
      <c r="AE122" s="468"/>
      <c r="AF122" s="468"/>
      <c r="AG122" s="468"/>
      <c r="AH122" s="366">
        <f t="shared" si="36"/>
        <v>0</v>
      </c>
      <c r="AI122" s="699"/>
    </row>
    <row r="123" spans="2:44" ht="16" customHeight="1">
      <c r="B123" s="473" t="s">
        <v>1989</v>
      </c>
      <c r="C123" s="471"/>
      <c r="D123" s="471"/>
      <c r="E123" s="652"/>
      <c r="F123" s="654"/>
      <c r="G123" s="471"/>
      <c r="H123" s="471"/>
      <c r="I123" s="471"/>
      <c r="J123" s="471"/>
      <c r="K123" s="471"/>
      <c r="L123" s="652"/>
      <c r="M123" s="654"/>
      <c r="N123" s="471"/>
      <c r="O123" s="471"/>
      <c r="P123" s="471"/>
      <c r="Q123" s="471"/>
      <c r="R123" s="471"/>
      <c r="S123" s="652"/>
      <c r="T123" s="654"/>
      <c r="U123" s="471"/>
      <c r="V123" s="471"/>
      <c r="W123" s="471"/>
      <c r="X123" s="471"/>
      <c r="Y123" s="471"/>
      <c r="Z123" s="652"/>
      <c r="AA123" s="654"/>
      <c r="AB123" s="471"/>
      <c r="AC123" s="471"/>
      <c r="AD123" s="471">
        <v>10</v>
      </c>
      <c r="AE123" s="471">
        <v>6.5</v>
      </c>
      <c r="AF123" s="471"/>
      <c r="AG123" s="471"/>
      <c r="AH123" s="687">
        <f t="shared" si="36"/>
        <v>16.5</v>
      </c>
      <c r="AI123" s="700"/>
    </row>
    <row r="124" spans="2:44" ht="16" customHeight="1">
      <c r="B124" s="472" t="s">
        <v>1455</v>
      </c>
      <c r="C124" s="468"/>
      <c r="D124" s="468"/>
      <c r="E124" s="651"/>
      <c r="F124" s="653"/>
      <c r="G124" s="468"/>
      <c r="H124" s="468"/>
      <c r="I124" s="468"/>
      <c r="J124" s="468">
        <v>9</v>
      </c>
      <c r="K124" s="468"/>
      <c r="L124" s="651"/>
      <c r="M124" s="653"/>
      <c r="N124" s="468"/>
      <c r="O124" s="468"/>
      <c r="P124" s="468"/>
      <c r="Q124" s="468"/>
      <c r="R124" s="468"/>
      <c r="S124" s="651"/>
      <c r="T124" s="653"/>
      <c r="U124" s="468">
        <v>10.5</v>
      </c>
      <c r="V124" s="468">
        <v>10.5</v>
      </c>
      <c r="W124" s="468">
        <v>12</v>
      </c>
      <c r="X124" s="468">
        <v>7.5</v>
      </c>
      <c r="Y124" s="468">
        <v>8</v>
      </c>
      <c r="Z124" s="651"/>
      <c r="AA124" s="653">
        <v>10.5</v>
      </c>
      <c r="AB124" s="468">
        <v>11</v>
      </c>
      <c r="AC124" s="468">
        <v>12</v>
      </c>
      <c r="AD124" s="468"/>
      <c r="AE124" s="468">
        <v>6.5</v>
      </c>
      <c r="AF124" s="468">
        <v>9</v>
      </c>
      <c r="AG124" s="468"/>
      <c r="AH124" s="366">
        <f t="shared" si="36"/>
        <v>106.5</v>
      </c>
      <c r="AI124" s="699"/>
    </row>
    <row r="125" spans="2:44" ht="16" customHeight="1">
      <c r="B125" s="473" t="s">
        <v>1875</v>
      </c>
      <c r="C125" s="471"/>
      <c r="D125" s="471">
        <v>6.5</v>
      </c>
      <c r="E125" s="652">
        <v>9.5</v>
      </c>
      <c r="F125" s="654">
        <v>9</v>
      </c>
      <c r="G125" s="471">
        <v>10.5</v>
      </c>
      <c r="H125" s="471"/>
      <c r="I125" s="471">
        <v>9.5</v>
      </c>
      <c r="J125" s="471">
        <v>11</v>
      </c>
      <c r="K125" s="471">
        <v>10.5</v>
      </c>
      <c r="L125" s="652">
        <v>9</v>
      </c>
      <c r="M125" s="654"/>
      <c r="N125" s="471">
        <v>8.5</v>
      </c>
      <c r="O125" s="471">
        <v>4.5</v>
      </c>
      <c r="P125" s="471"/>
      <c r="Q125" s="471"/>
      <c r="R125" s="471">
        <v>7</v>
      </c>
      <c r="S125" s="652"/>
      <c r="T125" s="654"/>
      <c r="U125" s="471">
        <v>9.5</v>
      </c>
      <c r="V125" s="471"/>
      <c r="W125" s="471">
        <v>10</v>
      </c>
      <c r="X125" s="471">
        <v>9.5</v>
      </c>
      <c r="Y125" s="471">
        <v>9.5</v>
      </c>
      <c r="Z125" s="652"/>
      <c r="AA125" s="654"/>
      <c r="AB125" s="471"/>
      <c r="AC125" s="471"/>
      <c r="AD125" s="471"/>
      <c r="AE125" s="471">
        <v>6.5</v>
      </c>
      <c r="AF125" s="471">
        <v>9</v>
      </c>
      <c r="AG125" s="471">
        <v>10.5</v>
      </c>
      <c r="AH125" s="687">
        <f t="shared" si="36"/>
        <v>160</v>
      </c>
      <c r="AI125" s="700"/>
    </row>
    <row r="126" spans="2:44" ht="16" customHeight="1">
      <c r="B126" s="472" t="s">
        <v>1877</v>
      </c>
      <c r="C126" s="468"/>
      <c r="D126" s="468"/>
      <c r="E126" s="651"/>
      <c r="F126" s="653"/>
      <c r="G126" s="468"/>
      <c r="H126" s="468">
        <v>9.5</v>
      </c>
      <c r="I126" s="468"/>
      <c r="J126" s="468"/>
      <c r="K126" s="468">
        <v>6.5</v>
      </c>
      <c r="L126" s="651"/>
      <c r="M126" s="653"/>
      <c r="N126" s="468"/>
      <c r="O126" s="468"/>
      <c r="P126" s="468">
        <v>8.5</v>
      </c>
      <c r="Q126" s="468"/>
      <c r="R126" s="468">
        <v>12</v>
      </c>
      <c r="S126" s="651">
        <v>10</v>
      </c>
      <c r="T126" s="653">
        <v>9.5</v>
      </c>
      <c r="U126" s="468"/>
      <c r="V126" s="468"/>
      <c r="W126" s="468"/>
      <c r="X126" s="468"/>
      <c r="Y126" s="468"/>
      <c r="Z126" s="651">
        <v>10.5</v>
      </c>
      <c r="AA126" s="653">
        <v>8</v>
      </c>
      <c r="AB126" s="468"/>
      <c r="AC126" s="468"/>
      <c r="AD126" s="468"/>
      <c r="AE126" s="468"/>
      <c r="AF126" s="468">
        <v>6</v>
      </c>
      <c r="AG126" s="468"/>
      <c r="AH126" s="366">
        <f t="shared" si="36"/>
        <v>80.5</v>
      </c>
      <c r="AI126" s="699"/>
    </row>
    <row r="127" spans="2:44" ht="16" customHeight="1">
      <c r="B127" s="473" t="s">
        <v>1874</v>
      </c>
      <c r="C127" s="471"/>
      <c r="D127" s="471"/>
      <c r="E127" s="652"/>
      <c r="F127" s="654"/>
      <c r="G127" s="471"/>
      <c r="H127" s="471"/>
      <c r="I127" s="471"/>
      <c r="J127" s="471"/>
      <c r="K127" s="471"/>
      <c r="L127" s="652"/>
      <c r="M127" s="654"/>
      <c r="N127" s="471"/>
      <c r="O127" s="471"/>
      <c r="P127" s="471"/>
      <c r="Q127" s="471"/>
      <c r="R127" s="471"/>
      <c r="S127" s="652"/>
      <c r="T127" s="654"/>
      <c r="U127" s="471"/>
      <c r="V127" s="471"/>
      <c r="W127" s="471"/>
      <c r="X127" s="471"/>
      <c r="Y127" s="471"/>
      <c r="Z127" s="652"/>
      <c r="AA127" s="654"/>
      <c r="AB127" s="471"/>
      <c r="AC127" s="471"/>
      <c r="AD127" s="471"/>
      <c r="AE127" s="471"/>
      <c r="AF127" s="471"/>
      <c r="AG127" s="471"/>
      <c r="AH127" s="687">
        <f t="shared" si="36"/>
        <v>0</v>
      </c>
      <c r="AI127" s="700"/>
    </row>
    <row r="128" spans="2:44" ht="16" customHeight="1">
      <c r="B128" s="472" t="s">
        <v>1876</v>
      </c>
      <c r="C128" s="468"/>
      <c r="D128" s="468"/>
      <c r="E128" s="651"/>
      <c r="F128" s="653"/>
      <c r="G128" s="468"/>
      <c r="H128" s="468"/>
      <c r="I128" s="468"/>
      <c r="J128" s="468"/>
      <c r="K128" s="468"/>
      <c r="L128" s="651"/>
      <c r="M128" s="653"/>
      <c r="N128" s="468"/>
      <c r="O128" s="468"/>
      <c r="P128" s="468"/>
      <c r="Q128" s="468"/>
      <c r="R128" s="468"/>
      <c r="S128" s="651"/>
      <c r="T128" s="653"/>
      <c r="U128" s="468"/>
      <c r="V128" s="468"/>
      <c r="W128" s="468"/>
      <c r="X128" s="468"/>
      <c r="Y128" s="468"/>
      <c r="Z128" s="651"/>
      <c r="AA128" s="653"/>
      <c r="AB128" s="468">
        <v>7.5</v>
      </c>
      <c r="AC128" s="468">
        <v>7</v>
      </c>
      <c r="AD128" s="468"/>
      <c r="AE128" s="468"/>
      <c r="AF128" s="468"/>
      <c r="AG128" s="468"/>
      <c r="AH128" s="366">
        <f t="shared" si="36"/>
        <v>14.5</v>
      </c>
      <c r="AI128" s="699"/>
    </row>
    <row r="129" spans="2:44" s="272" customFormat="1" ht="3" customHeight="1">
      <c r="B129" s="696"/>
      <c r="C129" s="697"/>
      <c r="D129" s="697"/>
      <c r="E129" s="697"/>
      <c r="F129" s="697"/>
      <c r="G129" s="697"/>
      <c r="H129" s="697"/>
      <c r="I129" s="697"/>
      <c r="J129" s="697"/>
      <c r="K129" s="697"/>
      <c r="L129" s="697"/>
      <c r="M129" s="697"/>
      <c r="N129" s="697"/>
      <c r="O129" s="697"/>
      <c r="P129" s="697"/>
      <c r="Q129" s="697"/>
      <c r="R129" s="697"/>
      <c r="S129" s="697"/>
      <c r="T129" s="697"/>
      <c r="U129" s="697"/>
      <c r="V129" s="697"/>
      <c r="W129" s="697"/>
      <c r="X129" s="697"/>
      <c r="Y129" s="697"/>
      <c r="Z129" s="697"/>
      <c r="AA129" s="697"/>
      <c r="AB129" s="697"/>
      <c r="AC129" s="697"/>
      <c r="AD129" s="697"/>
      <c r="AE129" s="697"/>
      <c r="AF129" s="697"/>
      <c r="AG129" s="697"/>
      <c r="AH129" s="698"/>
      <c r="AI129" s="690"/>
      <c r="AJ129" s="708"/>
      <c r="AK129" s="708"/>
      <c r="AL129" s="708"/>
      <c r="AM129" s="663"/>
      <c r="AN129" s="701"/>
      <c r="AO129" s="663"/>
      <c r="AP129" s="663"/>
      <c r="AQ129" s="663"/>
      <c r="AR129" s="664"/>
    </row>
    <row r="130" spans="2:44" s="272" customFormat="1" ht="20">
      <c r="B130" s="953" t="s">
        <v>1376</v>
      </c>
      <c r="C130" s="953"/>
      <c r="D130" s="953"/>
      <c r="E130" s="953"/>
      <c r="F130" s="953"/>
      <c r="G130" s="953"/>
      <c r="H130" s="953"/>
      <c r="I130" s="953"/>
      <c r="J130" s="953"/>
      <c r="K130" s="953"/>
      <c r="L130" s="953"/>
      <c r="M130" s="953"/>
      <c r="N130" s="953"/>
      <c r="O130" s="953"/>
      <c r="P130" s="953"/>
      <c r="Q130" s="953"/>
      <c r="R130" s="953"/>
      <c r="S130" s="953"/>
      <c r="T130" s="953"/>
      <c r="U130" s="953"/>
      <c r="V130" s="953"/>
      <c r="W130" s="953"/>
      <c r="X130" s="953"/>
      <c r="Y130" s="953"/>
      <c r="Z130" s="953"/>
      <c r="AA130" s="953"/>
      <c r="AB130" s="953"/>
      <c r="AC130" s="953"/>
      <c r="AD130" s="953"/>
      <c r="AE130" s="953"/>
      <c r="AF130" s="953"/>
      <c r="AG130" s="953"/>
      <c r="AH130" s="953"/>
      <c r="AI130" s="690"/>
      <c r="AJ130" s="694"/>
      <c r="AK130" s="694"/>
      <c r="AL130" s="694"/>
      <c r="AM130" s="695"/>
      <c r="AN130" s="701"/>
      <c r="AO130" s="663"/>
      <c r="AP130" s="663"/>
      <c r="AQ130" s="663"/>
      <c r="AR130" s="664"/>
    </row>
    <row r="131" spans="2:44">
      <c r="B131" s="706"/>
      <c r="C131" s="704">
        <v>1</v>
      </c>
      <c r="D131" s="367">
        <v>2</v>
      </c>
      <c r="E131" s="367">
        <v>3</v>
      </c>
      <c r="F131" s="367">
        <v>4</v>
      </c>
      <c r="G131" s="367">
        <v>5</v>
      </c>
      <c r="H131" s="367">
        <v>6</v>
      </c>
      <c r="I131" s="684">
        <v>7</v>
      </c>
      <c r="J131" s="704">
        <v>8</v>
      </c>
      <c r="K131" s="367">
        <v>9</v>
      </c>
      <c r="L131" s="367">
        <v>10</v>
      </c>
      <c r="M131" s="367">
        <v>11</v>
      </c>
      <c r="N131" s="367">
        <v>12</v>
      </c>
      <c r="O131" s="367">
        <v>13</v>
      </c>
      <c r="P131" s="684">
        <v>14</v>
      </c>
      <c r="Q131" s="704">
        <v>15</v>
      </c>
      <c r="R131" s="367">
        <v>16</v>
      </c>
      <c r="S131" s="367">
        <v>17</v>
      </c>
      <c r="T131" s="367">
        <v>18</v>
      </c>
      <c r="U131" s="367">
        <v>19</v>
      </c>
      <c r="V131" s="367">
        <v>20</v>
      </c>
      <c r="W131" s="684">
        <v>21</v>
      </c>
      <c r="X131" s="704">
        <v>22</v>
      </c>
      <c r="Y131" s="367">
        <v>23</v>
      </c>
      <c r="Z131" s="367">
        <v>24</v>
      </c>
      <c r="AA131" s="367">
        <v>25</v>
      </c>
      <c r="AB131" s="367">
        <v>26</v>
      </c>
      <c r="AC131" s="367">
        <v>27</v>
      </c>
      <c r="AD131" s="684">
        <v>28</v>
      </c>
      <c r="AE131" s="704">
        <v>29</v>
      </c>
      <c r="AF131" s="367">
        <v>30</v>
      </c>
      <c r="AG131" s="367">
        <v>31</v>
      </c>
      <c r="AH131" s="367" t="s">
        <v>116</v>
      </c>
      <c r="AI131" s="666" t="s">
        <v>292</v>
      </c>
      <c r="AJ131" s="717" t="s">
        <v>27</v>
      </c>
      <c r="AK131" s="718" t="s">
        <v>1909</v>
      </c>
      <c r="AL131" s="719" t="s">
        <v>1355</v>
      </c>
      <c r="AM131" s="695"/>
    </row>
    <row r="132" spans="2:44" ht="16" customHeight="1">
      <c r="B132" s="657" t="s">
        <v>1354</v>
      </c>
      <c r="C132" s="653">
        <v>8</v>
      </c>
      <c r="D132" s="468">
        <v>7.5</v>
      </c>
      <c r="E132" s="468">
        <v>8</v>
      </c>
      <c r="F132" s="468">
        <v>9</v>
      </c>
      <c r="G132" s="468">
        <v>9</v>
      </c>
      <c r="H132" s="468" t="s">
        <v>27</v>
      </c>
      <c r="I132" s="651" t="s">
        <v>27</v>
      </c>
      <c r="J132" s="653">
        <v>8</v>
      </c>
      <c r="K132" s="468">
        <v>8</v>
      </c>
      <c r="L132" s="468">
        <v>8</v>
      </c>
      <c r="M132" s="468">
        <v>8</v>
      </c>
      <c r="N132" s="468">
        <v>8</v>
      </c>
      <c r="O132" s="468" t="s">
        <v>27</v>
      </c>
      <c r="P132" s="651" t="s">
        <v>27</v>
      </c>
      <c r="Q132" s="653">
        <v>8</v>
      </c>
      <c r="R132" s="468">
        <v>8</v>
      </c>
      <c r="S132" s="468">
        <v>8</v>
      </c>
      <c r="T132" s="468">
        <v>7.5</v>
      </c>
      <c r="U132" s="468">
        <v>8</v>
      </c>
      <c r="V132" s="468">
        <v>3</v>
      </c>
      <c r="W132" s="651" t="s">
        <v>27</v>
      </c>
      <c r="X132" s="653">
        <v>8</v>
      </c>
      <c r="Y132" s="468">
        <v>8</v>
      </c>
      <c r="Z132" s="468">
        <v>8</v>
      </c>
      <c r="AA132" s="468">
        <v>7.5</v>
      </c>
      <c r="AB132" s="468">
        <v>7.5</v>
      </c>
      <c r="AC132" s="468" t="s">
        <v>27</v>
      </c>
      <c r="AD132" s="651" t="s">
        <v>27</v>
      </c>
      <c r="AE132" s="653">
        <v>8</v>
      </c>
      <c r="AF132" s="468">
        <v>8</v>
      </c>
      <c r="AG132" s="688" t="s">
        <v>1366</v>
      </c>
      <c r="AH132" s="366">
        <f>SUM(C132:AG132)</f>
        <v>179</v>
      </c>
      <c r="AI132" s="699"/>
      <c r="AJ132" s="708">
        <f>COUNTIF(C132:AG132,"R")</f>
        <v>7</v>
      </c>
      <c r="AK132" s="708">
        <f>COUNTIF(C132:AG132,"Z")</f>
        <v>0</v>
      </c>
      <c r="AL132" s="708">
        <f>COUNTIF(C132:AG132,"FE")</f>
        <v>0</v>
      </c>
      <c r="AM132" s="665"/>
    </row>
    <row r="133" spans="2:44" ht="16" customHeight="1">
      <c r="B133" s="658" t="s">
        <v>1357</v>
      </c>
      <c r="C133" s="654" t="s">
        <v>27</v>
      </c>
      <c r="D133" s="612" t="s">
        <v>27</v>
      </c>
      <c r="E133" s="471">
        <v>9</v>
      </c>
      <c r="F133" s="471">
        <v>9</v>
      </c>
      <c r="G133" s="471">
        <v>9</v>
      </c>
      <c r="H133" s="471">
        <v>9</v>
      </c>
      <c r="I133" s="652">
        <v>10</v>
      </c>
      <c r="J133" s="654" t="s">
        <v>27</v>
      </c>
      <c r="K133" s="471">
        <v>9</v>
      </c>
      <c r="L133" s="471" t="s">
        <v>27</v>
      </c>
      <c r="M133" s="471">
        <v>9</v>
      </c>
      <c r="N133" s="471">
        <v>9</v>
      </c>
      <c r="O133" s="471">
        <v>9</v>
      </c>
      <c r="P133" s="652">
        <v>9</v>
      </c>
      <c r="Q133" s="654" t="s">
        <v>27</v>
      </c>
      <c r="R133" s="471">
        <v>9</v>
      </c>
      <c r="S133" s="471" t="s">
        <v>27</v>
      </c>
      <c r="T133" s="471">
        <v>9</v>
      </c>
      <c r="U133" s="471">
        <v>9</v>
      </c>
      <c r="V133" s="471">
        <v>9</v>
      </c>
      <c r="W133" s="652">
        <v>9</v>
      </c>
      <c r="X133" s="654" t="s">
        <v>27</v>
      </c>
      <c r="Y133" s="471" t="s">
        <v>27</v>
      </c>
      <c r="Z133" s="471" t="s">
        <v>1355</v>
      </c>
      <c r="AA133" s="471" t="s">
        <v>1355</v>
      </c>
      <c r="AB133" s="471" t="s">
        <v>1355</v>
      </c>
      <c r="AC133" s="471" t="s">
        <v>1355</v>
      </c>
      <c r="AD133" s="652" t="s">
        <v>1355</v>
      </c>
      <c r="AE133" s="654" t="s">
        <v>27</v>
      </c>
      <c r="AF133" s="471">
        <v>9</v>
      </c>
      <c r="AG133" s="688" t="s">
        <v>1366</v>
      </c>
      <c r="AH133" s="687">
        <f>SUM(C133:AG133)</f>
        <v>145</v>
      </c>
      <c r="AI133" s="700"/>
      <c r="AJ133" s="708">
        <f t="shared" ref="AJ133:AJ137" si="39">COUNTIF(C133:AG133,"R")</f>
        <v>9</v>
      </c>
      <c r="AK133" s="708">
        <f t="shared" ref="AK133:AK137" si="40">COUNTIF(C133:AG133,"Z")</f>
        <v>0</v>
      </c>
      <c r="AL133" s="708">
        <f t="shared" ref="AL133:AL137" si="41">COUNTIF(C133:AG133,"FE")</f>
        <v>5</v>
      </c>
      <c r="AM133" s="665"/>
    </row>
    <row r="134" spans="2:44" ht="16" customHeight="1">
      <c r="B134" s="657" t="s">
        <v>1869</v>
      </c>
      <c r="C134" s="653" t="s">
        <v>27</v>
      </c>
      <c r="D134" s="468">
        <v>9</v>
      </c>
      <c r="E134" s="468" t="s">
        <v>27</v>
      </c>
      <c r="F134" s="468">
        <v>9</v>
      </c>
      <c r="G134" s="468">
        <v>9</v>
      </c>
      <c r="H134" s="468">
        <v>9</v>
      </c>
      <c r="I134" s="651">
        <v>10</v>
      </c>
      <c r="J134" s="646" t="s">
        <v>27</v>
      </c>
      <c r="K134" s="468">
        <v>9</v>
      </c>
      <c r="L134" s="468" t="s">
        <v>27</v>
      </c>
      <c r="M134" s="468">
        <v>9</v>
      </c>
      <c r="N134" s="468">
        <v>9</v>
      </c>
      <c r="O134" s="468">
        <v>9</v>
      </c>
      <c r="P134" s="651">
        <v>9</v>
      </c>
      <c r="Q134" s="653" t="s">
        <v>27</v>
      </c>
      <c r="R134" s="468" t="s">
        <v>27</v>
      </c>
      <c r="S134" s="468">
        <v>9</v>
      </c>
      <c r="T134" s="468">
        <v>9</v>
      </c>
      <c r="U134" s="468">
        <v>9</v>
      </c>
      <c r="V134" s="468">
        <v>9</v>
      </c>
      <c r="W134" s="651">
        <v>9</v>
      </c>
      <c r="X134" s="653" t="s">
        <v>27</v>
      </c>
      <c r="Y134" s="468">
        <v>9</v>
      </c>
      <c r="Z134" s="468" t="s">
        <v>27</v>
      </c>
      <c r="AA134" s="468">
        <v>9</v>
      </c>
      <c r="AB134" s="468">
        <v>9</v>
      </c>
      <c r="AC134" s="468">
        <v>9</v>
      </c>
      <c r="AD134" s="651">
        <v>9</v>
      </c>
      <c r="AE134" s="653" t="s">
        <v>27</v>
      </c>
      <c r="AF134" s="468" t="s">
        <v>27</v>
      </c>
      <c r="AG134" s="688" t="s">
        <v>1366</v>
      </c>
      <c r="AH134" s="366">
        <f t="shared" ref="AH134:AH144" si="42">SUM(C134:AG134)</f>
        <v>181</v>
      </c>
      <c r="AI134" s="699"/>
      <c r="AJ134" s="708">
        <f t="shared" si="39"/>
        <v>10</v>
      </c>
      <c r="AK134" s="708">
        <f t="shared" si="40"/>
        <v>0</v>
      </c>
      <c r="AL134" s="708">
        <f t="shared" si="41"/>
        <v>0</v>
      </c>
      <c r="AM134" s="665"/>
    </row>
    <row r="135" spans="2:44" ht="16" customHeight="1">
      <c r="B135" s="658" t="s">
        <v>1358</v>
      </c>
      <c r="C135" s="654" t="s">
        <v>27</v>
      </c>
      <c r="D135" s="471">
        <v>10</v>
      </c>
      <c r="E135" s="471">
        <v>10.5</v>
      </c>
      <c r="F135" s="613" t="s">
        <v>27</v>
      </c>
      <c r="G135" s="471">
        <v>11.5</v>
      </c>
      <c r="H135" s="471">
        <v>12</v>
      </c>
      <c r="I135" s="652">
        <v>10</v>
      </c>
      <c r="J135" s="654" t="s">
        <v>27</v>
      </c>
      <c r="K135" s="471">
        <v>10</v>
      </c>
      <c r="L135" s="471">
        <v>10</v>
      </c>
      <c r="M135" s="471">
        <v>10</v>
      </c>
      <c r="N135" s="471">
        <v>12</v>
      </c>
      <c r="O135" s="471">
        <v>11</v>
      </c>
      <c r="P135" s="652" t="s">
        <v>27</v>
      </c>
      <c r="Q135" s="654" t="s">
        <v>27</v>
      </c>
      <c r="R135" s="471">
        <v>9</v>
      </c>
      <c r="S135" s="471" t="s">
        <v>27</v>
      </c>
      <c r="T135" s="471">
        <v>9</v>
      </c>
      <c r="U135" s="471">
        <v>12</v>
      </c>
      <c r="V135" s="471">
        <v>11</v>
      </c>
      <c r="W135" s="652">
        <v>9.5</v>
      </c>
      <c r="X135" s="654" t="s">
        <v>27</v>
      </c>
      <c r="Y135" s="471">
        <v>9</v>
      </c>
      <c r="Z135" s="471" t="s">
        <v>27</v>
      </c>
      <c r="AA135" s="471">
        <v>10.5</v>
      </c>
      <c r="AB135" s="471">
        <v>6.5</v>
      </c>
      <c r="AC135" s="471">
        <v>11</v>
      </c>
      <c r="AD135" s="652">
        <v>10</v>
      </c>
      <c r="AE135" s="654" t="s">
        <v>27</v>
      </c>
      <c r="AF135" s="471">
        <v>9.5</v>
      </c>
      <c r="AG135" s="688" t="s">
        <v>1366</v>
      </c>
      <c r="AH135" s="687">
        <f t="shared" si="42"/>
        <v>214</v>
      </c>
      <c r="AI135" s="700"/>
      <c r="AJ135" s="708">
        <f t="shared" si="39"/>
        <v>9</v>
      </c>
      <c r="AK135" s="708">
        <f t="shared" si="40"/>
        <v>0</v>
      </c>
      <c r="AL135" s="708">
        <f t="shared" si="41"/>
        <v>0</v>
      </c>
      <c r="AM135" s="665"/>
    </row>
    <row r="136" spans="2:44" ht="16" customHeight="1">
      <c r="B136" s="657" t="s">
        <v>1359</v>
      </c>
      <c r="C136" s="653">
        <v>10</v>
      </c>
      <c r="D136" s="611">
        <v>10</v>
      </c>
      <c r="E136" s="468" t="s">
        <v>27</v>
      </c>
      <c r="F136" s="468" t="s">
        <v>27</v>
      </c>
      <c r="G136" s="468">
        <v>11.5</v>
      </c>
      <c r="H136" s="468">
        <v>6</v>
      </c>
      <c r="I136" s="651">
        <v>10</v>
      </c>
      <c r="J136" s="653" t="s">
        <v>27</v>
      </c>
      <c r="K136" s="470" t="s">
        <v>27</v>
      </c>
      <c r="L136" s="468">
        <v>10</v>
      </c>
      <c r="M136" s="468">
        <v>10</v>
      </c>
      <c r="N136" s="468">
        <v>12</v>
      </c>
      <c r="O136" s="611">
        <v>11</v>
      </c>
      <c r="P136" s="651">
        <v>9</v>
      </c>
      <c r="Q136" s="653">
        <v>11</v>
      </c>
      <c r="R136" s="468">
        <v>9</v>
      </c>
      <c r="S136" s="468" t="s">
        <v>27</v>
      </c>
      <c r="T136" s="468" t="s">
        <v>27</v>
      </c>
      <c r="U136" s="468">
        <v>12</v>
      </c>
      <c r="V136" s="611">
        <v>9</v>
      </c>
      <c r="W136" s="651" t="s">
        <v>27</v>
      </c>
      <c r="X136" s="653">
        <v>9.5</v>
      </c>
      <c r="Y136" s="468" t="s">
        <v>27</v>
      </c>
      <c r="Z136" s="468" t="s">
        <v>27</v>
      </c>
      <c r="AA136" s="468" t="s">
        <v>27</v>
      </c>
      <c r="AB136" s="468">
        <v>11.5</v>
      </c>
      <c r="AC136" s="468">
        <v>11</v>
      </c>
      <c r="AD136" s="651">
        <v>10</v>
      </c>
      <c r="AE136" s="653">
        <v>9.5</v>
      </c>
      <c r="AF136" s="468" t="s">
        <v>27</v>
      </c>
      <c r="AG136" s="688" t="s">
        <v>1366</v>
      </c>
      <c r="AH136" s="366">
        <f t="shared" si="42"/>
        <v>192</v>
      </c>
      <c r="AI136" s="699"/>
      <c r="AJ136" s="708">
        <f t="shared" si="39"/>
        <v>11</v>
      </c>
      <c r="AK136" s="708">
        <f t="shared" si="40"/>
        <v>0</v>
      </c>
      <c r="AL136" s="708">
        <f t="shared" si="41"/>
        <v>0</v>
      </c>
      <c r="AM136" s="665"/>
    </row>
    <row r="137" spans="2:44" ht="16" customHeight="1">
      <c r="B137" s="658" t="s">
        <v>1360</v>
      </c>
      <c r="C137" s="654" t="s">
        <v>27</v>
      </c>
      <c r="D137" s="471" t="s">
        <v>27</v>
      </c>
      <c r="E137" s="471">
        <v>10.5</v>
      </c>
      <c r="F137" s="471">
        <v>10.5</v>
      </c>
      <c r="G137" s="808" t="s">
        <v>1356</v>
      </c>
      <c r="H137" s="808" t="s">
        <v>1356</v>
      </c>
      <c r="I137" s="809" t="s">
        <v>1356</v>
      </c>
      <c r="J137" s="654">
        <v>10</v>
      </c>
      <c r="K137" s="471">
        <v>10</v>
      </c>
      <c r="L137" s="471" t="s">
        <v>27</v>
      </c>
      <c r="M137" s="471" t="s">
        <v>27</v>
      </c>
      <c r="N137" s="471">
        <v>12</v>
      </c>
      <c r="O137" s="471">
        <v>11</v>
      </c>
      <c r="P137" s="652">
        <v>9</v>
      </c>
      <c r="Q137" s="654" t="s">
        <v>27</v>
      </c>
      <c r="R137" s="471" t="s">
        <v>27</v>
      </c>
      <c r="S137" s="471">
        <v>11</v>
      </c>
      <c r="T137" s="471">
        <v>9</v>
      </c>
      <c r="U137" s="471">
        <v>12</v>
      </c>
      <c r="V137" s="471">
        <v>11</v>
      </c>
      <c r="W137" s="652">
        <v>9.5</v>
      </c>
      <c r="X137" s="654" t="s">
        <v>27</v>
      </c>
      <c r="Y137" s="471" t="s">
        <v>27</v>
      </c>
      <c r="Z137" s="471">
        <v>9.5</v>
      </c>
      <c r="AA137" s="471">
        <v>10.5</v>
      </c>
      <c r="AB137" s="471">
        <v>11.5</v>
      </c>
      <c r="AC137" s="471">
        <v>11</v>
      </c>
      <c r="AD137" s="652" t="s">
        <v>27</v>
      </c>
      <c r="AE137" s="654">
        <v>9.5</v>
      </c>
      <c r="AF137" s="471" t="s">
        <v>27</v>
      </c>
      <c r="AG137" s="688" t="s">
        <v>1366</v>
      </c>
      <c r="AH137" s="687">
        <f t="shared" si="42"/>
        <v>177.5</v>
      </c>
      <c r="AI137" s="700"/>
      <c r="AJ137" s="708">
        <f t="shared" si="39"/>
        <v>10</v>
      </c>
      <c r="AK137" s="708">
        <f t="shared" si="40"/>
        <v>0</v>
      </c>
      <c r="AL137" s="708">
        <f t="shared" si="41"/>
        <v>0</v>
      </c>
      <c r="AM137" s="665"/>
    </row>
    <row r="138" spans="2:44" ht="16" customHeight="1">
      <c r="B138" s="657" t="s">
        <v>1363</v>
      </c>
      <c r="C138" s="653"/>
      <c r="D138" s="468"/>
      <c r="E138" s="468"/>
      <c r="F138" s="468"/>
      <c r="G138" s="468"/>
      <c r="H138" s="468"/>
      <c r="I138" s="810" t="s">
        <v>1356</v>
      </c>
      <c r="J138" s="653"/>
      <c r="K138" s="468"/>
      <c r="L138" s="468"/>
      <c r="M138" s="468"/>
      <c r="N138" s="468">
        <v>10</v>
      </c>
      <c r="O138" s="468">
        <v>9</v>
      </c>
      <c r="P138" s="651" t="s">
        <v>27</v>
      </c>
      <c r="Q138" s="653">
        <v>11</v>
      </c>
      <c r="R138" s="468" t="s">
        <v>27</v>
      </c>
      <c r="S138" s="468">
        <v>11</v>
      </c>
      <c r="T138" s="468" t="s">
        <v>27</v>
      </c>
      <c r="U138" s="468">
        <v>10</v>
      </c>
      <c r="V138" s="468">
        <v>11</v>
      </c>
      <c r="W138" s="651">
        <v>9.5</v>
      </c>
      <c r="X138" s="653" t="s">
        <v>27</v>
      </c>
      <c r="Y138" s="468">
        <v>9</v>
      </c>
      <c r="Z138" s="468">
        <v>9.5</v>
      </c>
      <c r="AA138" s="468" t="s">
        <v>27</v>
      </c>
      <c r="AB138" s="468">
        <v>9.5</v>
      </c>
      <c r="AC138" s="468">
        <v>11</v>
      </c>
      <c r="AD138" s="651">
        <v>10</v>
      </c>
      <c r="AE138" s="653" t="s">
        <v>27</v>
      </c>
      <c r="AF138" s="468">
        <v>9.5</v>
      </c>
      <c r="AG138" s="688" t="s">
        <v>1366</v>
      </c>
      <c r="AH138" s="366">
        <f t="shared" si="42"/>
        <v>130</v>
      </c>
      <c r="AI138" s="699"/>
      <c r="AJ138" s="708">
        <f t="shared" ref="AJ138" si="43">COUNTIF(C138:AG138,"R")</f>
        <v>6</v>
      </c>
      <c r="AK138" s="708">
        <f t="shared" ref="AK138" si="44">COUNTIF(C138:AG138,"Z")</f>
        <v>0</v>
      </c>
      <c r="AL138" s="708">
        <f t="shared" ref="AL138" si="45">COUNTIF(C138:AG138,"FE")</f>
        <v>0</v>
      </c>
    </row>
    <row r="139" spans="2:44" ht="16" customHeight="1">
      <c r="B139" s="473"/>
      <c r="C139" s="654"/>
      <c r="D139" s="471"/>
      <c r="E139" s="471"/>
      <c r="F139" s="471"/>
      <c r="G139" s="471"/>
      <c r="H139" s="471"/>
      <c r="I139" s="652"/>
      <c r="J139" s="654"/>
      <c r="K139" s="471"/>
      <c r="L139" s="471"/>
      <c r="M139" s="471"/>
      <c r="N139" s="471"/>
      <c r="O139" s="471"/>
      <c r="P139" s="652"/>
      <c r="Q139" s="654"/>
      <c r="R139" s="471"/>
      <c r="S139" s="471"/>
      <c r="T139" s="471"/>
      <c r="U139" s="471"/>
      <c r="V139" s="471"/>
      <c r="W139" s="652"/>
      <c r="X139" s="654"/>
      <c r="Y139" s="471"/>
      <c r="Z139" s="471"/>
      <c r="AA139" s="471"/>
      <c r="AB139" s="471"/>
      <c r="AC139" s="471"/>
      <c r="AD139" s="652"/>
      <c r="AE139" s="654"/>
      <c r="AF139" s="471"/>
      <c r="AG139" s="688" t="s">
        <v>1366</v>
      </c>
      <c r="AH139" s="687">
        <f t="shared" si="42"/>
        <v>0</v>
      </c>
      <c r="AI139" s="700"/>
    </row>
    <row r="140" spans="2:44" ht="16" customHeight="1">
      <c r="B140" s="472" t="s">
        <v>1455</v>
      </c>
      <c r="C140" s="653"/>
      <c r="D140" s="468"/>
      <c r="E140" s="468"/>
      <c r="F140" s="468"/>
      <c r="G140" s="468">
        <v>6.5</v>
      </c>
      <c r="H140" s="468">
        <v>4</v>
      </c>
      <c r="I140" s="810" t="s">
        <v>1356</v>
      </c>
      <c r="J140" s="653"/>
      <c r="K140" s="468"/>
      <c r="L140" s="468"/>
      <c r="M140" s="468"/>
      <c r="N140" s="468"/>
      <c r="O140" s="468"/>
      <c r="P140" s="651"/>
      <c r="Q140" s="653"/>
      <c r="R140" s="468"/>
      <c r="S140" s="468"/>
      <c r="T140" s="468"/>
      <c r="U140" s="468"/>
      <c r="V140" s="468"/>
      <c r="W140" s="651"/>
      <c r="X140" s="653"/>
      <c r="Y140" s="468"/>
      <c r="Z140" s="468"/>
      <c r="AA140" s="468"/>
      <c r="AB140" s="468"/>
      <c r="AC140" s="468"/>
      <c r="AD140" s="651"/>
      <c r="AE140" s="653"/>
      <c r="AF140" s="468"/>
      <c r="AG140" s="688" t="s">
        <v>1366</v>
      </c>
      <c r="AH140" s="366">
        <f t="shared" si="42"/>
        <v>10.5</v>
      </c>
      <c r="AI140" s="699"/>
    </row>
    <row r="141" spans="2:44" ht="16" customHeight="1">
      <c r="B141" s="473" t="s">
        <v>1875</v>
      </c>
      <c r="C141" s="654"/>
      <c r="D141" s="471"/>
      <c r="E141" s="471"/>
      <c r="F141" s="471">
        <v>8</v>
      </c>
      <c r="G141" s="471">
        <v>9.5</v>
      </c>
      <c r="H141" s="471">
        <v>12</v>
      </c>
      <c r="I141" s="652">
        <v>10</v>
      </c>
      <c r="J141" s="654"/>
      <c r="K141" s="471"/>
      <c r="L141" s="471"/>
      <c r="M141" s="471"/>
      <c r="N141" s="471"/>
      <c r="O141" s="471"/>
      <c r="P141" s="652"/>
      <c r="Q141" s="654"/>
      <c r="R141" s="471"/>
      <c r="S141" s="471"/>
      <c r="T141" s="471"/>
      <c r="U141" s="471"/>
      <c r="V141" s="471"/>
      <c r="W141" s="652"/>
      <c r="X141" s="654"/>
      <c r="Y141" s="471"/>
      <c r="Z141" s="471"/>
      <c r="AA141" s="471"/>
      <c r="AB141" s="471"/>
      <c r="AC141" s="471"/>
      <c r="AD141" s="652"/>
      <c r="AE141" s="654"/>
      <c r="AF141" s="471"/>
      <c r="AG141" s="688" t="s">
        <v>1366</v>
      </c>
      <c r="AH141" s="687">
        <f t="shared" si="42"/>
        <v>39.5</v>
      </c>
      <c r="AI141" s="700"/>
    </row>
    <row r="142" spans="2:44" ht="16" customHeight="1">
      <c r="B142" s="472" t="s">
        <v>1877</v>
      </c>
      <c r="C142" s="653"/>
      <c r="D142" s="468">
        <v>5.5</v>
      </c>
      <c r="E142" s="468"/>
      <c r="F142" s="468">
        <v>8.5</v>
      </c>
      <c r="G142" s="468"/>
      <c r="H142" s="468">
        <v>9</v>
      </c>
      <c r="I142" s="651"/>
      <c r="J142" s="653"/>
      <c r="K142" s="468"/>
      <c r="L142" s="468"/>
      <c r="M142" s="468"/>
      <c r="N142" s="468"/>
      <c r="O142" s="468"/>
      <c r="P142" s="651">
        <v>9</v>
      </c>
      <c r="Q142" s="653"/>
      <c r="R142" s="468"/>
      <c r="S142" s="468"/>
      <c r="T142" s="468"/>
      <c r="U142" s="468"/>
      <c r="V142" s="468">
        <v>6</v>
      </c>
      <c r="W142" s="651"/>
      <c r="X142" s="653"/>
      <c r="Y142" s="468">
        <v>9</v>
      </c>
      <c r="Z142" s="468">
        <v>9</v>
      </c>
      <c r="AA142" s="468">
        <v>7</v>
      </c>
      <c r="AB142" s="468">
        <v>7</v>
      </c>
      <c r="AC142" s="468"/>
      <c r="AD142" s="651"/>
      <c r="AE142" s="653"/>
      <c r="AF142" s="468"/>
      <c r="AG142" s="688" t="s">
        <v>1366</v>
      </c>
      <c r="AH142" s="366">
        <f t="shared" si="42"/>
        <v>70</v>
      </c>
      <c r="AI142" s="699"/>
    </row>
    <row r="143" spans="2:44" ht="16" customHeight="1">
      <c r="B143" s="473" t="s">
        <v>1989</v>
      </c>
      <c r="C143" s="654"/>
      <c r="D143" s="471"/>
      <c r="E143" s="471">
        <v>6</v>
      </c>
      <c r="F143" s="471"/>
      <c r="G143" s="471">
        <v>6.5</v>
      </c>
      <c r="H143" s="471">
        <v>5</v>
      </c>
      <c r="I143" s="652"/>
      <c r="J143" s="654"/>
      <c r="K143" s="471"/>
      <c r="L143" s="471"/>
      <c r="M143" s="471"/>
      <c r="N143" s="471"/>
      <c r="O143" s="471">
        <v>6</v>
      </c>
      <c r="P143" s="652">
        <v>8.5</v>
      </c>
      <c r="Q143" s="654"/>
      <c r="R143" s="471"/>
      <c r="S143" s="471"/>
      <c r="T143" s="471"/>
      <c r="U143" s="471"/>
      <c r="V143" s="471"/>
      <c r="W143" s="652"/>
      <c r="X143" s="654"/>
      <c r="Y143" s="471"/>
      <c r="Z143" s="471"/>
      <c r="AA143" s="471"/>
      <c r="AB143" s="471"/>
      <c r="AC143" s="471"/>
      <c r="AD143" s="652"/>
      <c r="AE143" s="654"/>
      <c r="AF143" s="471"/>
      <c r="AG143" s="688" t="s">
        <v>1366</v>
      </c>
      <c r="AH143" s="687">
        <f t="shared" ref="AH143" si="46">SUM(C143:AG143)</f>
        <v>32</v>
      </c>
      <c r="AI143" s="700"/>
    </row>
    <row r="144" spans="2:44" ht="16" customHeight="1">
      <c r="B144" s="472"/>
      <c r="C144" s="653"/>
      <c r="D144" s="468"/>
      <c r="E144" s="468"/>
      <c r="F144" s="468"/>
      <c r="G144" s="468"/>
      <c r="H144" s="468"/>
      <c r="I144" s="651"/>
      <c r="J144" s="653"/>
      <c r="K144" s="468"/>
      <c r="L144" s="468"/>
      <c r="M144" s="468"/>
      <c r="N144" s="468"/>
      <c r="O144" s="468"/>
      <c r="P144" s="651"/>
      <c r="Q144" s="653"/>
      <c r="R144" s="468"/>
      <c r="S144" s="468"/>
      <c r="T144" s="468"/>
      <c r="U144" s="468"/>
      <c r="V144" s="468"/>
      <c r="W144" s="651"/>
      <c r="X144" s="653"/>
      <c r="Y144" s="468"/>
      <c r="Z144" s="468"/>
      <c r="AA144" s="468"/>
      <c r="AB144" s="468"/>
      <c r="AC144" s="468"/>
      <c r="AD144" s="651"/>
      <c r="AE144" s="653"/>
      <c r="AF144" s="468"/>
      <c r="AG144" s="688" t="s">
        <v>1366</v>
      </c>
      <c r="AH144" s="366">
        <f t="shared" si="42"/>
        <v>0</v>
      </c>
      <c r="AI144" s="699"/>
    </row>
    <row r="145" spans="2:44" s="272" customFormat="1" ht="23" customHeight="1">
      <c r="B145" s="668"/>
      <c r="C145" s="234"/>
      <c r="D145" s="234"/>
      <c r="E145" s="234"/>
      <c r="F145" s="234"/>
      <c r="G145" s="234"/>
      <c r="H145" s="234"/>
      <c r="I145" s="234"/>
      <c r="J145" s="234"/>
      <c r="K145" s="234"/>
      <c r="L145" s="234"/>
      <c r="M145" s="234"/>
      <c r="N145" s="234"/>
      <c r="O145" s="234"/>
      <c r="P145" s="234"/>
      <c r="Q145" s="234"/>
      <c r="R145" s="234"/>
      <c r="S145" s="234"/>
      <c r="T145" s="234"/>
      <c r="U145" s="234"/>
      <c r="V145" s="234"/>
      <c r="W145" s="234"/>
      <c r="X145" s="234"/>
      <c r="Y145" s="234"/>
      <c r="Z145" s="234"/>
      <c r="AA145" s="234"/>
      <c r="AB145" s="234"/>
      <c r="AC145" s="234"/>
      <c r="AD145" s="234"/>
      <c r="AE145" s="234"/>
      <c r="AF145" s="234"/>
      <c r="AG145" s="234"/>
      <c r="AH145" s="721"/>
      <c r="AI145" s="690"/>
      <c r="AJ145" s="708"/>
      <c r="AK145" s="708"/>
      <c r="AL145" s="708"/>
      <c r="AM145" s="663"/>
      <c r="AN145" s="701"/>
      <c r="AO145" s="663"/>
      <c r="AP145" s="663"/>
      <c r="AQ145" s="663"/>
      <c r="AR145" s="664"/>
    </row>
    <row r="146" spans="2:44" s="272" customFormat="1" ht="20">
      <c r="B146" s="953" t="s">
        <v>1377</v>
      </c>
      <c r="C146" s="953"/>
      <c r="D146" s="953"/>
      <c r="E146" s="953"/>
      <c r="F146" s="953"/>
      <c r="G146" s="953"/>
      <c r="H146" s="953"/>
      <c r="I146" s="953"/>
      <c r="J146" s="953"/>
      <c r="K146" s="953"/>
      <c r="L146" s="953"/>
      <c r="M146" s="953"/>
      <c r="N146" s="953"/>
      <c r="O146" s="953"/>
      <c r="P146" s="953"/>
      <c r="Q146" s="953"/>
      <c r="R146" s="953"/>
      <c r="S146" s="953"/>
      <c r="T146" s="953"/>
      <c r="U146" s="953"/>
      <c r="V146" s="953"/>
      <c r="W146" s="953"/>
      <c r="X146" s="953"/>
      <c r="Y146" s="953"/>
      <c r="Z146" s="953"/>
      <c r="AA146" s="953"/>
      <c r="AB146" s="953"/>
      <c r="AC146" s="953"/>
      <c r="AD146" s="953"/>
      <c r="AE146" s="953"/>
      <c r="AF146" s="953"/>
      <c r="AG146" s="953"/>
      <c r="AH146" s="953"/>
      <c r="AI146" s="690"/>
      <c r="AJ146" s="694"/>
      <c r="AK146" s="694"/>
      <c r="AL146" s="694"/>
      <c r="AM146" s="695"/>
      <c r="AN146" s="701"/>
      <c r="AO146" s="663"/>
      <c r="AP146" s="663"/>
      <c r="AQ146" s="663"/>
      <c r="AR146" s="664"/>
    </row>
    <row r="147" spans="2:44">
      <c r="B147" s="669"/>
      <c r="C147" s="367">
        <v>1</v>
      </c>
      <c r="D147" s="367">
        <v>2</v>
      </c>
      <c r="E147" s="367">
        <v>3</v>
      </c>
      <c r="F147" s="367">
        <v>4</v>
      </c>
      <c r="G147" s="684">
        <v>5</v>
      </c>
      <c r="H147" s="704">
        <v>6</v>
      </c>
      <c r="I147" s="367">
        <v>7</v>
      </c>
      <c r="J147" s="367">
        <v>8</v>
      </c>
      <c r="K147" s="367">
        <v>9</v>
      </c>
      <c r="L147" s="367">
        <v>10</v>
      </c>
      <c r="M147" s="367">
        <v>11</v>
      </c>
      <c r="N147" s="684">
        <v>12</v>
      </c>
      <c r="O147" s="704">
        <v>13</v>
      </c>
      <c r="P147" s="367">
        <v>14</v>
      </c>
      <c r="Q147" s="367">
        <v>15</v>
      </c>
      <c r="R147" s="367">
        <v>16</v>
      </c>
      <c r="S147" s="367">
        <v>17</v>
      </c>
      <c r="T147" s="367">
        <v>18</v>
      </c>
      <c r="U147" s="684">
        <v>19</v>
      </c>
      <c r="V147" s="704">
        <v>20</v>
      </c>
      <c r="W147" s="367">
        <v>21</v>
      </c>
      <c r="X147" s="367">
        <v>22</v>
      </c>
      <c r="Y147" s="367">
        <v>23</v>
      </c>
      <c r="Z147" s="367">
        <v>24</v>
      </c>
      <c r="AA147" s="367">
        <v>25</v>
      </c>
      <c r="AB147" s="684">
        <v>26</v>
      </c>
      <c r="AC147" s="704">
        <v>27</v>
      </c>
      <c r="AD147" s="367">
        <v>28</v>
      </c>
      <c r="AE147" s="367">
        <v>29</v>
      </c>
      <c r="AF147" s="367">
        <v>30</v>
      </c>
      <c r="AG147" s="367">
        <v>31</v>
      </c>
      <c r="AH147" s="367" t="s">
        <v>116</v>
      </c>
      <c r="AI147" s="666" t="s">
        <v>292</v>
      </c>
      <c r="AJ147" s="717" t="s">
        <v>27</v>
      </c>
      <c r="AK147" s="718" t="s">
        <v>1909</v>
      </c>
      <c r="AL147" s="719" t="s">
        <v>1355</v>
      </c>
      <c r="AM147" s="695"/>
    </row>
    <row r="148" spans="2:44" ht="16" customHeight="1">
      <c r="B148" s="657" t="s">
        <v>1354</v>
      </c>
      <c r="C148" s="468">
        <v>7.5</v>
      </c>
      <c r="D148" s="468" t="s">
        <v>1909</v>
      </c>
      <c r="E148" s="468">
        <v>8</v>
      </c>
      <c r="F148" s="468" t="s">
        <v>27</v>
      </c>
      <c r="G148" s="651" t="s">
        <v>27</v>
      </c>
      <c r="H148" s="653">
        <v>8</v>
      </c>
      <c r="I148" s="468">
        <v>7.5</v>
      </c>
      <c r="J148" s="468">
        <v>8</v>
      </c>
      <c r="K148" s="468">
        <v>8</v>
      </c>
      <c r="L148" s="468">
        <v>8</v>
      </c>
      <c r="M148" s="468" t="s">
        <v>27</v>
      </c>
      <c r="N148" s="651" t="s">
        <v>27</v>
      </c>
      <c r="O148" s="653">
        <v>8</v>
      </c>
      <c r="P148" s="468">
        <v>8</v>
      </c>
      <c r="Q148" s="468">
        <v>8</v>
      </c>
      <c r="R148" s="468">
        <v>8</v>
      </c>
      <c r="S148" s="468">
        <v>8</v>
      </c>
      <c r="T148" s="468" t="s">
        <v>27</v>
      </c>
      <c r="U148" s="651" t="s">
        <v>27</v>
      </c>
      <c r="V148" s="653">
        <v>8</v>
      </c>
      <c r="W148" s="468">
        <v>8</v>
      </c>
      <c r="X148" s="468">
        <v>8</v>
      </c>
      <c r="Y148" s="468">
        <v>8</v>
      </c>
      <c r="Z148" s="468">
        <v>8</v>
      </c>
      <c r="AA148" s="468" t="s">
        <v>27</v>
      </c>
      <c r="AB148" s="651">
        <v>9</v>
      </c>
      <c r="AC148" s="653" t="s">
        <v>27</v>
      </c>
      <c r="AD148" s="468">
        <v>8</v>
      </c>
      <c r="AE148" s="468">
        <v>8</v>
      </c>
      <c r="AF148" s="468">
        <v>8</v>
      </c>
      <c r="AG148" s="468">
        <v>8</v>
      </c>
      <c r="AH148" s="366">
        <f>SUM(C148:AG148)</f>
        <v>176</v>
      </c>
      <c r="AI148" s="699"/>
      <c r="AJ148" s="708">
        <f>COUNTIF(C148:AG148,"R")</f>
        <v>8</v>
      </c>
      <c r="AK148" s="708">
        <f>COUNTIF(C148:AG148,"Z")</f>
        <v>1</v>
      </c>
      <c r="AL148" s="708">
        <f>COUNTIF(C148:AG148,"FE")</f>
        <v>0</v>
      </c>
      <c r="AM148" s="665"/>
    </row>
    <row r="149" spans="2:44" ht="16" customHeight="1">
      <c r="B149" s="658" t="s">
        <v>1357</v>
      </c>
      <c r="C149" s="471" t="s">
        <v>27</v>
      </c>
      <c r="D149" s="471">
        <v>9</v>
      </c>
      <c r="E149" s="471">
        <v>9</v>
      </c>
      <c r="F149" s="471">
        <v>9</v>
      </c>
      <c r="G149" s="652">
        <v>9</v>
      </c>
      <c r="H149" s="654" t="s">
        <v>27</v>
      </c>
      <c r="I149" s="471" t="s">
        <v>27</v>
      </c>
      <c r="J149" s="471">
        <v>9</v>
      </c>
      <c r="K149" s="471">
        <v>9</v>
      </c>
      <c r="L149" s="471" t="s">
        <v>1909</v>
      </c>
      <c r="M149" s="471">
        <v>9</v>
      </c>
      <c r="N149" s="652">
        <v>9</v>
      </c>
      <c r="O149" s="654" t="s">
        <v>27</v>
      </c>
      <c r="P149" s="471" t="s">
        <v>27</v>
      </c>
      <c r="Q149" s="471">
        <v>9</v>
      </c>
      <c r="R149" s="471">
        <v>9</v>
      </c>
      <c r="S149" s="471">
        <v>9</v>
      </c>
      <c r="T149" s="471">
        <v>9</v>
      </c>
      <c r="U149" s="652">
        <v>9</v>
      </c>
      <c r="V149" s="654" t="s">
        <v>27</v>
      </c>
      <c r="W149" s="471" t="s">
        <v>27</v>
      </c>
      <c r="X149" s="471">
        <v>9</v>
      </c>
      <c r="Y149" s="471">
        <v>9</v>
      </c>
      <c r="Z149" s="471">
        <v>9</v>
      </c>
      <c r="AA149" s="471">
        <v>9</v>
      </c>
      <c r="AB149" s="652">
        <v>9</v>
      </c>
      <c r="AC149" s="654" t="s">
        <v>27</v>
      </c>
      <c r="AD149" s="471">
        <v>9</v>
      </c>
      <c r="AE149" s="471" t="s">
        <v>27</v>
      </c>
      <c r="AF149" s="471">
        <v>9</v>
      </c>
      <c r="AG149" s="471">
        <v>9</v>
      </c>
      <c r="AH149" s="687">
        <f>SUM(C149:AG149)</f>
        <v>189</v>
      </c>
      <c r="AI149" s="700"/>
      <c r="AJ149" s="708">
        <f t="shared" ref="AJ149:AJ153" si="47">COUNTIF(C149:AG149,"R")</f>
        <v>9</v>
      </c>
      <c r="AK149" s="708">
        <f t="shared" ref="AK149:AK153" si="48">COUNTIF(C149:AG149,"Z")</f>
        <v>1</v>
      </c>
      <c r="AL149" s="708">
        <f t="shared" ref="AL149:AL153" si="49">COUNTIF(C149:AG149,"FE")</f>
        <v>0</v>
      </c>
      <c r="AM149" s="665"/>
    </row>
    <row r="150" spans="2:44" ht="16" customHeight="1">
      <c r="B150" s="657" t="s">
        <v>1869</v>
      </c>
      <c r="C150" s="468">
        <v>9</v>
      </c>
      <c r="D150" s="468">
        <v>9</v>
      </c>
      <c r="E150" s="468">
        <v>9</v>
      </c>
      <c r="F150" s="468">
        <v>9</v>
      </c>
      <c r="G150" s="651">
        <v>9</v>
      </c>
      <c r="H150" s="653" t="s">
        <v>27</v>
      </c>
      <c r="I150" s="468">
        <v>9</v>
      </c>
      <c r="J150" s="468" t="s">
        <v>27</v>
      </c>
      <c r="K150" s="468">
        <v>9</v>
      </c>
      <c r="L150" s="468">
        <v>9</v>
      </c>
      <c r="M150" s="468">
        <v>9</v>
      </c>
      <c r="N150" s="651">
        <v>9</v>
      </c>
      <c r="O150" s="653" t="s">
        <v>27</v>
      </c>
      <c r="P150" s="468">
        <v>9</v>
      </c>
      <c r="Q150" s="468">
        <v>9</v>
      </c>
      <c r="R150" s="468">
        <v>9</v>
      </c>
      <c r="S150" s="468">
        <v>9</v>
      </c>
      <c r="T150" s="468">
        <v>9</v>
      </c>
      <c r="U150" s="651" t="s">
        <v>27</v>
      </c>
      <c r="V150" s="653" t="s">
        <v>27</v>
      </c>
      <c r="W150" s="468">
        <v>9</v>
      </c>
      <c r="X150" s="468">
        <v>9</v>
      </c>
      <c r="Y150" s="468">
        <v>9</v>
      </c>
      <c r="Z150" s="468">
        <v>9</v>
      </c>
      <c r="AA150" s="468">
        <v>9</v>
      </c>
      <c r="AB150" s="651" t="s">
        <v>27</v>
      </c>
      <c r="AC150" s="653" t="s">
        <v>27</v>
      </c>
      <c r="AD150" s="468" t="s">
        <v>27</v>
      </c>
      <c r="AE150" s="468">
        <v>9</v>
      </c>
      <c r="AF150" s="468">
        <v>9</v>
      </c>
      <c r="AG150" s="468">
        <v>9</v>
      </c>
      <c r="AH150" s="366">
        <f t="shared" ref="AH150:AH160" si="50">SUM(C150:AG150)</f>
        <v>207</v>
      </c>
      <c r="AI150" s="699"/>
      <c r="AJ150" s="708">
        <f t="shared" si="47"/>
        <v>8</v>
      </c>
      <c r="AK150" s="708">
        <f t="shared" si="48"/>
        <v>0</v>
      </c>
      <c r="AL150" s="708">
        <f t="shared" si="49"/>
        <v>0</v>
      </c>
      <c r="AM150" s="665"/>
    </row>
    <row r="151" spans="2:44" ht="16" customHeight="1">
      <c r="B151" s="658" t="s">
        <v>1358</v>
      </c>
      <c r="C151" s="471">
        <v>9.5</v>
      </c>
      <c r="D151" s="471" t="s">
        <v>27</v>
      </c>
      <c r="E151" s="808" t="s">
        <v>1356</v>
      </c>
      <c r="F151" s="471">
        <v>5</v>
      </c>
      <c r="G151" s="652">
        <v>11.5</v>
      </c>
      <c r="H151" s="654" t="s">
        <v>27</v>
      </c>
      <c r="I151" s="471" t="s">
        <v>27</v>
      </c>
      <c r="J151" s="471">
        <v>9</v>
      </c>
      <c r="K151" s="471">
        <v>9</v>
      </c>
      <c r="L151" s="471">
        <v>11</v>
      </c>
      <c r="M151" s="471">
        <v>11.5</v>
      </c>
      <c r="N151" s="652" t="s">
        <v>1909</v>
      </c>
      <c r="O151" s="654" t="s">
        <v>27</v>
      </c>
      <c r="P151" s="471" t="s">
        <v>27</v>
      </c>
      <c r="Q151" s="471" t="s">
        <v>1355</v>
      </c>
      <c r="R151" s="471" t="s">
        <v>1355</v>
      </c>
      <c r="S151" s="471" t="s">
        <v>1355</v>
      </c>
      <c r="T151" s="471" t="s">
        <v>1355</v>
      </c>
      <c r="U151" s="652" t="s">
        <v>1355</v>
      </c>
      <c r="V151" s="654" t="s">
        <v>27</v>
      </c>
      <c r="W151" s="471" t="s">
        <v>27</v>
      </c>
      <c r="X151" s="471">
        <v>9.5</v>
      </c>
      <c r="Y151" s="471">
        <v>8</v>
      </c>
      <c r="Z151" s="471">
        <v>11</v>
      </c>
      <c r="AA151" s="471">
        <v>11</v>
      </c>
      <c r="AB151" s="652">
        <v>10.5</v>
      </c>
      <c r="AC151" s="654" t="s">
        <v>27</v>
      </c>
      <c r="AD151" s="471">
        <v>8</v>
      </c>
      <c r="AE151" s="471" t="s">
        <v>27</v>
      </c>
      <c r="AF151" s="471">
        <v>8.5</v>
      </c>
      <c r="AG151" s="471">
        <v>7</v>
      </c>
      <c r="AH151" s="687">
        <f t="shared" si="50"/>
        <v>140</v>
      </c>
      <c r="AI151" s="700" t="s">
        <v>2255</v>
      </c>
      <c r="AJ151" s="708">
        <f t="shared" si="47"/>
        <v>9</v>
      </c>
      <c r="AK151" s="708">
        <f t="shared" si="48"/>
        <v>1</v>
      </c>
      <c r="AL151" s="708">
        <f t="shared" si="49"/>
        <v>5</v>
      </c>
      <c r="AM151" s="665"/>
    </row>
    <row r="152" spans="2:44" ht="16" customHeight="1">
      <c r="B152" s="657" t="s">
        <v>1359</v>
      </c>
      <c r="C152" s="468" t="s">
        <v>27</v>
      </c>
      <c r="D152" s="470" t="s">
        <v>27</v>
      </c>
      <c r="E152" s="468">
        <v>11</v>
      </c>
      <c r="F152" s="468">
        <v>11.5</v>
      </c>
      <c r="G152" s="651">
        <v>11.5</v>
      </c>
      <c r="H152" s="650" t="s">
        <v>27</v>
      </c>
      <c r="I152" s="468">
        <v>9</v>
      </c>
      <c r="J152" s="468">
        <v>9</v>
      </c>
      <c r="K152" s="470" t="s">
        <v>27</v>
      </c>
      <c r="L152" s="840" t="s">
        <v>1370</v>
      </c>
      <c r="M152" s="840" t="s">
        <v>1370</v>
      </c>
      <c r="N152" s="651">
        <v>8.5</v>
      </c>
      <c r="O152" s="646">
        <v>9</v>
      </c>
      <c r="P152" s="468">
        <v>10</v>
      </c>
      <c r="Q152" s="468">
        <v>9.5</v>
      </c>
      <c r="R152" s="470" t="s">
        <v>27</v>
      </c>
      <c r="S152" s="468">
        <v>10</v>
      </c>
      <c r="T152" s="468">
        <v>11</v>
      </c>
      <c r="U152" s="651" t="s">
        <v>27</v>
      </c>
      <c r="V152" s="650" t="s">
        <v>27</v>
      </c>
      <c r="W152" s="468" t="s">
        <v>27</v>
      </c>
      <c r="X152" s="468" t="s">
        <v>1355</v>
      </c>
      <c r="Y152" s="468" t="s">
        <v>1355</v>
      </c>
      <c r="Z152" s="468" t="s">
        <v>1355</v>
      </c>
      <c r="AA152" s="468" t="s">
        <v>1355</v>
      </c>
      <c r="AB152" s="651">
        <v>10.5</v>
      </c>
      <c r="AC152" s="653">
        <v>8.5</v>
      </c>
      <c r="AD152" s="468">
        <v>8</v>
      </c>
      <c r="AE152" s="468" t="s">
        <v>27</v>
      </c>
      <c r="AF152" s="468" t="s">
        <v>1355</v>
      </c>
      <c r="AG152" s="468">
        <v>8.5</v>
      </c>
      <c r="AH152" s="366">
        <f t="shared" si="50"/>
        <v>145.5</v>
      </c>
      <c r="AI152" s="699"/>
      <c r="AJ152" s="708">
        <f t="shared" si="47"/>
        <v>9</v>
      </c>
      <c r="AK152" s="708">
        <f t="shared" si="48"/>
        <v>0</v>
      </c>
      <c r="AL152" s="708">
        <f t="shared" si="49"/>
        <v>5</v>
      </c>
      <c r="AM152" s="665"/>
    </row>
    <row r="153" spans="2:44" ht="16" customHeight="1">
      <c r="B153" s="658" t="s">
        <v>1360</v>
      </c>
      <c r="C153" s="471" t="s">
        <v>27</v>
      </c>
      <c r="D153" s="471">
        <v>10</v>
      </c>
      <c r="E153" s="471">
        <v>11</v>
      </c>
      <c r="F153" s="471">
        <v>11.5</v>
      </c>
      <c r="G153" s="652">
        <v>9.5</v>
      </c>
      <c r="H153" s="654">
        <v>9.5</v>
      </c>
      <c r="I153" s="471" t="s">
        <v>27</v>
      </c>
      <c r="J153" s="471" t="s">
        <v>27</v>
      </c>
      <c r="K153" s="471" t="s">
        <v>27</v>
      </c>
      <c r="L153" s="471">
        <v>11</v>
      </c>
      <c r="M153" s="471">
        <v>11.5</v>
      </c>
      <c r="N153" s="652">
        <v>8.5</v>
      </c>
      <c r="O153" s="654">
        <v>9</v>
      </c>
      <c r="P153" s="471">
        <v>10</v>
      </c>
      <c r="Q153" s="471" t="s">
        <v>27</v>
      </c>
      <c r="R153" s="471">
        <v>12</v>
      </c>
      <c r="S153" s="471">
        <v>10</v>
      </c>
      <c r="T153" s="471">
        <v>11</v>
      </c>
      <c r="U153" s="652">
        <v>9</v>
      </c>
      <c r="V153" s="654" t="s">
        <v>27</v>
      </c>
      <c r="W153" s="471">
        <v>9</v>
      </c>
      <c r="X153" s="471">
        <v>5.5</v>
      </c>
      <c r="Y153" s="471" t="s">
        <v>27</v>
      </c>
      <c r="Z153" s="471">
        <v>11</v>
      </c>
      <c r="AA153" s="471">
        <v>11</v>
      </c>
      <c r="AB153" s="652">
        <v>10.5</v>
      </c>
      <c r="AC153" s="654" t="s">
        <v>27</v>
      </c>
      <c r="AD153" s="471" t="s">
        <v>27</v>
      </c>
      <c r="AE153" s="471">
        <v>9</v>
      </c>
      <c r="AF153" s="471">
        <v>8.5</v>
      </c>
      <c r="AG153" s="471">
        <v>12</v>
      </c>
      <c r="AH153" s="687">
        <f t="shared" si="50"/>
        <v>220</v>
      </c>
      <c r="AI153" s="700"/>
      <c r="AJ153" s="708">
        <f t="shared" si="47"/>
        <v>9</v>
      </c>
      <c r="AK153" s="708">
        <f t="shared" si="48"/>
        <v>0</v>
      </c>
      <c r="AL153" s="708">
        <f t="shared" si="49"/>
        <v>0</v>
      </c>
      <c r="AM153" s="665"/>
    </row>
    <row r="154" spans="2:44" ht="16" customHeight="1">
      <c r="B154" s="657" t="s">
        <v>1363</v>
      </c>
      <c r="C154" s="468">
        <v>9.5</v>
      </c>
      <c r="D154" s="468">
        <v>10</v>
      </c>
      <c r="E154" s="468">
        <v>11</v>
      </c>
      <c r="F154" s="468">
        <v>11.5</v>
      </c>
      <c r="G154" s="651">
        <v>11.5</v>
      </c>
      <c r="H154" s="653">
        <v>9.5</v>
      </c>
      <c r="I154" s="468">
        <v>9</v>
      </c>
      <c r="J154" s="468" t="s">
        <v>27</v>
      </c>
      <c r="K154" s="468" t="s">
        <v>27</v>
      </c>
      <c r="L154" s="468">
        <v>11</v>
      </c>
      <c r="M154" s="468">
        <v>11.5</v>
      </c>
      <c r="N154" s="651">
        <v>8.5</v>
      </c>
      <c r="O154" s="653" t="s">
        <v>27</v>
      </c>
      <c r="P154" s="468" t="s">
        <v>27</v>
      </c>
      <c r="Q154" s="468">
        <v>9.5</v>
      </c>
      <c r="R154" s="468">
        <v>12</v>
      </c>
      <c r="S154" s="468">
        <v>13</v>
      </c>
      <c r="T154" s="468">
        <v>11</v>
      </c>
      <c r="U154" s="651" t="s">
        <v>27</v>
      </c>
      <c r="V154" s="653" t="s">
        <v>27</v>
      </c>
      <c r="W154" s="468">
        <v>9</v>
      </c>
      <c r="X154" s="468">
        <v>9.5</v>
      </c>
      <c r="Y154" s="468">
        <v>8</v>
      </c>
      <c r="Z154" s="468">
        <v>13</v>
      </c>
      <c r="AA154" s="468">
        <v>11</v>
      </c>
      <c r="AB154" s="651">
        <v>10.5</v>
      </c>
      <c r="AC154" s="653">
        <v>8.5</v>
      </c>
      <c r="AD154" s="468" t="s">
        <v>27</v>
      </c>
      <c r="AE154" s="468">
        <v>9</v>
      </c>
      <c r="AF154" s="468" t="s">
        <v>27</v>
      </c>
      <c r="AG154" s="468">
        <v>12</v>
      </c>
      <c r="AH154" s="366">
        <f t="shared" si="50"/>
        <v>239</v>
      </c>
      <c r="AI154" s="699"/>
    </row>
    <row r="155" spans="2:44" ht="16" customHeight="1">
      <c r="B155" s="473"/>
      <c r="C155" s="471"/>
      <c r="D155" s="471"/>
      <c r="E155" s="471"/>
      <c r="F155" s="471"/>
      <c r="G155" s="652"/>
      <c r="H155" s="654"/>
      <c r="I155" s="471"/>
      <c r="J155" s="471"/>
      <c r="K155" s="471"/>
      <c r="L155" s="471"/>
      <c r="M155" s="471"/>
      <c r="N155" s="652"/>
      <c r="O155" s="654"/>
      <c r="P155" s="471"/>
      <c r="Q155" s="471"/>
      <c r="R155" s="471"/>
      <c r="S155" s="471"/>
      <c r="T155" s="471"/>
      <c r="U155" s="652"/>
      <c r="V155" s="654"/>
      <c r="W155" s="471"/>
      <c r="X155" s="471"/>
      <c r="Y155" s="471"/>
      <c r="Z155" s="471"/>
      <c r="AA155" s="471"/>
      <c r="AB155" s="652"/>
      <c r="AC155" s="654"/>
      <c r="AD155" s="471"/>
      <c r="AE155" s="471"/>
      <c r="AF155" s="471"/>
      <c r="AG155" s="471"/>
      <c r="AH155" s="687">
        <f t="shared" si="50"/>
        <v>0</v>
      </c>
      <c r="AI155" s="700"/>
    </row>
    <row r="156" spans="2:44" ht="16" customHeight="1">
      <c r="B156" s="472" t="s">
        <v>1361</v>
      </c>
      <c r="C156" s="468"/>
      <c r="D156" s="468"/>
      <c r="E156" s="468"/>
      <c r="F156" s="468"/>
      <c r="G156" s="651"/>
      <c r="H156" s="653"/>
      <c r="I156" s="468"/>
      <c r="J156" s="468"/>
      <c r="K156" s="468"/>
      <c r="L156" s="468"/>
      <c r="M156" s="468"/>
      <c r="N156" s="651"/>
      <c r="O156" s="653"/>
      <c r="P156" s="468"/>
      <c r="Q156" s="468"/>
      <c r="R156" s="468"/>
      <c r="S156" s="468">
        <v>8</v>
      </c>
      <c r="T156" s="468">
        <v>9</v>
      </c>
      <c r="U156" s="651">
        <v>9</v>
      </c>
      <c r="V156" s="653"/>
      <c r="W156" s="468"/>
      <c r="X156" s="468"/>
      <c r="Y156" s="468"/>
      <c r="Z156" s="468">
        <v>6</v>
      </c>
      <c r="AA156" s="468">
        <v>6</v>
      </c>
      <c r="AB156" s="651">
        <v>10.5</v>
      </c>
      <c r="AC156" s="653"/>
      <c r="AD156" s="468"/>
      <c r="AE156" s="468"/>
      <c r="AF156" s="468"/>
      <c r="AG156" s="468">
        <v>7</v>
      </c>
      <c r="AH156" s="366">
        <f t="shared" si="50"/>
        <v>55.5</v>
      </c>
      <c r="AI156" s="699"/>
    </row>
    <row r="157" spans="2:44" ht="16" customHeight="1">
      <c r="B157" s="473" t="s">
        <v>1875</v>
      </c>
      <c r="C157" s="471"/>
      <c r="D157" s="471"/>
      <c r="E157" s="471"/>
      <c r="F157" s="471"/>
      <c r="G157" s="652"/>
      <c r="H157" s="654"/>
      <c r="I157" s="471"/>
      <c r="J157" s="471"/>
      <c r="K157" s="471">
        <v>9</v>
      </c>
      <c r="L157" s="471">
        <v>6</v>
      </c>
      <c r="M157" s="471"/>
      <c r="N157" s="652"/>
      <c r="O157" s="654"/>
      <c r="P157" s="471"/>
      <c r="Q157" s="471"/>
      <c r="R157" s="471"/>
      <c r="S157" s="471">
        <v>5</v>
      </c>
      <c r="T157" s="471"/>
      <c r="U157" s="652">
        <v>7</v>
      </c>
      <c r="V157" s="654"/>
      <c r="W157" s="471"/>
      <c r="X157" s="471"/>
      <c r="Y157" s="471"/>
      <c r="Z157" s="471">
        <v>6</v>
      </c>
      <c r="AA157" s="471"/>
      <c r="AB157" s="652">
        <v>8</v>
      </c>
      <c r="AC157" s="654"/>
      <c r="AD157" s="471"/>
      <c r="AE157" s="471"/>
      <c r="AF157" s="471"/>
      <c r="AG157" s="471">
        <v>7</v>
      </c>
      <c r="AH157" s="687">
        <f t="shared" si="50"/>
        <v>48</v>
      </c>
      <c r="AI157" s="700"/>
    </row>
    <row r="158" spans="2:44" ht="16" customHeight="1">
      <c r="B158" s="472" t="s">
        <v>1877</v>
      </c>
      <c r="C158" s="468"/>
      <c r="D158" s="468"/>
      <c r="E158" s="468"/>
      <c r="F158" s="468"/>
      <c r="G158" s="651"/>
      <c r="H158" s="653"/>
      <c r="I158" s="468">
        <v>9</v>
      </c>
      <c r="J158" s="468"/>
      <c r="K158" s="468"/>
      <c r="L158" s="468">
        <v>9</v>
      </c>
      <c r="M158" s="468">
        <v>9.5</v>
      </c>
      <c r="N158" s="651"/>
      <c r="O158" s="653"/>
      <c r="P158" s="468">
        <v>9</v>
      </c>
      <c r="Q158" s="468"/>
      <c r="R158" s="468"/>
      <c r="S158" s="468">
        <v>5</v>
      </c>
      <c r="T158" s="468">
        <v>6</v>
      </c>
      <c r="U158" s="651"/>
      <c r="V158" s="653"/>
      <c r="W158" s="468">
        <v>8</v>
      </c>
      <c r="X158" s="468"/>
      <c r="Y158" s="468"/>
      <c r="Z158" s="468"/>
      <c r="AA158" s="468">
        <v>9</v>
      </c>
      <c r="AB158" s="651">
        <v>9.5</v>
      </c>
      <c r="AC158" s="653"/>
      <c r="AD158" s="468">
        <v>9</v>
      </c>
      <c r="AE158" s="468"/>
      <c r="AF158" s="468"/>
      <c r="AG158" s="468"/>
      <c r="AH158" s="366">
        <f t="shared" si="50"/>
        <v>83</v>
      </c>
      <c r="AI158" s="699"/>
    </row>
    <row r="159" spans="2:44" ht="16" customHeight="1">
      <c r="B159" s="473"/>
      <c r="C159" s="471"/>
      <c r="D159" s="471"/>
      <c r="E159" s="471"/>
      <c r="F159" s="471"/>
      <c r="G159" s="652"/>
      <c r="H159" s="654"/>
      <c r="I159" s="471"/>
      <c r="J159" s="471"/>
      <c r="K159" s="471"/>
      <c r="L159" s="471"/>
      <c r="M159" s="471"/>
      <c r="N159" s="652"/>
      <c r="O159" s="654"/>
      <c r="P159" s="471"/>
      <c r="Q159" s="471"/>
      <c r="R159" s="471"/>
      <c r="S159" s="471"/>
      <c r="T159" s="471"/>
      <c r="U159" s="652"/>
      <c r="V159" s="654"/>
      <c r="W159" s="471"/>
      <c r="X159" s="471"/>
      <c r="Y159" s="471"/>
      <c r="Z159" s="471"/>
      <c r="AA159" s="471"/>
      <c r="AB159" s="652"/>
      <c r="AC159" s="654"/>
      <c r="AD159" s="471"/>
      <c r="AE159" s="471"/>
      <c r="AF159" s="471"/>
      <c r="AG159" s="471"/>
      <c r="AH159" s="687">
        <f t="shared" si="50"/>
        <v>0</v>
      </c>
      <c r="AI159" s="700"/>
    </row>
    <row r="160" spans="2:44" ht="16" customHeight="1">
      <c r="B160" s="472"/>
      <c r="C160" s="468"/>
      <c r="D160" s="468"/>
      <c r="E160" s="468"/>
      <c r="F160" s="468"/>
      <c r="G160" s="651"/>
      <c r="H160" s="653"/>
      <c r="I160" s="468"/>
      <c r="J160" s="468"/>
      <c r="K160" s="468"/>
      <c r="L160" s="468"/>
      <c r="M160" s="468"/>
      <c r="N160" s="651"/>
      <c r="O160" s="653"/>
      <c r="P160" s="468"/>
      <c r="Q160" s="468"/>
      <c r="R160" s="468"/>
      <c r="S160" s="468"/>
      <c r="T160" s="468"/>
      <c r="U160" s="651"/>
      <c r="V160" s="653"/>
      <c r="W160" s="468"/>
      <c r="X160" s="468"/>
      <c r="Y160" s="468"/>
      <c r="Z160" s="468"/>
      <c r="AA160" s="468"/>
      <c r="AB160" s="651"/>
      <c r="AC160" s="653"/>
      <c r="AD160" s="468"/>
      <c r="AE160" s="468"/>
      <c r="AF160" s="468"/>
      <c r="AG160" s="468"/>
      <c r="AH160" s="366">
        <f t="shared" si="50"/>
        <v>0</v>
      </c>
      <c r="AI160" s="699"/>
    </row>
    <row r="161" spans="2:44" s="272" customFormat="1" ht="3" customHeight="1">
      <c r="B161" s="696"/>
      <c r="C161" s="697"/>
      <c r="D161" s="697"/>
      <c r="E161" s="697"/>
      <c r="F161" s="697"/>
      <c r="G161" s="697"/>
      <c r="H161" s="697"/>
      <c r="I161" s="697"/>
      <c r="J161" s="697"/>
      <c r="K161" s="697"/>
      <c r="L161" s="697"/>
      <c r="M161" s="697"/>
      <c r="N161" s="697"/>
      <c r="O161" s="697"/>
      <c r="P161" s="697"/>
      <c r="Q161" s="697"/>
      <c r="R161" s="697"/>
      <c r="S161" s="697"/>
      <c r="T161" s="697"/>
      <c r="U161" s="697"/>
      <c r="V161" s="697"/>
      <c r="W161" s="697"/>
      <c r="X161" s="697"/>
      <c r="Y161" s="697"/>
      <c r="Z161" s="697"/>
      <c r="AA161" s="697"/>
      <c r="AB161" s="697"/>
      <c r="AC161" s="697"/>
      <c r="AD161" s="697"/>
      <c r="AE161" s="697"/>
      <c r="AF161" s="697"/>
      <c r="AG161" s="697"/>
      <c r="AH161" s="698"/>
      <c r="AI161" s="730"/>
      <c r="AJ161" s="708"/>
      <c r="AK161" s="708"/>
      <c r="AL161" s="708"/>
      <c r="AM161" s="663"/>
      <c r="AN161" s="701"/>
      <c r="AO161" s="663"/>
      <c r="AP161" s="663"/>
      <c r="AQ161" s="663"/>
      <c r="AR161" s="664"/>
    </row>
    <row r="162" spans="2:44" s="272" customFormat="1" ht="20">
      <c r="B162" s="953" t="s">
        <v>1378</v>
      </c>
      <c r="C162" s="953"/>
      <c r="D162" s="953"/>
      <c r="E162" s="953"/>
      <c r="F162" s="953"/>
      <c r="G162" s="953"/>
      <c r="H162" s="953"/>
      <c r="I162" s="953"/>
      <c r="J162" s="953"/>
      <c r="K162" s="953"/>
      <c r="L162" s="953"/>
      <c r="M162" s="953"/>
      <c r="N162" s="953"/>
      <c r="O162" s="953"/>
      <c r="P162" s="953"/>
      <c r="Q162" s="953"/>
      <c r="R162" s="953"/>
      <c r="S162" s="953"/>
      <c r="T162" s="953"/>
      <c r="U162" s="953"/>
      <c r="V162" s="953"/>
      <c r="W162" s="953"/>
      <c r="X162" s="953"/>
      <c r="Y162" s="953"/>
      <c r="Z162" s="953"/>
      <c r="AA162" s="953"/>
      <c r="AB162" s="953"/>
      <c r="AC162" s="953"/>
      <c r="AD162" s="953"/>
      <c r="AE162" s="953"/>
      <c r="AF162" s="953"/>
      <c r="AG162" s="953"/>
      <c r="AH162" s="953"/>
      <c r="AI162" s="690"/>
      <c r="AJ162" s="694"/>
      <c r="AK162" s="694"/>
      <c r="AL162" s="694"/>
      <c r="AM162" s="695"/>
      <c r="AN162" s="701"/>
      <c r="AO162" s="663"/>
      <c r="AP162" s="663"/>
      <c r="AQ162" s="663"/>
      <c r="AR162" s="664"/>
    </row>
    <row r="163" spans="2:44">
      <c r="B163" s="669"/>
      <c r="C163" s="367">
        <v>1</v>
      </c>
      <c r="D163" s="684">
        <v>2</v>
      </c>
      <c r="E163" s="704">
        <v>3</v>
      </c>
      <c r="F163" s="367">
        <v>4</v>
      </c>
      <c r="G163" s="367">
        <v>5</v>
      </c>
      <c r="H163" s="367">
        <v>6</v>
      </c>
      <c r="I163" s="367">
        <v>7</v>
      </c>
      <c r="J163" s="367">
        <v>8</v>
      </c>
      <c r="K163" s="684">
        <v>9</v>
      </c>
      <c r="L163" s="704">
        <v>10</v>
      </c>
      <c r="M163" s="367">
        <v>11</v>
      </c>
      <c r="N163" s="367">
        <v>12</v>
      </c>
      <c r="O163" s="367">
        <v>13</v>
      </c>
      <c r="P163" s="367">
        <v>14</v>
      </c>
      <c r="Q163" s="367">
        <v>15</v>
      </c>
      <c r="R163" s="684">
        <v>16</v>
      </c>
      <c r="S163" s="704">
        <v>17</v>
      </c>
      <c r="T163" s="367">
        <v>18</v>
      </c>
      <c r="U163" s="367">
        <v>19</v>
      </c>
      <c r="V163" s="367">
        <v>20</v>
      </c>
      <c r="W163" s="367">
        <v>21</v>
      </c>
      <c r="X163" s="367">
        <v>22</v>
      </c>
      <c r="Y163" s="684">
        <v>23</v>
      </c>
      <c r="Z163" s="704">
        <v>24</v>
      </c>
      <c r="AA163" s="367">
        <v>25</v>
      </c>
      <c r="AB163" s="367">
        <v>26</v>
      </c>
      <c r="AC163" s="367">
        <v>27</v>
      </c>
      <c r="AD163" s="367">
        <v>28</v>
      </c>
      <c r="AE163" s="367">
        <v>29</v>
      </c>
      <c r="AF163" s="367">
        <v>30</v>
      </c>
      <c r="AG163" s="367">
        <v>31</v>
      </c>
      <c r="AH163" s="367" t="s">
        <v>116</v>
      </c>
      <c r="AI163" s="666" t="s">
        <v>292</v>
      </c>
      <c r="AJ163" s="717" t="s">
        <v>27</v>
      </c>
      <c r="AK163" s="718" t="s">
        <v>1909</v>
      </c>
      <c r="AL163" s="719" t="s">
        <v>1355</v>
      </c>
      <c r="AM163" s="695"/>
    </row>
    <row r="164" spans="2:44" ht="16" customHeight="1">
      <c r="B164" s="472" t="s">
        <v>1354</v>
      </c>
      <c r="C164" s="468" t="s">
        <v>27</v>
      </c>
      <c r="D164" s="651" t="s">
        <v>27</v>
      </c>
      <c r="E164" s="653">
        <v>8</v>
      </c>
      <c r="F164" s="468">
        <v>8</v>
      </c>
      <c r="G164" s="468">
        <v>8</v>
      </c>
      <c r="H164" s="468">
        <v>8</v>
      </c>
      <c r="I164" s="468">
        <v>8</v>
      </c>
      <c r="J164" s="468" t="s">
        <v>27</v>
      </c>
      <c r="K164" s="651" t="s">
        <v>27</v>
      </c>
      <c r="L164" s="653">
        <v>8</v>
      </c>
      <c r="M164" s="468">
        <v>8</v>
      </c>
      <c r="N164" s="468">
        <v>4</v>
      </c>
      <c r="O164" s="468">
        <v>8</v>
      </c>
      <c r="P164" s="468">
        <v>8</v>
      </c>
      <c r="Q164" s="468" t="s">
        <v>27</v>
      </c>
      <c r="R164" s="651" t="s">
        <v>27</v>
      </c>
      <c r="S164" s="653">
        <v>8</v>
      </c>
      <c r="T164" s="468">
        <v>8</v>
      </c>
      <c r="U164" s="468">
        <v>8</v>
      </c>
      <c r="V164" s="468">
        <v>8</v>
      </c>
      <c r="W164" s="468">
        <v>8.5</v>
      </c>
      <c r="X164" s="468" t="s">
        <v>27</v>
      </c>
      <c r="Y164" s="651" t="s">
        <v>27</v>
      </c>
      <c r="Z164" s="653">
        <v>8</v>
      </c>
      <c r="AA164" s="468">
        <v>8</v>
      </c>
      <c r="AB164" s="468">
        <v>8</v>
      </c>
      <c r="AC164" s="468">
        <v>8</v>
      </c>
      <c r="AD164" s="468">
        <v>8</v>
      </c>
      <c r="AE164" s="468" t="s">
        <v>27</v>
      </c>
      <c r="AF164" s="468" t="s">
        <v>27</v>
      </c>
      <c r="AG164" s="688" t="s">
        <v>1366</v>
      </c>
      <c r="AH164" s="366">
        <f>SUM(C164:AG164)</f>
        <v>156.5</v>
      </c>
      <c r="AI164" s="699"/>
      <c r="AJ164" s="708">
        <f>COUNTIF(C164:AG164,"R")</f>
        <v>10</v>
      </c>
      <c r="AK164" s="708">
        <f>COUNTIF(C164:AG164,"Z")</f>
        <v>0</v>
      </c>
      <c r="AL164" s="708">
        <f>COUNTIF(C164:AG164,"FE")</f>
        <v>0</v>
      </c>
      <c r="AM164" s="665"/>
    </row>
    <row r="165" spans="2:44" ht="16" customHeight="1">
      <c r="B165" s="473" t="s">
        <v>1357</v>
      </c>
      <c r="C165" s="471">
        <v>9</v>
      </c>
      <c r="D165" s="652">
        <v>9</v>
      </c>
      <c r="E165" s="654" t="s">
        <v>27</v>
      </c>
      <c r="F165" s="471" t="s">
        <v>27</v>
      </c>
      <c r="G165" s="471">
        <v>9</v>
      </c>
      <c r="H165" s="471">
        <v>9</v>
      </c>
      <c r="I165" s="471">
        <v>9</v>
      </c>
      <c r="J165" s="471">
        <v>9</v>
      </c>
      <c r="K165" s="652">
        <v>9</v>
      </c>
      <c r="L165" s="654" t="s">
        <v>27</v>
      </c>
      <c r="M165" s="471">
        <v>9</v>
      </c>
      <c r="N165" s="471">
        <v>9</v>
      </c>
      <c r="O165" s="471">
        <v>9</v>
      </c>
      <c r="P165" s="471">
        <v>9</v>
      </c>
      <c r="Q165" s="471">
        <v>9</v>
      </c>
      <c r="R165" s="652">
        <v>9</v>
      </c>
      <c r="S165" s="654" t="s">
        <v>27</v>
      </c>
      <c r="T165" s="471" t="s">
        <v>27</v>
      </c>
      <c r="U165" s="471">
        <v>9</v>
      </c>
      <c r="V165" s="471">
        <v>9</v>
      </c>
      <c r="W165" s="471" t="s">
        <v>27</v>
      </c>
      <c r="X165" s="471">
        <v>9</v>
      </c>
      <c r="Y165" s="652">
        <v>9</v>
      </c>
      <c r="Z165" s="654" t="s">
        <v>27</v>
      </c>
      <c r="AA165" s="471">
        <v>9</v>
      </c>
      <c r="AB165" s="471" t="s">
        <v>27</v>
      </c>
      <c r="AC165" s="471">
        <v>9</v>
      </c>
      <c r="AD165" s="471">
        <v>9</v>
      </c>
      <c r="AE165" s="471">
        <v>9</v>
      </c>
      <c r="AF165" s="471">
        <v>9</v>
      </c>
      <c r="AG165" s="688" t="s">
        <v>1366</v>
      </c>
      <c r="AH165" s="687">
        <f>SUM(C165:AG165)</f>
        <v>198</v>
      </c>
      <c r="AI165" s="700"/>
      <c r="AJ165" s="708">
        <f t="shared" ref="AJ165:AJ169" si="51">COUNTIF(C165:AG165,"R")</f>
        <v>8</v>
      </c>
      <c r="AK165" s="708">
        <f t="shared" ref="AK165:AK169" si="52">COUNTIF(C165:AG165,"Z")</f>
        <v>0</v>
      </c>
      <c r="AL165" s="708">
        <f t="shared" ref="AL165:AL169" si="53">COUNTIF(C165:AG165,"FE")</f>
        <v>0</v>
      </c>
      <c r="AM165" s="665"/>
    </row>
    <row r="166" spans="2:44" ht="16" customHeight="1">
      <c r="B166" s="472" t="s">
        <v>1869</v>
      </c>
      <c r="C166" s="468">
        <v>9</v>
      </c>
      <c r="D166" s="651">
        <v>9</v>
      </c>
      <c r="E166" s="653" t="s">
        <v>27</v>
      </c>
      <c r="F166" s="468">
        <v>9</v>
      </c>
      <c r="G166" s="468" t="s">
        <v>27</v>
      </c>
      <c r="H166" s="468">
        <v>9</v>
      </c>
      <c r="I166" s="468">
        <v>9</v>
      </c>
      <c r="J166" s="468">
        <v>9</v>
      </c>
      <c r="K166" s="651">
        <v>9</v>
      </c>
      <c r="L166" s="653" t="s">
        <v>27</v>
      </c>
      <c r="M166" s="468" t="s">
        <v>27</v>
      </c>
      <c r="N166" s="468" t="s">
        <v>1355</v>
      </c>
      <c r="O166" s="468" t="s">
        <v>1355</v>
      </c>
      <c r="P166" s="468" t="s">
        <v>1355</v>
      </c>
      <c r="Q166" s="468" t="s">
        <v>1355</v>
      </c>
      <c r="R166" s="651" t="s">
        <v>1355</v>
      </c>
      <c r="S166" s="653" t="s">
        <v>27</v>
      </c>
      <c r="T166" s="468">
        <v>9</v>
      </c>
      <c r="U166" s="468" t="s">
        <v>27</v>
      </c>
      <c r="V166" s="468">
        <v>9</v>
      </c>
      <c r="W166" s="468">
        <v>9</v>
      </c>
      <c r="X166" s="468">
        <v>9</v>
      </c>
      <c r="Y166" s="651">
        <v>9</v>
      </c>
      <c r="Z166" s="653" t="s">
        <v>27</v>
      </c>
      <c r="AA166" s="468" t="s">
        <v>27</v>
      </c>
      <c r="AB166" s="468">
        <v>9</v>
      </c>
      <c r="AC166" s="468">
        <v>9</v>
      </c>
      <c r="AD166" s="468">
        <v>9</v>
      </c>
      <c r="AE166" s="468">
        <v>9</v>
      </c>
      <c r="AF166" s="468">
        <v>9</v>
      </c>
      <c r="AG166" s="688" t="s">
        <v>1366</v>
      </c>
      <c r="AH166" s="366">
        <f t="shared" ref="AH166:AH176" si="54">SUM(C166:AG166)</f>
        <v>153</v>
      </c>
      <c r="AI166" s="699"/>
      <c r="AJ166" s="708">
        <f t="shared" si="51"/>
        <v>8</v>
      </c>
      <c r="AK166" s="708">
        <f t="shared" si="52"/>
        <v>0</v>
      </c>
      <c r="AL166" s="708">
        <f t="shared" si="53"/>
        <v>5</v>
      </c>
      <c r="AM166" s="665"/>
    </row>
    <row r="167" spans="2:44" ht="16" customHeight="1">
      <c r="B167" s="473" t="s">
        <v>1358</v>
      </c>
      <c r="C167" s="471">
        <v>12</v>
      </c>
      <c r="D167" s="652">
        <v>7</v>
      </c>
      <c r="E167" s="654">
        <v>9</v>
      </c>
      <c r="F167" s="471">
        <v>8.5</v>
      </c>
      <c r="G167" s="471" t="s">
        <v>27</v>
      </c>
      <c r="H167" s="471">
        <v>9.5</v>
      </c>
      <c r="I167" s="471">
        <v>5.5</v>
      </c>
      <c r="J167" s="471">
        <v>11</v>
      </c>
      <c r="K167" s="652" t="s">
        <v>27</v>
      </c>
      <c r="L167" s="654" t="s">
        <v>27</v>
      </c>
      <c r="M167" s="471">
        <v>8.5</v>
      </c>
      <c r="N167" s="471" t="s">
        <v>27</v>
      </c>
      <c r="O167" s="471">
        <v>9.5</v>
      </c>
      <c r="P167" s="471">
        <v>6.5</v>
      </c>
      <c r="Q167" s="471">
        <v>11</v>
      </c>
      <c r="R167" s="652">
        <v>11</v>
      </c>
      <c r="S167" s="654" t="s">
        <v>27</v>
      </c>
      <c r="T167" s="471">
        <v>10.5</v>
      </c>
      <c r="U167" s="471" t="s">
        <v>27</v>
      </c>
      <c r="V167" s="471" t="s">
        <v>27</v>
      </c>
      <c r="W167" s="809" t="s">
        <v>1356</v>
      </c>
      <c r="X167" s="809" t="s">
        <v>1356</v>
      </c>
      <c r="Y167" s="809" t="s">
        <v>1356</v>
      </c>
      <c r="Z167" s="654" t="s">
        <v>27</v>
      </c>
      <c r="AA167" s="471">
        <v>8</v>
      </c>
      <c r="AB167" s="471" t="s">
        <v>27</v>
      </c>
      <c r="AC167" s="471">
        <v>2</v>
      </c>
      <c r="AD167" s="809" t="s">
        <v>1356</v>
      </c>
      <c r="AE167" s="809" t="s">
        <v>1356</v>
      </c>
      <c r="AF167" s="809" t="s">
        <v>1356</v>
      </c>
      <c r="AG167" s="688" t="s">
        <v>1366</v>
      </c>
      <c r="AH167" s="687">
        <f t="shared" si="54"/>
        <v>129.5</v>
      </c>
      <c r="AI167" s="700"/>
      <c r="AJ167" s="708">
        <f t="shared" si="51"/>
        <v>9</v>
      </c>
      <c r="AK167" s="708">
        <f t="shared" si="52"/>
        <v>0</v>
      </c>
      <c r="AL167" s="708">
        <f t="shared" si="53"/>
        <v>0</v>
      </c>
      <c r="AM167" s="665"/>
    </row>
    <row r="168" spans="2:44" ht="16" customHeight="1">
      <c r="B168" s="472" t="s">
        <v>1359</v>
      </c>
      <c r="C168" s="468">
        <v>12</v>
      </c>
      <c r="D168" s="649" t="s">
        <v>27</v>
      </c>
      <c r="E168" s="653" t="s">
        <v>27</v>
      </c>
      <c r="F168" s="468">
        <v>8.5</v>
      </c>
      <c r="G168" s="468">
        <v>9</v>
      </c>
      <c r="H168" s="470" t="s">
        <v>27</v>
      </c>
      <c r="I168" s="468">
        <v>10.5</v>
      </c>
      <c r="J168" s="468">
        <v>11</v>
      </c>
      <c r="K168" s="645">
        <v>8</v>
      </c>
      <c r="L168" s="653">
        <v>8.5</v>
      </c>
      <c r="M168" s="468">
        <v>8.5</v>
      </c>
      <c r="N168" s="468" t="s">
        <v>27</v>
      </c>
      <c r="O168" s="470" t="s">
        <v>27</v>
      </c>
      <c r="P168" s="468">
        <v>8.5</v>
      </c>
      <c r="Q168" s="468">
        <v>11</v>
      </c>
      <c r="R168" s="645">
        <v>11</v>
      </c>
      <c r="S168" s="653">
        <v>9.5</v>
      </c>
      <c r="T168" s="468" t="s">
        <v>27</v>
      </c>
      <c r="U168" s="468" t="s">
        <v>27</v>
      </c>
      <c r="V168" s="611">
        <v>9</v>
      </c>
      <c r="W168" s="847" t="s">
        <v>1356</v>
      </c>
      <c r="X168" s="847" t="s">
        <v>1356</v>
      </c>
      <c r="Y168" s="847" t="s">
        <v>1356</v>
      </c>
      <c r="Z168" s="653">
        <v>9</v>
      </c>
      <c r="AA168" s="468">
        <v>8</v>
      </c>
      <c r="AB168" s="468" t="s">
        <v>27</v>
      </c>
      <c r="AC168" s="468" t="s">
        <v>27</v>
      </c>
      <c r="AD168" s="468">
        <v>11</v>
      </c>
      <c r="AE168" s="468">
        <v>11.5</v>
      </c>
      <c r="AF168" s="468">
        <v>11</v>
      </c>
      <c r="AG168" s="688" t="s">
        <v>1366</v>
      </c>
      <c r="AH168" s="366">
        <f t="shared" si="54"/>
        <v>175.5</v>
      </c>
      <c r="AI168" s="699"/>
      <c r="AJ168" s="708">
        <f t="shared" si="51"/>
        <v>9</v>
      </c>
      <c r="AK168" s="708">
        <f t="shared" si="52"/>
        <v>0</v>
      </c>
      <c r="AL168" s="708">
        <f t="shared" si="53"/>
        <v>0</v>
      </c>
      <c r="AM168" s="665"/>
    </row>
    <row r="169" spans="2:44" ht="16" customHeight="1">
      <c r="B169" s="473" t="s">
        <v>1360</v>
      </c>
      <c r="C169" s="471">
        <v>12</v>
      </c>
      <c r="D169" s="652">
        <v>7</v>
      </c>
      <c r="E169" s="654" t="s">
        <v>27</v>
      </c>
      <c r="F169" s="471" t="s">
        <v>27</v>
      </c>
      <c r="G169" s="471" t="s">
        <v>1355</v>
      </c>
      <c r="H169" s="471" t="s">
        <v>1355</v>
      </c>
      <c r="I169" s="471" t="s">
        <v>1355</v>
      </c>
      <c r="J169" s="471" t="s">
        <v>1355</v>
      </c>
      <c r="K169" s="652" t="s">
        <v>1355</v>
      </c>
      <c r="L169" s="654" t="s">
        <v>27</v>
      </c>
      <c r="M169" s="471" t="s">
        <v>27</v>
      </c>
      <c r="N169" s="471">
        <v>10</v>
      </c>
      <c r="O169" s="471">
        <v>9.5</v>
      </c>
      <c r="P169" s="471">
        <v>11.5</v>
      </c>
      <c r="Q169" s="471">
        <v>9</v>
      </c>
      <c r="R169" s="652">
        <v>11</v>
      </c>
      <c r="S169" s="654" t="s">
        <v>27</v>
      </c>
      <c r="T169" s="471" t="s">
        <v>27</v>
      </c>
      <c r="U169" s="471">
        <v>10</v>
      </c>
      <c r="V169" s="471">
        <v>9</v>
      </c>
      <c r="W169" s="809" t="s">
        <v>1356</v>
      </c>
      <c r="X169" s="809" t="s">
        <v>1356</v>
      </c>
      <c r="Y169" s="809" t="s">
        <v>1356</v>
      </c>
      <c r="Z169" s="654" t="s">
        <v>27</v>
      </c>
      <c r="AA169" s="471" t="s">
        <v>27</v>
      </c>
      <c r="AB169" s="471">
        <v>9.5</v>
      </c>
      <c r="AC169" s="471">
        <v>10.5</v>
      </c>
      <c r="AD169" s="809" t="s">
        <v>1356</v>
      </c>
      <c r="AE169" s="809" t="s">
        <v>1356</v>
      </c>
      <c r="AF169" s="809" t="s">
        <v>1356</v>
      </c>
      <c r="AG169" s="688" t="s">
        <v>1366</v>
      </c>
      <c r="AH169" s="687">
        <f t="shared" si="54"/>
        <v>109</v>
      </c>
      <c r="AI169" s="700"/>
      <c r="AJ169" s="708">
        <f t="shared" si="51"/>
        <v>8</v>
      </c>
      <c r="AK169" s="708">
        <f t="shared" si="52"/>
        <v>0</v>
      </c>
      <c r="AL169" s="708">
        <f t="shared" si="53"/>
        <v>5</v>
      </c>
      <c r="AM169" s="665"/>
    </row>
    <row r="170" spans="2:44" ht="16" customHeight="1">
      <c r="B170" s="657" t="s">
        <v>1363</v>
      </c>
      <c r="C170" s="468">
        <v>12</v>
      </c>
      <c r="D170" s="651">
        <v>7</v>
      </c>
      <c r="E170" s="653">
        <v>9</v>
      </c>
      <c r="F170" s="468" t="s">
        <v>27</v>
      </c>
      <c r="G170" s="468">
        <v>9</v>
      </c>
      <c r="H170" s="468" t="s">
        <v>27</v>
      </c>
      <c r="I170" s="468">
        <v>12.5</v>
      </c>
      <c r="J170" s="468">
        <v>8</v>
      </c>
      <c r="K170" s="651">
        <v>4</v>
      </c>
      <c r="L170" s="653">
        <v>8.5</v>
      </c>
      <c r="M170" s="468" t="s">
        <v>27</v>
      </c>
      <c r="N170" s="468">
        <v>10</v>
      </c>
      <c r="O170" s="468" t="s">
        <v>27</v>
      </c>
      <c r="P170" s="468">
        <v>11.5</v>
      </c>
      <c r="Q170" s="468">
        <v>11</v>
      </c>
      <c r="R170" s="651">
        <v>11</v>
      </c>
      <c r="S170" s="653">
        <v>9.5</v>
      </c>
      <c r="T170" s="847" t="s">
        <v>1356</v>
      </c>
      <c r="U170" s="468" t="s">
        <v>27</v>
      </c>
      <c r="V170" s="468" t="s">
        <v>27</v>
      </c>
      <c r="W170" s="468">
        <v>11</v>
      </c>
      <c r="X170" s="468">
        <v>12</v>
      </c>
      <c r="Y170" s="651">
        <v>10</v>
      </c>
      <c r="Z170" s="653">
        <v>9</v>
      </c>
      <c r="AA170" s="468" t="s">
        <v>27</v>
      </c>
      <c r="AB170" s="468">
        <v>9.5</v>
      </c>
      <c r="AC170" s="468" t="s">
        <v>27</v>
      </c>
      <c r="AD170" s="847" t="s">
        <v>1356</v>
      </c>
      <c r="AE170" s="847" t="s">
        <v>1356</v>
      </c>
      <c r="AF170" s="847" t="s">
        <v>1356</v>
      </c>
      <c r="AG170" s="688" t="s">
        <v>1366</v>
      </c>
      <c r="AH170" s="366">
        <f t="shared" si="54"/>
        <v>174.5</v>
      </c>
      <c r="AI170" s="699"/>
    </row>
    <row r="171" spans="2:44" ht="16" customHeight="1">
      <c r="B171" s="473"/>
      <c r="C171" s="471"/>
      <c r="D171" s="652"/>
      <c r="E171" s="654"/>
      <c r="F171" s="471"/>
      <c r="G171" s="471"/>
      <c r="H171" s="471"/>
      <c r="I171" s="471"/>
      <c r="J171" s="471"/>
      <c r="K171" s="652"/>
      <c r="L171" s="654"/>
      <c r="M171" s="471"/>
      <c r="N171" s="471"/>
      <c r="O171" s="471"/>
      <c r="P171" s="471"/>
      <c r="Q171" s="471"/>
      <c r="R171" s="652"/>
      <c r="S171" s="654"/>
      <c r="T171" s="471"/>
      <c r="U171" s="471"/>
      <c r="V171" s="471"/>
      <c r="W171" s="471"/>
      <c r="X171" s="471"/>
      <c r="Y171" s="652"/>
      <c r="Z171" s="654"/>
      <c r="AA171" s="471"/>
      <c r="AB171" s="471"/>
      <c r="AC171" s="471"/>
      <c r="AD171" s="471"/>
      <c r="AE171" s="471"/>
      <c r="AF171" s="471"/>
      <c r="AG171" s="688" t="s">
        <v>1366</v>
      </c>
      <c r="AH171" s="687">
        <f t="shared" si="54"/>
        <v>0</v>
      </c>
      <c r="AI171" s="700"/>
    </row>
    <row r="172" spans="2:44" ht="16" customHeight="1">
      <c r="B172" s="472" t="s">
        <v>1361</v>
      </c>
      <c r="C172" s="468">
        <v>11</v>
      </c>
      <c r="D172" s="651"/>
      <c r="E172" s="653"/>
      <c r="F172" s="468"/>
      <c r="G172" s="468"/>
      <c r="H172" s="468"/>
      <c r="I172" s="468">
        <v>5.5</v>
      </c>
      <c r="J172" s="468">
        <v>6</v>
      </c>
      <c r="K172" s="651">
        <v>8</v>
      </c>
      <c r="L172" s="653"/>
      <c r="M172" s="468"/>
      <c r="N172" s="468"/>
      <c r="O172" s="468"/>
      <c r="P172" s="468"/>
      <c r="Q172" s="468">
        <v>6</v>
      </c>
      <c r="R172" s="651">
        <v>10</v>
      </c>
      <c r="S172" s="653"/>
      <c r="T172" s="468"/>
      <c r="U172" s="468"/>
      <c r="V172" s="468"/>
      <c r="W172" s="468">
        <v>11</v>
      </c>
      <c r="X172" s="468">
        <v>11</v>
      </c>
      <c r="Y172" s="651">
        <v>10</v>
      </c>
      <c r="Z172" s="653"/>
      <c r="AA172" s="468"/>
      <c r="AB172" s="468"/>
      <c r="AC172" s="468"/>
      <c r="AD172" s="468">
        <v>6</v>
      </c>
      <c r="AE172" s="468">
        <v>6.5</v>
      </c>
      <c r="AF172" s="468">
        <v>11</v>
      </c>
      <c r="AG172" s="688" t="s">
        <v>1366</v>
      </c>
      <c r="AH172" s="366">
        <f t="shared" si="54"/>
        <v>102</v>
      </c>
      <c r="AI172" s="699"/>
    </row>
    <row r="173" spans="2:44" ht="16" customHeight="1">
      <c r="B173" s="473" t="s">
        <v>1875</v>
      </c>
      <c r="C173" s="471">
        <v>12</v>
      </c>
      <c r="D173" s="652"/>
      <c r="E173" s="654"/>
      <c r="F173" s="471"/>
      <c r="G173" s="471"/>
      <c r="H173" s="471"/>
      <c r="I173" s="471"/>
      <c r="J173" s="471"/>
      <c r="K173" s="652"/>
      <c r="L173" s="654"/>
      <c r="M173" s="471"/>
      <c r="N173" s="471"/>
      <c r="O173" s="471"/>
      <c r="P173" s="471"/>
      <c r="Q173" s="471"/>
      <c r="R173" s="652"/>
      <c r="S173" s="654"/>
      <c r="T173" s="471"/>
      <c r="U173" s="471"/>
      <c r="V173" s="471"/>
      <c r="W173" s="809" t="s">
        <v>1356</v>
      </c>
      <c r="X173" s="809" t="s">
        <v>2268</v>
      </c>
      <c r="Y173" s="848" t="s">
        <v>1356</v>
      </c>
      <c r="Z173" s="654"/>
      <c r="AA173" s="471"/>
      <c r="AB173" s="471"/>
      <c r="AC173" s="471"/>
      <c r="AD173" s="809" t="s">
        <v>1356</v>
      </c>
      <c r="AE173" s="809" t="s">
        <v>1356</v>
      </c>
      <c r="AF173" s="809" t="s">
        <v>1356</v>
      </c>
      <c r="AG173" s="688" t="s">
        <v>1366</v>
      </c>
      <c r="AH173" s="687">
        <f t="shared" si="54"/>
        <v>12</v>
      </c>
      <c r="AI173" s="700"/>
    </row>
    <row r="174" spans="2:44" ht="16" customHeight="1">
      <c r="B174" s="472" t="s">
        <v>1877</v>
      </c>
      <c r="C174" s="468">
        <v>11</v>
      </c>
      <c r="D174" s="651"/>
      <c r="E174" s="653"/>
      <c r="F174" s="468">
        <v>9</v>
      </c>
      <c r="G174" s="468"/>
      <c r="H174" s="468"/>
      <c r="I174" s="468"/>
      <c r="J174" s="468">
        <v>6</v>
      </c>
      <c r="K174" s="651"/>
      <c r="L174" s="653"/>
      <c r="M174" s="468">
        <v>9</v>
      </c>
      <c r="N174" s="468">
        <v>9</v>
      </c>
      <c r="O174" s="468"/>
      <c r="P174" s="468">
        <v>9</v>
      </c>
      <c r="Q174" s="468"/>
      <c r="R174" s="651">
        <v>10</v>
      </c>
      <c r="S174" s="653"/>
      <c r="T174" s="468">
        <v>8</v>
      </c>
      <c r="U174" s="468"/>
      <c r="V174" s="468"/>
      <c r="W174" s="468">
        <v>9</v>
      </c>
      <c r="X174" s="468">
        <v>7</v>
      </c>
      <c r="Y174" s="651"/>
      <c r="Z174" s="653"/>
      <c r="AA174" s="468">
        <v>9</v>
      </c>
      <c r="AB174" s="468"/>
      <c r="AC174" s="468"/>
      <c r="AD174" s="468"/>
      <c r="AE174" s="468">
        <v>11.5</v>
      </c>
      <c r="AF174" s="468"/>
      <c r="AG174" s="688" t="s">
        <v>1366</v>
      </c>
      <c r="AH174" s="366">
        <f t="shared" si="54"/>
        <v>107.5</v>
      </c>
      <c r="AI174" s="699"/>
    </row>
    <row r="175" spans="2:44" ht="16" customHeight="1">
      <c r="B175" s="473" t="s">
        <v>2246</v>
      </c>
      <c r="C175" s="471"/>
      <c r="D175" s="652"/>
      <c r="E175" s="654"/>
      <c r="F175" s="471"/>
      <c r="G175" s="471"/>
      <c r="H175" s="471">
        <v>9.5</v>
      </c>
      <c r="I175" s="471"/>
      <c r="J175" s="471"/>
      <c r="K175" s="652"/>
      <c r="L175" s="654"/>
      <c r="M175" s="471"/>
      <c r="N175" s="471"/>
      <c r="O175" s="471"/>
      <c r="P175" s="471"/>
      <c r="Q175" s="471"/>
      <c r="R175" s="652"/>
      <c r="S175" s="654"/>
      <c r="T175" s="471"/>
      <c r="U175" s="471">
        <v>10</v>
      </c>
      <c r="V175" s="471"/>
      <c r="W175" s="471"/>
      <c r="X175" s="471"/>
      <c r="Y175" s="652"/>
      <c r="Z175" s="654"/>
      <c r="AA175" s="471"/>
      <c r="AB175" s="471"/>
      <c r="AC175" s="471"/>
      <c r="AD175" s="471"/>
      <c r="AE175" s="471"/>
      <c r="AF175" s="471"/>
      <c r="AG175" s="688" t="s">
        <v>1366</v>
      </c>
      <c r="AH175" s="687">
        <f t="shared" si="54"/>
        <v>19.5</v>
      </c>
      <c r="AI175" s="700"/>
    </row>
    <row r="176" spans="2:44" ht="16" customHeight="1">
      <c r="B176" s="472"/>
      <c r="C176" s="468"/>
      <c r="D176" s="651"/>
      <c r="E176" s="653"/>
      <c r="F176" s="468"/>
      <c r="G176" s="468"/>
      <c r="H176" s="468"/>
      <c r="I176" s="468"/>
      <c r="J176" s="468"/>
      <c r="K176" s="651"/>
      <c r="L176" s="653"/>
      <c r="M176" s="468"/>
      <c r="N176" s="468"/>
      <c r="O176" s="468"/>
      <c r="P176" s="468"/>
      <c r="Q176" s="468"/>
      <c r="R176" s="651"/>
      <c r="S176" s="653"/>
      <c r="T176" s="468"/>
      <c r="U176" s="468"/>
      <c r="V176" s="468"/>
      <c r="W176" s="468"/>
      <c r="X176" s="468"/>
      <c r="Y176" s="651"/>
      <c r="Z176" s="653"/>
      <c r="AA176" s="468"/>
      <c r="AB176" s="468"/>
      <c r="AC176" s="468"/>
      <c r="AD176" s="468"/>
      <c r="AE176" s="468"/>
      <c r="AF176" s="468"/>
      <c r="AG176" s="688" t="s">
        <v>1366</v>
      </c>
      <c r="AH176" s="366">
        <f t="shared" si="54"/>
        <v>0</v>
      </c>
      <c r="AI176" s="699"/>
    </row>
    <row r="177" spans="2:44" s="272" customFormat="1" ht="23" customHeight="1">
      <c r="B177" s="668"/>
      <c r="C177" s="234"/>
      <c r="D177" s="234"/>
      <c r="E177" s="234"/>
      <c r="F177" s="234"/>
      <c r="G177" s="234"/>
      <c r="H177" s="234"/>
      <c r="I177" s="234"/>
      <c r="J177" s="234"/>
      <c r="K177" s="234"/>
      <c r="L177" s="234"/>
      <c r="M177" s="234"/>
      <c r="N177" s="234"/>
      <c r="O177" s="234"/>
      <c r="P177" s="234"/>
      <c r="Q177" s="234"/>
      <c r="R177" s="234"/>
      <c r="S177" s="234"/>
      <c r="T177" s="234"/>
      <c r="U177" s="234"/>
      <c r="V177" s="234"/>
      <c r="W177" s="234"/>
      <c r="X177" s="234"/>
      <c r="Y177" s="234"/>
      <c r="Z177" s="234"/>
      <c r="AA177" s="234"/>
      <c r="AB177" s="234"/>
      <c r="AC177" s="234"/>
      <c r="AD177" s="234"/>
      <c r="AE177" s="234"/>
      <c r="AF177" s="234"/>
      <c r="AG177" s="234"/>
      <c r="AH177" s="721"/>
      <c r="AI177" s="690"/>
      <c r="AJ177" s="708"/>
      <c r="AK177" s="708"/>
      <c r="AL177" s="708"/>
      <c r="AM177" s="663"/>
      <c r="AN177" s="701"/>
      <c r="AO177" s="663"/>
      <c r="AP177" s="663"/>
      <c r="AQ177" s="663"/>
      <c r="AR177" s="664"/>
    </row>
    <row r="178" spans="2:44" s="272" customFormat="1" ht="20">
      <c r="B178" s="953" t="s">
        <v>1379</v>
      </c>
      <c r="C178" s="953"/>
      <c r="D178" s="953"/>
      <c r="E178" s="953"/>
      <c r="F178" s="953"/>
      <c r="G178" s="953"/>
      <c r="H178" s="953"/>
      <c r="I178" s="953"/>
      <c r="J178" s="953"/>
      <c r="K178" s="953"/>
      <c r="L178" s="953"/>
      <c r="M178" s="953"/>
      <c r="N178" s="953"/>
      <c r="O178" s="953"/>
      <c r="P178" s="953"/>
      <c r="Q178" s="953"/>
      <c r="R178" s="953"/>
      <c r="S178" s="953"/>
      <c r="T178" s="953"/>
      <c r="U178" s="953"/>
      <c r="V178" s="953"/>
      <c r="W178" s="953"/>
      <c r="X178" s="953"/>
      <c r="Y178" s="953"/>
      <c r="Z178" s="953"/>
      <c r="AA178" s="953"/>
      <c r="AB178" s="953"/>
      <c r="AC178" s="953"/>
      <c r="AD178" s="953"/>
      <c r="AE178" s="953"/>
      <c r="AF178" s="953"/>
      <c r="AG178" s="953"/>
      <c r="AH178" s="953"/>
      <c r="AI178" s="690"/>
      <c r="AJ178" s="694"/>
      <c r="AK178" s="694"/>
      <c r="AL178" s="694"/>
      <c r="AM178" s="695"/>
      <c r="AN178" s="701"/>
      <c r="AO178" s="663"/>
      <c r="AP178" s="663"/>
      <c r="AQ178" s="663"/>
      <c r="AR178" s="664"/>
    </row>
    <row r="179" spans="2:44">
      <c r="B179" s="707"/>
      <c r="C179" s="704">
        <v>1</v>
      </c>
      <c r="D179" s="367">
        <v>2</v>
      </c>
      <c r="E179" s="367">
        <v>3</v>
      </c>
      <c r="F179" s="367">
        <v>4</v>
      </c>
      <c r="G179" s="367">
        <v>5</v>
      </c>
      <c r="H179" s="367">
        <v>6</v>
      </c>
      <c r="I179" s="684">
        <v>7</v>
      </c>
      <c r="J179" s="704">
        <v>8</v>
      </c>
      <c r="K179" s="367">
        <v>9</v>
      </c>
      <c r="L179" s="367">
        <v>10</v>
      </c>
      <c r="M179" s="367">
        <v>11</v>
      </c>
      <c r="N179" s="367">
        <v>12</v>
      </c>
      <c r="O179" s="367">
        <v>13</v>
      </c>
      <c r="P179" s="684">
        <v>14</v>
      </c>
      <c r="Q179" s="704">
        <v>15</v>
      </c>
      <c r="R179" s="367">
        <v>16</v>
      </c>
      <c r="S179" s="367">
        <v>17</v>
      </c>
      <c r="T179" s="367">
        <v>18</v>
      </c>
      <c r="U179" s="367">
        <v>19</v>
      </c>
      <c r="V179" s="367">
        <v>20</v>
      </c>
      <c r="W179" s="684">
        <v>21</v>
      </c>
      <c r="X179" s="704">
        <v>22</v>
      </c>
      <c r="Y179" s="367">
        <v>23</v>
      </c>
      <c r="Z179" s="367">
        <v>24</v>
      </c>
      <c r="AA179" s="367">
        <v>25</v>
      </c>
      <c r="AB179" s="367">
        <v>26</v>
      </c>
      <c r="AC179" s="367">
        <v>27</v>
      </c>
      <c r="AD179" s="684">
        <v>28</v>
      </c>
      <c r="AE179" s="704">
        <v>29</v>
      </c>
      <c r="AF179" s="367">
        <v>30</v>
      </c>
      <c r="AG179" s="367">
        <v>31</v>
      </c>
      <c r="AH179" s="367" t="s">
        <v>116</v>
      </c>
      <c r="AI179" s="666" t="s">
        <v>292</v>
      </c>
      <c r="AJ179" s="717" t="s">
        <v>27</v>
      </c>
      <c r="AK179" s="718" t="s">
        <v>1909</v>
      </c>
      <c r="AL179" s="719" t="s">
        <v>1355</v>
      </c>
      <c r="AM179" s="695"/>
    </row>
    <row r="180" spans="2:44" ht="16" customHeight="1">
      <c r="B180" s="657" t="s">
        <v>1354</v>
      </c>
      <c r="C180" s="653">
        <v>8</v>
      </c>
      <c r="D180" s="468">
        <v>8</v>
      </c>
      <c r="E180" s="468">
        <v>8</v>
      </c>
      <c r="F180" s="468">
        <v>8</v>
      </c>
      <c r="G180" s="468">
        <v>8</v>
      </c>
      <c r="H180" s="468" t="s">
        <v>27</v>
      </c>
      <c r="I180" s="651" t="s">
        <v>27</v>
      </c>
      <c r="J180" s="653" t="s">
        <v>27</v>
      </c>
      <c r="K180" s="468">
        <v>8</v>
      </c>
      <c r="L180" s="468">
        <v>8</v>
      </c>
      <c r="M180" s="468">
        <v>8</v>
      </c>
      <c r="N180" s="468">
        <v>8</v>
      </c>
      <c r="O180" s="468" t="s">
        <v>27</v>
      </c>
      <c r="P180" s="651" t="s">
        <v>27</v>
      </c>
      <c r="Q180" s="653">
        <v>8</v>
      </c>
      <c r="R180" s="468">
        <v>8</v>
      </c>
      <c r="S180" s="468">
        <v>8</v>
      </c>
      <c r="T180" s="468">
        <v>9.5</v>
      </c>
      <c r="U180" s="468">
        <v>8</v>
      </c>
      <c r="V180" s="468">
        <v>3</v>
      </c>
      <c r="W180" s="651" t="s">
        <v>27</v>
      </c>
      <c r="X180" s="653">
        <v>8</v>
      </c>
      <c r="Y180" s="468">
        <v>9</v>
      </c>
      <c r="Z180" s="468">
        <v>3</v>
      </c>
      <c r="AA180" s="468" t="s">
        <v>27</v>
      </c>
      <c r="AB180" s="468">
        <v>3</v>
      </c>
      <c r="AC180" s="468">
        <v>7</v>
      </c>
      <c r="AD180" s="651">
        <v>3</v>
      </c>
      <c r="AE180" s="653" t="s">
        <v>1355</v>
      </c>
      <c r="AF180" s="468" t="s">
        <v>1355</v>
      </c>
      <c r="AG180" s="468" t="s">
        <v>1355</v>
      </c>
      <c r="AH180" s="366">
        <f>SUM(C180:AG180)</f>
        <v>149.5</v>
      </c>
      <c r="AI180" s="699"/>
      <c r="AJ180" s="708">
        <f>COUNTIF(C180:AG180,"R")</f>
        <v>7</v>
      </c>
      <c r="AK180" s="708">
        <f>COUNTIF(C180:AG180,"Z")</f>
        <v>0</v>
      </c>
      <c r="AL180" s="708">
        <f>COUNTIF(C180:AG180,"FE")</f>
        <v>3</v>
      </c>
      <c r="AM180" s="665"/>
    </row>
    <row r="181" spans="2:44" ht="16" customHeight="1">
      <c r="B181" s="658" t="s">
        <v>1357</v>
      </c>
      <c r="C181" s="654" t="s">
        <v>27</v>
      </c>
      <c r="D181" s="471">
        <v>9</v>
      </c>
      <c r="E181" s="471">
        <v>9</v>
      </c>
      <c r="F181" s="471">
        <v>9</v>
      </c>
      <c r="G181" s="471" t="s">
        <v>27</v>
      </c>
      <c r="H181" s="471">
        <v>9</v>
      </c>
      <c r="I181" s="652">
        <v>9</v>
      </c>
      <c r="J181" s="654">
        <v>9</v>
      </c>
      <c r="K181" s="471" t="s">
        <v>27</v>
      </c>
      <c r="L181" s="471">
        <v>9</v>
      </c>
      <c r="M181" s="471" t="s">
        <v>27</v>
      </c>
      <c r="N181" s="471">
        <v>9</v>
      </c>
      <c r="O181" s="471">
        <v>9</v>
      </c>
      <c r="P181" s="652">
        <v>9</v>
      </c>
      <c r="Q181" s="654" t="s">
        <v>27</v>
      </c>
      <c r="R181" s="471" t="s">
        <v>27</v>
      </c>
      <c r="S181" s="471">
        <v>9</v>
      </c>
      <c r="T181" s="471">
        <v>9</v>
      </c>
      <c r="U181" s="471">
        <v>9</v>
      </c>
      <c r="V181" s="471">
        <v>9</v>
      </c>
      <c r="W181" s="652">
        <v>9</v>
      </c>
      <c r="X181" s="654" t="s">
        <v>27</v>
      </c>
      <c r="Y181" s="471">
        <v>9</v>
      </c>
      <c r="Z181" s="471">
        <v>9</v>
      </c>
      <c r="AA181" s="471" t="s">
        <v>27</v>
      </c>
      <c r="AB181" s="471">
        <v>9</v>
      </c>
      <c r="AC181" s="471">
        <v>9</v>
      </c>
      <c r="AD181" s="652"/>
      <c r="AE181" s="654"/>
      <c r="AF181" s="471"/>
      <c r="AG181" s="471"/>
      <c r="AH181" s="687">
        <f>SUM(C181:AG181)</f>
        <v>171</v>
      </c>
      <c r="AI181" s="700"/>
      <c r="AJ181" s="708">
        <f t="shared" ref="AJ181:AJ185" si="55">COUNTIF(C181:AG181,"R")</f>
        <v>8</v>
      </c>
      <c r="AK181" s="708">
        <f t="shared" ref="AK181:AK185" si="56">COUNTIF(C181:AG181,"Z")</f>
        <v>0</v>
      </c>
      <c r="AL181" s="708">
        <f t="shared" ref="AL181:AL185" si="57">COUNTIF(C181:AG181,"FE")</f>
        <v>0</v>
      </c>
      <c r="AM181" s="665"/>
    </row>
    <row r="182" spans="2:44" ht="16" customHeight="1">
      <c r="B182" s="657" t="s">
        <v>1869</v>
      </c>
      <c r="C182" s="653" t="s">
        <v>27</v>
      </c>
      <c r="D182" s="468" t="s">
        <v>27</v>
      </c>
      <c r="E182" s="468">
        <v>9</v>
      </c>
      <c r="F182" s="468">
        <v>9</v>
      </c>
      <c r="G182" s="468">
        <v>9</v>
      </c>
      <c r="H182" s="468">
        <v>9</v>
      </c>
      <c r="I182" s="651">
        <v>9</v>
      </c>
      <c r="J182" s="653">
        <v>9</v>
      </c>
      <c r="K182" s="468" t="s">
        <v>27</v>
      </c>
      <c r="L182" s="468" t="s">
        <v>27</v>
      </c>
      <c r="M182" s="468">
        <v>9</v>
      </c>
      <c r="N182" s="468">
        <v>9</v>
      </c>
      <c r="O182" s="468">
        <v>9</v>
      </c>
      <c r="P182" s="651">
        <v>9</v>
      </c>
      <c r="Q182" s="653" t="s">
        <v>27</v>
      </c>
      <c r="R182" s="468">
        <v>9</v>
      </c>
      <c r="S182" s="468" t="s">
        <v>27</v>
      </c>
      <c r="T182" s="468">
        <v>9</v>
      </c>
      <c r="U182" s="468">
        <v>9</v>
      </c>
      <c r="V182" s="468">
        <v>9</v>
      </c>
      <c r="W182" s="651">
        <v>9</v>
      </c>
      <c r="X182" s="653" t="s">
        <v>27</v>
      </c>
      <c r="Y182" s="468">
        <v>9</v>
      </c>
      <c r="Z182" s="468">
        <v>9</v>
      </c>
      <c r="AA182" s="468" t="s">
        <v>27</v>
      </c>
      <c r="AB182" s="468">
        <v>9</v>
      </c>
      <c r="AC182" s="468">
        <v>9</v>
      </c>
      <c r="AD182" s="651"/>
      <c r="AE182" s="653"/>
      <c r="AF182" s="468"/>
      <c r="AG182" s="468"/>
      <c r="AH182" s="366">
        <f t="shared" ref="AH182:AH192" si="58">SUM(C182:AG182)</f>
        <v>171</v>
      </c>
      <c r="AI182" s="699"/>
      <c r="AJ182" s="708">
        <f t="shared" si="55"/>
        <v>8</v>
      </c>
      <c r="AK182" s="708">
        <f t="shared" si="56"/>
        <v>0</v>
      </c>
      <c r="AL182" s="708">
        <f t="shared" si="57"/>
        <v>0</v>
      </c>
      <c r="AM182" s="665"/>
    </row>
    <row r="183" spans="2:44" ht="16" customHeight="1">
      <c r="B183" s="658" t="s">
        <v>1358</v>
      </c>
      <c r="C183" s="654" t="s">
        <v>27</v>
      </c>
      <c r="D183" s="471">
        <v>9</v>
      </c>
      <c r="E183" s="471" t="s">
        <v>27</v>
      </c>
      <c r="F183" s="471">
        <v>7</v>
      </c>
      <c r="G183" s="809" t="s">
        <v>1356</v>
      </c>
      <c r="H183" s="809" t="s">
        <v>1356</v>
      </c>
      <c r="I183" s="652">
        <v>13.5</v>
      </c>
      <c r="J183" s="864" t="s">
        <v>1356</v>
      </c>
      <c r="K183" s="471" t="s">
        <v>27</v>
      </c>
      <c r="L183" s="471" t="s">
        <v>27</v>
      </c>
      <c r="M183" s="471">
        <v>3.5</v>
      </c>
      <c r="N183" s="809" t="s">
        <v>1356</v>
      </c>
      <c r="O183" s="809" t="s">
        <v>1356</v>
      </c>
      <c r="P183" s="848" t="s">
        <v>1356</v>
      </c>
      <c r="Q183" s="654" t="s">
        <v>27</v>
      </c>
      <c r="R183" s="471" t="s">
        <v>27</v>
      </c>
      <c r="S183" s="471">
        <v>8.5</v>
      </c>
      <c r="T183" s="471" t="s">
        <v>27</v>
      </c>
      <c r="U183" s="471">
        <v>11.5</v>
      </c>
      <c r="V183" s="471">
        <v>12</v>
      </c>
      <c r="W183" s="652">
        <v>10.5</v>
      </c>
      <c r="X183" s="654" t="s">
        <v>27</v>
      </c>
      <c r="Y183" s="808" t="s">
        <v>1356</v>
      </c>
      <c r="Z183" s="808" t="s">
        <v>1356</v>
      </c>
      <c r="AA183" s="471"/>
      <c r="AB183" s="809" t="s">
        <v>1356</v>
      </c>
      <c r="AC183" s="808" t="s">
        <v>1356</v>
      </c>
      <c r="AD183" s="652"/>
      <c r="AE183" s="654"/>
      <c r="AF183" s="471"/>
      <c r="AG183" s="471"/>
      <c r="AH183" s="687">
        <f t="shared" si="58"/>
        <v>75.5</v>
      </c>
      <c r="AI183" s="700"/>
      <c r="AJ183" s="708">
        <f t="shared" si="55"/>
        <v>8</v>
      </c>
      <c r="AK183" s="708">
        <f t="shared" si="56"/>
        <v>0</v>
      </c>
      <c r="AL183" s="708">
        <f t="shared" si="57"/>
        <v>0</v>
      </c>
      <c r="AM183" s="665"/>
    </row>
    <row r="184" spans="2:44" ht="16" customHeight="1">
      <c r="B184" s="657" t="s">
        <v>1359</v>
      </c>
      <c r="C184" s="653">
        <v>8</v>
      </c>
      <c r="D184" s="470" t="s">
        <v>27</v>
      </c>
      <c r="E184" s="468" t="s">
        <v>27</v>
      </c>
      <c r="F184" s="468" t="s">
        <v>27</v>
      </c>
      <c r="G184" s="468">
        <v>11.5</v>
      </c>
      <c r="H184" s="470">
        <v>11</v>
      </c>
      <c r="I184" s="810" t="s">
        <v>1356</v>
      </c>
      <c r="J184" s="653">
        <v>8</v>
      </c>
      <c r="K184" s="611">
        <v>8</v>
      </c>
      <c r="L184" s="468" t="s">
        <v>27</v>
      </c>
      <c r="M184" s="468" t="s">
        <v>27</v>
      </c>
      <c r="N184" s="847" t="s">
        <v>1356</v>
      </c>
      <c r="O184" s="470" t="s">
        <v>2268</v>
      </c>
      <c r="P184" s="810" t="s">
        <v>1356</v>
      </c>
      <c r="Q184" s="653" t="s">
        <v>27</v>
      </c>
      <c r="R184" s="470" t="s">
        <v>27</v>
      </c>
      <c r="S184" s="468" t="s">
        <v>27</v>
      </c>
      <c r="T184" s="468">
        <v>10.5</v>
      </c>
      <c r="U184" s="847" t="s">
        <v>1356</v>
      </c>
      <c r="V184" s="868" t="s">
        <v>2390</v>
      </c>
      <c r="W184" s="810" t="s">
        <v>1356</v>
      </c>
      <c r="X184" s="865" t="s">
        <v>1356</v>
      </c>
      <c r="Y184" s="468">
        <v>12</v>
      </c>
      <c r="Z184" s="468" t="s">
        <v>27</v>
      </c>
      <c r="AA184" s="468"/>
      <c r="AB184" s="868" t="s">
        <v>2390</v>
      </c>
      <c r="AC184" s="868" t="s">
        <v>2390</v>
      </c>
      <c r="AD184" s="651"/>
      <c r="AE184" s="653"/>
      <c r="AF184" s="468"/>
      <c r="AG184" s="468"/>
      <c r="AH184" s="366">
        <f t="shared" si="58"/>
        <v>69</v>
      </c>
      <c r="AI184" s="699"/>
      <c r="AJ184" s="708">
        <f t="shared" si="55"/>
        <v>9</v>
      </c>
      <c r="AK184" s="708">
        <f t="shared" si="56"/>
        <v>0</v>
      </c>
      <c r="AL184" s="708">
        <f t="shared" si="57"/>
        <v>0</v>
      </c>
      <c r="AM184" s="665"/>
    </row>
    <row r="185" spans="2:44" ht="16" customHeight="1">
      <c r="B185" s="658" t="s">
        <v>1360</v>
      </c>
      <c r="C185" s="654" t="s">
        <v>27</v>
      </c>
      <c r="D185" s="471" t="s">
        <v>27</v>
      </c>
      <c r="E185" s="471">
        <v>9.5</v>
      </c>
      <c r="F185" s="471" t="s">
        <v>27</v>
      </c>
      <c r="G185" s="809" t="s">
        <v>1356</v>
      </c>
      <c r="H185" s="809" t="s">
        <v>1356</v>
      </c>
      <c r="I185" s="848" t="s">
        <v>1356</v>
      </c>
      <c r="J185" s="864" t="s">
        <v>1356</v>
      </c>
      <c r="K185" s="471" t="s">
        <v>27</v>
      </c>
      <c r="L185" s="471">
        <v>10</v>
      </c>
      <c r="M185" s="471" t="s">
        <v>27</v>
      </c>
      <c r="N185" s="809" t="s">
        <v>1356</v>
      </c>
      <c r="O185" s="809" t="s">
        <v>1356</v>
      </c>
      <c r="P185" s="848" t="s">
        <v>1356</v>
      </c>
      <c r="Q185" s="654" t="s">
        <v>27</v>
      </c>
      <c r="R185" s="471">
        <v>9</v>
      </c>
      <c r="S185" s="471">
        <v>8.5</v>
      </c>
      <c r="T185" s="471" t="s">
        <v>27</v>
      </c>
      <c r="U185" s="809" t="s">
        <v>1356</v>
      </c>
      <c r="V185" s="869" t="s">
        <v>2390</v>
      </c>
      <c r="W185" s="848" t="s">
        <v>1356</v>
      </c>
      <c r="X185" s="654">
        <v>11.5</v>
      </c>
      <c r="Y185" s="471" t="s">
        <v>27</v>
      </c>
      <c r="Z185" s="471">
        <v>10.5</v>
      </c>
      <c r="AA185" s="471"/>
      <c r="AB185" s="869" t="s">
        <v>2390</v>
      </c>
      <c r="AC185" s="869" t="s">
        <v>2390</v>
      </c>
      <c r="AD185" s="652"/>
      <c r="AE185" s="654"/>
      <c r="AF185" s="471"/>
      <c r="AG185" s="471"/>
      <c r="AH185" s="687">
        <f t="shared" si="58"/>
        <v>59</v>
      </c>
      <c r="AI185" s="700"/>
      <c r="AJ185" s="708">
        <f t="shared" si="55"/>
        <v>8</v>
      </c>
      <c r="AK185" s="708">
        <f t="shared" si="56"/>
        <v>0</v>
      </c>
      <c r="AL185" s="708">
        <f t="shared" si="57"/>
        <v>0</v>
      </c>
      <c r="AM185" s="665"/>
    </row>
    <row r="186" spans="2:44" ht="16" customHeight="1">
      <c r="B186" s="657" t="s">
        <v>1363</v>
      </c>
      <c r="C186" s="653">
        <v>8</v>
      </c>
      <c r="D186" s="468" t="s">
        <v>27</v>
      </c>
      <c r="E186" s="468" t="s">
        <v>27</v>
      </c>
      <c r="F186" s="468" t="s">
        <v>27</v>
      </c>
      <c r="G186" s="468">
        <v>4.5</v>
      </c>
      <c r="H186" s="468">
        <v>3</v>
      </c>
      <c r="I186" s="651">
        <v>9.5</v>
      </c>
      <c r="J186" s="865" t="s">
        <v>1356</v>
      </c>
      <c r="K186" s="468" t="s">
        <v>27</v>
      </c>
      <c r="L186" s="468">
        <v>10</v>
      </c>
      <c r="M186" s="468" t="s">
        <v>27</v>
      </c>
      <c r="N186" s="468">
        <v>11.5</v>
      </c>
      <c r="O186" s="468">
        <v>12</v>
      </c>
      <c r="P186" s="651">
        <v>11.5</v>
      </c>
      <c r="Q186" s="653" t="s">
        <v>27</v>
      </c>
      <c r="R186" s="468">
        <v>9</v>
      </c>
      <c r="S186" s="468" t="s">
        <v>27</v>
      </c>
      <c r="T186" s="468">
        <v>10.5</v>
      </c>
      <c r="U186" s="847" t="s">
        <v>1356</v>
      </c>
      <c r="V186" s="868" t="s">
        <v>2390</v>
      </c>
      <c r="W186" s="645">
        <v>10.5</v>
      </c>
      <c r="X186" s="653">
        <v>6.5</v>
      </c>
      <c r="Y186" s="468" t="s">
        <v>27</v>
      </c>
      <c r="Z186" s="468">
        <v>7</v>
      </c>
      <c r="AA186" s="468"/>
      <c r="AB186" s="468">
        <v>10.5</v>
      </c>
      <c r="AC186" s="468">
        <v>11.5</v>
      </c>
      <c r="AD186" s="651"/>
      <c r="AE186" s="653"/>
      <c r="AF186" s="468"/>
      <c r="AG186" s="468"/>
      <c r="AH186" s="366">
        <f t="shared" si="58"/>
        <v>135.5</v>
      </c>
      <c r="AI186" s="699"/>
    </row>
    <row r="187" spans="2:44" ht="16" customHeight="1">
      <c r="B187" s="473"/>
      <c r="C187" s="654"/>
      <c r="D187" s="471"/>
      <c r="E187" s="471"/>
      <c r="F187" s="471"/>
      <c r="G187" s="471"/>
      <c r="H187" s="471"/>
      <c r="I187" s="652"/>
      <c r="J187" s="654"/>
      <c r="K187" s="471"/>
      <c r="L187" s="471"/>
      <c r="M187" s="471"/>
      <c r="N187" s="471"/>
      <c r="O187" s="471"/>
      <c r="P187" s="652"/>
      <c r="Q187" s="654"/>
      <c r="R187" s="471"/>
      <c r="S187" s="471"/>
      <c r="T187" s="471"/>
      <c r="U187" s="471"/>
      <c r="V187" s="471"/>
      <c r="W187" s="652"/>
      <c r="X187" s="654"/>
      <c r="Y187" s="471"/>
      <c r="Z187" s="471"/>
      <c r="AA187" s="471"/>
      <c r="AB187" s="471"/>
      <c r="AC187" s="471"/>
      <c r="AD187" s="652"/>
      <c r="AE187" s="654"/>
      <c r="AF187" s="471"/>
      <c r="AG187" s="471"/>
      <c r="AH187" s="687">
        <f t="shared" si="58"/>
        <v>0</v>
      </c>
      <c r="AI187" s="700"/>
    </row>
    <row r="188" spans="2:44" ht="16" customHeight="1">
      <c r="B188" s="472" t="s">
        <v>1361</v>
      </c>
      <c r="C188" s="653"/>
      <c r="D188" s="468"/>
      <c r="E188" s="468"/>
      <c r="F188" s="468"/>
      <c r="G188" s="468">
        <v>6.5</v>
      </c>
      <c r="H188" s="468">
        <v>10.5</v>
      </c>
      <c r="I188" s="651">
        <v>13.5</v>
      </c>
      <c r="J188" s="653">
        <v>8</v>
      </c>
      <c r="K188" s="468"/>
      <c r="L188" s="468"/>
      <c r="M188" s="468"/>
      <c r="N188" s="468">
        <v>6.5</v>
      </c>
      <c r="O188" s="468">
        <v>12</v>
      </c>
      <c r="P188" s="651">
        <v>11.5</v>
      </c>
      <c r="Q188" s="653"/>
      <c r="R188" s="468"/>
      <c r="S188" s="468"/>
      <c r="T188" s="468"/>
      <c r="U188" s="468">
        <v>6.5</v>
      </c>
      <c r="V188" s="468"/>
      <c r="W188" s="651"/>
      <c r="X188" s="653"/>
      <c r="Y188" s="468"/>
      <c r="Z188" s="468"/>
      <c r="AA188" s="468"/>
      <c r="AB188" s="468">
        <v>10.5</v>
      </c>
      <c r="AC188" s="468">
        <v>11.5</v>
      </c>
      <c r="AD188" s="651"/>
      <c r="AE188" s="653"/>
      <c r="AF188" s="468"/>
      <c r="AG188" s="468"/>
      <c r="AH188" s="366">
        <f t="shared" si="58"/>
        <v>97</v>
      </c>
      <c r="AI188" s="699"/>
    </row>
    <row r="189" spans="2:44" ht="16" customHeight="1">
      <c r="B189" s="473" t="s">
        <v>1875</v>
      </c>
      <c r="C189" s="654"/>
      <c r="D189" s="471"/>
      <c r="E189" s="471"/>
      <c r="F189" s="471">
        <v>10</v>
      </c>
      <c r="G189" s="471">
        <v>5</v>
      </c>
      <c r="H189" s="809" t="s">
        <v>1356</v>
      </c>
      <c r="I189" s="848" t="s">
        <v>1356</v>
      </c>
      <c r="J189" s="864" t="s">
        <v>1356</v>
      </c>
      <c r="K189" s="471">
        <v>8</v>
      </c>
      <c r="L189" s="471"/>
      <c r="M189" s="471">
        <v>9.5</v>
      </c>
      <c r="N189" s="471"/>
      <c r="O189" s="471"/>
      <c r="P189" s="652"/>
      <c r="Q189" s="654"/>
      <c r="R189" s="471"/>
      <c r="S189" s="471"/>
      <c r="T189" s="471"/>
      <c r="U189" s="471"/>
      <c r="V189" s="471"/>
      <c r="W189" s="652"/>
      <c r="X189" s="654">
        <v>5</v>
      </c>
      <c r="Y189" s="471"/>
      <c r="Z189" s="471"/>
      <c r="AA189" s="471"/>
      <c r="AB189" s="471"/>
      <c r="AC189" s="471"/>
      <c r="AD189" s="652"/>
      <c r="AE189" s="654"/>
      <c r="AF189" s="471"/>
      <c r="AG189" s="471"/>
      <c r="AH189" s="687">
        <f t="shared" si="58"/>
        <v>37.5</v>
      </c>
      <c r="AI189" s="700"/>
    </row>
    <row r="190" spans="2:44" ht="16" customHeight="1">
      <c r="B190" s="472" t="s">
        <v>1877</v>
      </c>
      <c r="C190" s="653"/>
      <c r="D190" s="468">
        <v>9</v>
      </c>
      <c r="E190" s="468"/>
      <c r="F190" s="468"/>
      <c r="G190" s="468">
        <v>9</v>
      </c>
      <c r="H190" s="468"/>
      <c r="I190" s="651">
        <v>12</v>
      </c>
      <c r="J190" s="653"/>
      <c r="K190" s="468"/>
      <c r="L190" s="468"/>
      <c r="M190" s="468"/>
      <c r="N190" s="468"/>
      <c r="O190" s="468">
        <v>7</v>
      </c>
      <c r="P190" s="651"/>
      <c r="Q190" s="653"/>
      <c r="R190" s="468"/>
      <c r="S190" s="468"/>
      <c r="T190" s="468"/>
      <c r="U190" s="468"/>
      <c r="V190" s="468"/>
      <c r="W190" s="651"/>
      <c r="X190" s="653"/>
      <c r="Y190" s="468"/>
      <c r="Z190" s="468"/>
      <c r="AA190" s="468"/>
      <c r="AB190" s="468"/>
      <c r="AC190" s="468"/>
      <c r="AD190" s="651"/>
      <c r="AE190" s="653"/>
      <c r="AF190" s="468"/>
      <c r="AG190" s="468"/>
      <c r="AH190" s="366">
        <f t="shared" si="58"/>
        <v>37</v>
      </c>
      <c r="AI190" s="699"/>
    </row>
    <row r="191" spans="2:44" ht="16" customHeight="1">
      <c r="B191" s="473" t="s">
        <v>2246</v>
      </c>
      <c r="C191" s="654"/>
      <c r="D191" s="471"/>
      <c r="E191" s="471"/>
      <c r="F191" s="471"/>
      <c r="G191" s="471"/>
      <c r="H191" s="471"/>
      <c r="I191" s="863" t="s">
        <v>1374</v>
      </c>
      <c r="J191" s="654"/>
      <c r="K191" s="471"/>
      <c r="L191" s="471"/>
      <c r="M191" s="471"/>
      <c r="N191" s="471"/>
      <c r="O191" s="471"/>
      <c r="P191" s="652"/>
      <c r="Q191" s="654"/>
      <c r="R191" s="471"/>
      <c r="S191" s="471"/>
      <c r="T191" s="471"/>
      <c r="U191" s="471"/>
      <c r="V191" s="471"/>
      <c r="W191" s="652"/>
      <c r="X191" s="654"/>
      <c r="Y191" s="471"/>
      <c r="Z191" s="471"/>
      <c r="AA191" s="471"/>
      <c r="AB191" s="471"/>
      <c r="AC191" s="471"/>
      <c r="AD191" s="652"/>
      <c r="AE191" s="654"/>
      <c r="AF191" s="471"/>
      <c r="AG191" s="471"/>
      <c r="AH191" s="687">
        <f t="shared" si="58"/>
        <v>0</v>
      </c>
      <c r="AI191" s="700"/>
    </row>
    <row r="192" spans="2:44" ht="16" customHeight="1">
      <c r="B192" s="657" t="s">
        <v>2389</v>
      </c>
      <c r="C192" s="653"/>
      <c r="D192" s="468"/>
      <c r="E192" s="468"/>
      <c r="F192" s="468"/>
      <c r="G192" s="468"/>
      <c r="H192" s="468"/>
      <c r="I192" s="651"/>
      <c r="J192" s="653"/>
      <c r="K192" s="468"/>
      <c r="L192" s="468"/>
      <c r="M192" s="468"/>
      <c r="N192" s="468"/>
      <c r="O192" s="468"/>
      <c r="P192" s="651"/>
      <c r="Q192" s="653"/>
      <c r="R192" s="468"/>
      <c r="S192" s="468"/>
      <c r="T192" s="468"/>
      <c r="U192" s="468">
        <v>7.5</v>
      </c>
      <c r="V192" s="468">
        <v>12</v>
      </c>
      <c r="W192" s="651"/>
      <c r="X192" s="653"/>
      <c r="Y192" s="468">
        <v>12</v>
      </c>
      <c r="Z192" s="468">
        <v>3.5</v>
      </c>
      <c r="AA192" s="468"/>
      <c r="AB192" s="468"/>
      <c r="AC192" s="468"/>
      <c r="AD192" s="651"/>
      <c r="AE192" s="653"/>
      <c r="AF192" s="468"/>
      <c r="AG192" s="468"/>
      <c r="AH192" s="366">
        <f t="shared" si="58"/>
        <v>35</v>
      </c>
      <c r="AI192" s="699"/>
    </row>
    <row r="193" spans="2:44" s="272" customFormat="1" ht="3" customHeight="1">
      <c r="B193" s="696"/>
      <c r="C193" s="697"/>
      <c r="D193" s="697"/>
      <c r="E193" s="697"/>
      <c r="F193" s="697"/>
      <c r="G193" s="697"/>
      <c r="H193" s="697"/>
      <c r="I193" s="697"/>
      <c r="J193" s="697"/>
      <c r="K193" s="697"/>
      <c r="L193" s="697"/>
      <c r="M193" s="697"/>
      <c r="N193" s="697"/>
      <c r="O193" s="697"/>
      <c r="P193" s="697"/>
      <c r="Q193" s="697"/>
      <c r="R193" s="697"/>
      <c r="S193" s="697"/>
      <c r="T193" s="697"/>
      <c r="U193" s="697"/>
      <c r="V193" s="697"/>
      <c r="W193" s="697"/>
      <c r="X193" s="697"/>
      <c r="Y193" s="697"/>
      <c r="Z193" s="697"/>
      <c r="AA193" s="697"/>
      <c r="AB193" s="697"/>
      <c r="AC193" s="697"/>
      <c r="AD193" s="697"/>
      <c r="AE193" s="697"/>
      <c r="AF193" s="697"/>
      <c r="AG193" s="697"/>
      <c r="AH193" s="698"/>
      <c r="AI193" s="690"/>
      <c r="AJ193" s="708"/>
      <c r="AK193" s="708"/>
      <c r="AL193" s="708"/>
      <c r="AM193" s="663"/>
      <c r="AN193" s="701"/>
      <c r="AO193" s="663"/>
      <c r="AP193" s="663"/>
      <c r="AQ193" s="663"/>
      <c r="AR193" s="664"/>
    </row>
    <row r="194" spans="2:44" s="272" customFormat="1">
      <c r="B194" s="668"/>
      <c r="C194" s="234"/>
      <c r="D194" s="234"/>
      <c r="E194" s="234"/>
      <c r="F194" s="234"/>
      <c r="G194" s="234"/>
      <c r="H194" s="234"/>
      <c r="I194" s="234"/>
      <c r="J194" s="234"/>
      <c r="K194" s="234"/>
      <c r="L194" s="234"/>
      <c r="M194" s="234"/>
      <c r="N194" s="234"/>
      <c r="O194" s="234"/>
      <c r="P194" s="234"/>
      <c r="Q194" s="234"/>
      <c r="R194" s="234"/>
      <c r="S194" s="234"/>
      <c r="T194" s="234"/>
      <c r="U194" s="234"/>
      <c r="V194" s="234"/>
      <c r="W194" s="234"/>
      <c r="X194" s="234"/>
      <c r="Y194" s="234"/>
      <c r="Z194" s="234"/>
      <c r="AA194" s="234"/>
      <c r="AB194" s="234"/>
      <c r="AC194" s="234"/>
      <c r="AD194" s="234"/>
      <c r="AE194" s="234"/>
      <c r="AF194" s="234"/>
      <c r="AG194" s="234"/>
      <c r="AH194" s="721"/>
      <c r="AI194" s="690"/>
      <c r="AJ194" s="708"/>
      <c r="AK194" s="708"/>
      <c r="AL194" s="708"/>
      <c r="AM194" s="663"/>
      <c r="AN194" s="701"/>
      <c r="AO194" s="663"/>
      <c r="AP194" s="663"/>
      <c r="AQ194" s="663"/>
      <c r="AR194" s="664"/>
    </row>
    <row r="195" spans="2:44" s="272" customFormat="1">
      <c r="B195" s="668"/>
      <c r="C195" s="234"/>
      <c r="D195" s="234"/>
      <c r="E195" s="234"/>
      <c r="F195" s="234"/>
      <c r="G195" s="234"/>
      <c r="H195" s="234"/>
      <c r="I195" s="234"/>
      <c r="J195" s="234"/>
      <c r="K195" s="234"/>
      <c r="L195" s="234"/>
      <c r="M195" s="234"/>
      <c r="N195" s="234"/>
      <c r="O195" s="234"/>
      <c r="P195" s="234"/>
      <c r="Q195" s="234"/>
      <c r="R195" s="234"/>
      <c r="S195" s="234"/>
      <c r="T195" s="234"/>
      <c r="U195" s="234"/>
      <c r="V195" s="234"/>
      <c r="W195" s="234"/>
      <c r="X195" s="234"/>
      <c r="Y195" s="234"/>
      <c r="Z195" s="234"/>
      <c r="AA195" s="234"/>
      <c r="AB195" s="234"/>
      <c r="AC195" s="234"/>
      <c r="AD195" s="234"/>
      <c r="AE195" s="234"/>
      <c r="AF195" s="234"/>
      <c r="AG195" s="234"/>
      <c r="AH195" s="721"/>
      <c r="AI195" s="690"/>
      <c r="AJ195" s="708"/>
      <c r="AK195" s="708"/>
      <c r="AL195" s="708"/>
      <c r="AM195" s="663"/>
      <c r="AN195" s="701"/>
      <c r="AO195" s="663"/>
      <c r="AP195" s="663"/>
      <c r="AQ195" s="663"/>
      <c r="AR195" s="664"/>
    </row>
    <row r="196" spans="2:44" s="272" customFormat="1">
      <c r="B196" s="668"/>
      <c r="C196" s="234"/>
      <c r="D196" s="234"/>
      <c r="E196" s="234"/>
      <c r="F196" s="234"/>
      <c r="G196" s="234"/>
      <c r="H196" s="234"/>
      <c r="I196" s="234"/>
      <c r="J196" s="234"/>
      <c r="K196" s="234"/>
      <c r="L196" s="234"/>
      <c r="M196" s="234"/>
      <c r="N196" s="234"/>
      <c r="O196" s="234"/>
      <c r="P196" s="234"/>
      <c r="Q196" s="234"/>
      <c r="R196" s="234"/>
      <c r="S196" s="234"/>
      <c r="T196" s="234"/>
      <c r="U196" s="234"/>
      <c r="V196" s="234"/>
      <c r="W196" s="234"/>
      <c r="X196" s="234"/>
      <c r="Y196" s="234"/>
      <c r="Z196" s="234"/>
      <c r="AA196" s="234"/>
      <c r="AB196" s="234"/>
      <c r="AC196" s="234"/>
      <c r="AD196" s="234"/>
      <c r="AE196" s="234"/>
      <c r="AF196" s="234"/>
      <c r="AG196" s="234"/>
      <c r="AH196" s="721"/>
      <c r="AI196" s="690"/>
      <c r="AJ196" s="708"/>
      <c r="AK196" s="708"/>
      <c r="AL196" s="708"/>
      <c r="AM196" s="663"/>
      <c r="AN196" s="701"/>
      <c r="AO196" s="663"/>
      <c r="AP196" s="663"/>
      <c r="AQ196" s="663"/>
      <c r="AR196" s="664"/>
    </row>
    <row r="197" spans="2:44" s="272" customFormat="1">
      <c r="B197" s="668"/>
      <c r="C197" s="234"/>
      <c r="D197" s="234"/>
      <c r="E197" s="234"/>
      <c r="F197" s="234"/>
      <c r="G197" s="234"/>
      <c r="H197" s="234"/>
      <c r="I197" s="234"/>
      <c r="J197" s="234"/>
      <c r="K197" s="234"/>
      <c r="L197" s="234"/>
      <c r="M197" s="234"/>
      <c r="N197" s="234"/>
      <c r="O197" s="234"/>
      <c r="P197" s="234"/>
      <c r="Q197" s="234"/>
      <c r="R197" s="234"/>
      <c r="S197" s="234"/>
      <c r="T197" s="234"/>
      <c r="U197" s="234"/>
      <c r="V197" s="234"/>
      <c r="W197" s="234"/>
      <c r="X197" s="234"/>
      <c r="Y197" s="234"/>
      <c r="Z197" s="234"/>
      <c r="AA197" s="234"/>
      <c r="AB197" s="234"/>
      <c r="AC197" s="234"/>
      <c r="AD197" s="234"/>
      <c r="AE197" s="234"/>
      <c r="AF197" s="234"/>
      <c r="AG197" s="234"/>
      <c r="AH197" s="721"/>
      <c r="AI197" s="690"/>
      <c r="AJ197" s="708"/>
      <c r="AK197" s="708"/>
      <c r="AL197" s="708"/>
      <c r="AM197" s="663"/>
      <c r="AN197" s="701"/>
      <c r="AO197" s="663"/>
      <c r="AP197" s="663"/>
      <c r="AQ197" s="663"/>
      <c r="AR197" s="664"/>
    </row>
    <row r="198" spans="2:44" s="272" customFormat="1">
      <c r="B198" s="668"/>
      <c r="C198" s="234"/>
      <c r="D198" s="234"/>
      <c r="E198" s="234"/>
      <c r="F198" s="234"/>
      <c r="G198" s="234"/>
      <c r="H198" s="234"/>
      <c r="I198" s="234"/>
      <c r="J198" s="234"/>
      <c r="K198" s="234"/>
      <c r="L198" s="234"/>
      <c r="M198" s="234"/>
      <c r="N198" s="234"/>
      <c r="O198" s="234"/>
      <c r="P198" s="234"/>
      <c r="Q198" s="234"/>
      <c r="R198" s="234"/>
      <c r="S198" s="234"/>
      <c r="T198" s="234"/>
      <c r="U198" s="234"/>
      <c r="V198" s="234"/>
      <c r="W198" s="234"/>
      <c r="X198" s="234"/>
      <c r="Y198" s="234"/>
      <c r="Z198" s="234"/>
      <c r="AA198" s="234"/>
      <c r="AB198" s="234"/>
      <c r="AC198" s="234"/>
      <c r="AD198" s="234"/>
      <c r="AE198" s="234"/>
      <c r="AF198" s="234"/>
      <c r="AG198" s="234"/>
      <c r="AH198" s="721"/>
      <c r="AI198" s="690"/>
      <c r="AJ198" s="708"/>
      <c r="AK198" s="708"/>
      <c r="AL198" s="708"/>
      <c r="AM198" s="663"/>
      <c r="AN198" s="701"/>
      <c r="AO198" s="663"/>
      <c r="AP198" s="663"/>
      <c r="AQ198" s="663"/>
      <c r="AR198" s="664"/>
    </row>
    <row r="199" spans="2:44" s="272" customFormat="1">
      <c r="B199" s="668"/>
      <c r="C199" s="234"/>
      <c r="D199" s="234"/>
      <c r="E199" s="234"/>
      <c r="F199" s="234"/>
      <c r="G199" s="234"/>
      <c r="H199" s="234"/>
      <c r="I199" s="234"/>
      <c r="J199" s="234"/>
      <c r="K199" s="234"/>
      <c r="L199" s="234"/>
      <c r="M199" s="234"/>
      <c r="N199" s="234"/>
      <c r="O199" s="234"/>
      <c r="P199" s="234"/>
      <c r="Q199" s="234"/>
      <c r="R199" s="234"/>
      <c r="S199" s="234"/>
      <c r="T199" s="234"/>
      <c r="U199" s="234"/>
      <c r="V199" s="234"/>
      <c r="W199" s="234"/>
      <c r="X199" s="234"/>
      <c r="Y199" s="234"/>
      <c r="Z199" s="234"/>
      <c r="AA199" s="234"/>
      <c r="AB199" s="234"/>
      <c r="AC199" s="234"/>
      <c r="AD199" s="234"/>
      <c r="AE199" s="234"/>
      <c r="AF199" s="234"/>
      <c r="AG199" s="234"/>
      <c r="AH199" s="721"/>
      <c r="AI199" s="690"/>
      <c r="AJ199" s="708"/>
      <c r="AK199" s="708"/>
      <c r="AL199" s="708"/>
      <c r="AM199" s="663"/>
      <c r="AN199" s="701"/>
      <c r="AO199" s="663"/>
      <c r="AP199" s="663"/>
      <c r="AQ199" s="663"/>
      <c r="AR199" s="664"/>
    </row>
    <row r="200" spans="2:44" s="272" customFormat="1">
      <c r="B200" s="668"/>
      <c r="C200" s="234"/>
      <c r="D200" s="234"/>
      <c r="E200" s="234"/>
      <c r="F200" s="234"/>
      <c r="G200" s="234"/>
      <c r="H200" s="234"/>
      <c r="I200" s="234"/>
      <c r="J200" s="234"/>
      <c r="K200" s="234"/>
      <c r="L200" s="234"/>
      <c r="M200" s="234"/>
      <c r="N200" s="234"/>
      <c r="O200" s="234"/>
      <c r="P200" s="234"/>
      <c r="Q200" s="234"/>
      <c r="R200" s="234"/>
      <c r="S200" s="234"/>
      <c r="T200" s="234"/>
      <c r="U200" s="234"/>
      <c r="V200" s="234"/>
      <c r="W200" s="234"/>
      <c r="X200" s="234"/>
      <c r="Y200" s="234"/>
      <c r="Z200" s="234"/>
      <c r="AA200" s="234"/>
      <c r="AB200" s="234"/>
      <c r="AC200" s="234"/>
      <c r="AD200" s="234"/>
      <c r="AE200" s="234"/>
      <c r="AF200" s="234"/>
      <c r="AG200" s="234"/>
      <c r="AH200" s="721"/>
      <c r="AI200" s="690"/>
      <c r="AJ200" s="708"/>
      <c r="AK200" s="708"/>
      <c r="AL200" s="708"/>
      <c r="AM200" s="663"/>
      <c r="AN200" s="701"/>
      <c r="AO200" s="663"/>
      <c r="AP200" s="663"/>
      <c r="AQ200" s="663"/>
      <c r="AR200" s="664"/>
    </row>
    <row r="201" spans="2:44" s="272" customFormat="1">
      <c r="B201" s="668"/>
      <c r="C201" s="234"/>
      <c r="D201" s="234"/>
      <c r="E201" s="234"/>
      <c r="F201" s="234"/>
      <c r="G201" s="234"/>
      <c r="H201" s="234"/>
      <c r="I201" s="234"/>
      <c r="J201" s="234"/>
      <c r="K201" s="234"/>
      <c r="L201" s="234"/>
      <c r="M201" s="234"/>
      <c r="N201" s="234"/>
      <c r="O201" s="234"/>
      <c r="P201" s="234"/>
      <c r="Q201" s="234"/>
      <c r="R201" s="234"/>
      <c r="S201" s="234"/>
      <c r="T201" s="234"/>
      <c r="U201" s="234"/>
      <c r="V201" s="234"/>
      <c r="W201" s="234"/>
      <c r="X201" s="234"/>
      <c r="Y201" s="234"/>
      <c r="Z201" s="234"/>
      <c r="AA201" s="234"/>
      <c r="AB201" s="234"/>
      <c r="AC201" s="234"/>
      <c r="AD201" s="234"/>
      <c r="AE201" s="234"/>
      <c r="AF201" s="234"/>
      <c r="AG201" s="234"/>
      <c r="AH201" s="721"/>
      <c r="AI201" s="690"/>
      <c r="AJ201" s="708"/>
      <c r="AK201" s="708"/>
      <c r="AL201" s="708"/>
      <c r="AM201" s="663"/>
      <c r="AN201" s="701"/>
      <c r="AO201" s="663"/>
      <c r="AP201" s="663"/>
      <c r="AQ201" s="663"/>
      <c r="AR201" s="664"/>
    </row>
    <row r="202" spans="2:44" s="272" customFormat="1">
      <c r="B202" s="668"/>
      <c r="C202" s="234"/>
      <c r="D202" s="234"/>
      <c r="E202" s="234"/>
      <c r="F202" s="234"/>
      <c r="G202" s="234"/>
      <c r="H202" s="234"/>
      <c r="I202" s="234"/>
      <c r="J202" s="234"/>
      <c r="K202" s="234"/>
      <c r="L202" s="234"/>
      <c r="M202" s="234"/>
      <c r="N202" s="234"/>
      <c r="O202" s="234"/>
      <c r="P202" s="234"/>
      <c r="Q202" s="234"/>
      <c r="R202" s="234"/>
      <c r="S202" s="234"/>
      <c r="T202" s="234"/>
      <c r="U202" s="234"/>
      <c r="V202" s="234"/>
      <c r="W202" s="234"/>
      <c r="X202" s="234"/>
      <c r="Y202" s="234"/>
      <c r="Z202" s="234"/>
      <c r="AA202" s="234"/>
      <c r="AB202" s="234"/>
      <c r="AC202" s="234"/>
      <c r="AD202" s="234"/>
      <c r="AE202" s="234"/>
      <c r="AF202" s="234"/>
      <c r="AG202" s="234"/>
      <c r="AH202" s="721"/>
      <c r="AI202" s="690"/>
      <c r="AJ202" s="708"/>
      <c r="AK202" s="708"/>
      <c r="AL202" s="708"/>
      <c r="AM202" s="663"/>
      <c r="AN202" s="701"/>
      <c r="AO202" s="663"/>
      <c r="AP202" s="663"/>
      <c r="AQ202" s="663"/>
      <c r="AR202" s="664"/>
    </row>
    <row r="203" spans="2:44" s="272" customFormat="1">
      <c r="B203" s="668"/>
      <c r="C203" s="234"/>
      <c r="D203" s="234"/>
      <c r="E203" s="234"/>
      <c r="F203" s="234"/>
      <c r="G203" s="234"/>
      <c r="H203" s="234"/>
      <c r="I203" s="234"/>
      <c r="J203" s="234"/>
      <c r="K203" s="234"/>
      <c r="L203" s="234"/>
      <c r="M203" s="234"/>
      <c r="N203" s="234"/>
      <c r="O203" s="234"/>
      <c r="P203" s="234"/>
      <c r="Q203" s="234"/>
      <c r="R203" s="234"/>
      <c r="S203" s="234"/>
      <c r="T203" s="234"/>
      <c r="U203" s="234"/>
      <c r="V203" s="234"/>
      <c r="W203" s="234"/>
      <c r="X203" s="234"/>
      <c r="Y203" s="234"/>
      <c r="Z203" s="234"/>
      <c r="AA203" s="234"/>
      <c r="AB203" s="234"/>
      <c r="AC203" s="234"/>
      <c r="AD203" s="234"/>
      <c r="AE203" s="234"/>
      <c r="AF203" s="234"/>
      <c r="AG203" s="234"/>
      <c r="AH203" s="721"/>
      <c r="AI203" s="690"/>
      <c r="AJ203" s="708"/>
      <c r="AK203" s="708"/>
      <c r="AL203" s="708"/>
      <c r="AM203" s="663"/>
      <c r="AN203" s="701"/>
      <c r="AO203" s="663"/>
      <c r="AP203" s="663"/>
      <c r="AQ203" s="663"/>
      <c r="AR203" s="664"/>
    </row>
    <row r="204" spans="2:44" s="272" customFormat="1">
      <c r="B204" s="668"/>
      <c r="C204" s="234"/>
      <c r="D204" s="234"/>
      <c r="E204" s="234"/>
      <c r="F204" s="234"/>
      <c r="G204" s="234"/>
      <c r="H204" s="234"/>
      <c r="I204" s="234"/>
      <c r="J204" s="234"/>
      <c r="K204" s="234"/>
      <c r="L204" s="234"/>
      <c r="M204" s="234"/>
      <c r="N204" s="234"/>
      <c r="O204" s="234"/>
      <c r="P204" s="234"/>
      <c r="Q204" s="234"/>
      <c r="R204" s="234"/>
      <c r="S204" s="234"/>
      <c r="T204" s="234"/>
      <c r="U204" s="234"/>
      <c r="V204" s="234"/>
      <c r="W204" s="234"/>
      <c r="X204" s="234"/>
      <c r="Y204" s="234"/>
      <c r="Z204" s="234"/>
      <c r="AA204" s="234"/>
      <c r="AB204" s="234"/>
      <c r="AC204" s="234"/>
      <c r="AD204" s="234"/>
      <c r="AE204" s="234"/>
      <c r="AF204" s="234"/>
      <c r="AG204" s="234"/>
      <c r="AH204" s="721"/>
      <c r="AI204" s="690"/>
      <c r="AJ204" s="708"/>
      <c r="AK204" s="708"/>
      <c r="AL204" s="708"/>
      <c r="AM204" s="663"/>
      <c r="AN204" s="701"/>
      <c r="AO204" s="663"/>
      <c r="AP204" s="663"/>
      <c r="AQ204" s="663"/>
      <c r="AR204" s="664"/>
    </row>
    <row r="205" spans="2:44" s="272" customFormat="1">
      <c r="B205" s="668"/>
      <c r="C205" s="234"/>
      <c r="D205" s="234"/>
      <c r="E205" s="234"/>
      <c r="F205" s="234"/>
      <c r="G205" s="234"/>
      <c r="H205" s="234"/>
      <c r="I205" s="234"/>
      <c r="J205" s="234"/>
      <c r="K205" s="234"/>
      <c r="L205" s="234"/>
      <c r="M205" s="234"/>
      <c r="N205" s="234"/>
      <c r="O205" s="234"/>
      <c r="P205" s="234"/>
      <c r="Q205" s="234"/>
      <c r="R205" s="234"/>
      <c r="S205" s="234"/>
      <c r="T205" s="234"/>
      <c r="U205" s="234"/>
      <c r="V205" s="234"/>
      <c r="W205" s="234"/>
      <c r="X205" s="234"/>
      <c r="Y205" s="234"/>
      <c r="Z205" s="234"/>
      <c r="AA205" s="234"/>
      <c r="AB205" s="234"/>
      <c r="AC205" s="234"/>
      <c r="AD205" s="234"/>
      <c r="AE205" s="234"/>
      <c r="AF205" s="234"/>
      <c r="AG205" s="234"/>
      <c r="AH205" s="721"/>
      <c r="AI205" s="690"/>
      <c r="AJ205" s="708"/>
      <c r="AK205" s="708"/>
      <c r="AL205" s="708"/>
      <c r="AM205" s="663"/>
      <c r="AN205" s="701"/>
      <c r="AO205" s="663"/>
      <c r="AP205" s="663"/>
      <c r="AQ205" s="663"/>
      <c r="AR205" s="664"/>
    </row>
    <row r="206" spans="2:44" s="272" customFormat="1">
      <c r="B206" s="668"/>
      <c r="C206" s="234"/>
      <c r="D206" s="234"/>
      <c r="E206" s="234"/>
      <c r="F206" s="234"/>
      <c r="G206" s="234"/>
      <c r="H206" s="234"/>
      <c r="I206" s="234"/>
      <c r="J206" s="234"/>
      <c r="K206" s="234"/>
      <c r="L206" s="234"/>
      <c r="M206" s="234"/>
      <c r="N206" s="234"/>
      <c r="O206" s="234"/>
      <c r="P206" s="234"/>
      <c r="Q206" s="234"/>
      <c r="R206" s="234"/>
      <c r="S206" s="234"/>
      <c r="T206" s="234"/>
      <c r="U206" s="234"/>
      <c r="V206" s="234"/>
      <c r="W206" s="234"/>
      <c r="X206" s="234"/>
      <c r="Y206" s="234"/>
      <c r="Z206" s="234"/>
      <c r="AA206" s="234"/>
      <c r="AB206" s="234"/>
      <c r="AC206" s="234"/>
      <c r="AD206" s="234"/>
      <c r="AE206" s="234"/>
      <c r="AF206" s="234"/>
      <c r="AG206" s="234"/>
      <c r="AH206" s="721"/>
      <c r="AI206" s="690"/>
      <c r="AJ206" s="708"/>
      <c r="AK206" s="708"/>
      <c r="AL206" s="708"/>
      <c r="AM206" s="663"/>
      <c r="AN206" s="701"/>
      <c r="AO206" s="663"/>
      <c r="AP206" s="663"/>
      <c r="AQ206" s="663"/>
      <c r="AR206" s="664"/>
    </row>
  </sheetData>
  <sortState xmlns:xlrd2="http://schemas.microsoft.com/office/spreadsheetml/2017/richdata2" ref="B68:B73">
    <sortCondition ref="B68:B73"/>
  </sortState>
  <mergeCells count="13">
    <mergeCell ref="AN2:AS2"/>
    <mergeCell ref="B34:AH34"/>
    <mergeCell ref="B50:AH50"/>
    <mergeCell ref="B2:AH2"/>
    <mergeCell ref="B18:AH18"/>
    <mergeCell ref="B178:AH178"/>
    <mergeCell ref="B162:AH162"/>
    <mergeCell ref="B146:AH146"/>
    <mergeCell ref="B66:AH66"/>
    <mergeCell ref="B82:AH82"/>
    <mergeCell ref="B98:AH98"/>
    <mergeCell ref="B114:AH114"/>
    <mergeCell ref="B130:AH130"/>
  </mergeCells>
  <phoneticPr fontId="8" type="noConversion"/>
  <conditionalFormatting sqref="C1:AG1048576">
    <cfRule type="endsWith" dxfId="2" priority="1" stopIfTrue="1" operator="endsWith" text="Z">
      <formula>RIGHT(C1,LEN("Z"))="Z"</formula>
    </cfRule>
    <cfRule type="endsWith" dxfId="1" priority="2" stopIfTrue="1" operator="endsWith" text="FE">
      <formula>RIGHT(C1,LEN("FE"))="FE"</formula>
    </cfRule>
    <cfRule type="beginsWith" dxfId="0" priority="3" stopIfTrue="1" operator="beginsWith" text="R">
      <formula>LEFT(C1,LEN("R"))="R"</formula>
    </cfRule>
  </conditionalFormatting>
  <pageMargins left="0.7" right="0.7" top="0.75" bottom="0.75" header="0.3" footer="0.3"/>
  <pageSetup paperSize="9" scale="99" orientation="landscape" horizontalDpi="0" verticalDpi="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8A12-CEBA-0A4B-A79C-5DCA710ADE56}">
  <sheetPr>
    <tabColor theme="4" tint="0.39997558519241921"/>
  </sheetPr>
  <dimension ref="A1:AM746"/>
  <sheetViews>
    <sheetView topLeftCell="A275" zoomScale="140" zoomScaleNormal="140" workbookViewId="0">
      <selection activeCell="AA286" sqref="AA286"/>
    </sheetView>
  </sheetViews>
  <sheetFormatPr baseColWidth="10" defaultColWidth="11" defaultRowHeight="15"/>
  <cols>
    <col min="1" max="1" width="1.33203125" style="272" customWidth="1"/>
    <col min="2" max="2" width="2.1640625" style="267" bestFit="1" customWidth="1"/>
    <col min="3" max="3" width="10" style="405" customWidth="1"/>
    <col min="4" max="4" width="3" style="283" customWidth="1"/>
    <col min="5" max="5" width="2.1640625" style="267" bestFit="1" customWidth="1"/>
    <col min="6" max="6" width="10" style="405" customWidth="1"/>
    <col min="7" max="7" width="3" style="283" customWidth="1"/>
    <col min="8" max="8" width="2.1640625" style="273" bestFit="1" customWidth="1"/>
    <col min="9" max="9" width="10" style="405" customWidth="1"/>
    <col min="10" max="10" width="3" style="283" customWidth="1"/>
    <col min="11" max="11" width="2.1640625" style="273" bestFit="1" customWidth="1"/>
    <col min="12" max="12" width="10" style="405" customWidth="1"/>
    <col min="13" max="13" width="3" style="283" customWidth="1"/>
    <col min="14" max="14" width="2.1640625" style="273" bestFit="1" customWidth="1"/>
    <col min="15" max="15" width="10" style="405" customWidth="1"/>
    <col min="16" max="16" width="3" style="283" customWidth="1"/>
    <col min="17" max="17" width="2.1640625" style="273" bestFit="1" customWidth="1"/>
    <col min="18" max="18" width="10" style="405" customWidth="1"/>
    <col min="19" max="19" width="3" style="283" customWidth="1"/>
    <col min="20" max="20" width="2.1640625" style="273" bestFit="1" customWidth="1"/>
    <col min="21" max="21" width="10" style="405" customWidth="1"/>
    <col min="22" max="22" width="3" style="283" customWidth="1"/>
    <col min="23" max="23" width="2.5" style="267" customWidth="1"/>
    <col min="24" max="24" width="0.33203125" style="272" customWidth="1"/>
    <col min="25" max="25" width="8.1640625" style="368" customWidth="1"/>
    <col min="26" max="26" width="3.1640625" style="369" bestFit="1" customWidth="1"/>
    <col min="27" max="27" width="6.83203125" style="370" customWidth="1"/>
    <col min="28" max="28" width="0.5" style="272" customWidth="1"/>
    <col min="29" max="29" width="13" style="272" customWidth="1"/>
    <col min="30" max="30" width="13.33203125" style="272" customWidth="1"/>
    <col min="31" max="39" width="11" style="272"/>
    <col min="40" max="16384" width="11" style="273"/>
  </cols>
  <sheetData>
    <row r="1" spans="2:30" s="272" customFormat="1">
      <c r="B1" s="987" t="s">
        <v>1380</v>
      </c>
      <c r="C1" s="988"/>
      <c r="D1" s="989"/>
      <c r="E1" s="987" t="s">
        <v>1381</v>
      </c>
      <c r="F1" s="988"/>
      <c r="G1" s="989"/>
      <c r="H1" s="984" t="s">
        <v>1382</v>
      </c>
      <c r="I1" s="985"/>
      <c r="J1" s="986"/>
      <c r="K1" s="984" t="s">
        <v>1383</v>
      </c>
      <c r="L1" s="985"/>
      <c r="M1" s="986"/>
      <c r="N1" s="984" t="s">
        <v>1384</v>
      </c>
      <c r="O1" s="985"/>
      <c r="P1" s="986"/>
      <c r="Q1" s="984" t="s">
        <v>1385</v>
      </c>
      <c r="R1" s="985"/>
      <c r="S1" s="986"/>
      <c r="T1" s="984" t="s">
        <v>1386</v>
      </c>
      <c r="U1" s="985"/>
      <c r="V1" s="985"/>
      <c r="W1" s="986"/>
      <c r="Y1" s="368" t="s">
        <v>1357</v>
      </c>
      <c r="Z1" s="369">
        <f>COUNTIF(B2:W13,Y1)</f>
        <v>3</v>
      </c>
      <c r="AA1" s="370"/>
    </row>
    <row r="2" spans="2:30" s="272" customFormat="1" ht="17" customHeight="1">
      <c r="B2" s="371">
        <v>1</v>
      </c>
      <c r="C2" s="956" t="s">
        <v>1387</v>
      </c>
      <c r="D2" s="957"/>
      <c r="E2" s="371">
        <v>1</v>
      </c>
      <c r="F2" s="956" t="s">
        <v>1387</v>
      </c>
      <c r="G2" s="957"/>
      <c r="H2" s="371">
        <v>1</v>
      </c>
      <c r="I2" s="956" t="s">
        <v>1387</v>
      </c>
      <c r="J2" s="957"/>
      <c r="K2" s="371">
        <v>1</v>
      </c>
      <c r="L2" s="372" t="s">
        <v>1388</v>
      </c>
      <c r="M2" s="373"/>
      <c r="N2" s="371">
        <v>1</v>
      </c>
      <c r="O2" s="372" t="s">
        <v>1357</v>
      </c>
      <c r="P2" s="373"/>
      <c r="Q2" s="371">
        <v>1</v>
      </c>
      <c r="R2" s="372" t="s">
        <v>1357</v>
      </c>
      <c r="S2" s="373"/>
      <c r="T2" s="371">
        <v>1</v>
      </c>
      <c r="U2" s="372" t="s">
        <v>1357</v>
      </c>
      <c r="V2" s="373"/>
      <c r="W2" s="962" t="s">
        <v>119</v>
      </c>
      <c r="Y2" s="368" t="s">
        <v>1354</v>
      </c>
      <c r="Z2" s="369">
        <f>COUNTIF(B2:W13,Y2)</f>
        <v>1</v>
      </c>
      <c r="AA2" s="370"/>
    </row>
    <row r="3" spans="2:30" s="272" customFormat="1" ht="17" customHeight="1">
      <c r="B3" s="371">
        <v>2</v>
      </c>
      <c r="C3" s="958"/>
      <c r="D3" s="959"/>
      <c r="E3" s="371">
        <v>2</v>
      </c>
      <c r="F3" s="958"/>
      <c r="G3" s="959"/>
      <c r="H3" s="371">
        <v>2</v>
      </c>
      <c r="I3" s="958"/>
      <c r="J3" s="959"/>
      <c r="K3" s="371">
        <v>2</v>
      </c>
      <c r="L3" s="374" t="s">
        <v>1354</v>
      </c>
      <c r="M3" s="373"/>
      <c r="N3" s="371">
        <v>2</v>
      </c>
      <c r="O3" s="372" t="s">
        <v>1388</v>
      </c>
      <c r="P3" s="373"/>
      <c r="Q3" s="371">
        <v>2</v>
      </c>
      <c r="R3" s="372" t="s">
        <v>1388</v>
      </c>
      <c r="S3" s="373"/>
      <c r="T3" s="371">
        <v>2</v>
      </c>
      <c r="U3" s="372" t="s">
        <v>1388</v>
      </c>
      <c r="V3" s="373"/>
      <c r="W3" s="963"/>
      <c r="Y3" s="368" t="s">
        <v>1358</v>
      </c>
      <c r="Z3" s="369">
        <f>COUNTIF(B2:W13,Y3)</f>
        <v>4</v>
      </c>
      <c r="AA3" s="370"/>
    </row>
    <row r="4" spans="2:30" s="272" customFormat="1" ht="17" customHeight="1">
      <c r="B4" s="371">
        <v>3</v>
      </c>
      <c r="C4" s="958"/>
      <c r="D4" s="959"/>
      <c r="E4" s="371">
        <v>3</v>
      </c>
      <c r="F4" s="958"/>
      <c r="G4" s="959"/>
      <c r="H4" s="371">
        <v>3</v>
      </c>
      <c r="I4" s="958"/>
      <c r="J4" s="959"/>
      <c r="K4" s="371">
        <v>3</v>
      </c>
      <c r="L4" s="375"/>
      <c r="M4" s="373"/>
      <c r="N4" s="371">
        <v>3</v>
      </c>
      <c r="O4" s="375"/>
      <c r="P4" s="373"/>
      <c r="Q4" s="371">
        <v>3</v>
      </c>
      <c r="R4" s="375"/>
      <c r="S4" s="373"/>
      <c r="T4" s="371">
        <v>3</v>
      </c>
      <c r="U4" s="375"/>
      <c r="V4" s="373"/>
      <c r="W4" s="963"/>
      <c r="Y4" s="368" t="s">
        <v>1359</v>
      </c>
      <c r="Z4" s="369">
        <f>COUNTIF(B2:W13,Y4)</f>
        <v>5</v>
      </c>
      <c r="AA4" s="370"/>
    </row>
    <row r="5" spans="2:30" s="272" customFormat="1" ht="17" customHeight="1">
      <c r="B5" s="376">
        <v>4</v>
      </c>
      <c r="C5" s="958"/>
      <c r="D5" s="959"/>
      <c r="E5" s="376">
        <v>4</v>
      </c>
      <c r="F5" s="958"/>
      <c r="G5" s="959"/>
      <c r="H5" s="376">
        <v>4</v>
      </c>
      <c r="I5" s="958"/>
      <c r="J5" s="959"/>
      <c r="K5" s="376">
        <v>4</v>
      </c>
      <c r="L5" s="377"/>
      <c r="M5" s="373"/>
      <c r="N5" s="376">
        <v>4</v>
      </c>
      <c r="O5" s="377"/>
      <c r="P5" s="373"/>
      <c r="Q5" s="376">
        <v>4</v>
      </c>
      <c r="R5" s="377"/>
      <c r="S5" s="373"/>
      <c r="T5" s="376">
        <v>4</v>
      </c>
      <c r="U5" s="377"/>
      <c r="V5" s="373"/>
      <c r="W5" s="963"/>
      <c r="Y5" s="368" t="s">
        <v>1360</v>
      </c>
      <c r="Z5" s="369">
        <f>COUNTIF(B2:W13,Y5)</f>
        <v>4</v>
      </c>
      <c r="AA5" s="370"/>
    </row>
    <row r="6" spans="2:30" s="272" customFormat="1" ht="18" customHeight="1" thickBot="1">
      <c r="B6" s="378">
        <v>5</v>
      </c>
      <c r="C6" s="960"/>
      <c r="D6" s="961"/>
      <c r="E6" s="378">
        <v>5</v>
      </c>
      <c r="F6" s="960"/>
      <c r="G6" s="961"/>
      <c r="H6" s="378">
        <v>5</v>
      </c>
      <c r="I6" s="960"/>
      <c r="J6" s="961"/>
      <c r="K6" s="378">
        <v>5</v>
      </c>
      <c r="L6" s="379"/>
      <c r="M6" s="380"/>
      <c r="N6" s="378">
        <v>5</v>
      </c>
      <c r="O6" s="379"/>
      <c r="P6" s="380"/>
      <c r="Q6" s="378">
        <v>5</v>
      </c>
      <c r="R6" s="379"/>
      <c r="S6" s="380"/>
      <c r="T6" s="378">
        <v>5</v>
      </c>
      <c r="U6" s="379"/>
      <c r="V6" s="380"/>
      <c r="W6" s="964"/>
      <c r="Y6" s="368" t="s">
        <v>1361</v>
      </c>
      <c r="Z6" s="369">
        <f>COUNTIF(B2:W13,Y6)</f>
        <v>5</v>
      </c>
      <c r="AA6" s="370"/>
    </row>
    <row r="7" spans="2:30" s="272" customFormat="1" ht="17" customHeight="1">
      <c r="B7" s="381">
        <v>1</v>
      </c>
      <c r="C7" s="375" t="s">
        <v>1359</v>
      </c>
      <c r="D7" s="382">
        <v>16</v>
      </c>
      <c r="E7" s="381">
        <v>1</v>
      </c>
      <c r="F7" s="979" t="s">
        <v>1387</v>
      </c>
      <c r="G7" s="980"/>
      <c r="H7" s="381">
        <v>1</v>
      </c>
      <c r="I7" s="990" t="s">
        <v>1387</v>
      </c>
      <c r="J7" s="991"/>
      <c r="K7" s="381">
        <v>1</v>
      </c>
      <c r="L7" s="383" t="s">
        <v>1359</v>
      </c>
      <c r="M7" s="384">
        <v>16</v>
      </c>
      <c r="N7" s="381">
        <v>1</v>
      </c>
      <c r="O7" s="375" t="s">
        <v>1359</v>
      </c>
      <c r="P7" s="382">
        <v>16</v>
      </c>
      <c r="Q7" s="381">
        <v>1</v>
      </c>
      <c r="R7" s="375" t="s">
        <v>1359</v>
      </c>
      <c r="S7" s="382">
        <v>16</v>
      </c>
      <c r="T7" s="381">
        <v>1</v>
      </c>
      <c r="U7" s="375" t="s">
        <v>1359</v>
      </c>
      <c r="V7" s="382">
        <v>17</v>
      </c>
      <c r="W7" s="965" t="s">
        <v>1389</v>
      </c>
      <c r="Y7" s="368" t="s">
        <v>1363</v>
      </c>
      <c r="Z7" s="369">
        <f>COUNTIF(B2:W13,Y7)</f>
        <v>2</v>
      </c>
      <c r="AA7" s="370"/>
    </row>
    <row r="8" spans="2:30" s="272" customFormat="1" ht="17" customHeight="1">
      <c r="B8" s="371">
        <v>2</v>
      </c>
      <c r="C8" s="375" t="s">
        <v>1390</v>
      </c>
      <c r="D8" s="373">
        <v>16</v>
      </c>
      <c r="E8" s="371">
        <v>2</v>
      </c>
      <c r="F8" s="958"/>
      <c r="G8" s="981"/>
      <c r="H8" s="371">
        <v>2</v>
      </c>
      <c r="I8" s="992"/>
      <c r="J8" s="993"/>
      <c r="K8" s="371">
        <v>2</v>
      </c>
      <c r="L8" s="375" t="s">
        <v>1390</v>
      </c>
      <c r="M8" s="373">
        <v>16</v>
      </c>
      <c r="N8" s="371">
        <v>2</v>
      </c>
      <c r="O8" s="375" t="s">
        <v>1390</v>
      </c>
      <c r="P8" s="373">
        <v>16</v>
      </c>
      <c r="Q8" s="371">
        <v>2</v>
      </c>
      <c r="R8" s="375" t="s">
        <v>1361</v>
      </c>
      <c r="S8" s="373">
        <v>16</v>
      </c>
      <c r="T8" s="371">
        <v>2</v>
      </c>
      <c r="U8" s="375" t="s">
        <v>1363</v>
      </c>
      <c r="V8" s="373">
        <v>17</v>
      </c>
      <c r="W8" s="963"/>
      <c r="Y8" s="368" t="s">
        <v>1390</v>
      </c>
      <c r="Z8" s="369">
        <f>COUNTIF(B2:W13,Y8)</f>
        <v>3</v>
      </c>
      <c r="AA8" s="370"/>
    </row>
    <row r="9" spans="2:30" s="272" customFormat="1" ht="17" customHeight="1">
      <c r="B9" s="371">
        <v>3</v>
      </c>
      <c r="C9" s="383" t="s">
        <v>1361</v>
      </c>
      <c r="D9" s="385"/>
      <c r="E9" s="371">
        <v>3</v>
      </c>
      <c r="F9" s="958"/>
      <c r="G9" s="981"/>
      <c r="H9" s="371">
        <v>3</v>
      </c>
      <c r="I9" s="992"/>
      <c r="J9" s="993"/>
      <c r="K9" s="371">
        <v>3</v>
      </c>
      <c r="L9" s="375"/>
      <c r="M9" s="373"/>
      <c r="N9" s="371">
        <v>3</v>
      </c>
      <c r="O9" s="368" t="s">
        <v>1361</v>
      </c>
      <c r="P9" s="373">
        <v>21</v>
      </c>
      <c r="Q9" s="371">
        <v>3</v>
      </c>
      <c r="R9" s="368" t="s">
        <v>1363</v>
      </c>
      <c r="S9" s="373">
        <v>18</v>
      </c>
      <c r="T9" s="371">
        <v>3</v>
      </c>
      <c r="U9" s="368" t="s">
        <v>1361</v>
      </c>
      <c r="V9" s="373">
        <v>17</v>
      </c>
      <c r="W9" s="963"/>
      <c r="Y9" s="368"/>
      <c r="Z9" s="369">
        <f>COUNTIF(B2:W13,Y9)</f>
        <v>0</v>
      </c>
      <c r="AA9" s="370"/>
    </row>
    <row r="10" spans="2:30" s="272" customFormat="1" ht="17" customHeight="1">
      <c r="B10" s="376">
        <v>4</v>
      </c>
      <c r="C10" s="377"/>
      <c r="D10" s="373"/>
      <c r="E10" s="376">
        <v>4</v>
      </c>
      <c r="F10" s="958"/>
      <c r="G10" s="981"/>
      <c r="H10" s="376">
        <v>4</v>
      </c>
      <c r="I10" s="992"/>
      <c r="J10" s="993"/>
      <c r="K10" s="376">
        <v>4</v>
      </c>
      <c r="L10" s="375"/>
      <c r="M10" s="373"/>
      <c r="N10" s="376">
        <v>4</v>
      </c>
      <c r="O10" s="386"/>
      <c r="P10" s="387"/>
      <c r="Q10" s="376">
        <v>4</v>
      </c>
      <c r="R10" s="386" t="s">
        <v>1361</v>
      </c>
      <c r="S10" s="387"/>
      <c r="T10" s="376">
        <v>4</v>
      </c>
      <c r="U10" s="386"/>
      <c r="V10" s="387"/>
      <c r="W10" s="963"/>
      <c r="Y10" s="368"/>
      <c r="Z10" s="369">
        <f>COUNTIF(B2:W13,Y10)</f>
        <v>0</v>
      </c>
      <c r="AA10" s="370"/>
    </row>
    <row r="11" spans="2:30" s="272" customFormat="1" ht="17" customHeight="1">
      <c r="B11" s="376">
        <v>5</v>
      </c>
      <c r="C11" s="375"/>
      <c r="D11" s="373"/>
      <c r="E11" s="376">
        <v>5</v>
      </c>
      <c r="F11" s="958"/>
      <c r="G11" s="981"/>
      <c r="H11" s="376">
        <v>5</v>
      </c>
      <c r="I11" s="992"/>
      <c r="J11" s="993"/>
      <c r="K11" s="376">
        <v>5</v>
      </c>
      <c r="L11" s="375"/>
      <c r="M11" s="373"/>
      <c r="N11" s="376">
        <v>5</v>
      </c>
      <c r="O11" s="375"/>
      <c r="P11" s="373"/>
      <c r="Q11" s="376">
        <v>5</v>
      </c>
      <c r="R11" s="375"/>
      <c r="S11" s="373"/>
      <c r="T11" s="376">
        <v>5</v>
      </c>
      <c r="U11" s="375"/>
      <c r="V11" s="373"/>
      <c r="W11" s="963"/>
      <c r="Y11" s="368"/>
      <c r="Z11" s="369">
        <f>COUNTIF(B2:W13,Y11)</f>
        <v>0</v>
      </c>
      <c r="AA11" s="370"/>
    </row>
    <row r="12" spans="2:30" s="272" customFormat="1" ht="17" customHeight="1">
      <c r="B12" s="371">
        <v>6</v>
      </c>
      <c r="C12" s="388" t="s">
        <v>1360</v>
      </c>
      <c r="D12" s="389"/>
      <c r="E12" s="371">
        <v>6</v>
      </c>
      <c r="F12" s="958"/>
      <c r="G12" s="981"/>
      <c r="H12" s="371">
        <v>6</v>
      </c>
      <c r="I12" s="992"/>
      <c r="J12" s="993"/>
      <c r="K12" s="371">
        <v>6</v>
      </c>
      <c r="L12" s="377"/>
      <c r="M12" s="390"/>
      <c r="N12" s="371">
        <v>6</v>
      </c>
      <c r="O12" s="375" t="s">
        <v>1360</v>
      </c>
      <c r="P12" s="373"/>
      <c r="Q12" s="371">
        <v>6</v>
      </c>
      <c r="R12" s="375" t="s">
        <v>1360</v>
      </c>
      <c r="S12" s="373"/>
      <c r="T12" s="371">
        <v>6</v>
      </c>
      <c r="U12" s="375" t="s">
        <v>1360</v>
      </c>
      <c r="V12" s="373"/>
      <c r="W12" s="963"/>
      <c r="Y12" s="368"/>
      <c r="Z12" s="369">
        <f>COUNTIF(B2:W13,Y12)</f>
        <v>0</v>
      </c>
      <c r="AA12" s="370"/>
    </row>
    <row r="13" spans="2:30" s="272" customFormat="1" ht="18" customHeight="1" thickBot="1">
      <c r="B13" s="378">
        <v>7</v>
      </c>
      <c r="C13" s="391" t="s">
        <v>1358</v>
      </c>
      <c r="D13" s="392"/>
      <c r="E13" s="378">
        <v>7</v>
      </c>
      <c r="F13" s="960"/>
      <c r="G13" s="982"/>
      <c r="H13" s="378">
        <v>7</v>
      </c>
      <c r="I13" s="994"/>
      <c r="J13" s="995"/>
      <c r="K13" s="378">
        <v>7</v>
      </c>
      <c r="L13" s="379"/>
      <c r="M13" s="380"/>
      <c r="N13" s="378">
        <v>7</v>
      </c>
      <c r="O13" s="379" t="s">
        <v>1358</v>
      </c>
      <c r="P13" s="380"/>
      <c r="Q13" s="378">
        <v>7</v>
      </c>
      <c r="R13" s="379" t="s">
        <v>1358</v>
      </c>
      <c r="S13" s="380"/>
      <c r="T13" s="378">
        <v>7</v>
      </c>
      <c r="U13" s="379" t="s">
        <v>1358</v>
      </c>
      <c r="V13" s="380"/>
      <c r="W13" s="964"/>
      <c r="Y13" s="368"/>
      <c r="Z13" s="369">
        <f>COUNTIF(B2:W13,Y13)</f>
        <v>0</v>
      </c>
      <c r="AA13" s="370"/>
    </row>
    <row r="14" spans="2:30" s="272" customFormat="1" ht="42" customHeight="1" thickBot="1">
      <c r="B14" s="234"/>
      <c r="C14" s="368"/>
      <c r="D14" s="279"/>
      <c r="E14" s="234"/>
      <c r="F14" s="368"/>
      <c r="G14" s="279"/>
      <c r="I14" s="368"/>
      <c r="J14" s="279"/>
      <c r="L14" s="368"/>
      <c r="M14" s="279"/>
      <c r="O14" s="368"/>
      <c r="P14" s="279"/>
      <c r="R14" s="368"/>
      <c r="S14" s="279"/>
      <c r="U14" s="368"/>
      <c r="V14" s="279"/>
      <c r="W14" s="234"/>
      <c r="Y14" s="368"/>
      <c r="Z14" s="369"/>
      <c r="AA14" s="370"/>
    </row>
    <row r="15" spans="2:30" s="272" customFormat="1">
      <c r="B15" s="984" t="s">
        <v>1391</v>
      </c>
      <c r="C15" s="985"/>
      <c r="D15" s="986"/>
      <c r="E15" s="984" t="s">
        <v>1392</v>
      </c>
      <c r="F15" s="985"/>
      <c r="G15" s="986"/>
      <c r="H15" s="984" t="s">
        <v>1393</v>
      </c>
      <c r="I15" s="985"/>
      <c r="J15" s="986"/>
      <c r="K15" s="984" t="s">
        <v>1394</v>
      </c>
      <c r="L15" s="985"/>
      <c r="M15" s="986"/>
      <c r="N15" s="984" t="s">
        <v>1395</v>
      </c>
      <c r="O15" s="985"/>
      <c r="P15" s="986"/>
      <c r="Q15" s="984" t="s">
        <v>1396</v>
      </c>
      <c r="R15" s="985"/>
      <c r="S15" s="986"/>
      <c r="T15" s="984" t="s">
        <v>1397</v>
      </c>
      <c r="U15" s="985"/>
      <c r="V15" s="985"/>
      <c r="W15" s="986"/>
      <c r="Y15" s="368" t="s">
        <v>1357</v>
      </c>
      <c r="Z15" s="369">
        <f>COUNTIF(B16:W27,Y15)</f>
        <v>4</v>
      </c>
      <c r="AA15" s="370"/>
      <c r="AC15" s="393" t="s">
        <v>1359</v>
      </c>
      <c r="AD15" s="394" t="s">
        <v>1398</v>
      </c>
    </row>
    <row r="16" spans="2:30" s="272" customFormat="1" ht="17" customHeight="1">
      <c r="B16" s="371">
        <v>1</v>
      </c>
      <c r="C16" s="372" t="s">
        <v>1357</v>
      </c>
      <c r="D16" s="373"/>
      <c r="E16" s="371">
        <v>1</v>
      </c>
      <c r="F16" s="956" t="s">
        <v>1387</v>
      </c>
      <c r="G16" s="957"/>
      <c r="H16" s="371">
        <v>1</v>
      </c>
      <c r="I16" s="956" t="s">
        <v>1387</v>
      </c>
      <c r="J16" s="957"/>
      <c r="K16" s="371">
        <v>1</v>
      </c>
      <c r="L16" s="956" t="s">
        <v>1387</v>
      </c>
      <c r="M16" s="957"/>
      <c r="N16" s="371">
        <v>1</v>
      </c>
      <c r="O16" s="372" t="s">
        <v>1357</v>
      </c>
      <c r="P16" s="373"/>
      <c r="Q16" s="371">
        <v>1</v>
      </c>
      <c r="R16" s="372" t="s">
        <v>1357</v>
      </c>
      <c r="S16" s="373"/>
      <c r="T16" s="371">
        <v>1</v>
      </c>
      <c r="U16" s="372" t="s">
        <v>1357</v>
      </c>
      <c r="V16" s="373"/>
      <c r="W16" s="962" t="s">
        <v>119</v>
      </c>
      <c r="Y16" s="368" t="s">
        <v>1354</v>
      </c>
      <c r="Z16" s="369">
        <f>COUNTIF(B16:W27,Y16)</f>
        <v>3</v>
      </c>
      <c r="AA16" s="370"/>
      <c r="AC16" s="393" t="s">
        <v>1399</v>
      </c>
      <c r="AD16" s="394" t="s">
        <v>1400</v>
      </c>
    </row>
    <row r="17" spans="2:30" s="272" customFormat="1" ht="17" customHeight="1">
      <c r="B17" s="371">
        <v>2</v>
      </c>
      <c r="C17" s="372" t="s">
        <v>1388</v>
      </c>
      <c r="D17" s="373"/>
      <c r="E17" s="371">
        <v>2</v>
      </c>
      <c r="F17" s="958"/>
      <c r="G17" s="959"/>
      <c r="H17" s="371">
        <v>2</v>
      </c>
      <c r="I17" s="958"/>
      <c r="J17" s="959"/>
      <c r="K17" s="371">
        <v>2</v>
      </c>
      <c r="L17" s="958"/>
      <c r="M17" s="959"/>
      <c r="N17" s="371">
        <v>2</v>
      </c>
      <c r="O17" s="372" t="s">
        <v>1354</v>
      </c>
      <c r="P17" s="373"/>
      <c r="Q17" s="371">
        <v>2</v>
      </c>
      <c r="R17" s="372" t="s">
        <v>1354</v>
      </c>
      <c r="S17" s="373"/>
      <c r="T17" s="371">
        <v>2</v>
      </c>
      <c r="U17" s="372" t="s">
        <v>1354</v>
      </c>
      <c r="V17" s="373"/>
      <c r="W17" s="963"/>
      <c r="Y17" s="368" t="s">
        <v>1358</v>
      </c>
      <c r="Z17" s="369">
        <f>COUNTIF(B16:W27,Y17)</f>
        <v>0</v>
      </c>
      <c r="AA17" s="370"/>
      <c r="AC17" s="393" t="s">
        <v>1361</v>
      </c>
      <c r="AD17" s="394" t="s">
        <v>1400</v>
      </c>
    </row>
    <row r="18" spans="2:30" s="272" customFormat="1" ht="17" customHeight="1">
      <c r="B18" s="371">
        <v>3</v>
      </c>
      <c r="C18" s="375"/>
      <c r="D18" s="373"/>
      <c r="E18" s="371">
        <v>3</v>
      </c>
      <c r="F18" s="958"/>
      <c r="G18" s="959"/>
      <c r="H18" s="371">
        <v>3</v>
      </c>
      <c r="I18" s="958"/>
      <c r="J18" s="959"/>
      <c r="K18" s="371">
        <v>3</v>
      </c>
      <c r="L18" s="958"/>
      <c r="M18" s="959"/>
      <c r="N18" s="371">
        <v>3</v>
      </c>
      <c r="O18" s="375"/>
      <c r="P18" s="373"/>
      <c r="Q18" s="371">
        <v>3</v>
      </c>
      <c r="R18" s="375"/>
      <c r="S18" s="373"/>
      <c r="T18" s="371">
        <v>3</v>
      </c>
      <c r="U18" s="375"/>
      <c r="V18" s="373"/>
      <c r="W18" s="963"/>
      <c r="Y18" s="368" t="s">
        <v>1359</v>
      </c>
      <c r="Z18" s="369">
        <f>COUNTIF(B16:W27,Y18)</f>
        <v>3</v>
      </c>
      <c r="AA18" s="370"/>
      <c r="AC18" s="393" t="s">
        <v>1401</v>
      </c>
      <c r="AD18" s="394" t="s">
        <v>1402</v>
      </c>
    </row>
    <row r="19" spans="2:30" s="272" customFormat="1" ht="17" customHeight="1">
      <c r="B19" s="376">
        <v>4</v>
      </c>
      <c r="C19" s="377"/>
      <c r="D19" s="373"/>
      <c r="E19" s="376">
        <v>4</v>
      </c>
      <c r="F19" s="958"/>
      <c r="G19" s="959"/>
      <c r="H19" s="376">
        <v>4</v>
      </c>
      <c r="I19" s="958"/>
      <c r="J19" s="959"/>
      <c r="K19" s="376">
        <v>4</v>
      </c>
      <c r="L19" s="958"/>
      <c r="M19" s="959"/>
      <c r="N19" s="376">
        <v>4</v>
      </c>
      <c r="O19" s="377"/>
      <c r="P19" s="373"/>
      <c r="Q19" s="376">
        <v>4</v>
      </c>
      <c r="R19" s="377"/>
      <c r="S19" s="373"/>
      <c r="T19" s="376">
        <v>4</v>
      </c>
      <c r="U19" s="377"/>
      <c r="V19" s="373"/>
      <c r="W19" s="963"/>
      <c r="Y19" s="368" t="s">
        <v>1360</v>
      </c>
      <c r="Z19" s="369">
        <f>COUNTIF(B16:W27,Y19)</f>
        <v>1</v>
      </c>
      <c r="AA19" s="370"/>
      <c r="AC19" s="393" t="s">
        <v>1403</v>
      </c>
      <c r="AD19" s="394" t="s">
        <v>1402</v>
      </c>
    </row>
    <row r="20" spans="2:30" s="272" customFormat="1" ht="18" customHeight="1" thickBot="1">
      <c r="B20" s="378">
        <v>5</v>
      </c>
      <c r="C20" s="379"/>
      <c r="D20" s="380"/>
      <c r="E20" s="378">
        <v>5</v>
      </c>
      <c r="F20" s="960"/>
      <c r="G20" s="961"/>
      <c r="H20" s="378">
        <v>5</v>
      </c>
      <c r="I20" s="960"/>
      <c r="J20" s="961"/>
      <c r="K20" s="378">
        <v>5</v>
      </c>
      <c r="L20" s="960"/>
      <c r="M20" s="961"/>
      <c r="N20" s="378">
        <v>5</v>
      </c>
      <c r="O20" s="379"/>
      <c r="P20" s="380"/>
      <c r="Q20" s="378">
        <v>5</v>
      </c>
      <c r="R20" s="379"/>
      <c r="S20" s="380"/>
      <c r="T20" s="378">
        <v>5</v>
      </c>
      <c r="U20" s="379"/>
      <c r="V20" s="380"/>
      <c r="W20" s="964"/>
      <c r="Y20" s="368" t="s">
        <v>1361</v>
      </c>
      <c r="Z20" s="369">
        <f>COUNTIF(B16:W27,Y20)</f>
        <v>3</v>
      </c>
      <c r="AA20" s="370"/>
      <c r="AC20" s="393" t="s">
        <v>1390</v>
      </c>
      <c r="AD20" s="394" t="s">
        <v>1398</v>
      </c>
    </row>
    <row r="21" spans="2:30" s="272" customFormat="1" ht="17" customHeight="1">
      <c r="B21" s="381">
        <v>1</v>
      </c>
      <c r="C21" s="970" t="s">
        <v>54</v>
      </c>
      <c r="D21" s="971"/>
      <c r="E21" s="381">
        <v>1</v>
      </c>
      <c r="F21" s="979" t="s">
        <v>1387</v>
      </c>
      <c r="G21" s="980"/>
      <c r="H21" s="381">
        <v>1</v>
      </c>
      <c r="I21" s="979" t="s">
        <v>1387</v>
      </c>
      <c r="J21" s="980"/>
      <c r="K21" s="381">
        <v>1</v>
      </c>
      <c r="L21" s="979" t="s">
        <v>1387</v>
      </c>
      <c r="M21" s="980"/>
      <c r="N21" s="381">
        <v>1</v>
      </c>
      <c r="O21" s="375" t="s">
        <v>1359</v>
      </c>
      <c r="P21" s="382">
        <v>16</v>
      </c>
      <c r="Q21" s="381">
        <v>1</v>
      </c>
      <c r="R21" s="375" t="s">
        <v>1359</v>
      </c>
      <c r="S21" s="382">
        <v>16</v>
      </c>
      <c r="T21" s="381">
        <v>1</v>
      </c>
      <c r="U21" s="375" t="s">
        <v>1359</v>
      </c>
      <c r="V21" s="382">
        <v>17</v>
      </c>
      <c r="W21" s="965" t="s">
        <v>1389</v>
      </c>
      <c r="Y21" s="368" t="s">
        <v>1363</v>
      </c>
      <c r="Z21" s="369">
        <f>COUNTIF(B16:W27,Y21)</f>
        <v>2</v>
      </c>
      <c r="AA21" s="370"/>
      <c r="AC21" s="393" t="s">
        <v>1360</v>
      </c>
      <c r="AD21" s="394" t="s">
        <v>1400</v>
      </c>
    </row>
    <row r="22" spans="2:30" s="272" customFormat="1">
      <c r="B22" s="371">
        <v>2</v>
      </c>
      <c r="C22" s="972"/>
      <c r="D22" s="973"/>
      <c r="E22" s="371">
        <v>2</v>
      </c>
      <c r="F22" s="958"/>
      <c r="G22" s="981"/>
      <c r="H22" s="371">
        <v>2</v>
      </c>
      <c r="I22" s="958"/>
      <c r="J22" s="981"/>
      <c r="K22" s="371">
        <v>2</v>
      </c>
      <c r="L22" s="958"/>
      <c r="M22" s="981"/>
      <c r="N22" s="371">
        <v>2</v>
      </c>
      <c r="O22" s="375" t="s">
        <v>1360</v>
      </c>
      <c r="P22" s="373">
        <v>16</v>
      </c>
      <c r="Q22" s="371">
        <v>2</v>
      </c>
      <c r="R22" s="375" t="s">
        <v>1363</v>
      </c>
      <c r="S22" s="373">
        <v>16</v>
      </c>
      <c r="T22" s="371">
        <v>2</v>
      </c>
      <c r="U22" s="375" t="s">
        <v>1363</v>
      </c>
      <c r="V22" s="373">
        <v>17</v>
      </c>
      <c r="W22" s="963"/>
      <c r="Y22" s="368" t="s">
        <v>1390</v>
      </c>
      <c r="Z22" s="369">
        <f>COUNTIF(B16:W27,Y22)</f>
        <v>0</v>
      </c>
      <c r="AA22" s="370"/>
      <c r="AC22" s="393" t="s">
        <v>1358</v>
      </c>
      <c r="AD22" s="394" t="s">
        <v>1400</v>
      </c>
    </row>
    <row r="23" spans="2:30" s="272" customFormat="1">
      <c r="B23" s="371">
        <v>3</v>
      </c>
      <c r="C23" s="972"/>
      <c r="D23" s="973"/>
      <c r="E23" s="371">
        <v>3</v>
      </c>
      <c r="F23" s="958"/>
      <c r="G23" s="981"/>
      <c r="H23" s="371">
        <v>3</v>
      </c>
      <c r="I23" s="958"/>
      <c r="J23" s="981"/>
      <c r="K23" s="371">
        <v>3</v>
      </c>
      <c r="L23" s="958"/>
      <c r="M23" s="981"/>
      <c r="N23" s="371">
        <v>3</v>
      </c>
      <c r="O23" s="368" t="s">
        <v>1361</v>
      </c>
      <c r="P23" s="373">
        <v>21</v>
      </c>
      <c r="Q23" s="371">
        <v>3</v>
      </c>
      <c r="R23" s="368" t="s">
        <v>1361</v>
      </c>
      <c r="S23" s="373">
        <v>18</v>
      </c>
      <c r="T23" s="371">
        <v>3</v>
      </c>
      <c r="U23" s="368" t="s">
        <v>1361</v>
      </c>
      <c r="V23" s="373">
        <v>17</v>
      </c>
      <c r="W23" s="963"/>
      <c r="Y23" s="368"/>
      <c r="Z23" s="369">
        <f>COUNTIF(B16:W27,Y23)</f>
        <v>0</v>
      </c>
      <c r="AA23" s="370"/>
    </row>
    <row r="24" spans="2:30" s="272" customFormat="1">
      <c r="B24" s="376">
        <v>4</v>
      </c>
      <c r="C24" s="972"/>
      <c r="D24" s="973"/>
      <c r="E24" s="376">
        <v>4</v>
      </c>
      <c r="F24" s="958"/>
      <c r="G24" s="981"/>
      <c r="H24" s="376">
        <v>4</v>
      </c>
      <c r="I24" s="958"/>
      <c r="J24" s="981"/>
      <c r="K24" s="376">
        <v>4</v>
      </c>
      <c r="L24" s="958"/>
      <c r="M24" s="981"/>
      <c r="N24" s="376">
        <v>4</v>
      </c>
      <c r="O24" s="386" t="s">
        <v>1404</v>
      </c>
      <c r="P24" s="387">
        <v>21</v>
      </c>
      <c r="Q24" s="376">
        <v>4</v>
      </c>
      <c r="R24" s="375" t="s">
        <v>1404</v>
      </c>
      <c r="S24" s="373">
        <v>21</v>
      </c>
      <c r="T24" s="376">
        <v>4</v>
      </c>
      <c r="U24" s="375"/>
      <c r="V24" s="373"/>
      <c r="W24" s="963"/>
      <c r="Y24" s="368"/>
      <c r="Z24" s="369">
        <f>COUNTIF(B16:W27,Y24)</f>
        <v>0</v>
      </c>
      <c r="AA24" s="370"/>
    </row>
    <row r="25" spans="2:30" s="272" customFormat="1">
      <c r="B25" s="376">
        <v>5</v>
      </c>
      <c r="C25" s="972"/>
      <c r="D25" s="973"/>
      <c r="E25" s="376">
        <v>5</v>
      </c>
      <c r="F25" s="958"/>
      <c r="G25" s="981"/>
      <c r="H25" s="376">
        <v>5</v>
      </c>
      <c r="I25" s="958"/>
      <c r="J25" s="981"/>
      <c r="K25" s="376">
        <v>5</v>
      </c>
      <c r="L25" s="958"/>
      <c r="M25" s="981"/>
      <c r="N25" s="376">
        <v>5</v>
      </c>
      <c r="O25" s="375"/>
      <c r="P25" s="373"/>
      <c r="Q25" s="376">
        <v>5</v>
      </c>
      <c r="R25" s="375"/>
      <c r="S25" s="373"/>
      <c r="T25" s="376">
        <v>5</v>
      </c>
      <c r="U25" s="375"/>
      <c r="V25" s="373"/>
      <c r="W25" s="963"/>
      <c r="Y25" s="368"/>
      <c r="Z25" s="369">
        <f>COUNTIF(B16:W27,Y25)</f>
        <v>0</v>
      </c>
      <c r="AA25" s="370"/>
    </row>
    <row r="26" spans="2:30" s="272" customFormat="1">
      <c r="B26" s="371">
        <v>6</v>
      </c>
      <c r="C26" s="972"/>
      <c r="D26" s="973"/>
      <c r="E26" s="371">
        <v>6</v>
      </c>
      <c r="F26" s="958"/>
      <c r="G26" s="981"/>
      <c r="H26" s="371">
        <v>6</v>
      </c>
      <c r="I26" s="958"/>
      <c r="J26" s="981"/>
      <c r="K26" s="371">
        <v>6</v>
      </c>
      <c r="L26" s="958"/>
      <c r="M26" s="981"/>
      <c r="N26" s="371">
        <v>6</v>
      </c>
      <c r="O26" s="375"/>
      <c r="P26" s="373"/>
      <c r="Q26" s="371">
        <v>6</v>
      </c>
      <c r="R26" s="375"/>
      <c r="S26" s="373"/>
      <c r="T26" s="371">
        <v>6</v>
      </c>
      <c r="U26" s="375"/>
      <c r="V26" s="373"/>
      <c r="W26" s="963"/>
      <c r="Y26" s="368"/>
      <c r="Z26" s="369">
        <f>COUNTIF(B16:W27,Y26)</f>
        <v>0</v>
      </c>
      <c r="AA26" s="370"/>
    </row>
    <row r="27" spans="2:30" s="272" customFormat="1" ht="16" thickBot="1">
      <c r="B27" s="378">
        <v>7</v>
      </c>
      <c r="C27" s="974"/>
      <c r="D27" s="975"/>
      <c r="E27" s="378">
        <v>7</v>
      </c>
      <c r="F27" s="960"/>
      <c r="G27" s="982"/>
      <c r="H27" s="378">
        <v>7</v>
      </c>
      <c r="I27" s="960"/>
      <c r="J27" s="982"/>
      <c r="K27" s="378">
        <v>7</v>
      </c>
      <c r="L27" s="960"/>
      <c r="M27" s="982"/>
      <c r="N27" s="378">
        <v>7</v>
      </c>
      <c r="O27" s="379"/>
      <c r="P27" s="380"/>
      <c r="Q27" s="378">
        <v>7</v>
      </c>
      <c r="R27" s="379"/>
      <c r="S27" s="380"/>
      <c r="T27" s="378">
        <v>7</v>
      </c>
      <c r="U27" s="379"/>
      <c r="V27" s="380"/>
      <c r="W27" s="964"/>
      <c r="Y27" s="368"/>
      <c r="Z27" s="369">
        <f>COUNTIF(B16:W27,Y27)</f>
        <v>0</v>
      </c>
      <c r="AA27" s="370"/>
    </row>
    <row r="28" spans="2:30" s="272" customFormat="1" ht="16" thickBot="1">
      <c r="B28" s="234"/>
      <c r="C28" s="368"/>
      <c r="D28" s="279"/>
      <c r="E28" s="234"/>
      <c r="F28" s="368"/>
      <c r="G28" s="279"/>
      <c r="I28" s="368"/>
      <c r="J28" s="279"/>
      <c r="L28" s="368"/>
      <c r="M28" s="279"/>
      <c r="O28" s="368"/>
      <c r="P28" s="279"/>
      <c r="R28" s="368"/>
      <c r="S28" s="279"/>
      <c r="U28" s="368"/>
      <c r="V28" s="279"/>
      <c r="W28" s="234"/>
      <c r="Y28" s="368"/>
      <c r="Z28" s="369"/>
      <c r="AA28" s="370"/>
    </row>
    <row r="29" spans="2:30" s="272" customFormat="1">
      <c r="B29" s="984" t="s">
        <v>1405</v>
      </c>
      <c r="C29" s="985"/>
      <c r="D29" s="986"/>
      <c r="E29" s="984" t="s">
        <v>1406</v>
      </c>
      <c r="F29" s="985"/>
      <c r="G29" s="986"/>
      <c r="H29" s="984" t="s">
        <v>1407</v>
      </c>
      <c r="I29" s="985"/>
      <c r="J29" s="986"/>
      <c r="K29" s="984" t="s">
        <v>1408</v>
      </c>
      <c r="L29" s="985"/>
      <c r="M29" s="986"/>
      <c r="N29" s="984" t="s">
        <v>1409</v>
      </c>
      <c r="O29" s="985"/>
      <c r="P29" s="986"/>
      <c r="Q29" s="984" t="s">
        <v>1410</v>
      </c>
      <c r="R29" s="985"/>
      <c r="S29" s="986"/>
      <c r="T29" s="984" t="s">
        <v>1411</v>
      </c>
      <c r="U29" s="985"/>
      <c r="V29" s="985"/>
      <c r="W29" s="986"/>
      <c r="Y29" s="368" t="s">
        <v>1357</v>
      </c>
      <c r="Z29" s="369">
        <f>COUNTIF(B30:W41,Y29)</f>
        <v>0</v>
      </c>
      <c r="AA29" s="395" t="s">
        <v>1412</v>
      </c>
      <c r="AC29" s="393" t="s">
        <v>1363</v>
      </c>
      <c r="AD29" s="394" t="s">
        <v>1398</v>
      </c>
    </row>
    <row r="30" spans="2:30" s="272" customFormat="1" ht="17" customHeight="1">
      <c r="B30" s="371">
        <v>1</v>
      </c>
      <c r="C30" s="956" t="s">
        <v>1387</v>
      </c>
      <c r="D30" s="957"/>
      <c r="E30" s="371">
        <v>1</v>
      </c>
      <c r="F30" s="372" t="s">
        <v>1354</v>
      </c>
      <c r="G30" s="373"/>
      <c r="H30" s="371">
        <v>1</v>
      </c>
      <c r="I30" s="372" t="s">
        <v>1354</v>
      </c>
      <c r="J30" s="373"/>
      <c r="K30" s="371">
        <v>1</v>
      </c>
      <c r="L30" s="372" t="s">
        <v>1354</v>
      </c>
      <c r="M30" s="373"/>
      <c r="N30" s="371">
        <v>1</v>
      </c>
      <c r="O30" s="372" t="s">
        <v>1354</v>
      </c>
      <c r="P30" s="373"/>
      <c r="Q30" s="371">
        <v>1</v>
      </c>
      <c r="R30" s="372" t="s">
        <v>1354</v>
      </c>
      <c r="S30" s="373"/>
      <c r="T30" s="371">
        <v>1</v>
      </c>
      <c r="U30" s="372" t="s">
        <v>1354</v>
      </c>
      <c r="V30" s="373"/>
      <c r="W30" s="962" t="s">
        <v>119</v>
      </c>
      <c r="Y30" s="368" t="s">
        <v>1354</v>
      </c>
      <c r="Z30" s="369">
        <f>COUNTIF(B30:W41,Y30)</f>
        <v>6</v>
      </c>
      <c r="AA30" s="370"/>
      <c r="AC30" s="393" t="s">
        <v>1361</v>
      </c>
      <c r="AD30" s="394" t="s">
        <v>1400</v>
      </c>
    </row>
    <row r="31" spans="2:30" s="272" customFormat="1" ht="17" customHeight="1">
      <c r="B31" s="371">
        <v>2</v>
      </c>
      <c r="C31" s="958"/>
      <c r="D31" s="959"/>
      <c r="E31" s="371">
        <v>2</v>
      </c>
      <c r="F31" s="396" t="s">
        <v>1413</v>
      </c>
      <c r="G31" s="373"/>
      <c r="H31" s="371">
        <v>2</v>
      </c>
      <c r="I31" s="396" t="s">
        <v>1413</v>
      </c>
      <c r="J31" s="373"/>
      <c r="K31" s="371">
        <v>2</v>
      </c>
      <c r="L31" s="396" t="s">
        <v>1413</v>
      </c>
      <c r="M31" s="373"/>
      <c r="N31" s="371">
        <v>2</v>
      </c>
      <c r="O31" s="396" t="s">
        <v>1388</v>
      </c>
      <c r="P31" s="373"/>
      <c r="Q31" s="371">
        <v>2</v>
      </c>
      <c r="R31" s="396" t="s">
        <v>1388</v>
      </c>
      <c r="S31" s="373"/>
      <c r="T31" s="371">
        <v>2</v>
      </c>
      <c r="U31" s="396" t="s">
        <v>1388</v>
      </c>
      <c r="V31" s="373"/>
      <c r="W31" s="963"/>
      <c r="Y31" s="368" t="s">
        <v>1358</v>
      </c>
      <c r="Z31" s="369">
        <f>COUNTIF(B30:W41,Y31)</f>
        <v>5</v>
      </c>
      <c r="AA31" s="370"/>
      <c r="AC31" s="393" t="s">
        <v>1390</v>
      </c>
      <c r="AD31" s="394" t="s">
        <v>1400</v>
      </c>
    </row>
    <row r="32" spans="2:30" s="272" customFormat="1" ht="17" customHeight="1">
      <c r="B32" s="371">
        <v>3</v>
      </c>
      <c r="C32" s="958"/>
      <c r="D32" s="959"/>
      <c r="E32" s="371">
        <v>3</v>
      </c>
      <c r="F32" s="375"/>
      <c r="G32" s="373"/>
      <c r="H32" s="371">
        <v>3</v>
      </c>
      <c r="I32" s="375"/>
      <c r="J32" s="373"/>
      <c r="K32" s="371">
        <v>3</v>
      </c>
      <c r="L32" s="375"/>
      <c r="M32" s="373"/>
      <c r="N32" s="371">
        <v>3</v>
      </c>
      <c r="O32" s="375"/>
      <c r="P32" s="373"/>
      <c r="Q32" s="371">
        <v>3</v>
      </c>
      <c r="R32" s="375"/>
      <c r="S32" s="373"/>
      <c r="T32" s="371">
        <v>3</v>
      </c>
      <c r="U32" s="375"/>
      <c r="V32" s="373"/>
      <c r="W32" s="963"/>
      <c r="Y32" s="368" t="s">
        <v>1359</v>
      </c>
      <c r="Z32" s="369">
        <f>COUNTIF(B30:W41,Y32)</f>
        <v>0</v>
      </c>
      <c r="AA32" s="395" t="s">
        <v>1412</v>
      </c>
      <c r="AC32" s="393" t="s">
        <v>1401</v>
      </c>
      <c r="AD32" s="394" t="s">
        <v>1402</v>
      </c>
    </row>
    <row r="33" spans="2:30" s="272" customFormat="1" ht="17" customHeight="1">
      <c r="B33" s="376">
        <v>4</v>
      </c>
      <c r="C33" s="958"/>
      <c r="D33" s="959"/>
      <c r="E33" s="376">
        <v>4</v>
      </c>
      <c r="F33" s="377"/>
      <c r="G33" s="373"/>
      <c r="H33" s="376">
        <v>4</v>
      </c>
      <c r="I33" s="377"/>
      <c r="J33" s="373"/>
      <c r="K33" s="376">
        <v>4</v>
      </c>
      <c r="L33" s="377"/>
      <c r="M33" s="373"/>
      <c r="N33" s="376">
        <v>4</v>
      </c>
      <c r="O33" s="377"/>
      <c r="P33" s="373"/>
      <c r="Q33" s="376">
        <v>4</v>
      </c>
      <c r="R33" s="377"/>
      <c r="S33" s="373"/>
      <c r="T33" s="376">
        <v>4</v>
      </c>
      <c r="U33" s="377"/>
      <c r="V33" s="373"/>
      <c r="W33" s="963"/>
      <c r="Y33" s="368" t="s">
        <v>1360</v>
      </c>
      <c r="Z33" s="369">
        <f>COUNTIF(B30:W41,Y33)</f>
        <v>3</v>
      </c>
      <c r="AA33" s="370"/>
      <c r="AC33" s="393" t="s">
        <v>1414</v>
      </c>
      <c r="AD33" s="394" t="s">
        <v>1402</v>
      </c>
    </row>
    <row r="34" spans="2:30" s="272" customFormat="1" ht="18" customHeight="1" thickBot="1">
      <c r="B34" s="378">
        <v>5</v>
      </c>
      <c r="C34" s="960"/>
      <c r="D34" s="961"/>
      <c r="E34" s="378">
        <v>5</v>
      </c>
      <c r="F34" s="379"/>
      <c r="G34" s="380"/>
      <c r="H34" s="378">
        <v>5</v>
      </c>
      <c r="I34" s="379"/>
      <c r="J34" s="380"/>
      <c r="K34" s="378">
        <v>5</v>
      </c>
      <c r="L34" s="379"/>
      <c r="M34" s="380"/>
      <c r="N34" s="378">
        <v>5</v>
      </c>
      <c r="O34" s="379"/>
      <c r="P34" s="380"/>
      <c r="Q34" s="378">
        <v>5</v>
      </c>
      <c r="R34" s="379"/>
      <c r="S34" s="380"/>
      <c r="T34" s="378">
        <v>5</v>
      </c>
      <c r="U34" s="379"/>
      <c r="V34" s="380"/>
      <c r="W34" s="964"/>
      <c r="Y34" s="368" t="s">
        <v>1361</v>
      </c>
      <c r="Z34" s="369">
        <f>COUNTIF(B30:W41,Y34)</f>
        <v>2</v>
      </c>
      <c r="AA34" s="370"/>
      <c r="AC34" s="393" t="s">
        <v>1415</v>
      </c>
      <c r="AD34" s="394" t="s">
        <v>1398</v>
      </c>
    </row>
    <row r="35" spans="2:30" s="272" customFormat="1" ht="17" customHeight="1">
      <c r="B35" s="381">
        <v>1</v>
      </c>
      <c r="C35" s="979" t="s">
        <v>1387</v>
      </c>
      <c r="D35" s="980"/>
      <c r="E35" s="381">
        <v>1</v>
      </c>
      <c r="F35" s="375" t="s">
        <v>1416</v>
      </c>
      <c r="G35" s="382"/>
      <c r="H35" s="381">
        <v>1</v>
      </c>
      <c r="I35" s="375" t="s">
        <v>1358</v>
      </c>
      <c r="J35" s="382"/>
      <c r="K35" s="381">
        <v>1</v>
      </c>
      <c r="L35" s="375" t="s">
        <v>1358</v>
      </c>
      <c r="M35" s="382"/>
      <c r="N35" s="381">
        <v>1</v>
      </c>
      <c r="O35" s="375" t="s">
        <v>1358</v>
      </c>
      <c r="P35" s="382"/>
      <c r="Q35" s="381">
        <v>1</v>
      </c>
      <c r="R35" s="375" t="s">
        <v>1358</v>
      </c>
      <c r="S35" s="382"/>
      <c r="T35" s="381">
        <v>1</v>
      </c>
      <c r="U35" s="970" t="s">
        <v>54</v>
      </c>
      <c r="V35" s="971"/>
      <c r="W35" s="965" t="s">
        <v>1389</v>
      </c>
      <c r="Y35" s="368" t="s">
        <v>1363</v>
      </c>
      <c r="Z35" s="369">
        <f>COUNTIF(B30:W41,Y35)</f>
        <v>1</v>
      </c>
      <c r="AA35" s="370"/>
      <c r="AC35" s="393" t="s">
        <v>1360</v>
      </c>
      <c r="AD35" s="394" t="s">
        <v>1400</v>
      </c>
    </row>
    <row r="36" spans="2:30" s="272" customFormat="1" ht="17" customHeight="1">
      <c r="B36" s="371">
        <v>2</v>
      </c>
      <c r="C36" s="958"/>
      <c r="D36" s="981"/>
      <c r="E36" s="371">
        <v>2</v>
      </c>
      <c r="F36" s="375" t="s">
        <v>1358</v>
      </c>
      <c r="G36" s="373"/>
      <c r="H36" s="371">
        <v>2</v>
      </c>
      <c r="I36" s="375" t="s">
        <v>1416</v>
      </c>
      <c r="J36" s="373"/>
      <c r="K36" s="371">
        <v>2</v>
      </c>
      <c r="L36" s="375" t="s">
        <v>1360</v>
      </c>
      <c r="M36" s="373"/>
      <c r="N36" s="371">
        <v>2</v>
      </c>
      <c r="O36" s="375" t="s">
        <v>1360</v>
      </c>
      <c r="P36" s="373"/>
      <c r="Q36" s="371">
        <v>2</v>
      </c>
      <c r="R36" s="368" t="s">
        <v>1360</v>
      </c>
      <c r="S36" s="373"/>
      <c r="T36" s="371">
        <v>2</v>
      </c>
      <c r="U36" s="972"/>
      <c r="V36" s="973"/>
      <c r="W36" s="963"/>
      <c r="Y36" s="368" t="s">
        <v>1390</v>
      </c>
      <c r="Z36" s="369">
        <f>COUNTIF(B30:W41,Y36)</f>
        <v>0</v>
      </c>
      <c r="AA36" s="370"/>
      <c r="AC36" s="393" t="s">
        <v>1358</v>
      </c>
      <c r="AD36" s="394" t="s">
        <v>1400</v>
      </c>
    </row>
    <row r="37" spans="2:30" s="272" customFormat="1" ht="17" customHeight="1">
      <c r="B37" s="371">
        <v>3</v>
      </c>
      <c r="C37" s="958"/>
      <c r="D37" s="981"/>
      <c r="E37" s="371">
        <v>3</v>
      </c>
      <c r="F37" s="368"/>
      <c r="G37" s="373"/>
      <c r="H37" s="371">
        <v>3</v>
      </c>
      <c r="I37" s="368"/>
      <c r="J37" s="373"/>
      <c r="K37" s="371">
        <v>3</v>
      </c>
      <c r="L37" s="375"/>
      <c r="M37" s="373"/>
      <c r="N37" s="371">
        <v>3</v>
      </c>
      <c r="O37" s="368" t="s">
        <v>1361</v>
      </c>
      <c r="P37" s="373"/>
      <c r="Q37" s="371">
        <v>3</v>
      </c>
      <c r="R37" s="375" t="s">
        <v>1363</v>
      </c>
      <c r="S37" s="373"/>
      <c r="T37" s="371">
        <v>3</v>
      </c>
      <c r="U37" s="972"/>
      <c r="V37" s="973"/>
      <c r="W37" s="963"/>
      <c r="Y37" s="368"/>
      <c r="Z37" s="369">
        <f>COUNTIF(B30:W41,Y37)</f>
        <v>0</v>
      </c>
      <c r="AA37" s="370"/>
    </row>
    <row r="38" spans="2:30" s="272" customFormat="1" ht="17" customHeight="1">
      <c r="B38" s="376">
        <v>4</v>
      </c>
      <c r="C38" s="958"/>
      <c r="D38" s="981"/>
      <c r="E38" s="376">
        <v>4</v>
      </c>
      <c r="F38" s="375"/>
      <c r="G38" s="373"/>
      <c r="H38" s="376">
        <v>4</v>
      </c>
      <c r="I38" s="375"/>
      <c r="J38" s="373"/>
      <c r="K38" s="376">
        <v>4</v>
      </c>
      <c r="L38" s="375"/>
      <c r="M38" s="373"/>
      <c r="N38" s="376">
        <v>4</v>
      </c>
      <c r="O38" s="375" t="s">
        <v>1416</v>
      </c>
      <c r="P38" s="373"/>
      <c r="Q38" s="376">
        <v>4</v>
      </c>
      <c r="R38" s="386" t="s">
        <v>1361</v>
      </c>
      <c r="S38" s="387"/>
      <c r="T38" s="376">
        <v>4</v>
      </c>
      <c r="U38" s="972"/>
      <c r="V38" s="973"/>
      <c r="W38" s="963"/>
      <c r="Y38" s="368"/>
      <c r="Z38" s="369">
        <f>COUNTIF(B30:W41,Y38)</f>
        <v>0</v>
      </c>
      <c r="AA38" s="370"/>
    </row>
    <row r="39" spans="2:30" s="272" customFormat="1" ht="17" customHeight="1">
      <c r="B39" s="376">
        <v>5</v>
      </c>
      <c r="C39" s="958"/>
      <c r="D39" s="981"/>
      <c r="E39" s="376">
        <v>5</v>
      </c>
      <c r="F39" s="375"/>
      <c r="G39" s="373"/>
      <c r="H39" s="376">
        <v>5</v>
      </c>
      <c r="I39" s="375"/>
      <c r="J39" s="373"/>
      <c r="K39" s="376">
        <v>5</v>
      </c>
      <c r="L39" s="375"/>
      <c r="M39" s="373"/>
      <c r="N39" s="376">
        <v>5</v>
      </c>
      <c r="O39" s="375"/>
      <c r="P39" s="373"/>
      <c r="Q39" s="376">
        <v>5</v>
      </c>
      <c r="R39" s="375"/>
      <c r="S39" s="373"/>
      <c r="T39" s="376">
        <v>5</v>
      </c>
      <c r="U39" s="972"/>
      <c r="V39" s="973"/>
      <c r="W39" s="963"/>
      <c r="Y39" s="368"/>
      <c r="Z39" s="369">
        <f>COUNTIF(B30:W41,Y39)</f>
        <v>0</v>
      </c>
      <c r="AA39" s="370"/>
    </row>
    <row r="40" spans="2:30" s="272" customFormat="1" ht="17" customHeight="1">
      <c r="B40" s="371">
        <v>6</v>
      </c>
      <c r="C40" s="958"/>
      <c r="D40" s="981"/>
      <c r="E40" s="371">
        <v>6</v>
      </c>
      <c r="F40" s="375"/>
      <c r="G40" s="373"/>
      <c r="H40" s="371">
        <v>6</v>
      </c>
      <c r="I40" s="375"/>
      <c r="J40" s="373"/>
      <c r="K40" s="371">
        <v>6</v>
      </c>
      <c r="L40" s="375"/>
      <c r="M40" s="373"/>
      <c r="N40" s="371">
        <v>6</v>
      </c>
      <c r="O40" s="375"/>
      <c r="P40" s="373"/>
      <c r="Q40" s="371">
        <v>6</v>
      </c>
      <c r="R40" s="375"/>
      <c r="S40" s="373"/>
      <c r="T40" s="371">
        <v>6</v>
      </c>
      <c r="U40" s="972"/>
      <c r="V40" s="973"/>
      <c r="W40" s="963"/>
      <c r="Y40" s="368"/>
      <c r="Z40" s="369">
        <f>COUNTIF(B30:W41,Y40)</f>
        <v>0</v>
      </c>
      <c r="AA40" s="370"/>
    </row>
    <row r="41" spans="2:30" s="272" customFormat="1" ht="18" customHeight="1" thickBot="1">
      <c r="B41" s="378">
        <v>7</v>
      </c>
      <c r="C41" s="960"/>
      <c r="D41" s="982"/>
      <c r="E41" s="378">
        <v>7</v>
      </c>
      <c r="F41" s="379"/>
      <c r="G41" s="380"/>
      <c r="H41" s="378">
        <v>7</v>
      </c>
      <c r="I41" s="379"/>
      <c r="J41" s="380"/>
      <c r="K41" s="378">
        <v>7</v>
      </c>
      <c r="L41" s="379"/>
      <c r="M41" s="380"/>
      <c r="N41" s="378">
        <v>7</v>
      </c>
      <c r="O41" s="379"/>
      <c r="P41" s="380"/>
      <c r="Q41" s="378">
        <v>7</v>
      </c>
      <c r="R41" s="379"/>
      <c r="S41" s="380"/>
      <c r="T41" s="378">
        <v>7</v>
      </c>
      <c r="U41" s="974"/>
      <c r="V41" s="975"/>
      <c r="W41" s="964"/>
      <c r="Y41" s="368"/>
      <c r="Z41" s="369">
        <f>COUNTIF(B30:W41,Y41)</f>
        <v>0</v>
      </c>
      <c r="AA41" s="370"/>
    </row>
    <row r="42" spans="2:30" s="272" customFormat="1" ht="42" customHeight="1" thickBot="1">
      <c r="B42" s="234"/>
      <c r="C42" s="368"/>
      <c r="D42" s="279"/>
      <c r="E42" s="234"/>
      <c r="F42" s="368"/>
      <c r="G42" s="279"/>
      <c r="I42" s="368"/>
      <c r="J42" s="279"/>
      <c r="L42" s="368"/>
      <c r="M42" s="279"/>
      <c r="O42" s="368"/>
      <c r="P42" s="279"/>
      <c r="R42" s="368"/>
      <c r="S42" s="279"/>
      <c r="U42" s="368"/>
      <c r="V42" s="279"/>
      <c r="W42" s="234"/>
      <c r="Y42" s="368"/>
      <c r="Z42" s="369"/>
      <c r="AA42" s="370"/>
    </row>
    <row r="43" spans="2:30" s="272" customFormat="1">
      <c r="B43" s="984" t="s">
        <v>1417</v>
      </c>
      <c r="C43" s="985"/>
      <c r="D43" s="986"/>
      <c r="E43" s="984" t="s">
        <v>1418</v>
      </c>
      <c r="F43" s="985"/>
      <c r="G43" s="986"/>
      <c r="H43" s="984" t="s">
        <v>1419</v>
      </c>
      <c r="I43" s="985"/>
      <c r="J43" s="986"/>
      <c r="K43" s="984" t="s">
        <v>1420</v>
      </c>
      <c r="L43" s="985"/>
      <c r="M43" s="986"/>
      <c r="N43" s="984" t="s">
        <v>1421</v>
      </c>
      <c r="O43" s="985"/>
      <c r="P43" s="986"/>
      <c r="Q43" s="984" t="s">
        <v>1422</v>
      </c>
      <c r="R43" s="985"/>
      <c r="S43" s="986"/>
      <c r="T43" s="984" t="s">
        <v>1423</v>
      </c>
      <c r="U43" s="985"/>
      <c r="V43" s="985"/>
      <c r="W43" s="986"/>
      <c r="Y43" s="368" t="s">
        <v>1357</v>
      </c>
      <c r="Z43" s="369">
        <f>COUNTIF(B44:W55,Y43)</f>
        <v>0</v>
      </c>
      <c r="AA43" s="370" t="s">
        <v>1412</v>
      </c>
    </row>
    <row r="44" spans="2:30" s="272" customFormat="1" ht="17" customHeight="1">
      <c r="B44" s="371">
        <v>1</v>
      </c>
      <c r="C44" s="956" t="s">
        <v>1387</v>
      </c>
      <c r="D44" s="957"/>
      <c r="E44" s="371">
        <v>1</v>
      </c>
      <c r="F44" s="396" t="s">
        <v>1413</v>
      </c>
      <c r="G44" s="373"/>
      <c r="H44" s="371">
        <v>1</v>
      </c>
      <c r="I44" s="396" t="s">
        <v>1413</v>
      </c>
      <c r="J44" s="373"/>
      <c r="K44" s="371">
        <v>1</v>
      </c>
      <c r="L44" s="396" t="s">
        <v>1413</v>
      </c>
      <c r="M44" s="373"/>
      <c r="N44" s="371">
        <v>1</v>
      </c>
      <c r="O44" s="396" t="s">
        <v>1388</v>
      </c>
      <c r="P44" s="373"/>
      <c r="Q44" s="371">
        <v>1</v>
      </c>
      <c r="R44" s="396" t="s">
        <v>1388</v>
      </c>
      <c r="S44" s="373"/>
      <c r="T44" s="371">
        <v>1</v>
      </c>
      <c r="U44" s="396" t="s">
        <v>1388</v>
      </c>
      <c r="V44" s="373"/>
      <c r="W44" s="962" t="s">
        <v>119</v>
      </c>
      <c r="Y44" s="368" t="s">
        <v>1354</v>
      </c>
      <c r="Z44" s="369">
        <f>COUNTIF(B44:W55,Y44)</f>
        <v>6</v>
      </c>
      <c r="AA44" s="370"/>
    </row>
    <row r="45" spans="2:30" s="272" customFormat="1" ht="17" customHeight="1">
      <c r="B45" s="371">
        <v>2</v>
      </c>
      <c r="C45" s="958"/>
      <c r="D45" s="959"/>
      <c r="E45" s="371">
        <v>2</v>
      </c>
      <c r="F45" s="372" t="s">
        <v>1354</v>
      </c>
      <c r="G45" s="373"/>
      <c r="H45" s="371">
        <v>2</v>
      </c>
      <c r="I45" s="372" t="s">
        <v>1354</v>
      </c>
      <c r="J45" s="373"/>
      <c r="K45" s="371">
        <v>2</v>
      </c>
      <c r="L45" s="372" t="s">
        <v>1354</v>
      </c>
      <c r="M45" s="373"/>
      <c r="N45" s="371">
        <v>2</v>
      </c>
      <c r="O45" s="372" t="s">
        <v>1354</v>
      </c>
      <c r="P45" s="373"/>
      <c r="Q45" s="371">
        <v>2</v>
      </c>
      <c r="R45" s="372" t="s">
        <v>1354</v>
      </c>
      <c r="S45" s="373"/>
      <c r="T45" s="371">
        <v>2</v>
      </c>
      <c r="U45" s="372" t="s">
        <v>1354</v>
      </c>
      <c r="V45" s="373"/>
      <c r="W45" s="963"/>
      <c r="Y45" s="368" t="s">
        <v>1358</v>
      </c>
      <c r="Z45" s="369">
        <f>COUNTIF(B44:W55,Y45)</f>
        <v>0</v>
      </c>
      <c r="AA45" s="395" t="s">
        <v>1412</v>
      </c>
    </row>
    <row r="46" spans="2:30" s="272" customFormat="1" ht="17" customHeight="1">
      <c r="B46" s="371">
        <v>3</v>
      </c>
      <c r="C46" s="958"/>
      <c r="D46" s="959"/>
      <c r="E46" s="371">
        <v>3</v>
      </c>
      <c r="F46" s="375"/>
      <c r="G46" s="373"/>
      <c r="H46" s="371">
        <v>3</v>
      </c>
      <c r="I46" s="375"/>
      <c r="J46" s="373"/>
      <c r="K46" s="371">
        <v>3</v>
      </c>
      <c r="L46" s="375"/>
      <c r="M46" s="373"/>
      <c r="N46" s="371">
        <v>3</v>
      </c>
      <c r="O46" s="375"/>
      <c r="P46" s="373"/>
      <c r="Q46" s="371">
        <v>3</v>
      </c>
      <c r="R46" s="375"/>
      <c r="S46" s="373"/>
      <c r="T46" s="371">
        <v>3</v>
      </c>
      <c r="U46" s="375"/>
      <c r="V46" s="373"/>
      <c r="W46" s="963"/>
      <c r="Y46" s="368" t="s">
        <v>1359</v>
      </c>
      <c r="Z46" s="369">
        <f>COUNTIF(B44:W55,Y46)</f>
        <v>5</v>
      </c>
      <c r="AA46" s="370"/>
    </row>
    <row r="47" spans="2:30" s="272" customFormat="1" ht="17" customHeight="1">
      <c r="B47" s="376">
        <v>4</v>
      </c>
      <c r="C47" s="958"/>
      <c r="D47" s="959"/>
      <c r="E47" s="376">
        <v>4</v>
      </c>
      <c r="F47" s="377"/>
      <c r="G47" s="373"/>
      <c r="H47" s="376">
        <v>4</v>
      </c>
      <c r="I47" s="377"/>
      <c r="J47" s="373"/>
      <c r="K47" s="376">
        <v>4</v>
      </c>
      <c r="L47" s="377"/>
      <c r="M47" s="373"/>
      <c r="N47" s="376">
        <v>4</v>
      </c>
      <c r="O47" s="377"/>
      <c r="P47" s="373"/>
      <c r="Q47" s="376">
        <v>4</v>
      </c>
      <c r="R47" s="377"/>
      <c r="S47" s="373"/>
      <c r="T47" s="376">
        <v>4</v>
      </c>
      <c r="U47" s="377"/>
      <c r="V47" s="373"/>
      <c r="W47" s="963"/>
      <c r="Y47" s="368" t="s">
        <v>1360</v>
      </c>
      <c r="Z47" s="369">
        <f>COUNTIF(B44:W55,Y47)</f>
        <v>4</v>
      </c>
      <c r="AA47" s="395"/>
    </row>
    <row r="48" spans="2:30" s="272" customFormat="1" ht="18" customHeight="1" thickBot="1">
      <c r="B48" s="378">
        <v>5</v>
      </c>
      <c r="C48" s="960"/>
      <c r="D48" s="961"/>
      <c r="E48" s="378">
        <v>5</v>
      </c>
      <c r="F48" s="379"/>
      <c r="G48" s="380"/>
      <c r="H48" s="378">
        <v>5</v>
      </c>
      <c r="I48" s="379"/>
      <c r="J48" s="380"/>
      <c r="K48" s="378">
        <v>5</v>
      </c>
      <c r="L48" s="379"/>
      <c r="M48" s="380"/>
      <c r="N48" s="378">
        <v>5</v>
      </c>
      <c r="O48" s="379"/>
      <c r="P48" s="380"/>
      <c r="Q48" s="378">
        <v>5</v>
      </c>
      <c r="R48" s="379"/>
      <c r="S48" s="380"/>
      <c r="T48" s="378">
        <v>5</v>
      </c>
      <c r="U48" s="379"/>
      <c r="V48" s="380"/>
      <c r="W48" s="964"/>
      <c r="Y48" s="368" t="s">
        <v>1361</v>
      </c>
      <c r="Z48" s="369">
        <f>COUNTIF(B44:W55,Y48)</f>
        <v>3</v>
      </c>
      <c r="AA48" s="370"/>
    </row>
    <row r="49" spans="2:30" s="272" customFormat="1" ht="17" customHeight="1">
      <c r="B49" s="381">
        <v>1</v>
      </c>
      <c r="C49" s="979" t="s">
        <v>1387</v>
      </c>
      <c r="D49" s="980"/>
      <c r="E49" s="381">
        <v>1</v>
      </c>
      <c r="F49" s="375" t="s">
        <v>1359</v>
      </c>
      <c r="G49" s="382"/>
      <c r="H49" s="381">
        <v>1</v>
      </c>
      <c r="I49" s="375" t="s">
        <v>1359</v>
      </c>
      <c r="J49" s="382"/>
      <c r="K49" s="381">
        <v>1</v>
      </c>
      <c r="L49" s="375" t="s">
        <v>1359</v>
      </c>
      <c r="M49" s="382"/>
      <c r="N49" s="381">
        <v>1</v>
      </c>
      <c r="O49" s="375" t="s">
        <v>1360</v>
      </c>
      <c r="P49" s="382"/>
      <c r="Q49" s="381">
        <v>1</v>
      </c>
      <c r="R49" s="375" t="s">
        <v>1360</v>
      </c>
      <c r="S49" s="382"/>
      <c r="T49" s="381">
        <v>1</v>
      </c>
      <c r="U49" s="375" t="s">
        <v>1360</v>
      </c>
      <c r="V49" s="382"/>
      <c r="W49" s="965" t="s">
        <v>1389</v>
      </c>
      <c r="Y49" s="368" t="s">
        <v>1363</v>
      </c>
      <c r="Z49" s="369">
        <f>COUNTIF(B44:W55,Y49)</f>
        <v>0</v>
      </c>
      <c r="AA49" s="370"/>
    </row>
    <row r="50" spans="2:30" s="272" customFormat="1" ht="17" customHeight="1">
      <c r="B50" s="371">
        <v>2</v>
      </c>
      <c r="C50" s="958"/>
      <c r="D50" s="981"/>
      <c r="E50" s="371">
        <v>2</v>
      </c>
      <c r="F50" s="375" t="s">
        <v>1416</v>
      </c>
      <c r="G50" s="373"/>
      <c r="H50" s="371">
        <v>2</v>
      </c>
      <c r="I50" s="375" t="s">
        <v>1416</v>
      </c>
      <c r="J50" s="373"/>
      <c r="K50" s="371">
        <v>2</v>
      </c>
      <c r="L50" s="375" t="s">
        <v>1360</v>
      </c>
      <c r="M50" s="373"/>
      <c r="N50" s="371">
        <v>2</v>
      </c>
      <c r="O50" s="375" t="s">
        <v>1359</v>
      </c>
      <c r="P50" s="373"/>
      <c r="Q50" s="371">
        <v>2</v>
      </c>
      <c r="R50" s="375" t="s">
        <v>1359</v>
      </c>
      <c r="S50" s="373"/>
      <c r="T50" s="371">
        <v>2</v>
      </c>
      <c r="U50" s="375" t="s">
        <v>1390</v>
      </c>
      <c r="V50" s="373"/>
      <c r="W50" s="963"/>
      <c r="Y50" s="368" t="s">
        <v>1390</v>
      </c>
      <c r="Z50" s="369">
        <f>COUNTIF(B44:W55,Y50)</f>
        <v>3</v>
      </c>
      <c r="AA50" s="370"/>
    </row>
    <row r="51" spans="2:30" s="272" customFormat="1" ht="17" customHeight="1">
      <c r="B51" s="371">
        <v>3</v>
      </c>
      <c r="C51" s="958"/>
      <c r="D51" s="981"/>
      <c r="E51" s="371">
        <v>3</v>
      </c>
      <c r="F51" s="368"/>
      <c r="G51" s="373"/>
      <c r="H51" s="371">
        <v>3</v>
      </c>
      <c r="I51" s="368"/>
      <c r="J51" s="373"/>
      <c r="K51" s="371">
        <v>3</v>
      </c>
      <c r="L51" s="368"/>
      <c r="M51" s="373"/>
      <c r="N51" s="371">
        <v>3</v>
      </c>
      <c r="O51" s="368" t="s">
        <v>1390</v>
      </c>
      <c r="P51" s="373"/>
      <c r="Q51" s="371">
        <v>3</v>
      </c>
      <c r="R51" s="368" t="s">
        <v>1390</v>
      </c>
      <c r="S51" s="373"/>
      <c r="T51" s="371">
        <v>3</v>
      </c>
      <c r="U51" s="368" t="s">
        <v>1361</v>
      </c>
      <c r="V51" s="373"/>
      <c r="W51" s="963"/>
      <c r="Y51" s="368"/>
      <c r="Z51" s="369">
        <f>COUNTIF(B44:W55,Y51)</f>
        <v>0</v>
      </c>
      <c r="AA51" s="370"/>
    </row>
    <row r="52" spans="2:30" s="272" customFormat="1" ht="17" customHeight="1">
      <c r="B52" s="376">
        <v>4</v>
      </c>
      <c r="C52" s="958"/>
      <c r="D52" s="981"/>
      <c r="E52" s="376">
        <v>4</v>
      </c>
      <c r="F52" s="375"/>
      <c r="G52" s="373"/>
      <c r="H52" s="376">
        <v>4</v>
      </c>
      <c r="I52" s="375"/>
      <c r="J52" s="373"/>
      <c r="K52" s="376">
        <v>4</v>
      </c>
      <c r="L52" s="375"/>
      <c r="M52" s="373"/>
      <c r="N52" s="376">
        <v>4</v>
      </c>
      <c r="O52" s="375" t="s">
        <v>1361</v>
      </c>
      <c r="P52" s="373"/>
      <c r="Q52" s="376">
        <v>4</v>
      </c>
      <c r="R52" s="386" t="s">
        <v>1361</v>
      </c>
      <c r="S52" s="387"/>
      <c r="T52" s="376">
        <v>4</v>
      </c>
      <c r="U52" s="375"/>
      <c r="V52" s="373"/>
      <c r="W52" s="963"/>
      <c r="Y52" s="368"/>
      <c r="Z52" s="369">
        <f>COUNTIF(B44:W55,Y52)</f>
        <v>0</v>
      </c>
      <c r="AA52" s="370"/>
    </row>
    <row r="53" spans="2:30" s="272" customFormat="1" ht="17" customHeight="1">
      <c r="B53" s="376">
        <v>5</v>
      </c>
      <c r="C53" s="958"/>
      <c r="D53" s="981"/>
      <c r="E53" s="376">
        <v>5</v>
      </c>
      <c r="F53" s="375"/>
      <c r="G53" s="373"/>
      <c r="H53" s="376">
        <v>5</v>
      </c>
      <c r="I53" s="375"/>
      <c r="J53" s="373"/>
      <c r="K53" s="376">
        <v>5</v>
      </c>
      <c r="L53" s="375"/>
      <c r="M53" s="373"/>
      <c r="N53" s="376">
        <v>5</v>
      </c>
      <c r="O53" s="375"/>
      <c r="P53" s="373"/>
      <c r="Q53" s="376">
        <v>5</v>
      </c>
      <c r="R53" s="375"/>
      <c r="S53" s="373"/>
      <c r="T53" s="376">
        <v>5</v>
      </c>
      <c r="U53" s="375"/>
      <c r="V53" s="373"/>
      <c r="W53" s="963"/>
      <c r="Y53" s="368"/>
      <c r="Z53" s="369">
        <f>COUNTIF(B44:W55,Y53)</f>
        <v>0</v>
      </c>
      <c r="AA53" s="370"/>
    </row>
    <row r="54" spans="2:30" s="272" customFormat="1" ht="17" customHeight="1">
      <c r="B54" s="371">
        <v>6</v>
      </c>
      <c r="C54" s="958"/>
      <c r="D54" s="981"/>
      <c r="E54" s="371">
        <v>6</v>
      </c>
      <c r="F54" s="375"/>
      <c r="G54" s="373"/>
      <c r="H54" s="371">
        <v>6</v>
      </c>
      <c r="I54" s="375"/>
      <c r="J54" s="373"/>
      <c r="K54" s="371">
        <v>6</v>
      </c>
      <c r="L54" s="375"/>
      <c r="M54" s="373"/>
      <c r="N54" s="371">
        <v>6</v>
      </c>
      <c r="O54" s="375"/>
      <c r="P54" s="373"/>
      <c r="Q54" s="371">
        <v>6</v>
      </c>
      <c r="R54" s="375"/>
      <c r="S54" s="373"/>
      <c r="T54" s="371">
        <v>6</v>
      </c>
      <c r="U54" s="375"/>
      <c r="V54" s="373"/>
      <c r="W54" s="963"/>
      <c r="Y54" s="368"/>
      <c r="Z54" s="369">
        <f>COUNTIF(B44:W55,Y54)</f>
        <v>0</v>
      </c>
      <c r="AA54" s="370"/>
    </row>
    <row r="55" spans="2:30" s="272" customFormat="1" ht="18" customHeight="1" thickBot="1">
      <c r="B55" s="378">
        <v>7</v>
      </c>
      <c r="C55" s="960"/>
      <c r="D55" s="982"/>
      <c r="E55" s="378">
        <v>7</v>
      </c>
      <c r="F55" s="379"/>
      <c r="G55" s="380"/>
      <c r="H55" s="378">
        <v>7</v>
      </c>
      <c r="I55" s="379"/>
      <c r="J55" s="380"/>
      <c r="K55" s="378">
        <v>7</v>
      </c>
      <c r="L55" s="379"/>
      <c r="M55" s="380"/>
      <c r="N55" s="378">
        <v>7</v>
      </c>
      <c r="O55" s="379"/>
      <c r="P55" s="380"/>
      <c r="Q55" s="378">
        <v>7</v>
      </c>
      <c r="R55" s="379"/>
      <c r="S55" s="380"/>
      <c r="T55" s="378">
        <v>7</v>
      </c>
      <c r="U55" s="379"/>
      <c r="V55" s="380"/>
      <c r="W55" s="964"/>
      <c r="Y55" s="368"/>
      <c r="Z55" s="369">
        <f>COUNTIF(B44:W55,Y55)</f>
        <v>0</v>
      </c>
      <c r="AA55" s="370"/>
    </row>
    <row r="56" spans="2:30" s="272" customFormat="1" ht="16" thickBot="1">
      <c r="B56" s="234"/>
      <c r="C56" s="368"/>
      <c r="D56" s="279"/>
      <c r="E56" s="234"/>
      <c r="F56" s="368"/>
      <c r="G56" s="279"/>
      <c r="I56" s="368"/>
      <c r="J56" s="279"/>
      <c r="L56" s="368"/>
      <c r="M56" s="279"/>
      <c r="O56" s="368"/>
      <c r="P56" s="279"/>
      <c r="R56" s="368"/>
      <c r="S56" s="279"/>
      <c r="U56" s="368"/>
      <c r="V56" s="279"/>
      <c r="W56" s="234"/>
      <c r="Y56" s="368"/>
      <c r="Z56" s="369"/>
      <c r="AA56" s="370"/>
    </row>
    <row r="57" spans="2:30" s="272" customFormat="1">
      <c r="B57" s="984" t="s">
        <v>1424</v>
      </c>
      <c r="C57" s="985"/>
      <c r="D57" s="986"/>
      <c r="E57" s="984" t="s">
        <v>1425</v>
      </c>
      <c r="F57" s="985"/>
      <c r="G57" s="986"/>
      <c r="H57" s="984" t="s">
        <v>1426</v>
      </c>
      <c r="I57" s="985"/>
      <c r="J57" s="986"/>
      <c r="K57" s="984" t="s">
        <v>1427</v>
      </c>
      <c r="L57" s="985"/>
      <c r="M57" s="986"/>
      <c r="N57" s="984" t="s">
        <v>1428</v>
      </c>
      <c r="O57" s="985"/>
      <c r="P57" s="986"/>
      <c r="Q57" s="967" t="s">
        <v>1429</v>
      </c>
      <c r="R57" s="968"/>
      <c r="S57" s="969"/>
      <c r="T57" s="967" t="s">
        <v>1430</v>
      </c>
      <c r="U57" s="968"/>
      <c r="V57" s="968"/>
      <c r="W57" s="969"/>
      <c r="Y57" s="368" t="s">
        <v>1357</v>
      </c>
      <c r="Z57" s="369">
        <f>COUNTIF(B58:W69,Y57)</f>
        <v>5</v>
      </c>
      <c r="AA57" s="370"/>
      <c r="AC57" s="393" t="s">
        <v>1359</v>
      </c>
      <c r="AD57" s="394" t="s">
        <v>1398</v>
      </c>
    </row>
    <row r="58" spans="2:30" s="272" customFormat="1" ht="17" customHeight="1">
      <c r="B58" s="371">
        <v>1</v>
      </c>
      <c r="C58" s="956" t="s">
        <v>1387</v>
      </c>
      <c r="D58" s="957"/>
      <c r="E58" s="371">
        <v>1</v>
      </c>
      <c r="F58" s="372" t="s">
        <v>1357</v>
      </c>
      <c r="G58" s="373"/>
      <c r="H58" s="371">
        <v>1</v>
      </c>
      <c r="I58" s="372" t="s">
        <v>1354</v>
      </c>
      <c r="J58" s="373"/>
      <c r="K58" s="371">
        <v>1</v>
      </c>
      <c r="L58" s="372" t="s">
        <v>1357</v>
      </c>
      <c r="M58" s="373"/>
      <c r="N58" s="371">
        <v>1</v>
      </c>
      <c r="O58" s="372" t="s">
        <v>1357</v>
      </c>
      <c r="P58" s="373"/>
      <c r="Q58" s="371">
        <v>1</v>
      </c>
      <c r="R58" s="372" t="s">
        <v>1357</v>
      </c>
      <c r="S58" s="373"/>
      <c r="T58" s="371">
        <v>1</v>
      </c>
      <c r="U58" s="372" t="s">
        <v>1357</v>
      </c>
      <c r="V58" s="373"/>
      <c r="W58" s="962" t="s">
        <v>119</v>
      </c>
      <c r="Y58" s="368" t="s">
        <v>1354</v>
      </c>
      <c r="Z58" s="369">
        <f>COUNTIF(B58:W69,Y58)</f>
        <v>5</v>
      </c>
      <c r="AA58" s="370"/>
      <c r="AC58" s="393" t="s">
        <v>1361</v>
      </c>
      <c r="AD58" s="394" t="s">
        <v>1400</v>
      </c>
    </row>
    <row r="59" spans="2:30" s="272" customFormat="1" ht="17" customHeight="1">
      <c r="B59" s="371">
        <v>2</v>
      </c>
      <c r="C59" s="958"/>
      <c r="D59" s="959"/>
      <c r="E59" s="371">
        <v>2</v>
      </c>
      <c r="F59" s="396" t="s">
        <v>1413</v>
      </c>
      <c r="G59" s="373"/>
      <c r="H59" s="371">
        <v>2</v>
      </c>
      <c r="I59" s="396" t="s">
        <v>1413</v>
      </c>
      <c r="J59" s="373"/>
      <c r="K59" s="371">
        <v>2</v>
      </c>
      <c r="L59" s="372" t="s">
        <v>1354</v>
      </c>
      <c r="M59" s="373"/>
      <c r="N59" s="371">
        <v>2</v>
      </c>
      <c r="O59" s="372" t="s">
        <v>1354</v>
      </c>
      <c r="P59" s="373"/>
      <c r="Q59" s="371">
        <v>2</v>
      </c>
      <c r="R59" s="372" t="s">
        <v>1354</v>
      </c>
      <c r="S59" s="373"/>
      <c r="T59" s="371">
        <v>2</v>
      </c>
      <c r="U59" s="372" t="s">
        <v>1354</v>
      </c>
      <c r="V59" s="373"/>
      <c r="W59" s="963"/>
      <c r="Y59" s="368" t="s">
        <v>1358</v>
      </c>
      <c r="Z59" s="369">
        <f>COUNTIF(B58:W69,Y59)</f>
        <v>4</v>
      </c>
      <c r="AA59" s="370"/>
      <c r="AC59" s="393" t="s">
        <v>1390</v>
      </c>
      <c r="AD59" s="394" t="s">
        <v>1400</v>
      </c>
    </row>
    <row r="60" spans="2:30" s="272" customFormat="1" ht="17" customHeight="1">
      <c r="B60" s="371">
        <v>3</v>
      </c>
      <c r="C60" s="958"/>
      <c r="D60" s="959"/>
      <c r="E60" s="371">
        <v>3</v>
      </c>
      <c r="F60" s="375"/>
      <c r="G60" s="373"/>
      <c r="H60" s="371">
        <v>3</v>
      </c>
      <c r="I60" s="375"/>
      <c r="J60" s="373"/>
      <c r="K60" s="371">
        <v>3</v>
      </c>
      <c r="L60" s="375"/>
      <c r="M60" s="373"/>
      <c r="N60" s="371">
        <v>3</v>
      </c>
      <c r="O60" s="375"/>
      <c r="P60" s="373"/>
      <c r="Q60" s="371">
        <v>3</v>
      </c>
      <c r="R60" s="375"/>
      <c r="S60" s="373"/>
      <c r="T60" s="371">
        <v>3</v>
      </c>
      <c r="U60" s="375"/>
      <c r="V60" s="373"/>
      <c r="W60" s="963"/>
      <c r="Y60" s="368" t="s">
        <v>1359</v>
      </c>
      <c r="Z60" s="369">
        <f>COUNTIF(B58:W69,Y60)</f>
        <v>4</v>
      </c>
      <c r="AA60" s="370"/>
      <c r="AC60" s="393" t="s">
        <v>1401</v>
      </c>
      <c r="AD60" s="394" t="s">
        <v>1402</v>
      </c>
    </row>
    <row r="61" spans="2:30" s="272" customFormat="1" ht="17" customHeight="1">
      <c r="B61" s="376">
        <v>4</v>
      </c>
      <c r="C61" s="958"/>
      <c r="D61" s="959"/>
      <c r="E61" s="376">
        <v>4</v>
      </c>
      <c r="F61" s="377"/>
      <c r="G61" s="373"/>
      <c r="H61" s="376">
        <v>4</v>
      </c>
      <c r="I61" s="377"/>
      <c r="J61" s="373"/>
      <c r="K61" s="376">
        <v>4</v>
      </c>
      <c r="L61" s="377"/>
      <c r="M61" s="373"/>
      <c r="N61" s="376">
        <v>4</v>
      </c>
      <c r="O61" s="377"/>
      <c r="P61" s="373"/>
      <c r="Q61" s="376">
        <v>4</v>
      </c>
      <c r="R61" s="377"/>
      <c r="S61" s="373"/>
      <c r="T61" s="376">
        <v>4</v>
      </c>
      <c r="U61" s="377"/>
      <c r="V61" s="373"/>
      <c r="W61" s="963"/>
      <c r="Y61" s="368" t="s">
        <v>1360</v>
      </c>
      <c r="Z61" s="369">
        <f>COUNTIF(B58:W69,Y61)</f>
        <v>0</v>
      </c>
      <c r="AA61" s="395" t="s">
        <v>1412</v>
      </c>
      <c r="AC61" s="393" t="s">
        <v>1413</v>
      </c>
      <c r="AD61" s="394" t="s">
        <v>1402</v>
      </c>
    </row>
    <row r="62" spans="2:30" s="272" customFormat="1" ht="18" customHeight="1" thickBot="1">
      <c r="B62" s="378">
        <v>5</v>
      </c>
      <c r="C62" s="960"/>
      <c r="D62" s="961"/>
      <c r="E62" s="378">
        <v>5</v>
      </c>
      <c r="F62" s="379"/>
      <c r="G62" s="380"/>
      <c r="H62" s="378">
        <v>5</v>
      </c>
      <c r="I62" s="379"/>
      <c r="J62" s="380"/>
      <c r="K62" s="378">
        <v>5</v>
      </c>
      <c r="L62" s="379"/>
      <c r="M62" s="380"/>
      <c r="N62" s="378">
        <v>5</v>
      </c>
      <c r="O62" s="379"/>
      <c r="P62" s="380"/>
      <c r="Q62" s="378">
        <v>5</v>
      </c>
      <c r="R62" s="379"/>
      <c r="S62" s="380"/>
      <c r="T62" s="378">
        <v>5</v>
      </c>
      <c r="U62" s="379"/>
      <c r="V62" s="380"/>
      <c r="W62" s="964"/>
      <c r="Y62" s="368" t="s">
        <v>1361</v>
      </c>
      <c r="Z62" s="369">
        <f>COUNTIF(B58:W69,Y62)</f>
        <v>2</v>
      </c>
      <c r="AA62" s="370"/>
      <c r="AC62" s="393" t="s">
        <v>1415</v>
      </c>
      <c r="AD62" s="394" t="s">
        <v>1398</v>
      </c>
    </row>
    <row r="63" spans="2:30" s="272" customFormat="1" ht="17" customHeight="1">
      <c r="B63" s="381">
        <v>1</v>
      </c>
      <c r="C63" s="979" t="s">
        <v>1387</v>
      </c>
      <c r="D63" s="980"/>
      <c r="E63" s="381">
        <v>1</v>
      </c>
      <c r="F63" s="375" t="s">
        <v>1359</v>
      </c>
      <c r="G63" s="382"/>
      <c r="H63" s="381">
        <v>1</v>
      </c>
      <c r="I63" s="375" t="s">
        <v>1358</v>
      </c>
      <c r="J63" s="382"/>
      <c r="K63" s="381">
        <v>1</v>
      </c>
      <c r="L63" s="375" t="s">
        <v>1359</v>
      </c>
      <c r="M63" s="382"/>
      <c r="N63" s="381">
        <v>1</v>
      </c>
      <c r="O63" s="375" t="s">
        <v>1358</v>
      </c>
      <c r="P63" s="382"/>
      <c r="Q63" s="381">
        <v>1</v>
      </c>
      <c r="R63" s="375" t="s">
        <v>1358</v>
      </c>
      <c r="S63" s="382"/>
      <c r="T63" s="381">
        <v>1</v>
      </c>
      <c r="U63" s="970" t="s">
        <v>54</v>
      </c>
      <c r="V63" s="971"/>
      <c r="W63" s="965" t="s">
        <v>1389</v>
      </c>
      <c r="Y63" s="368" t="s">
        <v>1363</v>
      </c>
      <c r="Z63" s="369">
        <f>COUNTIF(B58:W69,Y63)</f>
        <v>1</v>
      </c>
      <c r="AA63" s="370"/>
      <c r="AC63" s="393"/>
      <c r="AD63" s="394" t="s">
        <v>1400</v>
      </c>
    </row>
    <row r="64" spans="2:30" s="272" customFormat="1" ht="17" customHeight="1">
      <c r="B64" s="371">
        <v>2</v>
      </c>
      <c r="C64" s="958"/>
      <c r="D64" s="981"/>
      <c r="E64" s="371">
        <v>2</v>
      </c>
      <c r="F64" s="375" t="s">
        <v>1416</v>
      </c>
      <c r="G64" s="373"/>
      <c r="H64" s="371">
        <v>2</v>
      </c>
      <c r="I64" s="375" t="s">
        <v>1416</v>
      </c>
      <c r="J64" s="373"/>
      <c r="K64" s="371">
        <v>2</v>
      </c>
      <c r="L64" s="375" t="s">
        <v>1358</v>
      </c>
      <c r="M64" s="373"/>
      <c r="N64" s="371">
        <v>2</v>
      </c>
      <c r="O64" s="375" t="s">
        <v>1359</v>
      </c>
      <c r="P64" s="373"/>
      <c r="Q64" s="371">
        <v>2</v>
      </c>
      <c r="R64" s="375" t="s">
        <v>1363</v>
      </c>
      <c r="S64" s="373"/>
      <c r="T64" s="371">
        <v>2</v>
      </c>
      <c r="U64" s="972"/>
      <c r="V64" s="973"/>
      <c r="W64" s="963"/>
      <c r="Y64" s="368" t="s">
        <v>1390</v>
      </c>
      <c r="Z64" s="369">
        <f>COUNTIF(B58:W69,Y64)</f>
        <v>2</v>
      </c>
      <c r="AA64" s="370"/>
      <c r="AC64" s="393" t="s">
        <v>1358</v>
      </c>
      <c r="AD64" s="394" t="s">
        <v>1400</v>
      </c>
    </row>
    <row r="65" spans="2:27" s="272" customFormat="1" ht="17" customHeight="1">
      <c r="B65" s="371">
        <v>3</v>
      </c>
      <c r="C65" s="958"/>
      <c r="D65" s="981"/>
      <c r="E65" s="371">
        <v>3</v>
      </c>
      <c r="F65" s="368"/>
      <c r="G65" s="373"/>
      <c r="H65" s="371">
        <v>3</v>
      </c>
      <c r="I65" s="368"/>
      <c r="J65" s="373"/>
      <c r="K65" s="371">
        <v>3</v>
      </c>
      <c r="L65" s="368"/>
      <c r="M65" s="373"/>
      <c r="N65" s="371">
        <v>3</v>
      </c>
      <c r="O65" s="368" t="s">
        <v>1390</v>
      </c>
      <c r="P65" s="373"/>
      <c r="Q65" s="371">
        <v>3</v>
      </c>
      <c r="R65" s="368" t="s">
        <v>1390</v>
      </c>
      <c r="S65" s="373"/>
      <c r="T65" s="371">
        <v>3</v>
      </c>
      <c r="U65" s="972"/>
      <c r="V65" s="973"/>
      <c r="W65" s="963"/>
      <c r="Y65" s="368"/>
      <c r="Z65" s="369">
        <f>COUNTIF(B58:W69,Y65)</f>
        <v>0</v>
      </c>
      <c r="AA65" s="370"/>
    </row>
    <row r="66" spans="2:27" s="272" customFormat="1" ht="17" customHeight="1">
      <c r="B66" s="376">
        <v>4</v>
      </c>
      <c r="C66" s="958"/>
      <c r="D66" s="981"/>
      <c r="E66" s="376">
        <v>4</v>
      </c>
      <c r="F66" s="375"/>
      <c r="G66" s="373"/>
      <c r="H66" s="376">
        <v>4</v>
      </c>
      <c r="I66" s="375"/>
      <c r="J66" s="373"/>
      <c r="K66" s="376">
        <v>4</v>
      </c>
      <c r="L66" s="375"/>
      <c r="M66" s="373"/>
      <c r="N66" s="376">
        <v>4</v>
      </c>
      <c r="O66" s="375" t="s">
        <v>1361</v>
      </c>
      <c r="P66" s="373"/>
      <c r="Q66" s="376">
        <v>4</v>
      </c>
      <c r="R66" s="386" t="s">
        <v>1361</v>
      </c>
      <c r="S66" s="387"/>
      <c r="T66" s="376">
        <v>4</v>
      </c>
      <c r="U66" s="972"/>
      <c r="V66" s="973"/>
      <c r="W66" s="963"/>
      <c r="Y66" s="368"/>
      <c r="Z66" s="369">
        <f>COUNTIF(B58:W69,Y66)</f>
        <v>0</v>
      </c>
      <c r="AA66" s="370"/>
    </row>
    <row r="67" spans="2:27" s="272" customFormat="1" ht="17" customHeight="1">
      <c r="B67" s="376">
        <v>5</v>
      </c>
      <c r="C67" s="958"/>
      <c r="D67" s="981"/>
      <c r="E67" s="376">
        <v>5</v>
      </c>
      <c r="F67" s="375"/>
      <c r="G67" s="373"/>
      <c r="H67" s="376">
        <v>5</v>
      </c>
      <c r="I67" s="375"/>
      <c r="J67" s="373"/>
      <c r="K67" s="376">
        <v>5</v>
      </c>
      <c r="L67" s="375"/>
      <c r="M67" s="373"/>
      <c r="N67" s="376">
        <v>5</v>
      </c>
      <c r="O67" s="375"/>
      <c r="P67" s="373"/>
      <c r="Q67" s="376">
        <v>5</v>
      </c>
      <c r="R67" s="375" t="s">
        <v>1359</v>
      </c>
      <c r="S67" s="373"/>
      <c r="T67" s="376">
        <v>5</v>
      </c>
      <c r="U67" s="972"/>
      <c r="V67" s="973"/>
      <c r="W67" s="963"/>
      <c r="Y67" s="368"/>
      <c r="Z67" s="369">
        <f>COUNTIF(B58:W69,Y67)</f>
        <v>0</v>
      </c>
      <c r="AA67" s="370"/>
    </row>
    <row r="68" spans="2:27" s="272" customFormat="1" ht="17" customHeight="1">
      <c r="B68" s="371">
        <v>6</v>
      </c>
      <c r="C68" s="958"/>
      <c r="D68" s="981"/>
      <c r="E68" s="371">
        <v>6</v>
      </c>
      <c r="F68" s="375"/>
      <c r="G68" s="373"/>
      <c r="H68" s="371">
        <v>6</v>
      </c>
      <c r="I68" s="375"/>
      <c r="J68" s="373"/>
      <c r="K68" s="371">
        <v>6</v>
      </c>
      <c r="L68" s="375"/>
      <c r="M68" s="373"/>
      <c r="N68" s="371">
        <v>6</v>
      </c>
      <c r="O68" s="375"/>
      <c r="P68" s="373"/>
      <c r="Q68" s="371">
        <v>6</v>
      </c>
      <c r="R68" s="375"/>
      <c r="S68" s="373"/>
      <c r="T68" s="371">
        <v>6</v>
      </c>
      <c r="U68" s="972"/>
      <c r="V68" s="973"/>
      <c r="W68" s="963"/>
      <c r="Y68" s="368"/>
      <c r="Z68" s="369">
        <f>COUNTIF(B58:W69,Y68)</f>
        <v>0</v>
      </c>
      <c r="AA68" s="370"/>
    </row>
    <row r="69" spans="2:27" s="272" customFormat="1" ht="18" customHeight="1" thickBot="1">
      <c r="B69" s="378">
        <v>7</v>
      </c>
      <c r="C69" s="960"/>
      <c r="D69" s="982"/>
      <c r="E69" s="378">
        <v>7</v>
      </c>
      <c r="F69" s="379"/>
      <c r="G69" s="380"/>
      <c r="H69" s="378">
        <v>7</v>
      </c>
      <c r="I69" s="379"/>
      <c r="J69" s="380"/>
      <c r="K69" s="378">
        <v>7</v>
      </c>
      <c r="L69" s="379"/>
      <c r="M69" s="380"/>
      <c r="N69" s="378">
        <v>7</v>
      </c>
      <c r="O69" s="379"/>
      <c r="P69" s="380"/>
      <c r="Q69" s="378">
        <v>7</v>
      </c>
      <c r="R69" s="379"/>
      <c r="S69" s="380"/>
      <c r="T69" s="378">
        <v>7</v>
      </c>
      <c r="U69" s="974"/>
      <c r="V69" s="975"/>
      <c r="W69" s="964"/>
      <c r="Y69" s="368"/>
      <c r="Z69" s="369">
        <f>COUNTIF(B58:W69,Y69)</f>
        <v>0</v>
      </c>
      <c r="AA69" s="370"/>
    </row>
    <row r="70" spans="2:27" s="272" customFormat="1" ht="42" customHeight="1" thickBot="1">
      <c r="B70" s="234"/>
      <c r="C70" s="368"/>
      <c r="D70" s="279"/>
      <c r="E70" s="234"/>
      <c r="F70" s="368"/>
      <c r="G70" s="279"/>
      <c r="I70" s="368"/>
      <c r="J70" s="279"/>
      <c r="L70" s="368"/>
      <c r="M70" s="279"/>
      <c r="O70" s="368"/>
      <c r="P70" s="279"/>
      <c r="R70" s="368"/>
      <c r="S70" s="279"/>
      <c r="U70" s="368"/>
      <c r="V70" s="279"/>
      <c r="W70" s="234"/>
      <c r="Y70" s="368"/>
      <c r="Z70" s="369"/>
      <c r="AA70" s="370"/>
    </row>
    <row r="71" spans="2:27" s="272" customFormat="1">
      <c r="B71" s="967" t="s">
        <v>1431</v>
      </c>
      <c r="C71" s="968"/>
      <c r="D71" s="969"/>
      <c r="E71" s="967" t="s">
        <v>1432</v>
      </c>
      <c r="F71" s="968"/>
      <c r="G71" s="969"/>
      <c r="H71" s="967" t="s">
        <v>1433</v>
      </c>
      <c r="I71" s="968"/>
      <c r="J71" s="969"/>
      <c r="K71" s="967" t="s">
        <v>1434</v>
      </c>
      <c r="L71" s="968"/>
      <c r="M71" s="969"/>
      <c r="N71" s="967" t="s">
        <v>1435</v>
      </c>
      <c r="O71" s="968"/>
      <c r="P71" s="969"/>
      <c r="Q71" s="967" t="s">
        <v>1436</v>
      </c>
      <c r="R71" s="968"/>
      <c r="S71" s="969"/>
      <c r="T71" s="967" t="s">
        <v>1437</v>
      </c>
      <c r="U71" s="968"/>
      <c r="V71" s="968"/>
      <c r="W71" s="969"/>
      <c r="Y71" s="368" t="s">
        <v>1357</v>
      </c>
      <c r="Z71" s="369">
        <f>COUNTIF(B72:W83,Y71)</f>
        <v>6</v>
      </c>
      <c r="AA71" s="370"/>
    </row>
    <row r="72" spans="2:27" s="272" customFormat="1">
      <c r="B72" s="371">
        <v>1</v>
      </c>
      <c r="C72" s="956" t="s">
        <v>1387</v>
      </c>
      <c r="D72" s="957"/>
      <c r="E72" s="371">
        <v>1</v>
      </c>
      <c r="F72" s="372" t="s">
        <v>1357</v>
      </c>
      <c r="G72" s="373"/>
      <c r="H72" s="371">
        <v>1</v>
      </c>
      <c r="I72" s="372" t="s">
        <v>1357</v>
      </c>
      <c r="J72" s="373"/>
      <c r="K72" s="371">
        <v>1</v>
      </c>
      <c r="L72" s="372" t="s">
        <v>1357</v>
      </c>
      <c r="M72" s="373"/>
      <c r="N72" s="371">
        <v>1</v>
      </c>
      <c r="O72" s="372" t="s">
        <v>1357</v>
      </c>
      <c r="P72" s="373"/>
      <c r="Q72" s="371">
        <v>1</v>
      </c>
      <c r="R72" s="372" t="s">
        <v>1357</v>
      </c>
      <c r="S72" s="373"/>
      <c r="T72" s="371">
        <v>1</v>
      </c>
      <c r="U72" s="372" t="s">
        <v>1357</v>
      </c>
      <c r="V72" s="373"/>
      <c r="W72" s="962" t="s">
        <v>119</v>
      </c>
      <c r="Y72" s="368" t="s">
        <v>1354</v>
      </c>
      <c r="Z72" s="369">
        <f>COUNTIF(B72:W83,Y72)</f>
        <v>0</v>
      </c>
      <c r="AA72" s="370" t="s">
        <v>1412</v>
      </c>
    </row>
    <row r="73" spans="2:27" s="272" customFormat="1">
      <c r="B73" s="371">
        <v>2</v>
      </c>
      <c r="C73" s="958"/>
      <c r="D73" s="959"/>
      <c r="E73" s="371">
        <v>2</v>
      </c>
      <c r="F73" s="396" t="s">
        <v>1413</v>
      </c>
      <c r="G73" s="373"/>
      <c r="H73" s="371">
        <v>2</v>
      </c>
      <c r="I73" s="396" t="s">
        <v>1413</v>
      </c>
      <c r="J73" s="373"/>
      <c r="K73" s="371">
        <v>2</v>
      </c>
      <c r="L73" s="396" t="s">
        <v>1413</v>
      </c>
      <c r="M73" s="373"/>
      <c r="N73" s="371">
        <v>2</v>
      </c>
      <c r="O73" s="396" t="s">
        <v>1413</v>
      </c>
      <c r="P73" s="373"/>
      <c r="Q73" s="371">
        <v>2</v>
      </c>
      <c r="R73" s="396" t="s">
        <v>1413</v>
      </c>
      <c r="S73" s="373"/>
      <c r="T73" s="371">
        <v>2</v>
      </c>
      <c r="U73" s="396" t="s">
        <v>1413</v>
      </c>
      <c r="V73" s="373"/>
      <c r="W73" s="963"/>
      <c r="Y73" s="368" t="s">
        <v>1358</v>
      </c>
      <c r="Z73" s="369">
        <f>COUNTIF(B72:W83,Y73)</f>
        <v>0</v>
      </c>
      <c r="AA73" s="370" t="s">
        <v>1412</v>
      </c>
    </row>
    <row r="74" spans="2:27" s="272" customFormat="1">
      <c r="B74" s="371">
        <v>3</v>
      </c>
      <c r="C74" s="958"/>
      <c r="D74" s="959"/>
      <c r="E74" s="371">
        <v>3</v>
      </c>
      <c r="F74" s="375"/>
      <c r="G74" s="373"/>
      <c r="H74" s="371">
        <v>3</v>
      </c>
      <c r="I74" s="375"/>
      <c r="J74" s="373"/>
      <c r="K74" s="371">
        <v>3</v>
      </c>
      <c r="L74" s="375"/>
      <c r="M74" s="373"/>
      <c r="N74" s="371">
        <v>3</v>
      </c>
      <c r="O74" s="375"/>
      <c r="P74" s="373"/>
      <c r="Q74" s="371">
        <v>3</v>
      </c>
      <c r="R74" s="375"/>
      <c r="S74" s="373"/>
      <c r="T74" s="371">
        <v>3</v>
      </c>
      <c r="U74" s="375"/>
      <c r="V74" s="373"/>
      <c r="W74" s="963"/>
      <c r="Y74" s="368" t="s">
        <v>1359</v>
      </c>
      <c r="Z74" s="369">
        <f>COUNTIF(B72:W83,Y74)</f>
        <v>5</v>
      </c>
      <c r="AA74" s="370"/>
    </row>
    <row r="75" spans="2:27" s="272" customFormat="1">
      <c r="B75" s="376">
        <v>4</v>
      </c>
      <c r="C75" s="958"/>
      <c r="D75" s="959"/>
      <c r="E75" s="376">
        <v>4</v>
      </c>
      <c r="F75" s="377"/>
      <c r="G75" s="373"/>
      <c r="H75" s="376">
        <v>4</v>
      </c>
      <c r="I75" s="377"/>
      <c r="J75" s="373"/>
      <c r="K75" s="376">
        <v>4</v>
      </c>
      <c r="L75" s="377"/>
      <c r="M75" s="373"/>
      <c r="N75" s="376">
        <v>4</v>
      </c>
      <c r="O75" s="377"/>
      <c r="P75" s="373"/>
      <c r="Q75" s="376">
        <v>4</v>
      </c>
      <c r="R75" s="377"/>
      <c r="S75" s="373"/>
      <c r="T75" s="376">
        <v>4</v>
      </c>
      <c r="U75" s="377"/>
      <c r="V75" s="373"/>
      <c r="W75" s="963"/>
      <c r="Y75" s="368" t="s">
        <v>1360</v>
      </c>
      <c r="Z75" s="369">
        <f>COUNTIF(B72:W83,Y75)</f>
        <v>4</v>
      </c>
      <c r="AA75" s="370"/>
    </row>
    <row r="76" spans="2:27" s="272" customFormat="1" ht="16" thickBot="1">
      <c r="B76" s="378">
        <v>5</v>
      </c>
      <c r="C76" s="960"/>
      <c r="D76" s="961"/>
      <c r="E76" s="378">
        <v>5</v>
      </c>
      <c r="F76" s="379"/>
      <c r="G76" s="380"/>
      <c r="H76" s="378">
        <v>5</v>
      </c>
      <c r="I76" s="379"/>
      <c r="J76" s="380"/>
      <c r="K76" s="378">
        <v>5</v>
      </c>
      <c r="L76" s="379"/>
      <c r="M76" s="380"/>
      <c r="N76" s="378">
        <v>5</v>
      </c>
      <c r="O76" s="379"/>
      <c r="P76" s="380"/>
      <c r="Q76" s="378">
        <v>5</v>
      </c>
      <c r="R76" s="379"/>
      <c r="S76" s="380"/>
      <c r="T76" s="378">
        <v>5</v>
      </c>
      <c r="U76" s="379"/>
      <c r="V76" s="380"/>
      <c r="W76" s="964"/>
      <c r="Y76" s="368" t="s">
        <v>1361</v>
      </c>
      <c r="Z76" s="369">
        <f>COUNTIF(B72:W83,Y76)</f>
        <v>3</v>
      </c>
      <c r="AA76" s="370"/>
    </row>
    <row r="77" spans="2:27" s="272" customFormat="1">
      <c r="B77" s="381">
        <v>1</v>
      </c>
      <c r="C77" s="979" t="s">
        <v>1387</v>
      </c>
      <c r="D77" s="980"/>
      <c r="E77" s="381">
        <v>1</v>
      </c>
      <c r="F77" s="375" t="s">
        <v>1359</v>
      </c>
      <c r="G77" s="382"/>
      <c r="H77" s="381">
        <v>1</v>
      </c>
      <c r="I77" s="375" t="s">
        <v>1359</v>
      </c>
      <c r="J77" s="382"/>
      <c r="K77" s="381">
        <v>1</v>
      </c>
      <c r="L77" s="375" t="s">
        <v>1359</v>
      </c>
      <c r="M77" s="382"/>
      <c r="N77" s="381">
        <v>1</v>
      </c>
      <c r="O77" s="375" t="s">
        <v>1360</v>
      </c>
      <c r="P77" s="382">
        <v>16</v>
      </c>
      <c r="Q77" s="381">
        <v>1</v>
      </c>
      <c r="R77" s="375" t="s">
        <v>1360</v>
      </c>
      <c r="S77" s="382">
        <v>16</v>
      </c>
      <c r="T77" s="381">
        <v>1</v>
      </c>
      <c r="U77" s="375" t="s">
        <v>1360</v>
      </c>
      <c r="V77" s="382">
        <v>17</v>
      </c>
      <c r="W77" s="965" t="s">
        <v>1389</v>
      </c>
      <c r="Y77" s="368" t="s">
        <v>1363</v>
      </c>
      <c r="Z77" s="369">
        <f>COUNTIF(B72:W83,Y77)</f>
        <v>3</v>
      </c>
      <c r="AA77" s="370"/>
    </row>
    <row r="78" spans="2:27" s="272" customFormat="1">
      <c r="B78" s="371">
        <v>2</v>
      </c>
      <c r="C78" s="958"/>
      <c r="D78" s="981"/>
      <c r="E78" s="371">
        <v>2</v>
      </c>
      <c r="F78" s="375" t="s">
        <v>1390</v>
      </c>
      <c r="G78" s="373"/>
      <c r="H78" s="371">
        <v>2</v>
      </c>
      <c r="I78" s="375" t="s">
        <v>1390</v>
      </c>
      <c r="J78" s="373"/>
      <c r="K78" s="371">
        <v>2</v>
      </c>
      <c r="L78" s="375" t="s">
        <v>1360</v>
      </c>
      <c r="M78" s="373"/>
      <c r="N78" s="371">
        <v>2</v>
      </c>
      <c r="O78" s="375" t="s">
        <v>1359</v>
      </c>
      <c r="P78" s="373">
        <v>16</v>
      </c>
      <c r="Q78" s="371">
        <v>2</v>
      </c>
      <c r="R78" s="375" t="s">
        <v>1359</v>
      </c>
      <c r="S78" s="373">
        <v>16</v>
      </c>
      <c r="T78" s="371">
        <v>2</v>
      </c>
      <c r="U78" s="375" t="s">
        <v>1361</v>
      </c>
      <c r="V78" s="373">
        <v>16</v>
      </c>
      <c r="W78" s="963"/>
      <c r="Y78" s="368" t="s">
        <v>1390</v>
      </c>
      <c r="Z78" s="369">
        <f>COUNTIF(B72:W83,Y78)</f>
        <v>3</v>
      </c>
      <c r="AA78" s="370"/>
    </row>
    <row r="79" spans="2:27" s="272" customFormat="1">
      <c r="B79" s="371">
        <v>3</v>
      </c>
      <c r="C79" s="958"/>
      <c r="D79" s="981"/>
      <c r="E79" s="371">
        <v>3</v>
      </c>
      <c r="F79" s="368"/>
      <c r="G79" s="373"/>
      <c r="H79" s="371">
        <v>3</v>
      </c>
      <c r="I79" s="368"/>
      <c r="J79" s="373"/>
      <c r="K79" s="371">
        <v>3</v>
      </c>
      <c r="L79" s="368"/>
      <c r="M79" s="373"/>
      <c r="N79" s="371">
        <v>3</v>
      </c>
      <c r="O79" s="375" t="s">
        <v>1363</v>
      </c>
      <c r="P79" s="373">
        <v>18</v>
      </c>
      <c r="Q79" s="371">
        <v>3</v>
      </c>
      <c r="R79" s="368" t="s">
        <v>1363</v>
      </c>
      <c r="S79" s="373">
        <v>16</v>
      </c>
      <c r="T79" s="371">
        <v>3</v>
      </c>
      <c r="U79" s="368" t="s">
        <v>1363</v>
      </c>
      <c r="V79" s="373">
        <v>17</v>
      </c>
      <c r="W79" s="963"/>
      <c r="Y79" s="368"/>
      <c r="Z79" s="369">
        <f>COUNTIF(B72:W83,Y79)</f>
        <v>0</v>
      </c>
      <c r="AA79" s="370"/>
    </row>
    <row r="80" spans="2:27" s="272" customFormat="1">
      <c r="B80" s="376">
        <v>4</v>
      </c>
      <c r="C80" s="958"/>
      <c r="D80" s="981"/>
      <c r="E80" s="376">
        <v>4</v>
      </c>
      <c r="F80" s="375"/>
      <c r="G80" s="373"/>
      <c r="H80" s="376">
        <v>4</v>
      </c>
      <c r="I80" s="375"/>
      <c r="J80" s="373"/>
      <c r="K80" s="376">
        <v>4</v>
      </c>
      <c r="L80" s="375"/>
      <c r="M80" s="373"/>
      <c r="N80" s="376">
        <v>4</v>
      </c>
      <c r="O80" s="375" t="s">
        <v>1361</v>
      </c>
      <c r="P80" s="373">
        <v>21</v>
      </c>
      <c r="Q80" s="376">
        <v>4</v>
      </c>
      <c r="R80" s="375" t="s">
        <v>1361</v>
      </c>
      <c r="S80" s="373">
        <v>18</v>
      </c>
      <c r="T80" s="376">
        <v>4</v>
      </c>
      <c r="U80" s="386" t="s">
        <v>1390</v>
      </c>
      <c r="V80" s="387">
        <v>17</v>
      </c>
      <c r="W80" s="963"/>
      <c r="Y80" s="368"/>
      <c r="Z80" s="369">
        <f>COUNTIF(B72:W83,Y80)</f>
        <v>0</v>
      </c>
      <c r="AA80" s="370"/>
    </row>
    <row r="81" spans="2:30" s="272" customFormat="1">
      <c r="B81" s="376">
        <v>5</v>
      </c>
      <c r="C81" s="958"/>
      <c r="D81" s="981"/>
      <c r="E81" s="376">
        <v>5</v>
      </c>
      <c r="F81" s="375"/>
      <c r="G81" s="373"/>
      <c r="H81" s="376">
        <v>5</v>
      </c>
      <c r="I81" s="375"/>
      <c r="J81" s="373"/>
      <c r="K81" s="376">
        <v>5</v>
      </c>
      <c r="L81" s="375"/>
      <c r="M81" s="373"/>
      <c r="N81" s="376">
        <v>5</v>
      </c>
      <c r="O81" s="375"/>
      <c r="P81" s="373"/>
      <c r="Q81" s="376">
        <v>5</v>
      </c>
      <c r="R81" s="386" t="s">
        <v>1438</v>
      </c>
      <c r="S81" s="387">
        <v>16</v>
      </c>
      <c r="T81" s="376">
        <v>5</v>
      </c>
      <c r="U81" s="375"/>
      <c r="V81" s="373"/>
      <c r="W81" s="963"/>
      <c r="Y81" s="368"/>
      <c r="Z81" s="369">
        <f>COUNTIF(B72:W83,Y81)</f>
        <v>0</v>
      </c>
      <c r="AA81" s="370"/>
    </row>
    <row r="82" spans="2:30" s="272" customFormat="1">
      <c r="B82" s="371">
        <v>6</v>
      </c>
      <c r="C82" s="958"/>
      <c r="D82" s="981"/>
      <c r="E82" s="371">
        <v>6</v>
      </c>
      <c r="F82" s="375"/>
      <c r="G82" s="373"/>
      <c r="H82" s="371">
        <v>6</v>
      </c>
      <c r="I82" s="375"/>
      <c r="J82" s="373"/>
      <c r="K82" s="371">
        <v>6</v>
      </c>
      <c r="L82" s="375"/>
      <c r="M82" s="373"/>
      <c r="N82" s="371">
        <v>6</v>
      </c>
      <c r="O82" s="375"/>
      <c r="P82" s="373"/>
      <c r="Q82" s="371">
        <v>6</v>
      </c>
      <c r="R82" s="375"/>
      <c r="S82" s="373"/>
      <c r="T82" s="371">
        <v>6</v>
      </c>
      <c r="U82" s="375"/>
      <c r="V82" s="373"/>
      <c r="W82" s="963"/>
      <c r="Y82" s="368"/>
      <c r="Z82" s="369">
        <f>COUNTIF(B72:W83,Y82)</f>
        <v>0</v>
      </c>
      <c r="AA82" s="370"/>
    </row>
    <row r="83" spans="2:30" s="272" customFormat="1" ht="16" thickBot="1">
      <c r="B83" s="378">
        <v>7</v>
      </c>
      <c r="C83" s="960"/>
      <c r="D83" s="982"/>
      <c r="E83" s="378">
        <v>7</v>
      </c>
      <c r="F83" s="379"/>
      <c r="G83" s="380"/>
      <c r="H83" s="378">
        <v>7</v>
      </c>
      <c r="I83" s="379"/>
      <c r="J83" s="380"/>
      <c r="K83" s="378">
        <v>7</v>
      </c>
      <c r="L83" s="379"/>
      <c r="M83" s="380"/>
      <c r="N83" s="378">
        <v>7</v>
      </c>
      <c r="O83" s="379"/>
      <c r="P83" s="380"/>
      <c r="Q83" s="378">
        <v>7</v>
      </c>
      <c r="R83" s="379"/>
      <c r="S83" s="380"/>
      <c r="T83" s="378">
        <v>7</v>
      </c>
      <c r="U83" s="379"/>
      <c r="V83" s="380"/>
      <c r="W83" s="964"/>
      <c r="Y83" s="368"/>
      <c r="Z83" s="369">
        <f>COUNTIF(B72:W83,Y83)</f>
        <v>0</v>
      </c>
      <c r="AA83" s="370"/>
    </row>
    <row r="84" spans="2:30" s="272" customFormat="1" ht="16" thickBot="1">
      <c r="B84" s="234"/>
      <c r="C84" s="368"/>
      <c r="D84" s="279"/>
      <c r="E84" s="234"/>
      <c r="F84" s="368"/>
      <c r="G84" s="279"/>
      <c r="I84" s="368"/>
      <c r="J84" s="279"/>
      <c r="L84" s="368"/>
      <c r="M84" s="279"/>
      <c r="O84" s="368"/>
      <c r="P84" s="279"/>
      <c r="R84" s="368"/>
      <c r="S84" s="279"/>
      <c r="U84" s="368"/>
      <c r="V84" s="279"/>
      <c r="W84" s="234"/>
      <c r="Y84" s="368"/>
      <c r="Z84" s="369"/>
      <c r="AA84" s="370"/>
    </row>
    <row r="85" spans="2:30" s="272" customFormat="1">
      <c r="B85" s="967" t="s">
        <v>1439</v>
      </c>
      <c r="C85" s="968"/>
      <c r="D85" s="969"/>
      <c r="E85" s="967" t="s">
        <v>1440</v>
      </c>
      <c r="F85" s="968"/>
      <c r="G85" s="969"/>
      <c r="H85" s="967" t="s">
        <v>1441</v>
      </c>
      <c r="I85" s="968"/>
      <c r="J85" s="969"/>
      <c r="K85" s="967" t="s">
        <v>1442</v>
      </c>
      <c r="L85" s="968"/>
      <c r="M85" s="969"/>
      <c r="N85" s="967" t="s">
        <v>1443</v>
      </c>
      <c r="O85" s="968"/>
      <c r="P85" s="969"/>
      <c r="Q85" s="967" t="s">
        <v>1444</v>
      </c>
      <c r="R85" s="968"/>
      <c r="S85" s="969"/>
      <c r="T85" s="967" t="s">
        <v>1445</v>
      </c>
      <c r="U85" s="968"/>
      <c r="V85" s="968"/>
      <c r="W85" s="969"/>
      <c r="Y85" s="368" t="s">
        <v>1357</v>
      </c>
      <c r="Z85" s="369">
        <f>COUNTIF(B86:W97,Y85)</f>
        <v>6</v>
      </c>
      <c r="AA85" s="370"/>
      <c r="AC85" s="393" t="s">
        <v>1359</v>
      </c>
      <c r="AD85" s="394" t="s">
        <v>1398</v>
      </c>
    </row>
    <row r="86" spans="2:30" s="272" customFormat="1">
      <c r="B86" s="371">
        <v>1</v>
      </c>
      <c r="C86" s="956" t="s">
        <v>1387</v>
      </c>
      <c r="D86" s="957"/>
      <c r="E86" s="371">
        <v>1</v>
      </c>
      <c r="F86" s="372" t="s">
        <v>1357</v>
      </c>
      <c r="G86" s="373"/>
      <c r="H86" s="371">
        <v>1</v>
      </c>
      <c r="I86" s="372" t="s">
        <v>1357</v>
      </c>
      <c r="J86" s="373"/>
      <c r="K86" s="371">
        <v>1</v>
      </c>
      <c r="L86" s="372" t="s">
        <v>1357</v>
      </c>
      <c r="M86" s="373"/>
      <c r="N86" s="371">
        <v>1</v>
      </c>
      <c r="O86" s="372" t="s">
        <v>1357</v>
      </c>
      <c r="P86" s="373"/>
      <c r="Q86" s="371">
        <v>1</v>
      </c>
      <c r="R86" s="372" t="s">
        <v>1357</v>
      </c>
      <c r="S86" s="373"/>
      <c r="T86" s="371">
        <v>1</v>
      </c>
      <c r="U86" s="372" t="s">
        <v>1357</v>
      </c>
      <c r="V86" s="373"/>
      <c r="W86" s="962" t="s">
        <v>119</v>
      </c>
      <c r="Y86" s="368" t="s">
        <v>1354</v>
      </c>
      <c r="Z86" s="369">
        <f>COUNTIF(B86:W97,Y86)</f>
        <v>0</v>
      </c>
      <c r="AA86" s="370" t="s">
        <v>1412</v>
      </c>
      <c r="AC86" s="393" t="s">
        <v>1361</v>
      </c>
      <c r="AD86" s="394" t="s">
        <v>1400</v>
      </c>
    </row>
    <row r="87" spans="2:30" s="272" customFormat="1">
      <c r="B87" s="371">
        <v>2</v>
      </c>
      <c r="C87" s="958"/>
      <c r="D87" s="959"/>
      <c r="E87" s="371">
        <v>2</v>
      </c>
      <c r="F87" s="396" t="s">
        <v>1413</v>
      </c>
      <c r="G87" s="373"/>
      <c r="H87" s="371">
        <v>2</v>
      </c>
      <c r="I87" s="396" t="s">
        <v>1413</v>
      </c>
      <c r="J87" s="373"/>
      <c r="K87" s="371">
        <v>2</v>
      </c>
      <c r="L87" s="396" t="s">
        <v>1413</v>
      </c>
      <c r="M87" s="373"/>
      <c r="N87" s="371">
        <v>2</v>
      </c>
      <c r="O87" s="396" t="s">
        <v>1413</v>
      </c>
      <c r="P87" s="373"/>
      <c r="Q87" s="371">
        <v>2</v>
      </c>
      <c r="R87" s="396" t="s">
        <v>1413</v>
      </c>
      <c r="S87" s="373"/>
      <c r="T87" s="371">
        <v>2</v>
      </c>
      <c r="U87" s="396" t="s">
        <v>1413</v>
      </c>
      <c r="V87" s="373"/>
      <c r="W87" s="963"/>
      <c r="Y87" s="368" t="s">
        <v>1358</v>
      </c>
      <c r="Z87" s="369">
        <f>COUNTIF(B86:W97,Y87)</f>
        <v>4</v>
      </c>
      <c r="AA87" s="370"/>
      <c r="AC87" s="393" t="s">
        <v>1390</v>
      </c>
      <c r="AD87" s="394" t="s">
        <v>1400</v>
      </c>
    </row>
    <row r="88" spans="2:30" s="272" customFormat="1">
      <c r="B88" s="371">
        <v>3</v>
      </c>
      <c r="C88" s="958"/>
      <c r="D88" s="959"/>
      <c r="E88" s="371">
        <v>3</v>
      </c>
      <c r="F88" s="375"/>
      <c r="G88" s="373"/>
      <c r="H88" s="371">
        <v>3</v>
      </c>
      <c r="I88" s="375"/>
      <c r="J88" s="373"/>
      <c r="K88" s="371">
        <v>3</v>
      </c>
      <c r="L88" s="375"/>
      <c r="M88" s="373"/>
      <c r="N88" s="371">
        <v>3</v>
      </c>
      <c r="O88" s="375"/>
      <c r="P88" s="373"/>
      <c r="Q88" s="371">
        <v>3</v>
      </c>
      <c r="R88" s="375"/>
      <c r="S88" s="373"/>
      <c r="T88" s="371">
        <v>3</v>
      </c>
      <c r="U88" s="375"/>
      <c r="V88" s="373"/>
      <c r="W88" s="963"/>
      <c r="Y88" s="368" t="s">
        <v>1359</v>
      </c>
      <c r="Z88" s="369">
        <f>COUNTIF(B86:W97,Y88)</f>
        <v>4</v>
      </c>
      <c r="AA88" s="370"/>
      <c r="AC88" s="393" t="s">
        <v>1401</v>
      </c>
      <c r="AD88" s="394" t="s">
        <v>1402</v>
      </c>
    </row>
    <row r="89" spans="2:30" s="272" customFormat="1">
      <c r="B89" s="376">
        <v>4</v>
      </c>
      <c r="C89" s="958"/>
      <c r="D89" s="959"/>
      <c r="E89" s="376">
        <v>4</v>
      </c>
      <c r="F89" s="377"/>
      <c r="G89" s="373"/>
      <c r="H89" s="376">
        <v>4</v>
      </c>
      <c r="I89" s="377"/>
      <c r="J89" s="373"/>
      <c r="K89" s="376">
        <v>4</v>
      </c>
      <c r="L89" s="377"/>
      <c r="M89" s="373"/>
      <c r="N89" s="376">
        <v>4</v>
      </c>
      <c r="O89" s="377"/>
      <c r="P89" s="373"/>
      <c r="Q89" s="376">
        <v>4</v>
      </c>
      <c r="R89" s="377"/>
      <c r="S89" s="373"/>
      <c r="T89" s="376">
        <v>4</v>
      </c>
      <c r="U89" s="377"/>
      <c r="V89" s="373"/>
      <c r="W89" s="963"/>
      <c r="Y89" s="368" t="s">
        <v>1360</v>
      </c>
      <c r="Z89" s="369">
        <f>COUNTIF(B86:W97,Y89)</f>
        <v>0</v>
      </c>
      <c r="AA89" s="370" t="s">
        <v>1412</v>
      </c>
      <c r="AC89" s="393" t="s">
        <v>1413</v>
      </c>
      <c r="AD89" s="394" t="s">
        <v>1402</v>
      </c>
    </row>
    <row r="90" spans="2:30" s="272" customFormat="1" ht="16" thickBot="1">
      <c r="B90" s="378">
        <v>5</v>
      </c>
      <c r="C90" s="960"/>
      <c r="D90" s="961"/>
      <c r="E90" s="378">
        <v>5</v>
      </c>
      <c r="F90" s="379"/>
      <c r="G90" s="380"/>
      <c r="H90" s="378">
        <v>5</v>
      </c>
      <c r="I90" s="379"/>
      <c r="J90" s="380"/>
      <c r="K90" s="378">
        <v>5</v>
      </c>
      <c r="L90" s="379"/>
      <c r="M90" s="380"/>
      <c r="N90" s="378">
        <v>5</v>
      </c>
      <c r="O90" s="379"/>
      <c r="P90" s="380"/>
      <c r="Q90" s="378">
        <v>5</v>
      </c>
      <c r="R90" s="379"/>
      <c r="S90" s="380"/>
      <c r="T90" s="378">
        <v>5</v>
      </c>
      <c r="U90" s="379"/>
      <c r="V90" s="380"/>
      <c r="W90" s="964"/>
      <c r="Y90" s="368" t="s">
        <v>1361</v>
      </c>
      <c r="Z90" s="369">
        <f>COUNTIF(B86:W97,Y90)</f>
        <v>2</v>
      </c>
      <c r="AA90" s="370"/>
      <c r="AC90" s="393"/>
      <c r="AD90" s="394" t="s">
        <v>1398</v>
      </c>
    </row>
    <row r="91" spans="2:30" s="272" customFormat="1">
      <c r="B91" s="381">
        <v>1</v>
      </c>
      <c r="C91" s="979" t="s">
        <v>1387</v>
      </c>
      <c r="D91" s="980"/>
      <c r="E91" s="381">
        <v>1</v>
      </c>
      <c r="F91" s="375" t="s">
        <v>1359</v>
      </c>
      <c r="G91" s="382"/>
      <c r="H91" s="381">
        <v>1</v>
      </c>
      <c r="I91" s="375" t="s">
        <v>1358</v>
      </c>
      <c r="J91" s="382"/>
      <c r="K91" s="381">
        <v>1</v>
      </c>
      <c r="L91" s="375" t="s">
        <v>1359</v>
      </c>
      <c r="M91" s="382"/>
      <c r="N91" s="381">
        <v>1</v>
      </c>
      <c r="O91" s="375" t="s">
        <v>1358</v>
      </c>
      <c r="P91" s="382">
        <v>16</v>
      </c>
      <c r="Q91" s="381">
        <v>1</v>
      </c>
      <c r="R91" s="375" t="s">
        <v>1358</v>
      </c>
      <c r="S91" s="382">
        <v>16</v>
      </c>
      <c r="T91" s="381">
        <v>1</v>
      </c>
      <c r="U91" s="970" t="s">
        <v>54</v>
      </c>
      <c r="V91" s="971"/>
      <c r="W91" s="965" t="s">
        <v>1389</v>
      </c>
      <c r="Y91" s="368" t="s">
        <v>1363</v>
      </c>
      <c r="Z91" s="369">
        <f>COUNTIF(B86:W97,Y91)</f>
        <v>1</v>
      </c>
      <c r="AA91" s="370"/>
      <c r="AC91" s="393" t="s">
        <v>1363</v>
      </c>
      <c r="AD91" s="394" t="s">
        <v>1400</v>
      </c>
    </row>
    <row r="92" spans="2:30" s="272" customFormat="1">
      <c r="B92" s="371">
        <v>2</v>
      </c>
      <c r="C92" s="958"/>
      <c r="D92" s="981"/>
      <c r="E92" s="371">
        <v>2</v>
      </c>
      <c r="F92" s="375" t="s">
        <v>1390</v>
      </c>
      <c r="G92" s="373"/>
      <c r="H92" s="371">
        <v>2</v>
      </c>
      <c r="I92" s="375" t="s">
        <v>1390</v>
      </c>
      <c r="J92" s="373"/>
      <c r="K92" s="371">
        <v>2</v>
      </c>
      <c r="L92" s="375" t="s">
        <v>1358</v>
      </c>
      <c r="M92" s="373"/>
      <c r="N92" s="371">
        <v>2</v>
      </c>
      <c r="O92" s="375" t="s">
        <v>1359</v>
      </c>
      <c r="P92" s="373">
        <v>16</v>
      </c>
      <c r="Q92" s="371">
        <v>2</v>
      </c>
      <c r="R92" s="375" t="s">
        <v>1359</v>
      </c>
      <c r="S92" s="373">
        <v>16</v>
      </c>
      <c r="T92" s="371">
        <v>2</v>
      </c>
      <c r="U92" s="972"/>
      <c r="V92" s="973"/>
      <c r="W92" s="963"/>
      <c r="Y92" s="368" t="s">
        <v>1390</v>
      </c>
      <c r="Z92" s="369">
        <f>COUNTIF(B86:W97,Y92)</f>
        <v>3</v>
      </c>
      <c r="AA92" s="370"/>
      <c r="AC92" s="393" t="s">
        <v>1358</v>
      </c>
      <c r="AD92" s="394" t="s">
        <v>1400</v>
      </c>
    </row>
    <row r="93" spans="2:30" s="272" customFormat="1">
      <c r="B93" s="371">
        <v>3</v>
      </c>
      <c r="C93" s="958"/>
      <c r="D93" s="981"/>
      <c r="E93" s="371">
        <v>3</v>
      </c>
      <c r="F93" s="368"/>
      <c r="G93" s="373"/>
      <c r="H93" s="371">
        <v>3</v>
      </c>
      <c r="I93" s="368"/>
      <c r="J93" s="373"/>
      <c r="K93" s="371">
        <v>3</v>
      </c>
      <c r="L93" s="368"/>
      <c r="M93" s="373"/>
      <c r="N93" s="371">
        <v>3</v>
      </c>
      <c r="O93" s="375" t="s">
        <v>1438</v>
      </c>
      <c r="P93" s="373">
        <v>16</v>
      </c>
      <c r="Q93" s="371">
        <v>3</v>
      </c>
      <c r="R93" s="368" t="s">
        <v>1363</v>
      </c>
      <c r="S93" s="373">
        <v>16</v>
      </c>
      <c r="T93" s="371">
        <v>3</v>
      </c>
      <c r="U93" s="972"/>
      <c r="V93" s="973"/>
      <c r="W93" s="963"/>
      <c r="Y93" s="368"/>
      <c r="Z93" s="369">
        <f>COUNTIF(B86:W97,Y93)</f>
        <v>0</v>
      </c>
      <c r="AA93" s="370"/>
    </row>
    <row r="94" spans="2:30" s="272" customFormat="1">
      <c r="B94" s="376">
        <v>4</v>
      </c>
      <c r="C94" s="958"/>
      <c r="D94" s="981"/>
      <c r="E94" s="376">
        <v>4</v>
      </c>
      <c r="F94" s="375"/>
      <c r="G94" s="373"/>
      <c r="H94" s="376">
        <v>4</v>
      </c>
      <c r="I94" s="375"/>
      <c r="J94" s="373"/>
      <c r="K94" s="376">
        <v>4</v>
      </c>
      <c r="L94" s="375"/>
      <c r="M94" s="373"/>
      <c r="N94" s="376">
        <v>4</v>
      </c>
      <c r="O94" s="375" t="s">
        <v>1361</v>
      </c>
      <c r="P94" s="373">
        <v>21</v>
      </c>
      <c r="Q94" s="376">
        <v>4</v>
      </c>
      <c r="R94" s="375" t="s">
        <v>1361</v>
      </c>
      <c r="S94" s="373">
        <v>18</v>
      </c>
      <c r="T94" s="376">
        <v>4</v>
      </c>
      <c r="U94" s="972"/>
      <c r="V94" s="973"/>
      <c r="W94" s="963"/>
      <c r="Y94" s="368"/>
      <c r="Z94" s="369">
        <f>COUNTIF(B86:W97,Y94)</f>
        <v>0</v>
      </c>
      <c r="AA94" s="370"/>
    </row>
    <row r="95" spans="2:30" s="272" customFormat="1">
      <c r="B95" s="376">
        <v>5</v>
      </c>
      <c r="C95" s="958"/>
      <c r="D95" s="981"/>
      <c r="E95" s="376">
        <v>5</v>
      </c>
      <c r="F95" s="375"/>
      <c r="G95" s="373"/>
      <c r="H95" s="376">
        <v>5</v>
      </c>
      <c r="I95" s="375"/>
      <c r="J95" s="373"/>
      <c r="K95" s="376">
        <v>5</v>
      </c>
      <c r="L95" s="375"/>
      <c r="M95" s="373"/>
      <c r="N95" s="376">
        <v>5</v>
      </c>
      <c r="O95" s="375"/>
      <c r="P95" s="373"/>
      <c r="Q95" s="376">
        <v>5</v>
      </c>
      <c r="R95" s="375" t="s">
        <v>1390</v>
      </c>
      <c r="S95" s="373">
        <v>18</v>
      </c>
      <c r="T95" s="376">
        <v>5</v>
      </c>
      <c r="U95" s="972"/>
      <c r="V95" s="973"/>
      <c r="W95" s="963"/>
      <c r="Y95" s="368"/>
      <c r="Z95" s="369">
        <f>COUNTIF(B86:W97,Y95)</f>
        <v>0</v>
      </c>
      <c r="AA95" s="370"/>
    </row>
    <row r="96" spans="2:30" s="272" customFormat="1">
      <c r="B96" s="371">
        <v>6</v>
      </c>
      <c r="C96" s="958"/>
      <c r="D96" s="981"/>
      <c r="E96" s="371">
        <v>6</v>
      </c>
      <c r="F96" s="375"/>
      <c r="G96" s="373"/>
      <c r="H96" s="371">
        <v>6</v>
      </c>
      <c r="I96" s="375"/>
      <c r="J96" s="373"/>
      <c r="K96" s="371">
        <v>6</v>
      </c>
      <c r="L96" s="375"/>
      <c r="M96" s="373"/>
      <c r="N96" s="371">
        <v>6</v>
      </c>
      <c r="O96" s="375"/>
      <c r="P96" s="373"/>
      <c r="Q96" s="371">
        <v>6</v>
      </c>
      <c r="R96" s="375"/>
      <c r="S96" s="373"/>
      <c r="T96" s="371">
        <v>6</v>
      </c>
      <c r="U96" s="972"/>
      <c r="V96" s="973"/>
      <c r="W96" s="963"/>
      <c r="Y96" s="368"/>
      <c r="Z96" s="369">
        <f>COUNTIF(B86:W97,Y96)</f>
        <v>0</v>
      </c>
      <c r="AA96" s="370"/>
    </row>
    <row r="97" spans="2:27" s="272" customFormat="1" ht="16" thickBot="1">
      <c r="B97" s="378">
        <v>7</v>
      </c>
      <c r="C97" s="960"/>
      <c r="D97" s="982"/>
      <c r="E97" s="378">
        <v>7</v>
      </c>
      <c r="F97" s="379"/>
      <c r="G97" s="380"/>
      <c r="H97" s="378">
        <v>7</v>
      </c>
      <c r="I97" s="379"/>
      <c r="J97" s="380"/>
      <c r="K97" s="378">
        <v>7</v>
      </c>
      <c r="L97" s="379"/>
      <c r="M97" s="380"/>
      <c r="N97" s="378">
        <v>7</v>
      </c>
      <c r="O97" s="379"/>
      <c r="P97" s="380"/>
      <c r="Q97" s="378">
        <v>7</v>
      </c>
      <c r="R97" s="379"/>
      <c r="S97" s="380"/>
      <c r="T97" s="378">
        <v>7</v>
      </c>
      <c r="U97" s="974"/>
      <c r="V97" s="975"/>
      <c r="W97" s="964"/>
      <c r="Y97" s="368"/>
      <c r="Z97" s="369">
        <f>COUNTIF(B86:W97,Y97)</f>
        <v>0</v>
      </c>
      <c r="AA97" s="370"/>
    </row>
    <row r="98" spans="2:27" s="272" customFormat="1" ht="42" customHeight="1" thickBot="1">
      <c r="B98" s="234"/>
      <c r="C98" s="368"/>
      <c r="D98" s="279"/>
      <c r="E98" s="234"/>
      <c r="F98" s="368"/>
      <c r="G98" s="279"/>
      <c r="I98" s="368"/>
      <c r="J98" s="279"/>
      <c r="L98" s="368"/>
      <c r="M98" s="279"/>
      <c r="O98" s="368"/>
      <c r="P98" s="279"/>
      <c r="R98" s="368"/>
      <c r="S98" s="279"/>
      <c r="T98" s="996" t="s">
        <v>1446</v>
      </c>
      <c r="U98" s="996"/>
      <c r="V98" s="996"/>
      <c r="W98" s="996"/>
      <c r="Y98" s="368"/>
      <c r="Z98" s="369"/>
      <c r="AA98" s="370"/>
    </row>
    <row r="99" spans="2:27" s="272" customFormat="1">
      <c r="B99" s="967" t="s">
        <v>1447</v>
      </c>
      <c r="C99" s="968"/>
      <c r="D99" s="969"/>
      <c r="E99" s="967" t="s">
        <v>1448</v>
      </c>
      <c r="F99" s="968"/>
      <c r="G99" s="969"/>
      <c r="H99" s="967" t="s">
        <v>1449</v>
      </c>
      <c r="I99" s="968"/>
      <c r="J99" s="969"/>
      <c r="K99" s="967" t="s">
        <v>1450</v>
      </c>
      <c r="L99" s="968"/>
      <c r="M99" s="969"/>
      <c r="N99" s="967" t="s">
        <v>1451</v>
      </c>
      <c r="O99" s="968"/>
      <c r="P99" s="969"/>
      <c r="Q99" s="967" t="s">
        <v>1452</v>
      </c>
      <c r="R99" s="968"/>
      <c r="S99" s="969"/>
      <c r="T99" s="967" t="s">
        <v>1453</v>
      </c>
      <c r="U99" s="968"/>
      <c r="V99" s="968"/>
      <c r="W99" s="969"/>
      <c r="Y99" s="368" t="s">
        <v>1357</v>
      </c>
      <c r="Z99" s="369">
        <f>COUNTIF(B100:W111,Y99)</f>
        <v>3</v>
      </c>
      <c r="AA99" s="370"/>
    </row>
    <row r="100" spans="2:27" s="272" customFormat="1">
      <c r="B100" s="371">
        <v>1</v>
      </c>
      <c r="C100" s="956" t="s">
        <v>1387</v>
      </c>
      <c r="D100" s="957"/>
      <c r="E100" s="371">
        <v>1</v>
      </c>
      <c r="F100" s="372" t="s">
        <v>1354</v>
      </c>
      <c r="G100" s="373"/>
      <c r="H100" s="371">
        <v>1</v>
      </c>
      <c r="I100" s="372" t="s">
        <v>1357</v>
      </c>
      <c r="J100" s="373"/>
      <c r="K100" s="371">
        <v>1</v>
      </c>
      <c r="L100" s="372" t="s">
        <v>1354</v>
      </c>
      <c r="M100" s="373"/>
      <c r="N100" s="371">
        <v>1</v>
      </c>
      <c r="O100" s="372" t="s">
        <v>1354</v>
      </c>
      <c r="P100" s="373"/>
      <c r="Q100" s="371">
        <v>1</v>
      </c>
      <c r="R100" s="372" t="s">
        <v>1357</v>
      </c>
      <c r="S100" s="373"/>
      <c r="T100" s="371">
        <v>1</v>
      </c>
      <c r="U100" s="372" t="s">
        <v>1357</v>
      </c>
      <c r="V100" s="373"/>
      <c r="W100" s="962" t="s">
        <v>119</v>
      </c>
      <c r="Y100" s="368" t="s">
        <v>1354</v>
      </c>
      <c r="Z100" s="369">
        <f>COUNTIF(B100:W111,Y100)</f>
        <v>5</v>
      </c>
      <c r="AA100" s="370"/>
    </row>
    <row r="101" spans="2:27" s="272" customFormat="1">
      <c r="B101" s="371">
        <v>2</v>
      </c>
      <c r="C101" s="958"/>
      <c r="D101" s="959"/>
      <c r="E101" s="371">
        <v>2</v>
      </c>
      <c r="F101" s="396" t="s">
        <v>1413</v>
      </c>
      <c r="G101" s="373"/>
      <c r="H101" s="371">
        <v>2</v>
      </c>
      <c r="I101" s="396" t="s">
        <v>1413</v>
      </c>
      <c r="J101" s="373"/>
      <c r="K101" s="371">
        <v>2</v>
      </c>
      <c r="L101" s="396" t="s">
        <v>1413</v>
      </c>
      <c r="M101" s="373"/>
      <c r="N101" s="371">
        <v>2</v>
      </c>
      <c r="O101" s="396" t="s">
        <v>1413</v>
      </c>
      <c r="P101" s="373"/>
      <c r="Q101" s="371">
        <v>2</v>
      </c>
      <c r="R101" s="372" t="s">
        <v>1354</v>
      </c>
      <c r="S101" s="373"/>
      <c r="T101" s="371">
        <v>2</v>
      </c>
      <c r="U101" s="372" t="s">
        <v>1354</v>
      </c>
      <c r="V101" s="373"/>
      <c r="W101" s="963"/>
      <c r="Y101" s="368" t="s">
        <v>1358</v>
      </c>
      <c r="Z101" s="369">
        <f>COUNTIF(B100:W111,Y101)</f>
        <v>5</v>
      </c>
      <c r="AA101" s="370"/>
    </row>
    <row r="102" spans="2:27" s="272" customFormat="1">
      <c r="B102" s="371">
        <v>3</v>
      </c>
      <c r="C102" s="958"/>
      <c r="D102" s="959"/>
      <c r="E102" s="371">
        <v>3</v>
      </c>
      <c r="F102" s="375"/>
      <c r="G102" s="373"/>
      <c r="H102" s="371">
        <v>3</v>
      </c>
      <c r="I102" s="375"/>
      <c r="J102" s="373"/>
      <c r="K102" s="371">
        <v>3</v>
      </c>
      <c r="L102" s="375"/>
      <c r="M102" s="373"/>
      <c r="N102" s="371">
        <v>3</v>
      </c>
      <c r="O102" s="375"/>
      <c r="P102" s="373"/>
      <c r="Q102" s="371">
        <v>3</v>
      </c>
      <c r="R102" s="375"/>
      <c r="S102" s="373"/>
      <c r="T102" s="371">
        <v>3</v>
      </c>
      <c r="U102" s="397" t="s">
        <v>1413</v>
      </c>
      <c r="V102" s="373"/>
      <c r="W102" s="963"/>
      <c r="Y102" s="368" t="s">
        <v>1359</v>
      </c>
      <c r="Z102" s="369">
        <f>COUNTIF(B100:W111,Y102)</f>
        <v>0</v>
      </c>
      <c r="AA102" s="370" t="s">
        <v>1412</v>
      </c>
    </row>
    <row r="103" spans="2:27" s="272" customFormat="1">
      <c r="B103" s="376">
        <v>4</v>
      </c>
      <c r="C103" s="958"/>
      <c r="D103" s="959"/>
      <c r="E103" s="376">
        <v>4</v>
      </c>
      <c r="F103" s="377"/>
      <c r="G103" s="373"/>
      <c r="H103" s="376">
        <v>4</v>
      </c>
      <c r="I103" s="377"/>
      <c r="J103" s="373"/>
      <c r="K103" s="376">
        <v>4</v>
      </c>
      <c r="L103" s="377"/>
      <c r="M103" s="373"/>
      <c r="N103" s="376">
        <v>4</v>
      </c>
      <c r="O103" s="377"/>
      <c r="P103" s="373"/>
      <c r="Q103" s="376">
        <v>4</v>
      </c>
      <c r="R103" s="377"/>
      <c r="S103" s="373"/>
      <c r="T103" s="376">
        <v>4</v>
      </c>
      <c r="U103" s="398" t="s">
        <v>1454</v>
      </c>
      <c r="V103" s="373"/>
      <c r="W103" s="963"/>
      <c r="Y103" s="368" t="s">
        <v>1360</v>
      </c>
      <c r="Z103" s="369">
        <f>COUNTIF(B100:W111,Y103)</f>
        <v>6</v>
      </c>
      <c r="AA103" s="370"/>
    </row>
    <row r="104" spans="2:27" s="272" customFormat="1" ht="16" thickBot="1">
      <c r="B104" s="378">
        <v>5</v>
      </c>
      <c r="C104" s="960"/>
      <c r="D104" s="961"/>
      <c r="E104" s="378">
        <v>5</v>
      </c>
      <c r="F104" s="379"/>
      <c r="G104" s="380"/>
      <c r="H104" s="378">
        <v>5</v>
      </c>
      <c r="I104" s="379"/>
      <c r="J104" s="380"/>
      <c r="K104" s="378">
        <v>5</v>
      </c>
      <c r="L104" s="379"/>
      <c r="M104" s="380"/>
      <c r="N104" s="378">
        <v>5</v>
      </c>
      <c r="O104" s="379"/>
      <c r="P104" s="380"/>
      <c r="Q104" s="378">
        <v>5</v>
      </c>
      <c r="R104" s="379"/>
      <c r="S104" s="380"/>
      <c r="T104" s="378">
        <v>5</v>
      </c>
      <c r="U104" s="379"/>
      <c r="V104" s="380"/>
      <c r="W104" s="964"/>
      <c r="Y104" s="368" t="s">
        <v>1361</v>
      </c>
      <c r="Z104" s="369">
        <f>COUNTIF(B100:W111,Y104)</f>
        <v>3</v>
      </c>
      <c r="AA104" s="370"/>
    </row>
    <row r="105" spans="2:27" s="272" customFormat="1">
      <c r="B105" s="381">
        <v>1</v>
      </c>
      <c r="C105" s="979" t="s">
        <v>1387</v>
      </c>
      <c r="D105" s="980"/>
      <c r="E105" s="381">
        <v>1</v>
      </c>
      <c r="F105" s="375" t="s">
        <v>1360</v>
      </c>
      <c r="G105" s="382"/>
      <c r="H105" s="381">
        <v>1</v>
      </c>
      <c r="I105" s="375" t="s">
        <v>1358</v>
      </c>
      <c r="J105" s="382"/>
      <c r="K105" s="381">
        <v>1</v>
      </c>
      <c r="L105" s="375" t="s">
        <v>1360</v>
      </c>
      <c r="M105" s="382"/>
      <c r="N105" s="381">
        <v>1</v>
      </c>
      <c r="O105" s="375" t="s">
        <v>1360</v>
      </c>
      <c r="P105" s="382"/>
      <c r="Q105" s="381">
        <v>1</v>
      </c>
      <c r="R105" s="375" t="s">
        <v>1358</v>
      </c>
      <c r="S105" s="382"/>
      <c r="T105" s="381">
        <v>1</v>
      </c>
      <c r="U105" s="375" t="s">
        <v>1361</v>
      </c>
      <c r="V105" s="382"/>
      <c r="W105" s="965" t="s">
        <v>1389</v>
      </c>
      <c r="Y105" s="368" t="s">
        <v>1363</v>
      </c>
      <c r="Z105" s="369">
        <f>COUNTIF(B100:W111,Y105)</f>
        <v>3</v>
      </c>
      <c r="AA105" s="370"/>
    </row>
    <row r="106" spans="2:27" s="272" customFormat="1">
      <c r="B106" s="371">
        <v>2</v>
      </c>
      <c r="C106" s="958"/>
      <c r="D106" s="981"/>
      <c r="E106" s="371">
        <v>2</v>
      </c>
      <c r="F106" s="383" t="s">
        <v>1358</v>
      </c>
      <c r="G106" s="373"/>
      <c r="H106" s="371">
        <v>2</v>
      </c>
      <c r="I106" s="383" t="s">
        <v>1360</v>
      </c>
      <c r="J106" s="373"/>
      <c r="K106" s="371">
        <v>2</v>
      </c>
      <c r="L106" s="375" t="s">
        <v>1358</v>
      </c>
      <c r="M106" s="373"/>
      <c r="N106" s="371">
        <v>2</v>
      </c>
      <c r="O106" s="375" t="s">
        <v>1358</v>
      </c>
      <c r="P106" s="373"/>
      <c r="Q106" s="371">
        <v>2</v>
      </c>
      <c r="R106" s="375" t="s">
        <v>1360</v>
      </c>
      <c r="S106" s="373"/>
      <c r="T106" s="371">
        <v>2</v>
      </c>
      <c r="U106" s="375" t="s">
        <v>1363</v>
      </c>
      <c r="V106" s="373"/>
      <c r="W106" s="963"/>
      <c r="Y106" s="368" t="s">
        <v>1455</v>
      </c>
      <c r="Z106" s="369">
        <f>COUNTIF(B100:W111,Y106)</f>
        <v>0</v>
      </c>
      <c r="AA106" s="370"/>
    </row>
    <row r="107" spans="2:27" s="272" customFormat="1">
      <c r="B107" s="371">
        <v>3</v>
      </c>
      <c r="C107" s="958"/>
      <c r="D107" s="981"/>
      <c r="E107" s="371">
        <v>3</v>
      </c>
      <c r="F107" s="368"/>
      <c r="G107" s="373"/>
      <c r="H107" s="371">
        <v>3</v>
      </c>
      <c r="I107" s="368"/>
      <c r="J107" s="373"/>
      <c r="K107" s="371">
        <v>3</v>
      </c>
      <c r="L107" s="368"/>
      <c r="M107" s="373"/>
      <c r="N107" s="371">
        <v>3</v>
      </c>
      <c r="O107" s="383" t="s">
        <v>1363</v>
      </c>
      <c r="P107" s="373"/>
      <c r="Q107" s="371">
        <v>3</v>
      </c>
      <c r="R107" s="368" t="s">
        <v>1363</v>
      </c>
      <c r="S107" s="373"/>
      <c r="T107" s="371">
        <v>3</v>
      </c>
      <c r="U107" s="383" t="s">
        <v>1360</v>
      </c>
      <c r="V107" s="385"/>
      <c r="W107" s="963"/>
      <c r="Y107" s="368"/>
      <c r="Z107" s="369">
        <f>COUNTIF(B100:W111,Y107)</f>
        <v>0</v>
      </c>
      <c r="AA107" s="370"/>
    </row>
    <row r="108" spans="2:27" s="272" customFormat="1">
      <c r="B108" s="376">
        <v>4</v>
      </c>
      <c r="C108" s="958"/>
      <c r="D108" s="981"/>
      <c r="E108" s="376">
        <v>4</v>
      </c>
      <c r="F108" s="375"/>
      <c r="G108" s="373"/>
      <c r="H108" s="376">
        <v>4</v>
      </c>
      <c r="I108" s="375"/>
      <c r="J108" s="373"/>
      <c r="K108" s="376">
        <v>4</v>
      </c>
      <c r="L108" s="375"/>
      <c r="M108" s="373"/>
      <c r="N108" s="376">
        <v>4</v>
      </c>
      <c r="O108" s="375" t="s">
        <v>1361</v>
      </c>
      <c r="P108" s="373"/>
      <c r="Q108" s="376">
        <v>4</v>
      </c>
      <c r="R108" s="375" t="s">
        <v>1361</v>
      </c>
      <c r="S108" s="373"/>
      <c r="T108" s="376">
        <v>4</v>
      </c>
      <c r="U108" s="375"/>
      <c r="V108" s="373"/>
      <c r="W108" s="963"/>
      <c r="Y108" s="368"/>
      <c r="Z108" s="369">
        <f>COUNTIF(B100:W111,Y108)</f>
        <v>0</v>
      </c>
      <c r="AA108" s="370"/>
    </row>
    <row r="109" spans="2:27" s="272" customFormat="1">
      <c r="B109" s="376">
        <v>5</v>
      </c>
      <c r="C109" s="958"/>
      <c r="D109" s="981"/>
      <c r="E109" s="376">
        <v>5</v>
      </c>
      <c r="F109" s="375"/>
      <c r="G109" s="373"/>
      <c r="H109" s="376">
        <v>5</v>
      </c>
      <c r="I109" s="375"/>
      <c r="J109" s="373"/>
      <c r="K109" s="376">
        <v>5</v>
      </c>
      <c r="L109" s="375"/>
      <c r="M109" s="373"/>
      <c r="N109" s="376">
        <v>5</v>
      </c>
      <c r="O109" s="375"/>
      <c r="P109" s="373"/>
      <c r="Q109" s="376">
        <v>5</v>
      </c>
      <c r="R109" s="386" t="s">
        <v>1456</v>
      </c>
      <c r="S109" s="387"/>
      <c r="T109" s="376">
        <v>5</v>
      </c>
      <c r="U109" s="375" t="s">
        <v>1456</v>
      </c>
      <c r="V109" s="373"/>
      <c r="W109" s="963"/>
      <c r="Y109" s="368"/>
      <c r="Z109" s="369">
        <f>COUNTIF(B100:W111,Y109)</f>
        <v>0</v>
      </c>
      <c r="AA109" s="370"/>
    </row>
    <row r="110" spans="2:27" s="272" customFormat="1">
      <c r="B110" s="371">
        <v>6</v>
      </c>
      <c r="C110" s="958"/>
      <c r="D110" s="981"/>
      <c r="E110" s="371">
        <v>6</v>
      </c>
      <c r="F110" s="375"/>
      <c r="G110" s="373"/>
      <c r="H110" s="371">
        <v>6</v>
      </c>
      <c r="I110" s="375"/>
      <c r="J110" s="373"/>
      <c r="K110" s="371">
        <v>6</v>
      </c>
      <c r="L110" s="375"/>
      <c r="M110" s="373"/>
      <c r="N110" s="371">
        <v>6</v>
      </c>
      <c r="O110" s="375"/>
      <c r="P110" s="373"/>
      <c r="Q110" s="371">
        <v>6</v>
      </c>
      <c r="R110" s="375"/>
      <c r="S110" s="373"/>
      <c r="T110" s="371">
        <v>6</v>
      </c>
      <c r="U110" s="375"/>
      <c r="V110" s="373"/>
      <c r="W110" s="963"/>
      <c r="Y110" s="368"/>
      <c r="Z110" s="369">
        <f>COUNTIF(B100:W111,Y110)</f>
        <v>0</v>
      </c>
      <c r="AA110" s="370"/>
    </row>
    <row r="111" spans="2:27" s="272" customFormat="1" ht="16" thickBot="1">
      <c r="B111" s="378">
        <v>7</v>
      </c>
      <c r="C111" s="960"/>
      <c r="D111" s="982"/>
      <c r="E111" s="378">
        <v>7</v>
      </c>
      <c r="F111" s="379"/>
      <c r="G111" s="380"/>
      <c r="H111" s="378">
        <v>7</v>
      </c>
      <c r="I111" s="379"/>
      <c r="J111" s="380"/>
      <c r="K111" s="378">
        <v>7</v>
      </c>
      <c r="L111" s="379"/>
      <c r="M111" s="380"/>
      <c r="N111" s="378">
        <v>7</v>
      </c>
      <c r="O111" s="379"/>
      <c r="P111" s="380"/>
      <c r="Q111" s="378">
        <v>7</v>
      </c>
      <c r="R111" s="379"/>
      <c r="S111" s="380"/>
      <c r="T111" s="378">
        <v>7</v>
      </c>
      <c r="U111" s="379"/>
      <c r="V111" s="380"/>
      <c r="W111" s="964"/>
      <c r="Y111" s="368"/>
      <c r="Z111" s="369">
        <f>COUNTIF(B100:W111,Y111)</f>
        <v>0</v>
      </c>
      <c r="AA111" s="370"/>
    </row>
    <row r="112" spans="2:27" s="272" customFormat="1" ht="16" thickBot="1">
      <c r="B112" s="234"/>
      <c r="C112" s="368"/>
      <c r="D112" s="279"/>
      <c r="E112" s="234"/>
      <c r="F112" s="368"/>
      <c r="G112" s="279"/>
      <c r="I112" s="368"/>
      <c r="J112" s="279"/>
      <c r="L112" s="368"/>
      <c r="M112" s="279"/>
      <c r="O112" s="368"/>
      <c r="P112" s="279"/>
      <c r="Q112" s="983" t="s">
        <v>1457</v>
      </c>
      <c r="R112" s="983"/>
      <c r="S112" s="983"/>
      <c r="U112" s="368"/>
      <c r="V112" s="279"/>
      <c r="W112" s="234"/>
      <c r="Y112" s="368"/>
      <c r="Z112" s="369"/>
      <c r="AA112" s="370"/>
    </row>
    <row r="113" spans="2:30" s="272" customFormat="1">
      <c r="B113" s="967" t="s">
        <v>1458</v>
      </c>
      <c r="C113" s="968"/>
      <c r="D113" s="969"/>
      <c r="E113" s="967" t="s">
        <v>1459</v>
      </c>
      <c r="F113" s="968"/>
      <c r="G113" s="969"/>
      <c r="H113" s="967" t="s">
        <v>1460</v>
      </c>
      <c r="I113" s="968"/>
      <c r="J113" s="969"/>
      <c r="K113" s="967" t="s">
        <v>1461</v>
      </c>
      <c r="L113" s="968"/>
      <c r="M113" s="969"/>
      <c r="N113" s="967" t="s">
        <v>1462</v>
      </c>
      <c r="O113" s="968"/>
      <c r="P113" s="969"/>
      <c r="Q113" s="976" t="s">
        <v>1429</v>
      </c>
      <c r="R113" s="977"/>
      <c r="S113" s="978"/>
      <c r="T113" s="976" t="s">
        <v>1430</v>
      </c>
      <c r="U113" s="977"/>
      <c r="V113" s="977"/>
      <c r="W113" s="978"/>
      <c r="Y113" s="368" t="s">
        <v>1357</v>
      </c>
      <c r="Z113" s="369">
        <f>COUNTIF(B114:W125,Y113)</f>
        <v>5</v>
      </c>
      <c r="AA113" s="370"/>
      <c r="AC113" s="393" t="s">
        <v>1359</v>
      </c>
      <c r="AD113" s="394" t="s">
        <v>1398</v>
      </c>
    </row>
    <row r="114" spans="2:30" s="272" customFormat="1">
      <c r="B114" s="371">
        <v>1</v>
      </c>
      <c r="C114" s="956" t="s">
        <v>1387</v>
      </c>
      <c r="D114" s="957"/>
      <c r="E114" s="371">
        <v>1</v>
      </c>
      <c r="F114" s="372" t="s">
        <v>1357</v>
      </c>
      <c r="G114" s="373"/>
      <c r="H114" s="371">
        <v>1</v>
      </c>
      <c r="I114" s="372" t="s">
        <v>1354</v>
      </c>
      <c r="J114" s="373"/>
      <c r="K114" s="371">
        <v>1</v>
      </c>
      <c r="L114" s="372" t="s">
        <v>1357</v>
      </c>
      <c r="M114" s="373"/>
      <c r="N114" s="371">
        <v>1</v>
      </c>
      <c r="O114" s="372" t="s">
        <v>1357</v>
      </c>
      <c r="P114" s="373"/>
      <c r="Q114" s="371">
        <v>1</v>
      </c>
      <c r="R114" s="372" t="s">
        <v>1357</v>
      </c>
      <c r="S114" s="373"/>
      <c r="T114" s="371">
        <v>1</v>
      </c>
      <c r="U114" s="372" t="s">
        <v>1357</v>
      </c>
      <c r="V114" s="373"/>
      <c r="W114" s="962" t="s">
        <v>119</v>
      </c>
      <c r="Y114" s="368" t="s">
        <v>1354</v>
      </c>
      <c r="Z114" s="369">
        <f>COUNTIF(B114:W125,Y114)</f>
        <v>5</v>
      </c>
      <c r="AA114" s="370"/>
      <c r="AC114" s="393" t="s">
        <v>1463</v>
      </c>
      <c r="AD114" s="394" t="s">
        <v>1398</v>
      </c>
    </row>
    <row r="115" spans="2:30" s="272" customFormat="1">
      <c r="B115" s="371">
        <v>2</v>
      </c>
      <c r="C115" s="958"/>
      <c r="D115" s="959"/>
      <c r="E115" s="371">
        <v>2</v>
      </c>
      <c r="F115" s="396" t="s">
        <v>1413</v>
      </c>
      <c r="G115" s="373"/>
      <c r="H115" s="371">
        <v>2</v>
      </c>
      <c r="I115" s="396" t="s">
        <v>1413</v>
      </c>
      <c r="J115" s="373"/>
      <c r="K115" s="371">
        <v>2</v>
      </c>
      <c r="L115" s="372" t="s">
        <v>1354</v>
      </c>
      <c r="M115" s="373"/>
      <c r="N115" s="371">
        <v>2</v>
      </c>
      <c r="O115" s="372" t="s">
        <v>1354</v>
      </c>
      <c r="P115" s="373"/>
      <c r="Q115" s="371">
        <v>2</v>
      </c>
      <c r="R115" s="372" t="s">
        <v>1354</v>
      </c>
      <c r="S115" s="373"/>
      <c r="T115" s="371">
        <v>2</v>
      </c>
      <c r="U115" s="372" t="s">
        <v>1354</v>
      </c>
      <c r="V115" s="373"/>
      <c r="W115" s="963"/>
      <c r="Y115" s="368" t="s">
        <v>1358</v>
      </c>
      <c r="Z115" s="369">
        <f>COUNTIF(B114:W125,Y115)</f>
        <v>3</v>
      </c>
      <c r="AA115" s="370"/>
      <c r="AC115" s="393" t="s">
        <v>1361</v>
      </c>
      <c r="AD115" s="394" t="s">
        <v>1400</v>
      </c>
    </row>
    <row r="116" spans="2:30" s="272" customFormat="1">
      <c r="B116" s="371">
        <v>3</v>
      </c>
      <c r="C116" s="958"/>
      <c r="D116" s="959"/>
      <c r="E116" s="371">
        <v>3</v>
      </c>
      <c r="F116" s="375"/>
      <c r="G116" s="373"/>
      <c r="H116" s="371">
        <v>3</v>
      </c>
      <c r="I116" s="375"/>
      <c r="J116" s="373"/>
      <c r="K116" s="371">
        <v>3</v>
      </c>
      <c r="L116" s="375"/>
      <c r="M116" s="373"/>
      <c r="N116" s="371">
        <v>3</v>
      </c>
      <c r="O116" s="375"/>
      <c r="P116" s="373"/>
      <c r="Q116" s="371">
        <v>3</v>
      </c>
      <c r="R116" s="375"/>
      <c r="S116" s="373"/>
      <c r="T116" s="371">
        <v>3</v>
      </c>
      <c r="U116" s="397" t="s">
        <v>1413</v>
      </c>
      <c r="V116" s="373"/>
      <c r="W116" s="963"/>
      <c r="Y116" s="368" t="s">
        <v>1359</v>
      </c>
      <c r="Z116" s="369">
        <f>COUNTIF(B114:W125,Y116)</f>
        <v>4</v>
      </c>
      <c r="AA116" s="370"/>
      <c r="AC116" s="393" t="s">
        <v>1358</v>
      </c>
      <c r="AD116" s="394" t="s">
        <v>1400</v>
      </c>
    </row>
    <row r="117" spans="2:30" s="272" customFormat="1">
      <c r="B117" s="376">
        <v>4</v>
      </c>
      <c r="C117" s="958"/>
      <c r="D117" s="959"/>
      <c r="E117" s="376">
        <v>4</v>
      </c>
      <c r="F117" s="377"/>
      <c r="G117" s="373"/>
      <c r="H117" s="376">
        <v>4</v>
      </c>
      <c r="I117" s="377"/>
      <c r="J117" s="373"/>
      <c r="K117" s="376">
        <v>4</v>
      </c>
      <c r="L117" s="377"/>
      <c r="M117" s="373"/>
      <c r="N117" s="376">
        <v>4</v>
      </c>
      <c r="O117" s="377"/>
      <c r="P117" s="373"/>
      <c r="Q117" s="376">
        <v>4</v>
      </c>
      <c r="R117" s="377"/>
      <c r="S117" s="373"/>
      <c r="T117" s="376">
        <v>4</v>
      </c>
      <c r="U117" s="398" t="s">
        <v>1454</v>
      </c>
      <c r="V117" s="373"/>
      <c r="W117" s="963"/>
      <c r="Y117" s="368" t="s">
        <v>1360</v>
      </c>
      <c r="Z117" s="369">
        <f>COUNTIF(B114:W125,Y117)</f>
        <v>3</v>
      </c>
      <c r="AA117" s="370"/>
      <c r="AC117" s="393" t="s">
        <v>1363</v>
      </c>
      <c r="AD117" s="394" t="s">
        <v>1400</v>
      </c>
    </row>
    <row r="118" spans="2:30" s="272" customFormat="1" ht="16" thickBot="1">
      <c r="B118" s="378">
        <v>5</v>
      </c>
      <c r="C118" s="960"/>
      <c r="D118" s="961"/>
      <c r="E118" s="378">
        <v>5</v>
      </c>
      <c r="F118" s="379"/>
      <c r="G118" s="380"/>
      <c r="H118" s="378">
        <v>5</v>
      </c>
      <c r="I118" s="379"/>
      <c r="J118" s="380"/>
      <c r="K118" s="378">
        <v>5</v>
      </c>
      <c r="L118" s="379"/>
      <c r="M118" s="380"/>
      <c r="N118" s="378">
        <v>5</v>
      </c>
      <c r="O118" s="379"/>
      <c r="P118" s="380"/>
      <c r="Q118" s="378">
        <v>5</v>
      </c>
      <c r="R118" s="379"/>
      <c r="S118" s="380"/>
      <c r="T118" s="378">
        <v>5</v>
      </c>
      <c r="U118" s="379"/>
      <c r="V118" s="380"/>
      <c r="W118" s="964"/>
      <c r="Y118" s="368" t="s">
        <v>1361</v>
      </c>
      <c r="Z118" s="369">
        <f>COUNTIF(B114:W125,Y118)</f>
        <v>2</v>
      </c>
      <c r="AA118" s="370"/>
      <c r="AC118" s="393" t="s">
        <v>1360</v>
      </c>
      <c r="AD118" s="394" t="s">
        <v>1400</v>
      </c>
    </row>
    <row r="119" spans="2:30" s="272" customFormat="1">
      <c r="B119" s="381">
        <v>1</v>
      </c>
      <c r="C119" s="979" t="s">
        <v>1387</v>
      </c>
      <c r="D119" s="980"/>
      <c r="E119" s="381">
        <v>1</v>
      </c>
      <c r="F119" s="375" t="s">
        <v>1360</v>
      </c>
      <c r="G119" s="382"/>
      <c r="H119" s="381">
        <v>1</v>
      </c>
      <c r="I119" s="368" t="s">
        <v>1359</v>
      </c>
      <c r="J119" s="382"/>
      <c r="K119" s="381">
        <v>1</v>
      </c>
      <c r="L119" s="368" t="s">
        <v>1359</v>
      </c>
      <c r="M119" s="382"/>
      <c r="N119" s="381">
        <v>1</v>
      </c>
      <c r="O119" s="375" t="s">
        <v>1358</v>
      </c>
      <c r="P119" s="382">
        <v>16</v>
      </c>
      <c r="Q119" s="381">
        <v>1</v>
      </c>
      <c r="R119" s="375" t="s">
        <v>1360</v>
      </c>
      <c r="S119" s="382">
        <v>16</v>
      </c>
      <c r="T119" s="381">
        <v>1</v>
      </c>
      <c r="U119" s="970" t="s">
        <v>54</v>
      </c>
      <c r="V119" s="971"/>
      <c r="W119" s="965" t="s">
        <v>1389</v>
      </c>
      <c r="Y119" s="368" t="s">
        <v>1363</v>
      </c>
      <c r="Z119" s="369">
        <f>COUNTIF(B114:W125,Y119)</f>
        <v>1</v>
      </c>
      <c r="AA119" s="370"/>
      <c r="AC119" s="393" t="s">
        <v>1401</v>
      </c>
      <c r="AD119" s="394" t="s">
        <v>1402</v>
      </c>
    </row>
    <row r="120" spans="2:30" s="272" customFormat="1">
      <c r="B120" s="371">
        <v>2</v>
      </c>
      <c r="C120" s="958"/>
      <c r="D120" s="981"/>
      <c r="E120" s="371">
        <v>2</v>
      </c>
      <c r="F120" s="375" t="s">
        <v>1358</v>
      </c>
      <c r="G120" s="373"/>
      <c r="H120" s="371">
        <v>2</v>
      </c>
      <c r="I120" s="375" t="s">
        <v>1358</v>
      </c>
      <c r="J120" s="373"/>
      <c r="K120" s="371">
        <v>2</v>
      </c>
      <c r="L120" s="375" t="s">
        <v>1360</v>
      </c>
      <c r="M120" s="373"/>
      <c r="N120" s="371">
        <v>2</v>
      </c>
      <c r="O120" s="368" t="s">
        <v>1359</v>
      </c>
      <c r="P120" s="373">
        <v>16</v>
      </c>
      <c r="Q120" s="371">
        <v>2</v>
      </c>
      <c r="R120" s="368" t="s">
        <v>1359</v>
      </c>
      <c r="S120" s="373">
        <v>16</v>
      </c>
      <c r="T120" s="371">
        <v>2</v>
      </c>
      <c r="U120" s="972"/>
      <c r="V120" s="973"/>
      <c r="W120" s="963"/>
      <c r="Y120" s="368" t="s">
        <v>1455</v>
      </c>
      <c r="Z120" s="369">
        <f>COUNTIF(B114:W125,Y120)</f>
        <v>1</v>
      </c>
      <c r="AA120" s="370"/>
      <c r="AC120" s="393" t="s">
        <v>1413</v>
      </c>
      <c r="AD120" s="394" t="s">
        <v>1402</v>
      </c>
    </row>
    <row r="121" spans="2:30" s="272" customFormat="1">
      <c r="B121" s="371">
        <v>3</v>
      </c>
      <c r="C121" s="958"/>
      <c r="D121" s="981"/>
      <c r="E121" s="371">
        <v>3</v>
      </c>
      <c r="F121" s="368"/>
      <c r="G121" s="373"/>
      <c r="H121" s="371">
        <v>3</v>
      </c>
      <c r="I121" s="368"/>
      <c r="J121" s="373"/>
      <c r="K121" s="371">
        <v>3</v>
      </c>
      <c r="L121" s="368"/>
      <c r="M121" s="373"/>
      <c r="N121" s="371">
        <v>3</v>
      </c>
      <c r="O121" s="375" t="s">
        <v>1361</v>
      </c>
      <c r="P121" s="373">
        <v>21</v>
      </c>
      <c r="Q121" s="371">
        <v>3</v>
      </c>
      <c r="R121" s="375" t="s">
        <v>1363</v>
      </c>
      <c r="S121" s="373">
        <v>16</v>
      </c>
      <c r="T121" s="371">
        <v>3</v>
      </c>
      <c r="U121" s="972"/>
      <c r="V121" s="973"/>
      <c r="W121" s="963"/>
      <c r="Y121" s="368"/>
      <c r="Z121" s="369">
        <f>COUNTIF(B114:W125,Y121)</f>
        <v>0</v>
      </c>
      <c r="AA121" s="370"/>
      <c r="AC121" s="393" t="s">
        <v>261</v>
      </c>
      <c r="AD121" s="394" t="s">
        <v>1464</v>
      </c>
    </row>
    <row r="122" spans="2:30" s="272" customFormat="1">
      <c r="B122" s="376">
        <v>4</v>
      </c>
      <c r="C122" s="958"/>
      <c r="D122" s="981"/>
      <c r="E122" s="376">
        <v>4</v>
      </c>
      <c r="F122" s="375"/>
      <c r="G122" s="373"/>
      <c r="H122" s="376">
        <v>4</v>
      </c>
      <c r="I122" s="375"/>
      <c r="J122" s="373"/>
      <c r="K122" s="376">
        <v>4</v>
      </c>
      <c r="L122" s="375"/>
      <c r="M122" s="373"/>
      <c r="N122" s="376">
        <v>4</v>
      </c>
      <c r="O122" s="375" t="s">
        <v>1455</v>
      </c>
      <c r="P122" s="373">
        <v>21</v>
      </c>
      <c r="Q122" s="376">
        <v>4</v>
      </c>
      <c r="R122" s="383"/>
      <c r="S122" s="385">
        <v>16</v>
      </c>
      <c r="T122" s="376">
        <v>4</v>
      </c>
      <c r="U122" s="972"/>
      <c r="V122" s="973"/>
      <c r="W122" s="963"/>
      <c r="Y122" s="368"/>
      <c r="Z122" s="369">
        <f>COUNTIF(B114:W125,Y122)</f>
        <v>0</v>
      </c>
      <c r="AA122" s="370"/>
      <c r="AC122" s="393" t="s">
        <v>1465</v>
      </c>
      <c r="AD122" s="394" t="s">
        <v>1466</v>
      </c>
    </row>
    <row r="123" spans="2:30" s="272" customFormat="1">
      <c r="B123" s="376">
        <v>5</v>
      </c>
      <c r="C123" s="958"/>
      <c r="D123" s="981"/>
      <c r="E123" s="376">
        <v>5</v>
      </c>
      <c r="F123" s="375"/>
      <c r="G123" s="373"/>
      <c r="H123" s="376">
        <v>5</v>
      </c>
      <c r="I123" s="375"/>
      <c r="J123" s="373"/>
      <c r="K123" s="376">
        <v>5</v>
      </c>
      <c r="L123" s="375"/>
      <c r="M123" s="373"/>
      <c r="N123" s="376">
        <v>5</v>
      </c>
      <c r="O123" s="375"/>
      <c r="P123" s="373"/>
      <c r="Q123" s="376">
        <v>5</v>
      </c>
      <c r="R123" s="386" t="s">
        <v>1361</v>
      </c>
      <c r="S123" s="387">
        <v>16</v>
      </c>
      <c r="T123" s="376">
        <v>5</v>
      </c>
      <c r="U123" s="972"/>
      <c r="V123" s="973"/>
      <c r="W123" s="963"/>
      <c r="Y123" s="368"/>
      <c r="Z123" s="369">
        <f>COUNTIF(B114:W125,Y123)</f>
        <v>0</v>
      </c>
      <c r="AA123" s="370"/>
    </row>
    <row r="124" spans="2:30" s="272" customFormat="1">
      <c r="B124" s="371">
        <v>6</v>
      </c>
      <c r="C124" s="958"/>
      <c r="D124" s="981"/>
      <c r="E124" s="371">
        <v>6</v>
      </c>
      <c r="F124" s="375"/>
      <c r="G124" s="373"/>
      <c r="H124" s="371">
        <v>6</v>
      </c>
      <c r="I124" s="375"/>
      <c r="J124" s="373"/>
      <c r="K124" s="371">
        <v>6</v>
      </c>
      <c r="L124" s="375"/>
      <c r="M124" s="373"/>
      <c r="N124" s="371">
        <v>6</v>
      </c>
      <c r="O124" s="375"/>
      <c r="P124" s="373"/>
      <c r="Q124" s="371">
        <v>6</v>
      </c>
      <c r="R124" s="375"/>
      <c r="S124" s="373"/>
      <c r="T124" s="371">
        <v>6</v>
      </c>
      <c r="U124" s="972"/>
      <c r="V124" s="973"/>
      <c r="W124" s="963"/>
      <c r="Y124" s="368"/>
      <c r="Z124" s="369">
        <f>COUNTIF(B114:W125,Y124)</f>
        <v>0</v>
      </c>
      <c r="AA124" s="370"/>
    </row>
    <row r="125" spans="2:30" s="272" customFormat="1" ht="16" thickBot="1">
      <c r="B125" s="378">
        <v>7</v>
      </c>
      <c r="C125" s="960"/>
      <c r="D125" s="982"/>
      <c r="E125" s="378">
        <v>7</v>
      </c>
      <c r="F125" s="379"/>
      <c r="G125" s="380"/>
      <c r="H125" s="378">
        <v>7</v>
      </c>
      <c r="I125" s="379"/>
      <c r="J125" s="380"/>
      <c r="K125" s="378">
        <v>7</v>
      </c>
      <c r="L125" s="379"/>
      <c r="M125" s="380"/>
      <c r="N125" s="378">
        <v>7</v>
      </c>
      <c r="O125" s="379"/>
      <c r="P125" s="380"/>
      <c r="Q125" s="378">
        <v>7</v>
      </c>
      <c r="R125" s="399" t="s">
        <v>1467</v>
      </c>
      <c r="S125" s="400"/>
      <c r="T125" s="378">
        <v>7</v>
      </c>
      <c r="U125" s="974"/>
      <c r="V125" s="975"/>
      <c r="W125" s="964"/>
      <c r="Y125" s="368"/>
      <c r="Z125" s="369">
        <f>COUNTIF(B114:W125,Y125)</f>
        <v>0</v>
      </c>
      <c r="AA125" s="370"/>
    </row>
    <row r="126" spans="2:30" s="272" customFormat="1" ht="16" thickBot="1">
      <c r="B126" s="234"/>
      <c r="C126" s="368"/>
      <c r="D126" s="279"/>
      <c r="E126" s="234"/>
      <c r="F126" s="368"/>
      <c r="G126" s="279"/>
      <c r="I126" s="368"/>
      <c r="J126" s="279"/>
      <c r="L126" s="368"/>
      <c r="M126" s="279"/>
      <c r="O126" s="368"/>
      <c r="P126" s="279"/>
      <c r="R126" s="368"/>
      <c r="S126" s="279"/>
      <c r="U126" s="368"/>
      <c r="V126" s="279"/>
      <c r="W126" s="234"/>
      <c r="Y126" s="368"/>
      <c r="Z126" s="369"/>
      <c r="AA126" s="370"/>
    </row>
    <row r="127" spans="2:30" s="272" customFormat="1">
      <c r="B127" s="976" t="s">
        <v>1431</v>
      </c>
      <c r="C127" s="977"/>
      <c r="D127" s="978"/>
      <c r="E127" s="976" t="s">
        <v>1432</v>
      </c>
      <c r="F127" s="977"/>
      <c r="G127" s="978"/>
      <c r="H127" s="976" t="s">
        <v>1433</v>
      </c>
      <c r="I127" s="977"/>
      <c r="J127" s="978"/>
      <c r="K127" s="976" t="s">
        <v>1434</v>
      </c>
      <c r="L127" s="977"/>
      <c r="M127" s="978"/>
      <c r="N127" s="976" t="s">
        <v>1435</v>
      </c>
      <c r="O127" s="977"/>
      <c r="P127" s="978"/>
      <c r="Q127" s="976" t="s">
        <v>1436</v>
      </c>
      <c r="R127" s="977"/>
      <c r="S127" s="978"/>
      <c r="T127" s="976" t="s">
        <v>1437</v>
      </c>
      <c r="U127" s="977"/>
      <c r="V127" s="977"/>
      <c r="W127" s="978"/>
      <c r="Y127" s="368" t="s">
        <v>1357</v>
      </c>
      <c r="Z127" s="369">
        <f>COUNTIF(B128:W139,Y127)</f>
        <v>5</v>
      </c>
      <c r="AA127" s="370"/>
      <c r="AD127" s="338"/>
    </row>
    <row r="128" spans="2:30" s="272" customFormat="1">
      <c r="B128" s="371">
        <v>1</v>
      </c>
      <c r="C128" s="956" t="s">
        <v>1387</v>
      </c>
      <c r="D128" s="957"/>
      <c r="E128" s="371">
        <v>1</v>
      </c>
      <c r="F128" s="372" t="s">
        <v>1354</v>
      </c>
      <c r="G128" s="373"/>
      <c r="H128" s="371">
        <v>1</v>
      </c>
      <c r="I128" s="372" t="s">
        <v>1357</v>
      </c>
      <c r="J128" s="373"/>
      <c r="K128" s="371">
        <v>1</v>
      </c>
      <c r="L128" s="372" t="s">
        <v>1354</v>
      </c>
      <c r="M128" s="373"/>
      <c r="N128" s="371">
        <v>1</v>
      </c>
      <c r="O128" s="372" t="s">
        <v>1354</v>
      </c>
      <c r="P128" s="373"/>
      <c r="Q128" s="371">
        <v>1</v>
      </c>
      <c r="R128" s="372" t="s">
        <v>1357</v>
      </c>
      <c r="S128" s="373"/>
      <c r="T128" s="371">
        <v>1</v>
      </c>
      <c r="U128" s="372" t="s">
        <v>1357</v>
      </c>
      <c r="V128" s="373"/>
      <c r="W128" s="962" t="s">
        <v>119</v>
      </c>
      <c r="Y128" s="368" t="s">
        <v>1354</v>
      </c>
      <c r="Z128" s="369">
        <f>COUNTIF(B128:W139,Y128)</f>
        <v>5</v>
      </c>
      <c r="AA128" s="370"/>
      <c r="AD128" s="338"/>
    </row>
    <row r="129" spans="2:30" s="272" customFormat="1">
      <c r="B129" s="371">
        <v>2</v>
      </c>
      <c r="C129" s="958"/>
      <c r="D129" s="959"/>
      <c r="E129" s="371">
        <v>2</v>
      </c>
      <c r="F129" s="396" t="s">
        <v>1413</v>
      </c>
      <c r="G129" s="373"/>
      <c r="H129" s="371">
        <v>2</v>
      </c>
      <c r="I129" s="396" t="s">
        <v>1413</v>
      </c>
      <c r="J129" s="373"/>
      <c r="K129" s="371">
        <v>2</v>
      </c>
      <c r="L129" s="372" t="s">
        <v>1357</v>
      </c>
      <c r="M129" s="373"/>
      <c r="N129" s="371">
        <v>2</v>
      </c>
      <c r="O129" s="372" t="s">
        <v>1357</v>
      </c>
      <c r="P129" s="373"/>
      <c r="Q129" s="371">
        <v>2</v>
      </c>
      <c r="R129" s="372" t="s">
        <v>1354</v>
      </c>
      <c r="S129" s="373"/>
      <c r="T129" s="371">
        <v>2</v>
      </c>
      <c r="U129" s="372" t="s">
        <v>1354</v>
      </c>
      <c r="V129" s="373"/>
      <c r="W129" s="963"/>
      <c r="Y129" s="368" t="s">
        <v>1358</v>
      </c>
      <c r="Z129" s="369">
        <f>COUNTIF(B128:W139,Y129)</f>
        <v>4</v>
      </c>
      <c r="AA129" s="370"/>
    </row>
    <row r="130" spans="2:30" s="272" customFormat="1">
      <c r="B130" s="371">
        <v>3</v>
      </c>
      <c r="C130" s="958"/>
      <c r="D130" s="959"/>
      <c r="E130" s="371">
        <v>3</v>
      </c>
      <c r="F130" s="375"/>
      <c r="G130" s="373"/>
      <c r="H130" s="371">
        <v>3</v>
      </c>
      <c r="I130" s="375"/>
      <c r="J130" s="373"/>
      <c r="K130" s="371">
        <v>3</v>
      </c>
      <c r="L130" s="375"/>
      <c r="M130" s="373"/>
      <c r="N130" s="371">
        <v>3</v>
      </c>
      <c r="O130" s="375"/>
      <c r="P130" s="373"/>
      <c r="Q130" s="371">
        <v>3</v>
      </c>
      <c r="R130" s="375"/>
      <c r="S130" s="373"/>
      <c r="T130" s="371">
        <v>3</v>
      </c>
      <c r="U130" s="375" t="s">
        <v>1454</v>
      </c>
      <c r="V130" s="373"/>
      <c r="W130" s="963"/>
      <c r="Y130" s="368" t="s">
        <v>1359</v>
      </c>
      <c r="Z130" s="369">
        <f>COUNTIF(B128:W139,Y130)</f>
        <v>4</v>
      </c>
      <c r="AA130" s="370"/>
    </row>
    <row r="131" spans="2:30" s="272" customFormat="1">
      <c r="B131" s="376">
        <v>4</v>
      </c>
      <c r="C131" s="958"/>
      <c r="D131" s="959"/>
      <c r="E131" s="376">
        <v>4</v>
      </c>
      <c r="F131" s="377"/>
      <c r="G131" s="373"/>
      <c r="H131" s="376">
        <v>4</v>
      </c>
      <c r="I131" s="377"/>
      <c r="J131" s="373"/>
      <c r="K131" s="376">
        <v>4</v>
      </c>
      <c r="L131" s="377"/>
      <c r="M131" s="373"/>
      <c r="N131" s="376">
        <v>4</v>
      </c>
      <c r="O131" s="377"/>
      <c r="P131" s="373"/>
      <c r="Q131" s="376">
        <v>4</v>
      </c>
      <c r="R131" s="377"/>
      <c r="S131" s="373"/>
      <c r="T131" s="376">
        <v>4</v>
      </c>
      <c r="U131" s="377"/>
      <c r="V131" s="373"/>
      <c r="W131" s="963"/>
      <c r="Y131" s="368" t="s">
        <v>1360</v>
      </c>
      <c r="Z131" s="369">
        <f>COUNTIF(B128:W139,Y131)</f>
        <v>5</v>
      </c>
      <c r="AA131" s="370"/>
    </row>
    <row r="132" spans="2:30" s="272" customFormat="1" ht="16" thickBot="1">
      <c r="B132" s="378">
        <v>5</v>
      </c>
      <c r="C132" s="960"/>
      <c r="D132" s="961"/>
      <c r="E132" s="378">
        <v>5</v>
      </c>
      <c r="F132" s="379"/>
      <c r="G132" s="380"/>
      <c r="H132" s="378">
        <v>5</v>
      </c>
      <c r="I132" s="379"/>
      <c r="J132" s="380"/>
      <c r="K132" s="378">
        <v>5</v>
      </c>
      <c r="L132" s="379"/>
      <c r="M132" s="380"/>
      <c r="N132" s="378">
        <v>5</v>
      </c>
      <c r="O132" s="379"/>
      <c r="P132" s="380"/>
      <c r="Q132" s="378">
        <v>5</v>
      </c>
      <c r="R132" s="379"/>
      <c r="S132" s="380"/>
      <c r="T132" s="378">
        <v>5</v>
      </c>
      <c r="U132" s="379"/>
      <c r="V132" s="380"/>
      <c r="W132" s="964"/>
      <c r="Y132" s="368" t="s">
        <v>1361</v>
      </c>
      <c r="Z132" s="369">
        <f>COUNTIF(B128:W139,Y132)</f>
        <v>1</v>
      </c>
      <c r="AA132" s="370"/>
    </row>
    <row r="133" spans="2:30" s="272" customFormat="1" ht="17" customHeight="1">
      <c r="B133" s="381">
        <v>1</v>
      </c>
      <c r="C133" s="375" t="s">
        <v>1358</v>
      </c>
      <c r="D133" s="382"/>
      <c r="E133" s="381">
        <v>1</v>
      </c>
      <c r="F133" s="375" t="s">
        <v>1359</v>
      </c>
      <c r="G133" s="382"/>
      <c r="H133" s="381">
        <v>1</v>
      </c>
      <c r="I133" s="375" t="s">
        <v>1359</v>
      </c>
      <c r="J133" s="382"/>
      <c r="K133" s="381">
        <v>1</v>
      </c>
      <c r="L133" s="375" t="s">
        <v>1358</v>
      </c>
      <c r="M133" s="382"/>
      <c r="N133" s="381">
        <v>1</v>
      </c>
      <c r="O133" s="375" t="s">
        <v>1358</v>
      </c>
      <c r="P133" s="382">
        <v>16</v>
      </c>
      <c r="Q133" s="381">
        <v>1</v>
      </c>
      <c r="R133" s="375" t="s">
        <v>1360</v>
      </c>
      <c r="S133" s="382">
        <v>16</v>
      </c>
      <c r="T133" s="381">
        <v>1</v>
      </c>
      <c r="U133" s="375" t="s">
        <v>1361</v>
      </c>
      <c r="V133" s="382"/>
      <c r="W133" s="965" t="s">
        <v>1389</v>
      </c>
      <c r="Y133" s="368" t="s">
        <v>1363</v>
      </c>
      <c r="Z133" s="369">
        <f>COUNTIF(B128:W139,Y133)</f>
        <v>3</v>
      </c>
      <c r="AA133" s="370"/>
    </row>
    <row r="134" spans="2:30" s="272" customFormat="1" ht="17" customHeight="1">
      <c r="B134" s="371">
        <v>2</v>
      </c>
      <c r="C134" s="375" t="s">
        <v>1360</v>
      </c>
      <c r="D134" s="373"/>
      <c r="E134" s="371">
        <v>2</v>
      </c>
      <c r="F134" s="375" t="s">
        <v>1468</v>
      </c>
      <c r="G134" s="373"/>
      <c r="H134" s="371">
        <v>2</v>
      </c>
      <c r="I134" s="375" t="s">
        <v>1468</v>
      </c>
      <c r="J134" s="373"/>
      <c r="K134" s="371">
        <v>2</v>
      </c>
      <c r="L134" s="375" t="s">
        <v>1360</v>
      </c>
      <c r="M134" s="373"/>
      <c r="N134" s="371">
        <v>2</v>
      </c>
      <c r="O134" s="368" t="s">
        <v>1359</v>
      </c>
      <c r="P134" s="373">
        <v>16</v>
      </c>
      <c r="Q134" s="371">
        <v>2</v>
      </c>
      <c r="R134" s="368" t="s">
        <v>1359</v>
      </c>
      <c r="S134" s="373">
        <v>16</v>
      </c>
      <c r="T134" s="371">
        <v>2</v>
      </c>
      <c r="U134" s="375" t="s">
        <v>1363</v>
      </c>
      <c r="V134" s="373"/>
      <c r="W134" s="963"/>
      <c r="Y134" s="368" t="s">
        <v>1455</v>
      </c>
      <c r="Z134" s="369">
        <f>COUNTIF(B128:W139,Y134)</f>
        <v>2</v>
      </c>
      <c r="AA134" s="370"/>
    </row>
    <row r="135" spans="2:30" s="272" customFormat="1" ht="17" customHeight="1">
      <c r="B135" s="371">
        <v>3</v>
      </c>
      <c r="C135" s="368"/>
      <c r="D135" s="373"/>
      <c r="E135" s="371">
        <v>3</v>
      </c>
      <c r="F135" s="401" t="s">
        <v>1360</v>
      </c>
      <c r="G135" s="385"/>
      <c r="H135" s="371">
        <v>3</v>
      </c>
      <c r="I135" s="368"/>
      <c r="J135" s="373"/>
      <c r="K135" s="371">
        <v>3</v>
      </c>
      <c r="L135" s="368"/>
      <c r="M135" s="373"/>
      <c r="N135" s="371">
        <v>3</v>
      </c>
      <c r="O135" s="375" t="s">
        <v>1363</v>
      </c>
      <c r="P135" s="373">
        <v>21</v>
      </c>
      <c r="Q135" s="371">
        <v>3</v>
      </c>
      <c r="R135" s="402" t="s">
        <v>1358</v>
      </c>
      <c r="S135" s="403">
        <v>16</v>
      </c>
      <c r="T135" s="371">
        <v>3</v>
      </c>
      <c r="U135" s="375" t="s">
        <v>1360</v>
      </c>
      <c r="V135" s="373"/>
      <c r="W135" s="963"/>
      <c r="Y135" s="368"/>
      <c r="Z135" s="369">
        <f>COUNTIF(B128:W139,Y135)</f>
        <v>0</v>
      </c>
      <c r="AA135" s="370"/>
    </row>
    <row r="136" spans="2:30" s="272" customFormat="1" ht="17" customHeight="1">
      <c r="B136" s="376">
        <v>4</v>
      </c>
      <c r="C136" s="375"/>
      <c r="D136" s="373"/>
      <c r="E136" s="376">
        <v>4</v>
      </c>
      <c r="F136" s="375"/>
      <c r="G136" s="373"/>
      <c r="H136" s="376">
        <v>4</v>
      </c>
      <c r="I136" s="375"/>
      <c r="J136" s="373"/>
      <c r="K136" s="376">
        <v>4</v>
      </c>
      <c r="L136" s="375"/>
      <c r="M136" s="373"/>
      <c r="N136" s="376">
        <v>4</v>
      </c>
      <c r="O136" s="375" t="s">
        <v>1455</v>
      </c>
      <c r="P136" s="373">
        <v>21</v>
      </c>
      <c r="Q136" s="376">
        <v>4</v>
      </c>
      <c r="R136" s="375" t="s">
        <v>1363</v>
      </c>
      <c r="S136" s="373">
        <v>18</v>
      </c>
      <c r="T136" s="376">
        <v>4</v>
      </c>
      <c r="U136" s="375"/>
      <c r="V136" s="373"/>
      <c r="W136" s="963"/>
      <c r="Y136" s="368"/>
      <c r="Z136" s="369">
        <f>COUNTIF(B128:W139,Y136)</f>
        <v>0</v>
      </c>
      <c r="AA136" s="370"/>
    </row>
    <row r="137" spans="2:30" s="272" customFormat="1" ht="17" customHeight="1">
      <c r="B137" s="376">
        <v>5</v>
      </c>
      <c r="C137" s="375"/>
      <c r="D137" s="373"/>
      <c r="E137" s="376">
        <v>5</v>
      </c>
      <c r="F137" s="375"/>
      <c r="G137" s="373"/>
      <c r="H137" s="376">
        <v>5</v>
      </c>
      <c r="I137" s="375"/>
      <c r="J137" s="373"/>
      <c r="K137" s="376">
        <v>5</v>
      </c>
      <c r="L137" s="375"/>
      <c r="M137" s="373"/>
      <c r="N137" s="376">
        <v>5</v>
      </c>
      <c r="O137" s="383" t="s">
        <v>1469</v>
      </c>
      <c r="P137" s="385">
        <v>21</v>
      </c>
      <c r="Q137" s="376">
        <v>5</v>
      </c>
      <c r="R137" s="375" t="s">
        <v>1455</v>
      </c>
      <c r="S137" s="373">
        <v>18</v>
      </c>
      <c r="T137" s="376">
        <v>5</v>
      </c>
      <c r="U137" s="375"/>
      <c r="V137" s="373"/>
      <c r="W137" s="963"/>
      <c r="Y137" s="368"/>
      <c r="Z137" s="369">
        <f>COUNTIF(B128:W139,Y137)</f>
        <v>0</v>
      </c>
      <c r="AA137" s="370"/>
    </row>
    <row r="138" spans="2:30" s="272" customFormat="1" ht="17" customHeight="1">
      <c r="B138" s="371">
        <v>6</v>
      </c>
      <c r="C138" s="375"/>
      <c r="D138" s="373"/>
      <c r="E138" s="371">
        <v>6</v>
      </c>
      <c r="F138" s="375"/>
      <c r="G138" s="373"/>
      <c r="H138" s="371">
        <v>6</v>
      </c>
      <c r="I138" s="375"/>
      <c r="J138" s="373"/>
      <c r="K138" s="371">
        <v>6</v>
      </c>
      <c r="L138" s="375"/>
      <c r="M138" s="373"/>
      <c r="N138" s="371">
        <v>6</v>
      </c>
      <c r="O138" s="375"/>
      <c r="P138" s="373"/>
      <c r="Q138" s="371">
        <v>6</v>
      </c>
      <c r="R138" s="375"/>
      <c r="S138" s="373"/>
      <c r="T138" s="371">
        <v>6</v>
      </c>
      <c r="U138" s="375"/>
      <c r="V138" s="373"/>
      <c r="W138" s="963"/>
      <c r="Y138" s="368"/>
      <c r="Z138" s="369">
        <f>COUNTIF(B128:W139,Y138)</f>
        <v>0</v>
      </c>
      <c r="AA138" s="370"/>
    </row>
    <row r="139" spans="2:30" s="272" customFormat="1" ht="18" customHeight="1" thickBot="1">
      <c r="B139" s="378">
        <v>7</v>
      </c>
      <c r="C139" s="379"/>
      <c r="D139" s="380"/>
      <c r="E139" s="378">
        <v>7</v>
      </c>
      <c r="F139" s="379"/>
      <c r="G139" s="380"/>
      <c r="H139" s="378">
        <v>7</v>
      </c>
      <c r="I139" s="379"/>
      <c r="J139" s="380"/>
      <c r="K139" s="378">
        <v>7</v>
      </c>
      <c r="L139" s="379"/>
      <c r="M139" s="380"/>
      <c r="N139" s="378">
        <v>7</v>
      </c>
      <c r="O139" s="379"/>
      <c r="P139" s="380"/>
      <c r="Q139" s="378">
        <v>7</v>
      </c>
      <c r="R139" s="379"/>
      <c r="S139" s="380"/>
      <c r="T139" s="378">
        <v>7</v>
      </c>
      <c r="U139" s="379"/>
      <c r="V139" s="380"/>
      <c r="W139" s="964"/>
      <c r="Y139" s="368"/>
      <c r="Z139" s="369">
        <f>COUNTIF(B128:W139,Y139)</f>
        <v>0</v>
      </c>
      <c r="AA139" s="370"/>
    </row>
    <row r="140" spans="2:30" s="272" customFormat="1" ht="16" thickBot="1">
      <c r="B140" s="234"/>
      <c r="C140" s="368"/>
      <c r="D140" s="279"/>
      <c r="E140" s="234"/>
      <c r="F140" s="368"/>
      <c r="G140" s="279"/>
      <c r="I140" s="368"/>
      <c r="J140" s="279"/>
      <c r="L140" s="368"/>
      <c r="M140" s="279"/>
      <c r="O140" s="368"/>
      <c r="P140" s="279"/>
      <c r="R140" s="368"/>
      <c r="S140" s="279"/>
      <c r="U140" s="368"/>
      <c r="V140" s="279"/>
      <c r="W140" s="234"/>
      <c r="Y140" s="368"/>
      <c r="Z140" s="369"/>
      <c r="AA140" s="370"/>
    </row>
    <row r="141" spans="2:30" s="272" customFormat="1">
      <c r="B141" s="976" t="s">
        <v>1439</v>
      </c>
      <c r="C141" s="977"/>
      <c r="D141" s="978"/>
      <c r="E141" s="976" t="s">
        <v>1440</v>
      </c>
      <c r="F141" s="977"/>
      <c r="G141" s="978"/>
      <c r="H141" s="976" t="s">
        <v>1441</v>
      </c>
      <c r="I141" s="977"/>
      <c r="J141" s="978"/>
      <c r="K141" s="976" t="s">
        <v>1442</v>
      </c>
      <c r="L141" s="977"/>
      <c r="M141" s="978"/>
      <c r="N141" s="976" t="s">
        <v>1443</v>
      </c>
      <c r="O141" s="977"/>
      <c r="P141" s="978"/>
      <c r="Q141" s="976" t="s">
        <v>1444</v>
      </c>
      <c r="R141" s="977"/>
      <c r="S141" s="978"/>
      <c r="T141" s="976" t="s">
        <v>1445</v>
      </c>
      <c r="U141" s="977"/>
      <c r="V141" s="977"/>
      <c r="W141" s="978"/>
      <c r="Y141" s="368" t="s">
        <v>1357</v>
      </c>
      <c r="Z141" s="369">
        <f>COUNTIF(B142:W153,Y141)</f>
        <v>5</v>
      </c>
      <c r="AA141" s="370"/>
      <c r="AC141" s="393" t="s">
        <v>1359</v>
      </c>
      <c r="AD141" s="394" t="s">
        <v>1398</v>
      </c>
    </row>
    <row r="142" spans="2:30" s="272" customFormat="1">
      <c r="B142" s="371">
        <v>1</v>
      </c>
      <c r="C142" s="956" t="s">
        <v>1387</v>
      </c>
      <c r="D142" s="957"/>
      <c r="E142" s="371">
        <v>1</v>
      </c>
      <c r="F142" s="372" t="s">
        <v>1354</v>
      </c>
      <c r="G142" s="373"/>
      <c r="H142" s="371">
        <v>1</v>
      </c>
      <c r="I142" s="372" t="s">
        <v>1357</v>
      </c>
      <c r="J142" s="373"/>
      <c r="K142" s="371">
        <v>1</v>
      </c>
      <c r="L142" s="372" t="s">
        <v>1354</v>
      </c>
      <c r="M142" s="373"/>
      <c r="N142" s="371">
        <v>1</v>
      </c>
      <c r="O142" s="372" t="s">
        <v>1354</v>
      </c>
      <c r="P142" s="373"/>
      <c r="Q142" s="371">
        <v>1</v>
      </c>
      <c r="R142" s="372" t="s">
        <v>1357</v>
      </c>
      <c r="S142" s="373"/>
      <c r="T142" s="371">
        <v>1</v>
      </c>
      <c r="U142" s="372" t="s">
        <v>1357</v>
      </c>
      <c r="V142" s="373"/>
      <c r="W142" s="962" t="s">
        <v>119</v>
      </c>
      <c r="Y142" s="368" t="s">
        <v>1354</v>
      </c>
      <c r="Z142" s="369">
        <f>COUNTIF(B142:W153,Y142)</f>
        <v>5</v>
      </c>
      <c r="AA142" s="370"/>
      <c r="AC142" s="393" t="s">
        <v>1363</v>
      </c>
      <c r="AD142" s="394" t="s">
        <v>1398</v>
      </c>
    </row>
    <row r="143" spans="2:30" s="272" customFormat="1">
      <c r="B143" s="371">
        <v>2</v>
      </c>
      <c r="C143" s="958"/>
      <c r="D143" s="959"/>
      <c r="E143" s="371">
        <v>2</v>
      </c>
      <c r="F143" s="396" t="s">
        <v>1413</v>
      </c>
      <c r="G143" s="373"/>
      <c r="H143" s="371">
        <v>2</v>
      </c>
      <c r="I143" s="396" t="s">
        <v>1413</v>
      </c>
      <c r="J143" s="373"/>
      <c r="K143" s="371">
        <v>2</v>
      </c>
      <c r="L143" s="372" t="s">
        <v>1357</v>
      </c>
      <c r="M143" s="373"/>
      <c r="N143" s="371">
        <v>2</v>
      </c>
      <c r="O143" s="372" t="s">
        <v>1357</v>
      </c>
      <c r="P143" s="373"/>
      <c r="Q143" s="371">
        <v>2</v>
      </c>
      <c r="R143" s="372" t="s">
        <v>1354</v>
      </c>
      <c r="S143" s="373"/>
      <c r="T143" s="371">
        <v>2</v>
      </c>
      <c r="U143" s="372" t="s">
        <v>1354</v>
      </c>
      <c r="V143" s="373"/>
      <c r="W143" s="963"/>
      <c r="Y143" s="368" t="s">
        <v>1358</v>
      </c>
      <c r="Z143" s="369">
        <f>COUNTIF(B142:W153,Y143)</f>
        <v>5</v>
      </c>
      <c r="AA143" s="370"/>
      <c r="AC143" s="393" t="s">
        <v>1361</v>
      </c>
      <c r="AD143" s="394" t="s">
        <v>1400</v>
      </c>
    </row>
    <row r="144" spans="2:30" s="272" customFormat="1">
      <c r="B144" s="371">
        <v>3</v>
      </c>
      <c r="C144" s="958"/>
      <c r="D144" s="959"/>
      <c r="E144" s="371">
        <v>3</v>
      </c>
      <c r="F144" s="375"/>
      <c r="G144" s="373"/>
      <c r="H144" s="371">
        <v>3</v>
      </c>
      <c r="I144" s="375"/>
      <c r="J144" s="373"/>
      <c r="K144" s="371">
        <v>3</v>
      </c>
      <c r="L144" s="375"/>
      <c r="M144" s="373"/>
      <c r="N144" s="371">
        <v>3</v>
      </c>
      <c r="O144" s="375"/>
      <c r="P144" s="373"/>
      <c r="Q144" s="371">
        <v>3</v>
      </c>
      <c r="R144" s="375"/>
      <c r="S144" s="373"/>
      <c r="T144" s="371">
        <v>3</v>
      </c>
      <c r="U144" s="375" t="s">
        <v>1470</v>
      </c>
      <c r="V144" s="373"/>
      <c r="W144" s="963"/>
      <c r="Y144" s="368" t="s">
        <v>1359</v>
      </c>
      <c r="Z144" s="369">
        <f>COUNTIF(B142:W153,Y144)</f>
        <v>4</v>
      </c>
      <c r="AA144" s="370"/>
      <c r="AC144" s="393" t="s">
        <v>1358</v>
      </c>
      <c r="AD144" s="394" t="s">
        <v>1400</v>
      </c>
    </row>
    <row r="145" spans="2:30" s="272" customFormat="1">
      <c r="B145" s="376">
        <v>4</v>
      </c>
      <c r="C145" s="958"/>
      <c r="D145" s="959"/>
      <c r="E145" s="376">
        <v>4</v>
      </c>
      <c r="F145" s="377"/>
      <c r="G145" s="373"/>
      <c r="H145" s="376">
        <v>4</v>
      </c>
      <c r="I145" s="377"/>
      <c r="J145" s="373"/>
      <c r="K145" s="376">
        <v>4</v>
      </c>
      <c r="L145" s="377"/>
      <c r="M145" s="373"/>
      <c r="N145" s="376">
        <v>4</v>
      </c>
      <c r="O145" s="377"/>
      <c r="P145" s="373"/>
      <c r="Q145" s="376">
        <v>4</v>
      </c>
      <c r="R145" s="377"/>
      <c r="S145" s="373"/>
      <c r="T145" s="376">
        <v>4</v>
      </c>
      <c r="U145" s="377" t="s">
        <v>1471</v>
      </c>
      <c r="V145" s="373"/>
      <c r="W145" s="963"/>
      <c r="Y145" s="368" t="s">
        <v>1360</v>
      </c>
      <c r="Z145" s="369">
        <f>COUNTIF(B142:W153,Y145)</f>
        <v>4</v>
      </c>
      <c r="AA145" s="370"/>
      <c r="AC145" s="393" t="s">
        <v>1360</v>
      </c>
      <c r="AD145" s="394" t="s">
        <v>1400</v>
      </c>
    </row>
    <row r="146" spans="2:30" s="272" customFormat="1" ht="16" thickBot="1">
      <c r="B146" s="378">
        <v>5</v>
      </c>
      <c r="C146" s="960"/>
      <c r="D146" s="961"/>
      <c r="E146" s="378">
        <v>5</v>
      </c>
      <c r="F146" s="379"/>
      <c r="G146" s="380"/>
      <c r="H146" s="378">
        <v>5</v>
      </c>
      <c r="I146" s="379"/>
      <c r="J146" s="380"/>
      <c r="K146" s="378">
        <v>5</v>
      </c>
      <c r="L146" s="379"/>
      <c r="M146" s="380"/>
      <c r="N146" s="378">
        <v>5</v>
      </c>
      <c r="O146" s="379"/>
      <c r="P146" s="380"/>
      <c r="Q146" s="378">
        <v>5</v>
      </c>
      <c r="R146" s="379"/>
      <c r="S146" s="380"/>
      <c r="T146" s="378">
        <v>5</v>
      </c>
      <c r="U146" s="379"/>
      <c r="V146" s="380"/>
      <c r="W146" s="964"/>
      <c r="Y146" s="368" t="s">
        <v>1361</v>
      </c>
      <c r="Z146" s="369">
        <f>COUNTIF(B142:W153,Y146)</f>
        <v>2</v>
      </c>
      <c r="AA146" s="370"/>
      <c r="AC146" s="393" t="s">
        <v>1401</v>
      </c>
      <c r="AD146" s="394" t="s">
        <v>1402</v>
      </c>
    </row>
    <row r="147" spans="2:30" s="272" customFormat="1">
      <c r="B147" s="381">
        <v>1</v>
      </c>
      <c r="C147" s="375" t="s">
        <v>1358</v>
      </c>
      <c r="D147" s="382"/>
      <c r="E147" s="381">
        <v>1</v>
      </c>
      <c r="F147" s="375" t="s">
        <v>1359</v>
      </c>
      <c r="G147" s="382"/>
      <c r="H147" s="381">
        <v>1</v>
      </c>
      <c r="I147" s="375" t="s">
        <v>1359</v>
      </c>
      <c r="J147" s="382"/>
      <c r="K147" s="381">
        <v>1</v>
      </c>
      <c r="L147" s="375" t="s">
        <v>1358</v>
      </c>
      <c r="M147" s="382"/>
      <c r="N147" s="381">
        <v>1</v>
      </c>
      <c r="O147" s="375" t="s">
        <v>1358</v>
      </c>
      <c r="P147" s="382">
        <v>16</v>
      </c>
      <c r="Q147" s="381">
        <v>1</v>
      </c>
      <c r="R147" s="375" t="s">
        <v>1360</v>
      </c>
      <c r="S147" s="382"/>
      <c r="T147" s="381">
        <v>1</v>
      </c>
      <c r="U147" s="970" t="s">
        <v>54</v>
      </c>
      <c r="V147" s="971"/>
      <c r="W147" s="965" t="s">
        <v>1389</v>
      </c>
      <c r="Y147" s="368" t="s">
        <v>1363</v>
      </c>
      <c r="Z147" s="369">
        <f>COUNTIF(B142:W153,Y147)</f>
        <v>1</v>
      </c>
      <c r="AA147" s="370"/>
      <c r="AC147" s="393" t="s">
        <v>1413</v>
      </c>
      <c r="AD147" s="394" t="s">
        <v>1402</v>
      </c>
    </row>
    <row r="148" spans="2:30" s="272" customFormat="1">
      <c r="B148" s="371">
        <v>2</v>
      </c>
      <c r="C148" s="375" t="s">
        <v>1360</v>
      </c>
      <c r="D148" s="373"/>
      <c r="E148" s="371">
        <v>2</v>
      </c>
      <c r="F148" s="375" t="s">
        <v>1358</v>
      </c>
      <c r="G148" s="373"/>
      <c r="H148" s="371">
        <v>2</v>
      </c>
      <c r="I148" s="375" t="s">
        <v>1360</v>
      </c>
      <c r="J148" s="373"/>
      <c r="K148" s="371">
        <v>2</v>
      </c>
      <c r="L148" s="375" t="s">
        <v>1360</v>
      </c>
      <c r="M148" s="373"/>
      <c r="N148" s="371">
        <v>2</v>
      </c>
      <c r="O148" s="368" t="s">
        <v>1359</v>
      </c>
      <c r="P148" s="373">
        <v>16</v>
      </c>
      <c r="Q148" s="371">
        <v>2</v>
      </c>
      <c r="R148" s="368" t="s">
        <v>1359</v>
      </c>
      <c r="S148" s="373"/>
      <c r="T148" s="371">
        <v>2</v>
      </c>
      <c r="U148" s="972"/>
      <c r="V148" s="973"/>
      <c r="W148" s="963"/>
      <c r="Y148" s="368" t="s">
        <v>1455</v>
      </c>
      <c r="Z148" s="369">
        <f>COUNTIF(B142:W153,Y148)</f>
        <v>2</v>
      </c>
      <c r="AA148" s="370"/>
    </row>
    <row r="149" spans="2:30" s="272" customFormat="1">
      <c r="B149" s="371">
        <v>3</v>
      </c>
      <c r="C149" s="368"/>
      <c r="D149" s="373"/>
      <c r="E149" s="371">
        <v>3</v>
      </c>
      <c r="F149" s="375"/>
      <c r="G149" s="373"/>
      <c r="H149" s="371">
        <v>3</v>
      </c>
      <c r="I149" s="368"/>
      <c r="J149" s="373"/>
      <c r="K149" s="371">
        <v>3</v>
      </c>
      <c r="L149" s="368"/>
      <c r="M149" s="373"/>
      <c r="N149" s="371">
        <v>3</v>
      </c>
      <c r="O149" s="375" t="s">
        <v>1361</v>
      </c>
      <c r="P149" s="373">
        <v>21</v>
      </c>
      <c r="Q149" s="371">
        <v>3</v>
      </c>
      <c r="R149" s="402" t="s">
        <v>1358</v>
      </c>
      <c r="S149" s="403"/>
      <c r="T149" s="371">
        <v>3</v>
      </c>
      <c r="U149" s="972"/>
      <c r="V149" s="973"/>
      <c r="W149" s="963"/>
      <c r="Y149" s="368"/>
      <c r="Z149" s="369">
        <f>COUNTIF(B142:W153,Y149)</f>
        <v>0</v>
      </c>
      <c r="AA149" s="370"/>
    </row>
    <row r="150" spans="2:30" s="272" customFormat="1">
      <c r="B150" s="376">
        <v>4</v>
      </c>
      <c r="C150" s="375"/>
      <c r="D150" s="373"/>
      <c r="E150" s="376">
        <v>4</v>
      </c>
      <c r="F150" s="375"/>
      <c r="G150" s="373"/>
      <c r="H150" s="376">
        <v>4</v>
      </c>
      <c r="I150" s="375"/>
      <c r="J150" s="373"/>
      <c r="K150" s="376">
        <v>4</v>
      </c>
      <c r="L150" s="375"/>
      <c r="M150" s="373"/>
      <c r="N150" s="376">
        <v>4</v>
      </c>
      <c r="O150" s="375" t="s">
        <v>1455</v>
      </c>
      <c r="P150" s="373">
        <v>21</v>
      </c>
      <c r="Q150" s="376">
        <v>4</v>
      </c>
      <c r="R150" s="375" t="s">
        <v>1361</v>
      </c>
      <c r="S150" s="373"/>
      <c r="T150" s="376">
        <v>4</v>
      </c>
      <c r="U150" s="972"/>
      <c r="V150" s="973"/>
      <c r="W150" s="963"/>
      <c r="Y150" s="368"/>
      <c r="Z150" s="369">
        <f>COUNTIF(B142:W153,Y150)</f>
        <v>0</v>
      </c>
      <c r="AA150" s="370"/>
    </row>
    <row r="151" spans="2:30" s="272" customFormat="1">
      <c r="B151" s="376">
        <v>5</v>
      </c>
      <c r="C151" s="375"/>
      <c r="D151" s="373"/>
      <c r="E151" s="376">
        <v>5</v>
      </c>
      <c r="F151" s="375"/>
      <c r="G151" s="373"/>
      <c r="H151" s="376">
        <v>5</v>
      </c>
      <c r="I151" s="375"/>
      <c r="J151" s="373"/>
      <c r="K151" s="376">
        <v>5</v>
      </c>
      <c r="L151" s="375"/>
      <c r="M151" s="373"/>
      <c r="N151" s="376">
        <v>5</v>
      </c>
      <c r="O151" s="375"/>
      <c r="P151" s="373"/>
      <c r="Q151" s="376">
        <v>5</v>
      </c>
      <c r="R151" s="375" t="s">
        <v>1455</v>
      </c>
      <c r="S151" s="373"/>
      <c r="T151" s="376">
        <v>5</v>
      </c>
      <c r="U151" s="972"/>
      <c r="V151" s="973"/>
      <c r="W151" s="963"/>
      <c r="Y151" s="368"/>
      <c r="Z151" s="369">
        <f>COUNTIF(B142:W153,Y151)</f>
        <v>0</v>
      </c>
      <c r="AA151" s="370"/>
    </row>
    <row r="152" spans="2:30" s="272" customFormat="1">
      <c r="B152" s="371">
        <v>6</v>
      </c>
      <c r="C152" s="375"/>
      <c r="D152" s="373"/>
      <c r="E152" s="371">
        <v>6</v>
      </c>
      <c r="F152" s="375"/>
      <c r="G152" s="373"/>
      <c r="H152" s="371">
        <v>6</v>
      </c>
      <c r="I152" s="375"/>
      <c r="J152" s="373"/>
      <c r="K152" s="371">
        <v>6</v>
      </c>
      <c r="L152" s="375"/>
      <c r="M152" s="373"/>
      <c r="N152" s="371">
        <v>6</v>
      </c>
      <c r="O152" s="375"/>
      <c r="P152" s="373"/>
      <c r="Q152" s="371">
        <v>6</v>
      </c>
      <c r="R152" s="383" t="s">
        <v>1363</v>
      </c>
      <c r="S152" s="385"/>
      <c r="T152" s="371">
        <v>6</v>
      </c>
      <c r="U152" s="972"/>
      <c r="V152" s="973"/>
      <c r="W152" s="963"/>
      <c r="Y152" s="368"/>
      <c r="Z152" s="369">
        <f>COUNTIF(B142:W153,Y152)</f>
        <v>0</v>
      </c>
      <c r="AA152" s="370"/>
    </row>
    <row r="153" spans="2:30" s="272" customFormat="1" ht="16" thickBot="1">
      <c r="B153" s="378">
        <v>7</v>
      </c>
      <c r="C153" s="379"/>
      <c r="D153" s="380"/>
      <c r="E153" s="378">
        <v>7</v>
      </c>
      <c r="F153" s="379"/>
      <c r="G153" s="380"/>
      <c r="H153" s="378">
        <v>7</v>
      </c>
      <c r="I153" s="379"/>
      <c r="J153" s="380"/>
      <c r="K153" s="378">
        <v>7</v>
      </c>
      <c r="L153" s="379"/>
      <c r="M153" s="380"/>
      <c r="N153" s="378">
        <v>7</v>
      </c>
      <c r="O153" s="379"/>
      <c r="P153" s="380"/>
      <c r="Q153" s="378">
        <v>7</v>
      </c>
      <c r="R153" s="379"/>
      <c r="S153" s="380"/>
      <c r="T153" s="378">
        <v>7</v>
      </c>
      <c r="U153" s="974"/>
      <c r="V153" s="975"/>
      <c r="W153" s="964"/>
      <c r="Y153" s="368"/>
      <c r="Z153" s="369">
        <f>COUNTIF(B142:W153,Y153)</f>
        <v>0</v>
      </c>
      <c r="AA153" s="370"/>
    </row>
    <row r="154" spans="2:30" s="272" customFormat="1" ht="16" thickBot="1">
      <c r="B154" s="234"/>
      <c r="C154" s="368"/>
      <c r="D154" s="279"/>
      <c r="E154" s="234"/>
      <c r="F154" s="368"/>
      <c r="G154" s="279"/>
      <c r="I154" s="368"/>
      <c r="J154" s="279"/>
      <c r="L154" s="368"/>
      <c r="M154" s="279"/>
      <c r="O154" s="368"/>
      <c r="P154" s="279"/>
      <c r="R154" s="368"/>
      <c r="S154" s="279"/>
      <c r="U154" s="368"/>
      <c r="V154" s="279"/>
      <c r="W154" s="234"/>
      <c r="Y154" s="368"/>
      <c r="Z154" s="369"/>
      <c r="AA154" s="370"/>
    </row>
    <row r="155" spans="2:30" s="272" customFormat="1">
      <c r="B155" s="976" t="s">
        <v>1447</v>
      </c>
      <c r="C155" s="977"/>
      <c r="D155" s="978"/>
      <c r="E155" s="976" t="s">
        <v>1448</v>
      </c>
      <c r="F155" s="977"/>
      <c r="G155" s="978"/>
      <c r="H155" s="976" t="s">
        <v>1449</v>
      </c>
      <c r="I155" s="977"/>
      <c r="J155" s="978"/>
      <c r="K155" s="976" t="s">
        <v>1450</v>
      </c>
      <c r="L155" s="977"/>
      <c r="M155" s="978"/>
      <c r="N155" s="976" t="s">
        <v>1451</v>
      </c>
      <c r="O155" s="977"/>
      <c r="P155" s="978"/>
      <c r="Q155" s="976" t="s">
        <v>1452</v>
      </c>
      <c r="R155" s="977"/>
      <c r="S155" s="978"/>
      <c r="T155" s="976" t="s">
        <v>1453</v>
      </c>
      <c r="U155" s="977"/>
      <c r="V155" s="977"/>
      <c r="W155" s="978"/>
      <c r="Y155" s="368" t="s">
        <v>1357</v>
      </c>
      <c r="Z155" s="369">
        <f>COUNTIF(B156:W167,Y155)</f>
        <v>5</v>
      </c>
      <c r="AA155" s="370"/>
    </row>
    <row r="156" spans="2:30" s="272" customFormat="1">
      <c r="B156" s="371">
        <v>1</v>
      </c>
      <c r="C156" s="956" t="s">
        <v>1387</v>
      </c>
      <c r="D156" s="957"/>
      <c r="E156" s="371">
        <v>1</v>
      </c>
      <c r="F156" s="372" t="s">
        <v>1354</v>
      </c>
      <c r="G156" s="373"/>
      <c r="H156" s="371">
        <v>1</v>
      </c>
      <c r="I156" s="372" t="s">
        <v>1357</v>
      </c>
      <c r="J156" s="373"/>
      <c r="K156" s="371">
        <v>1</v>
      </c>
      <c r="L156" s="372" t="s">
        <v>1354</v>
      </c>
      <c r="M156" s="373"/>
      <c r="N156" s="371">
        <v>1</v>
      </c>
      <c r="O156" s="372" t="s">
        <v>1354</v>
      </c>
      <c r="P156" s="373"/>
      <c r="Q156" s="371">
        <v>1</v>
      </c>
      <c r="R156" s="372" t="s">
        <v>1357</v>
      </c>
      <c r="S156" s="373"/>
      <c r="T156" s="371">
        <v>1</v>
      </c>
      <c r="U156" s="372" t="s">
        <v>1357</v>
      </c>
      <c r="V156" s="373"/>
      <c r="W156" s="962" t="s">
        <v>119</v>
      </c>
      <c r="Y156" s="368" t="s">
        <v>1354</v>
      </c>
      <c r="Z156" s="369">
        <f>COUNTIF(B156:W167,Y156)</f>
        <v>5</v>
      </c>
      <c r="AA156" s="370"/>
    </row>
    <row r="157" spans="2:30" s="272" customFormat="1">
      <c r="B157" s="371">
        <v>2</v>
      </c>
      <c r="C157" s="958"/>
      <c r="D157" s="959"/>
      <c r="E157" s="371">
        <v>2</v>
      </c>
      <c r="F157" s="396" t="s">
        <v>1413</v>
      </c>
      <c r="G157" s="373"/>
      <c r="H157" s="371">
        <v>2</v>
      </c>
      <c r="I157" s="396" t="s">
        <v>1413</v>
      </c>
      <c r="J157" s="373"/>
      <c r="K157" s="371">
        <v>2</v>
      </c>
      <c r="L157" s="372" t="s">
        <v>1357</v>
      </c>
      <c r="M157" s="373"/>
      <c r="N157" s="371">
        <v>2</v>
      </c>
      <c r="O157" s="372" t="s">
        <v>1357</v>
      </c>
      <c r="P157" s="373"/>
      <c r="Q157" s="371">
        <v>2</v>
      </c>
      <c r="R157" s="372" t="s">
        <v>1354</v>
      </c>
      <c r="S157" s="373"/>
      <c r="T157" s="371">
        <v>2</v>
      </c>
      <c r="U157" s="372" t="s">
        <v>1354</v>
      </c>
      <c r="V157" s="373"/>
      <c r="W157" s="963"/>
      <c r="Y157" s="368" t="s">
        <v>1358</v>
      </c>
      <c r="Z157" s="369">
        <f>COUNTIF(B156:W167,Y157)</f>
        <v>4</v>
      </c>
      <c r="AA157" s="370"/>
    </row>
    <row r="158" spans="2:30" s="272" customFormat="1">
      <c r="B158" s="371">
        <v>3</v>
      </c>
      <c r="C158" s="958"/>
      <c r="D158" s="959"/>
      <c r="E158" s="371">
        <v>3</v>
      </c>
      <c r="F158" s="375"/>
      <c r="G158" s="373"/>
      <c r="H158" s="371">
        <v>3</v>
      </c>
      <c r="I158" s="375"/>
      <c r="J158" s="373"/>
      <c r="K158" s="371">
        <v>3</v>
      </c>
      <c r="L158" s="375"/>
      <c r="M158" s="373"/>
      <c r="N158" s="371">
        <v>3</v>
      </c>
      <c r="O158" s="375"/>
      <c r="P158" s="373"/>
      <c r="Q158" s="371">
        <v>3</v>
      </c>
      <c r="R158" s="375"/>
      <c r="S158" s="373"/>
      <c r="T158" s="371">
        <v>3</v>
      </c>
      <c r="U158" s="375" t="s">
        <v>1470</v>
      </c>
      <c r="V158" s="373"/>
      <c r="W158" s="963"/>
      <c r="Y158" s="368" t="s">
        <v>1359</v>
      </c>
      <c r="Z158" s="369">
        <f>COUNTIF(B156:W167,Y158)</f>
        <v>4</v>
      </c>
      <c r="AA158" s="370"/>
    </row>
    <row r="159" spans="2:30" s="272" customFormat="1">
      <c r="B159" s="376">
        <v>4</v>
      </c>
      <c r="C159" s="958"/>
      <c r="D159" s="959"/>
      <c r="E159" s="376">
        <v>4</v>
      </c>
      <c r="F159" s="377"/>
      <c r="G159" s="373"/>
      <c r="H159" s="376">
        <v>4</v>
      </c>
      <c r="I159" s="377"/>
      <c r="J159" s="373"/>
      <c r="K159" s="376">
        <v>4</v>
      </c>
      <c r="L159" s="377"/>
      <c r="M159" s="373"/>
      <c r="N159" s="376">
        <v>4</v>
      </c>
      <c r="O159" s="377"/>
      <c r="P159" s="373"/>
      <c r="Q159" s="376">
        <v>4</v>
      </c>
      <c r="R159" s="377"/>
      <c r="S159" s="373"/>
      <c r="T159" s="376">
        <v>4</v>
      </c>
      <c r="U159" s="377" t="s">
        <v>1471</v>
      </c>
      <c r="V159" s="373"/>
      <c r="W159" s="963"/>
      <c r="Y159" s="368" t="s">
        <v>1360</v>
      </c>
      <c r="Z159" s="369">
        <f>COUNTIF(B156:W167,Y159)</f>
        <v>4</v>
      </c>
      <c r="AA159" s="370"/>
    </row>
    <row r="160" spans="2:30" s="272" customFormat="1" ht="16" thickBot="1">
      <c r="B160" s="378">
        <v>5</v>
      </c>
      <c r="C160" s="960"/>
      <c r="D160" s="961"/>
      <c r="E160" s="378">
        <v>5</v>
      </c>
      <c r="F160" s="379"/>
      <c r="G160" s="380"/>
      <c r="H160" s="378">
        <v>5</v>
      </c>
      <c r="I160" s="379"/>
      <c r="J160" s="380"/>
      <c r="K160" s="378">
        <v>5</v>
      </c>
      <c r="L160" s="379"/>
      <c r="M160" s="380"/>
      <c r="N160" s="378">
        <v>5</v>
      </c>
      <c r="O160" s="379"/>
      <c r="P160" s="380"/>
      <c r="Q160" s="378">
        <v>5</v>
      </c>
      <c r="R160" s="379"/>
      <c r="S160" s="380"/>
      <c r="T160" s="378">
        <v>5</v>
      </c>
      <c r="U160" s="379"/>
      <c r="V160" s="380"/>
      <c r="W160" s="964"/>
      <c r="Y160" s="368" t="s">
        <v>1361</v>
      </c>
      <c r="Z160" s="369">
        <f>COUNTIF(B156:W167,Y160)</f>
        <v>2</v>
      </c>
      <c r="AA160" s="370"/>
    </row>
    <row r="161" spans="2:27" s="272" customFormat="1" ht="17" customHeight="1">
      <c r="B161" s="381">
        <v>1</v>
      </c>
      <c r="C161" s="375" t="s">
        <v>1359</v>
      </c>
      <c r="D161" s="382"/>
      <c r="E161" s="381">
        <v>1</v>
      </c>
      <c r="F161" s="375" t="s">
        <v>1359</v>
      </c>
      <c r="G161" s="382"/>
      <c r="H161" s="381">
        <v>1</v>
      </c>
      <c r="I161" s="375" t="s">
        <v>1359</v>
      </c>
      <c r="J161" s="382"/>
      <c r="K161" s="381">
        <v>1</v>
      </c>
      <c r="L161" s="375" t="s">
        <v>1358</v>
      </c>
      <c r="M161" s="382"/>
      <c r="N161" s="381">
        <v>1</v>
      </c>
      <c r="O161" s="375" t="s">
        <v>1358</v>
      </c>
      <c r="P161" s="382">
        <v>16</v>
      </c>
      <c r="Q161" s="381">
        <v>1</v>
      </c>
      <c r="R161" s="375" t="s">
        <v>1360</v>
      </c>
      <c r="S161" s="382"/>
      <c r="T161" s="381">
        <v>1</v>
      </c>
      <c r="U161" s="970" t="s">
        <v>54</v>
      </c>
      <c r="V161" s="971"/>
      <c r="W161" s="965" t="s">
        <v>1389</v>
      </c>
      <c r="Y161" s="368" t="s">
        <v>1363</v>
      </c>
      <c r="Z161" s="369">
        <f>COUNTIF(B156:W167,Y161)</f>
        <v>1</v>
      </c>
      <c r="AA161" s="370"/>
    </row>
    <row r="162" spans="2:27" s="272" customFormat="1" ht="17" customHeight="1">
      <c r="B162" s="371">
        <v>2</v>
      </c>
      <c r="C162" s="375" t="s">
        <v>1360</v>
      </c>
      <c r="D162" s="373"/>
      <c r="E162" s="371">
        <v>2</v>
      </c>
      <c r="F162" s="375" t="s">
        <v>1358</v>
      </c>
      <c r="G162" s="373"/>
      <c r="H162" s="371">
        <v>2</v>
      </c>
      <c r="I162" s="375" t="s">
        <v>1360</v>
      </c>
      <c r="J162" s="373"/>
      <c r="K162" s="371">
        <v>2</v>
      </c>
      <c r="L162" s="375" t="s">
        <v>1360</v>
      </c>
      <c r="M162" s="373"/>
      <c r="N162" s="371">
        <v>2</v>
      </c>
      <c r="O162" s="368" t="s">
        <v>1359</v>
      </c>
      <c r="P162" s="373">
        <v>16</v>
      </c>
      <c r="Q162" s="371">
        <v>2</v>
      </c>
      <c r="R162" s="368"/>
      <c r="S162" s="373"/>
      <c r="T162" s="371">
        <v>2</v>
      </c>
      <c r="U162" s="972"/>
      <c r="V162" s="973"/>
      <c r="W162" s="963"/>
      <c r="Y162" s="368" t="s">
        <v>1455</v>
      </c>
      <c r="Z162" s="369">
        <f>COUNTIF(B156:W167,Y162)</f>
        <v>2</v>
      </c>
      <c r="AA162" s="370"/>
    </row>
    <row r="163" spans="2:27" s="272" customFormat="1" ht="17" customHeight="1">
      <c r="B163" s="371">
        <v>3</v>
      </c>
      <c r="C163" s="368"/>
      <c r="D163" s="373"/>
      <c r="E163" s="371">
        <v>3</v>
      </c>
      <c r="F163" s="375"/>
      <c r="G163" s="373"/>
      <c r="H163" s="371">
        <v>3</v>
      </c>
      <c r="I163" s="368"/>
      <c r="J163" s="373"/>
      <c r="K163" s="371">
        <v>3</v>
      </c>
      <c r="L163" s="368"/>
      <c r="M163" s="373"/>
      <c r="N163" s="371">
        <v>3</v>
      </c>
      <c r="O163" s="375" t="s">
        <v>1361</v>
      </c>
      <c r="P163" s="373">
        <v>21</v>
      </c>
      <c r="Q163" s="371">
        <v>3</v>
      </c>
      <c r="R163" s="402" t="s">
        <v>1358</v>
      </c>
      <c r="S163" s="403"/>
      <c r="T163" s="371">
        <v>3</v>
      </c>
      <c r="U163" s="972"/>
      <c r="V163" s="973"/>
      <c r="W163" s="963"/>
      <c r="Y163" s="368"/>
      <c r="Z163" s="369">
        <f>COUNTIF(B156:W167,Y163)</f>
        <v>0</v>
      </c>
      <c r="AA163" s="370"/>
    </row>
    <row r="164" spans="2:27" s="272" customFormat="1" ht="17" customHeight="1">
      <c r="B164" s="376">
        <v>4</v>
      </c>
      <c r="C164" s="375"/>
      <c r="D164" s="373"/>
      <c r="E164" s="376">
        <v>4</v>
      </c>
      <c r="F164" s="375"/>
      <c r="G164" s="373"/>
      <c r="H164" s="376">
        <v>4</v>
      </c>
      <c r="I164" s="375"/>
      <c r="J164" s="373"/>
      <c r="K164" s="376">
        <v>4</v>
      </c>
      <c r="L164" s="375"/>
      <c r="M164" s="373"/>
      <c r="N164" s="376">
        <v>4</v>
      </c>
      <c r="O164" s="375" t="s">
        <v>1455</v>
      </c>
      <c r="P164" s="373">
        <v>21</v>
      </c>
      <c r="Q164" s="376">
        <v>4</v>
      </c>
      <c r="R164" s="375" t="s">
        <v>1361</v>
      </c>
      <c r="S164" s="373"/>
      <c r="T164" s="376">
        <v>4</v>
      </c>
      <c r="U164" s="972"/>
      <c r="V164" s="973"/>
      <c r="W164" s="963"/>
      <c r="Y164" s="368"/>
      <c r="Z164" s="369">
        <f>COUNTIF(B156:W167,Y164)</f>
        <v>0</v>
      </c>
      <c r="AA164" s="370"/>
    </row>
    <row r="165" spans="2:27" s="272" customFormat="1" ht="17" customHeight="1">
      <c r="B165" s="376">
        <v>5</v>
      </c>
      <c r="C165" s="375"/>
      <c r="D165" s="373"/>
      <c r="E165" s="376">
        <v>5</v>
      </c>
      <c r="F165" s="375"/>
      <c r="G165" s="373"/>
      <c r="H165" s="376">
        <v>5</v>
      </c>
      <c r="I165" s="375"/>
      <c r="J165" s="373"/>
      <c r="K165" s="376">
        <v>5</v>
      </c>
      <c r="L165" s="375"/>
      <c r="M165" s="373"/>
      <c r="N165" s="376">
        <v>5</v>
      </c>
      <c r="O165" s="375"/>
      <c r="P165" s="373"/>
      <c r="Q165" s="376">
        <v>5</v>
      </c>
      <c r="R165" s="375" t="s">
        <v>1455</v>
      </c>
      <c r="S165" s="373"/>
      <c r="T165" s="376">
        <v>5</v>
      </c>
      <c r="U165" s="972"/>
      <c r="V165" s="973"/>
      <c r="W165" s="963"/>
      <c r="Y165" s="368"/>
      <c r="Z165" s="369">
        <f>COUNTIF(B156:W167,Y165)</f>
        <v>0</v>
      </c>
      <c r="AA165" s="370"/>
    </row>
    <row r="166" spans="2:27" s="272" customFormat="1" ht="17" customHeight="1">
      <c r="B166" s="371">
        <v>6</v>
      </c>
      <c r="C166" s="375"/>
      <c r="D166" s="373"/>
      <c r="E166" s="371">
        <v>6</v>
      </c>
      <c r="F166" s="375"/>
      <c r="G166" s="373"/>
      <c r="H166" s="371">
        <v>6</v>
      </c>
      <c r="I166" s="375"/>
      <c r="J166" s="373"/>
      <c r="K166" s="371">
        <v>6</v>
      </c>
      <c r="L166" s="375"/>
      <c r="M166" s="373"/>
      <c r="N166" s="371">
        <v>6</v>
      </c>
      <c r="O166" s="375"/>
      <c r="P166" s="373"/>
      <c r="Q166" s="371">
        <v>6</v>
      </c>
      <c r="R166" s="383" t="s">
        <v>1363</v>
      </c>
      <c r="S166" s="385"/>
      <c r="T166" s="371">
        <v>6</v>
      </c>
      <c r="U166" s="972"/>
      <c r="V166" s="973"/>
      <c r="W166" s="963"/>
      <c r="Y166" s="368"/>
      <c r="Z166" s="369">
        <f>COUNTIF(B156:W167,Y166)</f>
        <v>0</v>
      </c>
      <c r="AA166" s="370"/>
    </row>
    <row r="167" spans="2:27" s="272" customFormat="1" ht="18" customHeight="1" thickBot="1">
      <c r="B167" s="378">
        <v>7</v>
      </c>
      <c r="C167" s="379"/>
      <c r="D167" s="380"/>
      <c r="E167" s="378">
        <v>7</v>
      </c>
      <c r="F167" s="379"/>
      <c r="G167" s="380"/>
      <c r="H167" s="378">
        <v>7</v>
      </c>
      <c r="I167" s="379"/>
      <c r="J167" s="380"/>
      <c r="K167" s="378">
        <v>7</v>
      </c>
      <c r="L167" s="379"/>
      <c r="M167" s="380"/>
      <c r="N167" s="378">
        <v>7</v>
      </c>
      <c r="O167" s="379"/>
      <c r="P167" s="380"/>
      <c r="Q167" s="378">
        <v>7</v>
      </c>
      <c r="R167" s="379"/>
      <c r="S167" s="380"/>
      <c r="T167" s="378">
        <v>7</v>
      </c>
      <c r="U167" s="974"/>
      <c r="V167" s="975"/>
      <c r="W167" s="964"/>
      <c r="Y167" s="368"/>
      <c r="Z167" s="369">
        <f>COUNTIF(B156:W167,Y167)</f>
        <v>0</v>
      </c>
      <c r="AA167" s="370"/>
    </row>
    <row r="168" spans="2:27" s="272" customFormat="1" ht="16" thickBot="1">
      <c r="B168" s="234"/>
      <c r="C168" s="368"/>
      <c r="D168" s="279"/>
      <c r="E168" s="234"/>
      <c r="F168" s="368"/>
      <c r="G168" s="279"/>
      <c r="I168" s="368"/>
      <c r="J168" s="279"/>
      <c r="L168" s="368"/>
      <c r="M168" s="279"/>
      <c r="O168" s="368"/>
      <c r="P168" s="279"/>
      <c r="R168" s="368"/>
      <c r="S168" s="279"/>
      <c r="U168" s="368"/>
      <c r="V168" s="279"/>
      <c r="W168" s="234"/>
      <c r="Y168" s="368"/>
      <c r="Z168" s="369"/>
      <c r="AA168" s="370"/>
    </row>
    <row r="169" spans="2:27" s="272" customFormat="1">
      <c r="B169" s="976" t="s">
        <v>1458</v>
      </c>
      <c r="C169" s="977"/>
      <c r="D169" s="978"/>
      <c r="E169" s="976" t="s">
        <v>1459</v>
      </c>
      <c r="F169" s="977"/>
      <c r="G169" s="978"/>
      <c r="H169" s="976" t="s">
        <v>1460</v>
      </c>
      <c r="I169" s="977"/>
      <c r="J169" s="978"/>
      <c r="K169" s="976" t="s">
        <v>1461</v>
      </c>
      <c r="L169" s="977"/>
      <c r="M169" s="978"/>
      <c r="N169" s="976" t="s">
        <v>1462</v>
      </c>
      <c r="O169" s="977"/>
      <c r="P169" s="978"/>
      <c r="Q169" s="976" t="s">
        <v>1472</v>
      </c>
      <c r="R169" s="977"/>
      <c r="S169" s="978"/>
      <c r="T169" s="976" t="s">
        <v>1473</v>
      </c>
      <c r="U169" s="977"/>
      <c r="V169" s="977"/>
      <c r="W169" s="978"/>
      <c r="Y169" s="368" t="s">
        <v>1357</v>
      </c>
      <c r="Z169" s="369">
        <f>COUNTIF(B170:W181,Y169)</f>
        <v>5</v>
      </c>
      <c r="AA169" s="370"/>
    </row>
    <row r="170" spans="2:27" s="272" customFormat="1">
      <c r="B170" s="371">
        <v>1</v>
      </c>
      <c r="C170" s="956" t="s">
        <v>1387</v>
      </c>
      <c r="D170" s="957"/>
      <c r="E170" s="371">
        <v>1</v>
      </c>
      <c r="F170" s="372" t="s">
        <v>1354</v>
      </c>
      <c r="G170" s="373"/>
      <c r="H170" s="371">
        <v>1</v>
      </c>
      <c r="I170" s="372" t="s">
        <v>1357</v>
      </c>
      <c r="J170" s="373"/>
      <c r="K170" s="371">
        <v>1</v>
      </c>
      <c r="L170" s="372" t="s">
        <v>1354</v>
      </c>
      <c r="M170" s="373"/>
      <c r="N170" s="371">
        <v>1</v>
      </c>
      <c r="O170" s="372" t="s">
        <v>1354</v>
      </c>
      <c r="P170" s="373"/>
      <c r="Q170" s="371">
        <v>1</v>
      </c>
      <c r="R170" s="372" t="s">
        <v>1357</v>
      </c>
      <c r="S170" s="373"/>
      <c r="T170" s="371">
        <v>1</v>
      </c>
      <c r="U170" s="372" t="s">
        <v>1357</v>
      </c>
      <c r="V170" s="373"/>
      <c r="W170" s="962" t="s">
        <v>119</v>
      </c>
      <c r="Y170" s="368" t="s">
        <v>1354</v>
      </c>
      <c r="Z170" s="369">
        <f>COUNTIF(B170:W181,Y170)</f>
        <v>5</v>
      </c>
      <c r="AA170" s="370"/>
    </row>
    <row r="171" spans="2:27" s="272" customFormat="1">
      <c r="B171" s="371">
        <v>2</v>
      </c>
      <c r="C171" s="958"/>
      <c r="D171" s="959"/>
      <c r="E171" s="371">
        <v>2</v>
      </c>
      <c r="F171" s="396" t="s">
        <v>1413</v>
      </c>
      <c r="G171" s="373"/>
      <c r="H171" s="371">
        <v>2</v>
      </c>
      <c r="I171" s="396" t="s">
        <v>1413</v>
      </c>
      <c r="J171" s="373"/>
      <c r="K171" s="371">
        <v>2</v>
      </c>
      <c r="L171" s="372" t="s">
        <v>1357</v>
      </c>
      <c r="M171" s="373"/>
      <c r="N171" s="371">
        <v>2</v>
      </c>
      <c r="O171" s="372" t="s">
        <v>1357</v>
      </c>
      <c r="P171" s="373"/>
      <c r="Q171" s="371">
        <v>2</v>
      </c>
      <c r="R171" s="372" t="s">
        <v>1354</v>
      </c>
      <c r="S171" s="373"/>
      <c r="T171" s="371">
        <v>2</v>
      </c>
      <c r="U171" s="372" t="s">
        <v>1354</v>
      </c>
      <c r="V171" s="373"/>
      <c r="W171" s="963"/>
      <c r="Y171" s="368" t="s">
        <v>1358</v>
      </c>
      <c r="Z171" s="369">
        <f>COUNTIF(B170:W181,Y171)</f>
        <v>5</v>
      </c>
      <c r="AA171" s="370"/>
    </row>
    <row r="172" spans="2:27" s="272" customFormat="1">
      <c r="B172" s="371">
        <v>3</v>
      </c>
      <c r="C172" s="958"/>
      <c r="D172" s="959"/>
      <c r="E172" s="371">
        <v>3</v>
      </c>
      <c r="F172" s="375"/>
      <c r="G172" s="373"/>
      <c r="H172" s="371">
        <v>3</v>
      </c>
      <c r="I172" s="375"/>
      <c r="J172" s="373"/>
      <c r="K172" s="371">
        <v>3</v>
      </c>
      <c r="L172" s="375"/>
      <c r="M172" s="373"/>
      <c r="N172" s="371">
        <v>3</v>
      </c>
      <c r="O172" s="375"/>
      <c r="P172" s="373"/>
      <c r="Q172" s="371">
        <v>3</v>
      </c>
      <c r="R172" s="375"/>
      <c r="S172" s="373"/>
      <c r="T172" s="371">
        <v>3</v>
      </c>
      <c r="U172" s="375" t="s">
        <v>1470</v>
      </c>
      <c r="V172" s="373"/>
      <c r="W172" s="963"/>
      <c r="Y172" s="368" t="s">
        <v>1359</v>
      </c>
      <c r="Z172" s="369">
        <f>COUNTIF(B170:W181,Y172)</f>
        <v>5</v>
      </c>
      <c r="AA172" s="370"/>
    </row>
    <row r="173" spans="2:27" s="272" customFormat="1">
      <c r="B173" s="376">
        <v>4</v>
      </c>
      <c r="C173" s="958"/>
      <c r="D173" s="959"/>
      <c r="E173" s="376">
        <v>4</v>
      </c>
      <c r="F173" s="377"/>
      <c r="G173" s="373"/>
      <c r="H173" s="376">
        <v>4</v>
      </c>
      <c r="I173" s="377"/>
      <c r="J173" s="373"/>
      <c r="K173" s="376">
        <v>4</v>
      </c>
      <c r="L173" s="377"/>
      <c r="M173" s="373"/>
      <c r="N173" s="376">
        <v>4</v>
      </c>
      <c r="O173" s="377"/>
      <c r="P173" s="373"/>
      <c r="Q173" s="376">
        <v>4</v>
      </c>
      <c r="R173" s="377"/>
      <c r="S173" s="373"/>
      <c r="T173" s="376">
        <v>4</v>
      </c>
      <c r="U173" s="377" t="s">
        <v>1471</v>
      </c>
      <c r="V173" s="373"/>
      <c r="W173" s="963"/>
      <c r="Y173" s="368" t="s">
        <v>1360</v>
      </c>
      <c r="Z173" s="369">
        <f>COUNTIF(B170:W181,Y173)</f>
        <v>5</v>
      </c>
      <c r="AA173" s="370"/>
    </row>
    <row r="174" spans="2:27" s="272" customFormat="1" ht="16" thickBot="1">
      <c r="B174" s="378">
        <v>5</v>
      </c>
      <c r="C174" s="960"/>
      <c r="D174" s="961"/>
      <c r="E174" s="378">
        <v>5</v>
      </c>
      <c r="F174" s="379"/>
      <c r="G174" s="380"/>
      <c r="H174" s="378">
        <v>5</v>
      </c>
      <c r="I174" s="379"/>
      <c r="J174" s="380"/>
      <c r="K174" s="378">
        <v>5</v>
      </c>
      <c r="L174" s="379"/>
      <c r="M174" s="380"/>
      <c r="N174" s="378">
        <v>5</v>
      </c>
      <c r="O174" s="379"/>
      <c r="P174" s="380"/>
      <c r="Q174" s="378">
        <v>5</v>
      </c>
      <c r="R174" s="379"/>
      <c r="S174" s="380"/>
      <c r="T174" s="378">
        <v>5</v>
      </c>
      <c r="U174" s="379"/>
      <c r="V174" s="380"/>
      <c r="W174" s="964"/>
      <c r="Y174" s="368" t="s">
        <v>1361</v>
      </c>
      <c r="Z174" s="369">
        <f>COUNTIF(B170:W181,Y174)</f>
        <v>3</v>
      </c>
      <c r="AA174" s="370"/>
    </row>
    <row r="175" spans="2:27" s="272" customFormat="1" ht="17" customHeight="1">
      <c r="B175" s="381">
        <v>1</v>
      </c>
      <c r="C175" s="375" t="s">
        <v>1359</v>
      </c>
      <c r="D175" s="382"/>
      <c r="E175" s="381">
        <v>1</v>
      </c>
      <c r="F175" s="375" t="s">
        <v>1359</v>
      </c>
      <c r="G175" s="382"/>
      <c r="H175" s="381">
        <v>1</v>
      </c>
      <c r="I175" s="375" t="s">
        <v>1360</v>
      </c>
      <c r="J175" s="382"/>
      <c r="K175" s="381">
        <v>1</v>
      </c>
      <c r="L175" s="375" t="s">
        <v>1358</v>
      </c>
      <c r="M175" s="382"/>
      <c r="N175" s="381">
        <v>1</v>
      </c>
      <c r="O175" s="375" t="s">
        <v>1358</v>
      </c>
      <c r="P175" s="382">
        <v>16</v>
      </c>
      <c r="Q175" s="381">
        <v>1</v>
      </c>
      <c r="R175" s="375" t="s">
        <v>1360</v>
      </c>
      <c r="S175" s="382">
        <v>16</v>
      </c>
      <c r="T175" s="381">
        <v>1</v>
      </c>
      <c r="U175" s="375" t="s">
        <v>1361</v>
      </c>
      <c r="V175" s="382">
        <v>17</v>
      </c>
      <c r="W175" s="965" t="s">
        <v>1389</v>
      </c>
      <c r="Y175" s="368" t="s">
        <v>1363</v>
      </c>
      <c r="Z175" s="369">
        <f>COUNTIF(B170:W181,Y175)</f>
        <v>2</v>
      </c>
      <c r="AA175" s="370"/>
    </row>
    <row r="176" spans="2:27" s="272" customFormat="1" ht="17" customHeight="1">
      <c r="B176" s="371">
        <v>2</v>
      </c>
      <c r="C176" s="375" t="s">
        <v>1360</v>
      </c>
      <c r="D176" s="373"/>
      <c r="E176" s="371">
        <v>2</v>
      </c>
      <c r="F176" s="375" t="s">
        <v>1358</v>
      </c>
      <c r="G176" s="373"/>
      <c r="H176" s="371">
        <v>2</v>
      </c>
      <c r="I176" s="375" t="s">
        <v>1358</v>
      </c>
      <c r="J176" s="373"/>
      <c r="K176" s="371">
        <v>2</v>
      </c>
      <c r="L176" s="375" t="s">
        <v>1360</v>
      </c>
      <c r="M176" s="373"/>
      <c r="N176" s="371">
        <v>2</v>
      </c>
      <c r="O176" s="368" t="s">
        <v>1359</v>
      </c>
      <c r="P176" s="373">
        <v>16</v>
      </c>
      <c r="Q176" s="371">
        <v>2</v>
      </c>
      <c r="R176" s="368" t="s">
        <v>1359</v>
      </c>
      <c r="S176" s="373">
        <v>16</v>
      </c>
      <c r="T176" s="371">
        <v>2</v>
      </c>
      <c r="U176" s="375" t="s">
        <v>1363</v>
      </c>
      <c r="V176" s="373">
        <v>17</v>
      </c>
      <c r="W176" s="963"/>
      <c r="Y176" s="368" t="s">
        <v>1455</v>
      </c>
      <c r="Z176" s="369">
        <f>COUNTIF(B170:W181,Y176)</f>
        <v>2</v>
      </c>
      <c r="AA176" s="370"/>
    </row>
    <row r="177" spans="2:30" s="272" customFormat="1" ht="17" customHeight="1">
      <c r="B177" s="371">
        <v>3</v>
      </c>
      <c r="C177" s="368"/>
      <c r="D177" s="373"/>
      <c r="E177" s="371">
        <v>3</v>
      </c>
      <c r="F177" s="375"/>
      <c r="G177" s="373"/>
      <c r="H177" s="371">
        <v>3</v>
      </c>
      <c r="I177" s="368"/>
      <c r="J177" s="373"/>
      <c r="K177" s="371">
        <v>3</v>
      </c>
      <c r="L177" s="368"/>
      <c r="M177" s="373"/>
      <c r="N177" s="371">
        <v>3</v>
      </c>
      <c r="O177" s="375" t="s">
        <v>1361</v>
      </c>
      <c r="P177" s="373">
        <v>21</v>
      </c>
      <c r="Q177" s="371">
        <v>3</v>
      </c>
      <c r="R177" s="402" t="s">
        <v>1358</v>
      </c>
      <c r="S177" s="403">
        <v>16</v>
      </c>
      <c r="T177" s="371">
        <v>3</v>
      </c>
      <c r="U177" s="375" t="s">
        <v>1360</v>
      </c>
      <c r="V177" s="373">
        <v>17</v>
      </c>
      <c r="W177" s="963"/>
      <c r="Y177" s="368"/>
      <c r="Z177" s="369">
        <f>COUNTIF(B170:W181,Y177)</f>
        <v>0</v>
      </c>
      <c r="AA177" s="370"/>
    </row>
    <row r="178" spans="2:30" s="272" customFormat="1" ht="17" customHeight="1">
      <c r="B178" s="376">
        <v>4</v>
      </c>
      <c r="C178" s="375"/>
      <c r="D178" s="373"/>
      <c r="E178" s="376">
        <v>4</v>
      </c>
      <c r="F178" s="375"/>
      <c r="G178" s="373"/>
      <c r="H178" s="376">
        <v>4</v>
      </c>
      <c r="I178" s="375"/>
      <c r="J178" s="373"/>
      <c r="K178" s="376">
        <v>4</v>
      </c>
      <c r="L178" s="375"/>
      <c r="M178" s="373"/>
      <c r="N178" s="376">
        <v>4</v>
      </c>
      <c r="O178" s="375" t="s">
        <v>1455</v>
      </c>
      <c r="P178" s="373">
        <v>21</v>
      </c>
      <c r="Q178" s="376">
        <v>4</v>
      </c>
      <c r="R178" s="375" t="s">
        <v>1363</v>
      </c>
      <c r="S178" s="373">
        <v>16</v>
      </c>
      <c r="T178" s="376">
        <v>4</v>
      </c>
      <c r="U178" s="368" t="s">
        <v>1359</v>
      </c>
      <c r="V178" s="373">
        <v>17</v>
      </c>
      <c r="W178" s="963"/>
      <c r="Y178" s="368"/>
      <c r="Z178" s="369">
        <f>COUNTIF(B170:W181,Y178)</f>
        <v>0</v>
      </c>
      <c r="AA178" s="370"/>
    </row>
    <row r="179" spans="2:30" s="272" customFormat="1" ht="17" customHeight="1">
      <c r="B179" s="376">
        <v>5</v>
      </c>
      <c r="C179" s="375"/>
      <c r="D179" s="373"/>
      <c r="E179" s="376">
        <v>5</v>
      </c>
      <c r="F179" s="375"/>
      <c r="G179" s="373"/>
      <c r="H179" s="376">
        <v>5</v>
      </c>
      <c r="I179" s="375"/>
      <c r="J179" s="373"/>
      <c r="K179" s="376">
        <v>5</v>
      </c>
      <c r="L179" s="375"/>
      <c r="M179" s="373"/>
      <c r="N179" s="376">
        <v>5</v>
      </c>
      <c r="O179" s="375"/>
      <c r="P179" s="373"/>
      <c r="Q179" s="376">
        <v>5</v>
      </c>
      <c r="R179" s="375" t="s">
        <v>1455</v>
      </c>
      <c r="S179" s="373">
        <v>18</v>
      </c>
      <c r="T179" s="376">
        <v>5</v>
      </c>
      <c r="U179" s="375"/>
      <c r="V179" s="373"/>
      <c r="W179" s="963"/>
      <c r="Y179" s="368"/>
      <c r="Z179" s="369">
        <f>COUNTIF(B170:W181,Y179)</f>
        <v>0</v>
      </c>
      <c r="AA179" s="370"/>
    </row>
    <row r="180" spans="2:30" s="272" customFormat="1" ht="17" customHeight="1">
      <c r="B180" s="371">
        <v>6</v>
      </c>
      <c r="C180" s="375"/>
      <c r="D180" s="373"/>
      <c r="E180" s="371">
        <v>6</v>
      </c>
      <c r="F180" s="375"/>
      <c r="G180" s="373"/>
      <c r="H180" s="371">
        <v>6</v>
      </c>
      <c r="I180" s="375"/>
      <c r="J180" s="373"/>
      <c r="K180" s="371">
        <v>6</v>
      </c>
      <c r="L180" s="375"/>
      <c r="M180" s="373"/>
      <c r="N180" s="371">
        <v>6</v>
      </c>
      <c r="O180" s="375"/>
      <c r="P180" s="373"/>
      <c r="Q180" s="371">
        <v>6</v>
      </c>
      <c r="R180" s="383" t="s">
        <v>1361</v>
      </c>
      <c r="S180" s="385">
        <v>21</v>
      </c>
      <c r="T180" s="371">
        <v>6</v>
      </c>
      <c r="U180" s="375"/>
      <c r="V180" s="373"/>
      <c r="W180" s="963"/>
      <c r="Y180" s="368"/>
      <c r="Z180" s="369">
        <f>COUNTIF(B170:W181,Y180)</f>
        <v>0</v>
      </c>
      <c r="AA180" s="370"/>
    </row>
    <row r="181" spans="2:30" s="272" customFormat="1" ht="18" customHeight="1" thickBot="1">
      <c r="B181" s="378">
        <v>7</v>
      </c>
      <c r="C181" s="379"/>
      <c r="D181" s="380"/>
      <c r="E181" s="378">
        <v>7</v>
      </c>
      <c r="F181" s="379"/>
      <c r="G181" s="380"/>
      <c r="H181" s="378">
        <v>7</v>
      </c>
      <c r="I181" s="379"/>
      <c r="J181" s="380"/>
      <c r="K181" s="378">
        <v>7</v>
      </c>
      <c r="L181" s="379"/>
      <c r="M181" s="380"/>
      <c r="N181" s="378">
        <v>7</v>
      </c>
      <c r="O181" s="379"/>
      <c r="P181" s="380"/>
      <c r="Q181" s="378">
        <v>7</v>
      </c>
      <c r="R181" s="379"/>
      <c r="S181" s="380"/>
      <c r="T181" s="378">
        <v>7</v>
      </c>
      <c r="U181" s="379"/>
      <c r="V181" s="380"/>
      <c r="W181" s="964"/>
      <c r="Y181" s="368"/>
      <c r="Z181" s="369">
        <f>COUNTIF(B170:W181,Y181)</f>
        <v>0</v>
      </c>
      <c r="AA181" s="370"/>
    </row>
    <row r="182" spans="2:30" s="272" customFormat="1" ht="16" thickBot="1">
      <c r="B182" s="234"/>
      <c r="C182" s="368"/>
      <c r="D182" s="279"/>
      <c r="E182" s="234"/>
      <c r="F182" s="368"/>
      <c r="G182" s="279"/>
      <c r="I182" s="368"/>
      <c r="J182" s="279"/>
      <c r="L182" s="368"/>
      <c r="M182" s="279"/>
      <c r="O182" s="368"/>
      <c r="P182" s="279"/>
      <c r="R182" s="368"/>
      <c r="S182" s="279"/>
      <c r="T182" s="966" t="s">
        <v>1474</v>
      </c>
      <c r="U182" s="966"/>
      <c r="V182" s="966"/>
      <c r="W182" s="966"/>
      <c r="Y182" s="368"/>
      <c r="Z182" s="369"/>
      <c r="AA182" s="370"/>
    </row>
    <row r="183" spans="2:30" s="272" customFormat="1">
      <c r="B183" s="976" t="s">
        <v>1475</v>
      </c>
      <c r="C183" s="977"/>
      <c r="D183" s="978"/>
      <c r="E183" s="997" t="s">
        <v>1476</v>
      </c>
      <c r="F183" s="998"/>
      <c r="G183" s="999"/>
      <c r="H183" s="997" t="s">
        <v>1477</v>
      </c>
      <c r="I183" s="998"/>
      <c r="J183" s="999"/>
      <c r="K183" s="997" t="s">
        <v>1478</v>
      </c>
      <c r="L183" s="998"/>
      <c r="M183" s="999"/>
      <c r="N183" s="997" t="s">
        <v>1479</v>
      </c>
      <c r="O183" s="998"/>
      <c r="P183" s="999"/>
      <c r="Q183" s="997" t="s">
        <v>1480</v>
      </c>
      <c r="R183" s="998"/>
      <c r="S183" s="999"/>
      <c r="T183" s="997" t="s">
        <v>1481</v>
      </c>
      <c r="U183" s="998"/>
      <c r="V183" s="998"/>
      <c r="W183" s="999"/>
      <c r="Y183" s="368" t="s">
        <v>1357</v>
      </c>
      <c r="Z183" s="369">
        <f>COUNTIF(B184:W195,Y183)</f>
        <v>5</v>
      </c>
      <c r="AA183" s="370"/>
      <c r="AC183" s="393" t="s">
        <v>1359</v>
      </c>
      <c r="AD183" s="394" t="s">
        <v>1398</v>
      </c>
    </row>
    <row r="184" spans="2:30" s="272" customFormat="1">
      <c r="B184" s="371">
        <v>1</v>
      </c>
      <c r="C184" s="956" t="s">
        <v>1387</v>
      </c>
      <c r="D184" s="957"/>
      <c r="E184" s="371">
        <v>1</v>
      </c>
      <c r="F184" s="372" t="s">
        <v>1354</v>
      </c>
      <c r="G184" s="373"/>
      <c r="H184" s="371">
        <v>1</v>
      </c>
      <c r="I184" s="372" t="s">
        <v>1357</v>
      </c>
      <c r="J184" s="373"/>
      <c r="K184" s="371">
        <v>1</v>
      </c>
      <c r="L184" s="372" t="s">
        <v>1354</v>
      </c>
      <c r="M184" s="373"/>
      <c r="N184" s="371">
        <v>1</v>
      </c>
      <c r="O184" s="396" t="s">
        <v>1367</v>
      </c>
      <c r="P184" s="373"/>
      <c r="Q184" s="371">
        <v>1</v>
      </c>
      <c r="R184" s="372" t="s">
        <v>1357</v>
      </c>
      <c r="S184" s="373"/>
      <c r="T184" s="371">
        <v>1</v>
      </c>
      <c r="U184" s="372" t="s">
        <v>1357</v>
      </c>
      <c r="V184" s="373"/>
      <c r="W184" s="962" t="s">
        <v>119</v>
      </c>
      <c r="Y184" s="368" t="s">
        <v>1354</v>
      </c>
      <c r="Z184" s="369">
        <f>COUNTIF(B184:W195,Y184)</f>
        <v>4</v>
      </c>
      <c r="AA184" s="370"/>
      <c r="AC184" s="393" t="s">
        <v>1363</v>
      </c>
      <c r="AD184" s="394" t="s">
        <v>1398</v>
      </c>
    </row>
    <row r="185" spans="2:30" s="272" customFormat="1">
      <c r="B185" s="371">
        <v>2</v>
      </c>
      <c r="C185" s="958"/>
      <c r="D185" s="959"/>
      <c r="E185" s="371">
        <v>2</v>
      </c>
      <c r="F185" s="396" t="s">
        <v>1413</v>
      </c>
      <c r="G185" s="373"/>
      <c r="H185" s="371">
        <v>2</v>
      </c>
      <c r="I185" s="396" t="s">
        <v>1413</v>
      </c>
      <c r="J185" s="373"/>
      <c r="K185" s="371">
        <v>2</v>
      </c>
      <c r="L185" s="372" t="s">
        <v>1357</v>
      </c>
      <c r="M185" s="373"/>
      <c r="N185" s="371">
        <v>2</v>
      </c>
      <c r="O185" s="372" t="s">
        <v>1357</v>
      </c>
      <c r="P185" s="373"/>
      <c r="Q185" s="371">
        <v>2</v>
      </c>
      <c r="R185" s="372" t="s">
        <v>1354</v>
      </c>
      <c r="S185" s="373"/>
      <c r="T185" s="371">
        <v>2</v>
      </c>
      <c r="U185" s="372" t="s">
        <v>1354</v>
      </c>
      <c r="V185" s="373"/>
      <c r="W185" s="963"/>
      <c r="Y185" s="368" t="s">
        <v>1358</v>
      </c>
      <c r="Z185" s="369">
        <f>COUNTIF(B184:W195,Y185)</f>
        <v>4</v>
      </c>
      <c r="AA185" s="370"/>
      <c r="AC185" s="393" t="s">
        <v>1361</v>
      </c>
      <c r="AD185" s="394" t="s">
        <v>1400</v>
      </c>
    </row>
    <row r="186" spans="2:30" s="272" customFormat="1">
      <c r="B186" s="371">
        <v>3</v>
      </c>
      <c r="C186" s="958"/>
      <c r="D186" s="959"/>
      <c r="E186" s="371">
        <v>3</v>
      </c>
      <c r="F186" s="375"/>
      <c r="G186" s="373"/>
      <c r="H186" s="371">
        <v>3</v>
      </c>
      <c r="I186" s="375"/>
      <c r="J186" s="373"/>
      <c r="K186" s="371">
        <v>3</v>
      </c>
      <c r="L186" s="375"/>
      <c r="M186" s="373"/>
      <c r="N186" s="371">
        <v>3</v>
      </c>
      <c r="O186" s="375"/>
      <c r="P186" s="373"/>
      <c r="Q186" s="371">
        <v>3</v>
      </c>
      <c r="R186" s="375"/>
      <c r="S186" s="373"/>
      <c r="T186" s="371">
        <v>3</v>
      </c>
      <c r="U186" s="397" t="s">
        <v>1367</v>
      </c>
      <c r="V186" s="373"/>
      <c r="W186" s="963"/>
      <c r="Y186" s="368" t="s">
        <v>1359</v>
      </c>
      <c r="Z186" s="369">
        <f>COUNTIF(B184:W195,Y186)</f>
        <v>4</v>
      </c>
      <c r="AA186" s="370"/>
      <c r="AC186" s="393" t="s">
        <v>1358</v>
      </c>
      <c r="AD186" s="394" t="s">
        <v>1400</v>
      </c>
    </row>
    <row r="187" spans="2:30" s="272" customFormat="1">
      <c r="B187" s="376">
        <v>4</v>
      </c>
      <c r="C187" s="958"/>
      <c r="D187" s="959"/>
      <c r="E187" s="376">
        <v>4</v>
      </c>
      <c r="F187" s="377"/>
      <c r="G187" s="373"/>
      <c r="H187" s="376">
        <v>4</v>
      </c>
      <c r="I187" s="377"/>
      <c r="J187" s="373"/>
      <c r="K187" s="376">
        <v>4</v>
      </c>
      <c r="L187" s="377"/>
      <c r="M187" s="373"/>
      <c r="N187" s="376">
        <v>4</v>
      </c>
      <c r="O187" s="377"/>
      <c r="P187" s="373"/>
      <c r="Q187" s="376">
        <v>4</v>
      </c>
      <c r="R187" s="377"/>
      <c r="S187" s="373"/>
      <c r="T187" s="376">
        <v>4</v>
      </c>
      <c r="U187" s="398" t="s">
        <v>1454</v>
      </c>
      <c r="V187" s="373"/>
      <c r="W187" s="963"/>
      <c r="Y187" s="368" t="s">
        <v>1360</v>
      </c>
      <c r="Z187" s="369">
        <f>COUNTIF(B184:W195,Y187)</f>
        <v>5</v>
      </c>
      <c r="AA187" s="370"/>
      <c r="AC187" s="393" t="s">
        <v>1360</v>
      </c>
      <c r="AD187" s="394" t="s">
        <v>1400</v>
      </c>
    </row>
    <row r="188" spans="2:30" s="272" customFormat="1" ht="16" thickBot="1">
      <c r="B188" s="378">
        <v>5</v>
      </c>
      <c r="C188" s="960"/>
      <c r="D188" s="961"/>
      <c r="E188" s="378">
        <v>5</v>
      </c>
      <c r="F188" s="379"/>
      <c r="G188" s="380"/>
      <c r="H188" s="378">
        <v>5</v>
      </c>
      <c r="I188" s="379"/>
      <c r="J188" s="380"/>
      <c r="K188" s="378">
        <v>5</v>
      </c>
      <c r="L188" s="379"/>
      <c r="M188" s="380"/>
      <c r="N188" s="378">
        <v>5</v>
      </c>
      <c r="O188" s="379"/>
      <c r="P188" s="380"/>
      <c r="Q188" s="378">
        <v>5</v>
      </c>
      <c r="R188" s="379"/>
      <c r="S188" s="380"/>
      <c r="T188" s="378">
        <v>5</v>
      </c>
      <c r="U188" s="379"/>
      <c r="V188" s="380"/>
      <c r="W188" s="964"/>
      <c r="Y188" s="368" t="s">
        <v>1361</v>
      </c>
      <c r="Z188" s="369">
        <f>COUNTIF(B184:W195,Y188)</f>
        <v>0</v>
      </c>
      <c r="AA188" s="370"/>
      <c r="AC188" s="393" t="s">
        <v>1401</v>
      </c>
      <c r="AD188" s="394" t="s">
        <v>1402</v>
      </c>
    </row>
    <row r="189" spans="2:30" s="272" customFormat="1" ht="17" customHeight="1">
      <c r="B189" s="381">
        <v>1</v>
      </c>
      <c r="C189" s="375" t="s">
        <v>1359</v>
      </c>
      <c r="D189" s="382"/>
      <c r="E189" s="381">
        <v>1</v>
      </c>
      <c r="F189" s="375" t="s">
        <v>1359</v>
      </c>
      <c r="G189" s="382"/>
      <c r="H189" s="381">
        <v>1</v>
      </c>
      <c r="I189" s="375" t="s">
        <v>1359</v>
      </c>
      <c r="J189" s="382"/>
      <c r="K189" s="381">
        <v>1</v>
      </c>
      <c r="L189" s="375" t="s">
        <v>1358</v>
      </c>
      <c r="M189" s="382"/>
      <c r="N189" s="381">
        <v>1</v>
      </c>
      <c r="O189" s="375" t="s">
        <v>1358</v>
      </c>
      <c r="P189" s="382">
        <v>16</v>
      </c>
      <c r="Q189" s="381">
        <v>1</v>
      </c>
      <c r="R189" s="375" t="s">
        <v>1360</v>
      </c>
      <c r="S189" s="382">
        <v>16</v>
      </c>
      <c r="T189" s="381">
        <v>1</v>
      </c>
      <c r="U189" s="970" t="s">
        <v>54</v>
      </c>
      <c r="V189" s="971"/>
      <c r="W189" s="965" t="s">
        <v>1389</v>
      </c>
      <c r="Y189" s="368" t="s">
        <v>1363</v>
      </c>
      <c r="Z189" s="369">
        <f>COUNTIF(B184:W195,Y189)</f>
        <v>1</v>
      </c>
      <c r="AA189" s="370"/>
      <c r="AC189" s="393" t="s">
        <v>1413</v>
      </c>
      <c r="AD189" s="394" t="s">
        <v>1402</v>
      </c>
    </row>
    <row r="190" spans="2:30" s="272" customFormat="1" ht="17" customHeight="1">
      <c r="B190" s="371">
        <v>2</v>
      </c>
      <c r="C190" s="375" t="s">
        <v>1360</v>
      </c>
      <c r="D190" s="373"/>
      <c r="E190" s="371">
        <v>2</v>
      </c>
      <c r="F190" s="375" t="s">
        <v>1358</v>
      </c>
      <c r="G190" s="373"/>
      <c r="H190" s="371">
        <v>2</v>
      </c>
      <c r="I190" s="375" t="s">
        <v>1360</v>
      </c>
      <c r="J190" s="373"/>
      <c r="K190" s="371">
        <v>2</v>
      </c>
      <c r="L190" s="375" t="s">
        <v>1360</v>
      </c>
      <c r="M190" s="373"/>
      <c r="N190" s="371">
        <v>2</v>
      </c>
      <c r="O190" s="368" t="s">
        <v>1359</v>
      </c>
      <c r="P190" s="373">
        <v>16</v>
      </c>
      <c r="Q190" s="371">
        <v>2</v>
      </c>
      <c r="R190" s="368" t="s">
        <v>1455</v>
      </c>
      <c r="S190" s="373">
        <v>16</v>
      </c>
      <c r="T190" s="371">
        <v>2</v>
      </c>
      <c r="U190" s="972"/>
      <c r="V190" s="973"/>
      <c r="W190" s="963"/>
      <c r="Y190" s="368" t="s">
        <v>1455</v>
      </c>
      <c r="Z190" s="369">
        <f>COUNTIF(B184:W195,Y190)</f>
        <v>2</v>
      </c>
      <c r="AA190" s="370"/>
    </row>
    <row r="191" spans="2:30" s="272" customFormat="1" ht="17" customHeight="1">
      <c r="B191" s="371">
        <v>3</v>
      </c>
      <c r="C191" s="368"/>
      <c r="D191" s="373"/>
      <c r="E191" s="371">
        <v>3</v>
      </c>
      <c r="F191" s="375"/>
      <c r="G191" s="373"/>
      <c r="H191" s="371">
        <v>3</v>
      </c>
      <c r="I191" s="368"/>
      <c r="J191" s="373"/>
      <c r="K191" s="371">
        <v>3</v>
      </c>
      <c r="L191" s="368"/>
      <c r="M191" s="373"/>
      <c r="N191" s="371">
        <v>3</v>
      </c>
      <c r="O191" s="375" t="s">
        <v>1360</v>
      </c>
      <c r="P191" s="373">
        <v>21</v>
      </c>
      <c r="Q191" s="371">
        <v>3</v>
      </c>
      <c r="R191" s="402" t="s">
        <v>1358</v>
      </c>
      <c r="S191" s="403">
        <v>16</v>
      </c>
      <c r="T191" s="371">
        <v>3</v>
      </c>
      <c r="U191" s="972"/>
      <c r="V191" s="973"/>
      <c r="W191" s="963"/>
      <c r="Y191" s="368"/>
      <c r="Z191" s="369">
        <f>COUNTIF(B184:W195,Y191)</f>
        <v>0</v>
      </c>
      <c r="AA191" s="370"/>
    </row>
    <row r="192" spans="2:30" s="272" customFormat="1" ht="17" customHeight="1">
      <c r="B192" s="376">
        <v>4</v>
      </c>
      <c r="C192" s="375"/>
      <c r="D192" s="373"/>
      <c r="E192" s="376">
        <v>4</v>
      </c>
      <c r="F192" s="375"/>
      <c r="G192" s="373"/>
      <c r="H192" s="376">
        <v>4</v>
      </c>
      <c r="I192" s="375"/>
      <c r="J192" s="373"/>
      <c r="K192" s="376">
        <v>4</v>
      </c>
      <c r="L192" s="375"/>
      <c r="M192" s="373"/>
      <c r="N192" s="376">
        <v>4</v>
      </c>
      <c r="O192" s="375" t="s">
        <v>1455</v>
      </c>
      <c r="P192" s="373">
        <v>21</v>
      </c>
      <c r="Q192" s="376">
        <v>4</v>
      </c>
      <c r="R192" s="375" t="s">
        <v>1363</v>
      </c>
      <c r="S192" s="373">
        <v>16</v>
      </c>
      <c r="T192" s="376">
        <v>4</v>
      </c>
      <c r="U192" s="972"/>
      <c r="V192" s="973"/>
      <c r="W192" s="963"/>
      <c r="Y192" s="368"/>
      <c r="Z192" s="369">
        <f>COUNTIF(B184:W195,Y192)</f>
        <v>0</v>
      </c>
      <c r="AA192" s="370"/>
    </row>
    <row r="193" spans="2:27" s="272" customFormat="1" ht="17" customHeight="1">
      <c r="B193" s="376">
        <v>5</v>
      </c>
      <c r="C193" s="375"/>
      <c r="D193" s="373"/>
      <c r="E193" s="376">
        <v>5</v>
      </c>
      <c r="F193" s="375"/>
      <c r="G193" s="373"/>
      <c r="H193" s="376">
        <v>5</v>
      </c>
      <c r="I193" s="375"/>
      <c r="J193" s="373"/>
      <c r="K193" s="376">
        <v>5</v>
      </c>
      <c r="L193" s="375"/>
      <c r="M193" s="373"/>
      <c r="N193" s="376">
        <v>5</v>
      </c>
      <c r="O193" s="375"/>
      <c r="P193" s="373"/>
      <c r="Q193" s="376">
        <v>5</v>
      </c>
      <c r="R193" s="375"/>
      <c r="S193" s="373">
        <v>18</v>
      </c>
      <c r="T193" s="376">
        <v>5</v>
      </c>
      <c r="U193" s="972"/>
      <c r="V193" s="973"/>
      <c r="W193" s="963"/>
      <c r="Y193" s="368"/>
      <c r="Z193" s="369">
        <f>COUNTIF(B184:W195,Y193)</f>
        <v>0</v>
      </c>
      <c r="AA193" s="370"/>
    </row>
    <row r="194" spans="2:27" s="272" customFormat="1" ht="17" customHeight="1">
      <c r="B194" s="371">
        <v>6</v>
      </c>
      <c r="C194" s="375"/>
      <c r="D194" s="373"/>
      <c r="E194" s="371">
        <v>6</v>
      </c>
      <c r="F194" s="375"/>
      <c r="G194" s="373"/>
      <c r="H194" s="371">
        <v>6</v>
      </c>
      <c r="I194" s="375"/>
      <c r="J194" s="373"/>
      <c r="K194" s="371">
        <v>6</v>
      </c>
      <c r="L194" s="375"/>
      <c r="M194" s="373"/>
      <c r="N194" s="371">
        <v>6</v>
      </c>
      <c r="O194" s="375"/>
      <c r="P194" s="373"/>
      <c r="Q194" s="371">
        <v>6</v>
      </c>
      <c r="R194" s="383" t="s">
        <v>1482</v>
      </c>
      <c r="S194" s="385">
        <v>21</v>
      </c>
      <c r="T194" s="371">
        <v>6</v>
      </c>
      <c r="U194" s="972"/>
      <c r="V194" s="973"/>
      <c r="W194" s="963"/>
      <c r="Y194" s="368"/>
      <c r="Z194" s="369">
        <f>COUNTIF(B184:W195,Y194)</f>
        <v>0</v>
      </c>
      <c r="AA194" s="370"/>
    </row>
    <row r="195" spans="2:27" s="272" customFormat="1" ht="18" customHeight="1" thickBot="1">
      <c r="B195" s="378">
        <v>7</v>
      </c>
      <c r="C195" s="379"/>
      <c r="D195" s="380"/>
      <c r="E195" s="378">
        <v>7</v>
      </c>
      <c r="F195" s="379"/>
      <c r="G195" s="380"/>
      <c r="H195" s="378">
        <v>7</v>
      </c>
      <c r="I195" s="379"/>
      <c r="J195" s="380"/>
      <c r="K195" s="378">
        <v>7</v>
      </c>
      <c r="L195" s="379"/>
      <c r="M195" s="380"/>
      <c r="N195" s="378">
        <v>7</v>
      </c>
      <c r="O195" s="379"/>
      <c r="P195" s="380"/>
      <c r="Q195" s="378">
        <v>7</v>
      </c>
      <c r="R195" s="379"/>
      <c r="S195" s="380"/>
      <c r="T195" s="378">
        <v>7</v>
      </c>
      <c r="U195" s="974"/>
      <c r="V195" s="975"/>
      <c r="W195" s="964"/>
      <c r="Y195" s="368"/>
      <c r="Z195" s="369">
        <f>COUNTIF(B184:W195,Y195)</f>
        <v>0</v>
      </c>
      <c r="AA195" s="370"/>
    </row>
    <row r="196" spans="2:27" s="272" customFormat="1" ht="16" thickBot="1">
      <c r="B196" s="234"/>
      <c r="C196" s="368"/>
      <c r="D196" s="279"/>
      <c r="E196" s="234"/>
      <c r="F196" s="368"/>
      <c r="G196" s="279"/>
      <c r="I196" s="368"/>
      <c r="J196" s="279"/>
      <c r="L196" s="368"/>
      <c r="M196" s="279"/>
      <c r="O196" s="368"/>
      <c r="P196" s="279"/>
      <c r="R196" s="368"/>
      <c r="S196" s="279"/>
      <c r="T196" s="966" t="s">
        <v>1483</v>
      </c>
      <c r="U196" s="966"/>
      <c r="V196" s="966"/>
      <c r="W196" s="966"/>
      <c r="Y196" s="368"/>
      <c r="Z196" s="369"/>
      <c r="AA196" s="370"/>
    </row>
    <row r="197" spans="2:27" s="272" customFormat="1">
      <c r="B197" s="997" t="s">
        <v>1484</v>
      </c>
      <c r="C197" s="998"/>
      <c r="D197" s="999"/>
      <c r="E197" s="997" t="s">
        <v>1485</v>
      </c>
      <c r="F197" s="998"/>
      <c r="G197" s="999"/>
      <c r="H197" s="997" t="s">
        <v>1486</v>
      </c>
      <c r="I197" s="998"/>
      <c r="J197" s="999"/>
      <c r="K197" s="997" t="s">
        <v>1487</v>
      </c>
      <c r="L197" s="998"/>
      <c r="M197" s="999"/>
      <c r="N197" s="997" t="s">
        <v>1488</v>
      </c>
      <c r="O197" s="998"/>
      <c r="P197" s="999"/>
      <c r="Q197" s="997" t="s">
        <v>1489</v>
      </c>
      <c r="R197" s="998"/>
      <c r="S197" s="999"/>
      <c r="T197" s="997" t="s">
        <v>1490</v>
      </c>
      <c r="U197" s="998"/>
      <c r="V197" s="998"/>
      <c r="W197" s="999"/>
      <c r="Y197" s="368" t="s">
        <v>1357</v>
      </c>
      <c r="Z197" s="369">
        <f>COUNTIF(B198:W209,Y197)</f>
        <v>5</v>
      </c>
      <c r="AA197" s="370"/>
    </row>
    <row r="198" spans="2:27" s="272" customFormat="1">
      <c r="B198" s="371">
        <v>1</v>
      </c>
      <c r="C198" s="956" t="s">
        <v>1387</v>
      </c>
      <c r="D198" s="957"/>
      <c r="E198" s="371">
        <v>1</v>
      </c>
      <c r="F198" s="372" t="s">
        <v>1354</v>
      </c>
      <c r="G198" s="373"/>
      <c r="H198" s="371">
        <v>1</v>
      </c>
      <c r="I198" s="372" t="s">
        <v>1357</v>
      </c>
      <c r="J198" s="373"/>
      <c r="K198" s="371">
        <v>1</v>
      </c>
      <c r="L198" s="372" t="s">
        <v>1357</v>
      </c>
      <c r="M198" s="373">
        <v>7</v>
      </c>
      <c r="N198" s="371">
        <v>1</v>
      </c>
      <c r="O198" s="396" t="s">
        <v>1367</v>
      </c>
      <c r="P198" s="373"/>
      <c r="Q198" s="371">
        <v>1</v>
      </c>
      <c r="R198" s="372" t="s">
        <v>1357</v>
      </c>
      <c r="S198" s="373"/>
      <c r="T198" s="371">
        <v>1</v>
      </c>
      <c r="U198" s="372" t="s">
        <v>1357</v>
      </c>
      <c r="V198" s="373"/>
      <c r="W198" s="962" t="s">
        <v>119</v>
      </c>
      <c r="Y198" s="368" t="s">
        <v>1354</v>
      </c>
      <c r="Z198" s="369">
        <f>COUNTIF(B198:W209,Y198)</f>
        <v>2</v>
      </c>
      <c r="AA198" s="370"/>
    </row>
    <row r="199" spans="2:27" s="272" customFormat="1">
      <c r="B199" s="371">
        <v>2</v>
      </c>
      <c r="C199" s="958"/>
      <c r="D199" s="959"/>
      <c r="E199" s="371">
        <v>2</v>
      </c>
      <c r="F199" s="396" t="s">
        <v>1454</v>
      </c>
      <c r="G199" s="373"/>
      <c r="H199" s="371">
        <v>2</v>
      </c>
      <c r="I199" s="396" t="s">
        <v>1454</v>
      </c>
      <c r="J199" s="373"/>
      <c r="K199" s="371">
        <v>2</v>
      </c>
      <c r="L199" s="396" t="s">
        <v>1491</v>
      </c>
      <c r="M199" s="373">
        <v>7</v>
      </c>
      <c r="N199" s="371">
        <v>2</v>
      </c>
      <c r="O199" s="372" t="s">
        <v>1357</v>
      </c>
      <c r="P199" s="373"/>
      <c r="Q199" s="371">
        <v>2</v>
      </c>
      <c r="R199" s="397" t="s">
        <v>1367</v>
      </c>
      <c r="S199" s="373"/>
      <c r="T199" s="371">
        <v>2</v>
      </c>
      <c r="U199" s="372" t="s">
        <v>1354</v>
      </c>
      <c r="V199" s="373"/>
      <c r="W199" s="963"/>
      <c r="Y199" s="368" t="s">
        <v>1358</v>
      </c>
      <c r="Z199" s="369">
        <f>COUNTIF(B198:W209,Y199)</f>
        <v>5</v>
      </c>
      <c r="AA199" s="370"/>
    </row>
    <row r="200" spans="2:27" s="272" customFormat="1">
      <c r="B200" s="371">
        <v>3</v>
      </c>
      <c r="C200" s="958"/>
      <c r="D200" s="959"/>
      <c r="E200" s="371">
        <v>3</v>
      </c>
      <c r="F200" s="375"/>
      <c r="G200" s="373"/>
      <c r="H200" s="371">
        <v>3</v>
      </c>
      <c r="I200" s="375"/>
      <c r="J200" s="373"/>
      <c r="K200" s="371">
        <v>3</v>
      </c>
      <c r="L200" s="397" t="s">
        <v>1367</v>
      </c>
      <c r="M200" s="373">
        <v>10</v>
      </c>
      <c r="N200" s="371">
        <v>3</v>
      </c>
      <c r="O200" s="375"/>
      <c r="P200" s="373"/>
      <c r="Q200" s="371">
        <v>3</v>
      </c>
      <c r="R200" s="404"/>
      <c r="S200" s="373"/>
      <c r="T200" s="371">
        <v>3</v>
      </c>
      <c r="U200" s="397" t="s">
        <v>1367</v>
      </c>
      <c r="V200" s="373"/>
      <c r="W200" s="963"/>
      <c r="Y200" s="368" t="s">
        <v>1359</v>
      </c>
      <c r="Z200" s="369">
        <f>COUNTIF(B198:W209,Y200)</f>
        <v>5</v>
      </c>
      <c r="AA200" s="370"/>
    </row>
    <row r="201" spans="2:27" s="272" customFormat="1">
      <c r="B201" s="376">
        <v>4</v>
      </c>
      <c r="C201" s="958"/>
      <c r="D201" s="959"/>
      <c r="E201" s="376">
        <v>4</v>
      </c>
      <c r="F201" s="377"/>
      <c r="G201" s="373"/>
      <c r="H201" s="376">
        <v>4</v>
      </c>
      <c r="I201" s="377"/>
      <c r="J201" s="373"/>
      <c r="K201" s="376">
        <v>4</v>
      </c>
      <c r="L201" s="377"/>
      <c r="M201" s="373"/>
      <c r="N201" s="376">
        <v>4</v>
      </c>
      <c r="O201" s="377"/>
      <c r="P201" s="373"/>
      <c r="Q201" s="376">
        <v>4</v>
      </c>
      <c r="R201" s="377"/>
      <c r="S201" s="373"/>
      <c r="T201" s="376">
        <v>4</v>
      </c>
      <c r="U201" s="398" t="s">
        <v>1454</v>
      </c>
      <c r="V201" s="373"/>
      <c r="W201" s="963"/>
      <c r="Y201" s="368" t="s">
        <v>1360</v>
      </c>
      <c r="Z201" s="369">
        <f>COUNTIF(B198:W209,Y201)</f>
        <v>5</v>
      </c>
      <c r="AA201" s="370"/>
    </row>
    <row r="202" spans="2:27" s="272" customFormat="1" ht="16" thickBot="1">
      <c r="B202" s="378">
        <v>5</v>
      </c>
      <c r="C202" s="960"/>
      <c r="D202" s="961"/>
      <c r="E202" s="378">
        <v>5</v>
      </c>
      <c r="F202" s="379"/>
      <c r="G202" s="380"/>
      <c r="H202" s="378">
        <v>5</v>
      </c>
      <c r="I202" s="379"/>
      <c r="J202" s="380"/>
      <c r="K202" s="378">
        <v>5</v>
      </c>
      <c r="L202" s="379"/>
      <c r="M202" s="380"/>
      <c r="N202" s="378">
        <v>5</v>
      </c>
      <c r="O202" s="379"/>
      <c r="P202" s="380"/>
      <c r="Q202" s="378">
        <v>5</v>
      </c>
      <c r="R202" s="379"/>
      <c r="S202" s="380"/>
      <c r="T202" s="378">
        <v>5</v>
      </c>
      <c r="U202" s="379"/>
      <c r="V202" s="380"/>
      <c r="W202" s="964"/>
      <c r="Y202" s="368" t="s">
        <v>1361</v>
      </c>
      <c r="Z202" s="369">
        <f>COUNTIF(B198:W209,Y202)</f>
        <v>3</v>
      </c>
      <c r="AA202" s="370"/>
    </row>
    <row r="203" spans="2:27" s="272" customFormat="1" ht="17" customHeight="1">
      <c r="B203" s="381">
        <v>1</v>
      </c>
      <c r="C203" s="375" t="s">
        <v>1359</v>
      </c>
      <c r="D203" s="382"/>
      <c r="E203" s="381">
        <v>1</v>
      </c>
      <c r="F203" s="375" t="s">
        <v>1359</v>
      </c>
      <c r="G203" s="382"/>
      <c r="H203" s="381">
        <v>1</v>
      </c>
      <c r="I203" s="375" t="s">
        <v>1359</v>
      </c>
      <c r="J203" s="382"/>
      <c r="K203" s="381">
        <v>1</v>
      </c>
      <c r="L203" s="375" t="s">
        <v>1358</v>
      </c>
      <c r="M203" s="382"/>
      <c r="N203" s="381">
        <v>1</v>
      </c>
      <c r="O203" s="375" t="s">
        <v>1358</v>
      </c>
      <c r="P203" s="382">
        <v>16</v>
      </c>
      <c r="Q203" s="381">
        <v>1</v>
      </c>
      <c r="R203" s="375" t="s">
        <v>1360</v>
      </c>
      <c r="S203" s="382">
        <v>16</v>
      </c>
      <c r="T203" s="381">
        <v>1</v>
      </c>
      <c r="U203" s="375" t="s">
        <v>1361</v>
      </c>
      <c r="V203" s="382">
        <v>17</v>
      </c>
      <c r="W203" s="965" t="s">
        <v>1389</v>
      </c>
      <c r="Y203" s="368" t="s">
        <v>1363</v>
      </c>
      <c r="Z203" s="369">
        <f>COUNTIF(B198:W209,Y203)</f>
        <v>2</v>
      </c>
      <c r="AA203" s="370"/>
    </row>
    <row r="204" spans="2:27" s="272" customFormat="1" ht="17" customHeight="1">
      <c r="B204" s="371">
        <v>2</v>
      </c>
      <c r="C204" s="375" t="s">
        <v>1360</v>
      </c>
      <c r="D204" s="373"/>
      <c r="E204" s="371">
        <v>2</v>
      </c>
      <c r="F204" s="375" t="s">
        <v>1358</v>
      </c>
      <c r="G204" s="373"/>
      <c r="H204" s="371">
        <v>2</v>
      </c>
      <c r="I204" s="375" t="s">
        <v>1360</v>
      </c>
      <c r="J204" s="373"/>
      <c r="K204" s="371">
        <v>2</v>
      </c>
      <c r="L204" s="375" t="s">
        <v>1360</v>
      </c>
      <c r="M204" s="373"/>
      <c r="N204" s="371">
        <v>2</v>
      </c>
      <c r="O204" s="368" t="s">
        <v>1360</v>
      </c>
      <c r="P204" s="373">
        <v>16</v>
      </c>
      <c r="Q204" s="371">
        <v>2</v>
      </c>
      <c r="R204" s="368" t="s">
        <v>1359</v>
      </c>
      <c r="S204" s="373">
        <v>16</v>
      </c>
      <c r="T204" s="371">
        <v>2</v>
      </c>
      <c r="U204" s="375" t="s">
        <v>1363</v>
      </c>
      <c r="V204" s="373">
        <v>17</v>
      </c>
      <c r="W204" s="963"/>
      <c r="Y204" s="368" t="s">
        <v>1455</v>
      </c>
      <c r="Z204" s="369">
        <f>COUNTIF(B198:W209,Y204)</f>
        <v>1</v>
      </c>
      <c r="AA204" s="370"/>
    </row>
    <row r="205" spans="2:27" s="272" customFormat="1" ht="17" customHeight="1">
      <c r="B205" s="371">
        <v>3</v>
      </c>
      <c r="C205" s="368"/>
      <c r="D205" s="373"/>
      <c r="E205" s="371">
        <v>3</v>
      </c>
      <c r="F205" s="375"/>
      <c r="G205" s="373"/>
      <c r="H205" s="371">
        <v>3</v>
      </c>
      <c r="I205" s="368"/>
      <c r="J205" s="373"/>
      <c r="K205" s="371">
        <v>3</v>
      </c>
      <c r="L205" s="368"/>
      <c r="M205" s="373"/>
      <c r="N205" s="371">
        <v>3</v>
      </c>
      <c r="O205" s="375" t="s">
        <v>1361</v>
      </c>
      <c r="P205" s="373">
        <v>21</v>
      </c>
      <c r="Q205" s="371">
        <v>3</v>
      </c>
      <c r="R205" s="402" t="s">
        <v>1358</v>
      </c>
      <c r="S205" s="403">
        <v>16</v>
      </c>
      <c r="T205" s="371">
        <v>3</v>
      </c>
      <c r="U205" s="375" t="s">
        <v>1358</v>
      </c>
      <c r="V205" s="373">
        <v>17</v>
      </c>
      <c r="W205" s="963"/>
      <c r="Y205" s="368"/>
      <c r="Z205" s="369">
        <f>COUNTIF(B198:W209,Y205)</f>
        <v>0</v>
      </c>
      <c r="AA205" s="370"/>
    </row>
    <row r="206" spans="2:27" s="272" customFormat="1" ht="17" customHeight="1">
      <c r="B206" s="376">
        <v>4</v>
      </c>
      <c r="C206" s="375"/>
      <c r="D206" s="373"/>
      <c r="E206" s="376">
        <v>4</v>
      </c>
      <c r="F206" s="375"/>
      <c r="G206" s="373"/>
      <c r="H206" s="376">
        <v>4</v>
      </c>
      <c r="I206" s="375"/>
      <c r="J206" s="373"/>
      <c r="K206" s="376">
        <v>4</v>
      </c>
      <c r="L206" s="375"/>
      <c r="M206" s="373"/>
      <c r="N206" s="376">
        <v>4</v>
      </c>
      <c r="O206" s="375" t="s">
        <v>1455</v>
      </c>
      <c r="P206" s="373">
        <v>21</v>
      </c>
      <c r="Q206" s="376">
        <v>4</v>
      </c>
      <c r="R206" s="375" t="s">
        <v>1361</v>
      </c>
      <c r="S206" s="373">
        <v>16</v>
      </c>
      <c r="T206" s="376">
        <v>4</v>
      </c>
      <c r="U206" s="368" t="s">
        <v>1359</v>
      </c>
      <c r="V206" s="373">
        <v>17</v>
      </c>
      <c r="W206" s="963"/>
      <c r="Y206" s="368"/>
      <c r="Z206" s="369">
        <f>COUNTIF(B198:W209,Y206)</f>
        <v>0</v>
      </c>
      <c r="AA206" s="370"/>
    </row>
    <row r="207" spans="2:27" s="272" customFormat="1" ht="17" customHeight="1">
      <c r="B207" s="376">
        <v>5</v>
      </c>
      <c r="C207" s="375"/>
      <c r="D207" s="373"/>
      <c r="E207" s="376">
        <v>5</v>
      </c>
      <c r="F207" s="375"/>
      <c r="G207" s="373"/>
      <c r="H207" s="376">
        <v>5</v>
      </c>
      <c r="I207" s="375"/>
      <c r="J207" s="373"/>
      <c r="K207" s="376">
        <v>5</v>
      </c>
      <c r="L207" s="375"/>
      <c r="M207" s="373"/>
      <c r="N207" s="376">
        <v>5</v>
      </c>
      <c r="O207" s="383" t="s">
        <v>1482</v>
      </c>
      <c r="P207" s="385">
        <v>21</v>
      </c>
      <c r="Q207" s="376">
        <v>5</v>
      </c>
      <c r="R207" s="375" t="s">
        <v>1363</v>
      </c>
      <c r="S207" s="373">
        <v>18</v>
      </c>
      <c r="T207" s="376">
        <v>5</v>
      </c>
      <c r="U207" s="375"/>
      <c r="V207" s="373"/>
      <c r="W207" s="963"/>
      <c r="Y207" s="368"/>
      <c r="Z207" s="369">
        <f>COUNTIF(B198:W209,Y207)</f>
        <v>0</v>
      </c>
      <c r="AA207" s="370"/>
    </row>
    <row r="208" spans="2:27" s="272" customFormat="1" ht="17" customHeight="1">
      <c r="B208" s="371">
        <v>6</v>
      </c>
      <c r="C208" s="375"/>
      <c r="D208" s="373"/>
      <c r="E208" s="371">
        <v>6</v>
      </c>
      <c r="F208" s="375"/>
      <c r="G208" s="373"/>
      <c r="H208" s="371">
        <v>6</v>
      </c>
      <c r="I208" s="375"/>
      <c r="J208" s="373"/>
      <c r="K208" s="371">
        <v>6</v>
      </c>
      <c r="L208" s="375"/>
      <c r="M208" s="373"/>
      <c r="N208" s="371">
        <v>6</v>
      </c>
      <c r="O208" s="375"/>
      <c r="P208" s="373"/>
      <c r="Q208" s="371">
        <v>6</v>
      </c>
      <c r="R208" s="383" t="s">
        <v>1482</v>
      </c>
      <c r="S208" s="385">
        <v>21</v>
      </c>
      <c r="T208" s="371">
        <v>6</v>
      </c>
      <c r="U208" s="375"/>
      <c r="V208" s="373"/>
      <c r="W208" s="963"/>
      <c r="Y208" s="368"/>
      <c r="Z208" s="369">
        <f>COUNTIF(B198:W209,Y208)</f>
        <v>0</v>
      </c>
      <c r="AA208" s="370"/>
    </row>
    <row r="209" spans="2:30" s="272" customFormat="1" ht="18" customHeight="1" thickBot="1">
      <c r="B209" s="378">
        <v>7</v>
      </c>
      <c r="C209" s="379"/>
      <c r="D209" s="380"/>
      <c r="E209" s="378">
        <v>7</v>
      </c>
      <c r="F209" s="379"/>
      <c r="G209" s="380"/>
      <c r="H209" s="378">
        <v>7</v>
      </c>
      <c r="I209" s="379"/>
      <c r="J209" s="380"/>
      <c r="K209" s="378">
        <v>7</v>
      </c>
      <c r="L209" s="379"/>
      <c r="M209" s="380"/>
      <c r="N209" s="378">
        <v>7</v>
      </c>
      <c r="O209" s="379"/>
      <c r="P209" s="380"/>
      <c r="Q209" s="378">
        <v>7</v>
      </c>
      <c r="R209" s="379"/>
      <c r="S209" s="380"/>
      <c r="T209" s="378">
        <v>7</v>
      </c>
      <c r="U209" s="379"/>
      <c r="V209" s="380"/>
      <c r="W209" s="964"/>
      <c r="Y209" s="368"/>
      <c r="Z209" s="369">
        <f>COUNTIF(B198:W209,Y209)</f>
        <v>0</v>
      </c>
      <c r="AA209" s="370"/>
    </row>
    <row r="210" spans="2:30" s="272" customFormat="1" ht="16" thickBot="1">
      <c r="B210" s="234"/>
      <c r="C210" s="368"/>
      <c r="D210" s="279"/>
      <c r="E210" s="234"/>
      <c r="F210" s="368"/>
      <c r="G210" s="279"/>
      <c r="I210" s="368"/>
      <c r="J210" s="279"/>
      <c r="L210" s="368"/>
      <c r="M210" s="279"/>
      <c r="O210" s="368"/>
      <c r="P210" s="279"/>
      <c r="R210" s="368"/>
      <c r="S210" s="279"/>
      <c r="T210" s="1000" t="s">
        <v>1492</v>
      </c>
      <c r="U210" s="1000"/>
      <c r="V210" s="1000"/>
      <c r="W210" s="1000"/>
      <c r="Y210" s="368"/>
      <c r="Z210" s="369"/>
      <c r="AA210" s="370"/>
    </row>
    <row r="211" spans="2:30" s="272" customFormat="1">
      <c r="B211" s="997" t="s">
        <v>1493</v>
      </c>
      <c r="C211" s="998"/>
      <c r="D211" s="999"/>
      <c r="E211" s="997" t="s">
        <v>1494</v>
      </c>
      <c r="F211" s="998"/>
      <c r="G211" s="999"/>
      <c r="H211" s="997" t="s">
        <v>1495</v>
      </c>
      <c r="I211" s="998"/>
      <c r="J211" s="999"/>
      <c r="K211" s="997" t="s">
        <v>1496</v>
      </c>
      <c r="L211" s="998"/>
      <c r="M211" s="999"/>
      <c r="N211" s="997" t="s">
        <v>1497</v>
      </c>
      <c r="O211" s="998"/>
      <c r="P211" s="999"/>
      <c r="Q211" s="997" t="s">
        <v>1498</v>
      </c>
      <c r="R211" s="998"/>
      <c r="S211" s="999"/>
      <c r="T211" s="997" t="s">
        <v>1499</v>
      </c>
      <c r="U211" s="998"/>
      <c r="V211" s="998"/>
      <c r="W211" s="999"/>
      <c r="Y211" s="368" t="s">
        <v>1357</v>
      </c>
      <c r="Z211" s="369">
        <f>COUNTIF(B212:W223,Y211)</f>
        <v>5</v>
      </c>
      <c r="AA211" s="370"/>
      <c r="AC211" s="401" t="s">
        <v>1359</v>
      </c>
      <c r="AD211" s="394" t="s">
        <v>1398</v>
      </c>
    </row>
    <row r="212" spans="2:30" s="272" customFormat="1">
      <c r="B212" s="371">
        <v>1</v>
      </c>
      <c r="C212" s="956" t="s">
        <v>1387</v>
      </c>
      <c r="D212" s="957"/>
      <c r="E212" s="371">
        <v>1</v>
      </c>
      <c r="F212" s="372" t="s">
        <v>1354</v>
      </c>
      <c r="G212" s="373"/>
      <c r="H212" s="371">
        <v>1</v>
      </c>
      <c r="I212" s="372" t="s">
        <v>1357</v>
      </c>
      <c r="J212" s="373"/>
      <c r="K212" s="371">
        <v>1</v>
      </c>
      <c r="L212" s="372" t="s">
        <v>1354</v>
      </c>
      <c r="M212" s="373"/>
      <c r="N212" s="371">
        <v>1</v>
      </c>
      <c r="O212" s="372" t="s">
        <v>1354</v>
      </c>
      <c r="P212" s="373"/>
      <c r="Q212" s="371">
        <v>1</v>
      </c>
      <c r="R212" s="372" t="s">
        <v>1357</v>
      </c>
      <c r="S212" s="373"/>
      <c r="T212" s="371">
        <v>1</v>
      </c>
      <c r="U212" s="372" t="s">
        <v>1357</v>
      </c>
      <c r="V212" s="373"/>
      <c r="W212" s="962" t="s">
        <v>119</v>
      </c>
      <c r="Y212" s="368" t="s">
        <v>1354</v>
      </c>
      <c r="Z212" s="369">
        <f>COUNTIF(B212:W223,Y212)</f>
        <v>5</v>
      </c>
      <c r="AA212" s="370"/>
      <c r="AC212" s="401" t="s">
        <v>1500</v>
      </c>
      <c r="AD212" s="394" t="s">
        <v>1398</v>
      </c>
    </row>
    <row r="213" spans="2:30" s="272" customFormat="1">
      <c r="B213" s="371">
        <v>2</v>
      </c>
      <c r="C213" s="958"/>
      <c r="D213" s="959"/>
      <c r="E213" s="371">
        <v>2</v>
      </c>
      <c r="F213" s="396" t="s">
        <v>1454</v>
      </c>
      <c r="G213" s="373"/>
      <c r="H213" s="371">
        <v>2</v>
      </c>
      <c r="I213" s="396" t="s">
        <v>1454</v>
      </c>
      <c r="J213" s="373"/>
      <c r="K213" s="371">
        <v>2</v>
      </c>
      <c r="L213" s="372" t="s">
        <v>1357</v>
      </c>
      <c r="M213" s="373"/>
      <c r="N213" s="371">
        <v>2</v>
      </c>
      <c r="O213" s="372" t="s">
        <v>1357</v>
      </c>
      <c r="P213" s="373"/>
      <c r="Q213" s="371">
        <v>2</v>
      </c>
      <c r="R213" s="372" t="s">
        <v>1354</v>
      </c>
      <c r="S213" s="373"/>
      <c r="T213" s="371">
        <v>2</v>
      </c>
      <c r="U213" s="372" t="s">
        <v>1354</v>
      </c>
      <c r="V213" s="373"/>
      <c r="W213" s="963"/>
      <c r="Y213" s="368" t="s">
        <v>1358</v>
      </c>
      <c r="Z213" s="369">
        <f>COUNTIF(B212:W223,Y213)</f>
        <v>3</v>
      </c>
      <c r="AA213" s="370"/>
      <c r="AC213" s="401" t="s">
        <v>1361</v>
      </c>
      <c r="AD213" s="394" t="s">
        <v>1400</v>
      </c>
    </row>
    <row r="214" spans="2:30" s="272" customFormat="1">
      <c r="B214" s="371">
        <v>3</v>
      </c>
      <c r="C214" s="958"/>
      <c r="D214" s="959"/>
      <c r="E214" s="371">
        <v>3</v>
      </c>
      <c r="F214" s="375"/>
      <c r="G214" s="373"/>
      <c r="H214" s="371">
        <v>3</v>
      </c>
      <c r="I214" s="375"/>
      <c r="J214" s="373"/>
      <c r="K214" s="371">
        <v>3</v>
      </c>
      <c r="L214" s="375"/>
      <c r="M214" s="373"/>
      <c r="N214" s="371">
        <v>3</v>
      </c>
      <c r="O214" s="375"/>
      <c r="P214" s="373"/>
      <c r="Q214" s="371">
        <v>3</v>
      </c>
      <c r="R214" s="375"/>
      <c r="S214" s="373"/>
      <c r="T214" s="371">
        <v>3</v>
      </c>
      <c r="U214" s="375" t="s">
        <v>1501</v>
      </c>
      <c r="V214" s="373"/>
      <c r="W214" s="963"/>
      <c r="Y214" s="368" t="s">
        <v>1359</v>
      </c>
      <c r="Z214" s="369">
        <f>COUNTIF(B212:W223,Y214)</f>
        <v>4</v>
      </c>
      <c r="AA214" s="370"/>
      <c r="AC214" s="401" t="s">
        <v>1358</v>
      </c>
      <c r="AD214" s="394" t="s">
        <v>1400</v>
      </c>
    </row>
    <row r="215" spans="2:30" s="272" customFormat="1">
      <c r="B215" s="376">
        <v>4</v>
      </c>
      <c r="C215" s="958"/>
      <c r="D215" s="959"/>
      <c r="E215" s="376">
        <v>4</v>
      </c>
      <c r="F215" s="377"/>
      <c r="G215" s="373"/>
      <c r="H215" s="376">
        <v>4</v>
      </c>
      <c r="I215" s="377"/>
      <c r="J215" s="373"/>
      <c r="K215" s="376">
        <v>4</v>
      </c>
      <c r="L215" s="377"/>
      <c r="M215" s="373"/>
      <c r="N215" s="376">
        <v>4</v>
      </c>
      <c r="O215" s="377"/>
      <c r="P215" s="373"/>
      <c r="Q215" s="376">
        <v>4</v>
      </c>
      <c r="R215" s="377"/>
      <c r="S215" s="373"/>
      <c r="T215" s="376">
        <v>4</v>
      </c>
      <c r="U215" s="377"/>
      <c r="V215" s="373"/>
      <c r="W215" s="963"/>
      <c r="Y215" s="368" t="s">
        <v>1360</v>
      </c>
      <c r="Z215" s="369">
        <f>COUNTIF(B212:W223,Y215)</f>
        <v>4</v>
      </c>
      <c r="AA215" s="370"/>
      <c r="AC215" s="401" t="s">
        <v>1360</v>
      </c>
      <c r="AD215" s="394" t="s">
        <v>1400</v>
      </c>
    </row>
    <row r="216" spans="2:30" s="272" customFormat="1" ht="16" thickBot="1">
      <c r="B216" s="378">
        <v>5</v>
      </c>
      <c r="C216" s="960"/>
      <c r="D216" s="961"/>
      <c r="E216" s="378">
        <v>5</v>
      </c>
      <c r="F216" s="379"/>
      <c r="G216" s="380"/>
      <c r="H216" s="378">
        <v>5</v>
      </c>
      <c r="I216" s="379"/>
      <c r="J216" s="380"/>
      <c r="K216" s="378">
        <v>5</v>
      </c>
      <c r="L216" s="379"/>
      <c r="M216" s="380"/>
      <c r="N216" s="378">
        <v>5</v>
      </c>
      <c r="O216" s="379"/>
      <c r="P216" s="380"/>
      <c r="Q216" s="378">
        <v>5</v>
      </c>
      <c r="R216" s="379"/>
      <c r="S216" s="380"/>
      <c r="T216" s="378">
        <v>5</v>
      </c>
      <c r="U216" s="379"/>
      <c r="V216" s="380"/>
      <c r="W216" s="964"/>
      <c r="Y216" s="368" t="s">
        <v>1361</v>
      </c>
      <c r="Z216" s="369">
        <f>COUNTIF(B212:W223,Y216)</f>
        <v>2</v>
      </c>
      <c r="AA216" s="370"/>
      <c r="AC216" s="401" t="s">
        <v>1455</v>
      </c>
      <c r="AD216" s="394" t="s">
        <v>1400</v>
      </c>
    </row>
    <row r="217" spans="2:30" s="272" customFormat="1" ht="17" customHeight="1">
      <c r="B217" s="381">
        <v>1</v>
      </c>
      <c r="C217" s="375" t="s">
        <v>1359</v>
      </c>
      <c r="D217" s="382"/>
      <c r="E217" s="381">
        <v>1</v>
      </c>
      <c r="F217" s="375" t="s">
        <v>1359</v>
      </c>
      <c r="G217" s="382"/>
      <c r="H217" s="381">
        <v>1</v>
      </c>
      <c r="I217" s="375" t="s">
        <v>1359</v>
      </c>
      <c r="J217" s="382"/>
      <c r="K217" s="381">
        <v>1</v>
      </c>
      <c r="L217" s="375" t="s">
        <v>1358</v>
      </c>
      <c r="M217" s="382"/>
      <c r="N217" s="381">
        <v>1</v>
      </c>
      <c r="O217" s="375" t="s">
        <v>1358</v>
      </c>
      <c r="P217" s="382">
        <v>16</v>
      </c>
      <c r="Q217" s="381">
        <v>1</v>
      </c>
      <c r="R217" s="970" t="s">
        <v>54</v>
      </c>
      <c r="S217" s="971"/>
      <c r="T217" s="381">
        <v>1</v>
      </c>
      <c r="U217" s="375" t="s">
        <v>1361</v>
      </c>
      <c r="V217" s="382">
        <v>17</v>
      </c>
      <c r="W217" s="965" t="s">
        <v>1389</v>
      </c>
      <c r="Y217" s="368" t="s">
        <v>1363</v>
      </c>
      <c r="Z217" s="369">
        <f>COUNTIF(B212:W223,Y217)</f>
        <v>0</v>
      </c>
      <c r="AA217" s="370"/>
      <c r="AC217" s="401" t="s">
        <v>1401</v>
      </c>
      <c r="AD217" s="394" t="s">
        <v>1402</v>
      </c>
    </row>
    <row r="218" spans="2:30" s="272" customFormat="1" ht="17" customHeight="1">
      <c r="B218" s="371">
        <v>2</v>
      </c>
      <c r="C218" s="375" t="s">
        <v>1360</v>
      </c>
      <c r="D218" s="373"/>
      <c r="E218" s="371">
        <v>2</v>
      </c>
      <c r="F218" s="375" t="s">
        <v>1360</v>
      </c>
      <c r="G218" s="373"/>
      <c r="H218" s="371">
        <v>2</v>
      </c>
      <c r="I218" s="375" t="s">
        <v>1358</v>
      </c>
      <c r="J218" s="373"/>
      <c r="K218" s="371">
        <v>2</v>
      </c>
      <c r="L218" s="375" t="s">
        <v>1465</v>
      </c>
      <c r="M218" s="373"/>
      <c r="N218" s="371">
        <v>2</v>
      </c>
      <c r="O218" s="368" t="s">
        <v>1360</v>
      </c>
      <c r="P218" s="373">
        <v>16</v>
      </c>
      <c r="Q218" s="371">
        <v>2</v>
      </c>
      <c r="R218" s="972"/>
      <c r="S218" s="973"/>
      <c r="T218" s="371">
        <v>2</v>
      </c>
      <c r="U218" s="375" t="s">
        <v>1359</v>
      </c>
      <c r="V218" s="373">
        <v>17</v>
      </c>
      <c r="W218" s="963"/>
      <c r="Y218" s="368" t="s">
        <v>1455</v>
      </c>
      <c r="Z218" s="369">
        <f>COUNTIF(B212:W223,Y218)</f>
        <v>1</v>
      </c>
      <c r="AA218" s="370"/>
      <c r="AC218" s="401" t="s">
        <v>1413</v>
      </c>
      <c r="AD218" s="394" t="s">
        <v>1402</v>
      </c>
    </row>
    <row r="219" spans="2:30" s="272" customFormat="1" ht="17" customHeight="1">
      <c r="B219" s="371">
        <v>3</v>
      </c>
      <c r="C219" s="368"/>
      <c r="D219" s="373"/>
      <c r="E219" s="371">
        <v>3</v>
      </c>
      <c r="F219" s="375"/>
      <c r="G219" s="373"/>
      <c r="H219" s="371">
        <v>3</v>
      </c>
      <c r="I219" s="368"/>
      <c r="J219" s="373"/>
      <c r="K219" s="371">
        <v>3</v>
      </c>
      <c r="L219" s="368"/>
      <c r="M219" s="373"/>
      <c r="N219" s="371">
        <v>3</v>
      </c>
      <c r="O219" s="375" t="s">
        <v>1361</v>
      </c>
      <c r="P219" s="373">
        <v>21</v>
      </c>
      <c r="Q219" s="371">
        <v>3</v>
      </c>
      <c r="R219" s="972"/>
      <c r="S219" s="973"/>
      <c r="T219" s="371">
        <v>3</v>
      </c>
      <c r="U219" s="375" t="s">
        <v>1360</v>
      </c>
      <c r="V219" s="373">
        <v>17</v>
      </c>
      <c r="W219" s="963"/>
      <c r="Y219" s="368"/>
      <c r="Z219" s="369">
        <f>COUNTIF(B212:W223,Y219)</f>
        <v>0</v>
      </c>
      <c r="AA219" s="370"/>
      <c r="AC219" s="401" t="s">
        <v>1482</v>
      </c>
      <c r="AD219" s="394" t="s">
        <v>1466</v>
      </c>
    </row>
    <row r="220" spans="2:30" s="272" customFormat="1" ht="17" customHeight="1">
      <c r="B220" s="376">
        <v>4</v>
      </c>
      <c r="C220" s="375"/>
      <c r="D220" s="373"/>
      <c r="E220" s="376">
        <v>4</v>
      </c>
      <c r="F220" s="375"/>
      <c r="G220" s="373"/>
      <c r="H220" s="376">
        <v>4</v>
      </c>
      <c r="I220" s="375"/>
      <c r="J220" s="373"/>
      <c r="K220" s="376">
        <v>4</v>
      </c>
      <c r="L220" s="375"/>
      <c r="M220" s="373"/>
      <c r="N220" s="376">
        <v>4</v>
      </c>
      <c r="O220" s="375" t="s">
        <v>1455</v>
      </c>
      <c r="P220" s="373">
        <v>21</v>
      </c>
      <c r="Q220" s="376">
        <v>4</v>
      </c>
      <c r="R220" s="972"/>
      <c r="S220" s="973"/>
      <c r="T220" s="376">
        <v>4</v>
      </c>
      <c r="U220" s="368"/>
      <c r="V220" s="373"/>
      <c r="W220" s="963"/>
      <c r="Y220" s="368"/>
      <c r="Z220" s="369">
        <f>COUNTIF(B212:W223,Y220)</f>
        <v>0</v>
      </c>
      <c r="AA220" s="370"/>
      <c r="AC220" s="401" t="s">
        <v>1403</v>
      </c>
      <c r="AD220" s="394" t="s">
        <v>1502</v>
      </c>
    </row>
    <row r="221" spans="2:30" s="272" customFormat="1" ht="17" customHeight="1">
      <c r="B221" s="376">
        <v>5</v>
      </c>
      <c r="C221" s="375"/>
      <c r="D221" s="373"/>
      <c r="E221" s="376">
        <v>5</v>
      </c>
      <c r="F221" s="375"/>
      <c r="G221" s="373"/>
      <c r="H221" s="376">
        <v>5</v>
      </c>
      <c r="I221" s="375"/>
      <c r="J221" s="373"/>
      <c r="K221" s="376">
        <v>5</v>
      </c>
      <c r="L221" s="375"/>
      <c r="M221" s="373"/>
      <c r="N221" s="376">
        <v>5</v>
      </c>
      <c r="O221" s="375"/>
      <c r="P221" s="373"/>
      <c r="Q221" s="376">
        <v>5</v>
      </c>
      <c r="R221" s="972"/>
      <c r="S221" s="973"/>
      <c r="T221" s="376">
        <v>5</v>
      </c>
      <c r="U221" s="375"/>
      <c r="V221" s="373"/>
      <c r="W221" s="963"/>
      <c r="Y221" s="368"/>
      <c r="Z221" s="369">
        <f>COUNTIF(B212:W223,Y221)</f>
        <v>0</v>
      </c>
      <c r="AA221" s="370"/>
    </row>
    <row r="222" spans="2:30" s="272" customFormat="1" ht="17" customHeight="1">
      <c r="B222" s="371">
        <v>6</v>
      </c>
      <c r="C222" s="375"/>
      <c r="D222" s="373"/>
      <c r="E222" s="371">
        <v>6</v>
      </c>
      <c r="F222" s="375"/>
      <c r="G222" s="373"/>
      <c r="H222" s="371">
        <v>6</v>
      </c>
      <c r="I222" s="375"/>
      <c r="J222" s="373"/>
      <c r="K222" s="371">
        <v>6</v>
      </c>
      <c r="L222" s="375"/>
      <c r="M222" s="373"/>
      <c r="N222" s="371">
        <v>6</v>
      </c>
      <c r="O222" s="375"/>
      <c r="P222" s="373"/>
      <c r="Q222" s="371">
        <v>6</v>
      </c>
      <c r="R222" s="972"/>
      <c r="S222" s="973"/>
      <c r="T222" s="371">
        <v>6</v>
      </c>
      <c r="U222" s="375"/>
      <c r="V222" s="373"/>
      <c r="W222" s="963"/>
      <c r="Y222" s="368"/>
      <c r="Z222" s="369">
        <f>COUNTIF(B212:W223,Y222)</f>
        <v>0</v>
      </c>
      <c r="AA222" s="370"/>
    </row>
    <row r="223" spans="2:30" s="272" customFormat="1" ht="18" customHeight="1" thickBot="1">
      <c r="B223" s="378">
        <v>7</v>
      </c>
      <c r="C223" s="379"/>
      <c r="D223" s="380"/>
      <c r="E223" s="378">
        <v>7</v>
      </c>
      <c r="F223" s="379"/>
      <c r="G223" s="380"/>
      <c r="H223" s="378">
        <v>7</v>
      </c>
      <c r="I223" s="379"/>
      <c r="J223" s="380"/>
      <c r="K223" s="378">
        <v>7</v>
      </c>
      <c r="L223" s="379"/>
      <c r="M223" s="380"/>
      <c r="N223" s="378">
        <v>7</v>
      </c>
      <c r="O223" s="379"/>
      <c r="P223" s="380"/>
      <c r="Q223" s="378">
        <v>7</v>
      </c>
      <c r="R223" s="974"/>
      <c r="S223" s="975"/>
      <c r="T223" s="378">
        <v>7</v>
      </c>
      <c r="U223" s="379"/>
      <c r="V223" s="380"/>
      <c r="W223" s="964"/>
      <c r="Y223" s="368"/>
      <c r="Z223" s="369">
        <f>COUNTIF(B212:W223,Y223)</f>
        <v>0</v>
      </c>
      <c r="AA223" s="370"/>
    </row>
    <row r="224" spans="2:30" s="272" customFormat="1" ht="16" thickBot="1">
      <c r="B224" s="966" t="s">
        <v>1503</v>
      </c>
      <c r="C224" s="966"/>
      <c r="D224" s="966"/>
      <c r="E224" s="234"/>
      <c r="F224" s="368"/>
      <c r="G224" s="279"/>
      <c r="I224" s="368"/>
      <c r="J224" s="279"/>
      <c r="L224" s="368"/>
      <c r="M224" s="279"/>
      <c r="N224" s="966" t="s">
        <v>1504</v>
      </c>
      <c r="O224" s="966"/>
      <c r="P224" s="966"/>
      <c r="Q224" s="966" t="s">
        <v>1505</v>
      </c>
      <c r="R224" s="966"/>
      <c r="S224" s="966"/>
      <c r="T224" s="966" t="s">
        <v>1505</v>
      </c>
      <c r="U224" s="966"/>
      <c r="V224" s="966"/>
      <c r="W224" s="966"/>
      <c r="Y224" s="368"/>
      <c r="Z224" s="369"/>
      <c r="AA224" s="370"/>
    </row>
    <row r="225" spans="2:27" s="272" customFormat="1">
      <c r="B225" s="997" t="s">
        <v>1506</v>
      </c>
      <c r="C225" s="998"/>
      <c r="D225" s="999"/>
      <c r="E225" s="997" t="s">
        <v>1507</v>
      </c>
      <c r="F225" s="998"/>
      <c r="G225" s="999"/>
      <c r="H225" s="997" t="s">
        <v>1508</v>
      </c>
      <c r="I225" s="998"/>
      <c r="J225" s="999"/>
      <c r="K225" s="997" t="s">
        <v>1509</v>
      </c>
      <c r="L225" s="998"/>
      <c r="M225" s="999"/>
      <c r="N225" s="997" t="s">
        <v>1510</v>
      </c>
      <c r="O225" s="998"/>
      <c r="P225" s="999"/>
      <c r="Q225" s="997" t="s">
        <v>1511</v>
      </c>
      <c r="R225" s="998"/>
      <c r="S225" s="999"/>
      <c r="T225" s="997" t="s">
        <v>1512</v>
      </c>
      <c r="U225" s="998"/>
      <c r="V225" s="998"/>
      <c r="W225" s="999"/>
      <c r="Y225" s="368" t="s">
        <v>1357</v>
      </c>
      <c r="Z225" s="369">
        <f>COUNTIF(B226:W237,Y225)</f>
        <v>5</v>
      </c>
      <c r="AA225" s="370"/>
    </row>
    <row r="226" spans="2:27" s="272" customFormat="1" ht="17" customHeight="1">
      <c r="B226" s="371">
        <v>1</v>
      </c>
      <c r="C226" s="372" t="s">
        <v>1357</v>
      </c>
      <c r="D226" s="373"/>
      <c r="E226" s="371">
        <v>1</v>
      </c>
      <c r="F226" s="372" t="s">
        <v>1354</v>
      </c>
      <c r="G226" s="373"/>
      <c r="H226" s="371">
        <v>1</v>
      </c>
      <c r="I226" s="956" t="s">
        <v>1387</v>
      </c>
      <c r="J226" s="957"/>
      <c r="K226" s="371">
        <v>1</v>
      </c>
      <c r="L226" s="372" t="s">
        <v>1357</v>
      </c>
      <c r="M226" s="373"/>
      <c r="N226" s="371">
        <v>1</v>
      </c>
      <c r="O226" s="372" t="s">
        <v>1354</v>
      </c>
      <c r="P226" s="373"/>
      <c r="Q226" s="371">
        <v>1</v>
      </c>
      <c r="R226" s="372" t="s">
        <v>1357</v>
      </c>
      <c r="S226" s="373"/>
      <c r="T226" s="371">
        <v>1</v>
      </c>
      <c r="U226" s="372" t="s">
        <v>1357</v>
      </c>
      <c r="V226" s="373"/>
      <c r="W226" s="962" t="s">
        <v>119</v>
      </c>
      <c r="Y226" s="368" t="s">
        <v>1354</v>
      </c>
      <c r="Z226" s="369">
        <f>COUNTIF(B226:W237,Y226)</f>
        <v>5</v>
      </c>
      <c r="AA226" s="370"/>
    </row>
    <row r="227" spans="2:27" s="272" customFormat="1" ht="17" customHeight="1">
      <c r="B227" s="371">
        <v>2</v>
      </c>
      <c r="C227" s="372" t="s">
        <v>1354</v>
      </c>
      <c r="D227" s="373"/>
      <c r="E227" s="371">
        <v>2</v>
      </c>
      <c r="F227" s="549" t="s">
        <v>1454</v>
      </c>
      <c r="G227" s="373"/>
      <c r="H227" s="371">
        <v>2</v>
      </c>
      <c r="I227" s="958"/>
      <c r="J227" s="959"/>
      <c r="K227" s="371">
        <v>2</v>
      </c>
      <c r="L227" s="549" t="s">
        <v>1454</v>
      </c>
      <c r="M227" s="373"/>
      <c r="N227" s="371">
        <v>2</v>
      </c>
      <c r="O227" s="372" t="s">
        <v>1357</v>
      </c>
      <c r="P227" s="373"/>
      <c r="Q227" s="371">
        <v>2</v>
      </c>
      <c r="R227" s="372" t="s">
        <v>1354</v>
      </c>
      <c r="S227" s="373"/>
      <c r="T227" s="371">
        <v>2</v>
      </c>
      <c r="U227" s="372" t="s">
        <v>1354</v>
      </c>
      <c r="V227" s="373"/>
      <c r="W227" s="963"/>
      <c r="Y227" s="368" t="s">
        <v>1358</v>
      </c>
      <c r="Z227" s="369">
        <f>COUNTIF(B226:W237,Y227)</f>
        <v>4</v>
      </c>
      <c r="AA227" s="370"/>
    </row>
    <row r="228" spans="2:27" s="272" customFormat="1" ht="17" customHeight="1">
      <c r="B228" s="371">
        <v>3</v>
      </c>
      <c r="C228" s="550" t="s">
        <v>1501</v>
      </c>
      <c r="D228" s="373"/>
      <c r="E228" s="371">
        <v>3</v>
      </c>
      <c r="F228" s="375"/>
      <c r="G228" s="373"/>
      <c r="H228" s="371">
        <v>3</v>
      </c>
      <c r="I228" s="958"/>
      <c r="J228" s="959"/>
      <c r="K228" s="371">
        <v>3</v>
      </c>
      <c r="L228" s="375"/>
      <c r="M228" s="373"/>
      <c r="N228" s="371">
        <v>3</v>
      </c>
      <c r="O228" s="550" t="s">
        <v>1367</v>
      </c>
      <c r="P228" s="373"/>
      <c r="Q228" s="371">
        <v>3</v>
      </c>
      <c r="R228" s="550" t="s">
        <v>1367</v>
      </c>
      <c r="S228" s="373">
        <v>9</v>
      </c>
      <c r="T228" s="371">
        <v>3</v>
      </c>
      <c r="U228" s="550" t="s">
        <v>1367</v>
      </c>
      <c r="V228" s="373"/>
      <c r="W228" s="963"/>
      <c r="Y228" s="368" t="s">
        <v>1359</v>
      </c>
      <c r="Z228" s="369">
        <f>COUNTIF(B226:W237,Y228)</f>
        <v>5</v>
      </c>
      <c r="AA228" s="370"/>
    </row>
    <row r="229" spans="2:27" s="272" customFormat="1" ht="17" customHeight="1">
      <c r="B229" s="376">
        <v>4</v>
      </c>
      <c r="C229" s="549"/>
      <c r="D229" s="373"/>
      <c r="E229" s="376">
        <v>4</v>
      </c>
      <c r="F229" s="377"/>
      <c r="G229" s="373"/>
      <c r="H229" s="376">
        <v>4</v>
      </c>
      <c r="I229" s="958"/>
      <c r="J229" s="959"/>
      <c r="K229" s="376">
        <v>4</v>
      </c>
      <c r="L229" s="377"/>
      <c r="M229" s="373"/>
      <c r="N229" s="376">
        <v>4</v>
      </c>
      <c r="O229" s="549" t="s">
        <v>1454</v>
      </c>
      <c r="P229" s="373"/>
      <c r="Q229" s="376">
        <v>4</v>
      </c>
      <c r="R229" s="377"/>
      <c r="S229" s="373"/>
      <c r="T229" s="376">
        <v>4</v>
      </c>
      <c r="U229" s="549" t="s">
        <v>1454</v>
      </c>
      <c r="V229" s="373"/>
      <c r="W229" s="963"/>
      <c r="Y229" s="368" t="s">
        <v>1360</v>
      </c>
      <c r="Z229" s="369">
        <f>COUNTIF(B226:W237,Y229)</f>
        <v>5</v>
      </c>
      <c r="AA229" s="370"/>
    </row>
    <row r="230" spans="2:27" s="272" customFormat="1" ht="18" customHeight="1" thickBot="1">
      <c r="B230" s="378">
        <v>5</v>
      </c>
      <c r="C230" s="379"/>
      <c r="D230" s="380"/>
      <c r="E230" s="378">
        <v>5</v>
      </c>
      <c r="F230" s="379"/>
      <c r="G230" s="380"/>
      <c r="H230" s="378">
        <v>5</v>
      </c>
      <c r="I230" s="960"/>
      <c r="J230" s="961"/>
      <c r="K230" s="378">
        <v>5</v>
      </c>
      <c r="L230" s="379"/>
      <c r="M230" s="380"/>
      <c r="N230" s="378">
        <v>5</v>
      </c>
      <c r="O230" s="379"/>
      <c r="P230" s="380"/>
      <c r="Q230" s="378">
        <v>5</v>
      </c>
      <c r="R230" s="379"/>
      <c r="S230" s="380"/>
      <c r="T230" s="378">
        <v>5</v>
      </c>
      <c r="U230" s="551" t="s">
        <v>1491</v>
      </c>
      <c r="V230" s="380"/>
      <c r="W230" s="964"/>
      <c r="Y230" s="368" t="s">
        <v>1361</v>
      </c>
      <c r="Z230" s="369">
        <f>COUNTIF(B226:W237,Y230)</f>
        <v>3</v>
      </c>
      <c r="AA230" s="370"/>
    </row>
    <row r="231" spans="2:27" s="272" customFormat="1" ht="17" customHeight="1">
      <c r="B231" s="381">
        <v>1</v>
      </c>
      <c r="C231" s="375" t="s">
        <v>1359</v>
      </c>
      <c r="D231" s="382"/>
      <c r="E231" s="381">
        <v>1</v>
      </c>
      <c r="F231" s="375" t="s">
        <v>1359</v>
      </c>
      <c r="G231" s="382"/>
      <c r="H231" s="381">
        <v>1</v>
      </c>
      <c r="I231" s="375" t="s">
        <v>1359</v>
      </c>
      <c r="J231" s="382"/>
      <c r="K231" s="381">
        <v>1</v>
      </c>
      <c r="L231" s="375" t="s">
        <v>1465</v>
      </c>
      <c r="M231" s="382"/>
      <c r="N231" s="381">
        <v>1</v>
      </c>
      <c r="O231" s="375" t="s">
        <v>1358</v>
      </c>
      <c r="P231" s="382">
        <v>16</v>
      </c>
      <c r="Q231" s="381">
        <v>1</v>
      </c>
      <c r="R231" s="375" t="s">
        <v>1360</v>
      </c>
      <c r="S231" s="382"/>
      <c r="T231" s="381">
        <v>1</v>
      </c>
      <c r="U231" s="375" t="s">
        <v>1361</v>
      </c>
      <c r="V231" s="382">
        <v>16</v>
      </c>
      <c r="W231" s="965" t="s">
        <v>1389</v>
      </c>
      <c r="Y231" s="368" t="s">
        <v>1363</v>
      </c>
      <c r="Z231" s="369">
        <f>COUNTIF(B226:W237,Y231)</f>
        <v>2</v>
      </c>
      <c r="AA231" s="370"/>
    </row>
    <row r="232" spans="2:27" s="272" customFormat="1" ht="17" customHeight="1">
      <c r="B232" s="371">
        <v>2</v>
      </c>
      <c r="C232" s="375" t="s">
        <v>1360</v>
      </c>
      <c r="D232" s="373"/>
      <c r="E232" s="371">
        <v>2</v>
      </c>
      <c r="F232" s="375" t="s">
        <v>1358</v>
      </c>
      <c r="G232" s="373"/>
      <c r="H232" s="371">
        <v>2</v>
      </c>
      <c r="I232" s="375" t="s">
        <v>1360</v>
      </c>
      <c r="J232" s="373"/>
      <c r="K232" s="371">
        <v>2</v>
      </c>
      <c r="L232" s="375" t="s">
        <v>1360</v>
      </c>
      <c r="M232" s="373"/>
      <c r="N232" s="371">
        <v>2</v>
      </c>
      <c r="O232" s="368" t="s">
        <v>1360</v>
      </c>
      <c r="P232" s="373">
        <v>16</v>
      </c>
      <c r="Q232" s="371">
        <v>2</v>
      </c>
      <c r="R232" s="368" t="s">
        <v>1359</v>
      </c>
      <c r="S232" s="373"/>
      <c r="T232" s="371">
        <v>2</v>
      </c>
      <c r="U232" s="375" t="s">
        <v>1363</v>
      </c>
      <c r="V232" s="373">
        <v>16</v>
      </c>
      <c r="W232" s="963"/>
      <c r="Y232" s="368" t="s">
        <v>1455</v>
      </c>
      <c r="Z232" s="369">
        <f>COUNTIF(B226:W237,Y232)</f>
        <v>2</v>
      </c>
      <c r="AA232" s="370"/>
    </row>
    <row r="233" spans="2:27" s="272" customFormat="1" ht="17" customHeight="1">
      <c r="B233" s="371">
        <v>3</v>
      </c>
      <c r="C233" s="401" t="s">
        <v>1513</v>
      </c>
      <c r="D233" s="385"/>
      <c r="E233" s="371">
        <v>3</v>
      </c>
      <c r="F233" s="375"/>
      <c r="G233" s="373"/>
      <c r="H233" s="371">
        <v>3</v>
      </c>
      <c r="I233" s="401" t="s">
        <v>1482</v>
      </c>
      <c r="J233" s="385"/>
      <c r="K233" s="371">
        <v>3</v>
      </c>
      <c r="L233" s="368" t="s">
        <v>1514</v>
      </c>
      <c r="M233" s="373"/>
      <c r="N233" s="371">
        <v>3</v>
      </c>
      <c r="O233" s="375" t="s">
        <v>1361</v>
      </c>
      <c r="P233" s="373">
        <v>21</v>
      </c>
      <c r="Q233" s="371">
        <v>3</v>
      </c>
      <c r="R233" s="402" t="s">
        <v>1358</v>
      </c>
      <c r="S233" s="403"/>
      <c r="T233" s="371">
        <v>3</v>
      </c>
      <c r="U233" s="375" t="s">
        <v>1358</v>
      </c>
      <c r="V233" s="373">
        <v>17</v>
      </c>
      <c r="W233" s="963"/>
      <c r="Y233" s="368"/>
      <c r="Z233" s="369">
        <f>COUNTIF(B226:W237,Y233)</f>
        <v>0</v>
      </c>
      <c r="AA233" s="370"/>
    </row>
    <row r="234" spans="2:27" s="272" customFormat="1" ht="17" customHeight="1">
      <c r="B234" s="376">
        <v>4</v>
      </c>
      <c r="C234" s="375"/>
      <c r="D234" s="373"/>
      <c r="E234" s="376">
        <v>4</v>
      </c>
      <c r="F234" s="375"/>
      <c r="G234" s="373"/>
      <c r="H234" s="376">
        <v>4</v>
      </c>
      <c r="I234" s="375"/>
      <c r="J234" s="373"/>
      <c r="K234" s="376">
        <v>4</v>
      </c>
      <c r="L234" s="375"/>
      <c r="M234" s="373"/>
      <c r="N234" s="376">
        <v>4</v>
      </c>
      <c r="O234" s="375" t="s">
        <v>1455</v>
      </c>
      <c r="P234" s="373">
        <v>21</v>
      </c>
      <c r="Q234" s="376">
        <v>4</v>
      </c>
      <c r="R234" s="375" t="s">
        <v>1361</v>
      </c>
      <c r="S234" s="373"/>
      <c r="T234" s="376">
        <v>4</v>
      </c>
      <c r="U234" s="368" t="s">
        <v>1359</v>
      </c>
      <c r="V234" s="373">
        <v>17</v>
      </c>
      <c r="W234" s="963"/>
      <c r="Y234" s="368"/>
      <c r="Z234" s="369">
        <f>COUNTIF(B226:W237,Y234)</f>
        <v>0</v>
      </c>
      <c r="AA234" s="370"/>
    </row>
    <row r="235" spans="2:27" s="272" customFormat="1" ht="17" customHeight="1">
      <c r="B235" s="376">
        <v>5</v>
      </c>
      <c r="C235" s="375"/>
      <c r="D235" s="373"/>
      <c r="E235" s="376">
        <v>5</v>
      </c>
      <c r="F235" s="375"/>
      <c r="G235" s="373"/>
      <c r="H235" s="376">
        <v>5</v>
      </c>
      <c r="I235" s="375"/>
      <c r="J235" s="373"/>
      <c r="K235" s="376">
        <v>5</v>
      </c>
      <c r="L235" s="375"/>
      <c r="M235" s="373"/>
      <c r="N235" s="376">
        <v>5</v>
      </c>
      <c r="O235" s="375"/>
      <c r="P235" s="373"/>
      <c r="Q235" s="376">
        <v>5</v>
      </c>
      <c r="R235" s="375" t="s">
        <v>1455</v>
      </c>
      <c r="S235" s="373"/>
      <c r="T235" s="376">
        <v>5</v>
      </c>
      <c r="U235" s="375"/>
      <c r="V235" s="373"/>
      <c r="W235" s="963"/>
      <c r="Y235" s="368"/>
      <c r="Z235" s="369">
        <f>COUNTIF(B226:W237,Y235)</f>
        <v>0</v>
      </c>
      <c r="AA235" s="370"/>
    </row>
    <row r="236" spans="2:27" s="272" customFormat="1" ht="17" customHeight="1">
      <c r="B236" s="371">
        <v>6</v>
      </c>
      <c r="C236" s="375"/>
      <c r="D236" s="373"/>
      <c r="E236" s="371">
        <v>6</v>
      </c>
      <c r="F236" s="375"/>
      <c r="G236" s="373"/>
      <c r="H236" s="371">
        <v>6</v>
      </c>
      <c r="I236" s="375"/>
      <c r="J236" s="373"/>
      <c r="K236" s="371">
        <v>6</v>
      </c>
      <c r="L236" s="375"/>
      <c r="M236" s="373"/>
      <c r="N236" s="371">
        <v>6</v>
      </c>
      <c r="O236" s="375"/>
      <c r="P236" s="373"/>
      <c r="Q236" s="371">
        <v>6</v>
      </c>
      <c r="R236" s="383" t="s">
        <v>1363</v>
      </c>
      <c r="S236" s="385"/>
      <c r="T236" s="371">
        <v>6</v>
      </c>
      <c r="U236" s="375"/>
      <c r="V236" s="373"/>
      <c r="W236" s="963"/>
      <c r="Y236" s="368"/>
      <c r="Z236" s="369">
        <f>COUNTIF(B226:W237,Y236)</f>
        <v>0</v>
      </c>
      <c r="AA236" s="370"/>
    </row>
    <row r="237" spans="2:27" s="272" customFormat="1" ht="18" customHeight="1" thickBot="1">
      <c r="B237" s="378">
        <v>7</v>
      </c>
      <c r="C237" s="379"/>
      <c r="D237" s="380"/>
      <c r="E237" s="378">
        <v>7</v>
      </c>
      <c r="F237" s="379"/>
      <c r="G237" s="380"/>
      <c r="H237" s="378">
        <v>7</v>
      </c>
      <c r="I237" s="379"/>
      <c r="J237" s="380"/>
      <c r="K237" s="378">
        <v>7</v>
      </c>
      <c r="L237" s="379"/>
      <c r="M237" s="380"/>
      <c r="N237" s="378">
        <v>7</v>
      </c>
      <c r="O237" s="379"/>
      <c r="P237" s="380"/>
      <c r="Q237" s="378">
        <v>7</v>
      </c>
      <c r="R237" s="379"/>
      <c r="S237" s="380"/>
      <c r="T237" s="378">
        <v>7</v>
      </c>
      <c r="U237" s="379"/>
      <c r="V237" s="380"/>
      <c r="W237" s="964"/>
      <c r="Y237" s="368"/>
      <c r="Z237" s="369">
        <f>COUNTIF(B226:W237,Y237)</f>
        <v>0</v>
      </c>
      <c r="AA237" s="370"/>
    </row>
    <row r="238" spans="2:27" s="272" customFormat="1" ht="16" thickBot="1">
      <c r="B238" s="966"/>
      <c r="C238" s="966"/>
      <c r="D238" s="966"/>
      <c r="E238" s="234"/>
      <c r="F238" s="368"/>
      <c r="G238" s="279"/>
      <c r="I238" s="368"/>
      <c r="J238" s="279"/>
      <c r="L238" s="368"/>
      <c r="M238" s="279"/>
      <c r="N238" s="966"/>
      <c r="O238" s="966"/>
      <c r="P238" s="966"/>
      <c r="Q238" s="966"/>
      <c r="R238" s="966"/>
      <c r="S238" s="966"/>
      <c r="T238" s="966"/>
      <c r="U238" s="966"/>
      <c r="V238" s="966"/>
      <c r="W238" s="966"/>
      <c r="Y238" s="368"/>
      <c r="Z238" s="369"/>
      <c r="AA238" s="370"/>
    </row>
    <row r="239" spans="2:27" s="272" customFormat="1">
      <c r="B239" s="997" t="s">
        <v>1515</v>
      </c>
      <c r="C239" s="998"/>
      <c r="D239" s="999"/>
      <c r="E239" s="997" t="s">
        <v>1516</v>
      </c>
      <c r="F239" s="998"/>
      <c r="G239" s="999"/>
      <c r="H239" s="997" t="s">
        <v>1517</v>
      </c>
      <c r="I239" s="998"/>
      <c r="J239" s="999"/>
      <c r="K239" s="967" t="s">
        <v>1518</v>
      </c>
      <c r="L239" s="968"/>
      <c r="M239" s="969"/>
      <c r="N239" s="967" t="s">
        <v>1519</v>
      </c>
      <c r="O239" s="968"/>
      <c r="P239" s="969"/>
      <c r="Q239" s="967" t="s">
        <v>1520</v>
      </c>
      <c r="R239" s="968"/>
      <c r="S239" s="969"/>
      <c r="T239" s="967" t="s">
        <v>1521</v>
      </c>
      <c r="U239" s="968"/>
      <c r="V239" s="968"/>
      <c r="W239" s="969"/>
      <c r="Y239" s="368" t="s">
        <v>1357</v>
      </c>
      <c r="Z239" s="369">
        <f>COUNTIF(B240:W251,Y239)</f>
        <v>5</v>
      </c>
      <c r="AA239" s="370"/>
    </row>
    <row r="240" spans="2:27" s="272" customFormat="1" ht="17" customHeight="1">
      <c r="B240" s="371">
        <v>1</v>
      </c>
      <c r="C240" s="956" t="s">
        <v>1387</v>
      </c>
      <c r="D240" s="957"/>
      <c r="E240" s="371">
        <v>1</v>
      </c>
      <c r="F240" s="372" t="s">
        <v>1354</v>
      </c>
      <c r="G240" s="373"/>
      <c r="H240" s="371">
        <v>1</v>
      </c>
      <c r="I240" s="372" t="s">
        <v>1357</v>
      </c>
      <c r="J240" s="373"/>
      <c r="K240" s="371">
        <v>1</v>
      </c>
      <c r="L240" s="372" t="s">
        <v>1354</v>
      </c>
      <c r="M240" s="373"/>
      <c r="N240" s="371">
        <v>1</v>
      </c>
      <c r="O240" s="372" t="s">
        <v>1354</v>
      </c>
      <c r="P240" s="373"/>
      <c r="Q240" s="371">
        <v>1</v>
      </c>
      <c r="R240" s="372" t="s">
        <v>1357</v>
      </c>
      <c r="S240" s="373"/>
      <c r="T240" s="371">
        <v>1</v>
      </c>
      <c r="U240" s="372" t="s">
        <v>1357</v>
      </c>
      <c r="V240" s="373"/>
      <c r="W240" s="962" t="s">
        <v>119</v>
      </c>
      <c r="Y240" s="368" t="s">
        <v>1354</v>
      </c>
      <c r="Z240" s="369">
        <f>COUNTIF(B240:W251,Y240)</f>
        <v>5</v>
      </c>
      <c r="AA240" s="370"/>
    </row>
    <row r="241" spans="2:27" s="272" customFormat="1" ht="17" customHeight="1">
      <c r="B241" s="371">
        <v>2</v>
      </c>
      <c r="C241" s="958"/>
      <c r="D241" s="959"/>
      <c r="E241" s="371">
        <v>2</v>
      </c>
      <c r="F241" s="396" t="s">
        <v>1454</v>
      </c>
      <c r="G241" s="373"/>
      <c r="H241" s="371">
        <v>2</v>
      </c>
      <c r="I241" s="396" t="s">
        <v>1454</v>
      </c>
      <c r="J241" s="373"/>
      <c r="K241" s="371">
        <v>2</v>
      </c>
      <c r="L241" s="372" t="s">
        <v>1357</v>
      </c>
      <c r="M241" s="373"/>
      <c r="N241" s="371">
        <v>2</v>
      </c>
      <c r="O241" s="372" t="s">
        <v>1357</v>
      </c>
      <c r="P241" s="373"/>
      <c r="Q241" s="371">
        <v>2</v>
      </c>
      <c r="R241" s="372" t="s">
        <v>1354</v>
      </c>
      <c r="S241" s="373"/>
      <c r="T241" s="371">
        <v>2</v>
      </c>
      <c r="U241" s="372" t="s">
        <v>1354</v>
      </c>
      <c r="V241" s="373"/>
      <c r="W241" s="963"/>
      <c r="Y241" s="368" t="s">
        <v>1358</v>
      </c>
      <c r="Z241" s="369">
        <f>COUNTIF(B240:W251,Y241)</f>
        <v>6</v>
      </c>
      <c r="AA241" s="370"/>
    </row>
    <row r="242" spans="2:27" s="272" customFormat="1" ht="17" customHeight="1">
      <c r="B242" s="371">
        <v>3</v>
      </c>
      <c r="C242" s="958"/>
      <c r="D242" s="959"/>
      <c r="E242" s="371">
        <v>3</v>
      </c>
      <c r="F242" s="375"/>
      <c r="G242" s="373"/>
      <c r="H242" s="371">
        <v>3</v>
      </c>
      <c r="I242" s="375"/>
      <c r="J242" s="373"/>
      <c r="K242" s="371">
        <v>3</v>
      </c>
      <c r="L242" s="375"/>
      <c r="M242" s="373"/>
      <c r="N242" s="371">
        <v>3</v>
      </c>
      <c r="O242" s="375"/>
      <c r="P242" s="373"/>
      <c r="Q242" s="371">
        <v>3</v>
      </c>
      <c r="R242" s="375"/>
      <c r="S242" s="373"/>
      <c r="T242" s="371">
        <v>3</v>
      </c>
      <c r="U242" s="375" t="s">
        <v>1367</v>
      </c>
      <c r="V242" s="373"/>
      <c r="W242" s="963"/>
      <c r="Y242" s="368" t="s">
        <v>1359</v>
      </c>
      <c r="Z242" s="369">
        <f>COUNTIF(B240:W251,Y242)</f>
        <v>5</v>
      </c>
      <c r="AA242" s="370"/>
    </row>
    <row r="243" spans="2:27" s="272" customFormat="1" ht="17" customHeight="1">
      <c r="B243" s="376">
        <v>4</v>
      </c>
      <c r="C243" s="958"/>
      <c r="D243" s="959"/>
      <c r="E243" s="376">
        <v>4</v>
      </c>
      <c r="F243" s="377"/>
      <c r="G243" s="373"/>
      <c r="H243" s="376">
        <v>4</v>
      </c>
      <c r="I243" s="377"/>
      <c r="J243" s="373"/>
      <c r="K243" s="376">
        <v>4</v>
      </c>
      <c r="L243" s="377"/>
      <c r="M243" s="373"/>
      <c r="N243" s="376">
        <v>4</v>
      </c>
      <c r="O243" s="377"/>
      <c r="P243" s="373"/>
      <c r="Q243" s="376">
        <v>4</v>
      </c>
      <c r="R243" s="377"/>
      <c r="S243" s="373"/>
      <c r="T243" s="376">
        <v>4</v>
      </c>
      <c r="U243" s="377" t="s">
        <v>1454</v>
      </c>
      <c r="V243" s="373"/>
      <c r="W243" s="963"/>
      <c r="Y243" s="368" t="s">
        <v>1360</v>
      </c>
      <c r="Z243" s="369">
        <f>COUNTIF(B240:W251,Y243)</f>
        <v>4</v>
      </c>
      <c r="AA243" s="370"/>
    </row>
    <row r="244" spans="2:27" s="272" customFormat="1" ht="18" customHeight="1" thickBot="1">
      <c r="B244" s="378">
        <v>5</v>
      </c>
      <c r="C244" s="960"/>
      <c r="D244" s="961"/>
      <c r="E244" s="378">
        <v>5</v>
      </c>
      <c r="F244" s="379"/>
      <c r="G244" s="380"/>
      <c r="H244" s="378">
        <v>5</v>
      </c>
      <c r="I244" s="379"/>
      <c r="J244" s="380"/>
      <c r="K244" s="378">
        <v>5</v>
      </c>
      <c r="L244" s="379"/>
      <c r="M244" s="380"/>
      <c r="N244" s="378">
        <v>5</v>
      </c>
      <c r="O244" s="379"/>
      <c r="P244" s="380"/>
      <c r="Q244" s="378">
        <v>5</v>
      </c>
      <c r="R244" s="379"/>
      <c r="S244" s="380"/>
      <c r="T244" s="378">
        <v>5</v>
      </c>
      <c r="U244" s="379"/>
      <c r="V244" s="380"/>
      <c r="W244" s="964"/>
      <c r="Y244" s="368" t="s">
        <v>1361</v>
      </c>
      <c r="Z244" s="369">
        <f>COUNTIF(B240:W251,Y244)</f>
        <v>3</v>
      </c>
      <c r="AA244" s="370"/>
    </row>
    <row r="245" spans="2:27" s="272" customFormat="1" ht="17" customHeight="1">
      <c r="B245" s="381">
        <v>1</v>
      </c>
      <c r="C245" s="375" t="s">
        <v>1359</v>
      </c>
      <c r="D245" s="382"/>
      <c r="E245" s="381">
        <v>1</v>
      </c>
      <c r="F245" s="375" t="s">
        <v>1359</v>
      </c>
      <c r="G245" s="382"/>
      <c r="H245" s="381">
        <v>1</v>
      </c>
      <c r="I245" s="375" t="s">
        <v>1359</v>
      </c>
      <c r="J245" s="382"/>
      <c r="K245" s="381">
        <v>1</v>
      </c>
      <c r="L245" s="375" t="s">
        <v>1358</v>
      </c>
      <c r="M245" s="382"/>
      <c r="N245" s="381">
        <v>1</v>
      </c>
      <c r="O245" s="375" t="s">
        <v>1358</v>
      </c>
      <c r="P245" s="382">
        <v>16</v>
      </c>
      <c r="Q245" s="381">
        <v>1</v>
      </c>
      <c r="R245" s="375" t="s">
        <v>1360</v>
      </c>
      <c r="S245" s="382"/>
      <c r="T245" s="381">
        <v>1</v>
      </c>
      <c r="U245" s="375" t="s">
        <v>1361</v>
      </c>
      <c r="V245" s="382">
        <v>17</v>
      </c>
      <c r="W245" s="965" t="s">
        <v>1389</v>
      </c>
      <c r="Y245" s="368" t="s">
        <v>1363</v>
      </c>
      <c r="Z245" s="369">
        <f>COUNTIF(B240:W251,Y245)</f>
        <v>3</v>
      </c>
      <c r="AA245" s="370"/>
    </row>
    <row r="246" spans="2:27" s="272" customFormat="1" ht="17" customHeight="1">
      <c r="B246" s="371">
        <v>2</v>
      </c>
      <c r="C246" s="375" t="s">
        <v>1358</v>
      </c>
      <c r="D246" s="373"/>
      <c r="E246" s="371">
        <v>2</v>
      </c>
      <c r="F246" s="375" t="s">
        <v>1358</v>
      </c>
      <c r="G246" s="373"/>
      <c r="H246" s="371">
        <v>2</v>
      </c>
      <c r="I246" s="375" t="s">
        <v>1360</v>
      </c>
      <c r="J246" s="373"/>
      <c r="K246" s="371">
        <v>2</v>
      </c>
      <c r="L246" s="375" t="s">
        <v>1360</v>
      </c>
      <c r="M246" s="373"/>
      <c r="N246" s="371">
        <v>2</v>
      </c>
      <c r="O246" s="368" t="s">
        <v>1360</v>
      </c>
      <c r="P246" s="373">
        <v>16</v>
      </c>
      <c r="Q246" s="371">
        <v>2</v>
      </c>
      <c r="R246" s="368" t="s">
        <v>1359</v>
      </c>
      <c r="S246" s="373"/>
      <c r="T246" s="371">
        <v>2</v>
      </c>
      <c r="U246" s="375" t="s">
        <v>1363</v>
      </c>
      <c r="V246" s="373">
        <v>17</v>
      </c>
      <c r="W246" s="963"/>
      <c r="Y246" s="368" t="s">
        <v>1455</v>
      </c>
      <c r="Z246" s="369">
        <f>COUNTIF(B240:W251,Y246)</f>
        <v>2</v>
      </c>
      <c r="AA246" s="370"/>
    </row>
    <row r="247" spans="2:27" s="272" customFormat="1" ht="17" customHeight="1">
      <c r="B247" s="371">
        <v>3</v>
      </c>
      <c r="C247" s="368"/>
      <c r="D247" s="373"/>
      <c r="E247" s="371">
        <v>3</v>
      </c>
      <c r="F247" s="375"/>
      <c r="G247" s="373"/>
      <c r="H247" s="371">
        <v>3</v>
      </c>
      <c r="I247" s="368" t="s">
        <v>1455</v>
      </c>
      <c r="J247" s="373"/>
      <c r="K247" s="371">
        <v>3</v>
      </c>
      <c r="L247" s="368" t="s">
        <v>1455</v>
      </c>
      <c r="M247" s="373"/>
      <c r="N247" s="371">
        <v>3</v>
      </c>
      <c r="O247" s="375" t="s">
        <v>1361</v>
      </c>
      <c r="P247" s="373">
        <v>21</v>
      </c>
      <c r="Q247" s="371">
        <v>3</v>
      </c>
      <c r="R247" s="402" t="s">
        <v>1358</v>
      </c>
      <c r="S247" s="403"/>
      <c r="T247" s="371">
        <v>3</v>
      </c>
      <c r="U247" s="375" t="s">
        <v>1358</v>
      </c>
      <c r="V247" s="373">
        <v>17</v>
      </c>
      <c r="W247" s="963"/>
      <c r="Y247" s="368"/>
      <c r="Z247" s="369">
        <f>COUNTIF(B240:W251,Y247)</f>
        <v>0</v>
      </c>
      <c r="AA247" s="370"/>
    </row>
    <row r="248" spans="2:27" s="272" customFormat="1" ht="17" customHeight="1">
      <c r="B248" s="376">
        <v>4</v>
      </c>
      <c r="C248" s="375"/>
      <c r="D248" s="373"/>
      <c r="E248" s="376">
        <v>4</v>
      </c>
      <c r="F248" s="375"/>
      <c r="G248" s="373"/>
      <c r="H248" s="376">
        <v>4</v>
      </c>
      <c r="I248" s="375"/>
      <c r="J248" s="373"/>
      <c r="K248" s="376">
        <v>4</v>
      </c>
      <c r="L248" s="375"/>
      <c r="M248" s="373"/>
      <c r="N248" s="376">
        <v>4</v>
      </c>
      <c r="O248" s="383" t="s">
        <v>1363</v>
      </c>
      <c r="P248" s="385">
        <v>21</v>
      </c>
      <c r="Q248" s="376">
        <v>4</v>
      </c>
      <c r="R248" s="375" t="s">
        <v>1361</v>
      </c>
      <c r="S248" s="373"/>
      <c r="T248" s="376">
        <v>4</v>
      </c>
      <c r="U248" s="368" t="s">
        <v>1359</v>
      </c>
      <c r="V248" s="373">
        <v>17</v>
      </c>
      <c r="W248" s="963"/>
      <c r="Y248" s="368"/>
      <c r="Z248" s="369">
        <f>COUNTIF(B240:W251,Y248)</f>
        <v>0</v>
      </c>
      <c r="AA248" s="370"/>
    </row>
    <row r="249" spans="2:27" s="272" customFormat="1" ht="17" customHeight="1">
      <c r="B249" s="376">
        <v>5</v>
      </c>
      <c r="C249" s="375"/>
      <c r="D249" s="373"/>
      <c r="E249" s="376">
        <v>5</v>
      </c>
      <c r="F249" s="375"/>
      <c r="G249" s="373"/>
      <c r="H249" s="376">
        <v>5</v>
      </c>
      <c r="I249" s="375"/>
      <c r="J249" s="373"/>
      <c r="K249" s="376">
        <v>5</v>
      </c>
      <c r="L249" s="375"/>
      <c r="M249" s="373"/>
      <c r="N249" s="376">
        <v>5</v>
      </c>
      <c r="O249" s="375"/>
      <c r="P249" s="373"/>
      <c r="Q249" s="376">
        <v>5</v>
      </c>
      <c r="R249" s="401" t="s">
        <v>1513</v>
      </c>
      <c r="S249" s="385"/>
      <c r="T249" s="376">
        <v>5</v>
      </c>
      <c r="U249" s="375"/>
      <c r="V249" s="373"/>
      <c r="W249" s="963"/>
      <c r="Y249" s="368"/>
      <c r="Z249" s="369">
        <f>COUNTIF(B240:W251,Y249)</f>
        <v>0</v>
      </c>
      <c r="AA249" s="370"/>
    </row>
    <row r="250" spans="2:27" s="272" customFormat="1" ht="17" customHeight="1">
      <c r="B250" s="371">
        <v>6</v>
      </c>
      <c r="C250" s="375"/>
      <c r="D250" s="373"/>
      <c r="E250" s="371">
        <v>6</v>
      </c>
      <c r="F250" s="375"/>
      <c r="G250" s="373"/>
      <c r="H250" s="371">
        <v>6</v>
      </c>
      <c r="I250" s="375"/>
      <c r="J250" s="373"/>
      <c r="K250" s="371">
        <v>6</v>
      </c>
      <c r="L250" s="375"/>
      <c r="M250" s="373"/>
      <c r="N250" s="371">
        <v>6</v>
      </c>
      <c r="O250" s="375"/>
      <c r="P250" s="373"/>
      <c r="Q250" s="371">
        <v>6</v>
      </c>
      <c r="R250" s="383" t="s">
        <v>1363</v>
      </c>
      <c r="S250" s="385"/>
      <c r="T250" s="371">
        <v>6</v>
      </c>
      <c r="U250" s="375"/>
      <c r="V250" s="373"/>
      <c r="W250" s="963"/>
      <c r="Y250" s="368"/>
      <c r="Z250" s="369">
        <f>COUNTIF(B240:W251,Y250)</f>
        <v>0</v>
      </c>
      <c r="AA250" s="370"/>
    </row>
    <row r="251" spans="2:27" s="272" customFormat="1" ht="18" customHeight="1" thickBot="1">
      <c r="B251" s="378">
        <v>7</v>
      </c>
      <c r="C251" s="379"/>
      <c r="D251" s="380"/>
      <c r="E251" s="378">
        <v>7</v>
      </c>
      <c r="F251" s="379"/>
      <c r="G251" s="380"/>
      <c r="H251" s="378">
        <v>7</v>
      </c>
      <c r="I251" s="379"/>
      <c r="J251" s="380"/>
      <c r="K251" s="378">
        <v>7</v>
      </c>
      <c r="L251" s="379"/>
      <c r="M251" s="380"/>
      <c r="N251" s="378">
        <v>7</v>
      </c>
      <c r="O251" s="379"/>
      <c r="P251" s="380"/>
      <c r="Q251" s="378">
        <v>7</v>
      </c>
      <c r="R251" s="379"/>
      <c r="S251" s="380"/>
      <c r="T251" s="378">
        <v>7</v>
      </c>
      <c r="U251" s="379"/>
      <c r="V251" s="380"/>
      <c r="W251" s="964"/>
      <c r="Y251" s="368"/>
      <c r="Z251" s="369">
        <f>COUNTIF(B240:W251,Y251)</f>
        <v>0</v>
      </c>
      <c r="AA251" s="370"/>
    </row>
    <row r="252" spans="2:27" s="272" customFormat="1" ht="16" thickBot="1">
      <c r="B252" s="966"/>
      <c r="C252" s="966"/>
      <c r="D252" s="966"/>
      <c r="E252" s="234"/>
      <c r="F252" s="368"/>
      <c r="G252" s="279"/>
      <c r="I252" s="368"/>
      <c r="J252" s="279"/>
      <c r="L252" s="368"/>
      <c r="M252" s="279"/>
      <c r="N252" s="966"/>
      <c r="O252" s="966"/>
      <c r="P252" s="966"/>
      <c r="Q252" s="966"/>
      <c r="R252" s="966"/>
      <c r="S252" s="966"/>
      <c r="T252" s="966"/>
      <c r="U252" s="966"/>
      <c r="V252" s="966"/>
      <c r="W252" s="966"/>
      <c r="Y252" s="368"/>
      <c r="Z252" s="369"/>
      <c r="AA252" s="370"/>
    </row>
    <row r="253" spans="2:27" s="272" customFormat="1">
      <c r="B253" s="967" t="s">
        <v>1522</v>
      </c>
      <c r="C253" s="968"/>
      <c r="D253" s="969"/>
      <c r="E253" s="967" t="s">
        <v>1523</v>
      </c>
      <c r="F253" s="968"/>
      <c r="G253" s="969"/>
      <c r="H253" s="967" t="s">
        <v>1524</v>
      </c>
      <c r="I253" s="968"/>
      <c r="J253" s="969"/>
      <c r="K253" s="967" t="s">
        <v>1525</v>
      </c>
      <c r="L253" s="968"/>
      <c r="M253" s="969"/>
      <c r="N253" s="967" t="s">
        <v>1526</v>
      </c>
      <c r="O253" s="968"/>
      <c r="P253" s="969"/>
      <c r="Q253" s="967" t="s">
        <v>1527</v>
      </c>
      <c r="R253" s="968"/>
      <c r="S253" s="969"/>
      <c r="T253" s="967" t="s">
        <v>1528</v>
      </c>
      <c r="U253" s="968"/>
      <c r="V253" s="968"/>
      <c r="W253" s="969"/>
      <c r="Y253" s="368" t="s">
        <v>1357</v>
      </c>
      <c r="Z253" s="369">
        <f>COUNTIF(B254:W265,Y253)</f>
        <v>5</v>
      </c>
      <c r="AA253" s="370"/>
    </row>
    <row r="254" spans="2:27" s="272" customFormat="1" ht="17" customHeight="1">
      <c r="B254" s="371">
        <v>1</v>
      </c>
      <c r="C254" s="956" t="s">
        <v>1387</v>
      </c>
      <c r="D254" s="957"/>
      <c r="E254" s="371">
        <v>1</v>
      </c>
      <c r="F254" s="372" t="s">
        <v>1354</v>
      </c>
      <c r="G254" s="373"/>
      <c r="H254" s="371">
        <v>1</v>
      </c>
      <c r="I254" s="372" t="s">
        <v>1357</v>
      </c>
      <c r="J254" s="373"/>
      <c r="K254" s="371">
        <v>1</v>
      </c>
      <c r="L254" s="372" t="s">
        <v>1354</v>
      </c>
      <c r="M254" s="373"/>
      <c r="N254" s="371">
        <v>1</v>
      </c>
      <c r="O254" s="372" t="s">
        <v>1354</v>
      </c>
      <c r="P254" s="373"/>
      <c r="Q254" s="371">
        <v>1</v>
      </c>
      <c r="R254" s="372" t="s">
        <v>1357</v>
      </c>
      <c r="S254" s="373"/>
      <c r="T254" s="371">
        <v>1</v>
      </c>
      <c r="U254" s="372" t="s">
        <v>1357</v>
      </c>
      <c r="V254" s="373"/>
      <c r="W254" s="962" t="s">
        <v>119</v>
      </c>
      <c r="Y254" s="368" t="s">
        <v>1354</v>
      </c>
      <c r="Z254" s="369">
        <f>COUNTIF(B254:W265,Y254)</f>
        <v>5</v>
      </c>
      <c r="AA254" s="370"/>
    </row>
    <row r="255" spans="2:27" s="272" customFormat="1" ht="17" customHeight="1">
      <c r="B255" s="371">
        <v>2</v>
      </c>
      <c r="C255" s="958"/>
      <c r="D255" s="959"/>
      <c r="E255" s="371">
        <v>2</v>
      </c>
      <c r="F255" s="396" t="s">
        <v>1454</v>
      </c>
      <c r="G255" s="373"/>
      <c r="H255" s="371">
        <v>2</v>
      </c>
      <c r="I255" s="396" t="s">
        <v>1454</v>
      </c>
      <c r="J255" s="373"/>
      <c r="K255" s="371">
        <v>2</v>
      </c>
      <c r="L255" s="372" t="s">
        <v>1357</v>
      </c>
      <c r="M255" s="373"/>
      <c r="N255" s="371">
        <v>2</v>
      </c>
      <c r="O255" s="372" t="s">
        <v>1357</v>
      </c>
      <c r="P255" s="373"/>
      <c r="Q255" s="371">
        <v>2</v>
      </c>
      <c r="R255" s="372" t="s">
        <v>1354</v>
      </c>
      <c r="S255" s="373"/>
      <c r="T255" s="371">
        <v>2</v>
      </c>
      <c r="U255" s="372" t="s">
        <v>1354</v>
      </c>
      <c r="V255" s="373"/>
      <c r="W255" s="963"/>
      <c r="Y255" s="368" t="s">
        <v>1358</v>
      </c>
      <c r="Z255" s="369">
        <f>COUNTIF(B254:W265,Y255)</f>
        <v>5</v>
      </c>
      <c r="AA255" s="370"/>
    </row>
    <row r="256" spans="2:27" s="272" customFormat="1" ht="17" customHeight="1">
      <c r="B256" s="371">
        <v>3</v>
      </c>
      <c r="C256" s="958"/>
      <c r="D256" s="959"/>
      <c r="E256" s="371">
        <v>3</v>
      </c>
      <c r="F256" s="375"/>
      <c r="G256" s="373"/>
      <c r="H256" s="371">
        <v>3</v>
      </c>
      <c r="I256" s="375"/>
      <c r="J256" s="373"/>
      <c r="K256" s="371">
        <v>3</v>
      </c>
      <c r="L256" s="375"/>
      <c r="M256" s="373"/>
      <c r="N256" s="371">
        <v>3</v>
      </c>
      <c r="O256" s="375"/>
      <c r="P256" s="373"/>
      <c r="Q256" s="371">
        <v>3</v>
      </c>
      <c r="R256" s="375"/>
      <c r="S256" s="373"/>
      <c r="T256" s="371">
        <v>3</v>
      </c>
      <c r="U256" s="375" t="s">
        <v>1367</v>
      </c>
      <c r="V256" s="373"/>
      <c r="W256" s="963"/>
      <c r="Y256" s="368" t="s">
        <v>1359</v>
      </c>
      <c r="Z256" s="369">
        <f>COUNTIF(B254:W265,Y256)</f>
        <v>5</v>
      </c>
      <c r="AA256" s="370"/>
    </row>
    <row r="257" spans="2:27" s="272" customFormat="1" ht="17" customHeight="1">
      <c r="B257" s="376">
        <v>4</v>
      </c>
      <c r="C257" s="958"/>
      <c r="D257" s="959"/>
      <c r="E257" s="376">
        <v>4</v>
      </c>
      <c r="F257" s="377"/>
      <c r="G257" s="373"/>
      <c r="H257" s="376">
        <v>4</v>
      </c>
      <c r="I257" s="377"/>
      <c r="J257" s="373"/>
      <c r="K257" s="376">
        <v>4</v>
      </c>
      <c r="L257" s="377"/>
      <c r="M257" s="373"/>
      <c r="N257" s="376">
        <v>4</v>
      </c>
      <c r="O257" s="377"/>
      <c r="P257" s="373"/>
      <c r="Q257" s="376">
        <v>4</v>
      </c>
      <c r="R257" s="377"/>
      <c r="S257" s="373"/>
      <c r="T257" s="376">
        <v>4</v>
      </c>
      <c r="U257" s="377" t="s">
        <v>1454</v>
      </c>
      <c r="V257" s="373"/>
      <c r="W257" s="963"/>
      <c r="Y257" s="368" t="s">
        <v>1360</v>
      </c>
      <c r="Z257" s="369">
        <f>COUNTIF(B254:W265,Y257)</f>
        <v>5</v>
      </c>
      <c r="AA257" s="370"/>
    </row>
    <row r="258" spans="2:27" s="272" customFormat="1" ht="18" customHeight="1" thickBot="1">
      <c r="B258" s="378">
        <v>5</v>
      </c>
      <c r="C258" s="960"/>
      <c r="D258" s="961"/>
      <c r="E258" s="378">
        <v>5</v>
      </c>
      <c r="F258" s="379"/>
      <c r="G258" s="380"/>
      <c r="H258" s="378">
        <v>5</v>
      </c>
      <c r="I258" s="379"/>
      <c r="J258" s="380"/>
      <c r="K258" s="378">
        <v>5</v>
      </c>
      <c r="L258" s="379"/>
      <c r="M258" s="380"/>
      <c r="N258" s="378">
        <v>5</v>
      </c>
      <c r="O258" s="379"/>
      <c r="P258" s="380"/>
      <c r="Q258" s="378">
        <v>5</v>
      </c>
      <c r="R258" s="379"/>
      <c r="S258" s="380"/>
      <c r="T258" s="378">
        <v>5</v>
      </c>
      <c r="U258" s="379"/>
      <c r="V258" s="380"/>
      <c r="W258" s="964"/>
      <c r="Y258" s="368" t="s">
        <v>1361</v>
      </c>
      <c r="Z258" s="369">
        <f>COUNTIF(B254:W265,Y258)</f>
        <v>3</v>
      </c>
      <c r="AA258" s="370"/>
    </row>
    <row r="259" spans="2:27" s="272" customFormat="1" ht="17" customHeight="1">
      <c r="B259" s="381">
        <v>1</v>
      </c>
      <c r="C259" s="375" t="s">
        <v>1359</v>
      </c>
      <c r="D259" s="382"/>
      <c r="E259" s="381">
        <v>1</v>
      </c>
      <c r="F259" s="375" t="s">
        <v>1359</v>
      </c>
      <c r="G259" s="382"/>
      <c r="H259" s="381">
        <v>1</v>
      </c>
      <c r="I259" s="375" t="s">
        <v>1358</v>
      </c>
      <c r="J259" s="382"/>
      <c r="K259" s="381">
        <v>1</v>
      </c>
      <c r="L259" s="375" t="s">
        <v>1358</v>
      </c>
      <c r="M259" s="382"/>
      <c r="N259" s="381">
        <v>1</v>
      </c>
      <c r="O259" s="375" t="s">
        <v>1358</v>
      </c>
      <c r="P259" s="382">
        <v>16</v>
      </c>
      <c r="Q259" s="381">
        <v>1</v>
      </c>
      <c r="R259" s="375" t="s">
        <v>1360</v>
      </c>
      <c r="S259" s="382"/>
      <c r="T259" s="381">
        <v>1</v>
      </c>
      <c r="U259" s="375" t="s">
        <v>1361</v>
      </c>
      <c r="V259" s="382">
        <v>17</v>
      </c>
      <c r="W259" s="965" t="s">
        <v>1389</v>
      </c>
      <c r="Y259" s="368" t="s">
        <v>1363</v>
      </c>
      <c r="Z259" s="369">
        <f>COUNTIF(B254:W265,Y259)</f>
        <v>2</v>
      </c>
      <c r="AA259" s="370"/>
    </row>
    <row r="260" spans="2:27" s="272" customFormat="1" ht="17" customHeight="1">
      <c r="B260" s="371">
        <v>2</v>
      </c>
      <c r="C260" s="375" t="s">
        <v>1358</v>
      </c>
      <c r="D260" s="373"/>
      <c r="E260" s="371">
        <v>2</v>
      </c>
      <c r="F260" s="375" t="s">
        <v>1360</v>
      </c>
      <c r="G260" s="373"/>
      <c r="H260" s="371">
        <v>2</v>
      </c>
      <c r="I260" s="375" t="s">
        <v>1360</v>
      </c>
      <c r="J260" s="373"/>
      <c r="K260" s="371">
        <v>2</v>
      </c>
      <c r="L260" s="375" t="s">
        <v>1465</v>
      </c>
      <c r="M260" s="373"/>
      <c r="N260" s="371">
        <v>2</v>
      </c>
      <c r="O260" s="368" t="s">
        <v>1360</v>
      </c>
      <c r="P260" s="373">
        <v>16</v>
      </c>
      <c r="Q260" s="371">
        <v>2</v>
      </c>
      <c r="R260" s="368" t="s">
        <v>1359</v>
      </c>
      <c r="S260" s="373"/>
      <c r="T260" s="371">
        <v>2</v>
      </c>
      <c r="U260" s="375" t="s">
        <v>1363</v>
      </c>
      <c r="V260" s="373">
        <v>17</v>
      </c>
      <c r="W260" s="963"/>
      <c r="Y260" s="368" t="s">
        <v>1455</v>
      </c>
      <c r="Z260" s="369">
        <f>COUNTIF(B254:W265,Y260)</f>
        <v>2</v>
      </c>
      <c r="AA260" s="370"/>
    </row>
    <row r="261" spans="2:27" s="272" customFormat="1" ht="17" customHeight="1">
      <c r="B261" s="371">
        <v>3</v>
      </c>
      <c r="C261" s="368"/>
      <c r="D261" s="373"/>
      <c r="E261" s="371">
        <v>3</v>
      </c>
      <c r="F261" s="375"/>
      <c r="G261" s="373"/>
      <c r="H261" s="371">
        <v>3</v>
      </c>
      <c r="I261" s="368" t="s">
        <v>1359</v>
      </c>
      <c r="J261" s="373"/>
      <c r="K261" s="371">
        <v>3</v>
      </c>
      <c r="L261" s="368"/>
      <c r="M261" s="373"/>
      <c r="N261" s="371">
        <v>3</v>
      </c>
      <c r="O261" s="375" t="s">
        <v>1361</v>
      </c>
      <c r="P261" s="373">
        <v>21</v>
      </c>
      <c r="Q261" s="371">
        <v>3</v>
      </c>
      <c r="R261" s="402" t="s">
        <v>1358</v>
      </c>
      <c r="S261" s="403"/>
      <c r="T261" s="371">
        <v>3</v>
      </c>
      <c r="U261" s="375" t="s">
        <v>1360</v>
      </c>
      <c r="V261" s="373">
        <v>17</v>
      </c>
      <c r="W261" s="963"/>
      <c r="Y261" s="368"/>
      <c r="Z261" s="369">
        <f>COUNTIF(B254:W265,Y261)</f>
        <v>0</v>
      </c>
      <c r="AA261" s="370"/>
    </row>
    <row r="262" spans="2:27" s="272" customFormat="1" ht="17" customHeight="1">
      <c r="B262" s="376">
        <v>4</v>
      </c>
      <c r="C262" s="375"/>
      <c r="D262" s="373"/>
      <c r="E262" s="376">
        <v>4</v>
      </c>
      <c r="F262" s="375"/>
      <c r="G262" s="373"/>
      <c r="H262" s="376">
        <v>4</v>
      </c>
      <c r="I262" s="375"/>
      <c r="J262" s="373"/>
      <c r="K262" s="376">
        <v>4</v>
      </c>
      <c r="L262" s="375"/>
      <c r="M262" s="373"/>
      <c r="N262" s="376">
        <v>4</v>
      </c>
      <c r="O262" s="375" t="s">
        <v>1455</v>
      </c>
      <c r="P262" s="373">
        <v>21</v>
      </c>
      <c r="Q262" s="376">
        <v>4</v>
      </c>
      <c r="R262" s="375" t="s">
        <v>1361</v>
      </c>
      <c r="S262" s="373"/>
      <c r="T262" s="376">
        <v>4</v>
      </c>
      <c r="U262" s="368" t="s">
        <v>1359</v>
      </c>
      <c r="V262" s="373">
        <v>17</v>
      </c>
      <c r="W262" s="963"/>
      <c r="Y262" s="368"/>
      <c r="Z262" s="369">
        <f>COUNTIF(B254:W265,Y262)</f>
        <v>0</v>
      </c>
      <c r="AA262" s="370"/>
    </row>
    <row r="263" spans="2:27" s="272" customFormat="1" ht="17" customHeight="1">
      <c r="B263" s="376">
        <v>5</v>
      </c>
      <c r="C263" s="375"/>
      <c r="D263" s="373"/>
      <c r="E263" s="376">
        <v>5</v>
      </c>
      <c r="F263" s="375"/>
      <c r="G263" s="373"/>
      <c r="H263" s="376">
        <v>5</v>
      </c>
      <c r="I263" s="375"/>
      <c r="J263" s="373"/>
      <c r="K263" s="376">
        <v>5</v>
      </c>
      <c r="L263" s="375"/>
      <c r="M263" s="373"/>
      <c r="N263" s="376">
        <v>5</v>
      </c>
      <c r="O263" s="375"/>
      <c r="P263" s="373"/>
      <c r="Q263" s="376">
        <v>5</v>
      </c>
      <c r="R263" s="375" t="s">
        <v>1455</v>
      </c>
      <c r="S263" s="373"/>
      <c r="T263" s="376">
        <v>5</v>
      </c>
      <c r="U263" s="375"/>
      <c r="V263" s="373"/>
      <c r="W263" s="963"/>
      <c r="Y263" s="368"/>
      <c r="Z263" s="369">
        <f>COUNTIF(B254:W265,Y263)</f>
        <v>0</v>
      </c>
      <c r="AA263" s="370"/>
    </row>
    <row r="264" spans="2:27" s="272" customFormat="1" ht="17" customHeight="1">
      <c r="B264" s="371">
        <v>6</v>
      </c>
      <c r="C264" s="375"/>
      <c r="D264" s="373"/>
      <c r="E264" s="371">
        <v>6</v>
      </c>
      <c r="F264" s="375"/>
      <c r="G264" s="373"/>
      <c r="H264" s="371">
        <v>6</v>
      </c>
      <c r="I264" s="375"/>
      <c r="J264" s="373"/>
      <c r="K264" s="371">
        <v>6</v>
      </c>
      <c r="L264" s="375"/>
      <c r="M264" s="373"/>
      <c r="N264" s="371">
        <v>6</v>
      </c>
      <c r="O264" s="375"/>
      <c r="P264" s="373"/>
      <c r="Q264" s="371">
        <v>6</v>
      </c>
      <c r="R264" s="383" t="s">
        <v>1363</v>
      </c>
      <c r="S264" s="385"/>
      <c r="T264" s="371">
        <v>6</v>
      </c>
      <c r="U264" s="375"/>
      <c r="V264" s="373"/>
      <c r="W264" s="963"/>
      <c r="Y264" s="368"/>
      <c r="Z264" s="369">
        <f>COUNTIF(B254:W265,Y264)</f>
        <v>0</v>
      </c>
      <c r="AA264" s="370"/>
    </row>
    <row r="265" spans="2:27" s="272" customFormat="1" ht="18" customHeight="1" thickBot="1">
      <c r="B265" s="378">
        <v>7</v>
      </c>
      <c r="C265" s="379"/>
      <c r="D265" s="380"/>
      <c r="E265" s="378">
        <v>7</v>
      </c>
      <c r="F265" s="379"/>
      <c r="G265" s="380"/>
      <c r="H265" s="378">
        <v>7</v>
      </c>
      <c r="I265" s="379"/>
      <c r="J265" s="380"/>
      <c r="K265" s="378">
        <v>7</v>
      </c>
      <c r="L265" s="379"/>
      <c r="M265" s="380"/>
      <c r="N265" s="378">
        <v>7</v>
      </c>
      <c r="O265" s="379"/>
      <c r="P265" s="380"/>
      <c r="Q265" s="378">
        <v>7</v>
      </c>
      <c r="R265" s="379"/>
      <c r="S265" s="380"/>
      <c r="T265" s="378">
        <v>7</v>
      </c>
      <c r="U265" s="379"/>
      <c r="V265" s="380"/>
      <c r="W265" s="964"/>
      <c r="Y265" s="368"/>
      <c r="Z265" s="369">
        <f>COUNTIF(B254:W265,Y265)</f>
        <v>0</v>
      </c>
      <c r="AA265" s="370"/>
    </row>
    <row r="266" spans="2:27" s="272" customFormat="1" ht="16" thickBot="1">
      <c r="B266" s="234"/>
      <c r="C266" s="368"/>
      <c r="D266" s="279"/>
      <c r="E266" s="234"/>
      <c r="F266" s="368"/>
      <c r="G266" s="279"/>
      <c r="I266" s="368"/>
      <c r="J266" s="279"/>
      <c r="L266" s="368"/>
      <c r="M266" s="279"/>
      <c r="O266" s="368"/>
      <c r="P266" s="279"/>
      <c r="R266" s="368"/>
      <c r="S266" s="279"/>
      <c r="U266" s="368"/>
      <c r="V266" s="279"/>
      <c r="W266" s="234"/>
      <c r="Y266" s="368"/>
      <c r="Z266" s="369"/>
      <c r="AA266" s="370"/>
    </row>
    <row r="267" spans="2:27" s="272" customFormat="1">
      <c r="B267" s="967" t="s">
        <v>1529</v>
      </c>
      <c r="C267" s="968"/>
      <c r="D267" s="969"/>
      <c r="E267" s="967" t="s">
        <v>1530</v>
      </c>
      <c r="F267" s="968"/>
      <c r="G267" s="969"/>
      <c r="H267" s="967" t="s">
        <v>1531</v>
      </c>
      <c r="I267" s="968"/>
      <c r="J267" s="969"/>
      <c r="K267" s="967" t="s">
        <v>1532</v>
      </c>
      <c r="L267" s="968"/>
      <c r="M267" s="969"/>
      <c r="N267" s="967" t="s">
        <v>1533</v>
      </c>
      <c r="O267" s="968"/>
      <c r="P267" s="969"/>
      <c r="Q267" s="967" t="s">
        <v>1534</v>
      </c>
      <c r="R267" s="968"/>
      <c r="S267" s="969"/>
      <c r="T267" s="967" t="s">
        <v>1535</v>
      </c>
      <c r="U267" s="968"/>
      <c r="V267" s="968"/>
      <c r="W267" s="969"/>
      <c r="Y267" s="368" t="s">
        <v>1357</v>
      </c>
      <c r="Z267" s="369">
        <f>COUNTIF(B268:W279,Y267)</f>
        <v>5</v>
      </c>
      <c r="AA267" s="370"/>
    </row>
    <row r="268" spans="2:27" s="272" customFormat="1">
      <c r="B268" s="371">
        <v>1</v>
      </c>
      <c r="C268" s="956" t="s">
        <v>1387</v>
      </c>
      <c r="D268" s="957"/>
      <c r="E268" s="371">
        <v>1</v>
      </c>
      <c r="F268" s="372" t="s">
        <v>1354</v>
      </c>
      <c r="G268" s="373"/>
      <c r="H268" s="371">
        <v>1</v>
      </c>
      <c r="I268" s="372" t="s">
        <v>1357</v>
      </c>
      <c r="J268" s="373"/>
      <c r="K268" s="371">
        <v>1</v>
      </c>
      <c r="L268" s="372" t="s">
        <v>1354</v>
      </c>
      <c r="M268" s="373"/>
      <c r="N268" s="371">
        <v>1</v>
      </c>
      <c r="O268" s="372" t="s">
        <v>1354</v>
      </c>
      <c r="P268" s="373"/>
      <c r="Q268" s="371">
        <v>1</v>
      </c>
      <c r="R268" s="372" t="s">
        <v>1357</v>
      </c>
      <c r="S268" s="373"/>
      <c r="T268" s="371">
        <v>1</v>
      </c>
      <c r="U268" s="372" t="s">
        <v>1357</v>
      </c>
      <c r="V268" s="373"/>
      <c r="W268" s="962" t="s">
        <v>119</v>
      </c>
      <c r="Y268" s="368" t="s">
        <v>1354</v>
      </c>
      <c r="Z268" s="369">
        <f>COUNTIF(B268:W279,Y268)</f>
        <v>5</v>
      </c>
      <c r="AA268" s="370"/>
    </row>
    <row r="269" spans="2:27" s="272" customFormat="1">
      <c r="B269" s="371">
        <v>2</v>
      </c>
      <c r="C269" s="958"/>
      <c r="D269" s="959"/>
      <c r="E269" s="371">
        <v>2</v>
      </c>
      <c r="F269" s="396" t="s">
        <v>1454</v>
      </c>
      <c r="G269" s="373"/>
      <c r="H269" s="371">
        <v>2</v>
      </c>
      <c r="I269" s="396" t="s">
        <v>1454</v>
      </c>
      <c r="J269" s="373"/>
      <c r="K269" s="371">
        <v>2</v>
      </c>
      <c r="L269" s="372" t="s">
        <v>1357</v>
      </c>
      <c r="M269" s="373"/>
      <c r="N269" s="371">
        <v>2</v>
      </c>
      <c r="O269" s="372" t="s">
        <v>1357</v>
      </c>
      <c r="P269" s="373"/>
      <c r="Q269" s="371">
        <v>2</v>
      </c>
      <c r="R269" s="372" t="s">
        <v>1354</v>
      </c>
      <c r="S269" s="373"/>
      <c r="T269" s="371">
        <v>2</v>
      </c>
      <c r="U269" s="372" t="s">
        <v>1354</v>
      </c>
      <c r="V269" s="373"/>
      <c r="W269" s="963"/>
      <c r="Y269" s="368" t="s">
        <v>1358</v>
      </c>
      <c r="Z269" s="369">
        <f>COUNTIF(B268:W279,Y269)</f>
        <v>5</v>
      </c>
      <c r="AA269" s="370"/>
    </row>
    <row r="270" spans="2:27" s="272" customFormat="1">
      <c r="B270" s="371">
        <v>3</v>
      </c>
      <c r="C270" s="958"/>
      <c r="D270" s="959"/>
      <c r="E270" s="371">
        <v>3</v>
      </c>
      <c r="F270" s="375"/>
      <c r="G270" s="373"/>
      <c r="H270" s="371">
        <v>3</v>
      </c>
      <c r="I270" s="375"/>
      <c r="J270" s="373"/>
      <c r="K270" s="371">
        <v>3</v>
      </c>
      <c r="L270" s="375"/>
      <c r="M270" s="373"/>
      <c r="N270" s="371">
        <v>3</v>
      </c>
      <c r="O270" s="375"/>
      <c r="P270" s="373"/>
      <c r="Q270" s="371">
        <v>3</v>
      </c>
      <c r="R270" s="375"/>
      <c r="S270" s="373"/>
      <c r="T270" s="371">
        <v>3</v>
      </c>
      <c r="U270" s="375" t="s">
        <v>1367</v>
      </c>
      <c r="V270" s="373"/>
      <c r="W270" s="963"/>
      <c r="Y270" s="368" t="s">
        <v>1359</v>
      </c>
      <c r="Z270" s="369">
        <f>COUNTIF(B268:W279,Y270)</f>
        <v>4</v>
      </c>
      <c r="AA270" s="370"/>
    </row>
    <row r="271" spans="2:27" s="272" customFormat="1">
      <c r="B271" s="376">
        <v>4</v>
      </c>
      <c r="C271" s="958"/>
      <c r="D271" s="959"/>
      <c r="E271" s="376">
        <v>4</v>
      </c>
      <c r="F271" s="377"/>
      <c r="G271" s="373"/>
      <c r="H271" s="376">
        <v>4</v>
      </c>
      <c r="I271" s="377"/>
      <c r="J271" s="373"/>
      <c r="K271" s="376">
        <v>4</v>
      </c>
      <c r="L271" s="377"/>
      <c r="M271" s="373"/>
      <c r="N271" s="376">
        <v>4</v>
      </c>
      <c r="O271" s="377"/>
      <c r="P271" s="373"/>
      <c r="Q271" s="376">
        <v>4</v>
      </c>
      <c r="R271" s="377"/>
      <c r="S271" s="373"/>
      <c r="T271" s="376">
        <v>4</v>
      </c>
      <c r="U271" s="377" t="s">
        <v>1454</v>
      </c>
      <c r="V271" s="373"/>
      <c r="W271" s="963"/>
      <c r="Y271" s="368" t="s">
        <v>1360</v>
      </c>
      <c r="Z271" s="369">
        <f>COUNTIF(B268:W279,Y271)</f>
        <v>5</v>
      </c>
      <c r="AA271" s="370"/>
    </row>
    <row r="272" spans="2:27" s="272" customFormat="1" ht="16" thickBot="1">
      <c r="B272" s="378">
        <v>5</v>
      </c>
      <c r="C272" s="960"/>
      <c r="D272" s="961"/>
      <c r="E272" s="378">
        <v>5</v>
      </c>
      <c r="F272" s="379"/>
      <c r="G272" s="380"/>
      <c r="H272" s="378">
        <v>5</v>
      </c>
      <c r="I272" s="379"/>
      <c r="J272" s="380"/>
      <c r="K272" s="378">
        <v>5</v>
      </c>
      <c r="L272" s="379"/>
      <c r="M272" s="380"/>
      <c r="N272" s="378">
        <v>5</v>
      </c>
      <c r="O272" s="379"/>
      <c r="P272" s="380"/>
      <c r="Q272" s="378">
        <v>5</v>
      </c>
      <c r="R272" s="379"/>
      <c r="S272" s="380"/>
      <c r="T272" s="378">
        <v>5</v>
      </c>
      <c r="U272" s="379"/>
      <c r="V272" s="380"/>
      <c r="W272" s="964"/>
      <c r="Y272" s="368" t="s">
        <v>1361</v>
      </c>
      <c r="Z272" s="369">
        <f>COUNTIF(B268:W279,Y272)</f>
        <v>3</v>
      </c>
      <c r="AA272" s="370"/>
    </row>
    <row r="273" spans="2:27" s="272" customFormat="1">
      <c r="B273" s="381">
        <v>1</v>
      </c>
      <c r="C273" s="375" t="s">
        <v>1359</v>
      </c>
      <c r="D273" s="382"/>
      <c r="E273" s="381">
        <v>1</v>
      </c>
      <c r="F273" s="375" t="s">
        <v>1359</v>
      </c>
      <c r="G273" s="382"/>
      <c r="H273" s="381">
        <v>1</v>
      </c>
      <c r="I273" s="375" t="s">
        <v>1358</v>
      </c>
      <c r="J273" s="382"/>
      <c r="K273" s="381">
        <v>1</v>
      </c>
      <c r="L273" s="375" t="s">
        <v>1358</v>
      </c>
      <c r="M273" s="382"/>
      <c r="N273" s="381">
        <v>1</v>
      </c>
      <c r="O273" s="375" t="s">
        <v>1358</v>
      </c>
      <c r="P273" s="382">
        <v>16</v>
      </c>
      <c r="Q273" s="381">
        <v>1</v>
      </c>
      <c r="R273" s="375" t="s">
        <v>1360</v>
      </c>
      <c r="S273" s="382"/>
      <c r="T273" s="381">
        <v>1</v>
      </c>
      <c r="U273" s="375" t="s">
        <v>1361</v>
      </c>
      <c r="V273" s="382">
        <v>17</v>
      </c>
      <c r="W273" s="965" t="s">
        <v>1389</v>
      </c>
      <c r="Y273" s="368" t="s">
        <v>1363</v>
      </c>
      <c r="Z273" s="369">
        <f>COUNTIF(B268:W279,Y273)</f>
        <v>2</v>
      </c>
      <c r="AA273" s="370"/>
    </row>
    <row r="274" spans="2:27" s="272" customFormat="1">
      <c r="B274" s="371">
        <v>2</v>
      </c>
      <c r="C274" s="375" t="s">
        <v>1358</v>
      </c>
      <c r="D274" s="373"/>
      <c r="E274" s="371">
        <v>2</v>
      </c>
      <c r="F274" s="375" t="s">
        <v>1360</v>
      </c>
      <c r="G274" s="373"/>
      <c r="H274" s="371">
        <v>2</v>
      </c>
      <c r="I274" s="375" t="s">
        <v>1360</v>
      </c>
      <c r="J274" s="373"/>
      <c r="K274" s="371">
        <v>2</v>
      </c>
      <c r="L274" s="375" t="s">
        <v>1465</v>
      </c>
      <c r="M274" s="373"/>
      <c r="N274" s="371">
        <v>2</v>
      </c>
      <c r="O274" s="368" t="s">
        <v>1360</v>
      </c>
      <c r="P274" s="373">
        <v>16</v>
      </c>
      <c r="Q274" s="371">
        <v>2</v>
      </c>
      <c r="R274" s="368" t="s">
        <v>1359</v>
      </c>
      <c r="S274" s="373"/>
      <c r="T274" s="371">
        <v>2</v>
      </c>
      <c r="U274" s="375" t="s">
        <v>1363</v>
      </c>
      <c r="V274" s="373">
        <v>17</v>
      </c>
      <c r="W274" s="963"/>
      <c r="Y274" s="368" t="s">
        <v>1455</v>
      </c>
      <c r="Z274" s="369">
        <f>COUNTIF(B268:W279,Y274)</f>
        <v>2</v>
      </c>
      <c r="AA274" s="370"/>
    </row>
    <row r="275" spans="2:27" s="272" customFormat="1">
      <c r="B275" s="371">
        <v>3</v>
      </c>
      <c r="C275" s="368"/>
      <c r="D275" s="373"/>
      <c r="E275" s="371">
        <v>3</v>
      </c>
      <c r="F275" s="375"/>
      <c r="G275" s="373"/>
      <c r="H275" s="371">
        <v>3</v>
      </c>
      <c r="I275" s="368"/>
      <c r="J275" s="373"/>
      <c r="K275" s="371">
        <v>3</v>
      </c>
      <c r="L275" s="368"/>
      <c r="M275" s="373"/>
      <c r="N275" s="371">
        <v>3</v>
      </c>
      <c r="O275" s="375" t="s">
        <v>1361</v>
      </c>
      <c r="P275" s="373">
        <v>21</v>
      </c>
      <c r="Q275" s="371">
        <v>3</v>
      </c>
      <c r="R275" s="402" t="s">
        <v>1358</v>
      </c>
      <c r="S275" s="403"/>
      <c r="T275" s="371">
        <v>3</v>
      </c>
      <c r="U275" s="375" t="s">
        <v>1360</v>
      </c>
      <c r="V275" s="373">
        <v>17</v>
      </c>
      <c r="W275" s="963"/>
      <c r="Y275" s="368"/>
      <c r="Z275" s="369">
        <f>COUNTIF(B268:W279,Y275)</f>
        <v>0</v>
      </c>
      <c r="AA275" s="370"/>
    </row>
    <row r="276" spans="2:27" s="272" customFormat="1">
      <c r="B276" s="376">
        <v>4</v>
      </c>
      <c r="C276" s="375"/>
      <c r="D276" s="373"/>
      <c r="E276" s="376">
        <v>4</v>
      </c>
      <c r="F276" s="375"/>
      <c r="G276" s="373"/>
      <c r="H276" s="376">
        <v>4</v>
      </c>
      <c r="I276" s="375"/>
      <c r="J276" s="373"/>
      <c r="K276" s="376">
        <v>4</v>
      </c>
      <c r="L276" s="375"/>
      <c r="M276" s="373"/>
      <c r="N276" s="376">
        <v>4</v>
      </c>
      <c r="O276" s="375" t="s">
        <v>1455</v>
      </c>
      <c r="P276" s="373">
        <v>21</v>
      </c>
      <c r="Q276" s="376">
        <v>4</v>
      </c>
      <c r="R276" s="375" t="s">
        <v>1361</v>
      </c>
      <c r="S276" s="373"/>
      <c r="T276" s="376">
        <v>4</v>
      </c>
      <c r="U276" s="368" t="s">
        <v>1359</v>
      </c>
      <c r="V276" s="373">
        <v>17</v>
      </c>
      <c r="W276" s="963"/>
      <c r="Y276" s="368"/>
      <c r="Z276" s="369">
        <f>COUNTIF(B268:W279,Y276)</f>
        <v>0</v>
      </c>
      <c r="AA276" s="370"/>
    </row>
    <row r="277" spans="2:27" s="272" customFormat="1">
      <c r="B277" s="376">
        <v>5</v>
      </c>
      <c r="C277" s="375"/>
      <c r="D277" s="373"/>
      <c r="E277" s="376">
        <v>5</v>
      </c>
      <c r="F277" s="375"/>
      <c r="G277" s="373"/>
      <c r="H277" s="376">
        <v>5</v>
      </c>
      <c r="I277" s="375"/>
      <c r="J277" s="373"/>
      <c r="K277" s="376">
        <v>5</v>
      </c>
      <c r="L277" s="375"/>
      <c r="M277" s="373"/>
      <c r="N277" s="376">
        <v>5</v>
      </c>
      <c r="O277" s="375"/>
      <c r="P277" s="373"/>
      <c r="Q277" s="376">
        <v>5</v>
      </c>
      <c r="R277" s="375" t="s">
        <v>1455</v>
      </c>
      <c r="S277" s="373"/>
      <c r="T277" s="376">
        <v>5</v>
      </c>
      <c r="U277" s="375"/>
      <c r="V277" s="373"/>
      <c r="W277" s="963"/>
      <c r="Y277" s="368"/>
      <c r="Z277" s="369">
        <f>COUNTIF(B268:W279,Y277)</f>
        <v>0</v>
      </c>
      <c r="AA277" s="370"/>
    </row>
    <row r="278" spans="2:27" s="272" customFormat="1">
      <c r="B278" s="371">
        <v>6</v>
      </c>
      <c r="C278" s="375"/>
      <c r="D278" s="373"/>
      <c r="E278" s="371">
        <v>6</v>
      </c>
      <c r="F278" s="375"/>
      <c r="G278" s="373"/>
      <c r="H278" s="371">
        <v>6</v>
      </c>
      <c r="I278" s="375"/>
      <c r="J278" s="373"/>
      <c r="K278" s="371">
        <v>6</v>
      </c>
      <c r="L278" s="375"/>
      <c r="M278" s="373"/>
      <c r="N278" s="371">
        <v>6</v>
      </c>
      <c r="O278" s="375"/>
      <c r="P278" s="373"/>
      <c r="Q278" s="371">
        <v>6</v>
      </c>
      <c r="R278" s="383" t="s">
        <v>1363</v>
      </c>
      <c r="S278" s="385"/>
      <c r="T278" s="371">
        <v>6</v>
      </c>
      <c r="U278" s="375"/>
      <c r="V278" s="373"/>
      <c r="W278" s="963"/>
      <c r="Y278" s="368"/>
      <c r="Z278" s="369">
        <f>COUNTIF(B268:W279,Y278)</f>
        <v>0</v>
      </c>
      <c r="AA278" s="370"/>
    </row>
    <row r="279" spans="2:27" s="272" customFormat="1" ht="16" thickBot="1">
      <c r="B279" s="378">
        <v>7</v>
      </c>
      <c r="C279" s="379"/>
      <c r="D279" s="380"/>
      <c r="E279" s="378">
        <v>7</v>
      </c>
      <c r="F279" s="379"/>
      <c r="G279" s="380"/>
      <c r="H279" s="378">
        <v>7</v>
      </c>
      <c r="I279" s="379"/>
      <c r="J279" s="380"/>
      <c r="K279" s="378">
        <v>7</v>
      </c>
      <c r="L279" s="379"/>
      <c r="M279" s="380"/>
      <c r="N279" s="378">
        <v>7</v>
      </c>
      <c r="O279" s="379"/>
      <c r="P279" s="380"/>
      <c r="Q279" s="378">
        <v>7</v>
      </c>
      <c r="R279" s="379"/>
      <c r="S279" s="380"/>
      <c r="T279" s="378">
        <v>7</v>
      </c>
      <c r="U279" s="379"/>
      <c r="V279" s="380"/>
      <c r="W279" s="964"/>
      <c r="Y279" s="368"/>
      <c r="Z279" s="369">
        <f>COUNTIF(B268:W279,Y279)</f>
        <v>0</v>
      </c>
      <c r="AA279" s="370"/>
    </row>
    <row r="280" spans="2:27" s="272" customFormat="1" ht="16" thickBot="1">
      <c r="B280" s="234"/>
      <c r="C280" s="368"/>
      <c r="D280" s="279"/>
      <c r="E280" s="234"/>
      <c r="F280" s="368"/>
      <c r="G280" s="279"/>
      <c r="I280" s="368"/>
      <c r="J280" s="279"/>
      <c r="L280" s="368"/>
      <c r="M280" s="279"/>
      <c r="O280" s="368"/>
      <c r="P280" s="279"/>
      <c r="R280" s="368"/>
      <c r="S280" s="279"/>
      <c r="U280" s="368"/>
      <c r="V280" s="279"/>
      <c r="W280" s="234"/>
      <c r="Y280" s="368"/>
      <c r="Z280" s="369"/>
      <c r="AA280" s="370"/>
    </row>
    <row r="281" spans="2:27" s="272" customFormat="1">
      <c r="B281" s="967" t="s">
        <v>1536</v>
      </c>
      <c r="C281" s="968"/>
      <c r="D281" s="969"/>
      <c r="E281" s="967" t="s">
        <v>1537</v>
      </c>
      <c r="F281" s="968"/>
      <c r="G281" s="969"/>
      <c r="H281" s="967" t="s">
        <v>1538</v>
      </c>
      <c r="I281" s="968"/>
      <c r="J281" s="969"/>
      <c r="K281" s="967" t="s">
        <v>1539</v>
      </c>
      <c r="L281" s="968"/>
      <c r="M281" s="969"/>
      <c r="N281" s="967" t="s">
        <v>1540</v>
      </c>
      <c r="O281" s="968"/>
      <c r="P281" s="969"/>
      <c r="Q281" s="967" t="s">
        <v>1541</v>
      </c>
      <c r="R281" s="968"/>
      <c r="S281" s="969"/>
      <c r="T281" s="967" t="s">
        <v>1542</v>
      </c>
      <c r="U281" s="968"/>
      <c r="V281" s="968"/>
      <c r="W281" s="969"/>
      <c r="Y281" s="368" t="s">
        <v>1357</v>
      </c>
      <c r="Z281" s="369">
        <f>COUNTIF(B282:W293,Y281)</f>
        <v>5</v>
      </c>
      <c r="AA281" s="370"/>
    </row>
    <row r="282" spans="2:27" s="272" customFormat="1">
      <c r="B282" s="371">
        <v>1</v>
      </c>
      <c r="C282" s="956" t="s">
        <v>1387</v>
      </c>
      <c r="D282" s="957"/>
      <c r="E282" s="371">
        <v>1</v>
      </c>
      <c r="F282" s="372" t="s">
        <v>1354</v>
      </c>
      <c r="G282" s="373"/>
      <c r="H282" s="371">
        <v>1</v>
      </c>
      <c r="I282" s="372" t="s">
        <v>1357</v>
      </c>
      <c r="J282" s="373"/>
      <c r="K282" s="371">
        <v>1</v>
      </c>
      <c r="L282" s="372" t="s">
        <v>1354</v>
      </c>
      <c r="M282" s="373"/>
      <c r="N282" s="371">
        <v>1</v>
      </c>
      <c r="O282" s="372" t="s">
        <v>1354</v>
      </c>
      <c r="P282" s="373"/>
      <c r="Q282" s="371">
        <v>1</v>
      </c>
      <c r="R282" s="372" t="s">
        <v>1357</v>
      </c>
      <c r="S282" s="373"/>
      <c r="T282" s="371">
        <v>1</v>
      </c>
      <c r="U282" s="372" t="s">
        <v>1357</v>
      </c>
      <c r="V282" s="373"/>
      <c r="W282" s="962" t="s">
        <v>119</v>
      </c>
      <c r="Y282" s="368" t="s">
        <v>1354</v>
      </c>
      <c r="Z282" s="369">
        <f>COUNTIF(B282:W293,Y282)</f>
        <v>5</v>
      </c>
      <c r="AA282" s="370"/>
    </row>
    <row r="283" spans="2:27" s="272" customFormat="1">
      <c r="B283" s="371">
        <v>2</v>
      </c>
      <c r="C283" s="958"/>
      <c r="D283" s="959"/>
      <c r="E283" s="371">
        <v>2</v>
      </c>
      <c r="F283" s="396" t="s">
        <v>1454</v>
      </c>
      <c r="G283" s="373"/>
      <c r="H283" s="371">
        <v>2</v>
      </c>
      <c r="I283" s="396" t="s">
        <v>1454</v>
      </c>
      <c r="J283" s="373"/>
      <c r="K283" s="371">
        <v>2</v>
      </c>
      <c r="L283" s="372" t="s">
        <v>1357</v>
      </c>
      <c r="M283" s="373"/>
      <c r="N283" s="371">
        <v>2</v>
      </c>
      <c r="O283" s="372" t="s">
        <v>1357</v>
      </c>
      <c r="P283" s="373"/>
      <c r="Q283" s="371">
        <v>2</v>
      </c>
      <c r="R283" s="372" t="s">
        <v>1354</v>
      </c>
      <c r="S283" s="373"/>
      <c r="T283" s="371">
        <v>2</v>
      </c>
      <c r="U283" s="372" t="s">
        <v>1354</v>
      </c>
      <c r="V283" s="373"/>
      <c r="W283" s="963"/>
      <c r="Y283" s="368" t="s">
        <v>1358</v>
      </c>
      <c r="Z283" s="369">
        <f>COUNTIF(B282:W293,Y283)</f>
        <v>5</v>
      </c>
      <c r="AA283" s="370"/>
    </row>
    <row r="284" spans="2:27" s="272" customFormat="1">
      <c r="B284" s="371">
        <v>3</v>
      </c>
      <c r="C284" s="958"/>
      <c r="D284" s="959"/>
      <c r="E284" s="371">
        <v>3</v>
      </c>
      <c r="F284" s="375"/>
      <c r="G284" s="373"/>
      <c r="H284" s="371">
        <v>3</v>
      </c>
      <c r="I284" s="375"/>
      <c r="J284" s="373"/>
      <c r="K284" s="371">
        <v>3</v>
      </c>
      <c r="L284" s="375"/>
      <c r="M284" s="373"/>
      <c r="N284" s="371">
        <v>3</v>
      </c>
      <c r="O284" s="375"/>
      <c r="P284" s="373"/>
      <c r="Q284" s="371">
        <v>3</v>
      </c>
      <c r="R284" s="375"/>
      <c r="S284" s="373"/>
      <c r="T284" s="371">
        <v>3</v>
      </c>
      <c r="U284" s="375" t="s">
        <v>1367</v>
      </c>
      <c r="V284" s="373"/>
      <c r="W284" s="963"/>
      <c r="Y284" s="368" t="s">
        <v>1359</v>
      </c>
      <c r="Z284" s="369">
        <f>COUNTIF(B282:W293,Y284)</f>
        <v>4</v>
      </c>
      <c r="AA284" s="370"/>
    </row>
    <row r="285" spans="2:27" s="272" customFormat="1">
      <c r="B285" s="376">
        <v>4</v>
      </c>
      <c r="C285" s="958"/>
      <c r="D285" s="959"/>
      <c r="E285" s="376">
        <v>4</v>
      </c>
      <c r="F285" s="377"/>
      <c r="G285" s="373"/>
      <c r="H285" s="376">
        <v>4</v>
      </c>
      <c r="I285" s="377"/>
      <c r="J285" s="373"/>
      <c r="K285" s="376">
        <v>4</v>
      </c>
      <c r="L285" s="377"/>
      <c r="M285" s="373"/>
      <c r="N285" s="376">
        <v>4</v>
      </c>
      <c r="O285" s="377"/>
      <c r="P285" s="373"/>
      <c r="Q285" s="376">
        <v>4</v>
      </c>
      <c r="R285" s="377"/>
      <c r="S285" s="373"/>
      <c r="T285" s="376">
        <v>4</v>
      </c>
      <c r="U285" s="377" t="s">
        <v>1454</v>
      </c>
      <c r="V285" s="373"/>
      <c r="W285" s="963"/>
      <c r="Y285" s="368" t="s">
        <v>1360</v>
      </c>
      <c r="Z285" s="369">
        <f>COUNTIF(B282:W293,Y285)</f>
        <v>5</v>
      </c>
      <c r="AA285" s="370"/>
    </row>
    <row r="286" spans="2:27" s="272" customFormat="1" ht="16" thickBot="1">
      <c r="B286" s="378">
        <v>5</v>
      </c>
      <c r="C286" s="960"/>
      <c r="D286" s="961"/>
      <c r="E286" s="378">
        <v>5</v>
      </c>
      <c r="F286" s="379"/>
      <c r="G286" s="380"/>
      <c r="H286" s="378">
        <v>5</v>
      </c>
      <c r="I286" s="379"/>
      <c r="J286" s="380"/>
      <c r="K286" s="378">
        <v>5</v>
      </c>
      <c r="L286" s="379"/>
      <c r="M286" s="380"/>
      <c r="N286" s="378">
        <v>5</v>
      </c>
      <c r="O286" s="379"/>
      <c r="P286" s="380"/>
      <c r="Q286" s="378">
        <v>5</v>
      </c>
      <c r="R286" s="379"/>
      <c r="S286" s="380"/>
      <c r="T286" s="378">
        <v>5</v>
      </c>
      <c r="U286" s="379"/>
      <c r="V286" s="380"/>
      <c r="W286" s="964"/>
      <c r="Y286" s="368" t="s">
        <v>1361</v>
      </c>
      <c r="Z286" s="369">
        <f>COUNTIF(B282:W293,Y286)</f>
        <v>0</v>
      </c>
      <c r="AA286" s="370"/>
    </row>
    <row r="287" spans="2:27" s="272" customFormat="1">
      <c r="B287" s="381">
        <v>1</v>
      </c>
      <c r="C287" s="979" t="s">
        <v>1387</v>
      </c>
      <c r="D287" s="980"/>
      <c r="E287" s="381">
        <v>1</v>
      </c>
      <c r="F287" s="375" t="s">
        <v>1359</v>
      </c>
      <c r="G287" s="382"/>
      <c r="H287" s="381">
        <v>1</v>
      </c>
      <c r="I287" s="375" t="s">
        <v>1358</v>
      </c>
      <c r="J287" s="382"/>
      <c r="K287" s="381">
        <v>1</v>
      </c>
      <c r="L287" s="375" t="s">
        <v>1358</v>
      </c>
      <c r="M287" s="382"/>
      <c r="N287" s="381">
        <v>1</v>
      </c>
      <c r="O287" s="375" t="s">
        <v>1358</v>
      </c>
      <c r="P287" s="382">
        <v>16</v>
      </c>
      <c r="Q287" s="381">
        <v>1</v>
      </c>
      <c r="R287" s="375" t="s">
        <v>1360</v>
      </c>
      <c r="S287" s="382"/>
      <c r="T287" s="381">
        <v>1</v>
      </c>
      <c r="U287" s="375" t="s">
        <v>1358</v>
      </c>
      <c r="V287" s="382">
        <v>17</v>
      </c>
      <c r="W287" s="965" t="s">
        <v>1389</v>
      </c>
      <c r="Y287" s="368" t="s">
        <v>1363</v>
      </c>
      <c r="Z287" s="369">
        <f>COUNTIF(B282:W293,Y287)</f>
        <v>2</v>
      </c>
      <c r="AA287" s="370"/>
    </row>
    <row r="288" spans="2:27" s="272" customFormat="1">
      <c r="B288" s="371">
        <v>2</v>
      </c>
      <c r="C288" s="958"/>
      <c r="D288" s="981"/>
      <c r="E288" s="371">
        <v>2</v>
      </c>
      <c r="F288" s="375" t="s">
        <v>1360</v>
      </c>
      <c r="G288" s="373"/>
      <c r="H288" s="371">
        <v>2</v>
      </c>
      <c r="I288" s="375" t="s">
        <v>1360</v>
      </c>
      <c r="J288" s="373"/>
      <c r="K288" s="371">
        <v>2</v>
      </c>
      <c r="L288" s="375" t="s">
        <v>1465</v>
      </c>
      <c r="M288" s="373"/>
      <c r="N288" s="371">
        <v>2</v>
      </c>
      <c r="O288" s="368" t="s">
        <v>1360</v>
      </c>
      <c r="P288" s="373">
        <v>16</v>
      </c>
      <c r="Q288" s="371">
        <v>2</v>
      </c>
      <c r="R288" s="368" t="s">
        <v>1359</v>
      </c>
      <c r="S288" s="373"/>
      <c r="T288" s="371">
        <v>2</v>
      </c>
      <c r="U288" s="375" t="s">
        <v>1363</v>
      </c>
      <c r="V288" s="373">
        <v>17</v>
      </c>
      <c r="W288" s="963"/>
      <c r="Y288" s="368" t="s">
        <v>1455</v>
      </c>
      <c r="Z288" s="369">
        <f>COUNTIF(B282:W293,Y288)</f>
        <v>2</v>
      </c>
      <c r="AA288" s="370"/>
    </row>
    <row r="289" spans="2:27" s="272" customFormat="1">
      <c r="B289" s="371">
        <v>3</v>
      </c>
      <c r="C289" s="958"/>
      <c r="D289" s="981"/>
      <c r="E289" s="371">
        <v>3</v>
      </c>
      <c r="F289" s="375"/>
      <c r="G289" s="373"/>
      <c r="H289" s="371">
        <v>3</v>
      </c>
      <c r="I289" s="368"/>
      <c r="J289" s="373"/>
      <c r="K289" s="371">
        <v>3</v>
      </c>
      <c r="L289" s="368"/>
      <c r="M289" s="373"/>
      <c r="N289" s="371">
        <v>3</v>
      </c>
      <c r="O289" s="375" t="s">
        <v>1359</v>
      </c>
      <c r="P289" s="373">
        <v>21</v>
      </c>
      <c r="Q289" s="371">
        <v>3</v>
      </c>
      <c r="R289" s="402" t="s">
        <v>1358</v>
      </c>
      <c r="S289" s="403"/>
      <c r="T289" s="371">
        <v>3</v>
      </c>
      <c r="U289" s="375" t="s">
        <v>1360</v>
      </c>
      <c r="V289" s="373">
        <v>17</v>
      </c>
      <c r="W289" s="963"/>
      <c r="Y289" s="368"/>
      <c r="Z289" s="369">
        <f>COUNTIF(B282:W293,Y289)</f>
        <v>0</v>
      </c>
      <c r="AA289" s="370"/>
    </row>
    <row r="290" spans="2:27" s="272" customFormat="1">
      <c r="B290" s="376">
        <v>4</v>
      </c>
      <c r="C290" s="958"/>
      <c r="D290" s="981"/>
      <c r="E290" s="376">
        <v>4</v>
      </c>
      <c r="F290" s="375"/>
      <c r="G290" s="373"/>
      <c r="H290" s="376">
        <v>4</v>
      </c>
      <c r="I290" s="375"/>
      <c r="J290" s="373"/>
      <c r="K290" s="376">
        <v>4</v>
      </c>
      <c r="L290" s="375"/>
      <c r="M290" s="373"/>
      <c r="N290" s="376">
        <v>4</v>
      </c>
      <c r="O290" s="375" t="s">
        <v>1455</v>
      </c>
      <c r="P290" s="373">
        <v>21</v>
      </c>
      <c r="Q290" s="376">
        <v>4</v>
      </c>
      <c r="R290" s="375"/>
      <c r="S290" s="373"/>
      <c r="T290" s="376">
        <v>4</v>
      </c>
      <c r="U290" s="368" t="s">
        <v>1359</v>
      </c>
      <c r="V290" s="373">
        <v>17</v>
      </c>
      <c r="W290" s="963"/>
      <c r="Y290" s="368"/>
      <c r="Z290" s="369">
        <f>COUNTIF(B282:W293,Y290)</f>
        <v>0</v>
      </c>
      <c r="AA290" s="370"/>
    </row>
    <row r="291" spans="2:27" s="272" customFormat="1">
      <c r="B291" s="376">
        <v>5</v>
      </c>
      <c r="C291" s="958"/>
      <c r="D291" s="981"/>
      <c r="E291" s="376">
        <v>5</v>
      </c>
      <c r="F291" s="375"/>
      <c r="G291" s="373"/>
      <c r="H291" s="376">
        <v>5</v>
      </c>
      <c r="I291" s="375"/>
      <c r="J291" s="373"/>
      <c r="K291" s="376">
        <v>5</v>
      </c>
      <c r="L291" s="375"/>
      <c r="M291" s="373"/>
      <c r="N291" s="376">
        <v>5</v>
      </c>
      <c r="O291" s="375"/>
      <c r="P291" s="373"/>
      <c r="Q291" s="376">
        <v>5</v>
      </c>
      <c r="R291" s="375" t="s">
        <v>1455</v>
      </c>
      <c r="S291" s="373"/>
      <c r="T291" s="376">
        <v>5</v>
      </c>
      <c r="U291" s="375"/>
      <c r="V291" s="373"/>
      <c r="W291" s="963"/>
      <c r="Y291" s="368"/>
      <c r="Z291" s="369">
        <f>COUNTIF(B282:W293,Y291)</f>
        <v>0</v>
      </c>
      <c r="AA291" s="370"/>
    </row>
    <row r="292" spans="2:27" s="272" customFormat="1">
      <c r="B292" s="371">
        <v>6</v>
      </c>
      <c r="C292" s="958"/>
      <c r="D292" s="981"/>
      <c r="E292" s="371">
        <v>6</v>
      </c>
      <c r="F292" s="375"/>
      <c r="G292" s="373"/>
      <c r="H292" s="371">
        <v>6</v>
      </c>
      <c r="I292" s="375"/>
      <c r="J292" s="373"/>
      <c r="K292" s="371">
        <v>6</v>
      </c>
      <c r="L292" s="375"/>
      <c r="M292" s="373"/>
      <c r="N292" s="371">
        <v>6</v>
      </c>
      <c r="O292" s="375"/>
      <c r="P292" s="373"/>
      <c r="Q292" s="371">
        <v>6</v>
      </c>
      <c r="R292" s="383" t="s">
        <v>1363</v>
      </c>
      <c r="S292" s="385"/>
      <c r="T292" s="371">
        <v>6</v>
      </c>
      <c r="U292" s="375"/>
      <c r="V292" s="373"/>
      <c r="W292" s="963"/>
      <c r="Y292" s="368"/>
      <c r="Z292" s="369">
        <f>COUNTIF(B282:W293,Y292)</f>
        <v>0</v>
      </c>
      <c r="AA292" s="370"/>
    </row>
    <row r="293" spans="2:27" s="272" customFormat="1" ht="16" thickBot="1">
      <c r="B293" s="378">
        <v>7</v>
      </c>
      <c r="C293" s="960"/>
      <c r="D293" s="982"/>
      <c r="E293" s="378">
        <v>7</v>
      </c>
      <c r="F293" s="379"/>
      <c r="G293" s="380"/>
      <c r="H293" s="378">
        <v>7</v>
      </c>
      <c r="I293" s="379"/>
      <c r="J293" s="380"/>
      <c r="K293" s="378">
        <v>7</v>
      </c>
      <c r="L293" s="379"/>
      <c r="M293" s="380"/>
      <c r="N293" s="378">
        <v>7</v>
      </c>
      <c r="O293" s="379"/>
      <c r="P293" s="380"/>
      <c r="Q293" s="378">
        <v>7</v>
      </c>
      <c r="R293" s="379"/>
      <c r="S293" s="380"/>
      <c r="T293" s="378">
        <v>7</v>
      </c>
      <c r="U293" s="379"/>
      <c r="V293" s="380"/>
      <c r="W293" s="964"/>
      <c r="Y293" s="368"/>
      <c r="Z293" s="369">
        <f>COUNTIF(B282:W293,Y293)</f>
        <v>0</v>
      </c>
      <c r="AA293" s="370"/>
    </row>
    <row r="294" spans="2:27" s="272" customFormat="1">
      <c r="B294" s="234"/>
      <c r="C294" s="368"/>
      <c r="D294" s="279"/>
      <c r="E294" s="234"/>
      <c r="F294" s="368"/>
      <c r="G294" s="279"/>
      <c r="I294" s="368"/>
      <c r="J294" s="279"/>
      <c r="L294" s="368"/>
      <c r="M294" s="279"/>
      <c r="O294" s="368"/>
      <c r="P294" s="279"/>
      <c r="R294" s="368"/>
      <c r="S294" s="279"/>
      <c r="U294" s="368"/>
      <c r="V294" s="279"/>
      <c r="W294" s="234"/>
      <c r="Y294" s="368"/>
      <c r="Z294" s="369"/>
      <c r="AA294" s="370"/>
    </row>
    <row r="295" spans="2:27" s="272" customFormat="1">
      <c r="B295" s="234"/>
      <c r="C295" s="368"/>
      <c r="D295" s="279"/>
      <c r="E295" s="234"/>
      <c r="F295" s="368"/>
      <c r="G295" s="279"/>
      <c r="I295" s="368"/>
      <c r="J295" s="279"/>
      <c r="L295" s="368"/>
      <c r="M295" s="279"/>
      <c r="O295" s="368"/>
      <c r="P295" s="279"/>
      <c r="R295" s="368"/>
      <c r="S295" s="279"/>
      <c r="U295" s="368"/>
      <c r="V295" s="279"/>
      <c r="W295" s="234"/>
      <c r="Y295" s="368"/>
      <c r="Z295" s="369"/>
      <c r="AA295" s="370"/>
    </row>
    <row r="296" spans="2:27" s="272" customFormat="1">
      <c r="B296" s="234"/>
      <c r="C296" s="368"/>
      <c r="D296" s="279"/>
      <c r="E296" s="234"/>
      <c r="F296" s="368"/>
      <c r="G296" s="279"/>
      <c r="I296" s="368"/>
      <c r="J296" s="279"/>
      <c r="L296" s="368"/>
      <c r="M296" s="279"/>
      <c r="O296" s="368"/>
      <c r="P296" s="279"/>
      <c r="R296" s="368"/>
      <c r="S296" s="279"/>
      <c r="U296" s="368"/>
      <c r="V296" s="279"/>
      <c r="W296" s="234"/>
      <c r="Y296" s="368"/>
      <c r="Z296" s="369"/>
      <c r="AA296" s="370"/>
    </row>
    <row r="297" spans="2:27" s="272" customFormat="1">
      <c r="B297" s="234"/>
      <c r="C297" s="368"/>
      <c r="D297" s="279"/>
      <c r="E297" s="234"/>
      <c r="F297" s="368"/>
      <c r="G297" s="279"/>
      <c r="I297" s="368"/>
      <c r="J297" s="279"/>
      <c r="L297" s="368"/>
      <c r="M297" s="279"/>
      <c r="O297" s="368"/>
      <c r="P297" s="279"/>
      <c r="R297" s="368"/>
      <c r="S297" s="279"/>
      <c r="U297" s="368"/>
      <c r="V297" s="279"/>
      <c r="W297" s="234"/>
      <c r="Y297" s="368"/>
      <c r="Z297" s="369"/>
      <c r="AA297" s="370"/>
    </row>
    <row r="298" spans="2:27" s="272" customFormat="1">
      <c r="B298" s="234"/>
      <c r="C298" s="368"/>
      <c r="D298" s="279"/>
      <c r="E298" s="234"/>
      <c r="F298" s="368"/>
      <c r="G298" s="279"/>
      <c r="I298" s="368"/>
      <c r="J298" s="279"/>
      <c r="L298" s="368"/>
      <c r="M298" s="279"/>
      <c r="O298" s="368"/>
      <c r="P298" s="279"/>
      <c r="R298" s="368"/>
      <c r="S298" s="279"/>
      <c r="U298" s="368"/>
      <c r="V298" s="279"/>
      <c r="W298" s="234"/>
      <c r="Y298" s="368"/>
      <c r="Z298" s="369"/>
      <c r="AA298" s="370"/>
    </row>
    <row r="299" spans="2:27" s="272" customFormat="1">
      <c r="B299" s="234"/>
      <c r="C299" s="368"/>
      <c r="D299" s="279"/>
      <c r="E299" s="234"/>
      <c r="F299" s="368"/>
      <c r="G299" s="279"/>
      <c r="I299" s="368"/>
      <c r="J299" s="279"/>
      <c r="L299" s="368"/>
      <c r="M299" s="279"/>
      <c r="O299" s="368"/>
      <c r="P299" s="279"/>
      <c r="R299" s="368"/>
      <c r="S299" s="279"/>
      <c r="U299" s="368"/>
      <c r="V299" s="279"/>
      <c r="W299" s="234"/>
      <c r="Y299" s="368"/>
      <c r="Z299" s="369"/>
      <c r="AA299" s="370"/>
    </row>
    <row r="300" spans="2:27" s="272" customFormat="1">
      <c r="B300" s="234"/>
      <c r="C300" s="368"/>
      <c r="D300" s="279"/>
      <c r="E300" s="234"/>
      <c r="F300" s="368"/>
      <c r="G300" s="279"/>
      <c r="I300" s="368"/>
      <c r="J300" s="279"/>
      <c r="L300" s="368"/>
      <c r="M300" s="279"/>
      <c r="O300" s="368"/>
      <c r="P300" s="279"/>
      <c r="R300" s="368"/>
      <c r="S300" s="279"/>
      <c r="U300" s="368"/>
      <c r="V300" s="279"/>
      <c r="W300" s="234"/>
      <c r="Y300" s="368"/>
      <c r="Z300" s="369"/>
      <c r="AA300" s="370"/>
    </row>
    <row r="301" spans="2:27" s="272" customFormat="1">
      <c r="B301" s="234"/>
      <c r="C301" s="368"/>
      <c r="D301" s="279"/>
      <c r="E301" s="234"/>
      <c r="F301" s="368"/>
      <c r="G301" s="279"/>
      <c r="I301" s="368"/>
      <c r="J301" s="279"/>
      <c r="L301" s="368"/>
      <c r="M301" s="279"/>
      <c r="O301" s="368"/>
      <c r="P301" s="279"/>
      <c r="R301" s="368"/>
      <c r="S301" s="279"/>
      <c r="U301" s="368"/>
      <c r="V301" s="279"/>
      <c r="W301" s="234"/>
      <c r="Y301" s="368"/>
      <c r="Z301" s="369"/>
      <c r="AA301" s="370"/>
    </row>
    <row r="302" spans="2:27" s="272" customFormat="1">
      <c r="B302" s="234"/>
      <c r="C302" s="368"/>
      <c r="D302" s="279"/>
      <c r="E302" s="234"/>
      <c r="F302" s="368"/>
      <c r="G302" s="279"/>
      <c r="I302" s="368"/>
      <c r="J302" s="279"/>
      <c r="L302" s="368"/>
      <c r="M302" s="279"/>
      <c r="O302" s="368"/>
      <c r="P302" s="279"/>
      <c r="R302" s="368"/>
      <c r="S302" s="279"/>
      <c r="U302" s="368"/>
      <c r="V302" s="279"/>
      <c r="W302" s="234"/>
      <c r="Y302" s="368"/>
      <c r="Z302" s="369"/>
      <c r="AA302" s="370"/>
    </row>
    <row r="303" spans="2:27" s="272" customFormat="1">
      <c r="B303" s="234"/>
      <c r="C303" s="368"/>
      <c r="D303" s="279"/>
      <c r="E303" s="234"/>
      <c r="F303" s="368"/>
      <c r="G303" s="279"/>
      <c r="I303" s="368"/>
      <c r="J303" s="279"/>
      <c r="L303" s="368"/>
      <c r="M303" s="279"/>
      <c r="O303" s="368"/>
      <c r="P303" s="279"/>
      <c r="R303" s="368"/>
      <c r="S303" s="279"/>
      <c r="U303" s="368"/>
      <c r="V303" s="279"/>
      <c r="W303" s="234"/>
      <c r="Y303" s="368"/>
      <c r="Z303" s="369"/>
      <c r="AA303" s="370"/>
    </row>
    <row r="304" spans="2:27" s="272" customFormat="1">
      <c r="B304" s="234"/>
      <c r="C304" s="368"/>
      <c r="D304" s="279"/>
      <c r="E304" s="234"/>
      <c r="F304" s="368"/>
      <c r="G304" s="279"/>
      <c r="I304" s="368"/>
      <c r="J304" s="279"/>
      <c r="L304" s="368"/>
      <c r="M304" s="279"/>
      <c r="O304" s="368"/>
      <c r="P304" s="279"/>
      <c r="R304" s="368"/>
      <c r="S304" s="279"/>
      <c r="U304" s="368"/>
      <c r="V304" s="279"/>
      <c r="W304" s="234"/>
      <c r="Y304" s="368"/>
      <c r="Z304" s="369"/>
      <c r="AA304" s="370"/>
    </row>
    <row r="305" spans="2:27" s="272" customFormat="1">
      <c r="B305" s="234"/>
      <c r="C305" s="368"/>
      <c r="D305" s="279"/>
      <c r="E305" s="234"/>
      <c r="F305" s="368"/>
      <c r="G305" s="279"/>
      <c r="I305" s="368"/>
      <c r="J305" s="279"/>
      <c r="L305" s="368"/>
      <c r="M305" s="279"/>
      <c r="O305" s="368"/>
      <c r="P305" s="279"/>
      <c r="R305" s="368"/>
      <c r="S305" s="279"/>
      <c r="U305" s="368"/>
      <c r="V305" s="279"/>
      <c r="W305" s="234"/>
      <c r="Y305" s="368"/>
      <c r="Z305" s="369"/>
      <c r="AA305" s="370"/>
    </row>
    <row r="306" spans="2:27" s="272" customFormat="1">
      <c r="B306" s="234"/>
      <c r="C306" s="368"/>
      <c r="D306" s="279"/>
      <c r="E306" s="234"/>
      <c r="F306" s="368"/>
      <c r="G306" s="279"/>
      <c r="I306" s="368"/>
      <c r="J306" s="279"/>
      <c r="L306" s="368"/>
      <c r="M306" s="279"/>
      <c r="O306" s="368"/>
      <c r="P306" s="279"/>
      <c r="R306" s="368"/>
      <c r="S306" s="279"/>
      <c r="U306" s="368"/>
      <c r="V306" s="279"/>
      <c r="W306" s="234"/>
      <c r="Y306" s="368"/>
      <c r="Z306" s="369"/>
      <c r="AA306" s="370"/>
    </row>
    <row r="307" spans="2:27" s="272" customFormat="1">
      <c r="B307" s="234"/>
      <c r="C307" s="368"/>
      <c r="D307" s="279"/>
      <c r="E307" s="234"/>
      <c r="F307" s="368"/>
      <c r="G307" s="279"/>
      <c r="I307" s="368"/>
      <c r="J307" s="279"/>
      <c r="L307" s="368"/>
      <c r="M307" s="279"/>
      <c r="O307" s="368"/>
      <c r="P307" s="279"/>
      <c r="R307" s="368"/>
      <c r="S307" s="279"/>
      <c r="U307" s="368"/>
      <c r="V307" s="279"/>
      <c r="W307" s="234"/>
      <c r="Y307" s="368"/>
      <c r="Z307" s="369"/>
      <c r="AA307" s="370"/>
    </row>
    <row r="308" spans="2:27" s="272" customFormat="1">
      <c r="B308" s="234"/>
      <c r="C308" s="368"/>
      <c r="D308" s="279"/>
      <c r="E308" s="234"/>
      <c r="F308" s="368"/>
      <c r="G308" s="279"/>
      <c r="I308" s="368"/>
      <c r="J308" s="279"/>
      <c r="L308" s="368"/>
      <c r="M308" s="279"/>
      <c r="O308" s="368"/>
      <c r="P308" s="279"/>
      <c r="R308" s="368"/>
      <c r="S308" s="279"/>
      <c r="U308" s="368"/>
      <c r="V308" s="279"/>
      <c r="W308" s="234"/>
      <c r="Y308" s="368"/>
      <c r="Z308" s="369"/>
      <c r="AA308" s="370"/>
    </row>
    <row r="309" spans="2:27" s="272" customFormat="1">
      <c r="B309" s="234"/>
      <c r="C309" s="368"/>
      <c r="D309" s="279"/>
      <c r="E309" s="234"/>
      <c r="F309" s="368"/>
      <c r="G309" s="279"/>
      <c r="I309" s="368"/>
      <c r="J309" s="279"/>
      <c r="L309" s="368"/>
      <c r="M309" s="279"/>
      <c r="O309" s="368"/>
      <c r="P309" s="279"/>
      <c r="R309" s="368"/>
      <c r="S309" s="279"/>
      <c r="U309" s="368"/>
      <c r="V309" s="279"/>
      <c r="W309" s="234"/>
      <c r="Y309" s="368"/>
      <c r="Z309" s="369"/>
      <c r="AA309" s="370"/>
    </row>
    <row r="310" spans="2:27" s="272" customFormat="1">
      <c r="B310" s="234"/>
      <c r="C310" s="368"/>
      <c r="D310" s="279"/>
      <c r="E310" s="234"/>
      <c r="F310" s="368"/>
      <c r="G310" s="279"/>
      <c r="I310" s="368"/>
      <c r="J310" s="279"/>
      <c r="L310" s="368"/>
      <c r="M310" s="279"/>
      <c r="O310" s="368"/>
      <c r="P310" s="279"/>
      <c r="R310" s="368"/>
      <c r="S310" s="279"/>
      <c r="U310" s="368"/>
      <c r="V310" s="279"/>
      <c r="W310" s="234"/>
      <c r="Y310" s="368"/>
      <c r="Z310" s="369"/>
      <c r="AA310" s="370"/>
    </row>
    <row r="311" spans="2:27" s="272" customFormat="1">
      <c r="B311" s="234"/>
      <c r="C311" s="368"/>
      <c r="D311" s="279"/>
      <c r="E311" s="234"/>
      <c r="F311" s="368"/>
      <c r="G311" s="279"/>
      <c r="I311" s="368"/>
      <c r="J311" s="279"/>
      <c r="L311" s="368"/>
      <c r="M311" s="279"/>
      <c r="O311" s="368"/>
      <c r="P311" s="279"/>
      <c r="R311" s="368"/>
      <c r="S311" s="279"/>
      <c r="U311" s="368"/>
      <c r="V311" s="279"/>
      <c r="W311" s="234"/>
      <c r="Y311" s="368"/>
      <c r="Z311" s="369"/>
      <c r="AA311" s="370"/>
    </row>
    <row r="312" spans="2:27" s="272" customFormat="1">
      <c r="B312" s="234"/>
      <c r="C312" s="368"/>
      <c r="D312" s="279"/>
      <c r="E312" s="234"/>
      <c r="F312" s="368"/>
      <c r="G312" s="279"/>
      <c r="I312" s="368"/>
      <c r="J312" s="279"/>
      <c r="L312" s="368"/>
      <c r="M312" s="279"/>
      <c r="O312" s="368"/>
      <c r="P312" s="279"/>
      <c r="R312" s="368"/>
      <c r="S312" s="279"/>
      <c r="U312" s="368"/>
      <c r="V312" s="279"/>
      <c r="W312" s="234"/>
      <c r="Y312" s="368"/>
      <c r="Z312" s="369"/>
      <c r="AA312" s="370"/>
    </row>
    <row r="313" spans="2:27" s="272" customFormat="1">
      <c r="B313" s="234"/>
      <c r="C313" s="368"/>
      <c r="D313" s="279"/>
      <c r="E313" s="234"/>
      <c r="F313" s="368"/>
      <c r="G313" s="279"/>
      <c r="I313" s="368"/>
      <c r="J313" s="279"/>
      <c r="L313" s="368"/>
      <c r="M313" s="279"/>
      <c r="O313" s="368"/>
      <c r="P313" s="279"/>
      <c r="R313" s="368"/>
      <c r="S313" s="279"/>
      <c r="U313" s="368"/>
      <c r="V313" s="279"/>
      <c r="W313" s="234"/>
      <c r="Y313" s="368"/>
      <c r="Z313" s="369"/>
      <c r="AA313" s="370"/>
    </row>
    <row r="314" spans="2:27" s="272" customFormat="1">
      <c r="B314" s="234"/>
      <c r="C314" s="368"/>
      <c r="D314" s="279"/>
      <c r="E314" s="234"/>
      <c r="F314" s="368"/>
      <c r="G314" s="279"/>
      <c r="I314" s="368"/>
      <c r="J314" s="279"/>
      <c r="L314" s="368"/>
      <c r="M314" s="279"/>
      <c r="O314" s="368"/>
      <c r="P314" s="279"/>
      <c r="R314" s="368"/>
      <c r="S314" s="279"/>
      <c r="U314" s="368"/>
      <c r="V314" s="279"/>
      <c r="W314" s="234"/>
      <c r="Y314" s="368"/>
      <c r="Z314" s="369"/>
      <c r="AA314" s="370"/>
    </row>
    <row r="315" spans="2:27" s="272" customFormat="1">
      <c r="B315" s="234"/>
      <c r="C315" s="368"/>
      <c r="D315" s="279"/>
      <c r="E315" s="234"/>
      <c r="F315" s="368"/>
      <c r="G315" s="279"/>
      <c r="I315" s="368"/>
      <c r="J315" s="279"/>
      <c r="L315" s="368"/>
      <c r="M315" s="279"/>
      <c r="O315" s="368"/>
      <c r="P315" s="279"/>
      <c r="R315" s="368"/>
      <c r="S315" s="279"/>
      <c r="U315" s="368"/>
      <c r="V315" s="279"/>
      <c r="W315" s="234"/>
      <c r="Y315" s="368"/>
      <c r="Z315" s="369"/>
      <c r="AA315" s="370"/>
    </row>
    <row r="316" spans="2:27" s="272" customFormat="1">
      <c r="B316" s="234"/>
      <c r="C316" s="368"/>
      <c r="D316" s="279"/>
      <c r="E316" s="234"/>
      <c r="F316" s="368"/>
      <c r="G316" s="279"/>
      <c r="I316" s="368"/>
      <c r="J316" s="279"/>
      <c r="L316" s="368"/>
      <c r="M316" s="279"/>
      <c r="O316" s="368"/>
      <c r="P316" s="279"/>
      <c r="R316" s="368"/>
      <c r="S316" s="279"/>
      <c r="U316" s="368"/>
      <c r="V316" s="279"/>
      <c r="W316" s="234"/>
      <c r="Y316" s="368"/>
      <c r="Z316" s="369"/>
      <c r="AA316" s="370"/>
    </row>
    <row r="317" spans="2:27" s="272" customFormat="1">
      <c r="B317" s="234"/>
      <c r="C317" s="368"/>
      <c r="D317" s="279"/>
      <c r="E317" s="234"/>
      <c r="F317" s="368"/>
      <c r="G317" s="279"/>
      <c r="I317" s="368"/>
      <c r="J317" s="279"/>
      <c r="L317" s="368"/>
      <c r="M317" s="279"/>
      <c r="O317" s="368"/>
      <c r="P317" s="279"/>
      <c r="R317" s="368"/>
      <c r="S317" s="279"/>
      <c r="U317" s="368"/>
      <c r="V317" s="279"/>
      <c r="W317" s="234"/>
      <c r="Y317" s="368"/>
      <c r="Z317" s="369"/>
      <c r="AA317" s="370"/>
    </row>
    <row r="318" spans="2:27" s="272" customFormat="1">
      <c r="B318" s="234"/>
      <c r="C318" s="368"/>
      <c r="D318" s="279"/>
      <c r="E318" s="234"/>
      <c r="F318" s="368"/>
      <c r="G318" s="279"/>
      <c r="I318" s="368"/>
      <c r="J318" s="279"/>
      <c r="L318" s="368"/>
      <c r="M318" s="279"/>
      <c r="O318" s="368"/>
      <c r="P318" s="279"/>
      <c r="R318" s="368"/>
      <c r="S318" s="279"/>
      <c r="U318" s="368"/>
      <c r="V318" s="279"/>
      <c r="W318" s="234"/>
      <c r="Y318" s="368"/>
      <c r="Z318" s="369"/>
      <c r="AA318" s="370"/>
    </row>
    <row r="319" spans="2:27" s="272" customFormat="1">
      <c r="B319" s="234"/>
      <c r="C319" s="368"/>
      <c r="D319" s="279"/>
      <c r="E319" s="234"/>
      <c r="F319" s="368"/>
      <c r="G319" s="279"/>
      <c r="I319" s="368"/>
      <c r="J319" s="279"/>
      <c r="L319" s="368"/>
      <c r="M319" s="279"/>
      <c r="O319" s="368"/>
      <c r="P319" s="279"/>
      <c r="R319" s="368"/>
      <c r="S319" s="279"/>
      <c r="U319" s="368"/>
      <c r="V319" s="279"/>
      <c r="W319" s="234"/>
      <c r="Y319" s="368"/>
      <c r="Z319" s="369"/>
      <c r="AA319" s="370"/>
    </row>
    <row r="320" spans="2:27" s="272" customFormat="1">
      <c r="B320" s="234"/>
      <c r="C320" s="368"/>
      <c r="D320" s="279"/>
      <c r="E320" s="234"/>
      <c r="F320" s="368"/>
      <c r="G320" s="279"/>
      <c r="I320" s="368"/>
      <c r="J320" s="279"/>
      <c r="L320" s="368"/>
      <c r="M320" s="279"/>
      <c r="O320" s="368"/>
      <c r="P320" s="279"/>
      <c r="R320" s="368"/>
      <c r="S320" s="279"/>
      <c r="U320" s="368"/>
      <c r="V320" s="279"/>
      <c r="W320" s="234"/>
      <c r="Y320" s="368"/>
      <c r="Z320" s="369"/>
      <c r="AA320" s="370"/>
    </row>
    <row r="321" spans="2:27" s="272" customFormat="1">
      <c r="B321" s="234"/>
      <c r="C321" s="368"/>
      <c r="D321" s="279"/>
      <c r="E321" s="234"/>
      <c r="F321" s="368"/>
      <c r="G321" s="279"/>
      <c r="I321" s="368"/>
      <c r="J321" s="279"/>
      <c r="L321" s="368"/>
      <c r="M321" s="279"/>
      <c r="O321" s="368"/>
      <c r="P321" s="279"/>
      <c r="R321" s="368"/>
      <c r="S321" s="279"/>
      <c r="U321" s="368"/>
      <c r="V321" s="279"/>
      <c r="W321" s="234"/>
      <c r="Y321" s="368"/>
      <c r="Z321" s="369"/>
      <c r="AA321" s="370"/>
    </row>
    <row r="322" spans="2:27" s="272" customFormat="1">
      <c r="B322" s="234"/>
      <c r="C322" s="368"/>
      <c r="D322" s="279"/>
      <c r="E322" s="234"/>
      <c r="F322" s="368"/>
      <c r="G322" s="279"/>
      <c r="I322" s="368"/>
      <c r="J322" s="279"/>
      <c r="L322" s="368"/>
      <c r="M322" s="279"/>
      <c r="O322" s="368"/>
      <c r="P322" s="279"/>
      <c r="R322" s="368"/>
      <c r="S322" s="279"/>
      <c r="U322" s="368"/>
      <c r="V322" s="279"/>
      <c r="W322" s="234"/>
      <c r="Y322" s="368"/>
      <c r="Z322" s="369"/>
      <c r="AA322" s="370"/>
    </row>
    <row r="323" spans="2:27" s="272" customFormat="1">
      <c r="B323" s="234"/>
      <c r="C323" s="368"/>
      <c r="D323" s="279"/>
      <c r="E323" s="234"/>
      <c r="F323" s="368"/>
      <c r="G323" s="279"/>
      <c r="I323" s="368"/>
      <c r="J323" s="279"/>
      <c r="L323" s="368"/>
      <c r="M323" s="279"/>
      <c r="O323" s="368"/>
      <c r="P323" s="279"/>
      <c r="R323" s="368"/>
      <c r="S323" s="279"/>
      <c r="U323" s="368"/>
      <c r="V323" s="279"/>
      <c r="W323" s="234"/>
      <c r="Y323" s="368"/>
      <c r="Z323" s="369"/>
      <c r="AA323" s="370"/>
    </row>
    <row r="324" spans="2:27" s="272" customFormat="1">
      <c r="B324" s="234"/>
      <c r="C324" s="368"/>
      <c r="D324" s="279"/>
      <c r="E324" s="234"/>
      <c r="F324" s="368"/>
      <c r="G324" s="279"/>
      <c r="I324" s="368"/>
      <c r="J324" s="279"/>
      <c r="L324" s="368"/>
      <c r="M324" s="279"/>
      <c r="O324" s="368"/>
      <c r="P324" s="279"/>
      <c r="R324" s="368"/>
      <c r="S324" s="279"/>
      <c r="U324" s="368"/>
      <c r="V324" s="279"/>
      <c r="W324" s="234"/>
      <c r="Y324" s="368"/>
      <c r="Z324" s="369"/>
      <c r="AA324" s="370"/>
    </row>
    <row r="325" spans="2:27" s="272" customFormat="1">
      <c r="B325" s="234"/>
      <c r="C325" s="368"/>
      <c r="D325" s="279"/>
      <c r="E325" s="234"/>
      <c r="F325" s="368"/>
      <c r="G325" s="279"/>
      <c r="I325" s="368"/>
      <c r="J325" s="279"/>
      <c r="L325" s="368"/>
      <c r="M325" s="279"/>
      <c r="O325" s="368"/>
      <c r="P325" s="279"/>
      <c r="R325" s="368"/>
      <c r="S325" s="279"/>
      <c r="U325" s="368"/>
      <c r="V325" s="279"/>
      <c r="W325" s="234"/>
      <c r="Y325" s="368"/>
      <c r="Z325" s="369"/>
      <c r="AA325" s="370"/>
    </row>
    <row r="326" spans="2:27" s="272" customFormat="1">
      <c r="B326" s="234"/>
      <c r="C326" s="368"/>
      <c r="D326" s="279"/>
      <c r="E326" s="234"/>
      <c r="F326" s="368"/>
      <c r="G326" s="279"/>
      <c r="I326" s="368"/>
      <c r="J326" s="279"/>
      <c r="L326" s="368"/>
      <c r="M326" s="279"/>
      <c r="O326" s="368"/>
      <c r="P326" s="279"/>
      <c r="R326" s="368"/>
      <c r="S326" s="279"/>
      <c r="U326" s="368"/>
      <c r="V326" s="279"/>
      <c r="W326" s="234"/>
      <c r="Y326" s="368"/>
      <c r="Z326" s="369"/>
      <c r="AA326" s="370"/>
    </row>
    <row r="327" spans="2:27" s="272" customFormat="1">
      <c r="B327" s="234"/>
      <c r="C327" s="368"/>
      <c r="D327" s="279"/>
      <c r="E327" s="234"/>
      <c r="F327" s="368"/>
      <c r="G327" s="279"/>
      <c r="I327" s="368"/>
      <c r="J327" s="279"/>
      <c r="L327" s="368"/>
      <c r="M327" s="279"/>
      <c r="O327" s="368"/>
      <c r="P327" s="279"/>
      <c r="R327" s="368"/>
      <c r="S327" s="279"/>
      <c r="U327" s="368"/>
      <c r="V327" s="279"/>
      <c r="W327" s="234"/>
      <c r="Y327" s="368"/>
      <c r="Z327" s="369"/>
      <c r="AA327" s="370"/>
    </row>
    <row r="328" spans="2:27" s="272" customFormat="1">
      <c r="B328" s="234"/>
      <c r="C328" s="368"/>
      <c r="D328" s="279"/>
      <c r="E328" s="234"/>
      <c r="F328" s="368"/>
      <c r="G328" s="279"/>
      <c r="I328" s="368"/>
      <c r="J328" s="279"/>
      <c r="L328" s="368"/>
      <c r="M328" s="279"/>
      <c r="O328" s="368"/>
      <c r="P328" s="279"/>
      <c r="R328" s="368"/>
      <c r="S328" s="279"/>
      <c r="U328" s="368"/>
      <c r="V328" s="279"/>
      <c r="W328" s="234"/>
      <c r="Y328" s="368"/>
      <c r="Z328" s="369"/>
      <c r="AA328" s="370"/>
    </row>
    <row r="329" spans="2:27" s="272" customFormat="1">
      <c r="B329" s="234"/>
      <c r="C329" s="368"/>
      <c r="D329" s="279"/>
      <c r="E329" s="234"/>
      <c r="F329" s="368"/>
      <c r="G329" s="279"/>
      <c r="I329" s="368"/>
      <c r="J329" s="279"/>
      <c r="L329" s="368"/>
      <c r="M329" s="279"/>
      <c r="O329" s="368"/>
      <c r="P329" s="279"/>
      <c r="R329" s="368"/>
      <c r="S329" s="279"/>
      <c r="U329" s="368"/>
      <c r="V329" s="279"/>
      <c r="W329" s="234"/>
      <c r="Y329" s="368"/>
      <c r="Z329" s="369"/>
      <c r="AA329" s="370"/>
    </row>
    <row r="330" spans="2:27" s="272" customFormat="1">
      <c r="B330" s="234"/>
      <c r="C330" s="368"/>
      <c r="D330" s="279"/>
      <c r="E330" s="234"/>
      <c r="F330" s="368"/>
      <c r="G330" s="279"/>
      <c r="I330" s="368"/>
      <c r="J330" s="279"/>
      <c r="L330" s="368"/>
      <c r="M330" s="279"/>
      <c r="O330" s="368"/>
      <c r="P330" s="279"/>
      <c r="R330" s="368"/>
      <c r="S330" s="279"/>
      <c r="U330" s="368"/>
      <c r="V330" s="279"/>
      <c r="W330" s="234"/>
      <c r="Y330" s="368"/>
      <c r="Z330" s="369"/>
      <c r="AA330" s="370"/>
    </row>
    <row r="331" spans="2:27" s="272" customFormat="1">
      <c r="B331" s="234"/>
      <c r="C331" s="368"/>
      <c r="D331" s="279"/>
      <c r="E331" s="234"/>
      <c r="F331" s="368"/>
      <c r="G331" s="279"/>
      <c r="I331" s="368"/>
      <c r="J331" s="279"/>
      <c r="L331" s="368"/>
      <c r="M331" s="279"/>
      <c r="O331" s="368"/>
      <c r="P331" s="279"/>
      <c r="R331" s="368"/>
      <c r="S331" s="279"/>
      <c r="U331" s="368"/>
      <c r="V331" s="279"/>
      <c r="W331" s="234"/>
      <c r="Y331" s="368"/>
      <c r="Z331" s="369"/>
      <c r="AA331" s="370"/>
    </row>
    <row r="332" spans="2:27" s="272" customFormat="1">
      <c r="B332" s="234"/>
      <c r="C332" s="368"/>
      <c r="D332" s="279"/>
      <c r="E332" s="234"/>
      <c r="F332" s="368"/>
      <c r="G332" s="279"/>
      <c r="I332" s="368"/>
      <c r="J332" s="279"/>
      <c r="L332" s="368"/>
      <c r="M332" s="279"/>
      <c r="O332" s="368"/>
      <c r="P332" s="279"/>
      <c r="R332" s="368"/>
      <c r="S332" s="279"/>
      <c r="U332" s="368"/>
      <c r="V332" s="279"/>
      <c r="W332" s="234"/>
      <c r="Y332" s="368"/>
      <c r="Z332" s="369"/>
      <c r="AA332" s="370"/>
    </row>
    <row r="333" spans="2:27" s="272" customFormat="1">
      <c r="B333" s="234"/>
      <c r="C333" s="368"/>
      <c r="D333" s="279"/>
      <c r="E333" s="234"/>
      <c r="F333" s="368"/>
      <c r="G333" s="279"/>
      <c r="I333" s="368"/>
      <c r="J333" s="279"/>
      <c r="L333" s="368"/>
      <c r="M333" s="279"/>
      <c r="O333" s="368"/>
      <c r="P333" s="279"/>
      <c r="R333" s="368"/>
      <c r="S333" s="279"/>
      <c r="U333" s="368"/>
      <c r="V333" s="279"/>
      <c r="W333" s="234"/>
      <c r="Y333" s="368"/>
      <c r="Z333" s="369"/>
      <c r="AA333" s="370"/>
    </row>
    <row r="334" spans="2:27" s="272" customFormat="1">
      <c r="B334" s="234"/>
      <c r="C334" s="368"/>
      <c r="D334" s="279"/>
      <c r="E334" s="234"/>
      <c r="F334" s="368"/>
      <c r="G334" s="279"/>
      <c r="I334" s="368"/>
      <c r="J334" s="279"/>
      <c r="L334" s="368"/>
      <c r="M334" s="279"/>
      <c r="O334" s="368"/>
      <c r="P334" s="279"/>
      <c r="R334" s="368"/>
      <c r="S334" s="279"/>
      <c r="U334" s="368"/>
      <c r="V334" s="279"/>
      <c r="W334" s="234"/>
      <c r="Y334" s="368"/>
      <c r="Z334" s="369"/>
      <c r="AA334" s="370"/>
    </row>
    <row r="335" spans="2:27" s="272" customFormat="1">
      <c r="B335" s="234"/>
      <c r="C335" s="368"/>
      <c r="D335" s="279"/>
      <c r="E335" s="234"/>
      <c r="F335" s="368"/>
      <c r="G335" s="279"/>
      <c r="I335" s="368"/>
      <c r="J335" s="279"/>
      <c r="L335" s="368"/>
      <c r="M335" s="279"/>
      <c r="O335" s="368"/>
      <c r="P335" s="279"/>
      <c r="R335" s="368"/>
      <c r="S335" s="279"/>
      <c r="U335" s="368"/>
      <c r="V335" s="279"/>
      <c r="W335" s="234"/>
      <c r="Y335" s="368"/>
      <c r="Z335" s="369"/>
      <c r="AA335" s="370"/>
    </row>
    <row r="336" spans="2:27" s="272" customFormat="1">
      <c r="B336" s="234"/>
      <c r="C336" s="368"/>
      <c r="D336" s="279"/>
      <c r="E336" s="234"/>
      <c r="F336" s="368"/>
      <c r="G336" s="279"/>
      <c r="I336" s="368"/>
      <c r="J336" s="279"/>
      <c r="L336" s="368"/>
      <c r="M336" s="279"/>
      <c r="O336" s="368"/>
      <c r="P336" s="279"/>
      <c r="R336" s="368"/>
      <c r="S336" s="279"/>
      <c r="U336" s="368"/>
      <c r="V336" s="279"/>
      <c r="W336" s="234"/>
      <c r="Y336" s="368"/>
      <c r="Z336" s="369"/>
      <c r="AA336" s="370"/>
    </row>
    <row r="337" spans="2:27" s="272" customFormat="1">
      <c r="B337" s="234"/>
      <c r="C337" s="368"/>
      <c r="D337" s="279"/>
      <c r="E337" s="234"/>
      <c r="F337" s="368"/>
      <c r="G337" s="279"/>
      <c r="I337" s="368"/>
      <c r="J337" s="279"/>
      <c r="L337" s="368"/>
      <c r="M337" s="279"/>
      <c r="O337" s="368"/>
      <c r="P337" s="279"/>
      <c r="R337" s="368"/>
      <c r="S337" s="279"/>
      <c r="U337" s="368"/>
      <c r="V337" s="279"/>
      <c r="W337" s="234"/>
      <c r="Y337" s="368"/>
      <c r="Z337" s="369"/>
      <c r="AA337" s="370"/>
    </row>
    <row r="338" spans="2:27" s="272" customFormat="1">
      <c r="B338" s="234"/>
      <c r="C338" s="368"/>
      <c r="D338" s="279"/>
      <c r="E338" s="234"/>
      <c r="F338" s="368"/>
      <c r="G338" s="279"/>
      <c r="I338" s="368"/>
      <c r="J338" s="279"/>
      <c r="L338" s="368"/>
      <c r="M338" s="279"/>
      <c r="O338" s="368"/>
      <c r="P338" s="279"/>
      <c r="R338" s="368"/>
      <c r="S338" s="279"/>
      <c r="U338" s="368"/>
      <c r="V338" s="279"/>
      <c r="W338" s="234"/>
      <c r="Y338" s="368"/>
      <c r="Z338" s="369"/>
      <c r="AA338" s="370"/>
    </row>
    <row r="339" spans="2:27" s="272" customFormat="1">
      <c r="B339" s="234"/>
      <c r="C339" s="368"/>
      <c r="D339" s="279"/>
      <c r="E339" s="234"/>
      <c r="F339" s="368"/>
      <c r="G339" s="279"/>
      <c r="I339" s="368"/>
      <c r="J339" s="279"/>
      <c r="L339" s="368"/>
      <c r="M339" s="279"/>
      <c r="O339" s="368"/>
      <c r="P339" s="279"/>
      <c r="R339" s="368"/>
      <c r="S339" s="279"/>
      <c r="U339" s="368"/>
      <c r="V339" s="279"/>
      <c r="W339" s="234"/>
      <c r="Y339" s="368"/>
      <c r="Z339" s="369"/>
      <c r="AA339" s="370"/>
    </row>
    <row r="340" spans="2:27" s="272" customFormat="1">
      <c r="B340" s="234"/>
      <c r="C340" s="368"/>
      <c r="D340" s="279"/>
      <c r="E340" s="234"/>
      <c r="F340" s="368"/>
      <c r="G340" s="279"/>
      <c r="I340" s="368"/>
      <c r="J340" s="279"/>
      <c r="L340" s="368"/>
      <c r="M340" s="279"/>
      <c r="O340" s="368"/>
      <c r="P340" s="279"/>
      <c r="R340" s="368"/>
      <c r="S340" s="279"/>
      <c r="U340" s="368"/>
      <c r="V340" s="279"/>
      <c r="W340" s="234"/>
      <c r="Y340" s="368"/>
      <c r="Z340" s="369"/>
      <c r="AA340" s="370"/>
    </row>
    <row r="341" spans="2:27" s="272" customFormat="1">
      <c r="B341" s="234"/>
      <c r="C341" s="368"/>
      <c r="D341" s="279"/>
      <c r="E341" s="234"/>
      <c r="F341" s="368"/>
      <c r="G341" s="279"/>
      <c r="I341" s="368"/>
      <c r="J341" s="279"/>
      <c r="L341" s="368"/>
      <c r="M341" s="279"/>
      <c r="O341" s="368"/>
      <c r="P341" s="279"/>
      <c r="R341" s="368"/>
      <c r="S341" s="279"/>
      <c r="U341" s="368"/>
      <c r="V341" s="279"/>
      <c r="W341" s="234"/>
      <c r="Y341" s="368"/>
      <c r="Z341" s="369"/>
      <c r="AA341" s="370"/>
    </row>
    <row r="342" spans="2:27" s="272" customFormat="1">
      <c r="B342" s="234"/>
      <c r="C342" s="368"/>
      <c r="D342" s="279"/>
      <c r="E342" s="234"/>
      <c r="F342" s="368"/>
      <c r="G342" s="279"/>
      <c r="I342" s="368"/>
      <c r="J342" s="279"/>
      <c r="L342" s="368"/>
      <c r="M342" s="279"/>
      <c r="O342" s="368"/>
      <c r="P342" s="279"/>
      <c r="R342" s="368"/>
      <c r="S342" s="279"/>
      <c r="U342" s="368"/>
      <c r="V342" s="279"/>
      <c r="W342" s="234"/>
      <c r="Y342" s="368"/>
      <c r="Z342" s="369"/>
      <c r="AA342" s="370"/>
    </row>
    <row r="343" spans="2:27" s="272" customFormat="1">
      <c r="B343" s="234"/>
      <c r="C343" s="368"/>
      <c r="D343" s="279"/>
      <c r="E343" s="234"/>
      <c r="F343" s="368"/>
      <c r="G343" s="279"/>
      <c r="I343" s="368"/>
      <c r="J343" s="279"/>
      <c r="L343" s="368"/>
      <c r="M343" s="279"/>
      <c r="O343" s="368"/>
      <c r="P343" s="279"/>
      <c r="R343" s="368"/>
      <c r="S343" s="279"/>
      <c r="U343" s="368"/>
      <c r="V343" s="279"/>
      <c r="W343" s="234"/>
      <c r="Y343" s="368"/>
      <c r="Z343" s="369"/>
      <c r="AA343" s="370"/>
    </row>
    <row r="344" spans="2:27" s="272" customFormat="1">
      <c r="B344" s="234"/>
      <c r="C344" s="368"/>
      <c r="D344" s="279"/>
      <c r="E344" s="234"/>
      <c r="F344" s="368"/>
      <c r="G344" s="279"/>
      <c r="I344" s="368"/>
      <c r="J344" s="279"/>
      <c r="L344" s="368"/>
      <c r="M344" s="279"/>
      <c r="O344" s="368"/>
      <c r="P344" s="279"/>
      <c r="R344" s="368"/>
      <c r="S344" s="279"/>
      <c r="U344" s="368"/>
      <c r="V344" s="279"/>
      <c r="W344" s="234"/>
      <c r="Y344" s="368"/>
      <c r="Z344" s="369"/>
      <c r="AA344" s="370"/>
    </row>
    <row r="345" spans="2:27" s="272" customFormat="1">
      <c r="B345" s="234"/>
      <c r="C345" s="368"/>
      <c r="D345" s="279"/>
      <c r="E345" s="234"/>
      <c r="F345" s="368"/>
      <c r="G345" s="279"/>
      <c r="I345" s="368"/>
      <c r="J345" s="279"/>
      <c r="L345" s="368"/>
      <c r="M345" s="279"/>
      <c r="O345" s="368"/>
      <c r="P345" s="279"/>
      <c r="R345" s="368"/>
      <c r="S345" s="279"/>
      <c r="U345" s="368"/>
      <c r="V345" s="279"/>
      <c r="W345" s="234"/>
      <c r="Y345" s="368"/>
      <c r="Z345" s="369"/>
      <c r="AA345" s="370"/>
    </row>
    <row r="346" spans="2:27" s="272" customFormat="1">
      <c r="B346" s="234"/>
      <c r="C346" s="368"/>
      <c r="D346" s="279"/>
      <c r="E346" s="234"/>
      <c r="F346" s="368"/>
      <c r="G346" s="279"/>
      <c r="I346" s="368"/>
      <c r="J346" s="279"/>
      <c r="L346" s="368"/>
      <c r="M346" s="279"/>
      <c r="O346" s="368"/>
      <c r="P346" s="279"/>
      <c r="R346" s="368"/>
      <c r="S346" s="279"/>
      <c r="U346" s="368"/>
      <c r="V346" s="279"/>
      <c r="W346" s="234"/>
      <c r="Y346" s="368"/>
      <c r="Z346" s="369"/>
      <c r="AA346" s="370"/>
    </row>
    <row r="347" spans="2:27" s="272" customFormat="1">
      <c r="B347" s="234"/>
      <c r="C347" s="368"/>
      <c r="D347" s="279"/>
      <c r="E347" s="234"/>
      <c r="F347" s="368"/>
      <c r="G347" s="279"/>
      <c r="I347" s="368"/>
      <c r="J347" s="279"/>
      <c r="L347" s="368"/>
      <c r="M347" s="279"/>
      <c r="O347" s="368"/>
      <c r="P347" s="279"/>
      <c r="R347" s="368"/>
      <c r="S347" s="279"/>
      <c r="U347" s="368"/>
      <c r="V347" s="279"/>
      <c r="W347" s="234"/>
      <c r="Y347" s="368"/>
      <c r="Z347" s="369"/>
      <c r="AA347" s="370"/>
    </row>
    <row r="348" spans="2:27" s="272" customFormat="1">
      <c r="B348" s="234"/>
      <c r="C348" s="368"/>
      <c r="D348" s="279"/>
      <c r="E348" s="234"/>
      <c r="F348" s="368"/>
      <c r="G348" s="279"/>
      <c r="I348" s="368"/>
      <c r="J348" s="279"/>
      <c r="L348" s="368"/>
      <c r="M348" s="279"/>
      <c r="O348" s="368"/>
      <c r="P348" s="279"/>
      <c r="R348" s="368"/>
      <c r="S348" s="279"/>
      <c r="U348" s="368"/>
      <c r="V348" s="279"/>
      <c r="W348" s="234"/>
      <c r="Y348" s="368"/>
      <c r="Z348" s="369"/>
      <c r="AA348" s="370"/>
    </row>
    <row r="349" spans="2:27" s="272" customFormat="1">
      <c r="B349" s="234"/>
      <c r="C349" s="368"/>
      <c r="D349" s="279"/>
      <c r="E349" s="234"/>
      <c r="F349" s="368"/>
      <c r="G349" s="279"/>
      <c r="I349" s="368"/>
      <c r="J349" s="279"/>
      <c r="L349" s="368"/>
      <c r="M349" s="279"/>
      <c r="O349" s="368"/>
      <c r="P349" s="279"/>
      <c r="R349" s="368"/>
      <c r="S349" s="279"/>
      <c r="U349" s="368"/>
      <c r="V349" s="279"/>
      <c r="W349" s="234"/>
      <c r="Y349" s="368"/>
      <c r="Z349" s="369"/>
      <c r="AA349" s="370"/>
    </row>
    <row r="350" spans="2:27" s="272" customFormat="1">
      <c r="B350" s="234"/>
      <c r="C350" s="368"/>
      <c r="D350" s="279"/>
      <c r="E350" s="234"/>
      <c r="F350" s="368"/>
      <c r="G350" s="279"/>
      <c r="I350" s="368"/>
      <c r="J350" s="279"/>
      <c r="L350" s="368"/>
      <c r="M350" s="279"/>
      <c r="O350" s="368"/>
      <c r="P350" s="279"/>
      <c r="R350" s="368"/>
      <c r="S350" s="279"/>
      <c r="U350" s="368"/>
      <c r="V350" s="279"/>
      <c r="W350" s="234"/>
      <c r="Y350" s="368"/>
      <c r="Z350" s="369"/>
      <c r="AA350" s="370"/>
    </row>
    <row r="351" spans="2:27" s="272" customFormat="1">
      <c r="B351" s="234"/>
      <c r="C351" s="368"/>
      <c r="D351" s="279"/>
      <c r="E351" s="234"/>
      <c r="F351" s="368"/>
      <c r="G351" s="279"/>
      <c r="I351" s="368"/>
      <c r="J351" s="279"/>
      <c r="L351" s="368"/>
      <c r="M351" s="279"/>
      <c r="O351" s="368"/>
      <c r="P351" s="279"/>
      <c r="R351" s="368"/>
      <c r="S351" s="279"/>
      <c r="U351" s="368"/>
      <c r="V351" s="279"/>
      <c r="W351" s="234"/>
      <c r="Y351" s="368"/>
      <c r="Z351" s="369"/>
      <c r="AA351" s="370"/>
    </row>
    <row r="352" spans="2:27" s="272" customFormat="1">
      <c r="B352" s="234"/>
      <c r="C352" s="368"/>
      <c r="D352" s="279"/>
      <c r="E352" s="234"/>
      <c r="F352" s="368"/>
      <c r="G352" s="279"/>
      <c r="I352" s="368"/>
      <c r="J352" s="279"/>
      <c r="L352" s="368"/>
      <c r="M352" s="279"/>
      <c r="O352" s="368"/>
      <c r="P352" s="279"/>
      <c r="R352" s="368"/>
      <c r="S352" s="279"/>
      <c r="U352" s="368"/>
      <c r="V352" s="279"/>
      <c r="W352" s="234"/>
      <c r="Y352" s="368"/>
      <c r="Z352" s="369"/>
      <c r="AA352" s="370"/>
    </row>
    <row r="353" spans="2:27" s="272" customFormat="1">
      <c r="B353" s="234"/>
      <c r="C353" s="368"/>
      <c r="D353" s="279"/>
      <c r="E353" s="234"/>
      <c r="F353" s="368"/>
      <c r="G353" s="279"/>
      <c r="I353" s="368"/>
      <c r="J353" s="279"/>
      <c r="L353" s="368"/>
      <c r="M353" s="279"/>
      <c r="O353" s="368"/>
      <c r="P353" s="279"/>
      <c r="R353" s="368"/>
      <c r="S353" s="279"/>
      <c r="U353" s="368"/>
      <c r="V353" s="279"/>
      <c r="W353" s="234"/>
      <c r="Y353" s="368"/>
      <c r="Z353" s="369"/>
      <c r="AA353" s="370"/>
    </row>
    <row r="354" spans="2:27" s="272" customFormat="1">
      <c r="B354" s="234"/>
      <c r="C354" s="368"/>
      <c r="D354" s="279"/>
      <c r="E354" s="234"/>
      <c r="F354" s="368"/>
      <c r="G354" s="279"/>
      <c r="I354" s="368"/>
      <c r="J354" s="279"/>
      <c r="L354" s="368"/>
      <c r="M354" s="279"/>
      <c r="O354" s="368"/>
      <c r="P354" s="279"/>
      <c r="R354" s="368"/>
      <c r="S354" s="279"/>
      <c r="U354" s="368"/>
      <c r="V354" s="279"/>
      <c r="W354" s="234"/>
      <c r="Y354" s="368"/>
      <c r="Z354" s="369"/>
      <c r="AA354" s="370"/>
    </row>
    <row r="355" spans="2:27" s="272" customFormat="1">
      <c r="B355" s="234"/>
      <c r="C355" s="368"/>
      <c r="D355" s="279"/>
      <c r="E355" s="234"/>
      <c r="F355" s="368"/>
      <c r="G355" s="279"/>
      <c r="I355" s="368"/>
      <c r="J355" s="279"/>
      <c r="L355" s="368"/>
      <c r="M355" s="279"/>
      <c r="O355" s="368"/>
      <c r="P355" s="279"/>
      <c r="R355" s="368"/>
      <c r="S355" s="279"/>
      <c r="U355" s="368"/>
      <c r="V355" s="279"/>
      <c r="W355" s="234"/>
      <c r="Y355" s="368"/>
      <c r="Z355" s="369"/>
      <c r="AA355" s="370"/>
    </row>
    <row r="356" spans="2:27" s="272" customFormat="1">
      <c r="B356" s="234"/>
      <c r="C356" s="368"/>
      <c r="D356" s="279"/>
      <c r="E356" s="234"/>
      <c r="F356" s="368"/>
      <c r="G356" s="279"/>
      <c r="I356" s="368"/>
      <c r="J356" s="279"/>
      <c r="L356" s="368"/>
      <c r="M356" s="279"/>
      <c r="O356" s="368"/>
      <c r="P356" s="279"/>
      <c r="R356" s="368"/>
      <c r="S356" s="279"/>
      <c r="U356" s="368"/>
      <c r="V356" s="279"/>
      <c r="W356" s="234"/>
      <c r="Y356" s="368"/>
      <c r="Z356" s="369"/>
      <c r="AA356" s="370"/>
    </row>
    <row r="357" spans="2:27" s="272" customFormat="1">
      <c r="B357" s="234"/>
      <c r="C357" s="368"/>
      <c r="D357" s="279"/>
      <c r="E357" s="234"/>
      <c r="F357" s="368"/>
      <c r="G357" s="279"/>
      <c r="I357" s="368"/>
      <c r="J357" s="279"/>
      <c r="L357" s="368"/>
      <c r="M357" s="279"/>
      <c r="O357" s="368"/>
      <c r="P357" s="279"/>
      <c r="R357" s="368"/>
      <c r="S357" s="279"/>
      <c r="U357" s="368"/>
      <c r="V357" s="279"/>
      <c r="W357" s="234"/>
      <c r="Y357" s="368"/>
      <c r="Z357" s="369"/>
      <c r="AA357" s="370"/>
    </row>
    <row r="358" spans="2:27" s="272" customFormat="1">
      <c r="B358" s="234"/>
      <c r="C358" s="368"/>
      <c r="D358" s="279"/>
      <c r="E358" s="234"/>
      <c r="F358" s="368"/>
      <c r="G358" s="279"/>
      <c r="I358" s="368"/>
      <c r="J358" s="279"/>
      <c r="L358" s="368"/>
      <c r="M358" s="279"/>
      <c r="O358" s="368"/>
      <c r="P358" s="279"/>
      <c r="R358" s="368"/>
      <c r="S358" s="279"/>
      <c r="U358" s="368"/>
      <c r="V358" s="279"/>
      <c r="W358" s="234"/>
      <c r="Y358" s="368"/>
      <c r="Z358" s="369"/>
      <c r="AA358" s="370"/>
    </row>
    <row r="359" spans="2:27" s="272" customFormat="1">
      <c r="B359" s="234"/>
      <c r="C359" s="368"/>
      <c r="D359" s="279"/>
      <c r="E359" s="234"/>
      <c r="F359" s="368"/>
      <c r="G359" s="279"/>
      <c r="I359" s="368"/>
      <c r="J359" s="279"/>
      <c r="L359" s="368"/>
      <c r="M359" s="279"/>
      <c r="O359" s="368"/>
      <c r="P359" s="279"/>
      <c r="R359" s="368"/>
      <c r="S359" s="279"/>
      <c r="U359" s="368"/>
      <c r="V359" s="279"/>
      <c r="W359" s="234"/>
      <c r="Y359" s="368"/>
      <c r="Z359" s="369"/>
      <c r="AA359" s="370"/>
    </row>
    <row r="360" spans="2:27" s="272" customFormat="1">
      <c r="B360" s="234"/>
      <c r="C360" s="368"/>
      <c r="D360" s="279"/>
      <c r="E360" s="234"/>
      <c r="F360" s="368"/>
      <c r="G360" s="279"/>
      <c r="I360" s="368"/>
      <c r="J360" s="279"/>
      <c r="L360" s="368"/>
      <c r="M360" s="279"/>
      <c r="O360" s="368"/>
      <c r="P360" s="279"/>
      <c r="R360" s="368"/>
      <c r="S360" s="279"/>
      <c r="U360" s="368"/>
      <c r="V360" s="279"/>
      <c r="W360" s="234"/>
      <c r="Y360" s="368"/>
      <c r="Z360" s="369"/>
      <c r="AA360" s="370"/>
    </row>
    <row r="361" spans="2:27" s="272" customFormat="1">
      <c r="B361" s="234"/>
      <c r="C361" s="368"/>
      <c r="D361" s="279"/>
      <c r="E361" s="234"/>
      <c r="F361" s="368"/>
      <c r="G361" s="279"/>
      <c r="I361" s="368"/>
      <c r="J361" s="279"/>
      <c r="L361" s="368"/>
      <c r="M361" s="279"/>
      <c r="O361" s="368"/>
      <c r="P361" s="279"/>
      <c r="R361" s="368"/>
      <c r="S361" s="279"/>
      <c r="U361" s="368"/>
      <c r="V361" s="279"/>
      <c r="W361" s="234"/>
      <c r="Y361" s="368"/>
      <c r="Z361" s="369"/>
      <c r="AA361" s="370"/>
    </row>
    <row r="362" spans="2:27" s="272" customFormat="1">
      <c r="B362" s="234"/>
      <c r="C362" s="368"/>
      <c r="D362" s="279"/>
      <c r="E362" s="234"/>
      <c r="F362" s="368"/>
      <c r="G362" s="279"/>
      <c r="I362" s="368"/>
      <c r="J362" s="279"/>
      <c r="L362" s="368"/>
      <c r="M362" s="279"/>
      <c r="O362" s="368"/>
      <c r="P362" s="279"/>
      <c r="R362" s="368"/>
      <c r="S362" s="279"/>
      <c r="U362" s="368"/>
      <c r="V362" s="279"/>
      <c r="W362" s="234"/>
      <c r="Y362" s="368"/>
      <c r="Z362" s="369"/>
      <c r="AA362" s="370"/>
    </row>
    <row r="363" spans="2:27" s="272" customFormat="1">
      <c r="B363" s="234"/>
      <c r="C363" s="368"/>
      <c r="D363" s="279"/>
      <c r="E363" s="234"/>
      <c r="F363" s="368"/>
      <c r="G363" s="279"/>
      <c r="I363" s="368"/>
      <c r="J363" s="279"/>
      <c r="L363" s="368"/>
      <c r="M363" s="279"/>
      <c r="O363" s="368"/>
      <c r="P363" s="279"/>
      <c r="R363" s="368"/>
      <c r="S363" s="279"/>
      <c r="U363" s="368"/>
      <c r="V363" s="279"/>
      <c r="W363" s="234"/>
      <c r="Y363" s="368"/>
      <c r="Z363" s="369"/>
      <c r="AA363" s="370"/>
    </row>
    <row r="364" spans="2:27" s="272" customFormat="1">
      <c r="B364" s="234"/>
      <c r="C364" s="368"/>
      <c r="D364" s="279"/>
      <c r="E364" s="234"/>
      <c r="F364" s="368"/>
      <c r="G364" s="279"/>
      <c r="I364" s="368"/>
      <c r="J364" s="279"/>
      <c r="L364" s="368"/>
      <c r="M364" s="279"/>
      <c r="O364" s="368"/>
      <c r="P364" s="279"/>
      <c r="R364" s="368"/>
      <c r="S364" s="279"/>
      <c r="U364" s="368"/>
      <c r="V364" s="279"/>
      <c r="W364" s="234"/>
      <c r="Y364" s="368"/>
      <c r="Z364" s="369"/>
      <c r="AA364" s="370"/>
    </row>
    <row r="365" spans="2:27" s="272" customFormat="1">
      <c r="B365" s="234"/>
      <c r="C365" s="368"/>
      <c r="D365" s="279"/>
      <c r="E365" s="234"/>
      <c r="F365" s="368"/>
      <c r="G365" s="279"/>
      <c r="I365" s="368"/>
      <c r="J365" s="279"/>
      <c r="L365" s="368"/>
      <c r="M365" s="279"/>
      <c r="O365" s="368"/>
      <c r="P365" s="279"/>
      <c r="R365" s="368"/>
      <c r="S365" s="279"/>
      <c r="U365" s="368"/>
      <c r="V365" s="279"/>
      <c r="W365" s="234"/>
      <c r="Y365" s="368"/>
      <c r="Z365" s="369"/>
      <c r="AA365" s="370"/>
    </row>
    <row r="366" spans="2:27" s="272" customFormat="1">
      <c r="B366" s="234"/>
      <c r="C366" s="368"/>
      <c r="D366" s="279"/>
      <c r="E366" s="234"/>
      <c r="F366" s="368"/>
      <c r="G366" s="279"/>
      <c r="I366" s="368"/>
      <c r="J366" s="279"/>
      <c r="L366" s="368"/>
      <c r="M366" s="279"/>
      <c r="O366" s="368"/>
      <c r="P366" s="279"/>
      <c r="R366" s="368"/>
      <c r="S366" s="279"/>
      <c r="U366" s="368"/>
      <c r="V366" s="279"/>
      <c r="W366" s="234"/>
      <c r="Y366" s="368"/>
      <c r="Z366" s="369"/>
      <c r="AA366" s="370"/>
    </row>
    <row r="367" spans="2:27" s="272" customFormat="1">
      <c r="B367" s="234"/>
      <c r="C367" s="368"/>
      <c r="D367" s="279"/>
      <c r="E367" s="234"/>
      <c r="F367" s="368"/>
      <c r="G367" s="279"/>
      <c r="I367" s="368"/>
      <c r="J367" s="279"/>
      <c r="L367" s="368"/>
      <c r="M367" s="279"/>
      <c r="O367" s="368"/>
      <c r="P367" s="279"/>
      <c r="R367" s="368"/>
      <c r="S367" s="279"/>
      <c r="U367" s="368"/>
      <c r="V367" s="279"/>
      <c r="W367" s="234"/>
      <c r="Y367" s="368"/>
      <c r="Z367" s="369"/>
      <c r="AA367" s="370"/>
    </row>
    <row r="368" spans="2:27" s="272" customFormat="1">
      <c r="B368" s="234"/>
      <c r="C368" s="368"/>
      <c r="D368" s="279"/>
      <c r="E368" s="234"/>
      <c r="F368" s="368"/>
      <c r="G368" s="279"/>
      <c r="I368" s="368"/>
      <c r="J368" s="279"/>
      <c r="L368" s="368"/>
      <c r="M368" s="279"/>
      <c r="O368" s="368"/>
      <c r="P368" s="279"/>
      <c r="R368" s="368"/>
      <c r="S368" s="279"/>
      <c r="U368" s="368"/>
      <c r="V368" s="279"/>
      <c r="W368" s="234"/>
      <c r="Y368" s="368"/>
      <c r="Z368" s="369"/>
      <c r="AA368" s="370"/>
    </row>
    <row r="369" spans="2:27" s="272" customFormat="1">
      <c r="B369" s="234"/>
      <c r="C369" s="368"/>
      <c r="D369" s="279"/>
      <c r="E369" s="234"/>
      <c r="F369" s="368"/>
      <c r="G369" s="279"/>
      <c r="I369" s="368"/>
      <c r="J369" s="279"/>
      <c r="L369" s="368"/>
      <c r="M369" s="279"/>
      <c r="O369" s="368"/>
      <c r="P369" s="279"/>
      <c r="R369" s="368"/>
      <c r="S369" s="279"/>
      <c r="U369" s="368"/>
      <c r="V369" s="279"/>
      <c r="W369" s="234"/>
      <c r="Y369" s="368"/>
      <c r="Z369" s="369"/>
      <c r="AA369" s="370"/>
    </row>
    <row r="370" spans="2:27" s="272" customFormat="1">
      <c r="B370" s="234"/>
      <c r="C370" s="368"/>
      <c r="D370" s="279"/>
      <c r="E370" s="234"/>
      <c r="F370" s="368"/>
      <c r="G370" s="279"/>
      <c r="I370" s="368"/>
      <c r="J370" s="279"/>
      <c r="L370" s="368"/>
      <c r="M370" s="279"/>
      <c r="O370" s="368"/>
      <c r="P370" s="279"/>
      <c r="R370" s="368"/>
      <c r="S370" s="279"/>
      <c r="U370" s="368"/>
      <c r="V370" s="279"/>
      <c r="W370" s="234"/>
      <c r="Y370" s="368"/>
      <c r="Z370" s="369"/>
      <c r="AA370" s="370"/>
    </row>
    <row r="371" spans="2:27" s="272" customFormat="1">
      <c r="B371" s="234"/>
      <c r="C371" s="368"/>
      <c r="D371" s="279"/>
      <c r="E371" s="234"/>
      <c r="F371" s="368"/>
      <c r="G371" s="279"/>
      <c r="I371" s="368"/>
      <c r="J371" s="279"/>
      <c r="L371" s="368"/>
      <c r="M371" s="279"/>
      <c r="O371" s="368"/>
      <c r="P371" s="279"/>
      <c r="R371" s="368"/>
      <c r="S371" s="279"/>
      <c r="U371" s="368"/>
      <c r="V371" s="279"/>
      <c r="W371" s="234"/>
      <c r="Y371" s="368"/>
      <c r="Z371" s="369"/>
      <c r="AA371" s="370"/>
    </row>
    <row r="372" spans="2:27" s="272" customFormat="1">
      <c r="B372" s="234"/>
      <c r="C372" s="368"/>
      <c r="D372" s="279"/>
      <c r="E372" s="234"/>
      <c r="F372" s="368"/>
      <c r="G372" s="279"/>
      <c r="I372" s="368"/>
      <c r="J372" s="279"/>
      <c r="L372" s="368"/>
      <c r="M372" s="279"/>
      <c r="O372" s="368"/>
      <c r="P372" s="279"/>
      <c r="R372" s="368"/>
      <c r="S372" s="279"/>
      <c r="U372" s="368"/>
      <c r="V372" s="279"/>
      <c r="W372" s="234"/>
      <c r="Y372" s="368"/>
      <c r="Z372" s="369"/>
      <c r="AA372" s="370"/>
    </row>
    <row r="373" spans="2:27" s="272" customFormat="1">
      <c r="B373" s="234"/>
      <c r="C373" s="368"/>
      <c r="D373" s="279"/>
      <c r="E373" s="234"/>
      <c r="F373" s="368"/>
      <c r="G373" s="279"/>
      <c r="I373" s="368"/>
      <c r="J373" s="279"/>
      <c r="L373" s="368"/>
      <c r="M373" s="279"/>
      <c r="O373" s="368"/>
      <c r="P373" s="279"/>
      <c r="R373" s="368"/>
      <c r="S373" s="279"/>
      <c r="U373" s="368"/>
      <c r="V373" s="279"/>
      <c r="W373" s="234"/>
      <c r="Y373" s="368"/>
      <c r="Z373" s="369"/>
      <c r="AA373" s="370"/>
    </row>
    <row r="374" spans="2:27" s="272" customFormat="1">
      <c r="B374" s="234"/>
      <c r="C374" s="368"/>
      <c r="D374" s="279"/>
      <c r="E374" s="234"/>
      <c r="F374" s="368"/>
      <c r="G374" s="279"/>
      <c r="I374" s="368"/>
      <c r="J374" s="279"/>
      <c r="L374" s="368"/>
      <c r="M374" s="279"/>
      <c r="O374" s="368"/>
      <c r="P374" s="279"/>
      <c r="R374" s="368"/>
      <c r="S374" s="279"/>
      <c r="U374" s="368"/>
      <c r="V374" s="279"/>
      <c r="W374" s="234"/>
      <c r="Y374" s="368"/>
      <c r="Z374" s="369"/>
      <c r="AA374" s="370"/>
    </row>
    <row r="375" spans="2:27" s="272" customFormat="1">
      <c r="B375" s="234"/>
      <c r="C375" s="368"/>
      <c r="D375" s="279"/>
      <c r="E375" s="234"/>
      <c r="F375" s="368"/>
      <c r="G375" s="279"/>
      <c r="I375" s="368"/>
      <c r="J375" s="279"/>
      <c r="L375" s="368"/>
      <c r="M375" s="279"/>
      <c r="O375" s="368"/>
      <c r="P375" s="279"/>
      <c r="R375" s="368"/>
      <c r="S375" s="279"/>
      <c r="U375" s="368"/>
      <c r="V375" s="279"/>
      <c r="W375" s="234"/>
      <c r="Y375" s="368"/>
      <c r="Z375" s="369"/>
      <c r="AA375" s="370"/>
    </row>
    <row r="376" spans="2:27" s="272" customFormat="1">
      <c r="B376" s="234"/>
      <c r="C376" s="368"/>
      <c r="D376" s="279"/>
      <c r="E376" s="234"/>
      <c r="F376" s="368"/>
      <c r="G376" s="279"/>
      <c r="I376" s="368"/>
      <c r="J376" s="279"/>
      <c r="L376" s="368"/>
      <c r="M376" s="279"/>
      <c r="O376" s="368"/>
      <c r="P376" s="279"/>
      <c r="R376" s="368"/>
      <c r="S376" s="279"/>
      <c r="U376" s="368"/>
      <c r="V376" s="279"/>
      <c r="W376" s="234"/>
      <c r="Y376" s="368"/>
      <c r="Z376" s="369"/>
      <c r="AA376" s="370"/>
    </row>
    <row r="377" spans="2:27" s="272" customFormat="1">
      <c r="B377" s="234"/>
      <c r="C377" s="368"/>
      <c r="D377" s="279"/>
      <c r="E377" s="234"/>
      <c r="F377" s="368"/>
      <c r="G377" s="279"/>
      <c r="I377" s="368"/>
      <c r="J377" s="279"/>
      <c r="L377" s="368"/>
      <c r="M377" s="279"/>
      <c r="O377" s="368"/>
      <c r="P377" s="279"/>
      <c r="R377" s="368"/>
      <c r="S377" s="279"/>
      <c r="U377" s="368"/>
      <c r="V377" s="279"/>
      <c r="W377" s="234"/>
      <c r="Y377" s="368"/>
      <c r="Z377" s="369"/>
      <c r="AA377" s="370"/>
    </row>
    <row r="378" spans="2:27" s="272" customFormat="1">
      <c r="B378" s="234"/>
      <c r="C378" s="368"/>
      <c r="D378" s="279"/>
      <c r="E378" s="234"/>
      <c r="F378" s="368"/>
      <c r="G378" s="279"/>
      <c r="I378" s="368"/>
      <c r="J378" s="279"/>
      <c r="L378" s="368"/>
      <c r="M378" s="279"/>
      <c r="O378" s="368"/>
      <c r="P378" s="279"/>
      <c r="R378" s="368"/>
      <c r="S378" s="279"/>
      <c r="U378" s="368"/>
      <c r="V378" s="279"/>
      <c r="W378" s="234"/>
      <c r="Y378" s="368"/>
      <c r="Z378" s="369"/>
      <c r="AA378" s="370"/>
    </row>
    <row r="379" spans="2:27" s="272" customFormat="1">
      <c r="B379" s="234"/>
      <c r="C379" s="368"/>
      <c r="D379" s="279"/>
      <c r="E379" s="234"/>
      <c r="F379" s="368"/>
      <c r="G379" s="279"/>
      <c r="I379" s="368"/>
      <c r="J379" s="279"/>
      <c r="L379" s="368"/>
      <c r="M379" s="279"/>
      <c r="O379" s="368"/>
      <c r="P379" s="279"/>
      <c r="R379" s="368"/>
      <c r="S379" s="279"/>
      <c r="U379" s="368"/>
      <c r="V379" s="279"/>
      <c r="W379" s="234"/>
      <c r="Y379" s="368"/>
      <c r="Z379" s="369"/>
      <c r="AA379" s="370"/>
    </row>
    <row r="380" spans="2:27" s="272" customFormat="1">
      <c r="B380" s="234"/>
      <c r="C380" s="368"/>
      <c r="D380" s="279"/>
      <c r="E380" s="234"/>
      <c r="F380" s="368"/>
      <c r="G380" s="279"/>
      <c r="I380" s="368"/>
      <c r="J380" s="279"/>
      <c r="L380" s="368"/>
      <c r="M380" s="279"/>
      <c r="O380" s="368"/>
      <c r="P380" s="279"/>
      <c r="R380" s="368"/>
      <c r="S380" s="279"/>
      <c r="U380" s="368"/>
      <c r="V380" s="279"/>
      <c r="W380" s="234"/>
      <c r="Y380" s="368"/>
      <c r="Z380" s="369"/>
      <c r="AA380" s="370"/>
    </row>
    <row r="381" spans="2:27" s="272" customFormat="1">
      <c r="B381" s="234"/>
      <c r="C381" s="368"/>
      <c r="D381" s="279"/>
      <c r="E381" s="234"/>
      <c r="F381" s="368"/>
      <c r="G381" s="279"/>
      <c r="I381" s="368"/>
      <c r="J381" s="279"/>
      <c r="L381" s="368"/>
      <c r="M381" s="279"/>
      <c r="O381" s="368"/>
      <c r="P381" s="279"/>
      <c r="R381" s="368"/>
      <c r="S381" s="279"/>
      <c r="U381" s="368"/>
      <c r="V381" s="279"/>
      <c r="W381" s="234"/>
      <c r="Y381" s="368"/>
      <c r="Z381" s="369"/>
      <c r="AA381" s="370"/>
    </row>
    <row r="382" spans="2:27" s="272" customFormat="1">
      <c r="B382" s="234"/>
      <c r="C382" s="368"/>
      <c r="D382" s="279"/>
      <c r="E382" s="234"/>
      <c r="F382" s="368"/>
      <c r="G382" s="279"/>
      <c r="I382" s="368"/>
      <c r="J382" s="279"/>
      <c r="L382" s="368"/>
      <c r="M382" s="279"/>
      <c r="O382" s="368"/>
      <c r="P382" s="279"/>
      <c r="R382" s="368"/>
      <c r="S382" s="279"/>
      <c r="U382" s="368"/>
      <c r="V382" s="279"/>
      <c r="W382" s="234"/>
      <c r="Y382" s="368"/>
      <c r="Z382" s="369"/>
      <c r="AA382" s="370"/>
    </row>
    <row r="383" spans="2:27" s="272" customFormat="1">
      <c r="B383" s="234"/>
      <c r="C383" s="368"/>
      <c r="D383" s="279"/>
      <c r="E383" s="234"/>
      <c r="F383" s="368"/>
      <c r="G383" s="279"/>
      <c r="I383" s="368"/>
      <c r="J383" s="279"/>
      <c r="L383" s="368"/>
      <c r="M383" s="279"/>
      <c r="O383" s="368"/>
      <c r="P383" s="279"/>
      <c r="R383" s="368"/>
      <c r="S383" s="279"/>
      <c r="U383" s="368"/>
      <c r="V383" s="279"/>
      <c r="W383" s="234"/>
      <c r="Y383" s="368"/>
      <c r="Z383" s="369"/>
      <c r="AA383" s="370"/>
    </row>
    <row r="384" spans="2:27" s="272" customFormat="1">
      <c r="B384" s="234"/>
      <c r="C384" s="368"/>
      <c r="D384" s="279"/>
      <c r="E384" s="234"/>
      <c r="F384" s="368"/>
      <c r="G384" s="279"/>
      <c r="I384" s="368"/>
      <c r="J384" s="279"/>
      <c r="L384" s="368"/>
      <c r="M384" s="279"/>
      <c r="O384" s="368"/>
      <c r="P384" s="279"/>
      <c r="R384" s="368"/>
      <c r="S384" s="279"/>
      <c r="U384" s="368"/>
      <c r="V384" s="279"/>
      <c r="W384" s="234"/>
      <c r="Y384" s="368"/>
      <c r="Z384" s="369"/>
      <c r="AA384" s="370"/>
    </row>
    <row r="385" spans="2:27" s="272" customFormat="1">
      <c r="B385" s="234"/>
      <c r="C385" s="368"/>
      <c r="D385" s="279"/>
      <c r="E385" s="234"/>
      <c r="F385" s="368"/>
      <c r="G385" s="279"/>
      <c r="I385" s="368"/>
      <c r="J385" s="279"/>
      <c r="L385" s="368"/>
      <c r="M385" s="279"/>
      <c r="O385" s="368"/>
      <c r="P385" s="279"/>
      <c r="R385" s="368"/>
      <c r="S385" s="279"/>
      <c r="U385" s="368"/>
      <c r="V385" s="279"/>
      <c r="W385" s="234"/>
      <c r="Y385" s="368"/>
      <c r="Z385" s="369"/>
      <c r="AA385" s="370"/>
    </row>
    <row r="386" spans="2:27" s="272" customFormat="1">
      <c r="B386" s="234"/>
      <c r="C386" s="368"/>
      <c r="D386" s="279"/>
      <c r="E386" s="234"/>
      <c r="F386" s="368"/>
      <c r="G386" s="279"/>
      <c r="I386" s="368"/>
      <c r="J386" s="279"/>
      <c r="L386" s="368"/>
      <c r="M386" s="279"/>
      <c r="O386" s="368"/>
      <c r="P386" s="279"/>
      <c r="R386" s="368"/>
      <c r="S386" s="279"/>
      <c r="U386" s="368"/>
      <c r="V386" s="279"/>
      <c r="W386" s="234"/>
      <c r="Y386" s="368"/>
      <c r="Z386" s="369"/>
      <c r="AA386" s="370"/>
    </row>
    <row r="387" spans="2:27" s="272" customFormat="1">
      <c r="B387" s="234"/>
      <c r="C387" s="368"/>
      <c r="D387" s="279"/>
      <c r="E387" s="234"/>
      <c r="F387" s="368"/>
      <c r="G387" s="279"/>
      <c r="I387" s="368"/>
      <c r="J387" s="279"/>
      <c r="L387" s="368"/>
      <c r="M387" s="279"/>
      <c r="O387" s="368"/>
      <c r="P387" s="279"/>
      <c r="R387" s="368"/>
      <c r="S387" s="279"/>
      <c r="U387" s="368"/>
      <c r="V387" s="279"/>
      <c r="W387" s="234"/>
      <c r="Y387" s="368"/>
      <c r="Z387" s="369"/>
      <c r="AA387" s="370"/>
    </row>
    <row r="388" spans="2:27" s="272" customFormat="1">
      <c r="B388" s="234"/>
      <c r="C388" s="368"/>
      <c r="D388" s="279"/>
      <c r="E388" s="234"/>
      <c r="F388" s="368"/>
      <c r="G388" s="279"/>
      <c r="I388" s="368"/>
      <c r="J388" s="279"/>
      <c r="L388" s="368"/>
      <c r="M388" s="279"/>
      <c r="O388" s="368"/>
      <c r="P388" s="279"/>
      <c r="R388" s="368"/>
      <c r="S388" s="279"/>
      <c r="U388" s="368"/>
      <c r="V388" s="279"/>
      <c r="W388" s="234"/>
      <c r="Y388" s="368"/>
      <c r="Z388" s="369"/>
      <c r="AA388" s="370"/>
    </row>
    <row r="389" spans="2:27" s="272" customFormat="1">
      <c r="B389" s="234"/>
      <c r="C389" s="368"/>
      <c r="D389" s="279"/>
      <c r="E389" s="234"/>
      <c r="F389" s="368"/>
      <c r="G389" s="279"/>
      <c r="I389" s="368"/>
      <c r="J389" s="279"/>
      <c r="L389" s="368"/>
      <c r="M389" s="279"/>
      <c r="O389" s="368"/>
      <c r="P389" s="279"/>
      <c r="R389" s="368"/>
      <c r="S389" s="279"/>
      <c r="U389" s="368"/>
      <c r="V389" s="279"/>
      <c r="W389" s="234"/>
      <c r="Y389" s="368"/>
      <c r="Z389" s="369"/>
      <c r="AA389" s="370"/>
    </row>
    <row r="390" spans="2:27" s="272" customFormat="1">
      <c r="B390" s="234"/>
      <c r="C390" s="368"/>
      <c r="D390" s="279"/>
      <c r="E390" s="234"/>
      <c r="F390" s="368"/>
      <c r="G390" s="279"/>
      <c r="I390" s="368"/>
      <c r="J390" s="279"/>
      <c r="L390" s="368"/>
      <c r="M390" s="279"/>
      <c r="O390" s="368"/>
      <c r="P390" s="279"/>
      <c r="R390" s="368"/>
      <c r="S390" s="279"/>
      <c r="U390" s="368"/>
      <c r="V390" s="279"/>
      <c r="W390" s="234"/>
      <c r="Y390" s="368"/>
      <c r="Z390" s="369"/>
      <c r="AA390" s="370"/>
    </row>
    <row r="391" spans="2:27" s="272" customFormat="1">
      <c r="B391" s="234"/>
      <c r="C391" s="368"/>
      <c r="D391" s="279"/>
      <c r="E391" s="234"/>
      <c r="F391" s="368"/>
      <c r="G391" s="279"/>
      <c r="I391" s="368"/>
      <c r="J391" s="279"/>
      <c r="L391" s="368"/>
      <c r="M391" s="279"/>
      <c r="O391" s="368"/>
      <c r="P391" s="279"/>
      <c r="R391" s="368"/>
      <c r="S391" s="279"/>
      <c r="U391" s="368"/>
      <c r="V391" s="279"/>
      <c r="W391" s="234"/>
      <c r="Y391" s="368"/>
      <c r="Z391" s="369"/>
      <c r="AA391" s="370"/>
    </row>
    <row r="392" spans="2:27" s="272" customFormat="1">
      <c r="B392" s="234"/>
      <c r="C392" s="368"/>
      <c r="D392" s="279"/>
      <c r="E392" s="234"/>
      <c r="F392" s="368"/>
      <c r="G392" s="279"/>
      <c r="I392" s="368"/>
      <c r="J392" s="279"/>
      <c r="L392" s="368"/>
      <c r="M392" s="279"/>
      <c r="O392" s="368"/>
      <c r="P392" s="279"/>
      <c r="R392" s="368"/>
      <c r="S392" s="279"/>
      <c r="U392" s="368"/>
      <c r="V392" s="279"/>
      <c r="W392" s="234"/>
      <c r="Y392" s="368"/>
      <c r="Z392" s="369"/>
      <c r="AA392" s="370"/>
    </row>
    <row r="393" spans="2:27" s="272" customFormat="1">
      <c r="B393" s="234"/>
      <c r="C393" s="368"/>
      <c r="D393" s="279"/>
      <c r="E393" s="234"/>
      <c r="F393" s="368"/>
      <c r="G393" s="279"/>
      <c r="I393" s="368"/>
      <c r="J393" s="279"/>
      <c r="L393" s="368"/>
      <c r="M393" s="279"/>
      <c r="O393" s="368"/>
      <c r="P393" s="279"/>
      <c r="R393" s="368"/>
      <c r="S393" s="279"/>
      <c r="U393" s="368"/>
      <c r="V393" s="279"/>
      <c r="W393" s="234"/>
      <c r="Y393" s="368"/>
      <c r="Z393" s="369"/>
      <c r="AA393" s="370"/>
    </row>
    <row r="394" spans="2:27" s="272" customFormat="1">
      <c r="B394" s="234"/>
      <c r="C394" s="368"/>
      <c r="D394" s="279"/>
      <c r="E394" s="234"/>
      <c r="F394" s="368"/>
      <c r="G394" s="279"/>
      <c r="I394" s="368"/>
      <c r="J394" s="279"/>
      <c r="L394" s="368"/>
      <c r="M394" s="279"/>
      <c r="O394" s="368"/>
      <c r="P394" s="279"/>
      <c r="R394" s="368"/>
      <c r="S394" s="279"/>
      <c r="U394" s="368"/>
      <c r="V394" s="279"/>
      <c r="W394" s="234"/>
      <c r="Y394" s="368"/>
      <c r="Z394" s="369"/>
      <c r="AA394" s="370"/>
    </row>
    <row r="395" spans="2:27" s="272" customFormat="1">
      <c r="B395" s="234"/>
      <c r="C395" s="368"/>
      <c r="D395" s="279"/>
      <c r="E395" s="234"/>
      <c r="F395" s="368"/>
      <c r="G395" s="279"/>
      <c r="I395" s="368"/>
      <c r="J395" s="279"/>
      <c r="L395" s="368"/>
      <c r="M395" s="279"/>
      <c r="O395" s="368"/>
      <c r="P395" s="279"/>
      <c r="R395" s="368"/>
      <c r="S395" s="279"/>
      <c r="U395" s="368"/>
      <c r="V395" s="279"/>
      <c r="W395" s="234"/>
      <c r="Y395" s="368"/>
      <c r="Z395" s="369"/>
      <c r="AA395" s="370"/>
    </row>
    <row r="396" spans="2:27" s="272" customFormat="1">
      <c r="B396" s="234"/>
      <c r="C396" s="368"/>
      <c r="D396" s="279"/>
      <c r="E396" s="234"/>
      <c r="F396" s="368"/>
      <c r="G396" s="279"/>
      <c r="I396" s="368"/>
      <c r="J396" s="279"/>
      <c r="L396" s="368"/>
      <c r="M396" s="279"/>
      <c r="O396" s="368"/>
      <c r="P396" s="279"/>
      <c r="R396" s="368"/>
      <c r="S396" s="279"/>
      <c r="U396" s="368"/>
      <c r="V396" s="279"/>
      <c r="W396" s="234"/>
      <c r="Y396" s="368"/>
      <c r="Z396" s="369"/>
      <c r="AA396" s="370"/>
    </row>
    <row r="397" spans="2:27" s="272" customFormat="1">
      <c r="B397" s="234"/>
      <c r="C397" s="368"/>
      <c r="D397" s="279"/>
      <c r="E397" s="234"/>
      <c r="F397" s="368"/>
      <c r="G397" s="279"/>
      <c r="I397" s="368"/>
      <c r="J397" s="279"/>
      <c r="L397" s="368"/>
      <c r="M397" s="279"/>
      <c r="O397" s="368"/>
      <c r="P397" s="279"/>
      <c r="R397" s="368"/>
      <c r="S397" s="279"/>
      <c r="U397" s="368"/>
      <c r="V397" s="279"/>
      <c r="W397" s="234"/>
      <c r="Y397" s="368"/>
      <c r="Z397" s="369"/>
      <c r="AA397" s="370"/>
    </row>
    <row r="398" spans="2:27" s="272" customFormat="1">
      <c r="B398" s="234"/>
      <c r="C398" s="368"/>
      <c r="D398" s="279"/>
      <c r="E398" s="234"/>
      <c r="F398" s="368"/>
      <c r="G398" s="279"/>
      <c r="I398" s="368"/>
      <c r="J398" s="279"/>
      <c r="L398" s="368"/>
      <c r="M398" s="279"/>
      <c r="O398" s="368"/>
      <c r="P398" s="279"/>
      <c r="R398" s="368"/>
      <c r="S398" s="279"/>
      <c r="U398" s="368"/>
      <c r="V398" s="279"/>
      <c r="W398" s="234"/>
      <c r="Y398" s="368"/>
      <c r="Z398" s="369"/>
      <c r="AA398" s="370"/>
    </row>
    <row r="399" spans="2:27" s="272" customFormat="1">
      <c r="B399" s="234"/>
      <c r="C399" s="368"/>
      <c r="D399" s="279"/>
      <c r="E399" s="234"/>
      <c r="F399" s="368"/>
      <c r="G399" s="279"/>
      <c r="I399" s="368"/>
      <c r="J399" s="279"/>
      <c r="L399" s="368"/>
      <c r="M399" s="279"/>
      <c r="O399" s="368"/>
      <c r="P399" s="279"/>
      <c r="R399" s="368"/>
      <c r="S399" s="279"/>
      <c r="U399" s="368"/>
      <c r="V399" s="279"/>
      <c r="W399" s="234"/>
      <c r="Y399" s="368"/>
      <c r="Z399" s="369"/>
      <c r="AA399" s="370"/>
    </row>
    <row r="400" spans="2:27" s="272" customFormat="1">
      <c r="B400" s="234"/>
      <c r="C400" s="368"/>
      <c r="D400" s="279"/>
      <c r="E400" s="234"/>
      <c r="F400" s="368"/>
      <c r="G400" s="279"/>
      <c r="I400" s="368"/>
      <c r="J400" s="279"/>
      <c r="L400" s="368"/>
      <c r="M400" s="279"/>
      <c r="O400" s="368"/>
      <c r="P400" s="279"/>
      <c r="R400" s="368"/>
      <c r="S400" s="279"/>
      <c r="U400" s="368"/>
      <c r="V400" s="279"/>
      <c r="W400" s="234"/>
      <c r="Y400" s="368"/>
      <c r="Z400" s="369"/>
      <c r="AA400" s="370"/>
    </row>
    <row r="401" spans="2:27" s="272" customFormat="1">
      <c r="B401" s="234"/>
      <c r="C401" s="368"/>
      <c r="D401" s="279"/>
      <c r="E401" s="234"/>
      <c r="F401" s="368"/>
      <c r="G401" s="279"/>
      <c r="I401" s="368"/>
      <c r="J401" s="279"/>
      <c r="L401" s="368"/>
      <c r="M401" s="279"/>
      <c r="O401" s="368"/>
      <c r="P401" s="279"/>
      <c r="R401" s="368"/>
      <c r="S401" s="279"/>
      <c r="U401" s="368"/>
      <c r="V401" s="279"/>
      <c r="W401" s="234"/>
      <c r="Y401" s="368"/>
      <c r="Z401" s="369"/>
      <c r="AA401" s="370"/>
    </row>
    <row r="402" spans="2:27" s="272" customFormat="1">
      <c r="B402" s="234"/>
      <c r="C402" s="368"/>
      <c r="D402" s="279"/>
      <c r="E402" s="234"/>
      <c r="F402" s="368"/>
      <c r="G402" s="279"/>
      <c r="I402" s="368"/>
      <c r="J402" s="279"/>
      <c r="L402" s="368"/>
      <c r="M402" s="279"/>
      <c r="O402" s="368"/>
      <c r="P402" s="279"/>
      <c r="R402" s="368"/>
      <c r="S402" s="279"/>
      <c r="U402" s="368"/>
      <c r="V402" s="279"/>
      <c r="W402" s="234"/>
      <c r="Y402" s="368"/>
      <c r="Z402" s="369"/>
      <c r="AA402" s="370"/>
    </row>
    <row r="403" spans="2:27" s="272" customFormat="1">
      <c r="B403" s="234"/>
      <c r="C403" s="368"/>
      <c r="D403" s="279"/>
      <c r="E403" s="234"/>
      <c r="F403" s="368"/>
      <c r="G403" s="279"/>
      <c r="I403" s="368"/>
      <c r="J403" s="279"/>
      <c r="L403" s="368"/>
      <c r="M403" s="279"/>
      <c r="O403" s="368"/>
      <c r="P403" s="279"/>
      <c r="R403" s="368"/>
      <c r="S403" s="279"/>
      <c r="U403" s="368"/>
      <c r="V403" s="279"/>
      <c r="W403" s="234"/>
      <c r="Y403" s="368"/>
      <c r="Z403" s="369"/>
      <c r="AA403" s="370"/>
    </row>
    <row r="404" spans="2:27" s="272" customFormat="1">
      <c r="B404" s="234"/>
      <c r="C404" s="368"/>
      <c r="D404" s="279"/>
      <c r="E404" s="234"/>
      <c r="F404" s="368"/>
      <c r="G404" s="279"/>
      <c r="I404" s="368"/>
      <c r="J404" s="279"/>
      <c r="L404" s="368"/>
      <c r="M404" s="279"/>
      <c r="O404" s="368"/>
      <c r="P404" s="279"/>
      <c r="R404" s="368"/>
      <c r="S404" s="279"/>
      <c r="U404" s="368"/>
      <c r="V404" s="279"/>
      <c r="W404" s="234"/>
      <c r="Y404" s="368"/>
      <c r="Z404" s="369"/>
      <c r="AA404" s="370"/>
    </row>
    <row r="405" spans="2:27" s="272" customFormat="1">
      <c r="B405" s="234"/>
      <c r="C405" s="368"/>
      <c r="D405" s="279"/>
      <c r="E405" s="234"/>
      <c r="F405" s="368"/>
      <c r="G405" s="279"/>
      <c r="I405" s="368"/>
      <c r="J405" s="279"/>
      <c r="L405" s="368"/>
      <c r="M405" s="279"/>
      <c r="O405" s="368"/>
      <c r="P405" s="279"/>
      <c r="R405" s="368"/>
      <c r="S405" s="279"/>
      <c r="U405" s="368"/>
      <c r="V405" s="279"/>
      <c r="W405" s="234"/>
      <c r="Y405" s="368"/>
      <c r="Z405" s="369"/>
      <c r="AA405" s="370"/>
    </row>
    <row r="406" spans="2:27" s="272" customFormat="1">
      <c r="B406" s="234"/>
      <c r="C406" s="368"/>
      <c r="D406" s="279"/>
      <c r="E406" s="234"/>
      <c r="F406" s="368"/>
      <c r="G406" s="279"/>
      <c r="I406" s="368"/>
      <c r="J406" s="279"/>
      <c r="L406" s="368"/>
      <c r="M406" s="279"/>
      <c r="O406" s="368"/>
      <c r="P406" s="279"/>
      <c r="R406" s="368"/>
      <c r="S406" s="279"/>
      <c r="U406" s="368"/>
      <c r="V406" s="279"/>
      <c r="W406" s="234"/>
      <c r="Y406" s="368"/>
      <c r="Z406" s="369"/>
      <c r="AA406" s="370"/>
    </row>
    <row r="407" spans="2:27" s="272" customFormat="1">
      <c r="B407" s="234"/>
      <c r="C407" s="368"/>
      <c r="D407" s="279"/>
      <c r="E407" s="234"/>
      <c r="F407" s="368"/>
      <c r="G407" s="279"/>
      <c r="I407" s="368"/>
      <c r="J407" s="279"/>
      <c r="L407" s="368"/>
      <c r="M407" s="279"/>
      <c r="O407" s="368"/>
      <c r="P407" s="279"/>
      <c r="R407" s="368"/>
      <c r="S407" s="279"/>
      <c r="U407" s="368"/>
      <c r="V407" s="279"/>
      <c r="W407" s="234"/>
      <c r="Y407" s="368"/>
      <c r="Z407" s="369"/>
      <c r="AA407" s="370"/>
    </row>
    <row r="408" spans="2:27" s="272" customFormat="1">
      <c r="B408" s="234"/>
      <c r="C408" s="368"/>
      <c r="D408" s="279"/>
      <c r="E408" s="234"/>
      <c r="F408" s="368"/>
      <c r="G408" s="279"/>
      <c r="I408" s="368"/>
      <c r="J408" s="279"/>
      <c r="L408" s="368"/>
      <c r="M408" s="279"/>
      <c r="O408" s="368"/>
      <c r="P408" s="279"/>
      <c r="R408" s="368"/>
      <c r="S408" s="279"/>
      <c r="U408" s="368"/>
      <c r="V408" s="279"/>
      <c r="W408" s="234"/>
      <c r="Y408" s="368"/>
      <c r="Z408" s="369"/>
      <c r="AA408" s="370"/>
    </row>
    <row r="409" spans="2:27" s="272" customFormat="1">
      <c r="B409" s="234"/>
      <c r="C409" s="368"/>
      <c r="D409" s="279"/>
      <c r="E409" s="234"/>
      <c r="F409" s="368"/>
      <c r="G409" s="279"/>
      <c r="I409" s="368"/>
      <c r="J409" s="279"/>
      <c r="L409" s="368"/>
      <c r="M409" s="279"/>
      <c r="O409" s="368"/>
      <c r="P409" s="279"/>
      <c r="R409" s="368"/>
      <c r="S409" s="279"/>
      <c r="U409" s="368"/>
      <c r="V409" s="279"/>
      <c r="W409" s="234"/>
      <c r="Y409" s="368"/>
      <c r="Z409" s="369"/>
      <c r="AA409" s="370"/>
    </row>
    <row r="410" spans="2:27" s="272" customFormat="1">
      <c r="B410" s="234"/>
      <c r="C410" s="368"/>
      <c r="D410" s="279"/>
      <c r="E410" s="234"/>
      <c r="F410" s="368"/>
      <c r="G410" s="279"/>
      <c r="I410" s="368"/>
      <c r="J410" s="279"/>
      <c r="L410" s="368"/>
      <c r="M410" s="279"/>
      <c r="O410" s="368"/>
      <c r="P410" s="279"/>
      <c r="R410" s="368"/>
      <c r="S410" s="279"/>
      <c r="U410" s="368"/>
      <c r="V410" s="279"/>
      <c r="W410" s="234"/>
      <c r="Y410" s="368"/>
      <c r="Z410" s="369"/>
      <c r="AA410" s="370"/>
    </row>
    <row r="411" spans="2:27" s="272" customFormat="1">
      <c r="B411" s="234"/>
      <c r="C411" s="368"/>
      <c r="D411" s="279"/>
      <c r="E411" s="234"/>
      <c r="F411" s="368"/>
      <c r="G411" s="279"/>
      <c r="I411" s="368"/>
      <c r="J411" s="279"/>
      <c r="L411" s="368"/>
      <c r="M411" s="279"/>
      <c r="O411" s="368"/>
      <c r="P411" s="279"/>
      <c r="R411" s="368"/>
      <c r="S411" s="279"/>
      <c r="U411" s="368"/>
      <c r="V411" s="279"/>
      <c r="W411" s="234"/>
      <c r="Y411" s="368"/>
      <c r="Z411" s="369"/>
      <c r="AA411" s="370"/>
    </row>
    <row r="412" spans="2:27" s="272" customFormat="1">
      <c r="B412" s="234"/>
      <c r="C412" s="368"/>
      <c r="D412" s="279"/>
      <c r="E412" s="234"/>
      <c r="F412" s="368"/>
      <c r="G412" s="279"/>
      <c r="I412" s="368"/>
      <c r="J412" s="279"/>
      <c r="L412" s="368"/>
      <c r="M412" s="279"/>
      <c r="O412" s="368"/>
      <c r="P412" s="279"/>
      <c r="R412" s="368"/>
      <c r="S412" s="279"/>
      <c r="U412" s="368"/>
      <c r="V412" s="279"/>
      <c r="W412" s="234"/>
      <c r="Y412" s="368"/>
      <c r="Z412" s="369"/>
      <c r="AA412" s="370"/>
    </row>
    <row r="413" spans="2:27" s="272" customFormat="1">
      <c r="B413" s="234"/>
      <c r="C413" s="368"/>
      <c r="D413" s="279"/>
      <c r="E413" s="234"/>
      <c r="F413" s="368"/>
      <c r="G413" s="279"/>
      <c r="I413" s="368"/>
      <c r="J413" s="279"/>
      <c r="L413" s="368"/>
      <c r="M413" s="279"/>
      <c r="O413" s="368"/>
      <c r="P413" s="279"/>
      <c r="R413" s="368"/>
      <c r="S413" s="279"/>
      <c r="U413" s="368"/>
      <c r="V413" s="279"/>
      <c r="W413" s="234"/>
      <c r="Y413" s="368"/>
      <c r="Z413" s="369"/>
      <c r="AA413" s="370"/>
    </row>
    <row r="414" spans="2:27" s="272" customFormat="1">
      <c r="B414" s="234"/>
      <c r="C414" s="368"/>
      <c r="D414" s="279"/>
      <c r="E414" s="234"/>
      <c r="F414" s="368"/>
      <c r="G414" s="279"/>
      <c r="I414" s="368"/>
      <c r="J414" s="279"/>
      <c r="L414" s="368"/>
      <c r="M414" s="279"/>
      <c r="O414" s="368"/>
      <c r="P414" s="279"/>
      <c r="R414" s="368"/>
      <c r="S414" s="279"/>
      <c r="U414" s="368"/>
      <c r="V414" s="279"/>
      <c r="W414" s="234"/>
      <c r="Y414" s="368"/>
      <c r="Z414" s="369"/>
      <c r="AA414" s="370"/>
    </row>
    <row r="415" spans="2:27" s="272" customFormat="1">
      <c r="B415" s="234"/>
      <c r="C415" s="368"/>
      <c r="D415" s="279"/>
      <c r="E415" s="234"/>
      <c r="F415" s="368"/>
      <c r="G415" s="279"/>
      <c r="I415" s="368"/>
      <c r="J415" s="279"/>
      <c r="L415" s="368"/>
      <c r="M415" s="279"/>
      <c r="O415" s="368"/>
      <c r="P415" s="279"/>
      <c r="R415" s="368"/>
      <c r="S415" s="279"/>
      <c r="U415" s="368"/>
      <c r="V415" s="279"/>
      <c r="W415" s="234"/>
      <c r="Y415" s="368"/>
      <c r="Z415" s="369"/>
      <c r="AA415" s="370"/>
    </row>
    <row r="416" spans="2:27" s="272" customFormat="1">
      <c r="B416" s="234"/>
      <c r="C416" s="368"/>
      <c r="D416" s="279"/>
      <c r="E416" s="234"/>
      <c r="F416" s="368"/>
      <c r="G416" s="279"/>
      <c r="I416" s="368"/>
      <c r="J416" s="279"/>
      <c r="L416" s="368"/>
      <c r="M416" s="279"/>
      <c r="O416" s="368"/>
      <c r="P416" s="279"/>
      <c r="R416" s="368"/>
      <c r="S416" s="279"/>
      <c r="U416" s="368"/>
      <c r="V416" s="279"/>
      <c r="W416" s="234"/>
      <c r="Y416" s="368"/>
      <c r="Z416" s="369"/>
      <c r="AA416" s="370"/>
    </row>
    <row r="417" spans="2:27" s="272" customFormat="1">
      <c r="B417" s="234"/>
      <c r="C417" s="368"/>
      <c r="D417" s="279"/>
      <c r="E417" s="234"/>
      <c r="F417" s="368"/>
      <c r="G417" s="279"/>
      <c r="I417" s="368"/>
      <c r="J417" s="279"/>
      <c r="L417" s="368"/>
      <c r="M417" s="279"/>
      <c r="O417" s="368"/>
      <c r="P417" s="279"/>
      <c r="R417" s="368"/>
      <c r="S417" s="279"/>
      <c r="U417" s="368"/>
      <c r="V417" s="279"/>
      <c r="W417" s="234"/>
      <c r="Y417" s="368"/>
      <c r="Z417" s="369"/>
      <c r="AA417" s="370"/>
    </row>
    <row r="418" spans="2:27" s="272" customFormat="1">
      <c r="B418" s="234"/>
      <c r="C418" s="368"/>
      <c r="D418" s="279"/>
      <c r="E418" s="234"/>
      <c r="F418" s="368"/>
      <c r="G418" s="279"/>
      <c r="I418" s="368"/>
      <c r="J418" s="279"/>
      <c r="L418" s="368"/>
      <c r="M418" s="279"/>
      <c r="O418" s="368"/>
      <c r="P418" s="279"/>
      <c r="R418" s="368"/>
      <c r="S418" s="279"/>
      <c r="U418" s="368"/>
      <c r="V418" s="279"/>
      <c r="W418" s="234"/>
      <c r="Y418" s="368"/>
      <c r="Z418" s="369"/>
      <c r="AA418" s="370"/>
    </row>
    <row r="419" spans="2:27" s="272" customFormat="1">
      <c r="B419" s="234"/>
      <c r="C419" s="368"/>
      <c r="D419" s="279"/>
      <c r="E419" s="234"/>
      <c r="F419" s="368"/>
      <c r="G419" s="279"/>
      <c r="I419" s="368"/>
      <c r="J419" s="279"/>
      <c r="L419" s="368"/>
      <c r="M419" s="279"/>
      <c r="O419" s="368"/>
      <c r="P419" s="279"/>
      <c r="R419" s="368"/>
      <c r="S419" s="279"/>
      <c r="U419" s="368"/>
      <c r="V419" s="279"/>
      <c r="W419" s="234"/>
      <c r="Y419" s="368"/>
      <c r="Z419" s="369"/>
      <c r="AA419" s="370"/>
    </row>
    <row r="420" spans="2:27" s="272" customFormat="1">
      <c r="B420" s="234"/>
      <c r="C420" s="368"/>
      <c r="D420" s="279"/>
      <c r="E420" s="234"/>
      <c r="F420" s="368"/>
      <c r="G420" s="279"/>
      <c r="I420" s="368"/>
      <c r="J420" s="279"/>
      <c r="L420" s="368"/>
      <c r="M420" s="279"/>
      <c r="O420" s="368"/>
      <c r="P420" s="279"/>
      <c r="R420" s="368"/>
      <c r="S420" s="279"/>
      <c r="U420" s="368"/>
      <c r="V420" s="279"/>
      <c r="W420" s="234"/>
      <c r="Y420" s="368"/>
      <c r="Z420" s="369"/>
      <c r="AA420" s="370"/>
    </row>
    <row r="421" spans="2:27" s="272" customFormat="1">
      <c r="B421" s="234"/>
      <c r="C421" s="368"/>
      <c r="D421" s="279"/>
      <c r="E421" s="234"/>
      <c r="F421" s="368"/>
      <c r="G421" s="279"/>
      <c r="I421" s="368"/>
      <c r="J421" s="279"/>
      <c r="L421" s="368"/>
      <c r="M421" s="279"/>
      <c r="O421" s="368"/>
      <c r="P421" s="279"/>
      <c r="R421" s="368"/>
      <c r="S421" s="279"/>
      <c r="U421" s="368"/>
      <c r="V421" s="279"/>
      <c r="W421" s="234"/>
      <c r="Y421" s="368"/>
      <c r="Z421" s="369"/>
      <c r="AA421" s="370"/>
    </row>
    <row r="422" spans="2:27" s="272" customFormat="1">
      <c r="B422" s="234"/>
      <c r="C422" s="368"/>
      <c r="D422" s="279"/>
      <c r="E422" s="234"/>
      <c r="F422" s="368"/>
      <c r="G422" s="279"/>
      <c r="I422" s="368"/>
      <c r="J422" s="279"/>
      <c r="L422" s="368"/>
      <c r="M422" s="279"/>
      <c r="O422" s="368"/>
      <c r="P422" s="279"/>
      <c r="R422" s="368"/>
      <c r="S422" s="279"/>
      <c r="U422" s="368"/>
      <c r="V422" s="279"/>
      <c r="W422" s="234"/>
      <c r="Y422" s="368"/>
      <c r="Z422" s="369"/>
      <c r="AA422" s="370"/>
    </row>
    <row r="423" spans="2:27" s="272" customFormat="1">
      <c r="B423" s="234"/>
      <c r="C423" s="368"/>
      <c r="D423" s="279"/>
      <c r="E423" s="234"/>
      <c r="F423" s="368"/>
      <c r="G423" s="279"/>
      <c r="I423" s="368"/>
      <c r="J423" s="279"/>
      <c r="L423" s="368"/>
      <c r="M423" s="279"/>
      <c r="O423" s="368"/>
      <c r="P423" s="279"/>
      <c r="R423" s="368"/>
      <c r="S423" s="279"/>
      <c r="U423" s="368"/>
      <c r="V423" s="279"/>
      <c r="W423" s="234"/>
      <c r="Y423" s="368"/>
      <c r="Z423" s="369"/>
      <c r="AA423" s="370"/>
    </row>
    <row r="424" spans="2:27" s="272" customFormat="1">
      <c r="B424" s="234"/>
      <c r="C424" s="368"/>
      <c r="D424" s="279"/>
      <c r="E424" s="234"/>
      <c r="F424" s="368"/>
      <c r="G424" s="279"/>
      <c r="I424" s="368"/>
      <c r="J424" s="279"/>
      <c r="L424" s="368"/>
      <c r="M424" s="279"/>
      <c r="O424" s="368"/>
      <c r="P424" s="279"/>
      <c r="R424" s="368"/>
      <c r="S424" s="279"/>
      <c r="U424" s="368"/>
      <c r="V424" s="279"/>
      <c r="W424" s="234"/>
      <c r="Y424" s="368"/>
      <c r="Z424" s="369"/>
      <c r="AA424" s="370"/>
    </row>
    <row r="425" spans="2:27" s="272" customFormat="1">
      <c r="B425" s="234"/>
      <c r="C425" s="368"/>
      <c r="D425" s="279"/>
      <c r="E425" s="234"/>
      <c r="F425" s="368"/>
      <c r="G425" s="279"/>
      <c r="I425" s="368"/>
      <c r="J425" s="279"/>
      <c r="L425" s="368"/>
      <c r="M425" s="279"/>
      <c r="O425" s="368"/>
      <c r="P425" s="279"/>
      <c r="R425" s="368"/>
      <c r="S425" s="279"/>
      <c r="U425" s="368"/>
      <c r="V425" s="279"/>
      <c r="W425" s="234"/>
      <c r="Y425" s="368"/>
      <c r="Z425" s="369"/>
      <c r="AA425" s="370"/>
    </row>
    <row r="426" spans="2:27" s="272" customFormat="1">
      <c r="B426" s="234"/>
      <c r="C426" s="368"/>
      <c r="D426" s="279"/>
      <c r="E426" s="234"/>
      <c r="F426" s="368"/>
      <c r="G426" s="279"/>
      <c r="I426" s="368"/>
      <c r="J426" s="279"/>
      <c r="L426" s="368"/>
      <c r="M426" s="279"/>
      <c r="O426" s="368"/>
      <c r="P426" s="279"/>
      <c r="R426" s="368"/>
      <c r="S426" s="279"/>
      <c r="U426" s="368"/>
      <c r="V426" s="279"/>
      <c r="W426" s="234"/>
      <c r="Y426" s="368"/>
      <c r="Z426" s="369"/>
      <c r="AA426" s="370"/>
    </row>
    <row r="427" spans="2:27" s="272" customFormat="1">
      <c r="B427" s="234"/>
      <c r="C427" s="368"/>
      <c r="D427" s="279"/>
      <c r="E427" s="234"/>
      <c r="F427" s="368"/>
      <c r="G427" s="279"/>
      <c r="I427" s="368"/>
      <c r="J427" s="279"/>
      <c r="L427" s="368"/>
      <c r="M427" s="279"/>
      <c r="O427" s="368"/>
      <c r="P427" s="279"/>
      <c r="R427" s="368"/>
      <c r="S427" s="279"/>
      <c r="U427" s="368"/>
      <c r="V427" s="279"/>
      <c r="W427" s="234"/>
      <c r="Y427" s="368"/>
      <c r="Z427" s="369"/>
      <c r="AA427" s="370"/>
    </row>
    <row r="428" spans="2:27" s="272" customFormat="1">
      <c r="B428" s="234"/>
      <c r="C428" s="368"/>
      <c r="D428" s="279"/>
      <c r="E428" s="234"/>
      <c r="F428" s="368"/>
      <c r="G428" s="279"/>
      <c r="I428" s="368"/>
      <c r="J428" s="279"/>
      <c r="L428" s="368"/>
      <c r="M428" s="279"/>
      <c r="O428" s="368"/>
      <c r="P428" s="279"/>
      <c r="R428" s="368"/>
      <c r="S428" s="279"/>
      <c r="U428" s="368"/>
      <c r="V428" s="279"/>
      <c r="W428" s="234"/>
      <c r="Y428" s="368"/>
      <c r="Z428" s="369"/>
      <c r="AA428" s="370"/>
    </row>
    <row r="429" spans="2:27" s="272" customFormat="1">
      <c r="B429" s="234"/>
      <c r="C429" s="368"/>
      <c r="D429" s="279"/>
      <c r="E429" s="234"/>
      <c r="F429" s="368"/>
      <c r="G429" s="279"/>
      <c r="I429" s="368"/>
      <c r="J429" s="279"/>
      <c r="L429" s="368"/>
      <c r="M429" s="279"/>
      <c r="O429" s="368"/>
      <c r="P429" s="279"/>
      <c r="R429" s="368"/>
      <c r="S429" s="279"/>
      <c r="U429" s="368"/>
      <c r="V429" s="279"/>
      <c r="W429" s="234"/>
      <c r="Y429" s="368"/>
      <c r="Z429" s="369"/>
      <c r="AA429" s="370"/>
    </row>
    <row r="430" spans="2:27" s="272" customFormat="1">
      <c r="B430" s="234"/>
      <c r="C430" s="368"/>
      <c r="D430" s="279"/>
      <c r="E430" s="234"/>
      <c r="F430" s="368"/>
      <c r="G430" s="279"/>
      <c r="I430" s="368"/>
      <c r="J430" s="279"/>
      <c r="L430" s="368"/>
      <c r="M430" s="279"/>
      <c r="O430" s="368"/>
      <c r="P430" s="279"/>
      <c r="R430" s="368"/>
      <c r="S430" s="279"/>
      <c r="U430" s="368"/>
      <c r="V430" s="279"/>
      <c r="W430" s="234"/>
      <c r="Y430" s="368"/>
      <c r="Z430" s="369"/>
      <c r="AA430" s="370"/>
    </row>
    <row r="431" spans="2:27" s="272" customFormat="1">
      <c r="B431" s="234"/>
      <c r="C431" s="368"/>
      <c r="D431" s="279"/>
      <c r="E431" s="234"/>
      <c r="F431" s="368"/>
      <c r="G431" s="279"/>
      <c r="I431" s="368"/>
      <c r="J431" s="279"/>
      <c r="L431" s="368"/>
      <c r="M431" s="279"/>
      <c r="O431" s="368"/>
      <c r="P431" s="279"/>
      <c r="R431" s="368"/>
      <c r="S431" s="279"/>
      <c r="U431" s="368"/>
      <c r="V431" s="279"/>
      <c r="W431" s="234"/>
      <c r="Y431" s="368"/>
      <c r="Z431" s="369"/>
      <c r="AA431" s="370"/>
    </row>
    <row r="432" spans="2:27" s="272" customFormat="1">
      <c r="B432" s="234"/>
      <c r="C432" s="368"/>
      <c r="D432" s="279"/>
      <c r="E432" s="234"/>
      <c r="F432" s="368"/>
      <c r="G432" s="279"/>
      <c r="I432" s="368"/>
      <c r="J432" s="279"/>
      <c r="L432" s="368"/>
      <c r="M432" s="279"/>
      <c r="O432" s="368"/>
      <c r="P432" s="279"/>
      <c r="R432" s="368"/>
      <c r="S432" s="279"/>
      <c r="U432" s="368"/>
      <c r="V432" s="279"/>
      <c r="W432" s="234"/>
      <c r="Y432" s="368"/>
      <c r="Z432" s="369"/>
      <c r="AA432" s="370"/>
    </row>
    <row r="433" spans="2:27" s="272" customFormat="1">
      <c r="B433" s="234"/>
      <c r="C433" s="368"/>
      <c r="D433" s="279"/>
      <c r="E433" s="234"/>
      <c r="F433" s="368"/>
      <c r="G433" s="279"/>
      <c r="I433" s="368"/>
      <c r="J433" s="279"/>
      <c r="L433" s="368"/>
      <c r="M433" s="279"/>
      <c r="O433" s="368"/>
      <c r="P433" s="279"/>
      <c r="R433" s="368"/>
      <c r="S433" s="279"/>
      <c r="U433" s="368"/>
      <c r="V433" s="279"/>
      <c r="W433" s="234"/>
      <c r="Y433" s="368"/>
      <c r="Z433" s="369"/>
      <c r="AA433" s="370"/>
    </row>
    <row r="434" spans="2:27" s="272" customFormat="1">
      <c r="B434" s="234"/>
      <c r="C434" s="368"/>
      <c r="D434" s="279"/>
      <c r="E434" s="234"/>
      <c r="F434" s="368"/>
      <c r="G434" s="279"/>
      <c r="I434" s="368"/>
      <c r="J434" s="279"/>
      <c r="L434" s="368"/>
      <c r="M434" s="279"/>
      <c r="O434" s="368"/>
      <c r="P434" s="279"/>
      <c r="R434" s="368"/>
      <c r="S434" s="279"/>
      <c r="U434" s="368"/>
      <c r="V434" s="279"/>
      <c r="W434" s="234"/>
      <c r="Y434" s="368"/>
      <c r="Z434" s="369"/>
      <c r="AA434" s="370"/>
    </row>
    <row r="435" spans="2:27" s="272" customFormat="1">
      <c r="B435" s="234"/>
      <c r="C435" s="368"/>
      <c r="D435" s="279"/>
      <c r="E435" s="234"/>
      <c r="F435" s="368"/>
      <c r="G435" s="279"/>
      <c r="I435" s="368"/>
      <c r="J435" s="279"/>
      <c r="L435" s="368"/>
      <c r="M435" s="279"/>
      <c r="O435" s="368"/>
      <c r="P435" s="279"/>
      <c r="R435" s="368"/>
      <c r="S435" s="279"/>
      <c r="U435" s="368"/>
      <c r="V435" s="279"/>
      <c r="W435" s="234"/>
      <c r="Y435" s="368"/>
      <c r="Z435" s="369"/>
      <c r="AA435" s="370"/>
    </row>
    <row r="436" spans="2:27" s="272" customFormat="1">
      <c r="B436" s="234"/>
      <c r="C436" s="368"/>
      <c r="D436" s="279"/>
      <c r="E436" s="234"/>
      <c r="F436" s="368"/>
      <c r="G436" s="279"/>
      <c r="I436" s="368"/>
      <c r="J436" s="279"/>
      <c r="L436" s="368"/>
      <c r="M436" s="279"/>
      <c r="O436" s="368"/>
      <c r="P436" s="279"/>
      <c r="R436" s="368"/>
      <c r="S436" s="279"/>
      <c r="U436" s="368"/>
      <c r="V436" s="279"/>
      <c r="W436" s="234"/>
      <c r="Y436" s="368"/>
      <c r="Z436" s="369"/>
      <c r="AA436" s="370"/>
    </row>
    <row r="437" spans="2:27" s="272" customFormat="1">
      <c r="B437" s="234"/>
      <c r="C437" s="368"/>
      <c r="D437" s="279"/>
      <c r="E437" s="234"/>
      <c r="F437" s="368"/>
      <c r="G437" s="279"/>
      <c r="I437" s="368"/>
      <c r="J437" s="279"/>
      <c r="L437" s="368"/>
      <c r="M437" s="279"/>
      <c r="O437" s="368"/>
      <c r="P437" s="279"/>
      <c r="R437" s="368"/>
      <c r="S437" s="279"/>
      <c r="U437" s="368"/>
      <c r="V437" s="279"/>
      <c r="W437" s="234"/>
      <c r="Y437" s="368"/>
      <c r="Z437" s="369"/>
      <c r="AA437" s="370"/>
    </row>
    <row r="438" spans="2:27" s="272" customFormat="1">
      <c r="B438" s="234"/>
      <c r="C438" s="368"/>
      <c r="D438" s="279"/>
      <c r="E438" s="234"/>
      <c r="F438" s="368"/>
      <c r="G438" s="279"/>
      <c r="I438" s="368"/>
      <c r="J438" s="279"/>
      <c r="L438" s="368"/>
      <c r="M438" s="279"/>
      <c r="O438" s="368"/>
      <c r="P438" s="279"/>
      <c r="R438" s="368"/>
      <c r="S438" s="279"/>
      <c r="U438" s="368"/>
      <c r="V438" s="279"/>
      <c r="W438" s="234"/>
      <c r="Y438" s="368"/>
      <c r="Z438" s="369"/>
      <c r="AA438" s="370"/>
    </row>
    <row r="439" spans="2:27" s="272" customFormat="1">
      <c r="B439" s="234"/>
      <c r="C439" s="368"/>
      <c r="D439" s="279"/>
      <c r="E439" s="234"/>
      <c r="F439" s="368"/>
      <c r="G439" s="279"/>
      <c r="I439" s="368"/>
      <c r="J439" s="279"/>
      <c r="L439" s="368"/>
      <c r="M439" s="279"/>
      <c r="O439" s="368"/>
      <c r="P439" s="279"/>
      <c r="R439" s="368"/>
      <c r="S439" s="279"/>
      <c r="U439" s="368"/>
      <c r="V439" s="279"/>
      <c r="W439" s="234"/>
      <c r="Y439" s="368"/>
      <c r="Z439" s="369"/>
      <c r="AA439" s="370"/>
    </row>
    <row r="440" spans="2:27" s="272" customFormat="1">
      <c r="B440" s="234"/>
      <c r="C440" s="368"/>
      <c r="D440" s="279"/>
      <c r="E440" s="234"/>
      <c r="F440" s="368"/>
      <c r="G440" s="279"/>
      <c r="I440" s="368"/>
      <c r="J440" s="279"/>
      <c r="L440" s="368"/>
      <c r="M440" s="279"/>
      <c r="O440" s="368"/>
      <c r="P440" s="279"/>
      <c r="R440" s="368"/>
      <c r="S440" s="279"/>
      <c r="U440" s="368"/>
      <c r="V440" s="279"/>
      <c r="W440" s="234"/>
      <c r="Y440" s="368"/>
      <c r="Z440" s="369"/>
      <c r="AA440" s="370"/>
    </row>
    <row r="441" spans="2:27" s="272" customFormat="1">
      <c r="B441" s="234"/>
      <c r="C441" s="368"/>
      <c r="D441" s="279"/>
      <c r="E441" s="234"/>
      <c r="F441" s="368"/>
      <c r="G441" s="279"/>
      <c r="I441" s="368"/>
      <c r="J441" s="279"/>
      <c r="L441" s="368"/>
      <c r="M441" s="279"/>
      <c r="O441" s="368"/>
      <c r="P441" s="279"/>
      <c r="R441" s="368"/>
      <c r="S441" s="279"/>
      <c r="U441" s="368"/>
      <c r="V441" s="279"/>
      <c r="W441" s="234"/>
      <c r="Y441" s="368"/>
      <c r="Z441" s="369"/>
      <c r="AA441" s="370"/>
    </row>
    <row r="442" spans="2:27" s="272" customFormat="1">
      <c r="B442" s="234"/>
      <c r="C442" s="368"/>
      <c r="D442" s="279"/>
      <c r="E442" s="234"/>
      <c r="F442" s="368"/>
      <c r="G442" s="279"/>
      <c r="I442" s="368"/>
      <c r="J442" s="279"/>
      <c r="L442" s="368"/>
      <c r="M442" s="279"/>
      <c r="O442" s="368"/>
      <c r="P442" s="279"/>
      <c r="R442" s="368"/>
      <c r="S442" s="279"/>
      <c r="U442" s="368"/>
      <c r="V442" s="279"/>
      <c r="W442" s="234"/>
      <c r="Y442" s="368"/>
      <c r="Z442" s="369"/>
      <c r="AA442" s="370"/>
    </row>
    <row r="443" spans="2:27" s="272" customFormat="1">
      <c r="B443" s="234"/>
      <c r="C443" s="368"/>
      <c r="D443" s="279"/>
      <c r="E443" s="234"/>
      <c r="F443" s="368"/>
      <c r="G443" s="279"/>
      <c r="I443" s="368"/>
      <c r="J443" s="279"/>
      <c r="L443" s="368"/>
      <c r="M443" s="279"/>
      <c r="O443" s="368"/>
      <c r="P443" s="279"/>
      <c r="R443" s="368"/>
      <c r="S443" s="279"/>
      <c r="U443" s="368"/>
      <c r="V443" s="279"/>
      <c r="W443" s="234"/>
      <c r="Y443" s="368"/>
      <c r="Z443" s="369"/>
      <c r="AA443" s="370"/>
    </row>
    <row r="444" spans="2:27" s="272" customFormat="1">
      <c r="B444" s="234"/>
      <c r="C444" s="368"/>
      <c r="D444" s="279"/>
      <c r="E444" s="234"/>
      <c r="F444" s="368"/>
      <c r="G444" s="279"/>
      <c r="I444" s="368"/>
      <c r="J444" s="279"/>
      <c r="L444" s="368"/>
      <c r="M444" s="279"/>
      <c r="O444" s="368"/>
      <c r="P444" s="279"/>
      <c r="R444" s="368"/>
      <c r="S444" s="279"/>
      <c r="U444" s="368"/>
      <c r="V444" s="279"/>
      <c r="W444" s="234"/>
      <c r="Y444" s="368"/>
      <c r="Z444" s="369"/>
      <c r="AA444" s="370"/>
    </row>
    <row r="445" spans="2:27" s="272" customFormat="1">
      <c r="B445" s="234"/>
      <c r="C445" s="368"/>
      <c r="D445" s="279"/>
      <c r="E445" s="234"/>
      <c r="F445" s="368"/>
      <c r="G445" s="279"/>
      <c r="I445" s="368"/>
      <c r="J445" s="279"/>
      <c r="L445" s="368"/>
      <c r="M445" s="279"/>
      <c r="O445" s="368"/>
      <c r="P445" s="279"/>
      <c r="R445" s="368"/>
      <c r="S445" s="279"/>
      <c r="U445" s="368"/>
      <c r="V445" s="279"/>
      <c r="W445" s="234"/>
      <c r="Y445" s="368"/>
      <c r="Z445" s="369"/>
      <c r="AA445" s="370"/>
    </row>
    <row r="446" spans="2:27" s="272" customFormat="1">
      <c r="B446" s="234"/>
      <c r="C446" s="368"/>
      <c r="D446" s="279"/>
      <c r="E446" s="234"/>
      <c r="F446" s="368"/>
      <c r="G446" s="279"/>
      <c r="I446" s="368"/>
      <c r="J446" s="279"/>
      <c r="L446" s="368"/>
      <c r="M446" s="279"/>
      <c r="O446" s="368"/>
      <c r="P446" s="279"/>
      <c r="R446" s="368"/>
      <c r="S446" s="279"/>
      <c r="U446" s="368"/>
      <c r="V446" s="279"/>
      <c r="W446" s="234"/>
      <c r="Y446" s="368"/>
      <c r="Z446" s="369"/>
      <c r="AA446" s="370"/>
    </row>
    <row r="447" spans="2:27" s="272" customFormat="1">
      <c r="B447" s="234"/>
      <c r="C447" s="368"/>
      <c r="D447" s="279"/>
      <c r="E447" s="234"/>
      <c r="F447" s="368"/>
      <c r="G447" s="279"/>
      <c r="I447" s="368"/>
      <c r="J447" s="279"/>
      <c r="L447" s="368"/>
      <c r="M447" s="279"/>
      <c r="O447" s="368"/>
      <c r="P447" s="279"/>
      <c r="R447" s="368"/>
      <c r="S447" s="279"/>
      <c r="U447" s="368"/>
      <c r="V447" s="279"/>
      <c r="W447" s="234"/>
      <c r="Y447" s="368"/>
      <c r="Z447" s="369"/>
      <c r="AA447" s="370"/>
    </row>
    <row r="448" spans="2:27" s="272" customFormat="1">
      <c r="B448" s="234"/>
      <c r="C448" s="368"/>
      <c r="D448" s="279"/>
      <c r="E448" s="234"/>
      <c r="F448" s="368"/>
      <c r="G448" s="279"/>
      <c r="I448" s="368"/>
      <c r="J448" s="279"/>
      <c r="L448" s="368"/>
      <c r="M448" s="279"/>
      <c r="O448" s="368"/>
      <c r="P448" s="279"/>
      <c r="R448" s="368"/>
      <c r="S448" s="279"/>
      <c r="U448" s="368"/>
      <c r="V448" s="279"/>
      <c r="W448" s="234"/>
      <c r="Y448" s="368"/>
      <c r="Z448" s="369"/>
      <c r="AA448" s="370"/>
    </row>
    <row r="449" spans="2:27" s="272" customFormat="1">
      <c r="B449" s="234"/>
      <c r="C449" s="368"/>
      <c r="D449" s="279"/>
      <c r="E449" s="234"/>
      <c r="F449" s="368"/>
      <c r="G449" s="279"/>
      <c r="I449" s="368"/>
      <c r="J449" s="279"/>
      <c r="L449" s="368"/>
      <c r="M449" s="279"/>
      <c r="O449" s="368"/>
      <c r="P449" s="279"/>
      <c r="R449" s="368"/>
      <c r="S449" s="279"/>
      <c r="U449" s="368"/>
      <c r="V449" s="279"/>
      <c r="W449" s="234"/>
      <c r="Y449" s="368"/>
      <c r="Z449" s="369"/>
      <c r="AA449" s="370"/>
    </row>
    <row r="450" spans="2:27" s="272" customFormat="1">
      <c r="B450" s="234"/>
      <c r="C450" s="368"/>
      <c r="D450" s="279"/>
      <c r="E450" s="234"/>
      <c r="F450" s="368"/>
      <c r="G450" s="279"/>
      <c r="I450" s="368"/>
      <c r="J450" s="279"/>
      <c r="L450" s="368"/>
      <c r="M450" s="279"/>
      <c r="O450" s="368"/>
      <c r="P450" s="279"/>
      <c r="R450" s="368"/>
      <c r="S450" s="279"/>
      <c r="U450" s="368"/>
      <c r="V450" s="279"/>
      <c r="W450" s="234"/>
      <c r="Y450" s="368"/>
      <c r="Z450" s="369"/>
      <c r="AA450" s="370"/>
    </row>
    <row r="451" spans="2:27" s="272" customFormat="1">
      <c r="B451" s="234"/>
      <c r="C451" s="368"/>
      <c r="D451" s="279"/>
      <c r="E451" s="234"/>
      <c r="F451" s="368"/>
      <c r="G451" s="279"/>
      <c r="I451" s="368"/>
      <c r="J451" s="279"/>
      <c r="L451" s="368"/>
      <c r="M451" s="279"/>
      <c r="O451" s="368"/>
      <c r="P451" s="279"/>
      <c r="R451" s="368"/>
      <c r="S451" s="279"/>
      <c r="U451" s="368"/>
      <c r="V451" s="279"/>
      <c r="W451" s="234"/>
      <c r="Y451" s="368"/>
      <c r="Z451" s="369"/>
      <c r="AA451" s="370"/>
    </row>
    <row r="452" spans="2:27" s="272" customFormat="1">
      <c r="B452" s="234"/>
      <c r="C452" s="368"/>
      <c r="D452" s="279"/>
      <c r="E452" s="234"/>
      <c r="F452" s="368"/>
      <c r="G452" s="279"/>
      <c r="I452" s="368"/>
      <c r="J452" s="279"/>
      <c r="L452" s="368"/>
      <c r="M452" s="279"/>
      <c r="O452" s="368"/>
      <c r="P452" s="279"/>
      <c r="R452" s="368"/>
      <c r="S452" s="279"/>
      <c r="U452" s="368"/>
      <c r="V452" s="279"/>
      <c r="W452" s="234"/>
      <c r="Y452" s="368"/>
      <c r="Z452" s="369"/>
      <c r="AA452" s="370"/>
    </row>
    <row r="453" spans="2:27" s="272" customFormat="1">
      <c r="B453" s="234"/>
      <c r="C453" s="368"/>
      <c r="D453" s="279"/>
      <c r="E453" s="234"/>
      <c r="F453" s="368"/>
      <c r="G453" s="279"/>
      <c r="I453" s="368"/>
      <c r="J453" s="279"/>
      <c r="L453" s="368"/>
      <c r="M453" s="279"/>
      <c r="O453" s="368"/>
      <c r="P453" s="279"/>
      <c r="R453" s="368"/>
      <c r="S453" s="279"/>
      <c r="U453" s="368"/>
      <c r="V453" s="279"/>
      <c r="W453" s="234"/>
      <c r="Y453" s="368"/>
      <c r="Z453" s="369"/>
      <c r="AA453" s="370"/>
    </row>
    <row r="454" spans="2:27" s="272" customFormat="1">
      <c r="B454" s="234"/>
      <c r="C454" s="368"/>
      <c r="D454" s="279"/>
      <c r="E454" s="234"/>
      <c r="F454" s="368"/>
      <c r="G454" s="279"/>
      <c r="I454" s="368"/>
      <c r="J454" s="279"/>
      <c r="L454" s="368"/>
      <c r="M454" s="279"/>
      <c r="O454" s="368"/>
      <c r="P454" s="279"/>
      <c r="R454" s="368"/>
      <c r="S454" s="279"/>
      <c r="U454" s="368"/>
      <c r="V454" s="279"/>
      <c r="W454" s="234"/>
      <c r="Y454" s="368"/>
      <c r="Z454" s="369"/>
      <c r="AA454" s="370"/>
    </row>
    <row r="455" spans="2:27" s="272" customFormat="1">
      <c r="B455" s="234"/>
      <c r="C455" s="368"/>
      <c r="D455" s="279"/>
      <c r="E455" s="234"/>
      <c r="F455" s="368"/>
      <c r="G455" s="279"/>
      <c r="I455" s="368"/>
      <c r="J455" s="279"/>
      <c r="L455" s="368"/>
      <c r="M455" s="279"/>
      <c r="O455" s="368"/>
      <c r="P455" s="279"/>
      <c r="R455" s="368"/>
      <c r="S455" s="279"/>
      <c r="U455" s="368"/>
      <c r="V455" s="279"/>
      <c r="W455" s="234"/>
      <c r="Y455" s="368"/>
      <c r="Z455" s="369"/>
      <c r="AA455" s="370"/>
    </row>
    <row r="456" spans="2:27" s="272" customFormat="1">
      <c r="B456" s="234"/>
      <c r="C456" s="368"/>
      <c r="D456" s="279"/>
      <c r="E456" s="234"/>
      <c r="F456" s="368"/>
      <c r="G456" s="279"/>
      <c r="I456" s="368"/>
      <c r="J456" s="279"/>
      <c r="L456" s="368"/>
      <c r="M456" s="279"/>
      <c r="O456" s="368"/>
      <c r="P456" s="279"/>
      <c r="R456" s="368"/>
      <c r="S456" s="279"/>
      <c r="U456" s="368"/>
      <c r="V456" s="279"/>
      <c r="W456" s="234"/>
      <c r="Y456" s="368"/>
      <c r="Z456" s="369"/>
      <c r="AA456" s="370"/>
    </row>
    <row r="457" spans="2:27" s="272" customFormat="1">
      <c r="B457" s="234"/>
      <c r="C457" s="368"/>
      <c r="D457" s="279"/>
      <c r="E457" s="234"/>
      <c r="F457" s="368"/>
      <c r="G457" s="279"/>
      <c r="I457" s="368"/>
      <c r="J457" s="279"/>
      <c r="L457" s="368"/>
      <c r="M457" s="279"/>
      <c r="O457" s="368"/>
      <c r="P457" s="279"/>
      <c r="R457" s="368"/>
      <c r="S457" s="279"/>
      <c r="U457" s="368"/>
      <c r="V457" s="279"/>
      <c r="W457" s="234"/>
      <c r="Y457" s="368"/>
      <c r="Z457" s="369"/>
      <c r="AA457" s="370"/>
    </row>
    <row r="458" spans="2:27" s="272" customFormat="1">
      <c r="B458" s="234"/>
      <c r="C458" s="368"/>
      <c r="D458" s="279"/>
      <c r="E458" s="234"/>
      <c r="F458" s="368"/>
      <c r="G458" s="279"/>
      <c r="I458" s="368"/>
      <c r="J458" s="279"/>
      <c r="L458" s="368"/>
      <c r="M458" s="279"/>
      <c r="O458" s="368"/>
      <c r="P458" s="279"/>
      <c r="R458" s="368"/>
      <c r="S458" s="279"/>
      <c r="U458" s="368"/>
      <c r="V458" s="279"/>
      <c r="W458" s="234"/>
      <c r="Y458" s="368"/>
      <c r="Z458" s="369"/>
      <c r="AA458" s="370"/>
    </row>
    <row r="459" spans="2:27" s="272" customFormat="1">
      <c r="B459" s="234"/>
      <c r="C459" s="368"/>
      <c r="D459" s="279"/>
      <c r="E459" s="234"/>
      <c r="F459" s="368"/>
      <c r="G459" s="279"/>
      <c r="I459" s="368"/>
      <c r="J459" s="279"/>
      <c r="L459" s="368"/>
      <c r="M459" s="279"/>
      <c r="O459" s="368"/>
      <c r="P459" s="279"/>
      <c r="R459" s="368"/>
      <c r="S459" s="279"/>
      <c r="U459" s="368"/>
      <c r="V459" s="279"/>
      <c r="W459" s="234"/>
      <c r="Y459" s="368"/>
      <c r="Z459" s="369"/>
      <c r="AA459" s="370"/>
    </row>
    <row r="460" spans="2:27" s="272" customFormat="1">
      <c r="B460" s="234"/>
      <c r="C460" s="368"/>
      <c r="D460" s="279"/>
      <c r="E460" s="234"/>
      <c r="F460" s="368"/>
      <c r="G460" s="279"/>
      <c r="I460" s="368"/>
      <c r="J460" s="279"/>
      <c r="L460" s="368"/>
      <c r="M460" s="279"/>
      <c r="O460" s="368"/>
      <c r="P460" s="279"/>
      <c r="R460" s="368"/>
      <c r="S460" s="279"/>
      <c r="U460" s="368"/>
      <c r="V460" s="279"/>
      <c r="W460" s="234"/>
      <c r="Y460" s="368"/>
      <c r="Z460" s="369"/>
      <c r="AA460" s="370"/>
    </row>
    <row r="461" spans="2:27" s="272" customFormat="1">
      <c r="B461" s="234"/>
      <c r="C461" s="368"/>
      <c r="D461" s="279"/>
      <c r="E461" s="234"/>
      <c r="F461" s="368"/>
      <c r="G461" s="279"/>
      <c r="I461" s="368"/>
      <c r="J461" s="279"/>
      <c r="L461" s="368"/>
      <c r="M461" s="279"/>
      <c r="O461" s="368"/>
      <c r="P461" s="279"/>
      <c r="R461" s="368"/>
      <c r="S461" s="279"/>
      <c r="U461" s="368"/>
      <c r="V461" s="279"/>
      <c r="W461" s="234"/>
      <c r="Y461" s="368"/>
      <c r="Z461" s="369"/>
      <c r="AA461" s="370"/>
    </row>
    <row r="462" spans="2:27" s="272" customFormat="1">
      <c r="B462" s="234"/>
      <c r="C462" s="368"/>
      <c r="D462" s="279"/>
      <c r="E462" s="234"/>
      <c r="F462" s="368"/>
      <c r="G462" s="279"/>
      <c r="I462" s="368"/>
      <c r="J462" s="279"/>
      <c r="L462" s="368"/>
      <c r="M462" s="279"/>
      <c r="O462" s="368"/>
      <c r="P462" s="279"/>
      <c r="R462" s="368"/>
      <c r="S462" s="279"/>
      <c r="U462" s="368"/>
      <c r="V462" s="279"/>
      <c r="W462" s="234"/>
      <c r="Y462" s="368"/>
      <c r="Z462" s="369"/>
      <c r="AA462" s="370"/>
    </row>
    <row r="463" spans="2:27" s="272" customFormat="1">
      <c r="B463" s="234"/>
      <c r="C463" s="368"/>
      <c r="D463" s="279"/>
      <c r="E463" s="234"/>
      <c r="F463" s="368"/>
      <c r="G463" s="279"/>
      <c r="I463" s="368"/>
      <c r="J463" s="279"/>
      <c r="L463" s="368"/>
      <c r="M463" s="279"/>
      <c r="O463" s="368"/>
      <c r="P463" s="279"/>
      <c r="R463" s="368"/>
      <c r="S463" s="279"/>
      <c r="U463" s="368"/>
      <c r="V463" s="279"/>
      <c r="W463" s="234"/>
      <c r="Y463" s="368"/>
      <c r="Z463" s="369"/>
      <c r="AA463" s="370"/>
    </row>
    <row r="464" spans="2:27" s="272" customFormat="1">
      <c r="B464" s="234"/>
      <c r="C464" s="368"/>
      <c r="D464" s="279"/>
      <c r="E464" s="234"/>
      <c r="F464" s="368"/>
      <c r="G464" s="279"/>
      <c r="I464" s="368"/>
      <c r="J464" s="279"/>
      <c r="L464" s="368"/>
      <c r="M464" s="279"/>
      <c r="O464" s="368"/>
      <c r="P464" s="279"/>
      <c r="R464" s="368"/>
      <c r="S464" s="279"/>
      <c r="U464" s="368"/>
      <c r="V464" s="279"/>
      <c r="W464" s="234"/>
      <c r="Y464" s="368"/>
      <c r="Z464" s="369"/>
      <c r="AA464" s="370"/>
    </row>
    <row r="465" spans="2:27" s="272" customFormat="1">
      <c r="B465" s="234"/>
      <c r="C465" s="368"/>
      <c r="D465" s="279"/>
      <c r="E465" s="234"/>
      <c r="F465" s="368"/>
      <c r="G465" s="279"/>
      <c r="I465" s="368"/>
      <c r="J465" s="279"/>
      <c r="L465" s="368"/>
      <c r="M465" s="279"/>
      <c r="O465" s="368"/>
      <c r="P465" s="279"/>
      <c r="R465" s="368"/>
      <c r="S465" s="279"/>
      <c r="U465" s="368"/>
      <c r="V465" s="279"/>
      <c r="W465" s="234"/>
      <c r="Y465" s="368"/>
      <c r="Z465" s="369"/>
      <c r="AA465" s="370"/>
    </row>
    <row r="466" spans="2:27" s="272" customFormat="1">
      <c r="B466" s="234"/>
      <c r="C466" s="368"/>
      <c r="D466" s="279"/>
      <c r="E466" s="234"/>
      <c r="F466" s="368"/>
      <c r="G466" s="279"/>
      <c r="I466" s="368"/>
      <c r="J466" s="279"/>
      <c r="L466" s="368"/>
      <c r="M466" s="279"/>
      <c r="O466" s="368"/>
      <c r="P466" s="279"/>
      <c r="R466" s="368"/>
      <c r="S466" s="279"/>
      <c r="U466" s="368"/>
      <c r="V466" s="279"/>
      <c r="W466" s="234"/>
      <c r="Y466" s="368"/>
      <c r="Z466" s="369"/>
      <c r="AA466" s="370"/>
    </row>
    <row r="467" spans="2:27" s="272" customFormat="1">
      <c r="B467" s="234"/>
      <c r="C467" s="368"/>
      <c r="D467" s="279"/>
      <c r="E467" s="234"/>
      <c r="F467" s="368"/>
      <c r="G467" s="279"/>
      <c r="I467" s="368"/>
      <c r="J467" s="279"/>
      <c r="L467" s="368"/>
      <c r="M467" s="279"/>
      <c r="O467" s="368"/>
      <c r="P467" s="279"/>
      <c r="R467" s="368"/>
      <c r="S467" s="279"/>
      <c r="U467" s="368"/>
      <c r="V467" s="279"/>
      <c r="W467" s="234"/>
      <c r="Y467" s="368"/>
      <c r="Z467" s="369"/>
      <c r="AA467" s="370"/>
    </row>
    <row r="468" spans="2:27" s="272" customFormat="1">
      <c r="B468" s="234"/>
      <c r="C468" s="368"/>
      <c r="D468" s="279"/>
      <c r="E468" s="234"/>
      <c r="F468" s="368"/>
      <c r="G468" s="279"/>
      <c r="I468" s="368"/>
      <c r="J468" s="279"/>
      <c r="L468" s="368"/>
      <c r="M468" s="279"/>
      <c r="O468" s="368"/>
      <c r="P468" s="279"/>
      <c r="R468" s="368"/>
      <c r="S468" s="279"/>
      <c r="U468" s="368"/>
      <c r="V468" s="279"/>
      <c r="W468" s="234"/>
      <c r="Y468" s="368"/>
      <c r="Z468" s="369"/>
      <c r="AA468" s="370"/>
    </row>
    <row r="469" spans="2:27" s="272" customFormat="1">
      <c r="B469" s="234"/>
      <c r="C469" s="368"/>
      <c r="D469" s="279"/>
      <c r="E469" s="234"/>
      <c r="F469" s="368"/>
      <c r="G469" s="279"/>
      <c r="I469" s="368"/>
      <c r="J469" s="279"/>
      <c r="L469" s="368"/>
      <c r="M469" s="279"/>
      <c r="O469" s="368"/>
      <c r="P469" s="279"/>
      <c r="R469" s="368"/>
      <c r="S469" s="279"/>
      <c r="U469" s="368"/>
      <c r="V469" s="279"/>
      <c r="W469" s="234"/>
      <c r="Y469" s="368"/>
      <c r="Z469" s="369"/>
      <c r="AA469" s="370"/>
    </row>
    <row r="470" spans="2:27" s="272" customFormat="1">
      <c r="B470" s="234"/>
      <c r="C470" s="368"/>
      <c r="D470" s="279"/>
      <c r="E470" s="234"/>
      <c r="F470" s="368"/>
      <c r="G470" s="279"/>
      <c r="I470" s="368"/>
      <c r="J470" s="279"/>
      <c r="L470" s="368"/>
      <c r="M470" s="279"/>
      <c r="O470" s="368"/>
      <c r="P470" s="279"/>
      <c r="R470" s="368"/>
      <c r="S470" s="279"/>
      <c r="U470" s="368"/>
      <c r="V470" s="279"/>
      <c r="W470" s="234"/>
      <c r="Y470" s="368"/>
      <c r="Z470" s="369"/>
      <c r="AA470" s="370"/>
    </row>
    <row r="471" spans="2:27" s="272" customFormat="1">
      <c r="B471" s="234"/>
      <c r="C471" s="368"/>
      <c r="D471" s="279"/>
      <c r="E471" s="234"/>
      <c r="F471" s="368"/>
      <c r="G471" s="279"/>
      <c r="I471" s="368"/>
      <c r="J471" s="279"/>
      <c r="L471" s="368"/>
      <c r="M471" s="279"/>
      <c r="O471" s="368"/>
      <c r="P471" s="279"/>
      <c r="R471" s="368"/>
      <c r="S471" s="279"/>
      <c r="U471" s="368"/>
      <c r="V471" s="279"/>
      <c r="W471" s="234"/>
      <c r="Y471" s="368"/>
      <c r="Z471" s="369"/>
      <c r="AA471" s="370"/>
    </row>
    <row r="472" spans="2:27" s="272" customFormat="1">
      <c r="B472" s="234"/>
      <c r="C472" s="368"/>
      <c r="D472" s="279"/>
      <c r="E472" s="234"/>
      <c r="F472" s="368"/>
      <c r="G472" s="279"/>
      <c r="I472" s="368"/>
      <c r="J472" s="279"/>
      <c r="L472" s="368"/>
      <c r="M472" s="279"/>
      <c r="O472" s="368"/>
      <c r="P472" s="279"/>
      <c r="R472" s="368"/>
      <c r="S472" s="279"/>
      <c r="U472" s="368"/>
      <c r="V472" s="279"/>
      <c r="W472" s="234"/>
      <c r="Y472" s="368"/>
      <c r="Z472" s="369"/>
      <c r="AA472" s="370"/>
    </row>
    <row r="473" spans="2:27" s="272" customFormat="1">
      <c r="B473" s="234"/>
      <c r="C473" s="368"/>
      <c r="D473" s="279"/>
      <c r="E473" s="234"/>
      <c r="F473" s="368"/>
      <c r="G473" s="279"/>
      <c r="I473" s="368"/>
      <c r="J473" s="279"/>
      <c r="L473" s="368"/>
      <c r="M473" s="279"/>
      <c r="O473" s="368"/>
      <c r="P473" s="279"/>
      <c r="R473" s="368"/>
      <c r="S473" s="279"/>
      <c r="U473" s="368"/>
      <c r="V473" s="279"/>
      <c r="W473" s="234"/>
      <c r="Y473" s="368"/>
      <c r="Z473" s="369"/>
      <c r="AA473" s="370"/>
    </row>
    <row r="474" spans="2:27" s="272" customFormat="1">
      <c r="B474" s="234"/>
      <c r="C474" s="368"/>
      <c r="D474" s="279"/>
      <c r="E474" s="234"/>
      <c r="F474" s="368"/>
      <c r="G474" s="279"/>
      <c r="I474" s="368"/>
      <c r="J474" s="279"/>
      <c r="L474" s="368"/>
      <c r="M474" s="279"/>
      <c r="O474" s="368"/>
      <c r="P474" s="279"/>
      <c r="R474" s="368"/>
      <c r="S474" s="279"/>
      <c r="U474" s="368"/>
      <c r="V474" s="279"/>
      <c r="W474" s="234"/>
      <c r="Y474" s="368"/>
      <c r="Z474" s="369"/>
      <c r="AA474" s="370"/>
    </row>
    <row r="475" spans="2:27" s="272" customFormat="1">
      <c r="B475" s="234"/>
      <c r="C475" s="368"/>
      <c r="D475" s="279"/>
      <c r="E475" s="234"/>
      <c r="F475" s="368"/>
      <c r="G475" s="279"/>
      <c r="I475" s="368"/>
      <c r="J475" s="279"/>
      <c r="L475" s="368"/>
      <c r="M475" s="279"/>
      <c r="O475" s="368"/>
      <c r="P475" s="279"/>
      <c r="R475" s="368"/>
      <c r="S475" s="279"/>
      <c r="U475" s="368"/>
      <c r="V475" s="279"/>
      <c r="W475" s="234"/>
      <c r="Y475" s="368"/>
      <c r="Z475" s="369"/>
      <c r="AA475" s="370"/>
    </row>
    <row r="476" spans="2:27" s="272" customFormat="1">
      <c r="B476" s="234"/>
      <c r="C476" s="368"/>
      <c r="D476" s="279"/>
      <c r="E476" s="234"/>
      <c r="F476" s="368"/>
      <c r="G476" s="279"/>
      <c r="I476" s="368"/>
      <c r="J476" s="279"/>
      <c r="L476" s="368"/>
      <c r="M476" s="279"/>
      <c r="O476" s="368"/>
      <c r="P476" s="279"/>
      <c r="R476" s="368"/>
      <c r="S476" s="279"/>
      <c r="U476" s="368"/>
      <c r="V476" s="279"/>
      <c r="W476" s="234"/>
      <c r="Y476" s="368"/>
      <c r="Z476" s="369"/>
      <c r="AA476" s="370"/>
    </row>
    <row r="477" spans="2:27" s="272" customFormat="1">
      <c r="B477" s="234"/>
      <c r="C477" s="368"/>
      <c r="D477" s="279"/>
      <c r="E477" s="234"/>
      <c r="F477" s="368"/>
      <c r="G477" s="279"/>
      <c r="I477" s="368"/>
      <c r="J477" s="279"/>
      <c r="L477" s="368"/>
      <c r="M477" s="279"/>
      <c r="O477" s="368"/>
      <c r="P477" s="279"/>
      <c r="R477" s="368"/>
      <c r="S477" s="279"/>
      <c r="U477" s="368"/>
      <c r="V477" s="279"/>
      <c r="W477" s="234"/>
      <c r="Y477" s="368"/>
      <c r="Z477" s="369"/>
      <c r="AA477" s="370"/>
    </row>
    <row r="478" spans="2:27" s="272" customFormat="1">
      <c r="B478" s="234"/>
      <c r="C478" s="368"/>
      <c r="D478" s="279"/>
      <c r="E478" s="234"/>
      <c r="F478" s="368"/>
      <c r="G478" s="279"/>
      <c r="I478" s="368"/>
      <c r="J478" s="279"/>
      <c r="L478" s="368"/>
      <c r="M478" s="279"/>
      <c r="O478" s="368"/>
      <c r="P478" s="279"/>
      <c r="R478" s="368"/>
      <c r="S478" s="279"/>
      <c r="U478" s="368"/>
      <c r="V478" s="279"/>
      <c r="W478" s="234"/>
      <c r="Y478" s="368"/>
      <c r="Z478" s="369"/>
      <c r="AA478" s="370"/>
    </row>
    <row r="479" spans="2:27" s="272" customFormat="1">
      <c r="B479" s="234"/>
      <c r="C479" s="368"/>
      <c r="D479" s="279"/>
      <c r="E479" s="234"/>
      <c r="F479" s="368"/>
      <c r="G479" s="279"/>
      <c r="I479" s="368"/>
      <c r="J479" s="279"/>
      <c r="L479" s="368"/>
      <c r="M479" s="279"/>
      <c r="O479" s="368"/>
      <c r="P479" s="279"/>
      <c r="R479" s="368"/>
      <c r="S479" s="279"/>
      <c r="U479" s="368"/>
      <c r="V479" s="279"/>
      <c r="W479" s="234"/>
      <c r="Y479" s="368"/>
      <c r="Z479" s="369"/>
      <c r="AA479" s="370"/>
    </row>
    <row r="480" spans="2:27" s="272" customFormat="1">
      <c r="B480" s="234"/>
      <c r="C480" s="368"/>
      <c r="D480" s="279"/>
      <c r="E480" s="234"/>
      <c r="F480" s="368"/>
      <c r="G480" s="279"/>
      <c r="I480" s="368"/>
      <c r="J480" s="279"/>
      <c r="L480" s="368"/>
      <c r="M480" s="279"/>
      <c r="O480" s="368"/>
      <c r="P480" s="279"/>
      <c r="R480" s="368"/>
      <c r="S480" s="279"/>
      <c r="U480" s="368"/>
      <c r="V480" s="279"/>
      <c r="W480" s="234"/>
      <c r="Y480" s="368"/>
      <c r="Z480" s="369"/>
      <c r="AA480" s="370"/>
    </row>
    <row r="481" spans="2:27" s="272" customFormat="1">
      <c r="B481" s="234"/>
      <c r="C481" s="368"/>
      <c r="D481" s="279"/>
      <c r="E481" s="234"/>
      <c r="F481" s="368"/>
      <c r="G481" s="279"/>
      <c r="I481" s="368"/>
      <c r="J481" s="279"/>
      <c r="L481" s="368"/>
      <c r="M481" s="279"/>
      <c r="O481" s="368"/>
      <c r="P481" s="279"/>
      <c r="R481" s="368"/>
      <c r="S481" s="279"/>
      <c r="U481" s="368"/>
      <c r="V481" s="279"/>
      <c r="W481" s="234"/>
      <c r="Y481" s="368"/>
      <c r="Z481" s="369"/>
      <c r="AA481" s="370"/>
    </row>
    <row r="482" spans="2:27" s="272" customFormat="1">
      <c r="B482" s="234"/>
      <c r="C482" s="368"/>
      <c r="D482" s="279"/>
      <c r="E482" s="234"/>
      <c r="F482" s="368"/>
      <c r="G482" s="279"/>
      <c r="I482" s="368"/>
      <c r="J482" s="279"/>
      <c r="L482" s="368"/>
      <c r="M482" s="279"/>
      <c r="O482" s="368"/>
      <c r="P482" s="279"/>
      <c r="R482" s="368"/>
      <c r="S482" s="279"/>
      <c r="U482" s="368"/>
      <c r="V482" s="279"/>
      <c r="W482" s="234"/>
      <c r="Y482" s="368"/>
      <c r="Z482" s="369"/>
      <c r="AA482" s="370"/>
    </row>
    <row r="483" spans="2:27" s="272" customFormat="1">
      <c r="B483" s="234"/>
      <c r="C483" s="368"/>
      <c r="D483" s="279"/>
      <c r="E483" s="234"/>
      <c r="F483" s="368"/>
      <c r="G483" s="279"/>
      <c r="I483" s="368"/>
      <c r="J483" s="279"/>
      <c r="L483" s="368"/>
      <c r="M483" s="279"/>
      <c r="O483" s="368"/>
      <c r="P483" s="279"/>
      <c r="R483" s="368"/>
      <c r="S483" s="279"/>
      <c r="U483" s="368"/>
      <c r="V483" s="279"/>
      <c r="W483" s="234"/>
      <c r="Y483" s="368"/>
      <c r="Z483" s="369"/>
      <c r="AA483" s="370"/>
    </row>
    <row r="484" spans="2:27" s="272" customFormat="1">
      <c r="B484" s="234"/>
      <c r="C484" s="368"/>
      <c r="D484" s="279"/>
      <c r="E484" s="234"/>
      <c r="F484" s="368"/>
      <c r="G484" s="279"/>
      <c r="I484" s="368"/>
      <c r="J484" s="279"/>
      <c r="L484" s="368"/>
      <c r="M484" s="279"/>
      <c r="O484" s="368"/>
      <c r="P484" s="279"/>
      <c r="R484" s="368"/>
      <c r="S484" s="279"/>
      <c r="U484" s="368"/>
      <c r="V484" s="279"/>
      <c r="W484" s="234"/>
      <c r="Y484" s="368"/>
      <c r="Z484" s="369"/>
      <c r="AA484" s="370"/>
    </row>
    <row r="485" spans="2:27" s="272" customFormat="1">
      <c r="B485" s="234"/>
      <c r="C485" s="368"/>
      <c r="D485" s="279"/>
      <c r="E485" s="234"/>
      <c r="F485" s="368"/>
      <c r="G485" s="279"/>
      <c r="I485" s="368"/>
      <c r="J485" s="279"/>
      <c r="L485" s="368"/>
      <c r="M485" s="279"/>
      <c r="O485" s="368"/>
      <c r="P485" s="279"/>
      <c r="R485" s="368"/>
      <c r="S485" s="279"/>
      <c r="U485" s="368"/>
      <c r="V485" s="279"/>
      <c r="W485" s="234"/>
      <c r="Y485" s="368"/>
      <c r="Z485" s="369"/>
      <c r="AA485" s="370"/>
    </row>
    <row r="486" spans="2:27" s="272" customFormat="1">
      <c r="B486" s="234"/>
      <c r="C486" s="368"/>
      <c r="D486" s="279"/>
      <c r="E486" s="234"/>
      <c r="F486" s="368"/>
      <c r="G486" s="279"/>
      <c r="I486" s="368"/>
      <c r="J486" s="279"/>
      <c r="L486" s="368"/>
      <c r="M486" s="279"/>
      <c r="O486" s="368"/>
      <c r="P486" s="279"/>
      <c r="R486" s="368"/>
      <c r="S486" s="279"/>
      <c r="U486" s="368"/>
      <c r="V486" s="279"/>
      <c r="W486" s="234"/>
      <c r="Y486" s="368"/>
      <c r="Z486" s="369"/>
      <c r="AA486" s="370"/>
    </row>
    <row r="487" spans="2:27" s="272" customFormat="1">
      <c r="B487" s="234"/>
      <c r="C487" s="368"/>
      <c r="D487" s="279"/>
      <c r="E487" s="234"/>
      <c r="F487" s="368"/>
      <c r="G487" s="279"/>
      <c r="I487" s="368"/>
      <c r="J487" s="279"/>
      <c r="L487" s="368"/>
      <c r="M487" s="279"/>
      <c r="O487" s="368"/>
      <c r="P487" s="279"/>
      <c r="R487" s="368"/>
      <c r="S487" s="279"/>
      <c r="U487" s="368"/>
      <c r="V487" s="279"/>
      <c r="W487" s="234"/>
      <c r="Y487" s="368"/>
      <c r="Z487" s="369"/>
      <c r="AA487" s="370"/>
    </row>
    <row r="488" spans="2:27" s="272" customFormat="1">
      <c r="B488" s="234"/>
      <c r="C488" s="368"/>
      <c r="D488" s="279"/>
      <c r="E488" s="234"/>
      <c r="F488" s="368"/>
      <c r="G488" s="279"/>
      <c r="I488" s="368"/>
      <c r="J488" s="279"/>
      <c r="L488" s="368"/>
      <c r="M488" s="279"/>
      <c r="O488" s="368"/>
      <c r="P488" s="279"/>
      <c r="R488" s="368"/>
      <c r="S488" s="279"/>
      <c r="U488" s="368"/>
      <c r="V488" s="279"/>
      <c r="W488" s="234"/>
      <c r="Y488" s="368"/>
      <c r="Z488" s="369"/>
      <c r="AA488" s="370"/>
    </row>
    <row r="489" spans="2:27" s="272" customFormat="1">
      <c r="B489" s="234"/>
      <c r="C489" s="368"/>
      <c r="D489" s="279"/>
      <c r="E489" s="234"/>
      <c r="F489" s="368"/>
      <c r="G489" s="279"/>
      <c r="I489" s="368"/>
      <c r="J489" s="279"/>
      <c r="L489" s="368"/>
      <c r="M489" s="279"/>
      <c r="O489" s="368"/>
      <c r="P489" s="279"/>
      <c r="R489" s="368"/>
      <c r="S489" s="279"/>
      <c r="U489" s="368"/>
      <c r="V489" s="279"/>
      <c r="W489" s="234"/>
      <c r="Y489" s="368"/>
      <c r="Z489" s="369"/>
      <c r="AA489" s="370"/>
    </row>
    <row r="490" spans="2:27" s="272" customFormat="1">
      <c r="B490" s="234"/>
      <c r="C490" s="368"/>
      <c r="D490" s="279"/>
      <c r="E490" s="234"/>
      <c r="F490" s="368"/>
      <c r="G490" s="279"/>
      <c r="I490" s="368"/>
      <c r="J490" s="279"/>
      <c r="L490" s="368"/>
      <c r="M490" s="279"/>
      <c r="O490" s="368"/>
      <c r="P490" s="279"/>
      <c r="R490" s="368"/>
      <c r="S490" s="279"/>
      <c r="U490" s="368"/>
      <c r="V490" s="279"/>
      <c r="W490" s="234"/>
      <c r="Y490" s="368"/>
      <c r="Z490" s="369"/>
      <c r="AA490" s="370"/>
    </row>
    <row r="491" spans="2:27" s="272" customFormat="1">
      <c r="B491" s="234"/>
      <c r="C491" s="368"/>
      <c r="D491" s="279"/>
      <c r="E491" s="234"/>
      <c r="F491" s="368"/>
      <c r="G491" s="279"/>
      <c r="I491" s="368"/>
      <c r="J491" s="279"/>
      <c r="L491" s="368"/>
      <c r="M491" s="279"/>
      <c r="O491" s="368"/>
      <c r="P491" s="279"/>
      <c r="R491" s="368"/>
      <c r="S491" s="279"/>
      <c r="U491" s="368"/>
      <c r="V491" s="279"/>
      <c r="W491" s="234"/>
      <c r="Y491" s="368"/>
      <c r="Z491" s="369"/>
      <c r="AA491" s="370"/>
    </row>
    <row r="492" spans="2:27" s="272" customFormat="1">
      <c r="B492" s="234"/>
      <c r="C492" s="368"/>
      <c r="D492" s="279"/>
      <c r="E492" s="234"/>
      <c r="F492" s="368"/>
      <c r="G492" s="279"/>
      <c r="I492" s="368"/>
      <c r="J492" s="279"/>
      <c r="L492" s="368"/>
      <c r="M492" s="279"/>
      <c r="O492" s="368"/>
      <c r="P492" s="279"/>
      <c r="R492" s="368"/>
      <c r="S492" s="279"/>
      <c r="U492" s="368"/>
      <c r="V492" s="279"/>
      <c r="W492" s="234"/>
      <c r="Y492" s="368"/>
      <c r="Z492" s="369"/>
      <c r="AA492" s="370"/>
    </row>
    <row r="493" spans="2:27" s="272" customFormat="1">
      <c r="B493" s="234"/>
      <c r="C493" s="368"/>
      <c r="D493" s="279"/>
      <c r="E493" s="234"/>
      <c r="F493" s="368"/>
      <c r="G493" s="279"/>
      <c r="I493" s="368"/>
      <c r="J493" s="279"/>
      <c r="L493" s="368"/>
      <c r="M493" s="279"/>
      <c r="O493" s="368"/>
      <c r="P493" s="279"/>
      <c r="R493" s="368"/>
      <c r="S493" s="279"/>
      <c r="U493" s="368"/>
      <c r="V493" s="279"/>
      <c r="W493" s="234"/>
      <c r="Y493" s="368"/>
      <c r="Z493" s="369"/>
      <c r="AA493" s="370"/>
    </row>
    <row r="494" spans="2:27" s="272" customFormat="1">
      <c r="B494" s="234"/>
      <c r="C494" s="368"/>
      <c r="D494" s="279"/>
      <c r="E494" s="234"/>
      <c r="F494" s="368"/>
      <c r="G494" s="279"/>
      <c r="I494" s="368"/>
      <c r="J494" s="279"/>
      <c r="L494" s="368"/>
      <c r="M494" s="279"/>
      <c r="O494" s="368"/>
      <c r="P494" s="279"/>
      <c r="R494" s="368"/>
      <c r="S494" s="279"/>
      <c r="U494" s="368"/>
      <c r="V494" s="279"/>
      <c r="W494" s="234"/>
      <c r="Y494" s="368"/>
      <c r="Z494" s="369"/>
      <c r="AA494" s="370"/>
    </row>
    <row r="495" spans="2:27" s="272" customFormat="1">
      <c r="B495" s="234"/>
      <c r="C495" s="368"/>
      <c r="D495" s="279"/>
      <c r="E495" s="234"/>
      <c r="F495" s="368"/>
      <c r="G495" s="279"/>
      <c r="I495" s="368"/>
      <c r="J495" s="279"/>
      <c r="L495" s="368"/>
      <c r="M495" s="279"/>
      <c r="O495" s="368"/>
      <c r="P495" s="279"/>
      <c r="R495" s="368"/>
      <c r="S495" s="279"/>
      <c r="U495" s="368"/>
      <c r="V495" s="279"/>
      <c r="W495" s="234"/>
      <c r="Y495" s="368"/>
      <c r="Z495" s="369"/>
      <c r="AA495" s="370"/>
    </row>
    <row r="496" spans="2:27" s="272" customFormat="1">
      <c r="B496" s="234"/>
      <c r="C496" s="368"/>
      <c r="D496" s="279"/>
      <c r="E496" s="234"/>
      <c r="F496" s="368"/>
      <c r="G496" s="279"/>
      <c r="I496" s="368"/>
      <c r="J496" s="279"/>
      <c r="L496" s="368"/>
      <c r="M496" s="279"/>
      <c r="O496" s="368"/>
      <c r="P496" s="279"/>
      <c r="R496" s="368"/>
      <c r="S496" s="279"/>
      <c r="U496" s="368"/>
      <c r="V496" s="279"/>
      <c r="W496" s="234"/>
      <c r="Y496" s="368"/>
      <c r="Z496" s="369"/>
      <c r="AA496" s="370"/>
    </row>
    <row r="497" spans="2:27" s="272" customFormat="1">
      <c r="B497" s="234"/>
      <c r="C497" s="368"/>
      <c r="D497" s="279"/>
      <c r="E497" s="234"/>
      <c r="F497" s="368"/>
      <c r="G497" s="279"/>
      <c r="I497" s="368"/>
      <c r="J497" s="279"/>
      <c r="L497" s="368"/>
      <c r="M497" s="279"/>
      <c r="O497" s="368"/>
      <c r="P497" s="279"/>
      <c r="R497" s="368"/>
      <c r="S497" s="279"/>
      <c r="U497" s="368"/>
      <c r="V497" s="279"/>
      <c r="W497" s="234"/>
      <c r="Y497" s="368"/>
      <c r="Z497" s="369"/>
      <c r="AA497" s="370"/>
    </row>
    <row r="498" spans="2:27" s="272" customFormat="1">
      <c r="B498" s="234"/>
      <c r="C498" s="368"/>
      <c r="D498" s="279"/>
      <c r="E498" s="234"/>
      <c r="F498" s="368"/>
      <c r="G498" s="279"/>
      <c r="I498" s="368"/>
      <c r="J498" s="279"/>
      <c r="L498" s="368"/>
      <c r="M498" s="279"/>
      <c r="O498" s="368"/>
      <c r="P498" s="279"/>
      <c r="R498" s="368"/>
      <c r="S498" s="279"/>
      <c r="U498" s="368"/>
      <c r="V498" s="279"/>
      <c r="W498" s="234"/>
      <c r="Y498" s="368"/>
      <c r="Z498" s="369"/>
      <c r="AA498" s="370"/>
    </row>
    <row r="499" spans="2:27" s="272" customFormat="1">
      <c r="B499" s="234"/>
      <c r="C499" s="368"/>
      <c r="D499" s="279"/>
      <c r="E499" s="234"/>
      <c r="F499" s="368"/>
      <c r="G499" s="279"/>
      <c r="I499" s="368"/>
      <c r="J499" s="279"/>
      <c r="L499" s="368"/>
      <c r="M499" s="279"/>
      <c r="O499" s="368"/>
      <c r="P499" s="279"/>
      <c r="R499" s="368"/>
      <c r="S499" s="279"/>
      <c r="U499" s="368"/>
      <c r="V499" s="279"/>
      <c r="W499" s="234"/>
      <c r="Y499" s="368"/>
      <c r="Z499" s="369"/>
      <c r="AA499" s="370"/>
    </row>
    <row r="500" spans="2:27" s="272" customFormat="1">
      <c r="B500" s="234"/>
      <c r="C500" s="368"/>
      <c r="D500" s="279"/>
      <c r="E500" s="234"/>
      <c r="F500" s="368"/>
      <c r="G500" s="279"/>
      <c r="I500" s="368"/>
      <c r="J500" s="279"/>
      <c r="L500" s="368"/>
      <c r="M500" s="279"/>
      <c r="O500" s="368"/>
      <c r="P500" s="279"/>
      <c r="R500" s="368"/>
      <c r="S500" s="279"/>
      <c r="U500" s="368"/>
      <c r="V500" s="279"/>
      <c r="W500" s="234"/>
      <c r="Y500" s="368"/>
      <c r="Z500" s="369"/>
      <c r="AA500" s="370"/>
    </row>
    <row r="501" spans="2:27" s="272" customFormat="1">
      <c r="B501" s="234"/>
      <c r="C501" s="368"/>
      <c r="D501" s="279"/>
      <c r="E501" s="234"/>
      <c r="F501" s="368"/>
      <c r="G501" s="279"/>
      <c r="I501" s="368"/>
      <c r="J501" s="279"/>
      <c r="L501" s="368"/>
      <c r="M501" s="279"/>
      <c r="O501" s="368"/>
      <c r="P501" s="279"/>
      <c r="R501" s="368"/>
      <c r="S501" s="279"/>
      <c r="U501" s="368"/>
      <c r="V501" s="279"/>
      <c r="W501" s="234"/>
      <c r="Y501" s="368"/>
      <c r="Z501" s="369"/>
      <c r="AA501" s="370"/>
    </row>
    <row r="502" spans="2:27" s="272" customFormat="1">
      <c r="B502" s="234"/>
      <c r="C502" s="368"/>
      <c r="D502" s="279"/>
      <c r="E502" s="234"/>
      <c r="F502" s="368"/>
      <c r="G502" s="279"/>
      <c r="I502" s="368"/>
      <c r="J502" s="279"/>
      <c r="L502" s="368"/>
      <c r="M502" s="279"/>
      <c r="O502" s="368"/>
      <c r="P502" s="279"/>
      <c r="R502" s="368"/>
      <c r="S502" s="279"/>
      <c r="U502" s="368"/>
      <c r="V502" s="279"/>
      <c r="W502" s="234"/>
      <c r="Y502" s="368"/>
      <c r="Z502" s="369"/>
      <c r="AA502" s="370"/>
    </row>
    <row r="503" spans="2:27" s="272" customFormat="1">
      <c r="B503" s="234"/>
      <c r="C503" s="368"/>
      <c r="D503" s="279"/>
      <c r="E503" s="234"/>
      <c r="F503" s="368"/>
      <c r="G503" s="279"/>
      <c r="I503" s="368"/>
      <c r="J503" s="279"/>
      <c r="L503" s="368"/>
      <c r="M503" s="279"/>
      <c r="O503" s="368"/>
      <c r="P503" s="279"/>
      <c r="R503" s="368"/>
      <c r="S503" s="279"/>
      <c r="U503" s="368"/>
      <c r="V503" s="279"/>
      <c r="W503" s="234"/>
      <c r="Y503" s="368"/>
      <c r="Z503" s="369"/>
      <c r="AA503" s="370"/>
    </row>
    <row r="504" spans="2:27" s="272" customFormat="1">
      <c r="B504" s="234"/>
      <c r="C504" s="368"/>
      <c r="D504" s="279"/>
      <c r="E504" s="234"/>
      <c r="F504" s="368"/>
      <c r="G504" s="279"/>
      <c r="I504" s="368"/>
      <c r="J504" s="279"/>
      <c r="L504" s="368"/>
      <c r="M504" s="279"/>
      <c r="O504" s="368"/>
      <c r="P504" s="279"/>
      <c r="R504" s="368"/>
      <c r="S504" s="279"/>
      <c r="U504" s="368"/>
      <c r="V504" s="279"/>
      <c r="W504" s="234"/>
      <c r="Y504" s="368"/>
      <c r="Z504" s="369"/>
      <c r="AA504" s="370"/>
    </row>
    <row r="505" spans="2:27" s="272" customFormat="1">
      <c r="B505" s="234"/>
      <c r="C505" s="368"/>
      <c r="D505" s="279"/>
      <c r="E505" s="234"/>
      <c r="F505" s="368"/>
      <c r="G505" s="279"/>
      <c r="I505" s="368"/>
      <c r="J505" s="279"/>
      <c r="L505" s="368"/>
      <c r="M505" s="279"/>
      <c r="O505" s="368"/>
      <c r="P505" s="279"/>
      <c r="R505" s="368"/>
      <c r="S505" s="279"/>
      <c r="U505" s="368"/>
      <c r="V505" s="279"/>
      <c r="W505" s="234"/>
      <c r="Y505" s="368"/>
      <c r="Z505" s="369"/>
      <c r="AA505" s="370"/>
    </row>
    <row r="506" spans="2:27" s="272" customFormat="1">
      <c r="B506" s="234"/>
      <c r="C506" s="368"/>
      <c r="D506" s="279"/>
      <c r="E506" s="234"/>
      <c r="F506" s="368"/>
      <c r="G506" s="279"/>
      <c r="I506" s="368"/>
      <c r="J506" s="279"/>
      <c r="L506" s="368"/>
      <c r="M506" s="279"/>
      <c r="O506" s="368"/>
      <c r="P506" s="279"/>
      <c r="R506" s="368"/>
      <c r="S506" s="279"/>
      <c r="U506" s="368"/>
      <c r="V506" s="279"/>
      <c r="W506" s="234"/>
      <c r="Y506" s="368"/>
      <c r="Z506" s="369"/>
      <c r="AA506" s="370"/>
    </row>
    <row r="507" spans="2:27" s="272" customFormat="1">
      <c r="B507" s="234"/>
      <c r="C507" s="368"/>
      <c r="D507" s="279"/>
      <c r="E507" s="234"/>
      <c r="F507" s="368"/>
      <c r="G507" s="279"/>
      <c r="I507" s="368"/>
      <c r="J507" s="279"/>
      <c r="L507" s="368"/>
      <c r="M507" s="279"/>
      <c r="O507" s="368"/>
      <c r="P507" s="279"/>
      <c r="R507" s="368"/>
      <c r="S507" s="279"/>
      <c r="U507" s="368"/>
      <c r="V507" s="279"/>
      <c r="W507" s="234"/>
      <c r="Y507" s="368"/>
      <c r="Z507" s="369"/>
      <c r="AA507" s="370"/>
    </row>
    <row r="508" spans="2:27" s="272" customFormat="1">
      <c r="B508" s="234"/>
      <c r="C508" s="368"/>
      <c r="D508" s="279"/>
      <c r="E508" s="234"/>
      <c r="F508" s="368"/>
      <c r="G508" s="279"/>
      <c r="I508" s="368"/>
      <c r="J508" s="279"/>
      <c r="L508" s="368"/>
      <c r="M508" s="279"/>
      <c r="O508" s="368"/>
      <c r="P508" s="279"/>
      <c r="R508" s="368"/>
      <c r="S508" s="279"/>
      <c r="U508" s="368"/>
      <c r="V508" s="279"/>
      <c r="W508" s="234"/>
      <c r="Y508" s="368"/>
      <c r="Z508" s="369"/>
      <c r="AA508" s="370"/>
    </row>
    <row r="509" spans="2:27" s="272" customFormat="1">
      <c r="B509" s="234"/>
      <c r="C509" s="368"/>
      <c r="D509" s="279"/>
      <c r="E509" s="234"/>
      <c r="F509" s="368"/>
      <c r="G509" s="279"/>
      <c r="I509" s="368"/>
      <c r="J509" s="279"/>
      <c r="L509" s="368"/>
      <c r="M509" s="279"/>
      <c r="O509" s="368"/>
      <c r="P509" s="279"/>
      <c r="R509" s="368"/>
      <c r="S509" s="279"/>
      <c r="U509" s="368"/>
      <c r="V509" s="279"/>
      <c r="W509" s="234"/>
      <c r="Y509" s="368"/>
      <c r="Z509" s="369"/>
      <c r="AA509" s="370"/>
    </row>
    <row r="510" spans="2:27" s="272" customFormat="1">
      <c r="B510" s="234"/>
      <c r="C510" s="368"/>
      <c r="D510" s="279"/>
      <c r="E510" s="234"/>
      <c r="F510" s="368"/>
      <c r="G510" s="279"/>
      <c r="I510" s="368"/>
      <c r="J510" s="279"/>
      <c r="L510" s="368"/>
      <c r="M510" s="279"/>
      <c r="O510" s="368"/>
      <c r="P510" s="279"/>
      <c r="R510" s="368"/>
      <c r="S510" s="279"/>
      <c r="U510" s="368"/>
      <c r="V510" s="279"/>
      <c r="W510" s="234"/>
      <c r="Y510" s="368"/>
      <c r="Z510" s="369"/>
      <c r="AA510" s="370"/>
    </row>
    <row r="511" spans="2:27" s="272" customFormat="1">
      <c r="B511" s="234"/>
      <c r="C511" s="368"/>
      <c r="D511" s="279"/>
      <c r="E511" s="234"/>
      <c r="F511" s="368"/>
      <c r="G511" s="279"/>
      <c r="I511" s="368"/>
      <c r="J511" s="279"/>
      <c r="L511" s="368"/>
      <c r="M511" s="279"/>
      <c r="O511" s="368"/>
      <c r="P511" s="279"/>
      <c r="R511" s="368"/>
      <c r="S511" s="279"/>
      <c r="U511" s="368"/>
      <c r="V511" s="279"/>
      <c r="W511" s="234"/>
      <c r="Y511" s="368"/>
      <c r="Z511" s="369"/>
      <c r="AA511" s="370"/>
    </row>
    <row r="512" spans="2:27" s="272" customFormat="1">
      <c r="B512" s="234"/>
      <c r="C512" s="368"/>
      <c r="D512" s="279"/>
      <c r="E512" s="234"/>
      <c r="F512" s="368"/>
      <c r="G512" s="279"/>
      <c r="I512" s="368"/>
      <c r="J512" s="279"/>
      <c r="L512" s="368"/>
      <c r="M512" s="279"/>
      <c r="O512" s="368"/>
      <c r="P512" s="279"/>
      <c r="R512" s="368"/>
      <c r="S512" s="279"/>
      <c r="U512" s="368"/>
      <c r="V512" s="279"/>
      <c r="W512" s="234"/>
      <c r="Y512" s="368"/>
      <c r="Z512" s="369"/>
      <c r="AA512" s="370"/>
    </row>
    <row r="513" spans="2:27" s="272" customFormat="1">
      <c r="B513" s="234"/>
      <c r="C513" s="368"/>
      <c r="D513" s="279"/>
      <c r="E513" s="234"/>
      <c r="F513" s="368"/>
      <c r="G513" s="279"/>
      <c r="I513" s="368"/>
      <c r="J513" s="279"/>
      <c r="L513" s="368"/>
      <c r="M513" s="279"/>
      <c r="O513" s="368"/>
      <c r="P513" s="279"/>
      <c r="R513" s="368"/>
      <c r="S513" s="279"/>
      <c r="U513" s="368"/>
      <c r="V513" s="279"/>
      <c r="W513" s="234"/>
      <c r="Y513" s="368"/>
      <c r="Z513" s="369"/>
      <c r="AA513" s="370"/>
    </row>
    <row r="514" spans="2:27" s="272" customFormat="1">
      <c r="B514" s="234"/>
      <c r="C514" s="368"/>
      <c r="D514" s="279"/>
      <c r="E514" s="234"/>
      <c r="F514" s="368"/>
      <c r="G514" s="279"/>
      <c r="I514" s="368"/>
      <c r="J514" s="279"/>
      <c r="L514" s="368"/>
      <c r="M514" s="279"/>
      <c r="O514" s="368"/>
      <c r="P514" s="279"/>
      <c r="R514" s="368"/>
      <c r="S514" s="279"/>
      <c r="U514" s="368"/>
      <c r="V514" s="279"/>
      <c r="W514" s="234"/>
      <c r="Y514" s="368"/>
      <c r="Z514" s="369"/>
      <c r="AA514" s="370"/>
    </row>
    <row r="515" spans="2:27" s="272" customFormat="1">
      <c r="B515" s="234"/>
      <c r="C515" s="368"/>
      <c r="D515" s="279"/>
      <c r="E515" s="234"/>
      <c r="F515" s="368"/>
      <c r="G515" s="279"/>
      <c r="I515" s="368"/>
      <c r="J515" s="279"/>
      <c r="L515" s="368"/>
      <c r="M515" s="279"/>
      <c r="O515" s="368"/>
      <c r="P515" s="279"/>
      <c r="R515" s="368"/>
      <c r="S515" s="279"/>
      <c r="U515" s="368"/>
      <c r="V515" s="279"/>
      <c r="W515" s="234"/>
      <c r="Y515" s="368"/>
      <c r="Z515" s="369"/>
      <c r="AA515" s="370"/>
    </row>
    <row r="516" spans="2:27" s="272" customFormat="1">
      <c r="B516" s="234"/>
      <c r="C516" s="368"/>
      <c r="D516" s="279"/>
      <c r="E516" s="234"/>
      <c r="F516" s="368"/>
      <c r="G516" s="279"/>
      <c r="I516" s="368"/>
      <c r="J516" s="279"/>
      <c r="L516" s="368"/>
      <c r="M516" s="279"/>
      <c r="O516" s="368"/>
      <c r="P516" s="279"/>
      <c r="R516" s="368"/>
      <c r="S516" s="279"/>
      <c r="U516" s="368"/>
      <c r="V516" s="279"/>
      <c r="W516" s="234"/>
      <c r="Y516" s="368"/>
      <c r="Z516" s="369"/>
      <c r="AA516" s="370"/>
    </row>
    <row r="517" spans="2:27" s="272" customFormat="1">
      <c r="B517" s="234"/>
      <c r="C517" s="368"/>
      <c r="D517" s="279"/>
      <c r="E517" s="234"/>
      <c r="F517" s="368"/>
      <c r="G517" s="279"/>
      <c r="I517" s="368"/>
      <c r="J517" s="279"/>
      <c r="L517" s="368"/>
      <c r="M517" s="279"/>
      <c r="O517" s="368"/>
      <c r="P517" s="279"/>
      <c r="R517" s="368"/>
      <c r="S517" s="279"/>
      <c r="U517" s="368"/>
      <c r="V517" s="279"/>
      <c r="W517" s="234"/>
      <c r="Y517" s="368"/>
      <c r="Z517" s="369"/>
      <c r="AA517" s="370"/>
    </row>
    <row r="518" spans="2:27" s="272" customFormat="1">
      <c r="B518" s="234"/>
      <c r="C518" s="368"/>
      <c r="D518" s="279"/>
      <c r="E518" s="234"/>
      <c r="F518" s="368"/>
      <c r="G518" s="279"/>
      <c r="I518" s="368"/>
      <c r="J518" s="279"/>
      <c r="L518" s="368"/>
      <c r="M518" s="279"/>
      <c r="O518" s="368"/>
      <c r="P518" s="279"/>
      <c r="R518" s="368"/>
      <c r="S518" s="279"/>
      <c r="U518" s="368"/>
      <c r="V518" s="279"/>
      <c r="W518" s="234"/>
      <c r="Y518" s="368"/>
      <c r="Z518" s="369"/>
      <c r="AA518" s="370"/>
    </row>
    <row r="519" spans="2:27" s="272" customFormat="1">
      <c r="B519" s="234"/>
      <c r="C519" s="368"/>
      <c r="D519" s="279"/>
      <c r="E519" s="234"/>
      <c r="F519" s="368"/>
      <c r="G519" s="279"/>
      <c r="I519" s="368"/>
      <c r="J519" s="279"/>
      <c r="L519" s="368"/>
      <c r="M519" s="279"/>
      <c r="O519" s="368"/>
      <c r="P519" s="279"/>
      <c r="R519" s="368"/>
      <c r="S519" s="279"/>
      <c r="U519" s="368"/>
      <c r="V519" s="279"/>
      <c r="W519" s="234"/>
      <c r="Y519" s="368"/>
      <c r="Z519" s="369"/>
      <c r="AA519" s="370"/>
    </row>
    <row r="520" spans="2:27" s="272" customFormat="1">
      <c r="B520" s="234"/>
      <c r="C520" s="368"/>
      <c r="D520" s="279"/>
      <c r="E520" s="234"/>
      <c r="F520" s="368"/>
      <c r="G520" s="279"/>
      <c r="I520" s="368"/>
      <c r="J520" s="279"/>
      <c r="L520" s="368"/>
      <c r="M520" s="279"/>
      <c r="O520" s="368"/>
      <c r="P520" s="279"/>
      <c r="R520" s="368"/>
      <c r="S520" s="279"/>
      <c r="U520" s="368"/>
      <c r="V520" s="279"/>
      <c r="W520" s="234"/>
      <c r="Y520" s="368"/>
      <c r="Z520" s="369"/>
      <c r="AA520" s="370"/>
    </row>
    <row r="521" spans="2:27" s="272" customFormat="1">
      <c r="B521" s="234"/>
      <c r="C521" s="368"/>
      <c r="D521" s="279"/>
      <c r="E521" s="234"/>
      <c r="F521" s="368"/>
      <c r="G521" s="279"/>
      <c r="I521" s="368"/>
      <c r="J521" s="279"/>
      <c r="L521" s="368"/>
      <c r="M521" s="279"/>
      <c r="O521" s="368"/>
      <c r="P521" s="279"/>
      <c r="R521" s="368"/>
      <c r="S521" s="279"/>
      <c r="U521" s="368"/>
      <c r="V521" s="279"/>
      <c r="W521" s="234"/>
      <c r="Y521" s="368"/>
      <c r="Z521" s="369"/>
      <c r="AA521" s="370"/>
    </row>
    <row r="522" spans="2:27" s="272" customFormat="1">
      <c r="B522" s="234"/>
      <c r="C522" s="368"/>
      <c r="D522" s="279"/>
      <c r="E522" s="234"/>
      <c r="F522" s="368"/>
      <c r="G522" s="279"/>
      <c r="I522" s="368"/>
      <c r="J522" s="279"/>
      <c r="L522" s="368"/>
      <c r="M522" s="279"/>
      <c r="O522" s="368"/>
      <c r="P522" s="279"/>
      <c r="R522" s="368"/>
      <c r="S522" s="279"/>
      <c r="U522" s="368"/>
      <c r="V522" s="279"/>
      <c r="W522" s="234"/>
      <c r="Y522" s="368"/>
      <c r="Z522" s="369"/>
      <c r="AA522" s="370"/>
    </row>
    <row r="523" spans="2:27" s="272" customFormat="1">
      <c r="B523" s="234"/>
      <c r="C523" s="368"/>
      <c r="D523" s="279"/>
      <c r="E523" s="234"/>
      <c r="F523" s="368"/>
      <c r="G523" s="279"/>
      <c r="I523" s="368"/>
      <c r="J523" s="279"/>
      <c r="L523" s="368"/>
      <c r="M523" s="279"/>
      <c r="O523" s="368"/>
      <c r="P523" s="279"/>
      <c r="R523" s="368"/>
      <c r="S523" s="279"/>
      <c r="U523" s="368"/>
      <c r="V523" s="279"/>
      <c r="W523" s="234"/>
      <c r="Y523" s="368"/>
      <c r="Z523" s="369"/>
      <c r="AA523" s="370"/>
    </row>
    <row r="524" spans="2:27" s="272" customFormat="1">
      <c r="B524" s="234"/>
      <c r="C524" s="368"/>
      <c r="D524" s="279"/>
      <c r="E524" s="234"/>
      <c r="F524" s="368"/>
      <c r="G524" s="279"/>
      <c r="I524" s="368"/>
      <c r="J524" s="279"/>
      <c r="L524" s="368"/>
      <c r="M524" s="279"/>
      <c r="O524" s="368"/>
      <c r="P524" s="279"/>
      <c r="R524" s="368"/>
      <c r="S524" s="279"/>
      <c r="U524" s="368"/>
      <c r="V524" s="279"/>
      <c r="W524" s="234"/>
      <c r="Y524" s="368"/>
      <c r="Z524" s="369"/>
      <c r="AA524" s="370"/>
    </row>
    <row r="525" spans="2:27" s="272" customFormat="1">
      <c r="B525" s="234"/>
      <c r="C525" s="368"/>
      <c r="D525" s="279"/>
      <c r="E525" s="234"/>
      <c r="F525" s="368"/>
      <c r="G525" s="279"/>
      <c r="I525" s="368"/>
      <c r="J525" s="279"/>
      <c r="L525" s="368"/>
      <c r="M525" s="279"/>
      <c r="O525" s="368"/>
      <c r="P525" s="279"/>
      <c r="R525" s="368"/>
      <c r="S525" s="279"/>
      <c r="U525" s="368"/>
      <c r="V525" s="279"/>
      <c r="W525" s="234"/>
      <c r="Y525" s="368"/>
      <c r="Z525" s="369"/>
      <c r="AA525" s="370"/>
    </row>
    <row r="526" spans="2:27" s="272" customFormat="1">
      <c r="B526" s="234"/>
      <c r="C526" s="368"/>
      <c r="D526" s="279"/>
      <c r="E526" s="234"/>
      <c r="F526" s="368"/>
      <c r="G526" s="279"/>
      <c r="I526" s="368"/>
      <c r="J526" s="279"/>
      <c r="L526" s="368"/>
      <c r="M526" s="279"/>
      <c r="O526" s="368"/>
      <c r="P526" s="279"/>
      <c r="R526" s="368"/>
      <c r="S526" s="279"/>
      <c r="U526" s="368"/>
      <c r="V526" s="279"/>
      <c r="W526" s="234"/>
      <c r="Y526" s="368"/>
      <c r="Z526" s="369"/>
      <c r="AA526" s="370"/>
    </row>
    <row r="527" spans="2:27" s="272" customFormat="1">
      <c r="B527" s="234"/>
      <c r="C527" s="368"/>
      <c r="D527" s="279"/>
      <c r="E527" s="234"/>
      <c r="F527" s="368"/>
      <c r="G527" s="279"/>
      <c r="I527" s="368"/>
      <c r="J527" s="279"/>
      <c r="L527" s="368"/>
      <c r="M527" s="279"/>
      <c r="O527" s="368"/>
      <c r="P527" s="279"/>
      <c r="R527" s="368"/>
      <c r="S527" s="279"/>
      <c r="U527" s="368"/>
      <c r="V527" s="279"/>
      <c r="W527" s="234"/>
      <c r="Y527" s="368"/>
      <c r="Z527" s="369"/>
      <c r="AA527" s="370"/>
    </row>
    <row r="528" spans="2:27" s="272" customFormat="1">
      <c r="B528" s="234"/>
      <c r="C528" s="368"/>
      <c r="D528" s="279"/>
      <c r="E528" s="234"/>
      <c r="F528" s="368"/>
      <c r="G528" s="279"/>
      <c r="I528" s="368"/>
      <c r="J528" s="279"/>
      <c r="L528" s="368"/>
      <c r="M528" s="279"/>
      <c r="O528" s="368"/>
      <c r="P528" s="279"/>
      <c r="R528" s="368"/>
      <c r="S528" s="279"/>
      <c r="U528" s="368"/>
      <c r="V528" s="279"/>
      <c r="W528" s="234"/>
      <c r="Y528" s="368"/>
      <c r="Z528" s="369"/>
      <c r="AA528" s="370"/>
    </row>
    <row r="529" spans="2:27" s="272" customFormat="1">
      <c r="B529" s="234"/>
      <c r="C529" s="368"/>
      <c r="D529" s="279"/>
      <c r="E529" s="234"/>
      <c r="F529" s="368"/>
      <c r="G529" s="279"/>
      <c r="I529" s="368"/>
      <c r="J529" s="279"/>
      <c r="L529" s="368"/>
      <c r="M529" s="279"/>
      <c r="O529" s="368"/>
      <c r="P529" s="279"/>
      <c r="R529" s="368"/>
      <c r="S529" s="279"/>
      <c r="U529" s="368"/>
      <c r="V529" s="279"/>
      <c r="W529" s="234"/>
      <c r="Y529" s="368"/>
      <c r="Z529" s="369"/>
      <c r="AA529" s="370"/>
    </row>
    <row r="530" spans="2:27" s="272" customFormat="1">
      <c r="B530" s="234"/>
      <c r="C530" s="368"/>
      <c r="D530" s="279"/>
      <c r="E530" s="234"/>
      <c r="F530" s="368"/>
      <c r="G530" s="279"/>
      <c r="I530" s="368"/>
      <c r="J530" s="279"/>
      <c r="L530" s="368"/>
      <c r="M530" s="279"/>
      <c r="O530" s="368"/>
      <c r="P530" s="279"/>
      <c r="R530" s="368"/>
      <c r="S530" s="279"/>
      <c r="U530" s="368"/>
      <c r="V530" s="279"/>
      <c r="W530" s="234"/>
      <c r="Y530" s="368"/>
      <c r="Z530" s="369"/>
      <c r="AA530" s="370"/>
    </row>
    <row r="531" spans="2:27" s="272" customFormat="1">
      <c r="B531" s="234"/>
      <c r="C531" s="368"/>
      <c r="D531" s="279"/>
      <c r="E531" s="234"/>
      <c r="F531" s="368"/>
      <c r="G531" s="279"/>
      <c r="I531" s="368"/>
      <c r="J531" s="279"/>
      <c r="L531" s="368"/>
      <c r="M531" s="279"/>
      <c r="O531" s="368"/>
      <c r="P531" s="279"/>
      <c r="R531" s="368"/>
      <c r="S531" s="279"/>
      <c r="U531" s="368"/>
      <c r="V531" s="279"/>
      <c r="W531" s="234"/>
      <c r="Y531" s="368"/>
      <c r="Z531" s="369"/>
      <c r="AA531" s="370"/>
    </row>
    <row r="532" spans="2:27" s="272" customFormat="1">
      <c r="B532" s="234"/>
      <c r="C532" s="368"/>
      <c r="D532" s="279"/>
      <c r="E532" s="234"/>
      <c r="F532" s="368"/>
      <c r="G532" s="279"/>
      <c r="I532" s="368"/>
      <c r="J532" s="279"/>
      <c r="L532" s="368"/>
      <c r="M532" s="279"/>
      <c r="O532" s="368"/>
      <c r="P532" s="279"/>
      <c r="R532" s="368"/>
      <c r="S532" s="279"/>
      <c r="U532" s="368"/>
      <c r="V532" s="279"/>
      <c r="W532" s="234"/>
      <c r="Y532" s="368"/>
      <c r="Z532" s="369"/>
      <c r="AA532" s="370"/>
    </row>
    <row r="533" spans="2:27" s="272" customFormat="1">
      <c r="B533" s="234"/>
      <c r="C533" s="368"/>
      <c r="D533" s="279"/>
      <c r="E533" s="234"/>
      <c r="F533" s="368"/>
      <c r="G533" s="279"/>
      <c r="I533" s="368"/>
      <c r="J533" s="279"/>
      <c r="L533" s="368"/>
      <c r="M533" s="279"/>
      <c r="O533" s="368"/>
      <c r="P533" s="279"/>
      <c r="R533" s="368"/>
      <c r="S533" s="279"/>
      <c r="U533" s="368"/>
      <c r="V533" s="279"/>
      <c r="W533" s="234"/>
      <c r="Y533" s="368"/>
      <c r="Z533" s="369"/>
      <c r="AA533" s="370"/>
    </row>
    <row r="534" spans="2:27" s="272" customFormat="1">
      <c r="B534" s="234"/>
      <c r="C534" s="368"/>
      <c r="D534" s="279"/>
      <c r="E534" s="234"/>
      <c r="F534" s="368"/>
      <c r="G534" s="279"/>
      <c r="I534" s="368"/>
      <c r="J534" s="279"/>
      <c r="L534" s="368"/>
      <c r="M534" s="279"/>
      <c r="O534" s="368"/>
      <c r="P534" s="279"/>
      <c r="R534" s="368"/>
      <c r="S534" s="279"/>
      <c r="U534" s="368"/>
      <c r="V534" s="279"/>
      <c r="W534" s="234"/>
      <c r="Y534" s="368"/>
      <c r="Z534" s="369"/>
      <c r="AA534" s="370"/>
    </row>
    <row r="535" spans="2:27" s="272" customFormat="1">
      <c r="B535" s="234"/>
      <c r="C535" s="368"/>
      <c r="D535" s="279"/>
      <c r="E535" s="234"/>
      <c r="F535" s="368"/>
      <c r="G535" s="279"/>
      <c r="I535" s="368"/>
      <c r="J535" s="279"/>
      <c r="L535" s="368"/>
      <c r="M535" s="279"/>
      <c r="O535" s="368"/>
      <c r="P535" s="279"/>
      <c r="R535" s="368"/>
      <c r="S535" s="279"/>
      <c r="U535" s="368"/>
      <c r="V535" s="279"/>
      <c r="W535" s="234"/>
      <c r="Y535" s="368"/>
      <c r="Z535" s="369"/>
      <c r="AA535" s="370"/>
    </row>
    <row r="536" spans="2:27" s="272" customFormat="1">
      <c r="B536" s="234"/>
      <c r="C536" s="368"/>
      <c r="D536" s="279"/>
      <c r="E536" s="234"/>
      <c r="F536" s="368"/>
      <c r="G536" s="279"/>
      <c r="I536" s="368"/>
      <c r="J536" s="279"/>
      <c r="L536" s="368"/>
      <c r="M536" s="279"/>
      <c r="O536" s="368"/>
      <c r="P536" s="279"/>
      <c r="R536" s="368"/>
      <c r="S536" s="279"/>
      <c r="U536" s="368"/>
      <c r="V536" s="279"/>
      <c r="W536" s="234"/>
      <c r="Y536" s="368"/>
      <c r="Z536" s="369"/>
      <c r="AA536" s="370"/>
    </row>
    <row r="537" spans="2:27" s="272" customFormat="1">
      <c r="B537" s="234"/>
      <c r="C537" s="368"/>
      <c r="D537" s="279"/>
      <c r="E537" s="234"/>
      <c r="F537" s="368"/>
      <c r="G537" s="279"/>
      <c r="I537" s="368"/>
      <c r="J537" s="279"/>
      <c r="L537" s="368"/>
      <c r="M537" s="279"/>
      <c r="O537" s="368"/>
      <c r="P537" s="279"/>
      <c r="R537" s="368"/>
      <c r="S537" s="279"/>
      <c r="U537" s="368"/>
      <c r="V537" s="279"/>
      <c r="W537" s="234"/>
      <c r="Y537" s="368"/>
      <c r="Z537" s="369"/>
      <c r="AA537" s="370"/>
    </row>
    <row r="538" spans="2:27" s="272" customFormat="1">
      <c r="B538" s="234"/>
      <c r="C538" s="368"/>
      <c r="D538" s="279"/>
      <c r="E538" s="234"/>
      <c r="F538" s="368"/>
      <c r="G538" s="279"/>
      <c r="I538" s="368"/>
      <c r="J538" s="279"/>
      <c r="L538" s="368"/>
      <c r="M538" s="279"/>
      <c r="O538" s="368"/>
      <c r="P538" s="279"/>
      <c r="R538" s="368"/>
      <c r="S538" s="279"/>
      <c r="U538" s="368"/>
      <c r="V538" s="279"/>
      <c r="W538" s="234"/>
      <c r="Y538" s="368"/>
      <c r="Z538" s="369"/>
      <c r="AA538" s="370"/>
    </row>
    <row r="539" spans="2:27" s="272" customFormat="1">
      <c r="B539" s="234"/>
      <c r="C539" s="368"/>
      <c r="D539" s="279"/>
      <c r="E539" s="234"/>
      <c r="F539" s="368"/>
      <c r="G539" s="279"/>
      <c r="I539" s="368"/>
      <c r="J539" s="279"/>
      <c r="L539" s="368"/>
      <c r="M539" s="279"/>
      <c r="O539" s="368"/>
      <c r="P539" s="279"/>
      <c r="R539" s="368"/>
      <c r="S539" s="279"/>
      <c r="U539" s="368"/>
      <c r="V539" s="279"/>
      <c r="W539" s="234"/>
      <c r="Y539" s="368"/>
      <c r="Z539" s="369"/>
      <c r="AA539" s="370"/>
    </row>
    <row r="540" spans="2:27" s="272" customFormat="1">
      <c r="B540" s="234"/>
      <c r="C540" s="368"/>
      <c r="D540" s="279"/>
      <c r="E540" s="234"/>
      <c r="F540" s="368"/>
      <c r="G540" s="279"/>
      <c r="I540" s="368"/>
      <c r="J540" s="279"/>
      <c r="L540" s="368"/>
      <c r="M540" s="279"/>
      <c r="O540" s="368"/>
      <c r="P540" s="279"/>
      <c r="R540" s="368"/>
      <c r="S540" s="279"/>
      <c r="U540" s="368"/>
      <c r="V540" s="279"/>
      <c r="W540" s="234"/>
      <c r="Y540" s="368"/>
      <c r="Z540" s="369"/>
      <c r="AA540" s="370"/>
    </row>
    <row r="541" spans="2:27" s="272" customFormat="1">
      <c r="B541" s="234"/>
      <c r="C541" s="368"/>
      <c r="D541" s="279"/>
      <c r="E541" s="234"/>
      <c r="F541" s="368"/>
      <c r="G541" s="279"/>
      <c r="I541" s="368"/>
      <c r="J541" s="279"/>
      <c r="L541" s="368"/>
      <c r="M541" s="279"/>
      <c r="O541" s="368"/>
      <c r="P541" s="279"/>
      <c r="R541" s="368"/>
      <c r="S541" s="279"/>
      <c r="U541" s="368"/>
      <c r="V541" s="279"/>
      <c r="W541" s="234"/>
      <c r="Y541" s="368"/>
      <c r="Z541" s="369"/>
      <c r="AA541" s="370"/>
    </row>
    <row r="542" spans="2:27" s="272" customFormat="1">
      <c r="B542" s="234"/>
      <c r="C542" s="368"/>
      <c r="D542" s="279"/>
      <c r="E542" s="234"/>
      <c r="F542" s="368"/>
      <c r="G542" s="279"/>
      <c r="I542" s="368"/>
      <c r="J542" s="279"/>
      <c r="L542" s="368"/>
      <c r="M542" s="279"/>
      <c r="O542" s="368"/>
      <c r="P542" s="279"/>
      <c r="R542" s="368"/>
      <c r="S542" s="279"/>
      <c r="U542" s="368"/>
      <c r="V542" s="279"/>
      <c r="W542" s="234"/>
      <c r="Y542" s="368"/>
      <c r="Z542" s="369"/>
      <c r="AA542" s="370"/>
    </row>
    <row r="543" spans="2:27" s="272" customFormat="1">
      <c r="B543" s="234"/>
      <c r="C543" s="368"/>
      <c r="D543" s="279"/>
      <c r="E543" s="234"/>
      <c r="F543" s="368"/>
      <c r="G543" s="279"/>
      <c r="I543" s="368"/>
      <c r="J543" s="279"/>
      <c r="L543" s="368"/>
      <c r="M543" s="279"/>
      <c r="O543" s="368"/>
      <c r="P543" s="279"/>
      <c r="R543" s="368"/>
      <c r="S543" s="279"/>
      <c r="U543" s="368"/>
      <c r="V543" s="279"/>
      <c r="W543" s="234"/>
      <c r="Y543" s="368"/>
      <c r="Z543" s="369"/>
      <c r="AA543" s="370"/>
    </row>
    <row r="544" spans="2:27" s="272" customFormat="1">
      <c r="B544" s="234"/>
      <c r="C544" s="368"/>
      <c r="D544" s="279"/>
      <c r="E544" s="234"/>
      <c r="F544" s="368"/>
      <c r="G544" s="279"/>
      <c r="I544" s="368"/>
      <c r="J544" s="279"/>
      <c r="L544" s="368"/>
      <c r="M544" s="279"/>
      <c r="O544" s="368"/>
      <c r="P544" s="279"/>
      <c r="R544" s="368"/>
      <c r="S544" s="279"/>
      <c r="U544" s="368"/>
      <c r="V544" s="279"/>
      <c r="W544" s="234"/>
      <c r="Y544" s="368"/>
      <c r="Z544" s="369"/>
      <c r="AA544" s="370"/>
    </row>
    <row r="545" spans="2:27" s="272" customFormat="1">
      <c r="B545" s="234"/>
      <c r="C545" s="368"/>
      <c r="D545" s="279"/>
      <c r="E545" s="234"/>
      <c r="F545" s="368"/>
      <c r="G545" s="279"/>
      <c r="I545" s="368"/>
      <c r="J545" s="279"/>
      <c r="L545" s="368"/>
      <c r="M545" s="279"/>
      <c r="O545" s="368"/>
      <c r="P545" s="279"/>
      <c r="R545" s="368"/>
      <c r="S545" s="279"/>
      <c r="U545" s="368"/>
      <c r="V545" s="279"/>
      <c r="W545" s="234"/>
      <c r="Y545" s="368"/>
      <c r="Z545" s="369"/>
      <c r="AA545" s="370"/>
    </row>
    <row r="546" spans="2:27" s="272" customFormat="1">
      <c r="B546" s="234"/>
      <c r="C546" s="368"/>
      <c r="D546" s="279"/>
      <c r="E546" s="234"/>
      <c r="F546" s="368"/>
      <c r="G546" s="279"/>
      <c r="I546" s="368"/>
      <c r="J546" s="279"/>
      <c r="L546" s="368"/>
      <c r="M546" s="279"/>
      <c r="O546" s="368"/>
      <c r="P546" s="279"/>
      <c r="R546" s="368"/>
      <c r="S546" s="279"/>
      <c r="U546" s="368"/>
      <c r="V546" s="279"/>
      <c r="W546" s="234"/>
      <c r="Y546" s="368"/>
      <c r="Z546" s="369"/>
      <c r="AA546" s="370"/>
    </row>
    <row r="547" spans="2:27" s="272" customFormat="1">
      <c r="B547" s="234"/>
      <c r="C547" s="368"/>
      <c r="D547" s="279"/>
      <c r="E547" s="234"/>
      <c r="F547" s="368"/>
      <c r="G547" s="279"/>
      <c r="I547" s="368"/>
      <c r="J547" s="279"/>
      <c r="L547" s="368"/>
      <c r="M547" s="279"/>
      <c r="O547" s="368"/>
      <c r="P547" s="279"/>
      <c r="R547" s="368"/>
      <c r="S547" s="279"/>
      <c r="U547" s="368"/>
      <c r="V547" s="279"/>
      <c r="W547" s="234"/>
      <c r="Y547" s="368"/>
      <c r="Z547" s="369"/>
      <c r="AA547" s="370"/>
    </row>
    <row r="548" spans="2:27" s="272" customFormat="1">
      <c r="B548" s="234"/>
      <c r="C548" s="368"/>
      <c r="D548" s="279"/>
      <c r="E548" s="234"/>
      <c r="F548" s="368"/>
      <c r="G548" s="279"/>
      <c r="I548" s="368"/>
      <c r="J548" s="279"/>
      <c r="L548" s="368"/>
      <c r="M548" s="279"/>
      <c r="O548" s="368"/>
      <c r="P548" s="279"/>
      <c r="R548" s="368"/>
      <c r="S548" s="279"/>
      <c r="U548" s="368"/>
      <c r="V548" s="279"/>
      <c r="W548" s="234"/>
      <c r="Y548" s="368"/>
      <c r="Z548" s="369"/>
      <c r="AA548" s="370"/>
    </row>
    <row r="549" spans="2:27" s="272" customFormat="1">
      <c r="B549" s="234"/>
      <c r="C549" s="368"/>
      <c r="D549" s="279"/>
      <c r="E549" s="234"/>
      <c r="F549" s="368"/>
      <c r="G549" s="279"/>
      <c r="I549" s="368"/>
      <c r="J549" s="279"/>
      <c r="L549" s="368"/>
      <c r="M549" s="279"/>
      <c r="O549" s="368"/>
      <c r="P549" s="279"/>
      <c r="R549" s="368"/>
      <c r="S549" s="279"/>
      <c r="U549" s="368"/>
      <c r="V549" s="279"/>
      <c r="W549" s="234"/>
      <c r="Y549" s="368"/>
      <c r="Z549" s="369"/>
      <c r="AA549" s="370"/>
    </row>
    <row r="550" spans="2:27" s="272" customFormat="1">
      <c r="B550" s="234"/>
      <c r="C550" s="368"/>
      <c r="D550" s="279"/>
      <c r="E550" s="234"/>
      <c r="F550" s="368"/>
      <c r="G550" s="279"/>
      <c r="I550" s="368"/>
      <c r="J550" s="279"/>
      <c r="L550" s="368"/>
      <c r="M550" s="279"/>
      <c r="O550" s="368"/>
      <c r="P550" s="279"/>
      <c r="R550" s="368"/>
      <c r="S550" s="279"/>
      <c r="U550" s="368"/>
      <c r="V550" s="279"/>
      <c r="W550" s="234"/>
      <c r="Y550" s="368"/>
      <c r="Z550" s="369"/>
      <c r="AA550" s="370"/>
    </row>
    <row r="551" spans="2:27" s="272" customFormat="1">
      <c r="B551" s="234"/>
      <c r="C551" s="368"/>
      <c r="D551" s="279"/>
      <c r="E551" s="234"/>
      <c r="F551" s="368"/>
      <c r="G551" s="279"/>
      <c r="I551" s="368"/>
      <c r="J551" s="279"/>
      <c r="L551" s="368"/>
      <c r="M551" s="279"/>
      <c r="O551" s="368"/>
      <c r="P551" s="279"/>
      <c r="R551" s="368"/>
      <c r="S551" s="279"/>
      <c r="U551" s="368"/>
      <c r="V551" s="279"/>
      <c r="W551" s="234"/>
      <c r="Y551" s="368"/>
      <c r="Z551" s="369"/>
      <c r="AA551" s="370"/>
    </row>
    <row r="552" spans="2:27" s="272" customFormat="1">
      <c r="B552" s="234"/>
      <c r="C552" s="368"/>
      <c r="D552" s="279"/>
      <c r="E552" s="234"/>
      <c r="F552" s="368"/>
      <c r="G552" s="279"/>
      <c r="I552" s="368"/>
      <c r="J552" s="279"/>
      <c r="L552" s="368"/>
      <c r="M552" s="279"/>
      <c r="O552" s="368"/>
      <c r="P552" s="279"/>
      <c r="R552" s="368"/>
      <c r="S552" s="279"/>
      <c r="U552" s="368"/>
      <c r="V552" s="279"/>
      <c r="W552" s="234"/>
      <c r="Y552" s="368"/>
      <c r="Z552" s="369"/>
      <c r="AA552" s="370"/>
    </row>
    <row r="553" spans="2:27" s="272" customFormat="1">
      <c r="B553" s="234"/>
      <c r="C553" s="368"/>
      <c r="D553" s="279"/>
      <c r="E553" s="234"/>
      <c r="F553" s="368"/>
      <c r="G553" s="279"/>
      <c r="I553" s="368"/>
      <c r="J553" s="279"/>
      <c r="L553" s="368"/>
      <c r="M553" s="279"/>
      <c r="O553" s="368"/>
      <c r="P553" s="279"/>
      <c r="R553" s="368"/>
      <c r="S553" s="279"/>
      <c r="U553" s="368"/>
      <c r="V553" s="279"/>
      <c r="W553" s="234"/>
      <c r="Y553" s="368"/>
      <c r="Z553" s="369"/>
      <c r="AA553" s="370"/>
    </row>
    <row r="554" spans="2:27" s="272" customFormat="1">
      <c r="B554" s="234"/>
      <c r="C554" s="368"/>
      <c r="D554" s="279"/>
      <c r="E554" s="234"/>
      <c r="F554" s="368"/>
      <c r="G554" s="279"/>
      <c r="I554" s="368"/>
      <c r="J554" s="279"/>
      <c r="L554" s="368"/>
      <c r="M554" s="279"/>
      <c r="O554" s="368"/>
      <c r="P554" s="279"/>
      <c r="R554" s="368"/>
      <c r="S554" s="279"/>
      <c r="U554" s="368"/>
      <c r="V554" s="279"/>
      <c r="W554" s="234"/>
      <c r="Y554" s="368"/>
      <c r="Z554" s="369"/>
      <c r="AA554" s="370"/>
    </row>
    <row r="555" spans="2:27" s="272" customFormat="1">
      <c r="B555" s="234"/>
      <c r="C555" s="368"/>
      <c r="D555" s="279"/>
      <c r="E555" s="234"/>
      <c r="F555" s="368"/>
      <c r="G555" s="279"/>
      <c r="I555" s="368"/>
      <c r="J555" s="279"/>
      <c r="L555" s="368"/>
      <c r="M555" s="279"/>
      <c r="O555" s="368"/>
      <c r="P555" s="279"/>
      <c r="R555" s="368"/>
      <c r="S555" s="279"/>
      <c r="U555" s="368"/>
      <c r="V555" s="279"/>
      <c r="W555" s="234"/>
      <c r="Y555" s="368"/>
      <c r="Z555" s="369"/>
      <c r="AA555" s="370"/>
    </row>
    <row r="556" spans="2:27" s="272" customFormat="1">
      <c r="B556" s="234"/>
      <c r="C556" s="368"/>
      <c r="D556" s="279"/>
      <c r="E556" s="234"/>
      <c r="F556" s="368"/>
      <c r="G556" s="279"/>
      <c r="I556" s="368"/>
      <c r="J556" s="279"/>
      <c r="L556" s="368"/>
      <c r="M556" s="279"/>
      <c r="O556" s="368"/>
      <c r="P556" s="279"/>
      <c r="R556" s="368"/>
      <c r="S556" s="279"/>
      <c r="U556" s="368"/>
      <c r="V556" s="279"/>
      <c r="W556" s="234"/>
      <c r="Y556" s="368"/>
      <c r="Z556" s="369"/>
      <c r="AA556" s="370"/>
    </row>
    <row r="557" spans="2:27" s="272" customFormat="1">
      <c r="B557" s="234"/>
      <c r="C557" s="368"/>
      <c r="D557" s="279"/>
      <c r="E557" s="234"/>
      <c r="F557" s="368"/>
      <c r="G557" s="279"/>
      <c r="I557" s="368"/>
      <c r="J557" s="279"/>
      <c r="L557" s="368"/>
      <c r="M557" s="279"/>
      <c r="O557" s="368"/>
      <c r="P557" s="279"/>
      <c r="R557" s="368"/>
      <c r="S557" s="279"/>
      <c r="U557" s="368"/>
      <c r="V557" s="279"/>
      <c r="W557" s="234"/>
      <c r="Y557" s="368"/>
      <c r="Z557" s="369"/>
      <c r="AA557" s="370"/>
    </row>
    <row r="558" spans="2:27" s="272" customFormat="1">
      <c r="B558" s="234"/>
      <c r="C558" s="368"/>
      <c r="D558" s="279"/>
      <c r="E558" s="234"/>
      <c r="F558" s="368"/>
      <c r="G558" s="279"/>
      <c r="I558" s="368"/>
      <c r="J558" s="279"/>
      <c r="L558" s="368"/>
      <c r="M558" s="279"/>
      <c r="O558" s="368"/>
      <c r="P558" s="279"/>
      <c r="R558" s="368"/>
      <c r="S558" s="279"/>
      <c r="U558" s="368"/>
      <c r="V558" s="279"/>
      <c r="W558" s="234"/>
      <c r="Y558" s="368"/>
      <c r="Z558" s="369"/>
      <c r="AA558" s="370"/>
    </row>
    <row r="559" spans="2:27" s="272" customFormat="1">
      <c r="B559" s="234"/>
      <c r="C559" s="368"/>
      <c r="D559" s="279"/>
      <c r="E559" s="234"/>
      <c r="F559" s="368"/>
      <c r="G559" s="279"/>
      <c r="I559" s="368"/>
      <c r="J559" s="279"/>
      <c r="L559" s="368"/>
      <c r="M559" s="279"/>
      <c r="O559" s="368"/>
      <c r="P559" s="279"/>
      <c r="R559" s="368"/>
      <c r="S559" s="279"/>
      <c r="U559" s="368"/>
      <c r="V559" s="279"/>
      <c r="W559" s="234"/>
      <c r="Y559" s="368"/>
      <c r="Z559" s="369"/>
      <c r="AA559" s="370"/>
    </row>
    <row r="560" spans="2:27" s="272" customFormat="1">
      <c r="B560" s="234"/>
      <c r="C560" s="368"/>
      <c r="D560" s="279"/>
      <c r="E560" s="234"/>
      <c r="F560" s="368"/>
      <c r="G560" s="279"/>
      <c r="I560" s="368"/>
      <c r="J560" s="279"/>
      <c r="L560" s="368"/>
      <c r="M560" s="279"/>
      <c r="O560" s="368"/>
      <c r="P560" s="279"/>
      <c r="R560" s="368"/>
      <c r="S560" s="279"/>
      <c r="U560" s="368"/>
      <c r="V560" s="279"/>
      <c r="W560" s="234"/>
      <c r="Y560" s="368"/>
      <c r="Z560" s="369"/>
      <c r="AA560" s="370"/>
    </row>
    <row r="561" spans="2:27" s="272" customFormat="1">
      <c r="B561" s="234"/>
      <c r="C561" s="368"/>
      <c r="D561" s="279"/>
      <c r="E561" s="234"/>
      <c r="F561" s="368"/>
      <c r="G561" s="279"/>
      <c r="I561" s="368"/>
      <c r="J561" s="279"/>
      <c r="L561" s="368"/>
      <c r="M561" s="279"/>
      <c r="O561" s="368"/>
      <c r="P561" s="279"/>
      <c r="R561" s="368"/>
      <c r="S561" s="279"/>
      <c r="U561" s="368"/>
      <c r="V561" s="279"/>
      <c r="W561" s="234"/>
      <c r="Y561" s="368"/>
      <c r="Z561" s="369"/>
      <c r="AA561" s="370"/>
    </row>
    <row r="562" spans="2:27" s="272" customFormat="1">
      <c r="B562" s="234"/>
      <c r="C562" s="368"/>
      <c r="D562" s="279"/>
      <c r="E562" s="234"/>
      <c r="F562" s="368"/>
      <c r="G562" s="279"/>
      <c r="I562" s="368"/>
      <c r="J562" s="279"/>
      <c r="L562" s="368"/>
      <c r="M562" s="279"/>
      <c r="O562" s="368"/>
      <c r="P562" s="279"/>
      <c r="R562" s="368"/>
      <c r="S562" s="279"/>
      <c r="U562" s="368"/>
      <c r="V562" s="279"/>
      <c r="W562" s="234"/>
      <c r="Y562" s="368"/>
      <c r="Z562" s="369"/>
      <c r="AA562" s="370"/>
    </row>
    <row r="563" spans="2:27" s="272" customFormat="1">
      <c r="B563" s="234"/>
      <c r="C563" s="368"/>
      <c r="D563" s="279"/>
      <c r="E563" s="234"/>
      <c r="F563" s="368"/>
      <c r="G563" s="279"/>
      <c r="I563" s="368"/>
      <c r="J563" s="279"/>
      <c r="L563" s="368"/>
      <c r="M563" s="279"/>
      <c r="O563" s="368"/>
      <c r="P563" s="279"/>
      <c r="R563" s="368"/>
      <c r="S563" s="279"/>
      <c r="U563" s="368"/>
      <c r="V563" s="279"/>
      <c r="W563" s="234"/>
      <c r="Y563" s="368"/>
      <c r="Z563" s="369"/>
      <c r="AA563" s="370"/>
    </row>
    <row r="564" spans="2:27" s="272" customFormat="1">
      <c r="B564" s="234"/>
      <c r="C564" s="368"/>
      <c r="D564" s="279"/>
      <c r="E564" s="234"/>
      <c r="F564" s="368"/>
      <c r="G564" s="279"/>
      <c r="I564" s="368"/>
      <c r="J564" s="279"/>
      <c r="L564" s="368"/>
      <c r="M564" s="279"/>
      <c r="O564" s="368"/>
      <c r="P564" s="279"/>
      <c r="R564" s="368"/>
      <c r="S564" s="279"/>
      <c r="U564" s="368"/>
      <c r="V564" s="279"/>
      <c r="W564" s="234"/>
      <c r="Y564" s="368"/>
      <c r="Z564" s="369"/>
      <c r="AA564" s="370"/>
    </row>
    <row r="565" spans="2:27" s="272" customFormat="1">
      <c r="B565" s="234"/>
      <c r="C565" s="368"/>
      <c r="D565" s="279"/>
      <c r="E565" s="234"/>
      <c r="F565" s="368"/>
      <c r="G565" s="279"/>
      <c r="I565" s="368"/>
      <c r="J565" s="279"/>
      <c r="L565" s="368"/>
      <c r="M565" s="279"/>
      <c r="O565" s="368"/>
      <c r="P565" s="279"/>
      <c r="R565" s="368"/>
      <c r="S565" s="279"/>
      <c r="U565" s="368"/>
      <c r="V565" s="279"/>
      <c r="W565" s="234"/>
      <c r="Y565" s="368"/>
      <c r="Z565" s="369"/>
      <c r="AA565" s="370"/>
    </row>
    <row r="566" spans="2:27" s="272" customFormat="1">
      <c r="B566" s="234"/>
      <c r="C566" s="368"/>
      <c r="D566" s="279"/>
      <c r="E566" s="234"/>
      <c r="F566" s="368"/>
      <c r="G566" s="279"/>
      <c r="I566" s="368"/>
      <c r="J566" s="279"/>
      <c r="L566" s="368"/>
      <c r="M566" s="279"/>
      <c r="O566" s="368"/>
      <c r="P566" s="279"/>
      <c r="R566" s="368"/>
      <c r="S566" s="279"/>
      <c r="U566" s="368"/>
      <c r="V566" s="279"/>
      <c r="W566" s="234"/>
      <c r="Y566" s="368"/>
      <c r="Z566" s="369"/>
      <c r="AA566" s="370"/>
    </row>
    <row r="567" spans="2:27" s="272" customFormat="1">
      <c r="B567" s="234"/>
      <c r="C567" s="368"/>
      <c r="D567" s="279"/>
      <c r="E567" s="234"/>
      <c r="F567" s="368"/>
      <c r="G567" s="279"/>
      <c r="I567" s="368"/>
      <c r="J567" s="279"/>
      <c r="L567" s="368"/>
      <c r="M567" s="279"/>
      <c r="O567" s="368"/>
      <c r="P567" s="279"/>
      <c r="R567" s="368"/>
      <c r="S567" s="279"/>
      <c r="U567" s="368"/>
      <c r="V567" s="279"/>
      <c r="W567" s="234"/>
      <c r="Y567" s="368"/>
      <c r="Z567" s="369"/>
      <c r="AA567" s="370"/>
    </row>
    <row r="568" spans="2:27" s="272" customFormat="1">
      <c r="B568" s="234"/>
      <c r="C568" s="368"/>
      <c r="D568" s="279"/>
      <c r="E568" s="234"/>
      <c r="F568" s="368"/>
      <c r="G568" s="279"/>
      <c r="I568" s="368"/>
      <c r="J568" s="279"/>
      <c r="L568" s="368"/>
      <c r="M568" s="279"/>
      <c r="O568" s="368"/>
      <c r="P568" s="279"/>
      <c r="R568" s="368"/>
      <c r="S568" s="279"/>
      <c r="U568" s="368"/>
      <c r="V568" s="279"/>
      <c r="W568" s="234"/>
      <c r="Y568" s="368"/>
      <c r="Z568" s="369"/>
      <c r="AA568" s="370"/>
    </row>
    <row r="569" spans="2:27" s="272" customFormat="1">
      <c r="B569" s="234"/>
      <c r="C569" s="368"/>
      <c r="D569" s="279"/>
      <c r="E569" s="234"/>
      <c r="F569" s="368"/>
      <c r="G569" s="279"/>
      <c r="I569" s="368"/>
      <c r="J569" s="279"/>
      <c r="L569" s="368"/>
      <c r="M569" s="279"/>
      <c r="O569" s="368"/>
      <c r="P569" s="279"/>
      <c r="R569" s="368"/>
      <c r="S569" s="279"/>
      <c r="U569" s="368"/>
      <c r="V569" s="279"/>
      <c r="W569" s="234"/>
      <c r="Y569" s="368"/>
      <c r="Z569" s="369"/>
      <c r="AA569" s="370"/>
    </row>
    <row r="570" spans="2:27" s="272" customFormat="1">
      <c r="B570" s="234"/>
      <c r="C570" s="368"/>
      <c r="D570" s="279"/>
      <c r="E570" s="234"/>
      <c r="F570" s="368"/>
      <c r="G570" s="279"/>
      <c r="I570" s="368"/>
      <c r="J570" s="279"/>
      <c r="L570" s="368"/>
      <c r="M570" s="279"/>
      <c r="O570" s="368"/>
      <c r="P570" s="279"/>
      <c r="R570" s="368"/>
      <c r="S570" s="279"/>
      <c r="U570" s="368"/>
      <c r="V570" s="279"/>
      <c r="W570" s="234"/>
      <c r="Y570" s="368"/>
      <c r="Z570" s="369"/>
      <c r="AA570" s="370"/>
    </row>
    <row r="571" spans="2:27" s="272" customFormat="1">
      <c r="B571" s="234"/>
      <c r="C571" s="368"/>
      <c r="D571" s="279"/>
      <c r="E571" s="234"/>
      <c r="F571" s="368"/>
      <c r="G571" s="279"/>
      <c r="I571" s="368"/>
      <c r="J571" s="279"/>
      <c r="L571" s="368"/>
      <c r="M571" s="279"/>
      <c r="O571" s="368"/>
      <c r="P571" s="279"/>
      <c r="R571" s="368"/>
      <c r="S571" s="279"/>
      <c r="U571" s="368"/>
      <c r="V571" s="279"/>
      <c r="W571" s="234"/>
      <c r="Y571" s="368"/>
      <c r="Z571" s="369"/>
      <c r="AA571" s="370"/>
    </row>
    <row r="572" spans="2:27" s="272" customFormat="1">
      <c r="B572" s="234"/>
      <c r="C572" s="368"/>
      <c r="D572" s="279"/>
      <c r="E572" s="234"/>
      <c r="F572" s="368"/>
      <c r="G572" s="279"/>
      <c r="I572" s="368"/>
      <c r="J572" s="279"/>
      <c r="L572" s="368"/>
      <c r="M572" s="279"/>
      <c r="O572" s="368"/>
      <c r="P572" s="279"/>
      <c r="R572" s="368"/>
      <c r="S572" s="279"/>
      <c r="U572" s="368"/>
      <c r="V572" s="279"/>
      <c r="W572" s="234"/>
      <c r="Y572" s="368"/>
      <c r="Z572" s="369"/>
      <c r="AA572" s="370"/>
    </row>
    <row r="573" spans="2:27" s="272" customFormat="1">
      <c r="B573" s="234"/>
      <c r="C573" s="368"/>
      <c r="D573" s="279"/>
      <c r="E573" s="234"/>
      <c r="F573" s="368"/>
      <c r="G573" s="279"/>
      <c r="I573" s="368"/>
      <c r="J573" s="279"/>
      <c r="L573" s="368"/>
      <c r="M573" s="279"/>
      <c r="O573" s="368"/>
      <c r="P573" s="279"/>
      <c r="R573" s="368"/>
      <c r="S573" s="279"/>
      <c r="U573" s="368"/>
      <c r="V573" s="279"/>
      <c r="W573" s="234"/>
      <c r="Y573" s="368"/>
      <c r="Z573" s="369"/>
      <c r="AA573" s="370"/>
    </row>
    <row r="574" spans="2:27" s="272" customFormat="1">
      <c r="B574" s="234"/>
      <c r="C574" s="368"/>
      <c r="D574" s="279"/>
      <c r="E574" s="234"/>
      <c r="F574" s="368"/>
      <c r="G574" s="279"/>
      <c r="I574" s="368"/>
      <c r="J574" s="279"/>
      <c r="L574" s="368"/>
      <c r="M574" s="279"/>
      <c r="O574" s="368"/>
      <c r="P574" s="279"/>
      <c r="R574" s="368"/>
      <c r="S574" s="279"/>
      <c r="U574" s="368"/>
      <c r="V574" s="279"/>
      <c r="W574" s="234"/>
      <c r="Y574" s="368"/>
      <c r="Z574" s="369"/>
      <c r="AA574" s="370"/>
    </row>
    <row r="575" spans="2:27" s="272" customFormat="1">
      <c r="B575" s="234"/>
      <c r="C575" s="368"/>
      <c r="D575" s="279"/>
      <c r="E575" s="234"/>
      <c r="F575" s="368"/>
      <c r="G575" s="279"/>
      <c r="I575" s="368"/>
      <c r="J575" s="279"/>
      <c r="L575" s="368"/>
      <c r="M575" s="279"/>
      <c r="O575" s="368"/>
      <c r="P575" s="279"/>
      <c r="R575" s="368"/>
      <c r="S575" s="279"/>
      <c r="U575" s="368"/>
      <c r="V575" s="279"/>
      <c r="W575" s="234"/>
      <c r="Y575" s="368"/>
      <c r="Z575" s="369"/>
      <c r="AA575" s="370"/>
    </row>
    <row r="576" spans="2:27" s="272" customFormat="1">
      <c r="B576" s="234"/>
      <c r="C576" s="368"/>
      <c r="D576" s="279"/>
      <c r="E576" s="234"/>
      <c r="F576" s="368"/>
      <c r="G576" s="279"/>
      <c r="I576" s="368"/>
      <c r="J576" s="279"/>
      <c r="L576" s="368"/>
      <c r="M576" s="279"/>
      <c r="O576" s="368"/>
      <c r="P576" s="279"/>
      <c r="R576" s="368"/>
      <c r="S576" s="279"/>
      <c r="U576" s="368"/>
      <c r="V576" s="279"/>
      <c r="W576" s="234"/>
      <c r="Y576" s="368"/>
      <c r="Z576" s="369"/>
      <c r="AA576" s="370"/>
    </row>
    <row r="577" spans="2:27" s="272" customFormat="1">
      <c r="B577" s="234"/>
      <c r="C577" s="368"/>
      <c r="D577" s="279"/>
      <c r="E577" s="234"/>
      <c r="F577" s="368"/>
      <c r="G577" s="279"/>
      <c r="I577" s="368"/>
      <c r="J577" s="279"/>
      <c r="L577" s="368"/>
      <c r="M577" s="279"/>
      <c r="O577" s="368"/>
      <c r="P577" s="279"/>
      <c r="R577" s="368"/>
      <c r="S577" s="279"/>
      <c r="U577" s="368"/>
      <c r="V577" s="279"/>
      <c r="W577" s="234"/>
      <c r="Y577" s="368"/>
      <c r="Z577" s="369"/>
      <c r="AA577" s="370"/>
    </row>
    <row r="578" spans="2:27" s="272" customFormat="1">
      <c r="B578" s="234"/>
      <c r="C578" s="368"/>
      <c r="D578" s="279"/>
      <c r="E578" s="234"/>
      <c r="F578" s="368"/>
      <c r="G578" s="279"/>
      <c r="I578" s="368"/>
      <c r="J578" s="279"/>
      <c r="L578" s="368"/>
      <c r="M578" s="279"/>
      <c r="O578" s="368"/>
      <c r="P578" s="279"/>
      <c r="R578" s="368"/>
      <c r="S578" s="279"/>
      <c r="U578" s="368"/>
      <c r="V578" s="279"/>
      <c r="W578" s="234"/>
      <c r="Y578" s="368"/>
      <c r="Z578" s="369"/>
      <c r="AA578" s="370"/>
    </row>
    <row r="579" spans="2:27" s="272" customFormat="1">
      <c r="B579" s="234"/>
      <c r="C579" s="368"/>
      <c r="D579" s="279"/>
      <c r="E579" s="234"/>
      <c r="F579" s="368"/>
      <c r="G579" s="279"/>
      <c r="I579" s="368"/>
      <c r="J579" s="279"/>
      <c r="L579" s="368"/>
      <c r="M579" s="279"/>
      <c r="O579" s="368"/>
      <c r="P579" s="279"/>
      <c r="R579" s="368"/>
      <c r="S579" s="279"/>
      <c r="U579" s="368"/>
      <c r="V579" s="279"/>
      <c r="W579" s="234"/>
      <c r="Y579" s="368"/>
      <c r="Z579" s="369"/>
      <c r="AA579" s="370"/>
    </row>
    <row r="580" spans="2:27" s="272" customFormat="1">
      <c r="B580" s="234"/>
      <c r="C580" s="368"/>
      <c r="D580" s="279"/>
      <c r="E580" s="234"/>
      <c r="F580" s="368"/>
      <c r="G580" s="279"/>
      <c r="I580" s="368"/>
      <c r="J580" s="279"/>
      <c r="L580" s="368"/>
      <c r="M580" s="279"/>
      <c r="O580" s="368"/>
      <c r="P580" s="279"/>
      <c r="R580" s="368"/>
      <c r="S580" s="279"/>
      <c r="U580" s="368"/>
      <c r="V580" s="279"/>
      <c r="W580" s="234"/>
      <c r="Y580" s="368"/>
      <c r="Z580" s="369"/>
      <c r="AA580" s="370"/>
    </row>
    <row r="581" spans="2:27" s="272" customFormat="1">
      <c r="B581" s="234"/>
      <c r="C581" s="368"/>
      <c r="D581" s="279"/>
      <c r="E581" s="234"/>
      <c r="F581" s="368"/>
      <c r="G581" s="279"/>
      <c r="I581" s="368"/>
      <c r="J581" s="279"/>
      <c r="L581" s="368"/>
      <c r="M581" s="279"/>
      <c r="O581" s="368"/>
      <c r="P581" s="279"/>
      <c r="R581" s="368"/>
      <c r="S581" s="279"/>
      <c r="U581" s="368"/>
      <c r="V581" s="279"/>
      <c r="W581" s="234"/>
      <c r="Y581" s="368"/>
      <c r="Z581" s="369"/>
      <c r="AA581" s="370"/>
    </row>
    <row r="582" spans="2:27" s="272" customFormat="1">
      <c r="B582" s="234"/>
      <c r="C582" s="368"/>
      <c r="D582" s="279"/>
      <c r="E582" s="234"/>
      <c r="F582" s="368"/>
      <c r="G582" s="279"/>
      <c r="I582" s="368"/>
      <c r="J582" s="279"/>
      <c r="L582" s="368"/>
      <c r="M582" s="279"/>
      <c r="O582" s="368"/>
      <c r="P582" s="279"/>
      <c r="R582" s="368"/>
      <c r="S582" s="279"/>
      <c r="U582" s="368"/>
      <c r="V582" s="279"/>
      <c r="W582" s="234"/>
      <c r="Y582" s="368"/>
      <c r="Z582" s="369"/>
      <c r="AA582" s="370"/>
    </row>
    <row r="583" spans="2:27" s="272" customFormat="1">
      <c r="B583" s="234"/>
      <c r="C583" s="368"/>
      <c r="D583" s="279"/>
      <c r="E583" s="234"/>
      <c r="F583" s="368"/>
      <c r="G583" s="279"/>
      <c r="I583" s="368"/>
      <c r="J583" s="279"/>
      <c r="L583" s="368"/>
      <c r="M583" s="279"/>
      <c r="O583" s="368"/>
      <c r="P583" s="279"/>
      <c r="R583" s="368"/>
      <c r="S583" s="279"/>
      <c r="U583" s="368"/>
      <c r="V583" s="279"/>
      <c r="W583" s="234"/>
      <c r="Y583" s="368"/>
      <c r="Z583" s="369"/>
      <c r="AA583" s="370"/>
    </row>
    <row r="584" spans="2:27" s="272" customFormat="1">
      <c r="B584" s="234"/>
      <c r="C584" s="368"/>
      <c r="D584" s="279"/>
      <c r="E584" s="234"/>
      <c r="F584" s="368"/>
      <c r="G584" s="279"/>
      <c r="I584" s="368"/>
      <c r="J584" s="279"/>
      <c r="L584" s="368"/>
      <c r="M584" s="279"/>
      <c r="O584" s="368"/>
      <c r="P584" s="279"/>
      <c r="R584" s="368"/>
      <c r="S584" s="279"/>
      <c r="U584" s="368"/>
      <c r="V584" s="279"/>
      <c r="W584" s="234"/>
      <c r="Y584" s="368"/>
      <c r="Z584" s="369"/>
      <c r="AA584" s="370"/>
    </row>
    <row r="585" spans="2:27" s="272" customFormat="1">
      <c r="B585" s="234"/>
      <c r="C585" s="368"/>
      <c r="D585" s="279"/>
      <c r="E585" s="234"/>
      <c r="F585" s="368"/>
      <c r="G585" s="279"/>
      <c r="I585" s="368"/>
      <c r="J585" s="279"/>
      <c r="L585" s="368"/>
      <c r="M585" s="279"/>
      <c r="O585" s="368"/>
      <c r="P585" s="279"/>
      <c r="R585" s="368"/>
      <c r="S585" s="279"/>
      <c r="U585" s="368"/>
      <c r="V585" s="279"/>
      <c r="W585" s="234"/>
      <c r="Y585" s="368"/>
      <c r="Z585" s="369"/>
      <c r="AA585" s="370"/>
    </row>
    <row r="586" spans="2:27" s="272" customFormat="1">
      <c r="B586" s="234"/>
      <c r="C586" s="368"/>
      <c r="D586" s="279"/>
      <c r="E586" s="234"/>
      <c r="F586" s="368"/>
      <c r="G586" s="279"/>
      <c r="I586" s="368"/>
      <c r="J586" s="279"/>
      <c r="L586" s="368"/>
      <c r="M586" s="279"/>
      <c r="O586" s="368"/>
      <c r="P586" s="279"/>
      <c r="R586" s="368"/>
      <c r="S586" s="279"/>
      <c r="U586" s="368"/>
      <c r="V586" s="279"/>
      <c r="W586" s="234"/>
      <c r="Y586" s="368"/>
      <c r="Z586" s="369"/>
      <c r="AA586" s="370"/>
    </row>
    <row r="587" spans="2:27" s="272" customFormat="1">
      <c r="B587" s="234"/>
      <c r="C587" s="368"/>
      <c r="D587" s="279"/>
      <c r="E587" s="234"/>
      <c r="F587" s="368"/>
      <c r="G587" s="279"/>
      <c r="I587" s="368"/>
      <c r="J587" s="279"/>
      <c r="L587" s="368"/>
      <c r="M587" s="279"/>
      <c r="O587" s="368"/>
      <c r="P587" s="279"/>
      <c r="R587" s="368"/>
      <c r="S587" s="279"/>
      <c r="U587" s="368"/>
      <c r="V587" s="279"/>
      <c r="W587" s="234"/>
      <c r="Y587" s="368"/>
      <c r="Z587" s="369"/>
      <c r="AA587" s="370"/>
    </row>
    <row r="588" spans="2:27" s="272" customFormat="1">
      <c r="B588" s="234"/>
      <c r="C588" s="368"/>
      <c r="D588" s="279"/>
      <c r="E588" s="234"/>
      <c r="F588" s="368"/>
      <c r="G588" s="279"/>
      <c r="I588" s="368"/>
      <c r="J588" s="279"/>
      <c r="L588" s="368"/>
      <c r="M588" s="279"/>
      <c r="O588" s="368"/>
      <c r="P588" s="279"/>
      <c r="R588" s="368"/>
      <c r="S588" s="279"/>
      <c r="U588" s="368"/>
      <c r="V588" s="279"/>
      <c r="W588" s="234"/>
      <c r="Y588" s="368"/>
      <c r="Z588" s="369"/>
      <c r="AA588" s="370"/>
    </row>
    <row r="589" spans="2:27" s="272" customFormat="1">
      <c r="B589" s="234"/>
      <c r="C589" s="368"/>
      <c r="D589" s="279"/>
      <c r="E589" s="234"/>
      <c r="F589" s="368"/>
      <c r="G589" s="279"/>
      <c r="I589" s="368"/>
      <c r="J589" s="279"/>
      <c r="L589" s="368"/>
      <c r="M589" s="279"/>
      <c r="O589" s="368"/>
      <c r="P589" s="279"/>
      <c r="R589" s="368"/>
      <c r="S589" s="279"/>
      <c r="U589" s="368"/>
      <c r="V589" s="279"/>
      <c r="W589" s="234"/>
      <c r="Y589" s="368"/>
      <c r="Z589" s="369"/>
      <c r="AA589" s="370"/>
    </row>
    <row r="590" spans="2:27" s="272" customFormat="1">
      <c r="B590" s="234"/>
      <c r="C590" s="368"/>
      <c r="D590" s="279"/>
      <c r="E590" s="234"/>
      <c r="F590" s="368"/>
      <c r="G590" s="279"/>
      <c r="I590" s="368"/>
      <c r="J590" s="279"/>
      <c r="L590" s="368"/>
      <c r="M590" s="279"/>
      <c r="O590" s="368"/>
      <c r="P590" s="279"/>
      <c r="R590" s="368"/>
      <c r="S590" s="279"/>
      <c r="U590" s="368"/>
      <c r="V590" s="279"/>
      <c r="W590" s="234"/>
      <c r="Y590" s="368"/>
      <c r="Z590" s="369"/>
      <c r="AA590" s="370"/>
    </row>
    <row r="591" spans="2:27" s="272" customFormat="1">
      <c r="B591" s="234"/>
      <c r="C591" s="368"/>
      <c r="D591" s="279"/>
      <c r="E591" s="234"/>
      <c r="F591" s="368"/>
      <c r="G591" s="279"/>
      <c r="I591" s="368"/>
      <c r="J591" s="279"/>
      <c r="L591" s="368"/>
      <c r="M591" s="279"/>
      <c r="O591" s="368"/>
      <c r="P591" s="279"/>
      <c r="R591" s="368"/>
      <c r="S591" s="279"/>
      <c r="U591" s="368"/>
      <c r="V591" s="279"/>
      <c r="W591" s="234"/>
      <c r="Y591" s="368"/>
      <c r="Z591" s="369"/>
      <c r="AA591" s="370"/>
    </row>
    <row r="592" spans="2:27" s="272" customFormat="1">
      <c r="B592" s="234"/>
      <c r="C592" s="368"/>
      <c r="D592" s="279"/>
      <c r="E592" s="234"/>
      <c r="F592" s="368"/>
      <c r="G592" s="279"/>
      <c r="I592" s="368"/>
      <c r="J592" s="279"/>
      <c r="L592" s="368"/>
      <c r="M592" s="279"/>
      <c r="O592" s="368"/>
      <c r="P592" s="279"/>
      <c r="R592" s="368"/>
      <c r="S592" s="279"/>
      <c r="U592" s="368"/>
      <c r="V592" s="279"/>
      <c r="W592" s="234"/>
      <c r="Y592" s="368"/>
      <c r="Z592" s="369"/>
      <c r="AA592" s="370"/>
    </row>
    <row r="593" spans="2:27" s="272" customFormat="1">
      <c r="B593" s="234"/>
      <c r="C593" s="368"/>
      <c r="D593" s="279"/>
      <c r="E593" s="234"/>
      <c r="F593" s="368"/>
      <c r="G593" s="279"/>
      <c r="I593" s="368"/>
      <c r="J593" s="279"/>
      <c r="L593" s="368"/>
      <c r="M593" s="279"/>
      <c r="O593" s="368"/>
      <c r="P593" s="279"/>
      <c r="R593" s="368"/>
      <c r="S593" s="279"/>
      <c r="U593" s="368"/>
      <c r="V593" s="279"/>
      <c r="W593" s="234"/>
      <c r="Y593" s="368"/>
      <c r="Z593" s="369"/>
      <c r="AA593" s="370"/>
    </row>
    <row r="594" spans="2:27" s="272" customFormat="1">
      <c r="B594" s="234"/>
      <c r="C594" s="368"/>
      <c r="D594" s="279"/>
      <c r="E594" s="234"/>
      <c r="F594" s="368"/>
      <c r="G594" s="279"/>
      <c r="I594" s="368"/>
      <c r="J594" s="279"/>
      <c r="L594" s="368"/>
      <c r="M594" s="279"/>
      <c r="O594" s="368"/>
      <c r="P594" s="279"/>
      <c r="R594" s="368"/>
      <c r="S594" s="279"/>
      <c r="U594" s="368"/>
      <c r="V594" s="279"/>
      <c r="W594" s="234"/>
      <c r="Y594" s="368"/>
      <c r="Z594" s="369"/>
      <c r="AA594" s="370"/>
    </row>
    <row r="595" spans="2:27" s="272" customFormat="1">
      <c r="B595" s="234"/>
      <c r="C595" s="368"/>
      <c r="D595" s="279"/>
      <c r="E595" s="234"/>
      <c r="F595" s="368"/>
      <c r="G595" s="279"/>
      <c r="I595" s="368"/>
      <c r="J595" s="279"/>
      <c r="L595" s="368"/>
      <c r="M595" s="279"/>
      <c r="O595" s="368"/>
      <c r="P595" s="279"/>
      <c r="R595" s="368"/>
      <c r="S595" s="279"/>
      <c r="U595" s="368"/>
      <c r="V595" s="279"/>
      <c r="W595" s="234"/>
      <c r="Y595" s="368"/>
      <c r="Z595" s="369"/>
      <c r="AA595" s="370"/>
    </row>
    <row r="596" spans="2:27" s="272" customFormat="1">
      <c r="B596" s="234"/>
      <c r="C596" s="368"/>
      <c r="D596" s="279"/>
      <c r="E596" s="234"/>
      <c r="F596" s="368"/>
      <c r="G596" s="279"/>
      <c r="I596" s="368"/>
      <c r="J596" s="279"/>
      <c r="L596" s="368"/>
      <c r="M596" s="279"/>
      <c r="O596" s="368"/>
      <c r="P596" s="279"/>
      <c r="R596" s="368"/>
      <c r="S596" s="279"/>
      <c r="U596" s="368"/>
      <c r="V596" s="279"/>
      <c r="W596" s="234"/>
      <c r="Y596" s="368"/>
      <c r="Z596" s="369"/>
      <c r="AA596" s="370"/>
    </row>
    <row r="597" spans="2:27" s="272" customFormat="1">
      <c r="B597" s="234"/>
      <c r="C597" s="368"/>
      <c r="D597" s="279"/>
      <c r="E597" s="234"/>
      <c r="F597" s="368"/>
      <c r="G597" s="279"/>
      <c r="I597" s="368"/>
      <c r="J597" s="279"/>
      <c r="L597" s="368"/>
      <c r="M597" s="279"/>
      <c r="O597" s="368"/>
      <c r="P597" s="279"/>
      <c r="R597" s="368"/>
      <c r="S597" s="279"/>
      <c r="U597" s="368"/>
      <c r="V597" s="279"/>
      <c r="W597" s="234"/>
      <c r="Y597" s="368"/>
      <c r="Z597" s="369"/>
      <c r="AA597" s="370"/>
    </row>
    <row r="598" spans="2:27" s="272" customFormat="1">
      <c r="B598" s="234"/>
      <c r="C598" s="368"/>
      <c r="D598" s="279"/>
      <c r="E598" s="234"/>
      <c r="F598" s="368"/>
      <c r="G598" s="279"/>
      <c r="I598" s="368"/>
      <c r="J598" s="279"/>
      <c r="L598" s="368"/>
      <c r="M598" s="279"/>
      <c r="O598" s="368"/>
      <c r="P598" s="279"/>
      <c r="R598" s="368"/>
      <c r="S598" s="279"/>
      <c r="U598" s="368"/>
      <c r="V598" s="279"/>
      <c r="W598" s="234"/>
      <c r="Y598" s="368"/>
      <c r="Z598" s="369"/>
      <c r="AA598" s="370"/>
    </row>
    <row r="599" spans="2:27" s="272" customFormat="1">
      <c r="B599" s="234"/>
      <c r="C599" s="368"/>
      <c r="D599" s="279"/>
      <c r="E599" s="234"/>
      <c r="F599" s="368"/>
      <c r="G599" s="279"/>
      <c r="I599" s="368"/>
      <c r="J599" s="279"/>
      <c r="L599" s="368"/>
      <c r="M599" s="279"/>
      <c r="O599" s="368"/>
      <c r="P599" s="279"/>
      <c r="R599" s="368"/>
      <c r="S599" s="279"/>
      <c r="U599" s="368"/>
      <c r="V599" s="279"/>
      <c r="W599" s="234"/>
      <c r="Y599" s="368"/>
      <c r="Z599" s="369"/>
      <c r="AA599" s="370"/>
    </row>
    <row r="600" spans="2:27" s="272" customFormat="1">
      <c r="B600" s="234"/>
      <c r="C600" s="368"/>
      <c r="D600" s="279"/>
      <c r="E600" s="234"/>
      <c r="F600" s="368"/>
      <c r="G600" s="279"/>
      <c r="I600" s="368"/>
      <c r="J600" s="279"/>
      <c r="L600" s="368"/>
      <c r="M600" s="279"/>
      <c r="O600" s="368"/>
      <c r="P600" s="279"/>
      <c r="R600" s="368"/>
      <c r="S600" s="279"/>
      <c r="U600" s="368"/>
      <c r="V600" s="279"/>
      <c r="W600" s="234"/>
      <c r="Y600" s="368"/>
      <c r="Z600" s="369"/>
      <c r="AA600" s="370"/>
    </row>
    <row r="601" spans="2:27" s="272" customFormat="1">
      <c r="B601" s="234"/>
      <c r="C601" s="368"/>
      <c r="D601" s="279"/>
      <c r="E601" s="234"/>
      <c r="F601" s="368"/>
      <c r="G601" s="279"/>
      <c r="I601" s="368"/>
      <c r="J601" s="279"/>
      <c r="L601" s="368"/>
      <c r="M601" s="279"/>
      <c r="O601" s="368"/>
      <c r="P601" s="279"/>
      <c r="R601" s="368"/>
      <c r="S601" s="279"/>
      <c r="U601" s="368"/>
      <c r="V601" s="279"/>
      <c r="W601" s="234"/>
      <c r="Y601" s="368"/>
      <c r="Z601" s="369"/>
      <c r="AA601" s="370"/>
    </row>
    <row r="602" spans="2:27" s="272" customFormat="1">
      <c r="B602" s="234"/>
      <c r="C602" s="368"/>
      <c r="D602" s="279"/>
      <c r="E602" s="234"/>
      <c r="F602" s="368"/>
      <c r="G602" s="279"/>
      <c r="I602" s="368"/>
      <c r="J602" s="279"/>
      <c r="L602" s="368"/>
      <c r="M602" s="279"/>
      <c r="O602" s="368"/>
      <c r="P602" s="279"/>
      <c r="R602" s="368"/>
      <c r="S602" s="279"/>
      <c r="U602" s="368"/>
      <c r="V602" s="279"/>
      <c r="W602" s="234"/>
      <c r="Y602" s="368"/>
      <c r="Z602" s="369"/>
      <c r="AA602" s="370"/>
    </row>
    <row r="603" spans="2:27" s="272" customFormat="1">
      <c r="B603" s="234"/>
      <c r="C603" s="368"/>
      <c r="D603" s="279"/>
      <c r="E603" s="234"/>
      <c r="F603" s="368"/>
      <c r="G603" s="279"/>
      <c r="I603" s="368"/>
      <c r="J603" s="279"/>
      <c r="L603" s="368"/>
      <c r="M603" s="279"/>
      <c r="O603" s="368"/>
      <c r="P603" s="279"/>
      <c r="R603" s="368"/>
      <c r="S603" s="279"/>
      <c r="U603" s="368"/>
      <c r="V603" s="279"/>
      <c r="W603" s="234"/>
      <c r="Y603" s="368"/>
      <c r="Z603" s="369"/>
      <c r="AA603" s="370"/>
    </row>
    <row r="604" spans="2:27" s="272" customFormat="1">
      <c r="B604" s="234"/>
      <c r="C604" s="368"/>
      <c r="D604" s="279"/>
      <c r="E604" s="234"/>
      <c r="F604" s="368"/>
      <c r="G604" s="279"/>
      <c r="I604" s="368"/>
      <c r="J604" s="279"/>
      <c r="L604" s="368"/>
      <c r="M604" s="279"/>
      <c r="O604" s="368"/>
      <c r="P604" s="279"/>
      <c r="R604" s="368"/>
      <c r="S604" s="279"/>
      <c r="U604" s="368"/>
      <c r="V604" s="279"/>
      <c r="W604" s="234"/>
      <c r="Y604" s="368"/>
      <c r="Z604" s="369"/>
      <c r="AA604" s="370"/>
    </row>
    <row r="605" spans="2:27" s="272" customFormat="1">
      <c r="B605" s="234"/>
      <c r="C605" s="368"/>
      <c r="D605" s="279"/>
      <c r="E605" s="234"/>
      <c r="F605" s="368"/>
      <c r="G605" s="279"/>
      <c r="I605" s="368"/>
      <c r="J605" s="279"/>
      <c r="L605" s="368"/>
      <c r="M605" s="279"/>
      <c r="O605" s="368"/>
      <c r="P605" s="279"/>
      <c r="R605" s="368"/>
      <c r="S605" s="279"/>
      <c r="U605" s="368"/>
      <c r="V605" s="279"/>
      <c r="W605" s="234"/>
      <c r="Y605" s="368"/>
      <c r="Z605" s="369"/>
      <c r="AA605" s="370"/>
    </row>
    <row r="606" spans="2:27" s="272" customFormat="1">
      <c r="B606" s="234"/>
      <c r="C606" s="368"/>
      <c r="D606" s="279"/>
      <c r="E606" s="234"/>
      <c r="F606" s="368"/>
      <c r="G606" s="279"/>
      <c r="I606" s="368"/>
      <c r="J606" s="279"/>
      <c r="L606" s="368"/>
      <c r="M606" s="279"/>
      <c r="O606" s="368"/>
      <c r="P606" s="279"/>
      <c r="R606" s="368"/>
      <c r="S606" s="279"/>
      <c r="U606" s="368"/>
      <c r="V606" s="279"/>
      <c r="W606" s="234"/>
      <c r="Y606" s="368"/>
      <c r="Z606" s="369"/>
      <c r="AA606" s="370"/>
    </row>
    <row r="607" spans="2:27" s="272" customFormat="1">
      <c r="B607" s="234"/>
      <c r="C607" s="368"/>
      <c r="D607" s="279"/>
      <c r="E607" s="234"/>
      <c r="F607" s="368"/>
      <c r="G607" s="279"/>
      <c r="I607" s="368"/>
      <c r="J607" s="279"/>
      <c r="L607" s="368"/>
      <c r="M607" s="279"/>
      <c r="O607" s="368"/>
      <c r="P607" s="279"/>
      <c r="R607" s="368"/>
      <c r="S607" s="279"/>
      <c r="U607" s="368"/>
      <c r="V607" s="279"/>
      <c r="W607" s="234"/>
      <c r="Y607" s="368"/>
      <c r="Z607" s="369"/>
      <c r="AA607" s="370"/>
    </row>
    <row r="608" spans="2:27" s="272" customFormat="1">
      <c r="B608" s="234"/>
      <c r="C608" s="368"/>
      <c r="D608" s="279"/>
      <c r="E608" s="234"/>
      <c r="F608" s="368"/>
      <c r="G608" s="279"/>
      <c r="I608" s="368"/>
      <c r="J608" s="279"/>
      <c r="L608" s="368"/>
      <c r="M608" s="279"/>
      <c r="O608" s="368"/>
      <c r="P608" s="279"/>
      <c r="R608" s="368"/>
      <c r="S608" s="279"/>
      <c r="U608" s="368"/>
      <c r="V608" s="279"/>
      <c r="W608" s="234"/>
      <c r="Y608" s="368"/>
      <c r="Z608" s="369"/>
      <c r="AA608" s="370"/>
    </row>
    <row r="609" spans="2:27" s="272" customFormat="1">
      <c r="B609" s="234"/>
      <c r="C609" s="368"/>
      <c r="D609" s="279"/>
      <c r="E609" s="234"/>
      <c r="F609" s="368"/>
      <c r="G609" s="279"/>
      <c r="I609" s="368"/>
      <c r="J609" s="279"/>
      <c r="L609" s="368"/>
      <c r="M609" s="279"/>
      <c r="O609" s="368"/>
      <c r="P609" s="279"/>
      <c r="R609" s="368"/>
      <c r="S609" s="279"/>
      <c r="U609" s="368"/>
      <c r="V609" s="279"/>
      <c r="W609" s="234"/>
      <c r="Y609" s="368"/>
      <c r="Z609" s="369"/>
      <c r="AA609" s="370"/>
    </row>
    <row r="610" spans="2:27" s="272" customFormat="1">
      <c r="B610" s="234"/>
      <c r="C610" s="368"/>
      <c r="D610" s="279"/>
      <c r="E610" s="234"/>
      <c r="F610" s="368"/>
      <c r="G610" s="279"/>
      <c r="I610" s="368"/>
      <c r="J610" s="279"/>
      <c r="L610" s="368"/>
      <c r="M610" s="279"/>
      <c r="O610" s="368"/>
      <c r="P610" s="279"/>
      <c r="R610" s="368"/>
      <c r="S610" s="279"/>
      <c r="U610" s="368"/>
      <c r="V610" s="279"/>
      <c r="W610" s="234"/>
      <c r="Y610" s="368"/>
      <c r="Z610" s="369"/>
      <c r="AA610" s="370"/>
    </row>
    <row r="611" spans="2:27" s="272" customFormat="1">
      <c r="B611" s="234"/>
      <c r="C611" s="368"/>
      <c r="D611" s="279"/>
      <c r="E611" s="234"/>
      <c r="F611" s="368"/>
      <c r="G611" s="279"/>
      <c r="I611" s="368"/>
      <c r="J611" s="279"/>
      <c r="L611" s="368"/>
      <c r="M611" s="279"/>
      <c r="O611" s="368"/>
      <c r="P611" s="279"/>
      <c r="R611" s="368"/>
      <c r="S611" s="279"/>
      <c r="U611" s="368"/>
      <c r="V611" s="279"/>
      <c r="W611" s="234"/>
      <c r="Y611" s="368"/>
      <c r="Z611" s="369"/>
      <c r="AA611" s="370"/>
    </row>
    <row r="612" spans="2:27" s="272" customFormat="1">
      <c r="B612" s="234"/>
      <c r="C612" s="368"/>
      <c r="D612" s="279"/>
      <c r="E612" s="234"/>
      <c r="F612" s="368"/>
      <c r="G612" s="279"/>
      <c r="I612" s="368"/>
      <c r="J612" s="279"/>
      <c r="L612" s="368"/>
      <c r="M612" s="279"/>
      <c r="O612" s="368"/>
      <c r="P612" s="279"/>
      <c r="R612" s="368"/>
      <c r="S612" s="279"/>
      <c r="U612" s="368"/>
      <c r="V612" s="279"/>
      <c r="W612" s="234"/>
      <c r="Y612" s="368"/>
      <c r="Z612" s="369"/>
      <c r="AA612" s="370"/>
    </row>
    <row r="613" spans="2:27" s="272" customFormat="1">
      <c r="B613" s="234"/>
      <c r="C613" s="368"/>
      <c r="D613" s="279"/>
      <c r="E613" s="234"/>
      <c r="F613" s="368"/>
      <c r="G613" s="279"/>
      <c r="I613" s="368"/>
      <c r="J613" s="279"/>
      <c r="L613" s="368"/>
      <c r="M613" s="279"/>
      <c r="O613" s="368"/>
      <c r="P613" s="279"/>
      <c r="R613" s="368"/>
      <c r="S613" s="279"/>
      <c r="U613" s="368"/>
      <c r="V613" s="279"/>
      <c r="W613" s="234"/>
      <c r="Y613" s="368"/>
      <c r="Z613" s="369"/>
      <c r="AA613" s="370"/>
    </row>
    <row r="614" spans="2:27" s="272" customFormat="1">
      <c r="B614" s="234"/>
      <c r="C614" s="368"/>
      <c r="D614" s="279"/>
      <c r="E614" s="234"/>
      <c r="F614" s="368"/>
      <c r="G614" s="279"/>
      <c r="I614" s="368"/>
      <c r="J614" s="279"/>
      <c r="L614" s="368"/>
      <c r="M614" s="279"/>
      <c r="O614" s="368"/>
      <c r="P614" s="279"/>
      <c r="R614" s="368"/>
      <c r="S614" s="279"/>
      <c r="U614" s="368"/>
      <c r="V614" s="279"/>
      <c r="W614" s="234"/>
      <c r="Y614" s="368"/>
      <c r="Z614" s="369"/>
      <c r="AA614" s="370"/>
    </row>
    <row r="615" spans="2:27" s="272" customFormat="1">
      <c r="B615" s="234"/>
      <c r="C615" s="368"/>
      <c r="D615" s="279"/>
      <c r="E615" s="234"/>
      <c r="F615" s="368"/>
      <c r="G615" s="279"/>
      <c r="I615" s="368"/>
      <c r="J615" s="279"/>
      <c r="L615" s="368"/>
      <c r="M615" s="279"/>
      <c r="O615" s="368"/>
      <c r="P615" s="279"/>
      <c r="R615" s="368"/>
      <c r="S615" s="279"/>
      <c r="U615" s="368"/>
      <c r="V615" s="279"/>
      <c r="W615" s="234"/>
      <c r="Y615" s="368"/>
      <c r="Z615" s="369"/>
      <c r="AA615" s="370"/>
    </row>
    <row r="616" spans="2:27" s="272" customFormat="1">
      <c r="B616" s="234"/>
      <c r="C616" s="368"/>
      <c r="D616" s="279"/>
      <c r="E616" s="234"/>
      <c r="F616" s="368"/>
      <c r="G616" s="279"/>
      <c r="I616" s="368"/>
      <c r="J616" s="279"/>
      <c r="L616" s="368"/>
      <c r="M616" s="279"/>
      <c r="O616" s="368"/>
      <c r="P616" s="279"/>
      <c r="R616" s="368"/>
      <c r="S616" s="279"/>
      <c r="U616" s="368"/>
      <c r="V616" s="279"/>
      <c r="W616" s="234"/>
      <c r="Y616" s="368"/>
      <c r="Z616" s="369"/>
      <c r="AA616" s="370"/>
    </row>
    <row r="617" spans="2:27" s="272" customFormat="1">
      <c r="B617" s="234"/>
      <c r="C617" s="368"/>
      <c r="D617" s="279"/>
      <c r="E617" s="234"/>
      <c r="F617" s="368"/>
      <c r="G617" s="279"/>
      <c r="I617" s="368"/>
      <c r="J617" s="279"/>
      <c r="L617" s="368"/>
      <c r="M617" s="279"/>
      <c r="O617" s="368"/>
      <c r="P617" s="279"/>
      <c r="R617" s="368"/>
      <c r="S617" s="279"/>
      <c r="U617" s="368"/>
      <c r="V617" s="279"/>
      <c r="W617" s="234"/>
      <c r="Y617" s="368"/>
      <c r="Z617" s="369"/>
      <c r="AA617" s="370"/>
    </row>
    <row r="618" spans="2:27" s="272" customFormat="1">
      <c r="B618" s="234"/>
      <c r="C618" s="368"/>
      <c r="D618" s="279"/>
      <c r="E618" s="234"/>
      <c r="F618" s="368"/>
      <c r="G618" s="279"/>
      <c r="I618" s="368"/>
      <c r="J618" s="279"/>
      <c r="L618" s="368"/>
      <c r="M618" s="279"/>
      <c r="O618" s="368"/>
      <c r="P618" s="279"/>
      <c r="R618" s="368"/>
      <c r="S618" s="279"/>
      <c r="U618" s="368"/>
      <c r="V618" s="279"/>
      <c r="W618" s="234"/>
      <c r="Y618" s="368"/>
      <c r="Z618" s="369"/>
      <c r="AA618" s="370"/>
    </row>
    <row r="619" spans="2:27" s="272" customFormat="1">
      <c r="B619" s="234"/>
      <c r="C619" s="368"/>
      <c r="D619" s="279"/>
      <c r="E619" s="234"/>
      <c r="F619" s="368"/>
      <c r="G619" s="279"/>
      <c r="I619" s="368"/>
      <c r="J619" s="279"/>
      <c r="L619" s="368"/>
      <c r="M619" s="279"/>
      <c r="O619" s="368"/>
      <c r="P619" s="279"/>
      <c r="R619" s="368"/>
      <c r="S619" s="279"/>
      <c r="U619" s="368"/>
      <c r="V619" s="279"/>
      <c r="W619" s="234"/>
      <c r="Y619" s="368"/>
      <c r="Z619" s="369"/>
      <c r="AA619" s="370"/>
    </row>
    <row r="620" spans="2:27" s="272" customFormat="1">
      <c r="B620" s="234"/>
      <c r="C620" s="368"/>
      <c r="D620" s="279"/>
      <c r="E620" s="234"/>
      <c r="F620" s="368"/>
      <c r="G620" s="279"/>
      <c r="I620" s="368"/>
      <c r="J620" s="279"/>
      <c r="L620" s="368"/>
      <c r="M620" s="279"/>
      <c r="O620" s="368"/>
      <c r="P620" s="279"/>
      <c r="R620" s="368"/>
      <c r="S620" s="279"/>
      <c r="U620" s="368"/>
      <c r="V620" s="279"/>
      <c r="W620" s="234"/>
      <c r="Y620" s="368"/>
      <c r="Z620" s="369"/>
      <c r="AA620" s="370"/>
    </row>
    <row r="621" spans="2:27" s="272" customFormat="1">
      <c r="B621" s="234"/>
      <c r="C621" s="368"/>
      <c r="D621" s="279"/>
      <c r="E621" s="234"/>
      <c r="F621" s="368"/>
      <c r="G621" s="279"/>
      <c r="I621" s="368"/>
      <c r="J621" s="279"/>
      <c r="L621" s="368"/>
      <c r="M621" s="279"/>
      <c r="O621" s="368"/>
      <c r="P621" s="279"/>
      <c r="R621" s="368"/>
      <c r="S621" s="279"/>
      <c r="U621" s="368"/>
      <c r="V621" s="279"/>
      <c r="W621" s="234"/>
      <c r="Y621" s="368"/>
      <c r="Z621" s="369"/>
      <c r="AA621" s="370"/>
    </row>
    <row r="622" spans="2:27" s="272" customFormat="1">
      <c r="B622" s="234"/>
      <c r="C622" s="368"/>
      <c r="D622" s="279"/>
      <c r="E622" s="234"/>
      <c r="F622" s="368"/>
      <c r="G622" s="279"/>
      <c r="I622" s="368"/>
      <c r="J622" s="279"/>
      <c r="L622" s="368"/>
      <c r="M622" s="279"/>
      <c r="O622" s="368"/>
      <c r="P622" s="279"/>
      <c r="R622" s="368"/>
      <c r="S622" s="279"/>
      <c r="U622" s="368"/>
      <c r="V622" s="279"/>
      <c r="W622" s="234"/>
      <c r="Y622" s="368"/>
      <c r="Z622" s="369"/>
      <c r="AA622" s="370"/>
    </row>
    <row r="623" spans="2:27" s="272" customFormat="1">
      <c r="B623" s="234"/>
      <c r="C623" s="368"/>
      <c r="D623" s="279"/>
      <c r="E623" s="234"/>
      <c r="F623" s="368"/>
      <c r="G623" s="279"/>
      <c r="I623" s="368"/>
      <c r="J623" s="279"/>
      <c r="L623" s="368"/>
      <c r="M623" s="279"/>
      <c r="O623" s="368"/>
      <c r="P623" s="279"/>
      <c r="R623" s="368"/>
      <c r="S623" s="279"/>
      <c r="U623" s="368"/>
      <c r="V623" s="279"/>
      <c r="W623" s="234"/>
      <c r="Y623" s="368"/>
      <c r="Z623" s="369"/>
      <c r="AA623" s="370"/>
    </row>
    <row r="624" spans="2:27" s="272" customFormat="1">
      <c r="B624" s="234"/>
      <c r="C624" s="368"/>
      <c r="D624" s="279"/>
      <c r="E624" s="234"/>
      <c r="F624" s="368"/>
      <c r="G624" s="279"/>
      <c r="I624" s="368"/>
      <c r="J624" s="279"/>
      <c r="L624" s="368"/>
      <c r="M624" s="279"/>
      <c r="O624" s="368"/>
      <c r="P624" s="279"/>
      <c r="R624" s="368"/>
      <c r="S624" s="279"/>
      <c r="U624" s="368"/>
      <c r="V624" s="279"/>
      <c r="W624" s="234"/>
      <c r="Y624" s="368"/>
      <c r="Z624" s="369"/>
      <c r="AA624" s="370"/>
    </row>
    <row r="625" spans="2:27" s="272" customFormat="1">
      <c r="B625" s="234"/>
      <c r="C625" s="368"/>
      <c r="D625" s="279"/>
      <c r="E625" s="234"/>
      <c r="F625" s="368"/>
      <c r="G625" s="279"/>
      <c r="I625" s="368"/>
      <c r="J625" s="279"/>
      <c r="L625" s="368"/>
      <c r="M625" s="279"/>
      <c r="O625" s="368"/>
      <c r="P625" s="279"/>
      <c r="R625" s="368"/>
      <c r="S625" s="279"/>
      <c r="U625" s="368"/>
      <c r="V625" s="279"/>
      <c r="W625" s="234"/>
      <c r="Y625" s="368"/>
      <c r="Z625" s="369"/>
      <c r="AA625" s="370"/>
    </row>
    <row r="626" spans="2:27" s="272" customFormat="1">
      <c r="B626" s="234"/>
      <c r="C626" s="368"/>
      <c r="D626" s="279"/>
      <c r="E626" s="234"/>
      <c r="F626" s="368"/>
      <c r="G626" s="279"/>
      <c r="I626" s="368"/>
      <c r="J626" s="279"/>
      <c r="L626" s="368"/>
      <c r="M626" s="279"/>
      <c r="O626" s="368"/>
      <c r="P626" s="279"/>
      <c r="R626" s="368"/>
      <c r="S626" s="279"/>
      <c r="U626" s="368"/>
      <c r="V626" s="279"/>
      <c r="W626" s="234"/>
      <c r="Y626" s="368"/>
      <c r="Z626" s="369"/>
      <c r="AA626" s="370"/>
    </row>
    <row r="627" spans="2:27" s="272" customFormat="1">
      <c r="B627" s="234"/>
      <c r="C627" s="368"/>
      <c r="D627" s="279"/>
      <c r="E627" s="234"/>
      <c r="F627" s="368"/>
      <c r="G627" s="279"/>
      <c r="I627" s="368"/>
      <c r="J627" s="279"/>
      <c r="L627" s="368"/>
      <c r="M627" s="279"/>
      <c r="O627" s="368"/>
      <c r="P627" s="279"/>
      <c r="R627" s="368"/>
      <c r="S627" s="279"/>
      <c r="U627" s="368"/>
      <c r="V627" s="279"/>
      <c r="W627" s="234"/>
      <c r="Y627" s="368"/>
      <c r="Z627" s="369"/>
      <c r="AA627" s="370"/>
    </row>
    <row r="628" spans="2:27" s="272" customFormat="1">
      <c r="B628" s="234"/>
      <c r="C628" s="368"/>
      <c r="D628" s="279"/>
      <c r="E628" s="234"/>
      <c r="F628" s="368"/>
      <c r="G628" s="279"/>
      <c r="I628" s="368"/>
      <c r="J628" s="279"/>
      <c r="L628" s="368"/>
      <c r="M628" s="279"/>
      <c r="O628" s="368"/>
      <c r="P628" s="279"/>
      <c r="R628" s="368"/>
      <c r="S628" s="279"/>
      <c r="U628" s="368"/>
      <c r="V628" s="279"/>
      <c r="W628" s="234"/>
      <c r="Y628" s="368"/>
      <c r="Z628" s="369"/>
      <c r="AA628" s="370"/>
    </row>
    <row r="629" spans="2:27" s="272" customFormat="1">
      <c r="B629" s="234"/>
      <c r="C629" s="368"/>
      <c r="D629" s="279"/>
      <c r="E629" s="234"/>
      <c r="F629" s="368"/>
      <c r="G629" s="279"/>
      <c r="I629" s="368"/>
      <c r="J629" s="279"/>
      <c r="L629" s="368"/>
      <c r="M629" s="279"/>
      <c r="O629" s="368"/>
      <c r="P629" s="279"/>
      <c r="R629" s="368"/>
      <c r="S629" s="279"/>
      <c r="U629" s="368"/>
      <c r="V629" s="279"/>
      <c r="W629" s="234"/>
      <c r="Y629" s="368"/>
      <c r="Z629" s="369"/>
      <c r="AA629" s="370"/>
    </row>
    <row r="630" spans="2:27" s="272" customFormat="1">
      <c r="B630" s="234"/>
      <c r="C630" s="368"/>
      <c r="D630" s="279"/>
      <c r="E630" s="234"/>
      <c r="F630" s="368"/>
      <c r="G630" s="279"/>
      <c r="I630" s="368"/>
      <c r="J630" s="279"/>
      <c r="L630" s="368"/>
      <c r="M630" s="279"/>
      <c r="O630" s="368"/>
      <c r="P630" s="279"/>
      <c r="R630" s="368"/>
      <c r="S630" s="279"/>
      <c r="U630" s="368"/>
      <c r="V630" s="279"/>
      <c r="W630" s="234"/>
      <c r="Y630" s="368"/>
      <c r="Z630" s="369"/>
      <c r="AA630" s="370"/>
    </row>
    <row r="631" spans="2:27" s="272" customFormat="1">
      <c r="B631" s="234"/>
      <c r="C631" s="368"/>
      <c r="D631" s="279"/>
      <c r="E631" s="234"/>
      <c r="F631" s="368"/>
      <c r="G631" s="279"/>
      <c r="I631" s="368"/>
      <c r="J631" s="279"/>
      <c r="L631" s="368"/>
      <c r="M631" s="279"/>
      <c r="O631" s="368"/>
      <c r="P631" s="279"/>
      <c r="R631" s="368"/>
      <c r="S631" s="279"/>
      <c r="U631" s="368"/>
      <c r="V631" s="279"/>
      <c r="W631" s="234"/>
      <c r="Y631" s="368"/>
      <c r="Z631" s="369"/>
      <c r="AA631" s="370"/>
    </row>
    <row r="632" spans="2:27" s="272" customFormat="1">
      <c r="B632" s="234"/>
      <c r="C632" s="368"/>
      <c r="D632" s="279"/>
      <c r="E632" s="234"/>
      <c r="F632" s="368"/>
      <c r="G632" s="279"/>
      <c r="I632" s="368"/>
      <c r="J632" s="279"/>
      <c r="L632" s="368"/>
      <c r="M632" s="279"/>
      <c r="O632" s="368"/>
      <c r="P632" s="279"/>
      <c r="R632" s="368"/>
      <c r="S632" s="279"/>
      <c r="U632" s="368"/>
      <c r="V632" s="279"/>
      <c r="W632" s="234"/>
      <c r="Y632" s="368"/>
      <c r="Z632" s="369"/>
      <c r="AA632" s="370"/>
    </row>
    <row r="633" spans="2:27" s="272" customFormat="1">
      <c r="B633" s="234"/>
      <c r="C633" s="368"/>
      <c r="D633" s="279"/>
      <c r="E633" s="234"/>
      <c r="F633" s="368"/>
      <c r="G633" s="279"/>
      <c r="I633" s="368"/>
      <c r="J633" s="279"/>
      <c r="L633" s="368"/>
      <c r="M633" s="279"/>
      <c r="O633" s="368"/>
      <c r="P633" s="279"/>
      <c r="R633" s="368"/>
      <c r="S633" s="279"/>
      <c r="U633" s="368"/>
      <c r="V633" s="279"/>
      <c r="W633" s="234"/>
      <c r="Y633" s="368"/>
      <c r="Z633" s="369"/>
      <c r="AA633" s="370"/>
    </row>
    <row r="634" spans="2:27" s="272" customFormat="1">
      <c r="B634" s="234"/>
      <c r="C634" s="368"/>
      <c r="D634" s="279"/>
      <c r="E634" s="234"/>
      <c r="F634" s="368"/>
      <c r="G634" s="279"/>
      <c r="I634" s="368"/>
      <c r="J634" s="279"/>
      <c r="L634" s="368"/>
      <c r="M634" s="279"/>
      <c r="O634" s="368"/>
      <c r="P634" s="279"/>
      <c r="R634" s="368"/>
      <c r="S634" s="279"/>
      <c r="U634" s="368"/>
      <c r="V634" s="279"/>
      <c r="W634" s="234"/>
      <c r="Y634" s="368"/>
      <c r="Z634" s="369"/>
      <c r="AA634" s="370"/>
    </row>
    <row r="635" spans="2:27" s="272" customFormat="1">
      <c r="B635" s="234"/>
      <c r="C635" s="368"/>
      <c r="D635" s="279"/>
      <c r="E635" s="234"/>
      <c r="F635" s="368"/>
      <c r="G635" s="279"/>
      <c r="I635" s="368"/>
      <c r="J635" s="279"/>
      <c r="L635" s="368"/>
      <c r="M635" s="279"/>
      <c r="O635" s="368"/>
      <c r="P635" s="279"/>
      <c r="R635" s="368"/>
      <c r="S635" s="279"/>
      <c r="U635" s="368"/>
      <c r="V635" s="279"/>
      <c r="W635" s="234"/>
      <c r="Y635" s="368"/>
      <c r="Z635" s="369"/>
      <c r="AA635" s="370"/>
    </row>
    <row r="636" spans="2:27" s="272" customFormat="1">
      <c r="B636" s="234"/>
      <c r="C636" s="368"/>
      <c r="D636" s="279"/>
      <c r="E636" s="234"/>
      <c r="F636" s="368"/>
      <c r="G636" s="279"/>
      <c r="I636" s="368"/>
      <c r="J636" s="279"/>
      <c r="L636" s="368"/>
      <c r="M636" s="279"/>
      <c r="O636" s="368"/>
      <c r="P636" s="279"/>
      <c r="R636" s="368"/>
      <c r="S636" s="279"/>
      <c r="U636" s="368"/>
      <c r="V636" s="279"/>
      <c r="W636" s="234"/>
      <c r="Y636" s="368"/>
      <c r="Z636" s="369"/>
      <c r="AA636" s="370"/>
    </row>
    <row r="637" spans="2:27" s="272" customFormat="1">
      <c r="B637" s="234"/>
      <c r="C637" s="368"/>
      <c r="D637" s="279"/>
      <c r="E637" s="234"/>
      <c r="F637" s="368"/>
      <c r="G637" s="279"/>
      <c r="I637" s="368"/>
      <c r="J637" s="279"/>
      <c r="L637" s="368"/>
      <c r="M637" s="279"/>
      <c r="O637" s="368"/>
      <c r="P637" s="279"/>
      <c r="R637" s="368"/>
      <c r="S637" s="279"/>
      <c r="U637" s="368"/>
      <c r="V637" s="279"/>
      <c r="W637" s="234"/>
      <c r="Y637" s="368"/>
      <c r="Z637" s="369"/>
      <c r="AA637" s="370"/>
    </row>
    <row r="638" spans="2:27" s="272" customFormat="1">
      <c r="B638" s="234"/>
      <c r="C638" s="368"/>
      <c r="D638" s="279"/>
      <c r="E638" s="234"/>
      <c r="F638" s="368"/>
      <c r="G638" s="279"/>
      <c r="I638" s="368"/>
      <c r="J638" s="279"/>
      <c r="L638" s="368"/>
      <c r="M638" s="279"/>
      <c r="O638" s="368"/>
      <c r="P638" s="279"/>
      <c r="R638" s="368"/>
      <c r="S638" s="279"/>
      <c r="U638" s="368"/>
      <c r="V638" s="279"/>
      <c r="W638" s="234"/>
      <c r="Y638" s="368"/>
      <c r="Z638" s="369"/>
      <c r="AA638" s="370"/>
    </row>
    <row r="639" spans="2:27" s="272" customFormat="1">
      <c r="B639" s="234"/>
      <c r="C639" s="368"/>
      <c r="D639" s="279"/>
      <c r="E639" s="234"/>
      <c r="F639" s="368"/>
      <c r="G639" s="279"/>
      <c r="I639" s="368"/>
      <c r="J639" s="279"/>
      <c r="L639" s="368"/>
      <c r="M639" s="279"/>
      <c r="O639" s="368"/>
      <c r="P639" s="279"/>
      <c r="R639" s="368"/>
      <c r="S639" s="279"/>
      <c r="U639" s="368"/>
      <c r="V639" s="279"/>
      <c r="W639" s="234"/>
      <c r="Y639" s="368"/>
      <c r="Z639" s="369"/>
      <c r="AA639" s="370"/>
    </row>
    <row r="640" spans="2:27" s="272" customFormat="1">
      <c r="B640" s="234"/>
      <c r="C640" s="368"/>
      <c r="D640" s="279"/>
      <c r="E640" s="234"/>
      <c r="F640" s="368"/>
      <c r="G640" s="279"/>
      <c r="I640" s="368"/>
      <c r="J640" s="279"/>
      <c r="L640" s="368"/>
      <c r="M640" s="279"/>
      <c r="O640" s="368"/>
      <c r="P640" s="279"/>
      <c r="R640" s="368"/>
      <c r="S640" s="279"/>
      <c r="U640" s="368"/>
      <c r="V640" s="279"/>
      <c r="W640" s="234"/>
      <c r="Y640" s="368"/>
      <c r="Z640" s="369"/>
      <c r="AA640" s="370"/>
    </row>
    <row r="641" spans="2:27" s="272" customFormat="1">
      <c r="B641" s="234"/>
      <c r="C641" s="368"/>
      <c r="D641" s="279"/>
      <c r="E641" s="234"/>
      <c r="F641" s="368"/>
      <c r="G641" s="279"/>
      <c r="I641" s="368"/>
      <c r="J641" s="279"/>
      <c r="L641" s="368"/>
      <c r="M641" s="279"/>
      <c r="O641" s="368"/>
      <c r="P641" s="279"/>
      <c r="R641" s="368"/>
      <c r="S641" s="279"/>
      <c r="U641" s="368"/>
      <c r="V641" s="279"/>
      <c r="W641" s="234"/>
      <c r="Y641" s="368"/>
      <c r="Z641" s="369"/>
      <c r="AA641" s="370"/>
    </row>
    <row r="642" spans="2:27" s="272" customFormat="1">
      <c r="B642" s="234"/>
      <c r="C642" s="368"/>
      <c r="D642" s="279"/>
      <c r="E642" s="234"/>
      <c r="F642" s="368"/>
      <c r="G642" s="279"/>
      <c r="I642" s="368"/>
      <c r="J642" s="279"/>
      <c r="L642" s="368"/>
      <c r="M642" s="279"/>
      <c r="O642" s="368"/>
      <c r="P642" s="279"/>
      <c r="R642" s="368"/>
      <c r="S642" s="279"/>
      <c r="U642" s="368"/>
      <c r="V642" s="279"/>
      <c r="W642" s="234"/>
      <c r="Y642" s="368"/>
      <c r="Z642" s="369"/>
      <c r="AA642" s="370"/>
    </row>
    <row r="643" spans="2:27" s="272" customFormat="1">
      <c r="B643" s="234"/>
      <c r="C643" s="368"/>
      <c r="D643" s="279"/>
      <c r="E643" s="234"/>
      <c r="F643" s="368"/>
      <c r="G643" s="279"/>
      <c r="I643" s="368"/>
      <c r="J643" s="279"/>
      <c r="L643" s="368"/>
      <c r="M643" s="279"/>
      <c r="O643" s="368"/>
      <c r="P643" s="279"/>
      <c r="R643" s="368"/>
      <c r="S643" s="279"/>
      <c r="U643" s="368"/>
      <c r="V643" s="279"/>
      <c r="W643" s="234"/>
      <c r="Y643" s="368"/>
      <c r="Z643" s="369"/>
      <c r="AA643" s="370"/>
    </row>
    <row r="644" spans="2:27" s="272" customFormat="1">
      <c r="B644" s="234"/>
      <c r="C644" s="368"/>
      <c r="D644" s="279"/>
      <c r="E644" s="234"/>
      <c r="F644" s="368"/>
      <c r="G644" s="279"/>
      <c r="I644" s="368"/>
      <c r="J644" s="279"/>
      <c r="L644" s="368"/>
      <c r="M644" s="279"/>
      <c r="O644" s="368"/>
      <c r="P644" s="279"/>
      <c r="R644" s="368"/>
      <c r="S644" s="279"/>
      <c r="U644" s="368"/>
      <c r="V644" s="279"/>
      <c r="W644" s="234"/>
      <c r="Y644" s="368"/>
      <c r="Z644" s="369"/>
      <c r="AA644" s="370"/>
    </row>
    <row r="645" spans="2:27" s="272" customFormat="1">
      <c r="B645" s="234"/>
      <c r="C645" s="368"/>
      <c r="D645" s="279"/>
      <c r="E645" s="234"/>
      <c r="F645" s="368"/>
      <c r="G645" s="279"/>
      <c r="I645" s="368"/>
      <c r="J645" s="279"/>
      <c r="L645" s="368"/>
      <c r="M645" s="279"/>
      <c r="O645" s="368"/>
      <c r="P645" s="279"/>
      <c r="R645" s="368"/>
      <c r="S645" s="279"/>
      <c r="U645" s="368"/>
      <c r="V645" s="279"/>
      <c r="W645" s="234"/>
      <c r="Y645" s="368"/>
      <c r="Z645" s="369"/>
      <c r="AA645" s="370"/>
    </row>
    <row r="646" spans="2:27" s="272" customFormat="1">
      <c r="B646" s="234"/>
      <c r="C646" s="368"/>
      <c r="D646" s="279"/>
      <c r="E646" s="234"/>
      <c r="F646" s="368"/>
      <c r="G646" s="279"/>
      <c r="I646" s="368"/>
      <c r="J646" s="279"/>
      <c r="L646" s="368"/>
      <c r="M646" s="279"/>
      <c r="O646" s="368"/>
      <c r="P646" s="279"/>
      <c r="R646" s="368"/>
      <c r="S646" s="279"/>
      <c r="U646" s="368"/>
      <c r="V646" s="279"/>
      <c r="W646" s="234"/>
      <c r="Y646" s="368"/>
      <c r="Z646" s="369"/>
      <c r="AA646" s="370"/>
    </row>
    <row r="647" spans="2:27" s="272" customFormat="1">
      <c r="B647" s="234"/>
      <c r="C647" s="368"/>
      <c r="D647" s="279"/>
      <c r="E647" s="234"/>
      <c r="F647" s="368"/>
      <c r="G647" s="279"/>
      <c r="I647" s="368"/>
      <c r="J647" s="279"/>
      <c r="L647" s="368"/>
      <c r="M647" s="279"/>
      <c r="O647" s="368"/>
      <c r="P647" s="279"/>
      <c r="R647" s="368"/>
      <c r="S647" s="279"/>
      <c r="U647" s="368"/>
      <c r="V647" s="279"/>
      <c r="W647" s="234"/>
      <c r="Y647" s="368"/>
      <c r="Z647" s="369"/>
      <c r="AA647" s="370"/>
    </row>
    <row r="648" spans="2:27" s="272" customFormat="1">
      <c r="B648" s="234"/>
      <c r="C648" s="368"/>
      <c r="D648" s="279"/>
      <c r="E648" s="234"/>
      <c r="F648" s="368"/>
      <c r="G648" s="279"/>
      <c r="I648" s="368"/>
      <c r="J648" s="279"/>
      <c r="L648" s="368"/>
      <c r="M648" s="279"/>
      <c r="O648" s="368"/>
      <c r="P648" s="279"/>
      <c r="R648" s="368"/>
      <c r="S648" s="279"/>
      <c r="U648" s="368"/>
      <c r="V648" s="279"/>
      <c r="W648" s="234"/>
      <c r="Y648" s="368"/>
      <c r="Z648" s="369"/>
      <c r="AA648" s="370"/>
    </row>
    <row r="649" spans="2:27" s="272" customFormat="1">
      <c r="B649" s="234"/>
      <c r="C649" s="368"/>
      <c r="D649" s="279"/>
      <c r="E649" s="234"/>
      <c r="F649" s="368"/>
      <c r="G649" s="279"/>
      <c r="I649" s="368"/>
      <c r="J649" s="279"/>
      <c r="L649" s="368"/>
      <c r="M649" s="279"/>
      <c r="O649" s="368"/>
      <c r="P649" s="279"/>
      <c r="R649" s="368"/>
      <c r="S649" s="279"/>
      <c r="U649" s="368"/>
      <c r="V649" s="279"/>
      <c r="W649" s="234"/>
      <c r="Y649" s="368"/>
      <c r="Z649" s="369"/>
      <c r="AA649" s="370"/>
    </row>
    <row r="650" spans="2:27" s="272" customFormat="1">
      <c r="B650" s="234"/>
      <c r="C650" s="368"/>
      <c r="D650" s="279"/>
      <c r="E650" s="234"/>
      <c r="F650" s="368"/>
      <c r="G650" s="279"/>
      <c r="I650" s="368"/>
      <c r="J650" s="279"/>
      <c r="L650" s="368"/>
      <c r="M650" s="279"/>
      <c r="O650" s="368"/>
      <c r="P650" s="279"/>
      <c r="R650" s="368"/>
      <c r="S650" s="279"/>
      <c r="U650" s="368"/>
      <c r="V650" s="279"/>
      <c r="W650" s="234"/>
      <c r="Y650" s="368"/>
      <c r="Z650" s="369"/>
      <c r="AA650" s="370"/>
    </row>
    <row r="651" spans="2:27" s="272" customFormat="1">
      <c r="B651" s="234"/>
      <c r="C651" s="368"/>
      <c r="D651" s="279"/>
      <c r="E651" s="234"/>
      <c r="F651" s="368"/>
      <c r="G651" s="279"/>
      <c r="I651" s="368"/>
      <c r="J651" s="279"/>
      <c r="L651" s="368"/>
      <c r="M651" s="279"/>
      <c r="O651" s="368"/>
      <c r="P651" s="279"/>
      <c r="R651" s="368"/>
      <c r="S651" s="279"/>
      <c r="U651" s="368"/>
      <c r="V651" s="279"/>
      <c r="W651" s="234"/>
      <c r="Y651" s="368"/>
      <c r="Z651" s="369"/>
      <c r="AA651" s="370"/>
    </row>
    <row r="652" spans="2:27" s="272" customFormat="1">
      <c r="B652" s="234"/>
      <c r="C652" s="368"/>
      <c r="D652" s="279"/>
      <c r="E652" s="234"/>
      <c r="F652" s="368"/>
      <c r="G652" s="279"/>
      <c r="I652" s="368"/>
      <c r="J652" s="279"/>
      <c r="L652" s="368"/>
      <c r="M652" s="279"/>
      <c r="O652" s="368"/>
      <c r="P652" s="279"/>
      <c r="R652" s="368"/>
      <c r="S652" s="279"/>
      <c r="U652" s="368"/>
      <c r="V652" s="279"/>
      <c r="W652" s="234"/>
      <c r="Y652" s="368"/>
      <c r="Z652" s="369"/>
      <c r="AA652" s="370"/>
    </row>
    <row r="653" spans="2:27" s="272" customFormat="1">
      <c r="B653" s="234"/>
      <c r="C653" s="368"/>
      <c r="D653" s="279"/>
      <c r="E653" s="234"/>
      <c r="F653" s="368"/>
      <c r="G653" s="279"/>
      <c r="I653" s="368"/>
      <c r="J653" s="279"/>
      <c r="L653" s="368"/>
      <c r="M653" s="279"/>
      <c r="O653" s="368"/>
      <c r="P653" s="279"/>
      <c r="R653" s="368"/>
      <c r="S653" s="279"/>
      <c r="U653" s="368"/>
      <c r="V653" s="279"/>
      <c r="W653" s="234"/>
      <c r="Y653" s="368"/>
      <c r="Z653" s="369"/>
      <c r="AA653" s="370"/>
    </row>
    <row r="654" spans="2:27" s="272" customFormat="1">
      <c r="B654" s="234"/>
      <c r="C654" s="368"/>
      <c r="D654" s="279"/>
      <c r="E654" s="234"/>
      <c r="F654" s="368"/>
      <c r="G654" s="279"/>
      <c r="I654" s="368"/>
      <c r="J654" s="279"/>
      <c r="L654" s="368"/>
      <c r="M654" s="279"/>
      <c r="O654" s="368"/>
      <c r="P654" s="279"/>
      <c r="R654" s="368"/>
      <c r="S654" s="279"/>
      <c r="U654" s="368"/>
      <c r="V654" s="279"/>
      <c r="W654" s="234"/>
      <c r="Y654" s="368"/>
      <c r="Z654" s="369"/>
      <c r="AA654" s="370"/>
    </row>
    <row r="655" spans="2:27" s="272" customFormat="1">
      <c r="B655" s="234"/>
      <c r="C655" s="368"/>
      <c r="D655" s="279"/>
      <c r="E655" s="234"/>
      <c r="F655" s="368"/>
      <c r="G655" s="279"/>
      <c r="I655" s="368"/>
      <c r="J655" s="279"/>
      <c r="L655" s="368"/>
      <c r="M655" s="279"/>
      <c r="O655" s="368"/>
      <c r="P655" s="279"/>
      <c r="R655" s="368"/>
      <c r="S655" s="279"/>
      <c r="U655" s="368"/>
      <c r="V655" s="279"/>
      <c r="W655" s="234"/>
      <c r="Y655" s="368"/>
      <c r="Z655" s="369"/>
      <c r="AA655" s="370"/>
    </row>
    <row r="656" spans="2:27" s="272" customFormat="1">
      <c r="B656" s="234"/>
      <c r="C656" s="368"/>
      <c r="D656" s="279"/>
      <c r="E656" s="234"/>
      <c r="F656" s="368"/>
      <c r="G656" s="279"/>
      <c r="I656" s="368"/>
      <c r="J656" s="279"/>
      <c r="L656" s="368"/>
      <c r="M656" s="279"/>
      <c r="O656" s="368"/>
      <c r="P656" s="279"/>
      <c r="R656" s="368"/>
      <c r="S656" s="279"/>
      <c r="U656" s="368"/>
      <c r="V656" s="279"/>
      <c r="W656" s="234"/>
      <c r="Y656" s="368"/>
      <c r="Z656" s="369"/>
      <c r="AA656" s="370"/>
    </row>
    <row r="657" spans="2:27" s="272" customFormat="1">
      <c r="B657" s="234"/>
      <c r="C657" s="368"/>
      <c r="D657" s="279"/>
      <c r="E657" s="234"/>
      <c r="F657" s="368"/>
      <c r="G657" s="279"/>
      <c r="I657" s="368"/>
      <c r="J657" s="279"/>
      <c r="L657" s="368"/>
      <c r="M657" s="279"/>
      <c r="O657" s="368"/>
      <c r="P657" s="279"/>
      <c r="R657" s="368"/>
      <c r="S657" s="279"/>
      <c r="U657" s="368"/>
      <c r="V657" s="279"/>
      <c r="W657" s="234"/>
      <c r="Y657" s="368"/>
      <c r="Z657" s="369"/>
      <c r="AA657" s="370"/>
    </row>
    <row r="658" spans="2:27" s="272" customFormat="1">
      <c r="B658" s="234"/>
      <c r="C658" s="368"/>
      <c r="D658" s="279"/>
      <c r="E658" s="234"/>
      <c r="F658" s="368"/>
      <c r="G658" s="279"/>
      <c r="I658" s="368"/>
      <c r="J658" s="279"/>
      <c r="L658" s="368"/>
      <c r="M658" s="279"/>
      <c r="O658" s="368"/>
      <c r="P658" s="279"/>
      <c r="R658" s="368"/>
      <c r="S658" s="279"/>
      <c r="U658" s="368"/>
      <c r="V658" s="279"/>
      <c r="W658" s="234"/>
      <c r="Y658" s="368"/>
      <c r="Z658" s="369"/>
      <c r="AA658" s="370"/>
    </row>
    <row r="659" spans="2:27" s="272" customFormat="1">
      <c r="B659" s="234"/>
      <c r="C659" s="368"/>
      <c r="D659" s="279"/>
      <c r="E659" s="234"/>
      <c r="F659" s="368"/>
      <c r="G659" s="279"/>
      <c r="I659" s="368"/>
      <c r="J659" s="279"/>
      <c r="L659" s="368"/>
      <c r="M659" s="279"/>
      <c r="O659" s="368"/>
      <c r="P659" s="279"/>
      <c r="R659" s="368"/>
      <c r="S659" s="279"/>
      <c r="U659" s="368"/>
      <c r="V659" s="279"/>
      <c r="W659" s="234"/>
      <c r="Y659" s="368"/>
      <c r="Z659" s="369"/>
      <c r="AA659" s="370"/>
    </row>
    <row r="660" spans="2:27" s="272" customFormat="1">
      <c r="B660" s="234"/>
      <c r="C660" s="368"/>
      <c r="D660" s="279"/>
      <c r="E660" s="234"/>
      <c r="F660" s="368"/>
      <c r="G660" s="279"/>
      <c r="I660" s="368"/>
      <c r="J660" s="279"/>
      <c r="L660" s="368"/>
      <c r="M660" s="279"/>
      <c r="O660" s="368"/>
      <c r="P660" s="279"/>
      <c r="R660" s="368"/>
      <c r="S660" s="279"/>
      <c r="U660" s="368"/>
      <c r="V660" s="279"/>
      <c r="W660" s="234"/>
      <c r="Y660" s="368"/>
      <c r="Z660" s="369"/>
      <c r="AA660" s="370"/>
    </row>
    <row r="661" spans="2:27" s="272" customFormat="1">
      <c r="B661" s="234"/>
      <c r="C661" s="368"/>
      <c r="D661" s="279"/>
      <c r="E661" s="234"/>
      <c r="F661" s="368"/>
      <c r="G661" s="279"/>
      <c r="I661" s="368"/>
      <c r="J661" s="279"/>
      <c r="L661" s="368"/>
      <c r="M661" s="279"/>
      <c r="O661" s="368"/>
      <c r="P661" s="279"/>
      <c r="R661" s="368"/>
      <c r="S661" s="279"/>
      <c r="U661" s="368"/>
      <c r="V661" s="279"/>
      <c r="W661" s="234"/>
      <c r="Y661" s="368"/>
      <c r="Z661" s="369"/>
      <c r="AA661" s="370"/>
    </row>
    <row r="662" spans="2:27" s="272" customFormat="1">
      <c r="B662" s="234"/>
      <c r="C662" s="368"/>
      <c r="D662" s="279"/>
      <c r="E662" s="234"/>
      <c r="F662" s="368"/>
      <c r="G662" s="279"/>
      <c r="I662" s="368"/>
      <c r="J662" s="279"/>
      <c r="L662" s="368"/>
      <c r="M662" s="279"/>
      <c r="O662" s="368"/>
      <c r="P662" s="279"/>
      <c r="R662" s="368"/>
      <c r="S662" s="279"/>
      <c r="U662" s="368"/>
      <c r="V662" s="279"/>
      <c r="W662" s="234"/>
      <c r="Y662" s="368"/>
      <c r="Z662" s="369"/>
      <c r="AA662" s="370"/>
    </row>
    <row r="663" spans="2:27" s="272" customFormat="1">
      <c r="B663" s="234"/>
      <c r="C663" s="368"/>
      <c r="D663" s="279"/>
      <c r="E663" s="234"/>
      <c r="F663" s="368"/>
      <c r="G663" s="279"/>
      <c r="I663" s="368"/>
      <c r="J663" s="279"/>
      <c r="L663" s="368"/>
      <c r="M663" s="279"/>
      <c r="O663" s="368"/>
      <c r="P663" s="279"/>
      <c r="R663" s="368"/>
      <c r="S663" s="279"/>
      <c r="U663" s="368"/>
      <c r="V663" s="279"/>
      <c r="W663" s="234"/>
      <c r="Y663" s="368"/>
      <c r="Z663" s="369"/>
      <c r="AA663" s="370"/>
    </row>
    <row r="664" spans="2:27" s="272" customFormat="1">
      <c r="B664" s="234"/>
      <c r="C664" s="368"/>
      <c r="D664" s="279"/>
      <c r="E664" s="234"/>
      <c r="F664" s="368"/>
      <c r="G664" s="279"/>
      <c r="I664" s="368"/>
      <c r="J664" s="279"/>
      <c r="L664" s="368"/>
      <c r="M664" s="279"/>
      <c r="O664" s="368"/>
      <c r="P664" s="279"/>
      <c r="R664" s="368"/>
      <c r="S664" s="279"/>
      <c r="U664" s="368"/>
      <c r="V664" s="279"/>
      <c r="W664" s="234"/>
      <c r="Y664" s="368"/>
      <c r="Z664" s="369"/>
      <c r="AA664" s="370"/>
    </row>
    <row r="665" spans="2:27" s="272" customFormat="1">
      <c r="B665" s="234"/>
      <c r="C665" s="368"/>
      <c r="D665" s="279"/>
      <c r="E665" s="234"/>
      <c r="F665" s="368"/>
      <c r="G665" s="279"/>
      <c r="I665" s="368"/>
      <c r="J665" s="279"/>
      <c r="L665" s="368"/>
      <c r="M665" s="279"/>
      <c r="O665" s="368"/>
      <c r="P665" s="279"/>
      <c r="R665" s="368"/>
      <c r="S665" s="279"/>
      <c r="U665" s="368"/>
      <c r="V665" s="279"/>
      <c r="W665" s="234"/>
      <c r="Y665" s="368"/>
      <c r="Z665" s="369"/>
      <c r="AA665" s="370"/>
    </row>
    <row r="666" spans="2:27" s="272" customFormat="1">
      <c r="B666" s="234"/>
      <c r="C666" s="368"/>
      <c r="D666" s="279"/>
      <c r="E666" s="234"/>
      <c r="F666" s="368"/>
      <c r="G666" s="279"/>
      <c r="I666" s="368"/>
      <c r="J666" s="279"/>
      <c r="L666" s="368"/>
      <c r="M666" s="279"/>
      <c r="O666" s="368"/>
      <c r="P666" s="279"/>
      <c r="R666" s="368"/>
      <c r="S666" s="279"/>
      <c r="U666" s="368"/>
      <c r="V666" s="279"/>
      <c r="W666" s="234"/>
      <c r="Y666" s="368"/>
      <c r="Z666" s="369"/>
      <c r="AA666" s="370"/>
    </row>
    <row r="667" spans="2:27" s="272" customFormat="1">
      <c r="B667" s="234"/>
      <c r="C667" s="368"/>
      <c r="D667" s="279"/>
      <c r="E667" s="234"/>
      <c r="F667" s="368"/>
      <c r="G667" s="279"/>
      <c r="I667" s="368"/>
      <c r="J667" s="279"/>
      <c r="L667" s="368"/>
      <c r="M667" s="279"/>
      <c r="O667" s="368"/>
      <c r="P667" s="279"/>
      <c r="R667" s="368"/>
      <c r="S667" s="279"/>
      <c r="U667" s="368"/>
      <c r="V667" s="279"/>
      <c r="W667" s="234"/>
      <c r="Y667" s="368"/>
      <c r="Z667" s="369"/>
      <c r="AA667" s="370"/>
    </row>
    <row r="668" spans="2:27" s="272" customFormat="1">
      <c r="B668" s="234"/>
      <c r="C668" s="368"/>
      <c r="D668" s="279"/>
      <c r="E668" s="234"/>
      <c r="F668" s="368"/>
      <c r="G668" s="279"/>
      <c r="I668" s="368"/>
      <c r="J668" s="279"/>
      <c r="L668" s="368"/>
      <c r="M668" s="279"/>
      <c r="O668" s="368"/>
      <c r="P668" s="279"/>
      <c r="R668" s="368"/>
      <c r="S668" s="279"/>
      <c r="U668" s="368"/>
      <c r="V668" s="279"/>
      <c r="W668" s="234"/>
      <c r="Y668" s="368"/>
      <c r="Z668" s="369"/>
      <c r="AA668" s="370"/>
    </row>
    <row r="669" spans="2:27" s="272" customFormat="1">
      <c r="B669" s="234"/>
      <c r="C669" s="368"/>
      <c r="D669" s="279"/>
      <c r="E669" s="234"/>
      <c r="F669" s="368"/>
      <c r="G669" s="279"/>
      <c r="I669" s="368"/>
      <c r="J669" s="279"/>
      <c r="L669" s="368"/>
      <c r="M669" s="279"/>
      <c r="O669" s="368"/>
      <c r="P669" s="279"/>
      <c r="R669" s="368"/>
      <c r="S669" s="279"/>
      <c r="U669" s="368"/>
      <c r="V669" s="279"/>
      <c r="W669" s="234"/>
      <c r="Y669" s="368"/>
      <c r="Z669" s="369"/>
      <c r="AA669" s="370"/>
    </row>
    <row r="670" spans="2:27" s="272" customFormat="1">
      <c r="B670" s="234"/>
      <c r="C670" s="368"/>
      <c r="D670" s="279"/>
      <c r="E670" s="234"/>
      <c r="F670" s="368"/>
      <c r="G670" s="279"/>
      <c r="I670" s="368"/>
      <c r="J670" s="279"/>
      <c r="L670" s="368"/>
      <c r="M670" s="279"/>
      <c r="O670" s="368"/>
      <c r="P670" s="279"/>
      <c r="R670" s="368"/>
      <c r="S670" s="279"/>
      <c r="U670" s="368"/>
      <c r="V670" s="279"/>
      <c r="W670" s="234"/>
      <c r="Y670" s="368"/>
      <c r="Z670" s="369"/>
      <c r="AA670" s="370"/>
    </row>
    <row r="671" spans="2:27" s="272" customFormat="1">
      <c r="B671" s="234"/>
      <c r="C671" s="368"/>
      <c r="D671" s="279"/>
      <c r="E671" s="234"/>
      <c r="F671" s="368"/>
      <c r="G671" s="279"/>
      <c r="I671" s="368"/>
      <c r="J671" s="279"/>
      <c r="L671" s="368"/>
      <c r="M671" s="279"/>
      <c r="O671" s="368"/>
      <c r="P671" s="279"/>
      <c r="R671" s="368"/>
      <c r="S671" s="279"/>
      <c r="U671" s="368"/>
      <c r="V671" s="279"/>
      <c r="W671" s="234"/>
      <c r="Y671" s="368"/>
      <c r="Z671" s="369"/>
      <c r="AA671" s="370"/>
    </row>
    <row r="672" spans="2:27" s="272" customFormat="1">
      <c r="B672" s="234"/>
      <c r="C672" s="368"/>
      <c r="D672" s="279"/>
      <c r="E672" s="234"/>
      <c r="F672" s="368"/>
      <c r="G672" s="279"/>
      <c r="I672" s="368"/>
      <c r="J672" s="279"/>
      <c r="L672" s="368"/>
      <c r="M672" s="279"/>
      <c r="O672" s="368"/>
      <c r="P672" s="279"/>
      <c r="R672" s="368"/>
      <c r="S672" s="279"/>
      <c r="U672" s="368"/>
      <c r="V672" s="279"/>
      <c r="W672" s="234"/>
      <c r="Y672" s="368"/>
      <c r="Z672" s="369"/>
      <c r="AA672" s="370"/>
    </row>
    <row r="673" spans="2:27" s="272" customFormat="1">
      <c r="B673" s="234"/>
      <c r="C673" s="368"/>
      <c r="D673" s="279"/>
      <c r="E673" s="234"/>
      <c r="F673" s="368"/>
      <c r="G673" s="279"/>
      <c r="I673" s="368"/>
      <c r="J673" s="279"/>
      <c r="L673" s="368"/>
      <c r="M673" s="279"/>
      <c r="O673" s="368"/>
      <c r="P673" s="279"/>
      <c r="R673" s="368"/>
      <c r="S673" s="279"/>
      <c r="U673" s="368"/>
      <c r="V673" s="279"/>
      <c r="W673" s="234"/>
      <c r="Y673" s="368"/>
      <c r="Z673" s="369"/>
      <c r="AA673" s="370"/>
    </row>
    <row r="674" spans="2:27" s="272" customFormat="1">
      <c r="B674" s="234"/>
      <c r="C674" s="368"/>
      <c r="D674" s="279"/>
      <c r="E674" s="234"/>
      <c r="F674" s="368"/>
      <c r="G674" s="279"/>
      <c r="I674" s="368"/>
      <c r="J674" s="279"/>
      <c r="L674" s="368"/>
      <c r="M674" s="279"/>
      <c r="O674" s="368"/>
      <c r="P674" s="279"/>
      <c r="R674" s="368"/>
      <c r="S674" s="279"/>
      <c r="U674" s="368"/>
      <c r="V674" s="279"/>
      <c r="W674" s="234"/>
      <c r="Y674" s="368"/>
      <c r="Z674" s="369"/>
      <c r="AA674" s="370"/>
    </row>
    <row r="675" spans="2:27" s="272" customFormat="1">
      <c r="B675" s="234"/>
      <c r="C675" s="368"/>
      <c r="D675" s="279"/>
      <c r="E675" s="234"/>
      <c r="F675" s="368"/>
      <c r="G675" s="279"/>
      <c r="I675" s="368"/>
      <c r="J675" s="279"/>
      <c r="L675" s="368"/>
      <c r="M675" s="279"/>
      <c r="O675" s="368"/>
      <c r="P675" s="279"/>
      <c r="R675" s="368"/>
      <c r="S675" s="279"/>
      <c r="U675" s="368"/>
      <c r="V675" s="279"/>
      <c r="W675" s="234"/>
      <c r="Y675" s="368"/>
      <c r="Z675" s="369"/>
      <c r="AA675" s="370"/>
    </row>
    <row r="676" spans="2:27" s="272" customFormat="1">
      <c r="B676" s="234"/>
      <c r="C676" s="368"/>
      <c r="D676" s="279"/>
      <c r="E676" s="234"/>
      <c r="F676" s="368"/>
      <c r="G676" s="279"/>
      <c r="I676" s="368"/>
      <c r="J676" s="279"/>
      <c r="L676" s="368"/>
      <c r="M676" s="279"/>
      <c r="O676" s="368"/>
      <c r="P676" s="279"/>
      <c r="R676" s="368"/>
      <c r="S676" s="279"/>
      <c r="U676" s="368"/>
      <c r="V676" s="279"/>
      <c r="W676" s="234"/>
      <c r="Y676" s="368"/>
      <c r="Z676" s="369"/>
      <c r="AA676" s="370"/>
    </row>
    <row r="677" spans="2:27" s="272" customFormat="1">
      <c r="B677" s="234"/>
      <c r="C677" s="368"/>
      <c r="D677" s="279"/>
      <c r="E677" s="234"/>
      <c r="F677" s="368"/>
      <c r="G677" s="279"/>
      <c r="I677" s="368"/>
      <c r="J677" s="279"/>
      <c r="L677" s="368"/>
      <c r="M677" s="279"/>
      <c r="O677" s="368"/>
      <c r="P677" s="279"/>
      <c r="R677" s="368"/>
      <c r="S677" s="279"/>
      <c r="U677" s="368"/>
      <c r="V677" s="279"/>
      <c r="W677" s="234"/>
      <c r="Y677" s="368"/>
      <c r="Z677" s="369"/>
      <c r="AA677" s="370"/>
    </row>
    <row r="678" spans="2:27" s="272" customFormat="1">
      <c r="B678" s="234"/>
      <c r="C678" s="368"/>
      <c r="D678" s="279"/>
      <c r="E678" s="234"/>
      <c r="F678" s="368"/>
      <c r="G678" s="279"/>
      <c r="I678" s="368"/>
      <c r="J678" s="279"/>
      <c r="L678" s="368"/>
      <c r="M678" s="279"/>
      <c r="O678" s="368"/>
      <c r="P678" s="279"/>
      <c r="R678" s="368"/>
      <c r="S678" s="279"/>
      <c r="U678" s="368"/>
      <c r="V678" s="279"/>
      <c r="W678" s="234"/>
      <c r="Y678" s="368"/>
      <c r="Z678" s="369"/>
      <c r="AA678" s="370"/>
    </row>
    <row r="679" spans="2:27" s="272" customFormat="1">
      <c r="B679" s="234"/>
      <c r="C679" s="368"/>
      <c r="D679" s="279"/>
      <c r="E679" s="234"/>
      <c r="F679" s="368"/>
      <c r="G679" s="279"/>
      <c r="I679" s="368"/>
      <c r="J679" s="279"/>
      <c r="L679" s="368"/>
      <c r="M679" s="279"/>
      <c r="O679" s="368"/>
      <c r="P679" s="279"/>
      <c r="R679" s="368"/>
      <c r="S679" s="279"/>
      <c r="U679" s="368"/>
      <c r="V679" s="279"/>
      <c r="W679" s="234"/>
      <c r="Y679" s="368"/>
      <c r="Z679" s="369"/>
      <c r="AA679" s="370"/>
    </row>
    <row r="680" spans="2:27" s="272" customFormat="1">
      <c r="B680" s="234"/>
      <c r="C680" s="368"/>
      <c r="D680" s="279"/>
      <c r="E680" s="234"/>
      <c r="F680" s="368"/>
      <c r="G680" s="279"/>
      <c r="I680" s="368"/>
      <c r="J680" s="279"/>
      <c r="L680" s="368"/>
      <c r="M680" s="279"/>
      <c r="O680" s="368"/>
      <c r="P680" s="279"/>
      <c r="R680" s="368"/>
      <c r="S680" s="279"/>
      <c r="U680" s="368"/>
      <c r="V680" s="279"/>
      <c r="W680" s="234"/>
      <c r="Y680" s="368"/>
      <c r="Z680" s="369"/>
      <c r="AA680" s="370"/>
    </row>
    <row r="681" spans="2:27" s="272" customFormat="1">
      <c r="B681" s="234"/>
      <c r="C681" s="368"/>
      <c r="D681" s="279"/>
      <c r="E681" s="234"/>
      <c r="F681" s="368"/>
      <c r="G681" s="279"/>
      <c r="I681" s="368"/>
      <c r="J681" s="279"/>
      <c r="L681" s="368"/>
      <c r="M681" s="279"/>
      <c r="O681" s="368"/>
      <c r="P681" s="279"/>
      <c r="R681" s="368"/>
      <c r="S681" s="279"/>
      <c r="U681" s="368"/>
      <c r="V681" s="279"/>
      <c r="W681" s="234"/>
      <c r="Y681" s="368"/>
      <c r="Z681" s="369"/>
      <c r="AA681" s="370"/>
    </row>
    <row r="682" spans="2:27" s="272" customFormat="1">
      <c r="B682" s="234"/>
      <c r="C682" s="368"/>
      <c r="D682" s="279"/>
      <c r="E682" s="234"/>
      <c r="F682" s="368"/>
      <c r="G682" s="279"/>
      <c r="I682" s="368"/>
      <c r="J682" s="279"/>
      <c r="L682" s="368"/>
      <c r="M682" s="279"/>
      <c r="O682" s="368"/>
      <c r="P682" s="279"/>
      <c r="R682" s="368"/>
      <c r="S682" s="279"/>
      <c r="U682" s="368"/>
      <c r="V682" s="279"/>
      <c r="W682" s="234"/>
      <c r="Y682" s="368"/>
      <c r="Z682" s="369"/>
      <c r="AA682" s="370"/>
    </row>
    <row r="683" spans="2:27" s="272" customFormat="1">
      <c r="B683" s="234"/>
      <c r="C683" s="368"/>
      <c r="D683" s="279"/>
      <c r="E683" s="234"/>
      <c r="F683" s="368"/>
      <c r="G683" s="279"/>
      <c r="I683" s="368"/>
      <c r="J683" s="279"/>
      <c r="L683" s="368"/>
      <c r="M683" s="279"/>
      <c r="O683" s="368"/>
      <c r="P683" s="279"/>
      <c r="R683" s="368"/>
      <c r="S683" s="279"/>
      <c r="U683" s="368"/>
      <c r="V683" s="279"/>
      <c r="W683" s="234"/>
      <c r="Y683" s="368"/>
      <c r="Z683" s="369"/>
      <c r="AA683" s="370"/>
    </row>
    <row r="684" spans="2:27" s="272" customFormat="1">
      <c r="B684" s="234"/>
      <c r="C684" s="368"/>
      <c r="D684" s="279"/>
      <c r="E684" s="234"/>
      <c r="F684" s="368"/>
      <c r="G684" s="279"/>
      <c r="I684" s="368"/>
      <c r="J684" s="279"/>
      <c r="L684" s="368"/>
      <c r="M684" s="279"/>
      <c r="O684" s="368"/>
      <c r="P684" s="279"/>
      <c r="R684" s="368"/>
      <c r="S684" s="279"/>
      <c r="U684" s="368"/>
      <c r="V684" s="279"/>
      <c r="W684" s="234"/>
      <c r="Y684" s="368"/>
      <c r="Z684" s="369"/>
      <c r="AA684" s="370"/>
    </row>
    <row r="685" spans="2:27" s="272" customFormat="1">
      <c r="B685" s="234"/>
      <c r="C685" s="368"/>
      <c r="D685" s="279"/>
      <c r="E685" s="234"/>
      <c r="F685" s="368"/>
      <c r="G685" s="279"/>
      <c r="I685" s="368"/>
      <c r="J685" s="279"/>
      <c r="L685" s="368"/>
      <c r="M685" s="279"/>
      <c r="O685" s="368"/>
      <c r="P685" s="279"/>
      <c r="R685" s="368"/>
      <c r="S685" s="279"/>
      <c r="U685" s="368"/>
      <c r="V685" s="279"/>
      <c r="W685" s="234"/>
      <c r="Y685" s="368"/>
      <c r="Z685" s="369"/>
      <c r="AA685" s="370"/>
    </row>
    <row r="686" spans="2:27" s="272" customFormat="1">
      <c r="B686" s="234"/>
      <c r="C686" s="368"/>
      <c r="D686" s="279"/>
      <c r="E686" s="234"/>
      <c r="F686" s="368"/>
      <c r="G686" s="279"/>
      <c r="I686" s="368"/>
      <c r="J686" s="279"/>
      <c r="L686" s="368"/>
      <c r="M686" s="279"/>
      <c r="O686" s="368"/>
      <c r="P686" s="279"/>
      <c r="R686" s="368"/>
      <c r="S686" s="279"/>
      <c r="U686" s="368"/>
      <c r="V686" s="279"/>
      <c r="W686" s="234"/>
      <c r="Y686" s="368"/>
      <c r="Z686" s="369"/>
      <c r="AA686" s="370"/>
    </row>
    <row r="687" spans="2:27" s="272" customFormat="1">
      <c r="B687" s="234"/>
      <c r="C687" s="368"/>
      <c r="D687" s="279"/>
      <c r="E687" s="234"/>
      <c r="F687" s="368"/>
      <c r="G687" s="279"/>
      <c r="I687" s="368"/>
      <c r="J687" s="279"/>
      <c r="L687" s="368"/>
      <c r="M687" s="279"/>
      <c r="O687" s="368"/>
      <c r="P687" s="279"/>
      <c r="R687" s="368"/>
      <c r="S687" s="279"/>
      <c r="U687" s="368"/>
      <c r="V687" s="279"/>
      <c r="W687" s="234"/>
      <c r="Y687" s="368"/>
      <c r="Z687" s="369"/>
      <c r="AA687" s="370"/>
    </row>
    <row r="688" spans="2:27" s="272" customFormat="1">
      <c r="B688" s="234"/>
      <c r="C688" s="368"/>
      <c r="D688" s="279"/>
      <c r="E688" s="234"/>
      <c r="F688" s="368"/>
      <c r="G688" s="279"/>
      <c r="I688" s="368"/>
      <c r="J688" s="279"/>
      <c r="L688" s="368"/>
      <c r="M688" s="279"/>
      <c r="O688" s="368"/>
      <c r="P688" s="279"/>
      <c r="R688" s="368"/>
      <c r="S688" s="279"/>
      <c r="U688" s="368"/>
      <c r="V688" s="279"/>
      <c r="W688" s="234"/>
      <c r="Y688" s="368"/>
      <c r="Z688" s="369"/>
      <c r="AA688" s="370"/>
    </row>
    <row r="689" spans="2:27" s="272" customFormat="1">
      <c r="B689" s="234"/>
      <c r="C689" s="368"/>
      <c r="D689" s="279"/>
      <c r="E689" s="234"/>
      <c r="F689" s="368"/>
      <c r="G689" s="279"/>
      <c r="I689" s="368"/>
      <c r="J689" s="279"/>
      <c r="L689" s="368"/>
      <c r="M689" s="279"/>
      <c r="O689" s="368"/>
      <c r="P689" s="279"/>
      <c r="R689" s="368"/>
      <c r="S689" s="279"/>
      <c r="U689" s="368"/>
      <c r="V689" s="279"/>
      <c r="W689" s="234"/>
      <c r="Y689" s="368"/>
      <c r="Z689" s="369"/>
      <c r="AA689" s="370"/>
    </row>
    <row r="690" spans="2:27" s="272" customFormat="1">
      <c r="B690" s="234"/>
      <c r="C690" s="368"/>
      <c r="D690" s="279"/>
      <c r="E690" s="234"/>
      <c r="F690" s="368"/>
      <c r="G690" s="279"/>
      <c r="I690" s="368"/>
      <c r="J690" s="279"/>
      <c r="L690" s="368"/>
      <c r="M690" s="279"/>
      <c r="O690" s="368"/>
      <c r="P690" s="279"/>
      <c r="R690" s="368"/>
      <c r="S690" s="279"/>
      <c r="U690" s="368"/>
      <c r="V690" s="279"/>
      <c r="W690" s="234"/>
      <c r="Y690" s="368"/>
      <c r="Z690" s="369"/>
      <c r="AA690" s="370"/>
    </row>
    <row r="691" spans="2:27" s="272" customFormat="1">
      <c r="B691" s="234"/>
      <c r="C691" s="368"/>
      <c r="D691" s="279"/>
      <c r="E691" s="234"/>
      <c r="F691" s="368"/>
      <c r="G691" s="279"/>
      <c r="I691" s="368"/>
      <c r="J691" s="279"/>
      <c r="L691" s="368"/>
      <c r="M691" s="279"/>
      <c r="O691" s="368"/>
      <c r="P691" s="279"/>
      <c r="R691" s="368"/>
      <c r="S691" s="279"/>
      <c r="U691" s="368"/>
      <c r="V691" s="279"/>
      <c r="W691" s="234"/>
      <c r="Y691" s="368"/>
      <c r="Z691" s="369"/>
      <c r="AA691" s="370"/>
    </row>
    <row r="692" spans="2:27" s="272" customFormat="1">
      <c r="B692" s="234"/>
      <c r="C692" s="368"/>
      <c r="D692" s="279"/>
      <c r="E692" s="234"/>
      <c r="F692" s="368"/>
      <c r="G692" s="279"/>
      <c r="I692" s="368"/>
      <c r="J692" s="279"/>
      <c r="L692" s="368"/>
      <c r="M692" s="279"/>
      <c r="O692" s="368"/>
      <c r="P692" s="279"/>
      <c r="R692" s="368"/>
      <c r="S692" s="279"/>
      <c r="U692" s="368"/>
      <c r="V692" s="279"/>
      <c r="W692" s="234"/>
      <c r="Y692" s="368"/>
      <c r="Z692" s="369"/>
      <c r="AA692" s="370"/>
    </row>
    <row r="693" spans="2:27" s="272" customFormat="1">
      <c r="B693" s="234"/>
      <c r="C693" s="368"/>
      <c r="D693" s="279"/>
      <c r="E693" s="234"/>
      <c r="F693" s="368"/>
      <c r="G693" s="279"/>
      <c r="I693" s="368"/>
      <c r="J693" s="279"/>
      <c r="L693" s="368"/>
      <c r="M693" s="279"/>
      <c r="O693" s="368"/>
      <c r="P693" s="279"/>
      <c r="R693" s="368"/>
      <c r="S693" s="279"/>
      <c r="U693" s="368"/>
      <c r="V693" s="279"/>
      <c r="W693" s="234"/>
      <c r="Y693" s="368"/>
      <c r="Z693" s="369"/>
      <c r="AA693" s="370"/>
    </row>
    <row r="694" spans="2:27" s="272" customFormat="1">
      <c r="B694" s="234"/>
      <c r="C694" s="368"/>
      <c r="D694" s="279"/>
      <c r="E694" s="234"/>
      <c r="F694" s="368"/>
      <c r="G694" s="279"/>
      <c r="I694" s="368"/>
      <c r="J694" s="279"/>
      <c r="L694" s="368"/>
      <c r="M694" s="279"/>
      <c r="O694" s="368"/>
      <c r="P694" s="279"/>
      <c r="R694" s="368"/>
      <c r="S694" s="279"/>
      <c r="U694" s="368"/>
      <c r="V694" s="279"/>
      <c r="W694" s="234"/>
      <c r="Y694" s="368"/>
      <c r="Z694" s="369"/>
      <c r="AA694" s="370"/>
    </row>
    <row r="695" spans="2:27" s="272" customFormat="1">
      <c r="B695" s="234"/>
      <c r="C695" s="368"/>
      <c r="D695" s="279"/>
      <c r="E695" s="234"/>
      <c r="F695" s="368"/>
      <c r="G695" s="279"/>
      <c r="I695" s="368"/>
      <c r="J695" s="279"/>
      <c r="L695" s="368"/>
      <c r="M695" s="279"/>
      <c r="O695" s="368"/>
      <c r="P695" s="279"/>
      <c r="R695" s="368"/>
      <c r="S695" s="279"/>
      <c r="U695" s="368"/>
      <c r="V695" s="279"/>
      <c r="W695" s="234"/>
      <c r="Y695" s="368"/>
      <c r="Z695" s="369"/>
      <c r="AA695" s="370"/>
    </row>
    <row r="696" spans="2:27" s="272" customFormat="1">
      <c r="B696" s="234"/>
      <c r="C696" s="368"/>
      <c r="D696" s="279"/>
      <c r="E696" s="234"/>
      <c r="F696" s="368"/>
      <c r="G696" s="279"/>
      <c r="I696" s="368"/>
      <c r="J696" s="279"/>
      <c r="L696" s="368"/>
      <c r="M696" s="279"/>
      <c r="O696" s="368"/>
      <c r="P696" s="279"/>
      <c r="R696" s="368"/>
      <c r="S696" s="279"/>
      <c r="U696" s="368"/>
      <c r="V696" s="279"/>
      <c r="W696" s="234"/>
      <c r="Y696" s="368"/>
      <c r="Z696" s="369"/>
      <c r="AA696" s="370"/>
    </row>
    <row r="697" spans="2:27" s="272" customFormat="1">
      <c r="B697" s="234"/>
      <c r="C697" s="368"/>
      <c r="D697" s="279"/>
      <c r="E697" s="234"/>
      <c r="F697" s="368"/>
      <c r="G697" s="279"/>
      <c r="I697" s="368"/>
      <c r="J697" s="279"/>
      <c r="L697" s="368"/>
      <c r="M697" s="279"/>
      <c r="O697" s="368"/>
      <c r="P697" s="279"/>
      <c r="R697" s="368"/>
      <c r="S697" s="279"/>
      <c r="U697" s="368"/>
      <c r="V697" s="279"/>
      <c r="W697" s="234"/>
      <c r="Y697" s="368"/>
      <c r="Z697" s="369"/>
      <c r="AA697" s="370"/>
    </row>
    <row r="698" spans="2:27" s="272" customFormat="1">
      <c r="B698" s="234"/>
      <c r="C698" s="368"/>
      <c r="D698" s="279"/>
      <c r="E698" s="234"/>
      <c r="F698" s="368"/>
      <c r="G698" s="279"/>
      <c r="I698" s="368"/>
      <c r="J698" s="279"/>
      <c r="L698" s="368"/>
      <c r="M698" s="279"/>
      <c r="O698" s="368"/>
      <c r="P698" s="279"/>
      <c r="R698" s="368"/>
      <c r="S698" s="279"/>
      <c r="U698" s="368"/>
      <c r="V698" s="279"/>
      <c r="W698" s="234"/>
      <c r="Y698" s="368"/>
      <c r="Z698" s="369"/>
      <c r="AA698" s="370"/>
    </row>
    <row r="699" spans="2:27" s="272" customFormat="1">
      <c r="B699" s="234"/>
      <c r="C699" s="368"/>
      <c r="D699" s="279"/>
      <c r="E699" s="234"/>
      <c r="F699" s="368"/>
      <c r="G699" s="279"/>
      <c r="I699" s="368"/>
      <c r="J699" s="279"/>
      <c r="L699" s="368"/>
      <c r="M699" s="279"/>
      <c r="O699" s="368"/>
      <c r="P699" s="279"/>
      <c r="R699" s="368"/>
      <c r="S699" s="279"/>
      <c r="U699" s="368"/>
      <c r="V699" s="279"/>
      <c r="W699" s="234"/>
      <c r="Y699" s="368"/>
      <c r="Z699" s="369"/>
      <c r="AA699" s="370"/>
    </row>
    <row r="700" spans="2:27" s="272" customFormat="1">
      <c r="B700" s="234"/>
      <c r="C700" s="368"/>
      <c r="D700" s="279"/>
      <c r="E700" s="234"/>
      <c r="F700" s="368"/>
      <c r="G700" s="279"/>
      <c r="I700" s="368"/>
      <c r="J700" s="279"/>
      <c r="L700" s="368"/>
      <c r="M700" s="279"/>
      <c r="O700" s="368"/>
      <c r="P700" s="279"/>
      <c r="R700" s="368"/>
      <c r="S700" s="279"/>
      <c r="U700" s="368"/>
      <c r="V700" s="279"/>
      <c r="W700" s="234"/>
      <c r="Y700" s="368"/>
      <c r="Z700" s="369"/>
      <c r="AA700" s="370"/>
    </row>
    <row r="701" spans="2:27" s="272" customFormat="1">
      <c r="B701" s="234"/>
      <c r="C701" s="368"/>
      <c r="D701" s="279"/>
      <c r="E701" s="234"/>
      <c r="F701" s="368"/>
      <c r="G701" s="279"/>
      <c r="I701" s="368"/>
      <c r="J701" s="279"/>
      <c r="L701" s="368"/>
      <c r="M701" s="279"/>
      <c r="O701" s="368"/>
      <c r="P701" s="279"/>
      <c r="R701" s="368"/>
      <c r="S701" s="279"/>
      <c r="U701" s="368"/>
      <c r="V701" s="279"/>
      <c r="W701" s="234"/>
      <c r="Y701" s="368"/>
      <c r="Z701" s="369"/>
      <c r="AA701" s="370"/>
    </row>
    <row r="702" spans="2:27" s="272" customFormat="1">
      <c r="B702" s="234"/>
      <c r="C702" s="368"/>
      <c r="D702" s="279"/>
      <c r="E702" s="234"/>
      <c r="F702" s="368"/>
      <c r="G702" s="279"/>
      <c r="I702" s="368"/>
      <c r="J702" s="279"/>
      <c r="L702" s="368"/>
      <c r="M702" s="279"/>
      <c r="O702" s="368"/>
      <c r="P702" s="279"/>
      <c r="R702" s="368"/>
      <c r="S702" s="279"/>
      <c r="U702" s="368"/>
      <c r="V702" s="279"/>
      <c r="W702" s="234"/>
      <c r="Y702" s="368"/>
      <c r="Z702" s="369"/>
      <c r="AA702" s="370"/>
    </row>
    <row r="703" spans="2:27" s="272" customFormat="1">
      <c r="B703" s="234"/>
      <c r="C703" s="368"/>
      <c r="D703" s="279"/>
      <c r="E703" s="234"/>
      <c r="F703" s="368"/>
      <c r="G703" s="279"/>
      <c r="I703" s="368"/>
      <c r="J703" s="279"/>
      <c r="L703" s="368"/>
      <c r="M703" s="279"/>
      <c r="O703" s="368"/>
      <c r="P703" s="279"/>
      <c r="R703" s="368"/>
      <c r="S703" s="279"/>
      <c r="U703" s="368"/>
      <c r="V703" s="279"/>
      <c r="W703" s="234"/>
      <c r="Y703" s="368"/>
      <c r="Z703" s="369"/>
      <c r="AA703" s="370"/>
    </row>
    <row r="704" spans="2:27" s="272" customFormat="1">
      <c r="B704" s="234"/>
      <c r="C704" s="368"/>
      <c r="D704" s="279"/>
      <c r="E704" s="234"/>
      <c r="F704" s="368"/>
      <c r="G704" s="279"/>
      <c r="I704" s="368"/>
      <c r="J704" s="279"/>
      <c r="L704" s="368"/>
      <c r="M704" s="279"/>
      <c r="O704" s="368"/>
      <c r="P704" s="279"/>
      <c r="R704" s="368"/>
      <c r="S704" s="279"/>
      <c r="U704" s="368"/>
      <c r="V704" s="279"/>
      <c r="W704" s="234"/>
      <c r="Y704" s="368"/>
      <c r="Z704" s="369"/>
      <c r="AA704" s="370"/>
    </row>
    <row r="705" spans="2:27" s="272" customFormat="1">
      <c r="B705" s="234"/>
      <c r="C705" s="368"/>
      <c r="D705" s="279"/>
      <c r="E705" s="234"/>
      <c r="F705" s="368"/>
      <c r="G705" s="279"/>
      <c r="I705" s="368"/>
      <c r="J705" s="279"/>
      <c r="L705" s="368"/>
      <c r="M705" s="279"/>
      <c r="O705" s="368"/>
      <c r="P705" s="279"/>
      <c r="R705" s="368"/>
      <c r="S705" s="279"/>
      <c r="U705" s="368"/>
      <c r="V705" s="279"/>
      <c r="W705" s="234"/>
      <c r="Y705" s="368"/>
      <c r="Z705" s="369"/>
      <c r="AA705" s="370"/>
    </row>
    <row r="706" spans="2:27" s="272" customFormat="1">
      <c r="B706" s="234"/>
      <c r="C706" s="368"/>
      <c r="D706" s="279"/>
      <c r="E706" s="234"/>
      <c r="F706" s="368"/>
      <c r="G706" s="279"/>
      <c r="I706" s="368"/>
      <c r="J706" s="279"/>
      <c r="L706" s="368"/>
      <c r="M706" s="279"/>
      <c r="O706" s="368"/>
      <c r="P706" s="279"/>
      <c r="R706" s="368"/>
      <c r="S706" s="279"/>
      <c r="U706" s="368"/>
      <c r="V706" s="279"/>
      <c r="W706" s="234"/>
      <c r="Y706" s="368"/>
      <c r="Z706" s="369"/>
      <c r="AA706" s="370"/>
    </row>
    <row r="707" spans="2:27" s="272" customFormat="1">
      <c r="B707" s="234"/>
      <c r="C707" s="368"/>
      <c r="D707" s="279"/>
      <c r="E707" s="234"/>
      <c r="F707" s="368"/>
      <c r="G707" s="279"/>
      <c r="I707" s="368"/>
      <c r="J707" s="279"/>
      <c r="L707" s="368"/>
      <c r="M707" s="279"/>
      <c r="O707" s="368"/>
      <c r="P707" s="279"/>
      <c r="R707" s="368"/>
      <c r="S707" s="279"/>
      <c r="U707" s="368"/>
      <c r="V707" s="279"/>
      <c r="W707" s="234"/>
      <c r="Y707" s="368"/>
      <c r="Z707" s="369"/>
      <c r="AA707" s="370"/>
    </row>
    <row r="708" spans="2:27" s="272" customFormat="1">
      <c r="B708" s="234"/>
      <c r="C708" s="368"/>
      <c r="D708" s="279"/>
      <c r="E708" s="234"/>
      <c r="F708" s="368"/>
      <c r="G708" s="279"/>
      <c r="I708" s="368"/>
      <c r="J708" s="279"/>
      <c r="L708" s="368"/>
      <c r="M708" s="279"/>
      <c r="O708" s="368"/>
      <c r="P708" s="279"/>
      <c r="R708" s="368"/>
      <c r="S708" s="279"/>
      <c r="U708" s="368"/>
      <c r="V708" s="279"/>
      <c r="W708" s="234"/>
      <c r="Y708" s="368"/>
      <c r="Z708" s="369"/>
      <c r="AA708" s="370"/>
    </row>
    <row r="709" spans="2:27" s="272" customFormat="1">
      <c r="B709" s="234"/>
      <c r="C709" s="368"/>
      <c r="D709" s="279"/>
      <c r="E709" s="234"/>
      <c r="F709" s="368"/>
      <c r="G709" s="279"/>
      <c r="I709" s="368"/>
      <c r="J709" s="279"/>
      <c r="L709" s="368"/>
      <c r="M709" s="279"/>
      <c r="O709" s="368"/>
      <c r="P709" s="279"/>
      <c r="R709" s="368"/>
      <c r="S709" s="279"/>
      <c r="U709" s="368"/>
      <c r="V709" s="279"/>
      <c r="W709" s="234"/>
      <c r="Y709" s="368"/>
      <c r="Z709" s="369"/>
      <c r="AA709" s="370"/>
    </row>
    <row r="710" spans="2:27" s="272" customFormat="1">
      <c r="B710" s="234"/>
      <c r="C710" s="368"/>
      <c r="D710" s="279"/>
      <c r="E710" s="234"/>
      <c r="F710" s="368"/>
      <c r="G710" s="279"/>
      <c r="I710" s="368"/>
      <c r="J710" s="279"/>
      <c r="L710" s="368"/>
      <c r="M710" s="279"/>
      <c r="O710" s="368"/>
      <c r="P710" s="279"/>
      <c r="R710" s="368"/>
      <c r="S710" s="279"/>
      <c r="U710" s="368"/>
      <c r="V710" s="279"/>
      <c r="W710" s="234"/>
      <c r="Y710" s="368"/>
      <c r="Z710" s="369"/>
      <c r="AA710" s="370"/>
    </row>
    <row r="711" spans="2:27" s="272" customFormat="1">
      <c r="B711" s="234"/>
      <c r="C711" s="368"/>
      <c r="D711" s="279"/>
      <c r="E711" s="234"/>
      <c r="F711" s="368"/>
      <c r="G711" s="279"/>
      <c r="I711" s="368"/>
      <c r="J711" s="279"/>
      <c r="L711" s="368"/>
      <c r="M711" s="279"/>
      <c r="O711" s="368"/>
      <c r="P711" s="279"/>
      <c r="R711" s="368"/>
      <c r="S711" s="279"/>
      <c r="U711" s="368"/>
      <c r="V711" s="279"/>
      <c r="W711" s="234"/>
      <c r="Y711" s="368"/>
      <c r="Z711" s="369"/>
      <c r="AA711" s="370"/>
    </row>
    <row r="712" spans="2:27" s="272" customFormat="1">
      <c r="B712" s="234"/>
      <c r="C712" s="368"/>
      <c r="D712" s="279"/>
      <c r="E712" s="234"/>
      <c r="F712" s="368"/>
      <c r="G712" s="279"/>
      <c r="I712" s="368"/>
      <c r="J712" s="279"/>
      <c r="L712" s="368"/>
      <c r="M712" s="279"/>
      <c r="O712" s="368"/>
      <c r="P712" s="279"/>
      <c r="R712" s="368"/>
      <c r="S712" s="279"/>
      <c r="U712" s="368"/>
      <c r="V712" s="279"/>
      <c r="W712" s="234"/>
      <c r="Y712" s="368"/>
      <c r="Z712" s="369"/>
      <c r="AA712" s="370"/>
    </row>
    <row r="713" spans="2:27" s="272" customFormat="1">
      <c r="B713" s="234"/>
      <c r="C713" s="368"/>
      <c r="D713" s="279"/>
      <c r="E713" s="234"/>
      <c r="F713" s="368"/>
      <c r="G713" s="279"/>
      <c r="I713" s="368"/>
      <c r="J713" s="279"/>
      <c r="L713" s="368"/>
      <c r="M713" s="279"/>
      <c r="O713" s="368"/>
      <c r="P713" s="279"/>
      <c r="R713" s="368"/>
      <c r="S713" s="279"/>
      <c r="U713" s="368"/>
      <c r="V713" s="279"/>
      <c r="W713" s="234"/>
      <c r="Y713" s="368"/>
      <c r="Z713" s="369"/>
      <c r="AA713" s="370"/>
    </row>
    <row r="714" spans="2:27" s="272" customFormat="1">
      <c r="B714" s="234"/>
      <c r="C714" s="368"/>
      <c r="D714" s="279"/>
      <c r="E714" s="234"/>
      <c r="F714" s="368"/>
      <c r="G714" s="279"/>
      <c r="I714" s="368"/>
      <c r="J714" s="279"/>
      <c r="L714" s="368"/>
      <c r="M714" s="279"/>
      <c r="O714" s="368"/>
      <c r="P714" s="279"/>
      <c r="R714" s="368"/>
      <c r="S714" s="279"/>
      <c r="U714" s="368"/>
      <c r="V714" s="279"/>
      <c r="W714" s="234"/>
      <c r="Y714" s="368"/>
      <c r="Z714" s="369"/>
      <c r="AA714" s="370"/>
    </row>
    <row r="715" spans="2:27" s="272" customFormat="1">
      <c r="B715" s="234"/>
      <c r="C715" s="368"/>
      <c r="D715" s="279"/>
      <c r="E715" s="234"/>
      <c r="F715" s="368"/>
      <c r="G715" s="279"/>
      <c r="I715" s="368"/>
      <c r="J715" s="279"/>
      <c r="L715" s="368"/>
      <c r="M715" s="279"/>
      <c r="O715" s="368"/>
      <c r="P715" s="279"/>
      <c r="R715" s="368"/>
      <c r="S715" s="279"/>
      <c r="U715" s="368"/>
      <c r="V715" s="279"/>
      <c r="W715" s="234"/>
      <c r="Y715" s="368"/>
      <c r="Z715" s="369"/>
      <c r="AA715" s="370"/>
    </row>
    <row r="716" spans="2:27" s="272" customFormat="1">
      <c r="B716" s="234"/>
      <c r="C716" s="368"/>
      <c r="D716" s="279"/>
      <c r="E716" s="234"/>
      <c r="F716" s="368"/>
      <c r="G716" s="279"/>
      <c r="I716" s="368"/>
      <c r="J716" s="279"/>
      <c r="L716" s="368"/>
      <c r="M716" s="279"/>
      <c r="O716" s="368"/>
      <c r="P716" s="279"/>
      <c r="R716" s="368"/>
      <c r="S716" s="279"/>
      <c r="U716" s="368"/>
      <c r="V716" s="279"/>
      <c r="W716" s="234"/>
      <c r="Y716" s="368"/>
      <c r="Z716" s="369"/>
      <c r="AA716" s="370"/>
    </row>
    <row r="717" spans="2:27" s="272" customFormat="1">
      <c r="B717" s="234"/>
      <c r="C717" s="368"/>
      <c r="D717" s="279"/>
      <c r="E717" s="234"/>
      <c r="F717" s="368"/>
      <c r="G717" s="279"/>
      <c r="I717" s="368"/>
      <c r="J717" s="279"/>
      <c r="L717" s="368"/>
      <c r="M717" s="279"/>
      <c r="O717" s="368"/>
      <c r="P717" s="279"/>
      <c r="R717" s="368"/>
      <c r="S717" s="279"/>
      <c r="U717" s="368"/>
      <c r="V717" s="279"/>
      <c r="W717" s="234"/>
      <c r="Y717" s="368"/>
      <c r="Z717" s="369"/>
      <c r="AA717" s="370"/>
    </row>
    <row r="718" spans="2:27" s="272" customFormat="1">
      <c r="B718" s="234"/>
      <c r="C718" s="368"/>
      <c r="D718" s="279"/>
      <c r="E718" s="234"/>
      <c r="F718" s="368"/>
      <c r="G718" s="279"/>
      <c r="I718" s="368"/>
      <c r="J718" s="279"/>
      <c r="L718" s="368"/>
      <c r="M718" s="279"/>
      <c r="O718" s="368"/>
      <c r="P718" s="279"/>
      <c r="R718" s="368"/>
      <c r="S718" s="279"/>
      <c r="U718" s="368"/>
      <c r="V718" s="279"/>
      <c r="W718" s="234"/>
      <c r="Y718" s="368"/>
      <c r="Z718" s="369"/>
      <c r="AA718" s="370"/>
    </row>
    <row r="719" spans="2:27" s="272" customFormat="1">
      <c r="B719" s="234"/>
      <c r="C719" s="368"/>
      <c r="D719" s="279"/>
      <c r="E719" s="234"/>
      <c r="F719" s="368"/>
      <c r="G719" s="279"/>
      <c r="I719" s="368"/>
      <c r="J719" s="279"/>
      <c r="L719" s="368"/>
      <c r="M719" s="279"/>
      <c r="O719" s="368"/>
      <c r="P719" s="279"/>
      <c r="R719" s="368"/>
      <c r="S719" s="279"/>
      <c r="U719" s="368"/>
      <c r="V719" s="279"/>
      <c r="W719" s="234"/>
      <c r="Y719" s="368"/>
      <c r="Z719" s="369"/>
      <c r="AA719" s="370"/>
    </row>
    <row r="720" spans="2:27" s="272" customFormat="1">
      <c r="B720" s="234"/>
      <c r="C720" s="368"/>
      <c r="D720" s="279"/>
      <c r="E720" s="234"/>
      <c r="F720" s="368"/>
      <c r="G720" s="279"/>
      <c r="I720" s="368"/>
      <c r="J720" s="279"/>
      <c r="L720" s="368"/>
      <c r="M720" s="279"/>
      <c r="O720" s="368"/>
      <c r="P720" s="279"/>
      <c r="R720" s="368"/>
      <c r="S720" s="279"/>
      <c r="U720" s="368"/>
      <c r="V720" s="279"/>
      <c r="W720" s="234"/>
      <c r="Y720" s="368"/>
      <c r="Z720" s="369"/>
      <c r="AA720" s="370"/>
    </row>
    <row r="721" spans="2:27" s="272" customFormat="1">
      <c r="B721" s="234"/>
      <c r="C721" s="368"/>
      <c r="D721" s="279"/>
      <c r="E721" s="234"/>
      <c r="F721" s="368"/>
      <c r="G721" s="279"/>
      <c r="I721" s="368"/>
      <c r="J721" s="279"/>
      <c r="L721" s="368"/>
      <c r="M721" s="279"/>
      <c r="O721" s="368"/>
      <c r="P721" s="279"/>
      <c r="R721" s="368"/>
      <c r="S721" s="279"/>
      <c r="U721" s="368"/>
      <c r="V721" s="279"/>
      <c r="W721" s="234"/>
      <c r="Y721" s="368"/>
      <c r="Z721" s="369"/>
      <c r="AA721" s="370"/>
    </row>
    <row r="722" spans="2:27" s="272" customFormat="1">
      <c r="B722" s="234"/>
      <c r="C722" s="368"/>
      <c r="D722" s="279"/>
      <c r="E722" s="234"/>
      <c r="F722" s="368"/>
      <c r="G722" s="279"/>
      <c r="I722" s="368"/>
      <c r="J722" s="279"/>
      <c r="L722" s="368"/>
      <c r="M722" s="279"/>
      <c r="O722" s="368"/>
      <c r="P722" s="279"/>
      <c r="R722" s="368"/>
      <c r="S722" s="279"/>
      <c r="U722" s="368"/>
      <c r="V722" s="279"/>
      <c r="W722" s="234"/>
      <c r="Y722" s="368"/>
      <c r="Z722" s="369"/>
      <c r="AA722" s="370"/>
    </row>
    <row r="723" spans="2:27" s="272" customFormat="1">
      <c r="B723" s="234"/>
      <c r="C723" s="368"/>
      <c r="D723" s="279"/>
      <c r="E723" s="234"/>
      <c r="F723" s="368"/>
      <c r="G723" s="279"/>
      <c r="I723" s="368"/>
      <c r="J723" s="279"/>
      <c r="L723" s="368"/>
      <c r="M723" s="279"/>
      <c r="O723" s="368"/>
      <c r="P723" s="279"/>
      <c r="R723" s="368"/>
      <c r="S723" s="279"/>
      <c r="U723" s="368"/>
      <c r="V723" s="279"/>
      <c r="W723" s="234"/>
      <c r="Y723" s="368"/>
      <c r="Z723" s="369"/>
      <c r="AA723" s="370"/>
    </row>
    <row r="724" spans="2:27" s="272" customFormat="1">
      <c r="B724" s="234"/>
      <c r="C724" s="368"/>
      <c r="D724" s="279"/>
      <c r="E724" s="234"/>
      <c r="F724" s="368"/>
      <c r="G724" s="279"/>
      <c r="I724" s="368"/>
      <c r="J724" s="279"/>
      <c r="L724" s="368"/>
      <c r="M724" s="279"/>
      <c r="O724" s="368"/>
      <c r="P724" s="279"/>
      <c r="R724" s="368"/>
      <c r="S724" s="279"/>
      <c r="U724" s="368"/>
      <c r="V724" s="279"/>
      <c r="W724" s="234"/>
      <c r="Y724" s="368"/>
      <c r="Z724" s="369"/>
      <c r="AA724" s="370"/>
    </row>
    <row r="725" spans="2:27" s="272" customFormat="1">
      <c r="B725" s="234"/>
      <c r="C725" s="368"/>
      <c r="D725" s="279"/>
      <c r="E725" s="234"/>
      <c r="F725" s="368"/>
      <c r="G725" s="279"/>
      <c r="I725" s="368"/>
      <c r="J725" s="279"/>
      <c r="L725" s="368"/>
      <c r="M725" s="279"/>
      <c r="O725" s="368"/>
      <c r="P725" s="279"/>
      <c r="R725" s="368"/>
      <c r="S725" s="279"/>
      <c r="U725" s="368"/>
      <c r="V725" s="279"/>
      <c r="W725" s="234"/>
      <c r="Y725" s="368"/>
      <c r="Z725" s="369"/>
      <c r="AA725" s="370"/>
    </row>
    <row r="726" spans="2:27" s="272" customFormat="1">
      <c r="B726" s="234"/>
      <c r="C726" s="368"/>
      <c r="D726" s="279"/>
      <c r="E726" s="234"/>
      <c r="F726" s="368"/>
      <c r="G726" s="279"/>
      <c r="I726" s="368"/>
      <c r="J726" s="279"/>
      <c r="L726" s="368"/>
      <c r="M726" s="279"/>
      <c r="O726" s="368"/>
      <c r="P726" s="279"/>
      <c r="R726" s="368"/>
      <c r="S726" s="279"/>
      <c r="U726" s="368"/>
      <c r="V726" s="279"/>
      <c r="W726" s="234"/>
      <c r="Y726" s="368"/>
      <c r="Z726" s="369"/>
      <c r="AA726" s="370"/>
    </row>
    <row r="727" spans="2:27" s="272" customFormat="1">
      <c r="B727" s="234"/>
      <c r="C727" s="368"/>
      <c r="D727" s="279"/>
      <c r="E727" s="234"/>
      <c r="F727" s="368"/>
      <c r="G727" s="279"/>
      <c r="I727" s="368"/>
      <c r="J727" s="279"/>
      <c r="L727" s="368"/>
      <c r="M727" s="279"/>
      <c r="O727" s="368"/>
      <c r="P727" s="279"/>
      <c r="R727" s="368"/>
      <c r="S727" s="279"/>
      <c r="U727" s="368"/>
      <c r="V727" s="279"/>
      <c r="W727" s="234"/>
      <c r="Y727" s="368"/>
      <c r="Z727" s="369"/>
      <c r="AA727" s="370"/>
    </row>
    <row r="728" spans="2:27" s="272" customFormat="1">
      <c r="B728" s="234"/>
      <c r="C728" s="368"/>
      <c r="D728" s="279"/>
      <c r="E728" s="234"/>
      <c r="F728" s="368"/>
      <c r="G728" s="279"/>
      <c r="I728" s="368"/>
      <c r="J728" s="279"/>
      <c r="L728" s="368"/>
      <c r="M728" s="279"/>
      <c r="O728" s="368"/>
      <c r="P728" s="279"/>
      <c r="R728" s="368"/>
      <c r="S728" s="279"/>
      <c r="U728" s="368"/>
      <c r="V728" s="279"/>
      <c r="W728" s="234"/>
      <c r="Y728" s="368"/>
      <c r="Z728" s="369"/>
      <c r="AA728" s="370"/>
    </row>
    <row r="729" spans="2:27" s="272" customFormat="1">
      <c r="B729" s="234"/>
      <c r="C729" s="368"/>
      <c r="D729" s="279"/>
      <c r="E729" s="234"/>
      <c r="F729" s="368"/>
      <c r="G729" s="279"/>
      <c r="I729" s="368"/>
      <c r="J729" s="279"/>
      <c r="L729" s="368"/>
      <c r="M729" s="279"/>
      <c r="O729" s="368"/>
      <c r="P729" s="279"/>
      <c r="R729" s="368"/>
      <c r="S729" s="279"/>
      <c r="U729" s="368"/>
      <c r="V729" s="279"/>
      <c r="W729" s="234"/>
      <c r="Y729" s="368"/>
      <c r="Z729" s="369"/>
      <c r="AA729" s="370"/>
    </row>
    <row r="730" spans="2:27" s="272" customFormat="1">
      <c r="B730" s="234"/>
      <c r="C730" s="368"/>
      <c r="D730" s="279"/>
      <c r="E730" s="234"/>
      <c r="F730" s="368"/>
      <c r="G730" s="279"/>
      <c r="I730" s="368"/>
      <c r="J730" s="279"/>
      <c r="L730" s="368"/>
      <c r="M730" s="279"/>
      <c r="O730" s="368"/>
      <c r="P730" s="279"/>
      <c r="R730" s="368"/>
      <c r="S730" s="279"/>
      <c r="U730" s="368"/>
      <c r="V730" s="279"/>
      <c r="W730" s="234"/>
      <c r="Y730" s="368"/>
      <c r="Z730" s="369"/>
      <c r="AA730" s="370"/>
    </row>
    <row r="731" spans="2:27" s="272" customFormat="1">
      <c r="B731" s="234"/>
      <c r="C731" s="368"/>
      <c r="D731" s="279"/>
      <c r="E731" s="234"/>
      <c r="F731" s="368"/>
      <c r="G731" s="279"/>
      <c r="I731" s="368"/>
      <c r="J731" s="279"/>
      <c r="L731" s="368"/>
      <c r="M731" s="279"/>
      <c r="O731" s="368"/>
      <c r="P731" s="279"/>
      <c r="R731" s="368"/>
      <c r="S731" s="279"/>
      <c r="U731" s="368"/>
      <c r="V731" s="279"/>
      <c r="W731" s="234"/>
      <c r="Y731" s="368"/>
      <c r="Z731" s="369"/>
      <c r="AA731" s="370"/>
    </row>
    <row r="732" spans="2:27" s="272" customFormat="1">
      <c r="B732" s="234"/>
      <c r="C732" s="368"/>
      <c r="D732" s="279"/>
      <c r="E732" s="234"/>
      <c r="F732" s="368"/>
      <c r="G732" s="279"/>
      <c r="I732" s="368"/>
      <c r="J732" s="279"/>
      <c r="L732" s="368"/>
      <c r="M732" s="279"/>
      <c r="O732" s="368"/>
      <c r="P732" s="279"/>
      <c r="R732" s="368"/>
      <c r="S732" s="279"/>
      <c r="U732" s="368"/>
      <c r="V732" s="279"/>
      <c r="W732" s="234"/>
      <c r="Y732" s="368"/>
      <c r="Z732" s="369"/>
      <c r="AA732" s="370"/>
    </row>
    <row r="733" spans="2:27" s="272" customFormat="1">
      <c r="B733" s="234"/>
      <c r="C733" s="368"/>
      <c r="D733" s="279"/>
      <c r="E733" s="234"/>
      <c r="F733" s="368"/>
      <c r="G733" s="279"/>
      <c r="I733" s="368"/>
      <c r="J733" s="279"/>
      <c r="L733" s="368"/>
      <c r="M733" s="279"/>
      <c r="O733" s="368"/>
      <c r="P733" s="279"/>
      <c r="R733" s="368"/>
      <c r="S733" s="279"/>
      <c r="U733" s="368"/>
      <c r="V733" s="279"/>
      <c r="W733" s="234"/>
      <c r="Y733" s="368"/>
      <c r="Z733" s="369"/>
      <c r="AA733" s="370"/>
    </row>
    <row r="734" spans="2:27" s="272" customFormat="1">
      <c r="B734" s="234"/>
      <c r="C734" s="368"/>
      <c r="D734" s="279"/>
      <c r="E734" s="234"/>
      <c r="F734" s="368"/>
      <c r="G734" s="279"/>
      <c r="I734" s="368"/>
      <c r="J734" s="279"/>
      <c r="L734" s="368"/>
      <c r="M734" s="279"/>
      <c r="O734" s="368"/>
      <c r="P734" s="279"/>
      <c r="R734" s="368"/>
      <c r="S734" s="279"/>
      <c r="U734" s="368"/>
      <c r="V734" s="279"/>
      <c r="W734" s="234"/>
      <c r="Y734" s="368"/>
      <c r="Z734" s="369"/>
      <c r="AA734" s="370"/>
    </row>
    <row r="735" spans="2:27" s="272" customFormat="1">
      <c r="B735" s="234"/>
      <c r="C735" s="368"/>
      <c r="D735" s="279"/>
      <c r="E735" s="234"/>
      <c r="F735" s="368"/>
      <c r="G735" s="279"/>
      <c r="I735" s="368"/>
      <c r="J735" s="279"/>
      <c r="L735" s="368"/>
      <c r="M735" s="279"/>
      <c r="O735" s="368"/>
      <c r="P735" s="279"/>
      <c r="R735" s="368"/>
      <c r="S735" s="279"/>
      <c r="U735" s="368"/>
      <c r="V735" s="279"/>
      <c r="W735" s="234"/>
      <c r="Y735" s="368"/>
      <c r="Z735" s="369"/>
      <c r="AA735" s="370"/>
    </row>
    <row r="736" spans="2:27" s="272" customFormat="1">
      <c r="B736" s="234"/>
      <c r="C736" s="368"/>
      <c r="D736" s="279"/>
      <c r="E736" s="234"/>
      <c r="F736" s="368"/>
      <c r="G736" s="279"/>
      <c r="I736" s="368"/>
      <c r="J736" s="279"/>
      <c r="L736" s="368"/>
      <c r="M736" s="279"/>
      <c r="O736" s="368"/>
      <c r="P736" s="279"/>
      <c r="R736" s="368"/>
      <c r="S736" s="279"/>
      <c r="U736" s="368"/>
      <c r="V736" s="279"/>
      <c r="W736" s="234"/>
      <c r="Y736" s="368"/>
      <c r="Z736" s="369"/>
      <c r="AA736" s="370"/>
    </row>
    <row r="737" spans="2:27" s="272" customFormat="1">
      <c r="B737" s="234"/>
      <c r="C737" s="368"/>
      <c r="D737" s="279"/>
      <c r="E737" s="234"/>
      <c r="F737" s="368"/>
      <c r="G737" s="279"/>
      <c r="I737" s="368"/>
      <c r="J737" s="279"/>
      <c r="L737" s="368"/>
      <c r="M737" s="279"/>
      <c r="O737" s="368"/>
      <c r="P737" s="279"/>
      <c r="R737" s="368"/>
      <c r="S737" s="279"/>
      <c r="U737" s="368"/>
      <c r="V737" s="279"/>
      <c r="W737" s="234"/>
      <c r="Y737" s="368"/>
      <c r="Z737" s="369"/>
      <c r="AA737" s="370"/>
    </row>
    <row r="738" spans="2:27" s="272" customFormat="1">
      <c r="B738" s="234"/>
      <c r="C738" s="368"/>
      <c r="D738" s="279"/>
      <c r="E738" s="234"/>
      <c r="F738" s="368"/>
      <c r="G738" s="279"/>
      <c r="I738" s="368"/>
      <c r="J738" s="279"/>
      <c r="L738" s="368"/>
      <c r="M738" s="279"/>
      <c r="O738" s="368"/>
      <c r="P738" s="279"/>
      <c r="R738" s="368"/>
      <c r="S738" s="279"/>
      <c r="U738" s="368"/>
      <c r="V738" s="279"/>
      <c r="W738" s="234"/>
      <c r="Y738" s="368"/>
      <c r="Z738" s="369"/>
      <c r="AA738" s="370"/>
    </row>
    <row r="739" spans="2:27" s="272" customFormat="1">
      <c r="B739" s="234"/>
      <c r="C739" s="368"/>
      <c r="D739" s="279"/>
      <c r="E739" s="234"/>
      <c r="F739" s="368"/>
      <c r="G739" s="279"/>
      <c r="I739" s="368"/>
      <c r="J739" s="279"/>
      <c r="L739" s="368"/>
      <c r="M739" s="279"/>
      <c r="O739" s="368"/>
      <c r="P739" s="279"/>
      <c r="R739" s="368"/>
      <c r="S739" s="279"/>
      <c r="U739" s="368"/>
      <c r="V739" s="279"/>
      <c r="W739" s="234"/>
      <c r="Y739" s="368"/>
      <c r="Z739" s="369"/>
      <c r="AA739" s="370"/>
    </row>
    <row r="740" spans="2:27" s="272" customFormat="1">
      <c r="B740" s="234"/>
      <c r="C740" s="368"/>
      <c r="D740" s="279"/>
      <c r="E740" s="234"/>
      <c r="F740" s="368"/>
      <c r="G740" s="279"/>
      <c r="I740" s="368"/>
      <c r="J740" s="279"/>
      <c r="L740" s="368"/>
      <c r="M740" s="279"/>
      <c r="O740" s="368"/>
      <c r="P740" s="279"/>
      <c r="R740" s="368"/>
      <c r="S740" s="279"/>
      <c r="U740" s="368"/>
      <c r="V740" s="279"/>
      <c r="W740" s="234"/>
      <c r="Y740" s="368"/>
      <c r="Z740" s="369"/>
      <c r="AA740" s="370"/>
    </row>
    <row r="741" spans="2:27" s="272" customFormat="1">
      <c r="B741" s="234"/>
      <c r="C741" s="368"/>
      <c r="D741" s="279"/>
      <c r="E741" s="234"/>
      <c r="F741" s="368"/>
      <c r="G741" s="279"/>
      <c r="I741" s="368"/>
      <c r="J741" s="279"/>
      <c r="L741" s="368"/>
      <c r="M741" s="279"/>
      <c r="O741" s="368"/>
      <c r="P741" s="279"/>
      <c r="R741" s="368"/>
      <c r="S741" s="279"/>
      <c r="U741" s="368"/>
      <c r="V741" s="279"/>
      <c r="W741" s="234"/>
      <c r="Y741" s="368"/>
      <c r="Z741" s="369"/>
      <c r="AA741" s="370"/>
    </row>
    <row r="742" spans="2:27" s="272" customFormat="1">
      <c r="B742" s="234"/>
      <c r="C742" s="368"/>
      <c r="D742" s="279"/>
      <c r="E742" s="234"/>
      <c r="F742" s="368"/>
      <c r="G742" s="279"/>
      <c r="I742" s="368"/>
      <c r="J742" s="279"/>
      <c r="L742" s="368"/>
      <c r="M742" s="279"/>
      <c r="O742" s="368"/>
      <c r="P742" s="279"/>
      <c r="R742" s="368"/>
      <c r="S742" s="279"/>
      <c r="U742" s="368"/>
      <c r="V742" s="279"/>
      <c r="W742" s="234"/>
      <c r="Y742" s="368"/>
      <c r="Z742" s="369"/>
      <c r="AA742" s="370"/>
    </row>
    <row r="743" spans="2:27" s="272" customFormat="1">
      <c r="B743" s="234"/>
      <c r="C743" s="368"/>
      <c r="D743" s="279"/>
      <c r="E743" s="234"/>
      <c r="F743" s="368"/>
      <c r="G743" s="279"/>
      <c r="I743" s="368"/>
      <c r="J743" s="279"/>
      <c r="L743" s="368"/>
      <c r="M743" s="279"/>
      <c r="O743" s="368"/>
      <c r="P743" s="279"/>
      <c r="R743" s="368"/>
      <c r="S743" s="279"/>
      <c r="U743" s="368"/>
      <c r="V743" s="279"/>
      <c r="W743" s="234"/>
      <c r="Y743" s="368"/>
      <c r="Z743" s="369"/>
      <c r="AA743" s="370"/>
    </row>
    <row r="744" spans="2:27" s="272" customFormat="1">
      <c r="B744" s="234"/>
      <c r="C744" s="368"/>
      <c r="D744" s="279"/>
      <c r="E744" s="234"/>
      <c r="F744" s="368"/>
      <c r="G744" s="279"/>
      <c r="I744" s="368"/>
      <c r="J744" s="279"/>
      <c r="L744" s="368"/>
      <c r="M744" s="279"/>
      <c r="O744" s="368"/>
      <c r="P744" s="279"/>
      <c r="R744" s="368"/>
      <c r="S744" s="279"/>
      <c r="U744" s="368"/>
      <c r="V744" s="279"/>
      <c r="W744" s="234"/>
      <c r="Y744" s="368"/>
      <c r="Z744" s="369"/>
      <c r="AA744" s="370"/>
    </row>
    <row r="745" spans="2:27" s="272" customFormat="1">
      <c r="B745" s="234"/>
      <c r="C745" s="368"/>
      <c r="D745" s="279"/>
      <c r="E745" s="234"/>
      <c r="F745" s="368"/>
      <c r="G745" s="279"/>
      <c r="I745" s="368"/>
      <c r="J745" s="279"/>
      <c r="L745" s="368"/>
      <c r="M745" s="279"/>
      <c r="O745" s="368"/>
      <c r="P745" s="279"/>
      <c r="R745" s="368"/>
      <c r="S745" s="279"/>
      <c r="U745" s="368"/>
      <c r="V745" s="279"/>
      <c r="W745" s="234"/>
      <c r="Y745" s="368"/>
      <c r="Z745" s="369"/>
      <c r="AA745" s="370"/>
    </row>
    <row r="746" spans="2:27" s="272" customFormat="1">
      <c r="B746" s="234"/>
      <c r="C746" s="368"/>
      <c r="D746" s="279"/>
      <c r="E746" s="234"/>
      <c r="F746" s="368"/>
      <c r="G746" s="279"/>
      <c r="I746" s="368"/>
      <c r="J746" s="279"/>
      <c r="L746" s="368"/>
      <c r="M746" s="279"/>
      <c r="O746" s="368"/>
      <c r="P746" s="279"/>
      <c r="R746" s="368"/>
      <c r="S746" s="279"/>
      <c r="U746" s="368"/>
      <c r="V746" s="279"/>
      <c r="W746" s="234"/>
      <c r="Y746" s="368"/>
      <c r="Z746" s="369"/>
      <c r="AA746" s="370"/>
    </row>
  </sheetData>
  <mergeCells count="253">
    <mergeCell ref="W287:W293"/>
    <mergeCell ref="C287:D293"/>
    <mergeCell ref="W273:W279"/>
    <mergeCell ref="B281:D281"/>
    <mergeCell ref="E281:G281"/>
    <mergeCell ref="H281:J281"/>
    <mergeCell ref="K281:M281"/>
    <mergeCell ref="N281:P281"/>
    <mergeCell ref="Q281:S281"/>
    <mergeCell ref="T281:W281"/>
    <mergeCell ref="C282:D286"/>
    <mergeCell ref="W282:W286"/>
    <mergeCell ref="B267:D267"/>
    <mergeCell ref="E267:G267"/>
    <mergeCell ref="H267:J267"/>
    <mergeCell ref="K267:M267"/>
    <mergeCell ref="N267:P267"/>
    <mergeCell ref="Q267:S267"/>
    <mergeCell ref="T267:W267"/>
    <mergeCell ref="C268:D272"/>
    <mergeCell ref="W268:W272"/>
    <mergeCell ref="W240:W244"/>
    <mergeCell ref="W245:W251"/>
    <mergeCell ref="C240:D244"/>
    <mergeCell ref="B238:D238"/>
    <mergeCell ref="N238:P238"/>
    <mergeCell ref="Q238:S238"/>
    <mergeCell ref="T238:W238"/>
    <mergeCell ref="B239:D239"/>
    <mergeCell ref="E239:G239"/>
    <mergeCell ref="H239:J239"/>
    <mergeCell ref="K239:M239"/>
    <mergeCell ref="N239:P239"/>
    <mergeCell ref="Q239:S239"/>
    <mergeCell ref="T239:W239"/>
    <mergeCell ref="W226:W230"/>
    <mergeCell ref="W231:W237"/>
    <mergeCell ref="T224:W224"/>
    <mergeCell ref="Q224:S224"/>
    <mergeCell ref="N224:P224"/>
    <mergeCell ref="T182:W182"/>
    <mergeCell ref="T210:W210"/>
    <mergeCell ref="B224:D224"/>
    <mergeCell ref="I226:J230"/>
    <mergeCell ref="R217:S223"/>
    <mergeCell ref="C212:D216"/>
    <mergeCell ref="W212:W216"/>
    <mergeCell ref="W217:W223"/>
    <mergeCell ref="T196:W196"/>
    <mergeCell ref="B225:D225"/>
    <mergeCell ref="E225:G225"/>
    <mergeCell ref="H225:J225"/>
    <mergeCell ref="K225:M225"/>
    <mergeCell ref="N225:P225"/>
    <mergeCell ref="Q225:S225"/>
    <mergeCell ref="T225:W225"/>
    <mergeCell ref="W203:W209"/>
    <mergeCell ref="B211:D211"/>
    <mergeCell ref="E211:G211"/>
    <mergeCell ref="H211:J211"/>
    <mergeCell ref="K211:M211"/>
    <mergeCell ref="N211:P211"/>
    <mergeCell ref="Q211:S211"/>
    <mergeCell ref="T211:W211"/>
    <mergeCell ref="B197:D197"/>
    <mergeCell ref="E197:G197"/>
    <mergeCell ref="H197:J197"/>
    <mergeCell ref="K197:M197"/>
    <mergeCell ref="N197:P197"/>
    <mergeCell ref="Q197:S197"/>
    <mergeCell ref="T197:W197"/>
    <mergeCell ref="C198:D202"/>
    <mergeCell ref="W198:W202"/>
    <mergeCell ref="W189:W195"/>
    <mergeCell ref="W175:W181"/>
    <mergeCell ref="B183:D183"/>
    <mergeCell ref="E183:G183"/>
    <mergeCell ref="H183:J183"/>
    <mergeCell ref="K183:M183"/>
    <mergeCell ref="N183:P183"/>
    <mergeCell ref="Q183:S183"/>
    <mergeCell ref="T183:W183"/>
    <mergeCell ref="C184:D188"/>
    <mergeCell ref="W184:W188"/>
    <mergeCell ref="U189:V195"/>
    <mergeCell ref="B169:D169"/>
    <mergeCell ref="E169:G169"/>
    <mergeCell ref="H169:J169"/>
    <mergeCell ref="K169:M169"/>
    <mergeCell ref="N169:P169"/>
    <mergeCell ref="Q169:S169"/>
    <mergeCell ref="T169:W169"/>
    <mergeCell ref="C170:D174"/>
    <mergeCell ref="W170:W174"/>
    <mergeCell ref="W133:W139"/>
    <mergeCell ref="T98:W98"/>
    <mergeCell ref="B127:D127"/>
    <mergeCell ref="E127:G127"/>
    <mergeCell ref="H127:J127"/>
    <mergeCell ref="K127:M127"/>
    <mergeCell ref="N127:P127"/>
    <mergeCell ref="Q127:S127"/>
    <mergeCell ref="T127:W127"/>
    <mergeCell ref="C128:D132"/>
    <mergeCell ref="W128:W132"/>
    <mergeCell ref="U119:V125"/>
    <mergeCell ref="W114:W118"/>
    <mergeCell ref="W119:W125"/>
    <mergeCell ref="W100:W104"/>
    <mergeCell ref="W105:W111"/>
    <mergeCell ref="B113:D113"/>
    <mergeCell ref="E113:G113"/>
    <mergeCell ref="H113:J113"/>
    <mergeCell ref="K113:M113"/>
    <mergeCell ref="N113:P113"/>
    <mergeCell ref="Q113:S113"/>
    <mergeCell ref="T113:W113"/>
    <mergeCell ref="C100:D104"/>
    <mergeCell ref="C35:D41"/>
    <mergeCell ref="W63:W69"/>
    <mergeCell ref="B71:D71"/>
    <mergeCell ref="E71:G71"/>
    <mergeCell ref="H71:J71"/>
    <mergeCell ref="K71:M71"/>
    <mergeCell ref="N71:P71"/>
    <mergeCell ref="K99:M99"/>
    <mergeCell ref="N99:P99"/>
    <mergeCell ref="C86:D90"/>
    <mergeCell ref="U91:V97"/>
    <mergeCell ref="Q85:S85"/>
    <mergeCell ref="T85:W85"/>
    <mergeCell ref="W49:W55"/>
    <mergeCell ref="C58:D62"/>
    <mergeCell ref="W58:W62"/>
    <mergeCell ref="B85:D85"/>
    <mergeCell ref="E85:G85"/>
    <mergeCell ref="H85:J85"/>
    <mergeCell ref="K85:M85"/>
    <mergeCell ref="N85:P85"/>
    <mergeCell ref="C49:D55"/>
    <mergeCell ref="C63:D69"/>
    <mergeCell ref="U63:V69"/>
    <mergeCell ref="W21:W27"/>
    <mergeCell ref="C21:D27"/>
    <mergeCell ref="F21:G27"/>
    <mergeCell ref="I21:J27"/>
    <mergeCell ref="L21:M27"/>
    <mergeCell ref="B29:D29"/>
    <mergeCell ref="E29:G29"/>
    <mergeCell ref="H29:J29"/>
    <mergeCell ref="K29:M29"/>
    <mergeCell ref="N29:P29"/>
    <mergeCell ref="W16:W20"/>
    <mergeCell ref="F2:G6"/>
    <mergeCell ref="I2:J6"/>
    <mergeCell ref="F7:G13"/>
    <mergeCell ref="I7:J13"/>
    <mergeCell ref="F16:G20"/>
    <mergeCell ref="I16:J20"/>
    <mergeCell ref="L16:M20"/>
    <mergeCell ref="C77:D83"/>
    <mergeCell ref="C30:D34"/>
    <mergeCell ref="B43:D43"/>
    <mergeCell ref="E43:G43"/>
    <mergeCell ref="H43:J43"/>
    <mergeCell ref="K43:M43"/>
    <mergeCell ref="N43:P43"/>
    <mergeCell ref="Q43:S43"/>
    <mergeCell ref="T43:W43"/>
    <mergeCell ref="W44:W48"/>
    <mergeCell ref="W35:W41"/>
    <mergeCell ref="C44:D48"/>
    <mergeCell ref="U35:V41"/>
    <mergeCell ref="Q29:S29"/>
    <mergeCell ref="T29:W29"/>
    <mergeCell ref="W30:W34"/>
    <mergeCell ref="Q1:S1"/>
    <mergeCell ref="T1:W1"/>
    <mergeCell ref="C2:D6"/>
    <mergeCell ref="W2:W6"/>
    <mergeCell ref="B57:D57"/>
    <mergeCell ref="E57:G57"/>
    <mergeCell ref="H57:J57"/>
    <mergeCell ref="K57:M57"/>
    <mergeCell ref="N57:P57"/>
    <mergeCell ref="Q57:S57"/>
    <mergeCell ref="T57:W57"/>
    <mergeCell ref="W7:W13"/>
    <mergeCell ref="B15:D15"/>
    <mergeCell ref="E15:G15"/>
    <mergeCell ref="H15:J15"/>
    <mergeCell ref="K15:M15"/>
    <mergeCell ref="B1:D1"/>
    <mergeCell ref="E1:G1"/>
    <mergeCell ref="H1:J1"/>
    <mergeCell ref="K1:M1"/>
    <mergeCell ref="N1:P1"/>
    <mergeCell ref="N15:P15"/>
    <mergeCell ref="Q15:S15"/>
    <mergeCell ref="T15:W15"/>
    <mergeCell ref="C114:D118"/>
    <mergeCell ref="C105:D111"/>
    <mergeCell ref="C119:D125"/>
    <mergeCell ref="C91:D97"/>
    <mergeCell ref="Q71:S71"/>
    <mergeCell ref="T71:W71"/>
    <mergeCell ref="C72:D76"/>
    <mergeCell ref="W72:W76"/>
    <mergeCell ref="W77:W83"/>
    <mergeCell ref="W86:W90"/>
    <mergeCell ref="W91:W97"/>
    <mergeCell ref="B99:D99"/>
    <mergeCell ref="E99:G99"/>
    <mergeCell ref="H99:J99"/>
    <mergeCell ref="Q99:S99"/>
    <mergeCell ref="T99:W99"/>
    <mergeCell ref="Q112:S112"/>
    <mergeCell ref="B141:D141"/>
    <mergeCell ref="E141:G141"/>
    <mergeCell ref="H141:J141"/>
    <mergeCell ref="K141:M141"/>
    <mergeCell ref="N141:P141"/>
    <mergeCell ref="Q141:S141"/>
    <mergeCell ref="T141:W141"/>
    <mergeCell ref="C142:D146"/>
    <mergeCell ref="W142:W146"/>
    <mergeCell ref="C156:D160"/>
    <mergeCell ref="W156:W160"/>
    <mergeCell ref="W161:W167"/>
    <mergeCell ref="W147:W153"/>
    <mergeCell ref="U147:V153"/>
    <mergeCell ref="B155:D155"/>
    <mergeCell ref="E155:G155"/>
    <mergeCell ref="H155:J155"/>
    <mergeCell ref="K155:M155"/>
    <mergeCell ref="N155:P155"/>
    <mergeCell ref="Q155:S155"/>
    <mergeCell ref="T155:W155"/>
    <mergeCell ref="U161:V167"/>
    <mergeCell ref="C254:D258"/>
    <mergeCell ref="W254:W258"/>
    <mergeCell ref="W259:W265"/>
    <mergeCell ref="B252:D252"/>
    <mergeCell ref="N252:P252"/>
    <mergeCell ref="Q252:S252"/>
    <mergeCell ref="T252:W252"/>
    <mergeCell ref="B253:D253"/>
    <mergeCell ref="E253:G253"/>
    <mergeCell ref="H253:J253"/>
    <mergeCell ref="K253:M253"/>
    <mergeCell ref="N253:P253"/>
    <mergeCell ref="Q253:S253"/>
    <mergeCell ref="T253:W253"/>
  </mergeCells>
  <pageMargins left="0.7" right="0.7" top="0.75" bottom="0.75" header="0.3" footer="0.3"/>
  <pageSetup paperSize="9" orientation="landscape"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8FA6-7E5E-FE4F-B9E7-E5388461DC99}">
  <dimension ref="A1:AP384"/>
  <sheetViews>
    <sheetView topLeftCell="B1" zoomScale="160" zoomScaleNormal="160" workbookViewId="0">
      <pane ySplit="7" topLeftCell="A8" activePane="bottomLeft" state="frozen"/>
      <selection activeCell="B1" sqref="B1"/>
      <selection pane="bottomLeft" activeCell="Q13" sqref="Q13"/>
    </sheetView>
  </sheetViews>
  <sheetFormatPr baseColWidth="10" defaultColWidth="10.83203125" defaultRowHeight="15"/>
  <cols>
    <col min="1" max="1" width="1.5" style="272" customWidth="1"/>
    <col min="2" max="3" width="5.6640625" style="449" customWidth="1"/>
    <col min="4" max="5" width="11.1640625" style="450" bestFit="1" customWidth="1"/>
    <col min="6" max="6" width="4.5" style="450" customWidth="1"/>
    <col min="7" max="7" width="4.33203125" style="267" customWidth="1"/>
    <col min="8" max="9" width="10.83203125" style="267" customWidth="1"/>
    <col min="10" max="10" width="4.5" style="267" customWidth="1"/>
    <col min="11" max="11" width="4" style="267" customWidth="1"/>
    <col min="12" max="13" width="11.1640625" style="450" bestFit="1" customWidth="1"/>
    <col min="14" max="14" width="4" style="267" bestFit="1" customWidth="1"/>
    <col min="15" max="16" width="16.83203125" style="451" customWidth="1"/>
    <col min="17" max="17" width="48" style="273" customWidth="1"/>
    <col min="18" max="18" width="3.1640625" style="272" customWidth="1"/>
    <col min="19" max="19" width="7.33203125" style="406" customWidth="1"/>
    <col min="20" max="20" width="11.1640625" style="406" bestFit="1" customWidth="1"/>
    <col min="21" max="21" width="12.33203125" style="272" bestFit="1" customWidth="1"/>
    <col min="22" max="23" width="11.1640625" style="272" bestFit="1" customWidth="1"/>
    <col min="24"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c r="S1" s="406"/>
      <c r="T1" s="406"/>
    </row>
    <row r="2" spans="1:42" s="232" customFormat="1" ht="20" customHeight="1">
      <c r="B2" s="938" t="s">
        <v>283</v>
      </c>
      <c r="C2" s="939"/>
      <c r="D2" s="939"/>
      <c r="E2" s="939"/>
      <c r="F2" s="407"/>
      <c r="G2" s="934">
        <f>SUM(O10:O40)</f>
        <v>56775.750000000007</v>
      </c>
      <c r="H2" s="935"/>
      <c r="I2" s="931" t="s">
        <v>1543</v>
      </c>
      <c r="J2" s="932"/>
      <c r="K2" s="932"/>
      <c r="L2" s="932"/>
      <c r="M2" s="933"/>
      <c r="N2" s="934">
        <f>SUM(D10:E40)/(G5-1)</f>
        <v>335.78695652173917</v>
      </c>
      <c r="O2" s="935"/>
      <c r="P2" s="408" t="s">
        <v>284</v>
      </c>
      <c r="Q2" s="409">
        <f>SUM(P10:P40)-SUM(M10:M40)-SUM(I10:I40)-SUM(E10:E40)-Q3</f>
        <v>-9857.3399999999929</v>
      </c>
      <c r="S2" s="410"/>
      <c r="T2" s="411"/>
    </row>
    <row r="3" spans="1:42" s="232" customFormat="1" ht="20" customHeight="1">
      <c r="B3" s="412" t="s">
        <v>285</v>
      </c>
      <c r="C3" s="413"/>
      <c r="D3" s="413"/>
      <c r="E3" s="413"/>
      <c r="F3" s="414"/>
      <c r="G3" s="934">
        <f>SUM(P10:P40)</f>
        <v>37792.460000000006</v>
      </c>
      <c r="H3" s="935"/>
      <c r="I3" s="931" t="s">
        <v>1544</v>
      </c>
      <c r="J3" s="932"/>
      <c r="K3" s="932"/>
      <c r="L3" s="932"/>
      <c r="M3" s="933"/>
      <c r="N3" s="934">
        <f>SUM(H10:I40)/(G5-1)</f>
        <v>462.74782608695665</v>
      </c>
      <c r="O3" s="935"/>
      <c r="P3" s="408" t="s">
        <v>1545</v>
      </c>
      <c r="Q3" s="409">
        <f>SUMIFS(BANCA!$E:$E,BANCA!$B:$B,"&gt;=01/01/2025",BANCA!$B:$B,"&lt;=31/01/2025",BANCA!$D:$D,"Versamento contanti")</f>
        <v>21774.5</v>
      </c>
      <c r="S3" s="410"/>
      <c r="T3" s="411"/>
    </row>
    <row r="4" spans="1:42" s="232" customFormat="1" ht="20" customHeight="1">
      <c r="B4" s="412" t="s">
        <v>287</v>
      </c>
      <c r="C4" s="413"/>
      <c r="D4" s="413"/>
      <c r="E4" s="413"/>
      <c r="F4" s="414"/>
      <c r="G4" s="929">
        <f>G3/G2</f>
        <v>0.66564439923735053</v>
      </c>
      <c r="H4" s="930"/>
      <c r="I4" s="931" t="s">
        <v>1546</v>
      </c>
      <c r="J4" s="932"/>
      <c r="K4" s="932"/>
      <c r="L4" s="932"/>
      <c r="M4" s="933"/>
      <c r="N4" s="934">
        <f>SUM(L10:M40)/G5</f>
        <v>1600.3937500000004</v>
      </c>
      <c r="O4" s="935"/>
      <c r="P4" s="243"/>
      <c r="S4" s="410"/>
      <c r="T4" s="411"/>
    </row>
    <row r="5" spans="1:42" s="232" customFormat="1" ht="20" customHeight="1">
      <c r="B5" s="412" t="s">
        <v>288</v>
      </c>
      <c r="C5" s="413"/>
      <c r="D5" s="413"/>
      <c r="E5" s="413"/>
      <c r="F5" s="414"/>
      <c r="G5" s="936">
        <f>COUNTA(O10:O40)</f>
        <v>24</v>
      </c>
      <c r="H5" s="937"/>
      <c r="I5" s="931" t="s">
        <v>290</v>
      </c>
      <c r="J5" s="932"/>
      <c r="K5" s="932"/>
      <c r="L5" s="932"/>
      <c r="M5" s="933"/>
      <c r="N5" s="934">
        <f>SUM(E10:E40,M10:M40,I10:I40)</f>
        <v>25875.3</v>
      </c>
      <c r="O5" s="930"/>
      <c r="P5" s="243"/>
      <c r="S5" s="410"/>
      <c r="T5" s="411"/>
    </row>
    <row r="6" spans="1:42" s="232" customFormat="1" ht="20" customHeight="1">
      <c r="B6" s="415" t="s">
        <v>289</v>
      </c>
      <c r="C6" s="416"/>
      <c r="D6" s="416"/>
      <c r="E6" s="416"/>
      <c r="F6" s="417"/>
      <c r="G6" s="934">
        <f>G2/G5</f>
        <v>2365.6562500000005</v>
      </c>
      <c r="H6" s="935"/>
      <c r="I6" s="931" t="s">
        <v>1547</v>
      </c>
      <c r="J6" s="932"/>
      <c r="K6" s="932"/>
      <c r="L6" s="932"/>
      <c r="M6" s="933"/>
      <c r="N6" s="934">
        <f>1060+600+620+1450+750</f>
        <v>4480</v>
      </c>
      <c r="O6" s="935"/>
      <c r="P6" s="243"/>
      <c r="S6" s="410"/>
      <c r="T6" s="411"/>
    </row>
    <row r="7" spans="1:42" s="272" customFormat="1" ht="7" customHeight="1">
      <c r="B7" s="418"/>
      <c r="C7" s="418"/>
      <c r="D7" s="418"/>
      <c r="E7" s="408"/>
      <c r="F7" s="408"/>
      <c r="G7" s="408"/>
      <c r="H7" s="408"/>
      <c r="I7" s="408"/>
      <c r="J7" s="408"/>
      <c r="K7" s="408"/>
      <c r="L7" s="418"/>
      <c r="M7" s="418"/>
      <c r="N7" s="418"/>
      <c r="O7" s="239"/>
      <c r="P7" s="239"/>
      <c r="S7" s="926"/>
      <c r="T7" s="411"/>
    </row>
    <row r="8" spans="1:42" s="272" customFormat="1" ht="7" customHeight="1" thickBot="1">
      <c r="B8" s="238"/>
      <c r="C8" s="238"/>
      <c r="D8" s="237"/>
      <c r="E8" s="237"/>
      <c r="F8" s="237"/>
      <c r="G8" s="234"/>
      <c r="H8" s="234"/>
      <c r="I8" s="234"/>
      <c r="J8" s="234"/>
      <c r="K8" s="234"/>
      <c r="L8" s="237"/>
      <c r="M8" s="237"/>
      <c r="N8" s="234"/>
      <c r="O8" s="239"/>
      <c r="P8" s="239"/>
      <c r="S8" s="926"/>
      <c r="T8" s="411"/>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23" t="s">
        <v>22</v>
      </c>
      <c r="C10" s="424" t="s">
        <v>1557</v>
      </c>
      <c r="D10" s="425"/>
      <c r="E10" s="425"/>
      <c r="F10" s="426"/>
      <c r="G10" s="427"/>
      <c r="H10" s="425"/>
      <c r="I10" s="425"/>
      <c r="J10" s="426"/>
      <c r="K10" s="427"/>
      <c r="L10" s="425"/>
      <c r="M10" s="425"/>
      <c r="N10" s="427"/>
      <c r="O10" s="428"/>
      <c r="P10" s="429"/>
      <c r="Q10" s="430" t="s">
        <v>1387</v>
      </c>
      <c r="S10" s="368" t="s">
        <v>294</v>
      </c>
      <c r="T10" s="313">
        <f>(SUMIF($C$10:$C$40,S10,$D$10:$D$40)+SUMIF($C$10:$C$40,S10,$E$10:$E$40))/(COUNTIF($C$10:$C$40,S10)-1)</f>
        <v>206.70000000000002</v>
      </c>
      <c r="U10" s="313">
        <f>(SUMIF($C$10:$C$40,S10,$H$10:$H$40)+SUMIF($C$10:$C$40,S10,$I$10:$I$40)+SUMIF($C$10:$C$40,S10,$L$10:$L$40)+SUMIF($C$10:$C$40,S10,$M$10:$M$40))/(COUNTIF($C$10:$C$40,S10)-1)</f>
        <v>621.96666666666658</v>
      </c>
      <c r="V10" s="313">
        <f>(SUMIF($C$10:$C$40,S10,$H$10:$H$40)+SUMIF($C$10:$C$40,S10,$I$10:$I$40))/(COUNTIF($C$10:$C$40,S10)-1)</f>
        <v>352.46666666666664</v>
      </c>
      <c r="W10" s="313">
        <f>(SUMIF($C$10:$C$40,S10,$L$10:$L$40)+SUMIF($C$10:$C$40,S10,$M$10:$M$40))/(COUNTIF($C$10:$C$40,S10)-1)</f>
        <v>269.5</v>
      </c>
    </row>
    <row r="11" spans="1:42" s="368" customFormat="1" ht="16" customHeight="1">
      <c r="B11" s="424" t="s">
        <v>23</v>
      </c>
      <c r="C11" s="424" t="s">
        <v>1558</v>
      </c>
      <c r="D11" s="425">
        <f>398.4-E11</f>
        <v>338.5</v>
      </c>
      <c r="E11" s="425">
        <v>59.9</v>
      </c>
      <c r="F11" s="426">
        <v>97</v>
      </c>
      <c r="G11" s="427" t="s">
        <v>295</v>
      </c>
      <c r="H11" s="425">
        <f>707-D11-E11-I11</f>
        <v>195.20000000000002</v>
      </c>
      <c r="I11" s="425">
        <f>113.4</f>
        <v>113.4</v>
      </c>
      <c r="J11" s="426">
        <v>14</v>
      </c>
      <c r="K11" s="427" t="s">
        <v>295</v>
      </c>
      <c r="L11" s="425">
        <f>1630.9-M11-I11-H11-E11-D11</f>
        <v>524.49999999999989</v>
      </c>
      <c r="M11" s="425">
        <f>572.7-I11-E11</f>
        <v>399.40000000000009</v>
      </c>
      <c r="N11" s="427" t="s">
        <v>295</v>
      </c>
      <c r="O11" s="428">
        <f t="shared" ref="O11" si="0">SUM(M11,L11,I11,H11,D11,E11)</f>
        <v>1630.9</v>
      </c>
      <c r="P11" s="429">
        <v>1019.7</v>
      </c>
      <c r="Q11" s="430"/>
      <c r="S11" s="368" t="s">
        <v>1557</v>
      </c>
      <c r="T11" s="313">
        <f>(SUMIF($C$10:$C$40,S11,$D$10:$D$40)+SUMIF($C$10:$C$40,S11,$E$10:$E$40))/(COUNTIF($C$10:$C$40,S11)-1)</f>
        <v>152.92499999999998</v>
      </c>
      <c r="U11" s="313">
        <f>(SUMIF($C$10:$C$40,S11,$H$10:$H$40)+SUMIF($C$10:$C$40,S11,$I$10:$I$40)+SUMIF($C$10:$C$40,S11,$L$10:$L$40)+SUMIF($C$10:$C$40,S11,$M$10:$M$40))/(COUNTIF($C$10:$C$40,S11)-1)</f>
        <v>643.07500000000005</v>
      </c>
      <c r="V11" s="313">
        <f>(SUMIF($C$10:$C$40,S11,$H$10:$H$40)+SUMIF($C$10:$C$40,S11,$I$10:$I$40))/(COUNTIF($C$10:$C$40,S11)-1)</f>
        <v>242.52499999999998</v>
      </c>
      <c r="W11" s="313">
        <f>(SUMIF($C$10:$C$40,S11,$L$10:$L$40)+SUMIF($C$10:$C$40,S11,$M$10:$M$40))/(COUNTIF($C$10:$C$40,S11)-1)</f>
        <v>400.55</v>
      </c>
    </row>
    <row r="12" spans="1:42" s="368" customFormat="1" ht="16" customHeight="1">
      <c r="B12" s="424" t="s">
        <v>1559</v>
      </c>
      <c r="C12" s="424" t="s">
        <v>175</v>
      </c>
      <c r="D12" s="425">
        <f>383.5-E12</f>
        <v>340.6</v>
      </c>
      <c r="E12" s="425">
        <v>42.9</v>
      </c>
      <c r="F12" s="426">
        <v>60</v>
      </c>
      <c r="G12" s="427" t="s">
        <v>295</v>
      </c>
      <c r="H12" s="425">
        <f>582-D12-E12-I12</f>
        <v>87.199999999999974</v>
      </c>
      <c r="I12" s="425">
        <v>111.3</v>
      </c>
      <c r="J12" s="426">
        <v>6</v>
      </c>
      <c r="K12" s="427" t="s">
        <v>295</v>
      </c>
      <c r="L12" s="425">
        <f>2621.2-M12-I12-H12-E12-D12</f>
        <v>458.19999999999993</v>
      </c>
      <c r="M12" s="425">
        <f>1735.2-I12-E12</f>
        <v>1581</v>
      </c>
      <c r="N12" s="427" t="s">
        <v>295</v>
      </c>
      <c r="O12" s="428">
        <f>SUM(M12,L12,I12,H12,D12,E12)</f>
        <v>2621.1999999999998</v>
      </c>
      <c r="P12" s="429">
        <v>1811.64</v>
      </c>
      <c r="Q12" s="430" t="s">
        <v>1560</v>
      </c>
      <c r="S12" s="368" t="s">
        <v>1558</v>
      </c>
      <c r="T12" s="313">
        <f t="shared" ref="T12" si="1">(SUMIF($C$10:$C$40,S12,$D$10:$D$40)+SUMIF($C$10:$C$40,S12,$E$10:$E$40))/COUNTIF($C$10:$C$40,S12)</f>
        <v>267.86</v>
      </c>
      <c r="U12" s="313">
        <f t="shared" ref="U12:U13" si="2">(SUMIF($C$10:$C$40,S12,$H$10:$H$40)+SUMIF($C$10:$C$40,S12,$I$10:$I$40)+SUMIF($C$10:$C$40,S12,$L$10:$L$40)+SUMIF($C$10:$C$40,S12,$M$10:$M$40))/COUNTIF($C$10:$C$40,S12)</f>
        <v>771.58000000000015</v>
      </c>
      <c r="V12" s="313">
        <f t="shared" ref="V12:V13" si="3">(SUMIF($C$10:$C$40,S12,$H$10:$H$40)+SUMIF($C$10:$C$40,S12,$I$10:$I$40))/COUNTIF($C$10:$C$40,S12)</f>
        <v>276.91999999999996</v>
      </c>
      <c r="W12" s="313">
        <f t="shared" ref="W12:W13" si="4">(SUMIF($C$10:$C$40,S12,$L$10:$L$40)+SUMIF($C$10:$C$40,S12,$M$10:$M$40))/COUNTIF($C$10:$C$40,S12)</f>
        <v>494.66</v>
      </c>
    </row>
    <row r="13" spans="1:42" s="368" customFormat="1" ht="16" customHeight="1">
      <c r="B13" s="424" t="s">
        <v>1561</v>
      </c>
      <c r="C13" s="424" t="s">
        <v>176</v>
      </c>
      <c r="D13" s="425">
        <f>384.8-E13</f>
        <v>314.89999999999998</v>
      </c>
      <c r="E13" s="425">
        <v>69.900000000000006</v>
      </c>
      <c r="F13" s="426">
        <v>64</v>
      </c>
      <c r="G13" s="427" t="s">
        <v>295</v>
      </c>
      <c r="H13" s="425">
        <f>844.9-D13-E13-I13</f>
        <v>186.10000000000002</v>
      </c>
      <c r="I13" s="425">
        <v>274</v>
      </c>
      <c r="J13" s="426">
        <v>16</v>
      </c>
      <c r="K13" s="427" t="s">
        <v>295</v>
      </c>
      <c r="L13" s="425">
        <f>2536.4-M13-I13-H13-E13-D13</f>
        <v>1037</v>
      </c>
      <c r="M13" s="425">
        <f>998.4-I13-E13</f>
        <v>654.5</v>
      </c>
      <c r="N13" s="427" t="s">
        <v>295</v>
      </c>
      <c r="O13" s="428">
        <f t="shared" ref="O13:O40" si="5">SUM(M13,L13,I13,H13,D13,E13)</f>
        <v>2536.4</v>
      </c>
      <c r="P13" s="429">
        <v>1711.1</v>
      </c>
      <c r="Q13" s="430" t="s">
        <v>1562</v>
      </c>
      <c r="S13" s="368" t="s">
        <v>175</v>
      </c>
      <c r="T13" s="313">
        <f>(SUMIF($C$10:$C$40,S13,$D$10:$D$40)+SUMIF($C$10:$C$40,S13,$E$10:$E$40))/COUNTIF($C$10:$C$40,S13)</f>
        <v>209.11999999999998</v>
      </c>
      <c r="U13" s="313">
        <f t="shared" si="2"/>
        <v>2216.04</v>
      </c>
      <c r="V13" s="313">
        <f t="shared" si="3"/>
        <v>401.2</v>
      </c>
      <c r="W13" s="313">
        <f t="shared" si="4"/>
        <v>1814.8400000000001</v>
      </c>
    </row>
    <row r="14" spans="1:42" s="368" customFormat="1" ht="16" customHeight="1">
      <c r="B14" s="424" t="s">
        <v>1563</v>
      </c>
      <c r="C14" s="424" t="s">
        <v>177</v>
      </c>
      <c r="D14" s="425">
        <f>327-E14</f>
        <v>298.8</v>
      </c>
      <c r="E14" s="425">
        <v>28.2</v>
      </c>
      <c r="F14" s="426">
        <v>64</v>
      </c>
      <c r="G14" s="427" t="s">
        <v>1564</v>
      </c>
      <c r="H14" s="425">
        <f>516-D14-E14-I14</f>
        <v>103.3</v>
      </c>
      <c r="I14" s="425">
        <v>85.7</v>
      </c>
      <c r="J14" s="426">
        <v>18</v>
      </c>
      <c r="K14" s="427" t="s">
        <v>1564</v>
      </c>
      <c r="L14" s="425">
        <f>2406.4-M14-I14-H14-E14-D14</f>
        <v>1283.3000000000002</v>
      </c>
      <c r="M14" s="425">
        <f>721-I14-E14</f>
        <v>607.09999999999991</v>
      </c>
      <c r="N14" s="427" t="s">
        <v>1564</v>
      </c>
      <c r="O14" s="428">
        <f t="shared" si="5"/>
        <v>2406.4</v>
      </c>
      <c r="P14" s="429">
        <v>1200.9000000000001</v>
      </c>
      <c r="Q14" s="430" t="s">
        <v>1565</v>
      </c>
      <c r="S14" s="368" t="s">
        <v>176</v>
      </c>
      <c r="T14" s="313">
        <f>(SUMIF($C$10:$C$40,S14,$D$10:$D$40)+SUMIF($C$10:$C$40,S14,$E$10:$E$40))/COUNTIF($C$10:$C$40,S14)</f>
        <v>422.69999999999993</v>
      </c>
      <c r="U14" s="313">
        <f>(SUMIF($C$10:$C$40,S14,$H$10:$H$40)+SUMIF($C$10:$C$40,S14,$I$10:$I$40)+SUMIF($C$10:$C$40,S14,$L$10:$L$40)+SUMIF($C$10:$C$40,S14,$M$10:$M$40))/COUNTIF($C$10:$C$40,S14)</f>
        <v>2923.3125</v>
      </c>
      <c r="V14" s="313">
        <f>(SUMIF($C$10:$C$40,S14,$H$10:$H$40)+SUMIF($C$10:$C$40,S14,$I$10:$I$40))/COUNTIF($C$10:$C$40,S14)</f>
        <v>764.375</v>
      </c>
      <c r="W14" s="313">
        <f>(SUMIF($C$10:$C$40,S14,$L$10:$L$40)+SUMIF($C$10:$C$40,S14,$M$10:$M$40))/COUNTIF($C$10:$C$40,S14)</f>
        <v>2158.9375</v>
      </c>
    </row>
    <row r="15" spans="1:42" s="368" customFormat="1" ht="16" customHeight="1">
      <c r="B15" s="424" t="s">
        <v>1566</v>
      </c>
      <c r="C15" s="424" t="s">
        <v>1567</v>
      </c>
      <c r="D15" s="425">
        <f>495-E15</f>
        <v>423.6</v>
      </c>
      <c r="E15" s="425">
        <v>71.400000000000006</v>
      </c>
      <c r="F15" s="426">
        <v>62</v>
      </c>
      <c r="G15" s="427" t="s">
        <v>1564</v>
      </c>
      <c r="H15" s="425">
        <f>600-D15-E15-I15</f>
        <v>89.999999999999972</v>
      </c>
      <c r="I15" s="425">
        <v>15</v>
      </c>
      <c r="J15" s="426">
        <v>6</v>
      </c>
      <c r="K15" s="427" t="s">
        <v>1564</v>
      </c>
      <c r="L15" s="425">
        <f>5381.4-M15-I15-H15-E15-D15</f>
        <v>2770.2</v>
      </c>
      <c r="M15" s="425">
        <f>831.6+105.5+970.5+190-I15-E15</f>
        <v>2011.1999999999998</v>
      </c>
      <c r="N15" s="427" t="s">
        <v>1564</v>
      </c>
      <c r="O15" s="428">
        <f t="shared" si="5"/>
        <v>5381.4</v>
      </c>
      <c r="P15" s="429">
        <f>1004+1092.62+530</f>
        <v>2626.62</v>
      </c>
      <c r="Q15" s="431" t="s">
        <v>1568</v>
      </c>
      <c r="S15" s="368" t="s">
        <v>177</v>
      </c>
      <c r="T15" s="313">
        <f>(SUMIF($C$10:$C$40,S15,$D$10:$D$40)+SUMIF($C$10:$C$40,S15,$E$10:$E$40))/(COUNTIF($C$10:$C$40,S15)-1)</f>
        <v>640.19999999999993</v>
      </c>
      <c r="U15" s="313">
        <f>(SUMIF($C$10:$C$40,S15,$H$10:$H$40)+SUMIF($C$10:$C$40,S15,$I$10:$I$40)+SUMIF($C$10:$C$40,S15,$L$10:$L$40)+SUMIF($C$10:$C$40,S15,$M$10:$M$40))/(COUNTIF($C$10:$C$40,S15)-1)</f>
        <v>4365.5666666666666</v>
      </c>
      <c r="V15" s="313">
        <f>(SUMIF($C$10:$C$40,S15,$H$10:$H$40)+SUMIF($C$10:$C$40,S15,$I$10:$I$40))/(COUNTIF($C$10:$C$40,S15)-2)</f>
        <v>1031.3000000000002</v>
      </c>
      <c r="W15" s="313">
        <f>(SUMIF($C$10:$C$40,S15,$L$10:$L$40)+SUMIF($C$10:$C$40,S15,$M$10:$M$40))/(COUNTIF($C$10:$C$40,S15)-1)</f>
        <v>3678.0333333333328</v>
      </c>
    </row>
    <row r="16" spans="1:42" s="368" customFormat="1" ht="16" customHeight="1">
      <c r="B16" s="424" t="s">
        <v>1569</v>
      </c>
      <c r="C16" s="424" t="s">
        <v>294</v>
      </c>
      <c r="D16" s="425"/>
      <c r="E16" s="425"/>
      <c r="F16" s="426"/>
      <c r="G16" s="427"/>
      <c r="H16" s="425"/>
      <c r="I16" s="425"/>
      <c r="J16" s="426"/>
      <c r="K16" s="427"/>
      <c r="L16" s="425"/>
      <c r="M16" s="425"/>
      <c r="N16" s="427"/>
      <c r="O16" s="428"/>
      <c r="P16" s="429"/>
      <c r="Q16" s="430" t="s">
        <v>1387</v>
      </c>
      <c r="S16" s="406"/>
      <c r="T16" s="406"/>
      <c r="U16" s="272"/>
      <c r="V16" s="272"/>
      <c r="W16" s="272"/>
      <c r="X16" s="272"/>
      <c r="Y16" s="432"/>
      <c r="Z16" s="432"/>
      <c r="AA16" s="432"/>
      <c r="AB16" s="432"/>
      <c r="AC16" s="432"/>
    </row>
    <row r="17" spans="2:24" s="368" customFormat="1" ht="16" customHeight="1">
      <c r="B17" s="424" t="s">
        <v>297</v>
      </c>
      <c r="C17" s="424" t="s">
        <v>1557</v>
      </c>
      <c r="D17" s="425"/>
      <c r="E17" s="425"/>
      <c r="F17" s="426"/>
      <c r="G17" s="427"/>
      <c r="H17" s="425"/>
      <c r="I17" s="425"/>
      <c r="J17" s="426"/>
      <c r="K17" s="427"/>
      <c r="L17" s="425"/>
      <c r="M17" s="425"/>
      <c r="N17" s="427"/>
      <c r="O17" s="428"/>
      <c r="P17" s="429"/>
      <c r="Q17" s="430" t="s">
        <v>1387</v>
      </c>
      <c r="T17" s="313"/>
      <c r="U17" s="422" t="s">
        <v>1570</v>
      </c>
      <c r="V17" s="422" t="s">
        <v>1571</v>
      </c>
      <c r="W17" s="272"/>
      <c r="X17" s="272"/>
    </row>
    <row r="18" spans="2:24" s="368" customFormat="1" ht="16" customHeight="1">
      <c r="B18" s="424" t="s">
        <v>1572</v>
      </c>
      <c r="C18" s="424" t="s">
        <v>1558</v>
      </c>
      <c r="D18" s="425"/>
      <c r="E18" s="425"/>
      <c r="F18" s="426"/>
      <c r="G18" s="427"/>
      <c r="H18" s="425"/>
      <c r="I18" s="425"/>
      <c r="J18" s="426"/>
      <c r="K18" s="427"/>
      <c r="L18" s="425"/>
      <c r="M18" s="425"/>
      <c r="N18" s="427"/>
      <c r="O18" s="428"/>
      <c r="P18" s="429"/>
      <c r="Q18" s="430" t="s">
        <v>1387</v>
      </c>
      <c r="S18" s="433" t="s">
        <v>1573</v>
      </c>
      <c r="T18" s="434"/>
      <c r="U18" s="435">
        <v>370</v>
      </c>
      <c r="V18" s="435"/>
    </row>
    <row r="19" spans="2:24" s="368" customFormat="1" ht="16" customHeight="1">
      <c r="B19" s="424" t="s">
        <v>1574</v>
      </c>
      <c r="C19" s="424" t="s">
        <v>175</v>
      </c>
      <c r="D19" s="425">
        <f>109.2-E19</f>
        <v>102.4</v>
      </c>
      <c r="E19" s="425">
        <v>6.8</v>
      </c>
      <c r="F19" s="426">
        <v>57</v>
      </c>
      <c r="G19" s="427" t="s">
        <v>295</v>
      </c>
      <c r="H19" s="425">
        <f>527.8-D19-E19-I19</f>
        <v>278.79999999999995</v>
      </c>
      <c r="I19" s="425">
        <v>139.80000000000001</v>
      </c>
      <c r="J19" s="426">
        <v>17</v>
      </c>
      <c r="K19" s="427" t="s">
        <v>295</v>
      </c>
      <c r="L19" s="425">
        <f>3094-M19-I19-H19-E19-D19</f>
        <v>562.10000000000025</v>
      </c>
      <c r="M19" s="425">
        <f>2150.7-I19-E19</f>
        <v>2004.1</v>
      </c>
      <c r="N19" s="427" t="s">
        <v>295</v>
      </c>
      <c r="O19" s="428">
        <f t="shared" si="5"/>
        <v>3094.0000000000005</v>
      </c>
      <c r="P19" s="429">
        <v>2446.6</v>
      </c>
      <c r="Q19" s="430" t="s">
        <v>1575</v>
      </c>
      <c r="S19" s="433" t="s">
        <v>1576</v>
      </c>
      <c r="T19" s="434"/>
      <c r="U19" s="435">
        <v>100</v>
      </c>
      <c r="V19" s="435"/>
    </row>
    <row r="20" spans="2:24" s="368" customFormat="1" ht="16" customHeight="1">
      <c r="B20" s="424" t="s">
        <v>1577</v>
      </c>
      <c r="C20" s="424" t="s">
        <v>176</v>
      </c>
      <c r="D20" s="425">
        <f>315-E20</f>
        <v>233.9</v>
      </c>
      <c r="E20" s="425">
        <v>81.099999999999994</v>
      </c>
      <c r="F20" s="426">
        <v>54</v>
      </c>
      <c r="G20" s="427" t="s">
        <v>295</v>
      </c>
      <c r="H20" s="425">
        <f>1153-D20-E20-I20</f>
        <v>529.1</v>
      </c>
      <c r="I20" s="425">
        <v>308.89999999999998</v>
      </c>
      <c r="J20" s="426">
        <v>19</v>
      </c>
      <c r="K20" s="427" t="s">
        <v>295</v>
      </c>
      <c r="L20" s="425">
        <f>2797.5+740.5-M20-I20-H20-E20-D20</f>
        <v>1657</v>
      </c>
      <c r="M20" s="425">
        <f>1077.5+40.5-I20-E20</f>
        <v>728</v>
      </c>
      <c r="N20" s="427" t="s">
        <v>295</v>
      </c>
      <c r="O20" s="428">
        <f t="shared" si="5"/>
        <v>3538</v>
      </c>
      <c r="P20" s="429">
        <v>1952.4</v>
      </c>
      <c r="Q20" s="430" t="s">
        <v>1578</v>
      </c>
      <c r="S20" s="433" t="s">
        <v>1579</v>
      </c>
      <c r="T20" s="434"/>
      <c r="U20" s="435">
        <v>50</v>
      </c>
      <c r="V20" s="435"/>
    </row>
    <row r="21" spans="2:24" s="368" customFormat="1" ht="16" customHeight="1">
      <c r="B21" s="424" t="s">
        <v>977</v>
      </c>
      <c r="C21" s="424" t="s">
        <v>177</v>
      </c>
      <c r="D21" s="425">
        <f>581.4-E21</f>
        <v>465.09999999999997</v>
      </c>
      <c r="E21" s="425">
        <v>116.3</v>
      </c>
      <c r="F21" s="426">
        <v>73</v>
      </c>
      <c r="G21" s="427" t="s">
        <v>295</v>
      </c>
      <c r="H21" s="425">
        <f>1038.9-D21-E21-I21</f>
        <v>316.00000000000017</v>
      </c>
      <c r="I21" s="425">
        <v>141.5</v>
      </c>
      <c r="J21" s="426">
        <v>8</v>
      </c>
      <c r="K21" s="427" t="s">
        <v>295</v>
      </c>
      <c r="L21" s="425">
        <f>1376.8-M21-I21-H21-E21-D21</f>
        <v>203.89999999999981</v>
      </c>
      <c r="M21" s="425">
        <f>391.8-I21-E21</f>
        <v>134</v>
      </c>
      <c r="N21" s="427" t="s">
        <v>295</v>
      </c>
      <c r="O21" s="428">
        <f t="shared" si="5"/>
        <v>1376.8</v>
      </c>
      <c r="P21" s="429">
        <v>1185</v>
      </c>
      <c r="Q21" s="430"/>
      <c r="S21" s="433" t="s">
        <v>1580</v>
      </c>
      <c r="T21" s="434"/>
      <c r="U21" s="435">
        <v>50</v>
      </c>
      <c r="V21" s="435"/>
    </row>
    <row r="22" spans="2:24" s="368" customFormat="1" ht="16" customHeight="1">
      <c r="B22" s="424" t="s">
        <v>1581</v>
      </c>
      <c r="C22" s="424" t="s">
        <v>1567</v>
      </c>
      <c r="D22" s="425"/>
      <c r="E22" s="425"/>
      <c r="F22" s="426"/>
      <c r="G22" s="427"/>
      <c r="H22" s="425"/>
      <c r="I22" s="425"/>
      <c r="J22" s="426"/>
      <c r="K22" s="427"/>
      <c r="L22" s="425"/>
      <c r="M22" s="425"/>
      <c r="N22" s="427"/>
      <c r="O22" s="428"/>
      <c r="P22" s="429"/>
      <c r="Q22" s="430"/>
      <c r="S22" s="433" t="s">
        <v>1582</v>
      </c>
      <c r="T22" s="434"/>
      <c r="U22" s="435">
        <v>60</v>
      </c>
      <c r="V22" s="435"/>
    </row>
    <row r="23" spans="2:24" s="368" customFormat="1" ht="16" customHeight="1">
      <c r="B23" s="424" t="s">
        <v>1583</v>
      </c>
      <c r="C23" s="424" t="s">
        <v>294</v>
      </c>
      <c r="D23" s="425">
        <f>173.3-E23</f>
        <v>148</v>
      </c>
      <c r="E23" s="425">
        <v>25.3</v>
      </c>
      <c r="F23" s="426">
        <v>57</v>
      </c>
      <c r="G23" s="427" t="s">
        <v>295</v>
      </c>
      <c r="H23" s="425">
        <f>436.4-D23-E23-I23</f>
        <v>39.999999999999972</v>
      </c>
      <c r="I23" s="425">
        <v>223.1</v>
      </c>
      <c r="J23" s="426">
        <v>14</v>
      </c>
      <c r="K23" s="427" t="s">
        <v>295</v>
      </c>
      <c r="L23" s="425">
        <f>616.4-M23-I23-H23-E23-D23</f>
        <v>66.999999999999972</v>
      </c>
      <c r="M23" s="425">
        <f>361.4-I23-E23</f>
        <v>112.99999999999999</v>
      </c>
      <c r="N23" s="427" t="s">
        <v>295</v>
      </c>
      <c r="O23" s="428">
        <f t="shared" si="5"/>
        <v>616.39999999999986</v>
      </c>
      <c r="P23" s="429">
        <v>562.4</v>
      </c>
      <c r="Q23" s="430"/>
      <c r="S23" s="436" t="s">
        <v>1584</v>
      </c>
      <c r="T23" s="437"/>
      <c r="U23" s="438">
        <v>70</v>
      </c>
      <c r="V23" s="438"/>
    </row>
    <row r="24" spans="2:24" s="368" customFormat="1" ht="16" customHeight="1">
      <c r="B24" s="424" t="s">
        <v>298</v>
      </c>
      <c r="C24" s="424" t="s">
        <v>1557</v>
      </c>
      <c r="D24" s="425">
        <f>171.5-E24</f>
        <v>125.9</v>
      </c>
      <c r="E24" s="425">
        <v>45.6</v>
      </c>
      <c r="F24" s="426">
        <v>63</v>
      </c>
      <c r="G24" s="427" t="s">
        <v>295</v>
      </c>
      <c r="H24" s="425">
        <f>417.4-D24-E24-I24</f>
        <v>176.10000000000002</v>
      </c>
      <c r="I24" s="425">
        <v>69.8</v>
      </c>
      <c r="J24" s="426">
        <v>15</v>
      </c>
      <c r="K24" s="427" t="s">
        <v>295</v>
      </c>
      <c r="L24" s="425">
        <f>681.4-M24-I24-H24-E24-D24</f>
        <v>146.29999999999987</v>
      </c>
      <c r="M24" s="425">
        <f>233.1-I24-E24</f>
        <v>117.70000000000002</v>
      </c>
      <c r="N24" s="427" t="s">
        <v>295</v>
      </c>
      <c r="O24" s="428">
        <f t="shared" si="5"/>
        <v>681.4</v>
      </c>
      <c r="P24" s="429">
        <v>441</v>
      </c>
      <c r="Q24" s="430"/>
      <c r="S24" s="436" t="s">
        <v>1585</v>
      </c>
      <c r="T24" s="437"/>
      <c r="U24" s="438">
        <v>250</v>
      </c>
      <c r="V24" s="438"/>
    </row>
    <row r="25" spans="2:24" s="368" customFormat="1" ht="16" customHeight="1">
      <c r="B25" s="424" t="s">
        <v>996</v>
      </c>
      <c r="C25" s="424" t="s">
        <v>1558</v>
      </c>
      <c r="D25" s="425">
        <f>422.8-E25</f>
        <v>385</v>
      </c>
      <c r="E25" s="425">
        <v>37.799999999999997</v>
      </c>
      <c r="F25" s="426">
        <v>123</v>
      </c>
      <c r="G25" s="427" t="s">
        <v>295</v>
      </c>
      <c r="H25" s="425">
        <f>796.9-D25-E25-I25</f>
        <v>257</v>
      </c>
      <c r="I25" s="425">
        <v>117.1</v>
      </c>
      <c r="J25" s="426">
        <v>17</v>
      </c>
      <c r="K25" s="427" t="s">
        <v>295</v>
      </c>
      <c r="L25" s="425">
        <f>1402.2-M25-I25-H25-E25-D25</f>
        <v>235.30000000000007</v>
      </c>
      <c r="M25" s="425">
        <f>524.9-I25-E25</f>
        <v>369.99999999999994</v>
      </c>
      <c r="N25" s="427" t="s">
        <v>295</v>
      </c>
      <c r="O25" s="428">
        <f t="shared" si="5"/>
        <v>1402.2</v>
      </c>
      <c r="P25" s="429">
        <v>1074.7</v>
      </c>
      <c r="Q25" s="430"/>
      <c r="S25" s="436" t="s">
        <v>1586</v>
      </c>
      <c r="T25" s="437"/>
      <c r="U25" s="438">
        <v>150</v>
      </c>
      <c r="V25" s="438"/>
    </row>
    <row r="26" spans="2:24" s="368" customFormat="1" ht="16" customHeight="1">
      <c r="B26" s="424" t="s">
        <v>293</v>
      </c>
      <c r="C26" s="424" t="s">
        <v>175</v>
      </c>
      <c r="D26" s="425">
        <f>227.2-E26</f>
        <v>148.19999999999999</v>
      </c>
      <c r="E26" s="425">
        <v>79</v>
      </c>
      <c r="F26" s="426">
        <v>56</v>
      </c>
      <c r="G26" s="427" t="s">
        <v>295</v>
      </c>
      <c r="H26" s="425">
        <f>792-D26-E26-I26</f>
        <v>399.79999999999995</v>
      </c>
      <c r="I26" s="425">
        <v>165</v>
      </c>
      <c r="J26" s="426">
        <v>11</v>
      </c>
      <c r="K26" s="427" t="s">
        <v>295</v>
      </c>
      <c r="L26" s="425">
        <f>2017-M26-I26-H26-E26-D26</f>
        <v>483.00000000000006</v>
      </c>
      <c r="M26" s="425">
        <f>986-I26-E26</f>
        <v>742</v>
      </c>
      <c r="N26" s="427" t="s">
        <v>295</v>
      </c>
      <c r="O26" s="428">
        <f t="shared" si="5"/>
        <v>2017</v>
      </c>
      <c r="P26" s="429">
        <v>1221.3</v>
      </c>
      <c r="Q26" s="430"/>
      <c r="S26" s="436" t="s">
        <v>952</v>
      </c>
      <c r="T26" s="437"/>
      <c r="U26" s="438">
        <v>100</v>
      </c>
      <c r="V26" s="438"/>
    </row>
    <row r="27" spans="2:24" s="368" customFormat="1" ht="16" customHeight="1">
      <c r="B27" s="424" t="s">
        <v>420</v>
      </c>
      <c r="C27" s="424" t="s">
        <v>176</v>
      </c>
      <c r="D27" s="425">
        <f>613-E27</f>
        <v>252.39999999999998</v>
      </c>
      <c r="E27" s="425">
        <v>360.6</v>
      </c>
      <c r="F27" s="426">
        <v>78</v>
      </c>
      <c r="G27" s="427" t="s">
        <v>295</v>
      </c>
      <c r="H27" s="425">
        <f>1379.4-D27-E27-I27</f>
        <v>-90.899999999999977</v>
      </c>
      <c r="I27" s="425">
        <v>857.3</v>
      </c>
      <c r="J27" s="426">
        <v>16</v>
      </c>
      <c r="K27" s="427" t="s">
        <v>295</v>
      </c>
      <c r="L27" s="425">
        <f>3313.9-M27-I27-H27-E27-D27</f>
        <v>1230.5</v>
      </c>
      <c r="M27" s="425">
        <f>1921.9-I27-E27</f>
        <v>704.00000000000011</v>
      </c>
      <c r="N27" s="427" t="s">
        <v>295</v>
      </c>
      <c r="O27" s="428">
        <f t="shared" si="5"/>
        <v>3313.9</v>
      </c>
      <c r="P27" s="429">
        <v>2536.1</v>
      </c>
      <c r="Q27" s="430" t="s">
        <v>1587</v>
      </c>
      <c r="S27" s="436" t="s">
        <v>1588</v>
      </c>
      <c r="T27" s="437"/>
      <c r="U27" s="438"/>
      <c r="V27" s="438"/>
    </row>
    <row r="28" spans="2:24" s="368" customFormat="1" ht="16" customHeight="1">
      <c r="B28" s="424" t="s">
        <v>719</v>
      </c>
      <c r="C28" s="424" t="s">
        <v>177</v>
      </c>
      <c r="D28" s="425">
        <f>611-E28</f>
        <v>468.2</v>
      </c>
      <c r="E28" s="425">
        <v>142.80000000000001</v>
      </c>
      <c r="F28" s="426">
        <v>89</v>
      </c>
      <c r="G28" s="427" t="s">
        <v>1589</v>
      </c>
      <c r="H28" s="425">
        <f>1536-D28-E28-I28</f>
        <v>566</v>
      </c>
      <c r="I28" s="425">
        <v>359</v>
      </c>
      <c r="J28" s="426">
        <v>5</v>
      </c>
      <c r="K28" s="427" t="s">
        <v>1589</v>
      </c>
      <c r="L28" s="425">
        <f>4000.3+3482+2034+217.5+179-M28-I28-H28-E28-D28</f>
        <v>4361.2999999999993</v>
      </c>
      <c r="M28" s="425">
        <f>1796.8+179+1781.5+760-I28-E28</f>
        <v>4015.5</v>
      </c>
      <c r="N28" s="427" t="s">
        <v>1589</v>
      </c>
      <c r="O28" s="428">
        <f t="shared" si="5"/>
        <v>9912.7999999999993</v>
      </c>
      <c r="P28" s="429">
        <f>1843+1468.3+2430</f>
        <v>5741.3</v>
      </c>
      <c r="Q28" s="431" t="s">
        <v>1590</v>
      </c>
      <c r="S28" s="436" t="s">
        <v>144</v>
      </c>
      <c r="T28" s="437"/>
      <c r="U28" s="438">
        <v>400</v>
      </c>
      <c r="V28" s="438"/>
    </row>
    <row r="29" spans="2:24" s="368" customFormat="1" ht="16" customHeight="1">
      <c r="B29" s="424" t="s">
        <v>1591</v>
      </c>
      <c r="C29" s="424" t="s">
        <v>1567</v>
      </c>
      <c r="D29" s="425"/>
      <c r="E29" s="425"/>
      <c r="F29" s="426"/>
      <c r="G29" s="427"/>
      <c r="H29" s="425"/>
      <c r="I29" s="425"/>
      <c r="J29" s="426"/>
      <c r="K29" s="427"/>
      <c r="L29" s="425"/>
      <c r="M29" s="425"/>
      <c r="N29" s="427"/>
      <c r="O29" s="428"/>
      <c r="P29" s="429"/>
      <c r="Q29" s="430"/>
      <c r="S29" s="439" t="s">
        <v>1592</v>
      </c>
      <c r="T29" s="440"/>
      <c r="U29" s="441"/>
      <c r="V29" s="441"/>
    </row>
    <row r="30" spans="2:24" s="368" customFormat="1" ht="16" customHeight="1">
      <c r="B30" s="424" t="s">
        <v>1593</v>
      </c>
      <c r="C30" s="424" t="s">
        <v>294</v>
      </c>
      <c r="D30" s="425">
        <f>320-E30</f>
        <v>260.10000000000002</v>
      </c>
      <c r="E30" s="425">
        <v>59.9</v>
      </c>
      <c r="F30" s="426">
        <v>62</v>
      </c>
      <c r="G30" s="427" t="s">
        <v>295</v>
      </c>
      <c r="H30" s="425">
        <f>716-D30-E30-I30</f>
        <v>267.7</v>
      </c>
      <c r="I30" s="425">
        <v>128.30000000000001</v>
      </c>
      <c r="J30" s="426">
        <v>10</v>
      </c>
      <c r="K30" s="427" t="s">
        <v>295</v>
      </c>
      <c r="L30" s="425">
        <f>1104.4-M30-I30-H30-E30-D30</f>
        <v>239.90000000000009</v>
      </c>
      <c r="M30" s="425">
        <f>336.7-I30-E30</f>
        <v>148.49999999999997</v>
      </c>
      <c r="N30" s="427" t="s">
        <v>295</v>
      </c>
      <c r="O30" s="428">
        <f t="shared" si="5"/>
        <v>1104.4000000000001</v>
      </c>
      <c r="P30" s="429">
        <v>823.3</v>
      </c>
      <c r="Q30" s="430" t="s">
        <v>1594</v>
      </c>
      <c r="S30" s="439" t="s">
        <v>1595</v>
      </c>
      <c r="T30" s="440"/>
      <c r="U30" s="441"/>
      <c r="V30" s="441"/>
    </row>
    <row r="31" spans="2:24" s="368" customFormat="1" ht="16" customHeight="1">
      <c r="B31" s="424" t="s">
        <v>299</v>
      </c>
      <c r="C31" s="424" t="s">
        <v>1557</v>
      </c>
      <c r="D31" s="425">
        <f>293-E31</f>
        <v>256.5</v>
      </c>
      <c r="E31" s="425">
        <v>36.5</v>
      </c>
      <c r="F31" s="426">
        <v>56</v>
      </c>
      <c r="G31" s="427" t="s">
        <v>295</v>
      </c>
      <c r="H31" s="425">
        <f>720-D31-E31-I31</f>
        <v>271.10000000000002</v>
      </c>
      <c r="I31" s="425">
        <v>155.9</v>
      </c>
      <c r="J31" s="426">
        <v>9</v>
      </c>
      <c r="K31" s="427" t="s">
        <v>1589</v>
      </c>
      <c r="L31" s="425">
        <f>1336.9-M31-I31-H31-E31-D31</f>
        <v>385.40000000000009</v>
      </c>
      <c r="M31" s="425">
        <f>423.9-I31-E31</f>
        <v>231.5</v>
      </c>
      <c r="N31" s="427" t="s">
        <v>1596</v>
      </c>
      <c r="O31" s="428">
        <f t="shared" si="5"/>
        <v>1336.9</v>
      </c>
      <c r="P31" s="429">
        <v>863.7</v>
      </c>
      <c r="Q31" s="430" t="s">
        <v>1594</v>
      </c>
      <c r="S31" s="439" t="s">
        <v>1597</v>
      </c>
      <c r="T31" s="440"/>
      <c r="U31" s="441"/>
      <c r="V31" s="441"/>
    </row>
    <row r="32" spans="2:24" s="368" customFormat="1" ht="16" customHeight="1">
      <c r="B32" s="424" t="s">
        <v>461</v>
      </c>
      <c r="C32" s="424" t="s">
        <v>1558</v>
      </c>
      <c r="D32" s="425">
        <f>220.6-E32</f>
        <v>178.39999999999998</v>
      </c>
      <c r="E32" s="425">
        <v>42.2</v>
      </c>
      <c r="F32" s="426">
        <v>69</v>
      </c>
      <c r="G32" s="427" t="s">
        <v>295</v>
      </c>
      <c r="H32" s="425">
        <f>600.9-D32-E32-I32</f>
        <v>107.30000000000001</v>
      </c>
      <c r="I32" s="425">
        <v>273</v>
      </c>
      <c r="J32" s="426">
        <v>7</v>
      </c>
      <c r="K32" s="427" t="s">
        <v>1596</v>
      </c>
      <c r="L32" s="425">
        <f>1271-M32-I32-H32-E32-D32</f>
        <v>333.6</v>
      </c>
      <c r="M32" s="425">
        <f>651.7-I32-E32</f>
        <v>336.50000000000006</v>
      </c>
      <c r="N32" s="427" t="s">
        <v>295</v>
      </c>
      <c r="O32" s="428">
        <f t="shared" si="5"/>
        <v>1271.0000000000002</v>
      </c>
      <c r="P32" s="429">
        <v>937.9</v>
      </c>
      <c r="Q32" s="430"/>
      <c r="S32" s="439" t="s">
        <v>1598</v>
      </c>
      <c r="T32" s="440"/>
      <c r="U32" s="441"/>
      <c r="V32" s="441"/>
    </row>
    <row r="33" spans="2:22" s="368" customFormat="1" ht="16" customHeight="1">
      <c r="B33" s="424" t="s">
        <v>296</v>
      </c>
      <c r="C33" s="424" t="s">
        <v>175</v>
      </c>
      <c r="D33" s="425">
        <f>211-E33</f>
        <v>135.80000000000001</v>
      </c>
      <c r="E33" s="425">
        <v>75.2</v>
      </c>
      <c r="F33" s="426">
        <v>79</v>
      </c>
      <c r="G33" s="427" t="s">
        <v>1564</v>
      </c>
      <c r="H33" s="425">
        <f>577-D33-E33-I33</f>
        <v>18.5</v>
      </c>
      <c r="I33" s="425">
        <v>347.5</v>
      </c>
      <c r="J33" s="426">
        <v>8</v>
      </c>
      <c r="K33" s="427" t="s">
        <v>1564</v>
      </c>
      <c r="L33" s="425">
        <f>1936.3-M33-I33-H33-E33-D33</f>
        <v>589.20000000000005</v>
      </c>
      <c r="M33" s="425">
        <f>1192.8-I33-E33</f>
        <v>770.09999999999991</v>
      </c>
      <c r="N33" s="427" t="s">
        <v>1564</v>
      </c>
      <c r="O33" s="428">
        <f t="shared" si="5"/>
        <v>1936.3</v>
      </c>
      <c r="P33" s="429">
        <v>1504.9</v>
      </c>
      <c r="Q33" s="430" t="s">
        <v>1599</v>
      </c>
      <c r="S33" s="439" t="s">
        <v>1600</v>
      </c>
      <c r="T33" s="440"/>
      <c r="U33" s="441">
        <v>80</v>
      </c>
      <c r="V33" s="441"/>
    </row>
    <row r="34" spans="2:22" s="368" customFormat="1" ht="16" customHeight="1">
      <c r="B34" s="424" t="s">
        <v>1601</v>
      </c>
      <c r="C34" s="424" t="s">
        <v>176</v>
      </c>
      <c r="D34" s="425">
        <f>378-E34</f>
        <v>347.5</v>
      </c>
      <c r="E34" s="425">
        <v>30.5</v>
      </c>
      <c r="F34" s="426">
        <v>56</v>
      </c>
      <c r="G34" s="427" t="s">
        <v>295</v>
      </c>
      <c r="H34" s="425">
        <f>1371-D34-E34-I34</f>
        <v>595.1</v>
      </c>
      <c r="I34" s="425">
        <v>397.9</v>
      </c>
      <c r="J34" s="426">
        <v>14</v>
      </c>
      <c r="K34" s="427" t="s">
        <v>295</v>
      </c>
      <c r="L34" s="425">
        <f>3995.75-M34-I34-H34-E34-D34</f>
        <v>1420.25</v>
      </c>
      <c r="M34" s="425">
        <f>1632.9-I34-E34</f>
        <v>1204.5</v>
      </c>
      <c r="N34" s="427" t="s">
        <v>295</v>
      </c>
      <c r="O34" s="428">
        <f t="shared" si="5"/>
        <v>3995.75</v>
      </c>
      <c r="P34" s="429">
        <v>3164.2</v>
      </c>
      <c r="Q34" s="430" t="s">
        <v>1602</v>
      </c>
      <c r="S34" s="439" t="s">
        <v>1603</v>
      </c>
      <c r="T34" s="440"/>
      <c r="U34" s="441"/>
      <c r="V34" s="441"/>
    </row>
    <row r="35" spans="2:22" s="368" customFormat="1" ht="16" customHeight="1">
      <c r="B35" s="424" t="s">
        <v>1604</v>
      </c>
      <c r="C35" s="424" t="s">
        <v>177</v>
      </c>
      <c r="D35" s="425">
        <f>401.2-E35</f>
        <v>218.39999999999998</v>
      </c>
      <c r="E35" s="425">
        <v>182.8</v>
      </c>
      <c r="F35" s="426">
        <v>46</v>
      </c>
      <c r="G35" s="427" t="s">
        <v>1596</v>
      </c>
      <c r="H35" s="425">
        <f>892.3-D35-E35-I35</f>
        <v>149.19999999999999</v>
      </c>
      <c r="I35" s="425">
        <v>341.9</v>
      </c>
      <c r="J35" s="426">
        <v>12</v>
      </c>
      <c r="K35" s="427" t="s">
        <v>1596</v>
      </c>
      <c r="L35" s="425">
        <f>1321.3-M35-I35-H35-E35-D35</f>
        <v>301.00000000000011</v>
      </c>
      <c r="M35" s="425">
        <f>652.7-I35-E35</f>
        <v>128.00000000000006</v>
      </c>
      <c r="N35" s="427" t="s">
        <v>1596</v>
      </c>
      <c r="O35" s="428">
        <f t="shared" si="5"/>
        <v>1321.3</v>
      </c>
      <c r="P35" s="429">
        <v>1201.8</v>
      </c>
      <c r="Q35" s="430" t="s">
        <v>1605</v>
      </c>
      <c r="S35" s="439" t="s">
        <v>1606</v>
      </c>
      <c r="T35" s="440"/>
      <c r="U35" s="441">
        <v>130</v>
      </c>
      <c r="V35" s="441"/>
    </row>
    <row r="36" spans="2:22" s="368" customFormat="1" ht="16" customHeight="1">
      <c r="B36" s="424" t="s">
        <v>1607</v>
      </c>
      <c r="C36" s="424" t="s">
        <v>1567</v>
      </c>
      <c r="D36" s="425"/>
      <c r="E36" s="425"/>
      <c r="F36" s="426"/>
      <c r="G36" s="427"/>
      <c r="H36" s="425"/>
      <c r="I36" s="425"/>
      <c r="J36" s="426"/>
      <c r="K36" s="427"/>
      <c r="L36" s="425"/>
      <c r="M36" s="425"/>
      <c r="N36" s="427"/>
      <c r="O36" s="428"/>
      <c r="P36" s="429"/>
      <c r="Q36" s="430"/>
      <c r="S36" s="439" t="s">
        <v>1608</v>
      </c>
      <c r="T36" s="440"/>
      <c r="U36" s="441"/>
      <c r="V36" s="441"/>
    </row>
    <row r="37" spans="2:22" s="368" customFormat="1" ht="16" customHeight="1">
      <c r="B37" s="424" t="s">
        <v>1028</v>
      </c>
      <c r="C37" s="424" t="s">
        <v>294</v>
      </c>
      <c r="D37" s="425">
        <f>126.8-E37</f>
        <v>122</v>
      </c>
      <c r="E37" s="425">
        <v>4.8</v>
      </c>
      <c r="F37" s="426">
        <v>50</v>
      </c>
      <c r="G37" s="427" t="s">
        <v>1596</v>
      </c>
      <c r="H37" s="425">
        <f>525.1-D37-E37-I37</f>
        <v>310.10000000000002</v>
      </c>
      <c r="I37" s="425">
        <v>88.2</v>
      </c>
      <c r="J37" s="426">
        <v>17</v>
      </c>
      <c r="K37" s="427" t="s">
        <v>1596</v>
      </c>
      <c r="L37" s="425">
        <f>765.2-M37-I37-H37-E37-D37</f>
        <v>109.80000000000001</v>
      </c>
      <c r="M37" s="425">
        <f>223.3-I37-E37</f>
        <v>130.30000000000001</v>
      </c>
      <c r="N37" s="427" t="s">
        <v>1596</v>
      </c>
      <c r="O37" s="428">
        <f t="shared" si="5"/>
        <v>765.2</v>
      </c>
      <c r="P37" s="429">
        <v>439.8</v>
      </c>
      <c r="Q37" s="430"/>
      <c r="S37" s="439" t="s">
        <v>1609</v>
      </c>
      <c r="T37" s="440"/>
      <c r="U37" s="441">
        <v>130</v>
      </c>
      <c r="V37" s="441"/>
    </row>
    <row r="38" spans="2:22" s="368" customFormat="1" ht="16" customHeight="1">
      <c r="B38" s="424" t="s">
        <v>300</v>
      </c>
      <c r="C38" s="424" t="s">
        <v>1557</v>
      </c>
      <c r="D38" s="425">
        <f>147.2-E38</f>
        <v>139</v>
      </c>
      <c r="E38" s="425">
        <v>8.1999999999999993</v>
      </c>
      <c r="F38" s="426">
        <v>46</v>
      </c>
      <c r="G38" s="427" t="s">
        <v>295</v>
      </c>
      <c r="H38" s="425">
        <f>444.4-D38-E38-I38</f>
        <v>-42.400000000000034</v>
      </c>
      <c r="I38" s="425">
        <v>339.6</v>
      </c>
      <c r="J38" s="426">
        <v>17</v>
      </c>
      <c r="K38" s="427" t="s">
        <v>295</v>
      </c>
      <c r="L38" s="425">
        <f>1165.7-M38-I38-H38-E38-D38</f>
        <v>356.30000000000007</v>
      </c>
      <c r="M38" s="425">
        <f>712.8-I38-E38</f>
        <v>364.99999999999994</v>
      </c>
      <c r="N38" s="427" t="s">
        <v>295</v>
      </c>
      <c r="O38" s="428">
        <f t="shared" si="5"/>
        <v>1165.7</v>
      </c>
      <c r="P38" s="429">
        <v>819.1</v>
      </c>
      <c r="Q38" s="430"/>
      <c r="S38" s="439"/>
      <c r="T38" s="440"/>
      <c r="U38" s="441"/>
      <c r="V38" s="441"/>
    </row>
    <row r="39" spans="2:22" s="368" customFormat="1" ht="16" customHeight="1">
      <c r="B39" s="424" t="s">
        <v>1040</v>
      </c>
      <c r="C39" s="424" t="s">
        <v>1558</v>
      </c>
      <c r="D39" s="425">
        <f>297.5-E39</f>
        <v>250.7</v>
      </c>
      <c r="E39" s="425">
        <v>46.8</v>
      </c>
      <c r="F39" s="426">
        <v>92</v>
      </c>
      <c r="G39" s="427" t="s">
        <v>295</v>
      </c>
      <c r="H39" s="425">
        <f>619.1-D39-E39-I39</f>
        <v>163.50000000000003</v>
      </c>
      <c r="I39" s="425">
        <v>158.1</v>
      </c>
      <c r="J39" s="426">
        <v>13</v>
      </c>
      <c r="K39" s="427" t="s">
        <v>295</v>
      </c>
      <c r="L39" s="425">
        <f>893.1-M39-I39-H39-E39-D39</f>
        <v>128.29999999999995</v>
      </c>
      <c r="M39" s="425">
        <f>350.6-I39-E39</f>
        <v>145.70000000000005</v>
      </c>
      <c r="N39" s="427" t="s">
        <v>295</v>
      </c>
      <c r="O39" s="428">
        <f t="shared" si="5"/>
        <v>893.09999999999991</v>
      </c>
      <c r="P39" s="429">
        <v>629.1</v>
      </c>
      <c r="Q39" s="430" t="s">
        <v>1610</v>
      </c>
      <c r="S39" s="439"/>
      <c r="T39" s="440"/>
      <c r="U39" s="441"/>
      <c r="V39" s="441"/>
    </row>
    <row r="40" spans="2:22" s="368" customFormat="1" ht="16" customHeight="1">
      <c r="B40" s="424" t="s">
        <v>1611</v>
      </c>
      <c r="C40" s="424" t="s">
        <v>175</v>
      </c>
      <c r="D40" s="425">
        <f>114.7-E40</f>
        <v>106.2</v>
      </c>
      <c r="E40" s="425">
        <v>8.5</v>
      </c>
      <c r="F40" s="426">
        <v>38</v>
      </c>
      <c r="G40" s="427" t="s">
        <v>1596</v>
      </c>
      <c r="H40" s="425">
        <f>572.8-D40-E40-I40</f>
        <v>-3.8000000000000114</v>
      </c>
      <c r="I40" s="425">
        <v>461.9</v>
      </c>
      <c r="J40" s="426">
        <v>8</v>
      </c>
      <c r="K40" s="427" t="s">
        <v>1596</v>
      </c>
      <c r="L40" s="425">
        <f>2457.3-M40-I40-H40-E40-D40</f>
        <v>987</v>
      </c>
      <c r="M40" s="425">
        <f>1367.9-I40-E40</f>
        <v>897.50000000000011</v>
      </c>
      <c r="N40" s="427" t="s">
        <v>1596</v>
      </c>
      <c r="O40" s="428">
        <f t="shared" si="5"/>
        <v>2457.2999999999997</v>
      </c>
      <c r="P40" s="429">
        <v>1877.9</v>
      </c>
      <c r="Q40" s="430"/>
      <c r="S40" s="442" t="s">
        <v>1612</v>
      </c>
      <c r="T40" s="443"/>
      <c r="U40" s="444">
        <v>430</v>
      </c>
      <c r="V40" s="444"/>
    </row>
    <row r="41" spans="2:22" s="368" customFormat="1">
      <c r="B41" s="280"/>
      <c r="C41" s="280"/>
      <c r="D41" s="313"/>
      <c r="E41" s="313"/>
      <c r="F41" s="313"/>
      <c r="G41" s="279"/>
      <c r="H41" s="279"/>
      <c r="I41" s="279"/>
      <c r="J41" s="279"/>
      <c r="K41" s="279"/>
      <c r="L41" s="313"/>
      <c r="M41" s="313"/>
      <c r="N41" s="279"/>
      <c r="O41" s="445"/>
      <c r="P41" s="445"/>
      <c r="S41" s="446" t="s">
        <v>130</v>
      </c>
      <c r="T41" s="447"/>
      <c r="U41" s="448">
        <f>SUM(U18:U40)</f>
        <v>2370</v>
      </c>
    </row>
    <row r="42" spans="2:22" s="272" customFormat="1">
      <c r="B42" s="238"/>
      <c r="C42" s="238"/>
      <c r="D42" s="237"/>
      <c r="E42" s="237"/>
      <c r="F42" s="237"/>
      <c r="G42" s="234"/>
      <c r="H42" s="234"/>
      <c r="I42" s="234"/>
      <c r="J42" s="234"/>
      <c r="K42" s="234"/>
      <c r="L42" s="237"/>
      <c r="M42" s="237"/>
      <c r="N42" s="234"/>
      <c r="O42" s="239"/>
      <c r="P42" s="239"/>
      <c r="S42" s="406"/>
      <c r="T42" s="406"/>
      <c r="U42" s="368"/>
    </row>
    <row r="43" spans="2:22" s="272" customFormat="1">
      <c r="B43" s="238"/>
      <c r="C43" s="238"/>
      <c r="D43" s="237"/>
      <c r="E43" s="237"/>
      <c r="F43" s="237"/>
      <c r="G43" s="234"/>
      <c r="H43" s="234"/>
      <c r="I43" s="234"/>
      <c r="J43" s="234"/>
      <c r="K43" s="234"/>
      <c r="L43" s="237"/>
      <c r="M43" s="237"/>
      <c r="N43" s="234"/>
      <c r="O43" s="239"/>
      <c r="P43" s="239"/>
      <c r="S43" s="406"/>
      <c r="T43" s="406"/>
    </row>
    <row r="44" spans="2:22" s="272" customFormat="1">
      <c r="B44" s="238"/>
      <c r="C44" s="238"/>
      <c r="D44" s="237"/>
      <c r="E44" s="237"/>
      <c r="F44" s="237"/>
      <c r="G44" s="234"/>
      <c r="H44" s="234"/>
      <c r="I44" s="234"/>
      <c r="J44" s="234"/>
      <c r="K44" s="234"/>
      <c r="L44" s="237"/>
      <c r="M44" s="237"/>
      <c r="N44" s="234"/>
      <c r="O44" s="239"/>
      <c r="P44" s="239"/>
      <c r="S44" s="406"/>
      <c r="T44" s="406"/>
    </row>
    <row r="45" spans="2:22" s="272" customFormat="1">
      <c r="B45" s="238"/>
      <c r="C45" s="238"/>
      <c r="D45" s="237"/>
      <c r="E45" s="237"/>
      <c r="F45" s="237"/>
      <c r="G45" s="234"/>
      <c r="H45" s="234"/>
      <c r="I45" s="234"/>
      <c r="J45" s="234"/>
      <c r="K45" s="234"/>
      <c r="L45" s="237"/>
      <c r="M45" s="237"/>
      <c r="N45" s="234"/>
      <c r="O45" s="239"/>
      <c r="P45" s="239"/>
      <c r="S45" s="406"/>
      <c r="T45" s="406"/>
    </row>
    <row r="46" spans="2:22" s="272" customFormat="1">
      <c r="B46" s="238"/>
      <c r="C46" s="238"/>
      <c r="D46" s="237"/>
      <c r="E46" s="237"/>
      <c r="F46" s="237"/>
      <c r="G46" s="234"/>
      <c r="H46" s="234"/>
      <c r="I46" s="234"/>
      <c r="J46" s="234"/>
      <c r="K46" s="234"/>
      <c r="L46" s="237"/>
      <c r="M46" s="237"/>
      <c r="N46" s="234"/>
      <c r="O46" s="239"/>
      <c r="P46" s="239"/>
      <c r="S46" s="406"/>
      <c r="T46" s="406"/>
    </row>
    <row r="47" spans="2:22" s="272" customFormat="1">
      <c r="B47" s="238"/>
      <c r="C47" s="238"/>
      <c r="D47" s="237"/>
      <c r="E47" s="237"/>
      <c r="F47" s="237"/>
      <c r="G47" s="234"/>
      <c r="H47" s="234"/>
      <c r="I47" s="234"/>
      <c r="J47" s="234"/>
      <c r="K47" s="234"/>
      <c r="L47" s="237"/>
      <c r="M47" s="237"/>
      <c r="N47" s="234"/>
      <c r="O47" s="239"/>
      <c r="P47" s="239"/>
      <c r="S47" s="406"/>
      <c r="T47" s="406"/>
    </row>
    <row r="48" spans="2:22" s="272" customFormat="1">
      <c r="B48" s="238"/>
      <c r="C48" s="238"/>
      <c r="D48" s="237"/>
      <c r="E48" s="237"/>
      <c r="F48" s="237"/>
      <c r="G48" s="234"/>
      <c r="H48" s="234"/>
      <c r="I48" s="234"/>
      <c r="J48" s="234"/>
      <c r="K48" s="234"/>
      <c r="L48" s="237"/>
      <c r="M48" s="237"/>
      <c r="N48" s="234"/>
      <c r="O48" s="239"/>
      <c r="P48" s="239"/>
      <c r="S48" s="406"/>
      <c r="T48" s="406"/>
    </row>
    <row r="49" spans="2:20" s="272" customFormat="1">
      <c r="B49" s="238"/>
      <c r="C49" s="238"/>
      <c r="D49" s="237"/>
      <c r="E49" s="237"/>
      <c r="F49" s="237"/>
      <c r="G49" s="234"/>
      <c r="H49" s="234"/>
      <c r="I49" s="234"/>
      <c r="J49" s="234"/>
      <c r="K49" s="234"/>
      <c r="L49" s="237"/>
      <c r="M49" s="237"/>
      <c r="N49" s="234"/>
      <c r="O49" s="239"/>
      <c r="P49" s="239"/>
      <c r="S49" s="406"/>
      <c r="T49" s="406"/>
    </row>
    <row r="50" spans="2:20" s="272" customFormat="1">
      <c r="B50" s="238"/>
      <c r="C50" s="238"/>
      <c r="D50" s="237"/>
      <c r="E50" s="237"/>
      <c r="F50" s="237"/>
      <c r="G50" s="234"/>
      <c r="H50" s="234"/>
      <c r="I50" s="234"/>
      <c r="J50" s="234"/>
      <c r="K50" s="234"/>
      <c r="L50" s="237"/>
      <c r="M50" s="237"/>
      <c r="N50" s="234"/>
      <c r="O50" s="239"/>
      <c r="P50" s="239"/>
      <c r="S50" s="406"/>
      <c r="T50" s="406"/>
    </row>
    <row r="51" spans="2:20" s="272" customFormat="1">
      <c r="B51" s="238"/>
      <c r="C51" s="238"/>
      <c r="D51" s="237"/>
      <c r="E51" s="237"/>
      <c r="F51" s="237"/>
      <c r="G51" s="234"/>
      <c r="H51" s="234"/>
      <c r="I51" s="234"/>
      <c r="J51" s="234"/>
      <c r="K51" s="234"/>
      <c r="L51" s="237"/>
      <c r="M51" s="237"/>
      <c r="N51" s="234"/>
      <c r="O51" s="239"/>
      <c r="P51" s="239"/>
      <c r="S51" s="406"/>
      <c r="T51" s="406"/>
    </row>
    <row r="52" spans="2:20" s="272" customFormat="1">
      <c r="B52" s="238"/>
      <c r="C52" s="238"/>
      <c r="D52" s="237"/>
      <c r="E52" s="237"/>
      <c r="F52" s="237"/>
      <c r="G52" s="234"/>
      <c r="H52" s="234"/>
      <c r="I52" s="234"/>
      <c r="J52" s="234"/>
      <c r="K52" s="234"/>
      <c r="L52" s="237"/>
      <c r="M52" s="237"/>
      <c r="N52" s="234"/>
      <c r="O52" s="239"/>
      <c r="P52" s="239"/>
      <c r="S52" s="406"/>
      <c r="T52" s="406"/>
    </row>
    <row r="53" spans="2:20" s="272" customFormat="1">
      <c r="B53" s="238"/>
      <c r="C53" s="238"/>
      <c r="D53" s="237"/>
      <c r="E53" s="237"/>
      <c r="F53" s="237"/>
      <c r="G53" s="234"/>
      <c r="H53" s="234"/>
      <c r="I53" s="234"/>
      <c r="J53" s="234"/>
      <c r="K53" s="234"/>
      <c r="L53" s="237"/>
      <c r="M53" s="237"/>
      <c r="N53" s="234"/>
      <c r="O53" s="239"/>
      <c r="P53" s="239"/>
      <c r="S53" s="406"/>
      <c r="T53" s="406"/>
    </row>
    <row r="54" spans="2:20" s="272" customFormat="1">
      <c r="B54" s="238"/>
      <c r="C54" s="238"/>
      <c r="D54" s="237"/>
      <c r="E54" s="237"/>
      <c r="F54" s="237"/>
      <c r="G54" s="234"/>
      <c r="H54" s="234"/>
      <c r="I54" s="234"/>
      <c r="J54" s="234"/>
      <c r="K54" s="234"/>
      <c r="L54" s="237"/>
      <c r="M54" s="237"/>
      <c r="N54" s="234"/>
      <c r="O54" s="239"/>
      <c r="P54" s="239"/>
      <c r="S54" s="406"/>
      <c r="T54" s="406"/>
    </row>
    <row r="55" spans="2:20" s="272" customFormat="1">
      <c r="B55" s="238"/>
      <c r="C55" s="238"/>
      <c r="D55" s="237"/>
      <c r="E55" s="237"/>
      <c r="F55" s="237"/>
      <c r="G55" s="234"/>
      <c r="H55" s="234"/>
      <c r="I55" s="234"/>
      <c r="J55" s="234"/>
      <c r="K55" s="234"/>
      <c r="L55" s="237"/>
      <c r="M55" s="237"/>
      <c r="N55" s="234"/>
      <c r="O55" s="239"/>
      <c r="P55" s="239"/>
      <c r="S55" s="406"/>
      <c r="T55" s="406"/>
    </row>
    <row r="56" spans="2:20" s="272" customFormat="1">
      <c r="B56" s="238"/>
      <c r="C56" s="238"/>
      <c r="D56" s="237"/>
      <c r="E56" s="237"/>
      <c r="F56" s="237"/>
      <c r="G56" s="234"/>
      <c r="H56" s="234"/>
      <c r="I56" s="234"/>
      <c r="J56" s="234"/>
      <c r="K56" s="234"/>
      <c r="L56" s="237"/>
      <c r="M56" s="237"/>
      <c r="N56" s="234"/>
      <c r="O56" s="239"/>
      <c r="P56" s="239"/>
      <c r="S56" s="406"/>
      <c r="T56" s="406"/>
    </row>
    <row r="57" spans="2:20" s="272" customFormat="1">
      <c r="B57" s="238"/>
      <c r="C57" s="238"/>
      <c r="D57" s="237"/>
      <c r="E57" s="237"/>
      <c r="F57" s="237"/>
      <c r="G57" s="234"/>
      <c r="H57" s="234"/>
      <c r="I57" s="234"/>
      <c r="J57" s="234"/>
      <c r="K57" s="234"/>
      <c r="L57" s="237"/>
      <c r="M57" s="237"/>
      <c r="N57" s="234"/>
      <c r="O57" s="239"/>
      <c r="P57" s="239"/>
      <c r="S57" s="406"/>
      <c r="T57" s="406"/>
    </row>
    <row r="58" spans="2:20" s="272" customFormat="1">
      <c r="B58" s="238"/>
      <c r="C58" s="238"/>
      <c r="D58" s="237"/>
      <c r="E58" s="237"/>
      <c r="F58" s="237"/>
      <c r="G58" s="234"/>
      <c r="H58" s="234"/>
      <c r="I58" s="234"/>
      <c r="J58" s="234"/>
      <c r="K58" s="234"/>
      <c r="L58" s="237"/>
      <c r="M58" s="237"/>
      <c r="N58" s="234"/>
      <c r="O58" s="239"/>
      <c r="P58" s="239"/>
      <c r="S58" s="406"/>
      <c r="T58" s="406"/>
    </row>
    <row r="59" spans="2:20" s="272" customFormat="1">
      <c r="B59" s="238"/>
      <c r="C59" s="238"/>
      <c r="D59" s="237"/>
      <c r="E59" s="237"/>
      <c r="F59" s="237"/>
      <c r="G59" s="234"/>
      <c r="H59" s="234"/>
      <c r="I59" s="234"/>
      <c r="J59" s="234"/>
      <c r="K59" s="234"/>
      <c r="L59" s="237"/>
      <c r="M59" s="237"/>
      <c r="N59" s="234"/>
      <c r="O59" s="239"/>
      <c r="P59" s="239"/>
      <c r="S59" s="406"/>
      <c r="T59" s="406"/>
    </row>
    <row r="60" spans="2:20" s="272" customFormat="1">
      <c r="B60" s="238"/>
      <c r="C60" s="238"/>
      <c r="D60" s="237"/>
      <c r="E60" s="237"/>
      <c r="F60" s="237"/>
      <c r="G60" s="234"/>
      <c r="H60" s="234"/>
      <c r="I60" s="234"/>
      <c r="J60" s="234"/>
      <c r="K60" s="234"/>
      <c r="L60" s="237"/>
      <c r="M60" s="237"/>
      <c r="N60" s="234"/>
      <c r="O60" s="239"/>
      <c r="P60" s="239"/>
      <c r="S60" s="406"/>
      <c r="T60" s="406"/>
    </row>
    <row r="61" spans="2:20" s="272" customFormat="1">
      <c r="B61" s="238"/>
      <c r="C61" s="238"/>
      <c r="D61" s="237"/>
      <c r="E61" s="237"/>
      <c r="F61" s="237"/>
      <c r="G61" s="234"/>
      <c r="H61" s="234"/>
      <c r="I61" s="234"/>
      <c r="J61" s="234"/>
      <c r="K61" s="234"/>
      <c r="L61" s="237"/>
      <c r="M61" s="237"/>
      <c r="N61" s="234"/>
      <c r="O61" s="239"/>
      <c r="P61" s="239"/>
      <c r="S61" s="406"/>
      <c r="T61" s="406"/>
    </row>
    <row r="62" spans="2:20" s="272" customFormat="1">
      <c r="B62" s="238"/>
      <c r="C62" s="238"/>
      <c r="D62" s="237"/>
      <c r="E62" s="237"/>
      <c r="F62" s="237"/>
      <c r="G62" s="234"/>
      <c r="H62" s="234"/>
      <c r="I62" s="234"/>
      <c r="J62" s="234"/>
      <c r="K62" s="234"/>
      <c r="L62" s="237"/>
      <c r="M62" s="237"/>
      <c r="N62" s="234"/>
      <c r="O62" s="239"/>
      <c r="P62" s="239"/>
      <c r="S62" s="406"/>
      <c r="T62" s="406"/>
    </row>
    <row r="63" spans="2:20" s="272" customFormat="1">
      <c r="B63" s="238"/>
      <c r="C63" s="238"/>
      <c r="D63" s="237"/>
      <c r="E63" s="237"/>
      <c r="F63" s="237"/>
      <c r="G63" s="234"/>
      <c r="H63" s="234"/>
      <c r="I63" s="234"/>
      <c r="J63" s="234"/>
      <c r="K63" s="234"/>
      <c r="L63" s="237"/>
      <c r="M63" s="237"/>
      <c r="N63" s="234"/>
      <c r="O63" s="239"/>
      <c r="P63" s="239"/>
      <c r="S63" s="406"/>
      <c r="T63" s="406"/>
    </row>
    <row r="64" spans="2:20" s="272" customFormat="1">
      <c r="B64" s="238"/>
      <c r="C64" s="238"/>
      <c r="D64" s="237"/>
      <c r="E64" s="237"/>
      <c r="F64" s="237"/>
      <c r="G64" s="234"/>
      <c r="H64" s="234"/>
      <c r="I64" s="234"/>
      <c r="J64" s="234"/>
      <c r="K64" s="234"/>
      <c r="L64" s="237"/>
      <c r="M64" s="237"/>
      <c r="N64" s="234"/>
      <c r="O64" s="239"/>
      <c r="P64" s="239"/>
      <c r="S64" s="406"/>
      <c r="T64" s="406"/>
    </row>
    <row r="65" spans="2:20" s="272" customFormat="1">
      <c r="B65" s="238"/>
      <c r="C65" s="238"/>
      <c r="D65" s="237"/>
      <c r="E65" s="237"/>
      <c r="F65" s="237"/>
      <c r="G65" s="234"/>
      <c r="H65" s="234"/>
      <c r="I65" s="234"/>
      <c r="J65" s="234"/>
      <c r="K65" s="234"/>
      <c r="L65" s="237"/>
      <c r="M65" s="237"/>
      <c r="N65" s="234"/>
      <c r="O65" s="239"/>
      <c r="P65" s="239"/>
      <c r="S65" s="406"/>
      <c r="T65" s="406"/>
    </row>
    <row r="66" spans="2:20" s="272" customFormat="1">
      <c r="B66" s="238"/>
      <c r="C66" s="238"/>
      <c r="D66" s="237"/>
      <c r="E66" s="237"/>
      <c r="F66" s="237"/>
      <c r="G66" s="234"/>
      <c r="H66" s="234"/>
      <c r="I66" s="234"/>
      <c r="J66" s="234"/>
      <c r="K66" s="234"/>
      <c r="L66" s="237"/>
      <c r="M66" s="237"/>
      <c r="N66" s="234"/>
      <c r="O66" s="239"/>
      <c r="P66" s="239"/>
      <c r="S66" s="406"/>
      <c r="T66" s="406"/>
    </row>
    <row r="67" spans="2:20" s="272" customFormat="1">
      <c r="B67" s="238"/>
      <c r="C67" s="238"/>
      <c r="D67" s="237"/>
      <c r="E67" s="237"/>
      <c r="F67" s="237"/>
      <c r="G67" s="234"/>
      <c r="H67" s="234"/>
      <c r="I67" s="234"/>
      <c r="J67" s="234"/>
      <c r="K67" s="234"/>
      <c r="L67" s="237"/>
      <c r="M67" s="237"/>
      <c r="N67" s="234"/>
      <c r="O67" s="239"/>
      <c r="P67" s="239"/>
      <c r="S67" s="406"/>
      <c r="T67" s="406"/>
    </row>
    <row r="68" spans="2:20" s="272" customFormat="1">
      <c r="B68" s="238"/>
      <c r="C68" s="238"/>
      <c r="D68" s="237"/>
      <c r="E68" s="237"/>
      <c r="F68" s="237"/>
      <c r="G68" s="234"/>
      <c r="H68" s="234"/>
      <c r="I68" s="234"/>
      <c r="J68" s="234"/>
      <c r="K68" s="234"/>
      <c r="L68" s="237"/>
      <c r="M68" s="237"/>
      <c r="N68" s="234"/>
      <c r="O68" s="239"/>
      <c r="P68" s="239"/>
      <c r="S68" s="406"/>
      <c r="T68" s="406"/>
    </row>
    <row r="69" spans="2:20" s="272" customFormat="1">
      <c r="B69" s="238"/>
      <c r="C69" s="238"/>
      <c r="D69" s="237"/>
      <c r="E69" s="237"/>
      <c r="F69" s="237"/>
      <c r="G69" s="234"/>
      <c r="H69" s="234"/>
      <c r="I69" s="234"/>
      <c r="J69" s="234"/>
      <c r="K69" s="234"/>
      <c r="L69" s="237"/>
      <c r="M69" s="237"/>
      <c r="N69" s="234"/>
      <c r="O69" s="239"/>
      <c r="P69" s="239"/>
      <c r="S69" s="406"/>
      <c r="T69" s="406"/>
    </row>
    <row r="70" spans="2:20" s="272" customFormat="1">
      <c r="B70" s="238"/>
      <c r="C70" s="238"/>
      <c r="D70" s="237"/>
      <c r="E70" s="237"/>
      <c r="F70" s="237"/>
      <c r="G70" s="234"/>
      <c r="H70" s="234"/>
      <c r="I70" s="234"/>
      <c r="J70" s="234"/>
      <c r="K70" s="234"/>
      <c r="L70" s="237"/>
      <c r="M70" s="237"/>
      <c r="N70" s="234"/>
      <c r="O70" s="239"/>
      <c r="P70" s="239"/>
      <c r="S70" s="406"/>
      <c r="T70" s="406"/>
    </row>
    <row r="71" spans="2:20" s="272" customFormat="1">
      <c r="B71" s="238"/>
      <c r="C71" s="238"/>
      <c r="D71" s="237"/>
      <c r="E71" s="237"/>
      <c r="F71" s="237"/>
      <c r="G71" s="234"/>
      <c r="H71" s="234"/>
      <c r="I71" s="234"/>
      <c r="J71" s="234"/>
      <c r="K71" s="234"/>
      <c r="L71" s="237"/>
      <c r="M71" s="237"/>
      <c r="N71" s="234"/>
      <c r="O71" s="239"/>
      <c r="P71" s="239"/>
      <c r="S71" s="406"/>
      <c r="T71" s="406"/>
    </row>
    <row r="72" spans="2:20" s="272" customFormat="1">
      <c r="B72" s="238"/>
      <c r="C72" s="238"/>
      <c r="D72" s="237"/>
      <c r="E72" s="237"/>
      <c r="F72" s="237"/>
      <c r="G72" s="234"/>
      <c r="H72" s="234"/>
      <c r="I72" s="234"/>
      <c r="J72" s="234"/>
      <c r="K72" s="234"/>
      <c r="L72" s="237"/>
      <c r="M72" s="237"/>
      <c r="N72" s="234"/>
      <c r="O72" s="239"/>
      <c r="P72" s="239"/>
      <c r="S72" s="406"/>
      <c r="T72" s="406"/>
    </row>
    <row r="73" spans="2:20" s="272" customFormat="1">
      <c r="B73" s="238"/>
      <c r="C73" s="238"/>
      <c r="D73" s="237"/>
      <c r="E73" s="237"/>
      <c r="F73" s="237"/>
      <c r="G73" s="234"/>
      <c r="H73" s="234"/>
      <c r="I73" s="234"/>
      <c r="J73" s="234"/>
      <c r="K73" s="234"/>
      <c r="L73" s="237"/>
      <c r="M73" s="237"/>
      <c r="N73" s="234"/>
      <c r="O73" s="239"/>
      <c r="P73" s="239"/>
      <c r="S73" s="406"/>
      <c r="T73" s="406"/>
    </row>
    <row r="74" spans="2:20" s="272" customFormat="1">
      <c r="B74" s="238"/>
      <c r="C74" s="238"/>
      <c r="D74" s="237"/>
      <c r="E74" s="237"/>
      <c r="F74" s="237"/>
      <c r="G74" s="234"/>
      <c r="H74" s="234"/>
      <c r="I74" s="234"/>
      <c r="J74" s="234"/>
      <c r="K74" s="234"/>
      <c r="L74" s="237"/>
      <c r="M74" s="237"/>
      <c r="N74" s="234"/>
      <c r="O74" s="239"/>
      <c r="P74" s="239"/>
      <c r="S74" s="406"/>
      <c r="T74" s="406"/>
    </row>
    <row r="75" spans="2:20" s="272" customFormat="1">
      <c r="B75" s="238"/>
      <c r="C75" s="238"/>
      <c r="D75" s="237"/>
      <c r="E75" s="237"/>
      <c r="F75" s="237"/>
      <c r="G75" s="234"/>
      <c r="H75" s="234"/>
      <c r="I75" s="234"/>
      <c r="J75" s="234"/>
      <c r="K75" s="234"/>
      <c r="L75" s="237"/>
      <c r="M75" s="237"/>
      <c r="N75" s="234"/>
      <c r="O75" s="239"/>
      <c r="P75" s="239"/>
      <c r="S75" s="406"/>
      <c r="T75" s="406"/>
    </row>
    <row r="76" spans="2:20" s="272" customFormat="1">
      <c r="B76" s="238"/>
      <c r="C76" s="238"/>
      <c r="D76" s="237"/>
      <c r="E76" s="237"/>
      <c r="F76" s="237"/>
      <c r="G76" s="234"/>
      <c r="H76" s="234"/>
      <c r="I76" s="234"/>
      <c r="J76" s="234"/>
      <c r="K76" s="234"/>
      <c r="L76" s="237"/>
      <c r="M76" s="237"/>
      <c r="N76" s="234"/>
      <c r="O76" s="239"/>
      <c r="P76" s="239"/>
      <c r="S76" s="406"/>
      <c r="T76" s="406"/>
    </row>
    <row r="77" spans="2:20" s="272" customFormat="1">
      <c r="B77" s="238"/>
      <c r="C77" s="238"/>
      <c r="D77" s="237"/>
      <c r="E77" s="237"/>
      <c r="F77" s="237"/>
      <c r="G77" s="234"/>
      <c r="H77" s="234"/>
      <c r="I77" s="234"/>
      <c r="J77" s="234"/>
      <c r="K77" s="234"/>
      <c r="L77" s="237"/>
      <c r="M77" s="237"/>
      <c r="N77" s="234"/>
      <c r="O77" s="239"/>
      <c r="P77" s="239"/>
      <c r="S77" s="406"/>
      <c r="T77" s="406"/>
    </row>
    <row r="78" spans="2:20" s="272" customFormat="1">
      <c r="B78" s="238"/>
      <c r="C78" s="238"/>
      <c r="D78" s="237"/>
      <c r="E78" s="237"/>
      <c r="F78" s="237"/>
      <c r="G78" s="234"/>
      <c r="H78" s="234"/>
      <c r="I78" s="234"/>
      <c r="J78" s="234"/>
      <c r="K78" s="234"/>
      <c r="L78" s="237"/>
      <c r="M78" s="237"/>
      <c r="N78" s="234"/>
      <c r="O78" s="239"/>
      <c r="P78" s="239"/>
      <c r="S78" s="406"/>
      <c r="T78" s="406"/>
    </row>
    <row r="79" spans="2:20" s="272" customFormat="1">
      <c r="B79" s="238"/>
      <c r="C79" s="238"/>
      <c r="D79" s="237"/>
      <c r="E79" s="237"/>
      <c r="F79" s="237"/>
      <c r="G79" s="234"/>
      <c r="H79" s="234"/>
      <c r="I79" s="234"/>
      <c r="J79" s="234"/>
      <c r="K79" s="234"/>
      <c r="L79" s="237"/>
      <c r="M79" s="237"/>
      <c r="N79" s="234"/>
      <c r="O79" s="239"/>
      <c r="P79" s="239"/>
      <c r="S79" s="406"/>
      <c r="T79" s="406"/>
    </row>
    <row r="80" spans="2:20" s="272" customFormat="1">
      <c r="B80" s="238"/>
      <c r="C80" s="238"/>
      <c r="D80" s="237"/>
      <c r="E80" s="237"/>
      <c r="F80" s="237"/>
      <c r="G80" s="234"/>
      <c r="H80" s="234"/>
      <c r="I80" s="234"/>
      <c r="J80" s="234"/>
      <c r="K80" s="234"/>
      <c r="L80" s="237"/>
      <c r="M80" s="237"/>
      <c r="N80" s="234"/>
      <c r="O80" s="239"/>
      <c r="P80" s="239"/>
      <c r="S80" s="406"/>
      <c r="T80" s="406"/>
    </row>
    <row r="81" spans="2:20" s="272" customFormat="1">
      <c r="B81" s="238"/>
      <c r="C81" s="238"/>
      <c r="D81" s="237"/>
      <c r="E81" s="237"/>
      <c r="F81" s="237"/>
      <c r="G81" s="234"/>
      <c r="H81" s="234"/>
      <c r="I81" s="234"/>
      <c r="J81" s="234"/>
      <c r="K81" s="234"/>
      <c r="L81" s="237"/>
      <c r="M81" s="237"/>
      <c r="N81" s="234"/>
      <c r="O81" s="239"/>
      <c r="P81" s="239"/>
      <c r="S81" s="406"/>
      <c r="T81" s="406"/>
    </row>
    <row r="82" spans="2:20" s="272" customFormat="1">
      <c r="B82" s="238"/>
      <c r="C82" s="238"/>
      <c r="D82" s="237"/>
      <c r="E82" s="237"/>
      <c r="F82" s="237"/>
      <c r="G82" s="234"/>
      <c r="H82" s="234"/>
      <c r="I82" s="234"/>
      <c r="J82" s="234"/>
      <c r="K82" s="234"/>
      <c r="L82" s="237"/>
      <c r="M82" s="237"/>
      <c r="N82" s="234"/>
      <c r="O82" s="239"/>
      <c r="P82" s="239"/>
      <c r="S82" s="406"/>
      <c r="T82" s="406"/>
    </row>
    <row r="83" spans="2:20" s="272" customFormat="1">
      <c r="B83" s="238"/>
      <c r="C83" s="238"/>
      <c r="D83" s="237"/>
      <c r="E83" s="237"/>
      <c r="F83" s="237"/>
      <c r="G83" s="234"/>
      <c r="H83" s="234"/>
      <c r="I83" s="234"/>
      <c r="J83" s="234"/>
      <c r="K83" s="234"/>
      <c r="L83" s="237"/>
      <c r="M83" s="237"/>
      <c r="N83" s="234"/>
      <c r="O83" s="239"/>
      <c r="P83" s="239"/>
      <c r="S83" s="406"/>
      <c r="T83" s="406"/>
    </row>
    <row r="84" spans="2:20" s="272" customFormat="1">
      <c r="B84" s="238"/>
      <c r="C84" s="238"/>
      <c r="D84" s="237"/>
      <c r="E84" s="237"/>
      <c r="F84" s="237"/>
      <c r="G84" s="234"/>
      <c r="H84" s="234"/>
      <c r="I84" s="234"/>
      <c r="J84" s="234"/>
      <c r="K84" s="234"/>
      <c r="L84" s="237"/>
      <c r="M84" s="237"/>
      <c r="N84" s="234"/>
      <c r="O84" s="239"/>
      <c r="P84" s="239"/>
      <c r="S84" s="406"/>
      <c r="T84" s="406"/>
    </row>
    <row r="85" spans="2:20" s="272" customFormat="1">
      <c r="B85" s="238"/>
      <c r="C85" s="238"/>
      <c r="D85" s="237"/>
      <c r="E85" s="237"/>
      <c r="F85" s="237"/>
      <c r="G85" s="234"/>
      <c r="H85" s="234"/>
      <c r="I85" s="234"/>
      <c r="J85" s="234"/>
      <c r="K85" s="234"/>
      <c r="L85" s="237"/>
      <c r="M85" s="237"/>
      <c r="N85" s="234"/>
      <c r="O85" s="239"/>
      <c r="P85" s="239"/>
      <c r="S85" s="406"/>
      <c r="T85" s="406"/>
    </row>
    <row r="86" spans="2:20" s="272" customFormat="1">
      <c r="B86" s="238"/>
      <c r="C86" s="238"/>
      <c r="D86" s="237"/>
      <c r="E86" s="237"/>
      <c r="F86" s="237"/>
      <c r="G86" s="234"/>
      <c r="H86" s="234"/>
      <c r="I86" s="234"/>
      <c r="J86" s="234"/>
      <c r="K86" s="234"/>
      <c r="L86" s="237"/>
      <c r="M86" s="237"/>
      <c r="N86" s="234"/>
      <c r="O86" s="239"/>
      <c r="P86" s="239"/>
      <c r="S86" s="406"/>
      <c r="T86" s="406"/>
    </row>
    <row r="87" spans="2:20" s="272" customFormat="1">
      <c r="B87" s="238"/>
      <c r="C87" s="238"/>
      <c r="D87" s="237"/>
      <c r="E87" s="237"/>
      <c r="F87" s="237"/>
      <c r="G87" s="234"/>
      <c r="H87" s="234"/>
      <c r="I87" s="234"/>
      <c r="J87" s="234"/>
      <c r="K87" s="234"/>
      <c r="L87" s="237"/>
      <c r="M87" s="237"/>
      <c r="N87" s="234"/>
      <c r="O87" s="239"/>
      <c r="P87" s="239"/>
      <c r="S87" s="406"/>
      <c r="T87" s="406"/>
    </row>
    <row r="88" spans="2:20" s="272" customFormat="1">
      <c r="B88" s="238"/>
      <c r="C88" s="238"/>
      <c r="D88" s="237"/>
      <c r="E88" s="237"/>
      <c r="F88" s="237"/>
      <c r="G88" s="234"/>
      <c r="H88" s="234"/>
      <c r="I88" s="234"/>
      <c r="J88" s="234"/>
      <c r="K88" s="234"/>
      <c r="L88" s="237"/>
      <c r="M88" s="237"/>
      <c r="N88" s="234"/>
      <c r="O88" s="239"/>
      <c r="P88" s="239"/>
      <c r="S88" s="406"/>
      <c r="T88" s="406"/>
    </row>
    <row r="89" spans="2:20" s="272" customFormat="1">
      <c r="B89" s="238"/>
      <c r="C89" s="238"/>
      <c r="D89" s="237"/>
      <c r="E89" s="237"/>
      <c r="F89" s="237"/>
      <c r="G89" s="234"/>
      <c r="H89" s="234"/>
      <c r="I89" s="234"/>
      <c r="J89" s="234"/>
      <c r="K89" s="234"/>
      <c r="L89" s="237"/>
      <c r="M89" s="237"/>
      <c r="N89" s="234"/>
      <c r="O89" s="239"/>
      <c r="P89" s="239"/>
      <c r="S89" s="406"/>
      <c r="T89" s="406"/>
    </row>
    <row r="90" spans="2:20" s="272" customFormat="1">
      <c r="B90" s="238"/>
      <c r="C90" s="238"/>
      <c r="D90" s="237"/>
      <c r="E90" s="237"/>
      <c r="F90" s="237"/>
      <c r="G90" s="234"/>
      <c r="H90" s="234"/>
      <c r="I90" s="234"/>
      <c r="J90" s="234"/>
      <c r="K90" s="234"/>
      <c r="L90" s="237"/>
      <c r="M90" s="237"/>
      <c r="N90" s="234"/>
      <c r="O90" s="239"/>
      <c r="P90" s="239"/>
      <c r="S90" s="406"/>
      <c r="T90" s="406"/>
    </row>
    <row r="91" spans="2:20" s="272" customFormat="1">
      <c r="B91" s="238"/>
      <c r="C91" s="238"/>
      <c r="D91" s="237"/>
      <c r="E91" s="237"/>
      <c r="F91" s="237"/>
      <c r="G91" s="234"/>
      <c r="H91" s="234"/>
      <c r="I91" s="234"/>
      <c r="J91" s="234"/>
      <c r="K91" s="234"/>
      <c r="L91" s="237"/>
      <c r="M91" s="237"/>
      <c r="N91" s="234"/>
      <c r="O91" s="239"/>
      <c r="P91" s="239"/>
      <c r="S91" s="406"/>
      <c r="T91" s="406"/>
    </row>
    <row r="92" spans="2:20" s="272" customFormat="1">
      <c r="B92" s="238"/>
      <c r="C92" s="238"/>
      <c r="D92" s="237"/>
      <c r="E92" s="237"/>
      <c r="F92" s="237"/>
      <c r="G92" s="234"/>
      <c r="H92" s="234"/>
      <c r="I92" s="234"/>
      <c r="J92" s="234"/>
      <c r="K92" s="234"/>
      <c r="L92" s="237"/>
      <c r="M92" s="237"/>
      <c r="N92" s="234"/>
      <c r="O92" s="239"/>
      <c r="P92" s="239"/>
      <c r="S92" s="406"/>
      <c r="T92" s="406"/>
    </row>
    <row r="93" spans="2:20" s="272" customFormat="1">
      <c r="B93" s="238"/>
      <c r="C93" s="238"/>
      <c r="D93" s="237"/>
      <c r="E93" s="237"/>
      <c r="F93" s="237"/>
      <c r="G93" s="234"/>
      <c r="H93" s="234"/>
      <c r="I93" s="234"/>
      <c r="J93" s="234"/>
      <c r="K93" s="234"/>
      <c r="L93" s="237"/>
      <c r="M93" s="237"/>
      <c r="N93" s="234"/>
      <c r="O93" s="239"/>
      <c r="P93" s="239"/>
      <c r="S93" s="406"/>
      <c r="T93" s="406"/>
    </row>
    <row r="94" spans="2:20" s="272" customFormat="1">
      <c r="B94" s="238"/>
      <c r="C94" s="238"/>
      <c r="D94" s="237"/>
      <c r="E94" s="237"/>
      <c r="F94" s="237"/>
      <c r="G94" s="234"/>
      <c r="H94" s="234"/>
      <c r="I94" s="234"/>
      <c r="J94" s="234"/>
      <c r="K94" s="234"/>
      <c r="L94" s="237"/>
      <c r="M94" s="237"/>
      <c r="N94" s="234"/>
      <c r="O94" s="239"/>
      <c r="P94" s="239"/>
      <c r="S94" s="406"/>
      <c r="T94" s="406"/>
    </row>
    <row r="95" spans="2:20" s="272" customFormat="1">
      <c r="B95" s="238"/>
      <c r="C95" s="238"/>
      <c r="D95" s="237"/>
      <c r="E95" s="237"/>
      <c r="F95" s="237"/>
      <c r="G95" s="234"/>
      <c r="H95" s="234"/>
      <c r="I95" s="234"/>
      <c r="J95" s="234"/>
      <c r="K95" s="234"/>
      <c r="L95" s="237"/>
      <c r="M95" s="237"/>
      <c r="N95" s="234"/>
      <c r="O95" s="239"/>
      <c r="P95" s="239"/>
      <c r="S95" s="406"/>
      <c r="T95" s="406"/>
    </row>
    <row r="96" spans="2:20" s="272" customFormat="1">
      <c r="B96" s="238"/>
      <c r="C96" s="238"/>
      <c r="D96" s="237"/>
      <c r="E96" s="237"/>
      <c r="F96" s="237"/>
      <c r="G96" s="234"/>
      <c r="H96" s="234"/>
      <c r="I96" s="234"/>
      <c r="J96" s="234"/>
      <c r="K96" s="234"/>
      <c r="L96" s="237"/>
      <c r="M96" s="237"/>
      <c r="N96" s="234"/>
      <c r="O96" s="239"/>
      <c r="P96" s="239"/>
      <c r="S96" s="406"/>
      <c r="T96" s="406"/>
    </row>
    <row r="97" spans="2:20" s="272" customFormat="1">
      <c r="B97" s="238"/>
      <c r="C97" s="238"/>
      <c r="D97" s="237"/>
      <c r="E97" s="237"/>
      <c r="F97" s="237"/>
      <c r="G97" s="234"/>
      <c r="H97" s="234"/>
      <c r="I97" s="234"/>
      <c r="J97" s="234"/>
      <c r="K97" s="234"/>
      <c r="L97" s="237"/>
      <c r="M97" s="237"/>
      <c r="N97" s="234"/>
      <c r="O97" s="239"/>
      <c r="P97" s="239"/>
      <c r="S97" s="406"/>
      <c r="T97" s="406"/>
    </row>
    <row r="98" spans="2:20" s="272" customFormat="1">
      <c r="B98" s="238"/>
      <c r="C98" s="238"/>
      <c r="D98" s="237"/>
      <c r="E98" s="237"/>
      <c r="F98" s="237"/>
      <c r="G98" s="234"/>
      <c r="H98" s="234"/>
      <c r="I98" s="234"/>
      <c r="J98" s="234"/>
      <c r="K98" s="234"/>
      <c r="L98" s="237"/>
      <c r="M98" s="237"/>
      <c r="N98" s="234"/>
      <c r="O98" s="239"/>
      <c r="P98" s="239"/>
      <c r="S98" s="406"/>
      <c r="T98" s="406"/>
    </row>
    <row r="99" spans="2:20" s="272" customFormat="1">
      <c r="B99" s="238"/>
      <c r="C99" s="238"/>
      <c r="D99" s="237"/>
      <c r="E99" s="237"/>
      <c r="F99" s="237"/>
      <c r="G99" s="234"/>
      <c r="H99" s="234"/>
      <c r="I99" s="234"/>
      <c r="J99" s="234"/>
      <c r="K99" s="234"/>
      <c r="L99" s="237"/>
      <c r="M99" s="237"/>
      <c r="N99" s="234"/>
      <c r="O99" s="239"/>
      <c r="P99" s="239"/>
      <c r="S99" s="406"/>
      <c r="T99" s="406"/>
    </row>
    <row r="100" spans="2:20" s="272" customFormat="1">
      <c r="B100" s="238"/>
      <c r="C100" s="238"/>
      <c r="D100" s="237"/>
      <c r="E100" s="237"/>
      <c r="F100" s="237"/>
      <c r="G100" s="234"/>
      <c r="H100" s="234"/>
      <c r="I100" s="234"/>
      <c r="J100" s="234"/>
      <c r="K100" s="234"/>
      <c r="L100" s="237"/>
      <c r="M100" s="237"/>
      <c r="N100" s="234"/>
      <c r="O100" s="239"/>
      <c r="P100" s="239"/>
      <c r="S100" s="406"/>
      <c r="T100" s="406"/>
    </row>
    <row r="101" spans="2:20" s="272" customFormat="1">
      <c r="B101" s="238"/>
      <c r="C101" s="238"/>
      <c r="D101" s="237"/>
      <c r="E101" s="237"/>
      <c r="F101" s="237"/>
      <c r="G101" s="234"/>
      <c r="H101" s="234"/>
      <c r="I101" s="234"/>
      <c r="J101" s="234"/>
      <c r="K101" s="234"/>
      <c r="L101" s="237"/>
      <c r="M101" s="237"/>
      <c r="N101" s="234"/>
      <c r="O101" s="239"/>
      <c r="P101" s="239"/>
      <c r="S101" s="406"/>
      <c r="T101" s="406"/>
    </row>
    <row r="102" spans="2:20" s="272" customFormat="1">
      <c r="B102" s="238"/>
      <c r="C102" s="238"/>
      <c r="D102" s="237"/>
      <c r="E102" s="237"/>
      <c r="F102" s="237"/>
      <c r="G102" s="234"/>
      <c r="H102" s="234"/>
      <c r="I102" s="234"/>
      <c r="J102" s="234"/>
      <c r="K102" s="234"/>
      <c r="L102" s="237"/>
      <c r="M102" s="237"/>
      <c r="N102" s="234"/>
      <c r="O102" s="239"/>
      <c r="P102" s="239"/>
      <c r="S102" s="406"/>
      <c r="T102" s="406"/>
    </row>
    <row r="103" spans="2:20" s="272" customFormat="1">
      <c r="B103" s="238"/>
      <c r="C103" s="238"/>
      <c r="D103" s="237"/>
      <c r="E103" s="237"/>
      <c r="F103" s="237"/>
      <c r="G103" s="234"/>
      <c r="H103" s="234"/>
      <c r="I103" s="234"/>
      <c r="J103" s="234"/>
      <c r="K103" s="234"/>
      <c r="L103" s="237"/>
      <c r="M103" s="237"/>
      <c r="N103" s="234"/>
      <c r="O103" s="239"/>
      <c r="P103" s="239"/>
      <c r="S103" s="406"/>
      <c r="T103" s="406"/>
    </row>
    <row r="104" spans="2:20" s="272" customFormat="1">
      <c r="B104" s="238"/>
      <c r="C104" s="238"/>
      <c r="D104" s="237"/>
      <c r="E104" s="237"/>
      <c r="F104" s="237"/>
      <c r="G104" s="234"/>
      <c r="H104" s="234"/>
      <c r="I104" s="234"/>
      <c r="J104" s="234"/>
      <c r="K104" s="234"/>
      <c r="L104" s="237"/>
      <c r="M104" s="237"/>
      <c r="N104" s="234"/>
      <c r="O104" s="239"/>
      <c r="P104" s="239"/>
      <c r="S104" s="406"/>
      <c r="T104" s="406"/>
    </row>
    <row r="105" spans="2:20" s="272" customFormat="1">
      <c r="B105" s="238"/>
      <c r="C105" s="238"/>
      <c r="D105" s="237"/>
      <c r="E105" s="237"/>
      <c r="F105" s="237"/>
      <c r="G105" s="234"/>
      <c r="H105" s="234"/>
      <c r="I105" s="234"/>
      <c r="J105" s="234"/>
      <c r="K105" s="234"/>
      <c r="L105" s="237"/>
      <c r="M105" s="237"/>
      <c r="N105" s="234"/>
      <c r="O105" s="239"/>
      <c r="P105" s="239"/>
      <c r="S105" s="406"/>
      <c r="T105" s="406"/>
    </row>
    <row r="106" spans="2:20" s="272" customFormat="1">
      <c r="B106" s="238"/>
      <c r="C106" s="238"/>
      <c r="D106" s="237"/>
      <c r="E106" s="237"/>
      <c r="F106" s="237"/>
      <c r="G106" s="234"/>
      <c r="H106" s="234"/>
      <c r="I106" s="234"/>
      <c r="J106" s="234"/>
      <c r="K106" s="234"/>
      <c r="L106" s="237"/>
      <c r="M106" s="237"/>
      <c r="N106" s="234"/>
      <c r="O106" s="239"/>
      <c r="P106" s="239"/>
      <c r="S106" s="406"/>
      <c r="T106" s="406"/>
    </row>
    <row r="107" spans="2:20" s="272" customFormat="1">
      <c r="B107" s="238"/>
      <c r="C107" s="238"/>
      <c r="D107" s="237"/>
      <c r="E107" s="237"/>
      <c r="F107" s="237"/>
      <c r="G107" s="234"/>
      <c r="H107" s="234"/>
      <c r="I107" s="234"/>
      <c r="J107" s="234"/>
      <c r="K107" s="234"/>
      <c r="L107" s="237"/>
      <c r="M107" s="237"/>
      <c r="N107" s="234"/>
      <c r="O107" s="239"/>
      <c r="P107" s="239"/>
      <c r="S107" s="406"/>
      <c r="T107" s="406"/>
    </row>
    <row r="108" spans="2:20" s="272" customFormat="1">
      <c r="B108" s="238"/>
      <c r="C108" s="238"/>
      <c r="D108" s="237"/>
      <c r="E108" s="237"/>
      <c r="F108" s="237"/>
      <c r="G108" s="234"/>
      <c r="H108" s="234"/>
      <c r="I108" s="234"/>
      <c r="J108" s="234"/>
      <c r="K108" s="234"/>
      <c r="L108" s="237"/>
      <c r="M108" s="237"/>
      <c r="N108" s="234"/>
      <c r="O108" s="239"/>
      <c r="P108" s="239"/>
      <c r="S108" s="406"/>
      <c r="T108" s="406"/>
    </row>
    <row r="109" spans="2:20" s="272" customFormat="1">
      <c r="B109" s="238"/>
      <c r="C109" s="238"/>
      <c r="D109" s="237"/>
      <c r="E109" s="237"/>
      <c r="F109" s="237"/>
      <c r="G109" s="234"/>
      <c r="H109" s="234"/>
      <c r="I109" s="234"/>
      <c r="J109" s="234"/>
      <c r="K109" s="234"/>
      <c r="L109" s="237"/>
      <c r="M109" s="237"/>
      <c r="N109" s="234"/>
      <c r="O109" s="239"/>
      <c r="P109" s="239"/>
      <c r="S109" s="406"/>
      <c r="T109" s="406"/>
    </row>
    <row r="110" spans="2:20" s="272" customFormat="1">
      <c r="B110" s="238"/>
      <c r="C110" s="238"/>
      <c r="D110" s="237"/>
      <c r="E110" s="237"/>
      <c r="F110" s="237"/>
      <c r="G110" s="234"/>
      <c r="H110" s="234"/>
      <c r="I110" s="234"/>
      <c r="J110" s="234"/>
      <c r="K110" s="234"/>
      <c r="L110" s="237"/>
      <c r="M110" s="237"/>
      <c r="N110" s="234"/>
      <c r="O110" s="239"/>
      <c r="P110" s="239"/>
      <c r="S110" s="406"/>
      <c r="T110" s="406"/>
    </row>
    <row r="111" spans="2:20" s="272" customFormat="1">
      <c r="B111" s="238"/>
      <c r="C111" s="238"/>
      <c r="D111" s="237"/>
      <c r="E111" s="237"/>
      <c r="F111" s="237"/>
      <c r="G111" s="234"/>
      <c r="H111" s="234"/>
      <c r="I111" s="234"/>
      <c r="J111" s="234"/>
      <c r="K111" s="234"/>
      <c r="L111" s="237"/>
      <c r="M111" s="237"/>
      <c r="N111" s="234"/>
      <c r="O111" s="239"/>
      <c r="P111" s="239"/>
      <c r="S111" s="406"/>
      <c r="T111" s="406"/>
    </row>
    <row r="112" spans="2:20" s="272" customFormat="1">
      <c r="B112" s="238"/>
      <c r="C112" s="238"/>
      <c r="D112" s="237"/>
      <c r="E112" s="237"/>
      <c r="F112" s="237"/>
      <c r="G112" s="234"/>
      <c r="H112" s="234"/>
      <c r="I112" s="234"/>
      <c r="J112" s="234"/>
      <c r="K112" s="234"/>
      <c r="L112" s="237"/>
      <c r="M112" s="237"/>
      <c r="N112" s="234"/>
      <c r="O112" s="239"/>
      <c r="P112" s="239"/>
      <c r="S112" s="406"/>
      <c r="T112" s="406"/>
    </row>
    <row r="113" spans="2:20" s="272" customFormat="1">
      <c r="B113" s="238"/>
      <c r="C113" s="238"/>
      <c r="D113" s="237"/>
      <c r="E113" s="237"/>
      <c r="F113" s="237"/>
      <c r="G113" s="234"/>
      <c r="H113" s="234"/>
      <c r="I113" s="234"/>
      <c r="J113" s="234"/>
      <c r="K113" s="234"/>
      <c r="L113" s="237"/>
      <c r="M113" s="237"/>
      <c r="N113" s="234"/>
      <c r="O113" s="239"/>
      <c r="P113" s="239"/>
      <c r="S113" s="406"/>
      <c r="T113" s="406"/>
    </row>
    <row r="114" spans="2:20" s="272" customFormat="1">
      <c r="B114" s="238"/>
      <c r="C114" s="238"/>
      <c r="D114" s="237"/>
      <c r="E114" s="237"/>
      <c r="F114" s="237"/>
      <c r="G114" s="234"/>
      <c r="H114" s="234"/>
      <c r="I114" s="234"/>
      <c r="J114" s="234"/>
      <c r="K114" s="234"/>
      <c r="L114" s="237"/>
      <c r="M114" s="237"/>
      <c r="N114" s="234"/>
      <c r="O114" s="239"/>
      <c r="P114" s="239"/>
      <c r="S114" s="406"/>
      <c r="T114" s="406"/>
    </row>
    <row r="115" spans="2:20" s="272" customFormat="1">
      <c r="B115" s="238"/>
      <c r="C115" s="238"/>
      <c r="D115" s="237"/>
      <c r="E115" s="237"/>
      <c r="F115" s="237"/>
      <c r="G115" s="234"/>
      <c r="H115" s="234"/>
      <c r="I115" s="234"/>
      <c r="J115" s="234"/>
      <c r="K115" s="234"/>
      <c r="L115" s="237"/>
      <c r="M115" s="237"/>
      <c r="N115" s="234"/>
      <c r="O115" s="239"/>
      <c r="P115" s="239"/>
      <c r="S115" s="406"/>
      <c r="T115" s="406"/>
    </row>
    <row r="116" spans="2:20" s="272" customFormat="1">
      <c r="B116" s="238"/>
      <c r="C116" s="238"/>
      <c r="D116" s="237"/>
      <c r="E116" s="237"/>
      <c r="F116" s="237"/>
      <c r="G116" s="234"/>
      <c r="H116" s="234"/>
      <c r="I116" s="234"/>
      <c r="J116" s="234"/>
      <c r="K116" s="234"/>
      <c r="L116" s="237"/>
      <c r="M116" s="237"/>
      <c r="N116" s="234"/>
      <c r="O116" s="239"/>
      <c r="P116" s="239"/>
      <c r="S116" s="406"/>
      <c r="T116" s="406"/>
    </row>
    <row r="117" spans="2:20" s="272" customFormat="1">
      <c r="B117" s="238"/>
      <c r="C117" s="238"/>
      <c r="D117" s="237"/>
      <c r="E117" s="237"/>
      <c r="F117" s="237"/>
      <c r="G117" s="234"/>
      <c r="H117" s="234"/>
      <c r="I117" s="234"/>
      <c r="J117" s="234"/>
      <c r="K117" s="234"/>
      <c r="L117" s="237"/>
      <c r="M117" s="237"/>
      <c r="N117" s="234"/>
      <c r="O117" s="239"/>
      <c r="P117" s="239"/>
      <c r="S117" s="406"/>
      <c r="T117" s="406"/>
    </row>
    <row r="118" spans="2:20" s="272" customFormat="1">
      <c r="B118" s="238"/>
      <c r="C118" s="238"/>
      <c r="D118" s="237"/>
      <c r="E118" s="237"/>
      <c r="F118" s="237"/>
      <c r="G118" s="234"/>
      <c r="H118" s="234"/>
      <c r="I118" s="234"/>
      <c r="J118" s="234"/>
      <c r="K118" s="234"/>
      <c r="L118" s="237"/>
      <c r="M118" s="237"/>
      <c r="N118" s="234"/>
      <c r="O118" s="239"/>
      <c r="P118" s="239"/>
      <c r="S118" s="406"/>
      <c r="T118" s="406"/>
    </row>
    <row r="119" spans="2:20" s="272" customFormat="1">
      <c r="B119" s="238"/>
      <c r="C119" s="238"/>
      <c r="D119" s="237"/>
      <c r="E119" s="237"/>
      <c r="F119" s="237"/>
      <c r="G119" s="234"/>
      <c r="H119" s="234"/>
      <c r="I119" s="234"/>
      <c r="J119" s="234"/>
      <c r="K119" s="234"/>
      <c r="L119" s="237"/>
      <c r="M119" s="237"/>
      <c r="N119" s="234"/>
      <c r="O119" s="239"/>
      <c r="P119" s="239"/>
      <c r="S119" s="406"/>
      <c r="T119" s="406"/>
    </row>
    <row r="120" spans="2:20" s="272" customFormat="1">
      <c r="B120" s="238"/>
      <c r="C120" s="238"/>
      <c r="D120" s="237"/>
      <c r="E120" s="237"/>
      <c r="F120" s="237"/>
      <c r="G120" s="234"/>
      <c r="H120" s="234"/>
      <c r="I120" s="234"/>
      <c r="J120" s="234"/>
      <c r="K120" s="234"/>
      <c r="L120" s="237"/>
      <c r="M120" s="237"/>
      <c r="N120" s="234"/>
      <c r="O120" s="239"/>
      <c r="P120" s="239"/>
      <c r="S120" s="406"/>
      <c r="T120" s="406"/>
    </row>
    <row r="121" spans="2:20" s="272" customFormat="1">
      <c r="B121" s="238"/>
      <c r="C121" s="238"/>
      <c r="D121" s="237"/>
      <c r="E121" s="237"/>
      <c r="F121" s="237"/>
      <c r="G121" s="234"/>
      <c r="H121" s="234"/>
      <c r="I121" s="234"/>
      <c r="J121" s="234"/>
      <c r="K121" s="234"/>
      <c r="L121" s="237"/>
      <c r="M121" s="237"/>
      <c r="N121" s="234"/>
      <c r="O121" s="239"/>
      <c r="P121" s="239"/>
      <c r="S121" s="406"/>
      <c r="T121" s="406"/>
    </row>
    <row r="122" spans="2:20" s="272" customFormat="1">
      <c r="B122" s="238"/>
      <c r="C122" s="238"/>
      <c r="D122" s="237"/>
      <c r="E122" s="237"/>
      <c r="F122" s="237"/>
      <c r="G122" s="234"/>
      <c r="H122" s="234"/>
      <c r="I122" s="234"/>
      <c r="J122" s="234"/>
      <c r="K122" s="234"/>
      <c r="L122" s="237"/>
      <c r="M122" s="237"/>
      <c r="N122" s="234"/>
      <c r="O122" s="239"/>
      <c r="P122" s="239"/>
      <c r="S122" s="406"/>
      <c r="T122" s="406"/>
    </row>
    <row r="123" spans="2:20" s="272" customFormat="1">
      <c r="B123" s="238"/>
      <c r="C123" s="238"/>
      <c r="D123" s="237"/>
      <c r="E123" s="237"/>
      <c r="F123" s="237"/>
      <c r="G123" s="234"/>
      <c r="H123" s="234"/>
      <c r="I123" s="234"/>
      <c r="J123" s="234"/>
      <c r="K123" s="234"/>
      <c r="L123" s="237"/>
      <c r="M123" s="237"/>
      <c r="N123" s="234"/>
      <c r="O123" s="239"/>
      <c r="P123" s="239"/>
      <c r="S123" s="406"/>
      <c r="T123" s="406"/>
    </row>
    <row r="124" spans="2:20" s="272" customFormat="1">
      <c r="B124" s="238"/>
      <c r="C124" s="238"/>
      <c r="D124" s="237"/>
      <c r="E124" s="237"/>
      <c r="F124" s="237"/>
      <c r="G124" s="234"/>
      <c r="H124" s="234"/>
      <c r="I124" s="234"/>
      <c r="J124" s="234"/>
      <c r="K124" s="234"/>
      <c r="L124" s="237"/>
      <c r="M124" s="237"/>
      <c r="N124" s="234"/>
      <c r="O124" s="239"/>
      <c r="P124" s="239"/>
      <c r="S124" s="406"/>
      <c r="T124" s="406"/>
    </row>
    <row r="125" spans="2:20" s="272" customFormat="1">
      <c r="B125" s="238"/>
      <c r="C125" s="238"/>
      <c r="D125" s="237"/>
      <c r="E125" s="237"/>
      <c r="F125" s="237"/>
      <c r="G125" s="234"/>
      <c r="H125" s="234"/>
      <c r="I125" s="234"/>
      <c r="J125" s="234"/>
      <c r="K125" s="234"/>
      <c r="L125" s="237"/>
      <c r="M125" s="237"/>
      <c r="N125" s="234"/>
      <c r="O125" s="239"/>
      <c r="P125" s="239"/>
      <c r="S125" s="406"/>
      <c r="T125" s="406"/>
    </row>
    <row r="126" spans="2:20" s="272" customFormat="1">
      <c r="B126" s="238"/>
      <c r="C126" s="238"/>
      <c r="D126" s="237"/>
      <c r="E126" s="237"/>
      <c r="F126" s="237"/>
      <c r="G126" s="234"/>
      <c r="H126" s="234"/>
      <c r="I126" s="234"/>
      <c r="J126" s="234"/>
      <c r="K126" s="234"/>
      <c r="L126" s="237"/>
      <c r="M126" s="237"/>
      <c r="N126" s="234"/>
      <c r="O126" s="239"/>
      <c r="P126" s="239"/>
      <c r="S126" s="406"/>
      <c r="T126" s="406"/>
    </row>
    <row r="127" spans="2:20" s="272" customFormat="1">
      <c r="B127" s="238"/>
      <c r="C127" s="238"/>
      <c r="D127" s="237"/>
      <c r="E127" s="237"/>
      <c r="F127" s="237"/>
      <c r="G127" s="234"/>
      <c r="H127" s="234"/>
      <c r="I127" s="234"/>
      <c r="J127" s="234"/>
      <c r="K127" s="234"/>
      <c r="L127" s="237"/>
      <c r="M127" s="237"/>
      <c r="N127" s="234"/>
      <c r="O127" s="239"/>
      <c r="P127" s="239"/>
      <c r="S127" s="406"/>
      <c r="T127" s="406"/>
    </row>
    <row r="128" spans="2:20" s="272" customFormat="1">
      <c r="B128" s="238"/>
      <c r="C128" s="238"/>
      <c r="D128" s="237"/>
      <c r="E128" s="237"/>
      <c r="F128" s="237"/>
      <c r="G128" s="234"/>
      <c r="H128" s="234"/>
      <c r="I128" s="234"/>
      <c r="J128" s="234"/>
      <c r="K128" s="234"/>
      <c r="L128" s="237"/>
      <c r="M128" s="237"/>
      <c r="N128" s="234"/>
      <c r="O128" s="239"/>
      <c r="P128" s="239"/>
      <c r="S128" s="406"/>
      <c r="T128" s="406"/>
    </row>
    <row r="129" spans="2:20" s="272" customFormat="1">
      <c r="B129" s="238"/>
      <c r="C129" s="238"/>
      <c r="D129" s="237"/>
      <c r="E129" s="237"/>
      <c r="F129" s="237"/>
      <c r="G129" s="234"/>
      <c r="H129" s="234"/>
      <c r="I129" s="234"/>
      <c r="J129" s="234"/>
      <c r="K129" s="234"/>
      <c r="L129" s="237"/>
      <c r="M129" s="237"/>
      <c r="N129" s="234"/>
      <c r="O129" s="239"/>
      <c r="P129" s="239"/>
      <c r="S129" s="406"/>
      <c r="T129" s="406"/>
    </row>
    <row r="130" spans="2:20" s="272" customFormat="1">
      <c r="B130" s="238"/>
      <c r="C130" s="238"/>
      <c r="D130" s="237"/>
      <c r="E130" s="237"/>
      <c r="F130" s="237"/>
      <c r="G130" s="234"/>
      <c r="H130" s="234"/>
      <c r="I130" s="234"/>
      <c r="J130" s="234"/>
      <c r="K130" s="234"/>
      <c r="L130" s="237"/>
      <c r="M130" s="237"/>
      <c r="N130" s="234"/>
      <c r="O130" s="239"/>
      <c r="P130" s="239"/>
      <c r="S130" s="406"/>
      <c r="T130" s="406"/>
    </row>
    <row r="131" spans="2:20" s="272" customFormat="1">
      <c r="B131" s="238"/>
      <c r="C131" s="238"/>
      <c r="D131" s="237"/>
      <c r="E131" s="237"/>
      <c r="F131" s="237"/>
      <c r="G131" s="234"/>
      <c r="H131" s="234"/>
      <c r="I131" s="234"/>
      <c r="J131" s="234"/>
      <c r="K131" s="234"/>
      <c r="L131" s="237"/>
      <c r="M131" s="237"/>
      <c r="N131" s="234"/>
      <c r="O131" s="239"/>
      <c r="P131" s="239"/>
      <c r="S131" s="406"/>
      <c r="T131" s="406"/>
    </row>
    <row r="132" spans="2:20" s="272" customFormat="1">
      <c r="B132" s="238"/>
      <c r="C132" s="238"/>
      <c r="D132" s="237"/>
      <c r="E132" s="237"/>
      <c r="F132" s="237"/>
      <c r="G132" s="234"/>
      <c r="H132" s="234"/>
      <c r="I132" s="234"/>
      <c r="J132" s="234"/>
      <c r="K132" s="234"/>
      <c r="L132" s="237"/>
      <c r="M132" s="237"/>
      <c r="N132" s="234"/>
      <c r="O132" s="239"/>
      <c r="P132" s="239"/>
      <c r="S132" s="406"/>
      <c r="T132" s="406"/>
    </row>
    <row r="133" spans="2:20" s="272" customFormat="1">
      <c r="B133" s="238"/>
      <c r="C133" s="238"/>
      <c r="D133" s="237"/>
      <c r="E133" s="237"/>
      <c r="F133" s="237"/>
      <c r="G133" s="234"/>
      <c r="H133" s="234"/>
      <c r="I133" s="234"/>
      <c r="J133" s="234"/>
      <c r="K133" s="234"/>
      <c r="L133" s="237"/>
      <c r="M133" s="237"/>
      <c r="N133" s="234"/>
      <c r="O133" s="239"/>
      <c r="P133" s="239"/>
      <c r="S133" s="406"/>
      <c r="T133" s="406"/>
    </row>
    <row r="134" spans="2:20" s="272" customFormat="1">
      <c r="B134" s="238"/>
      <c r="C134" s="238"/>
      <c r="D134" s="237"/>
      <c r="E134" s="237"/>
      <c r="F134" s="237"/>
      <c r="G134" s="234"/>
      <c r="H134" s="234"/>
      <c r="I134" s="234"/>
      <c r="J134" s="234"/>
      <c r="K134" s="234"/>
      <c r="L134" s="237"/>
      <c r="M134" s="237"/>
      <c r="N134" s="234"/>
      <c r="O134" s="239"/>
      <c r="P134" s="239"/>
      <c r="S134" s="406"/>
      <c r="T134" s="406"/>
    </row>
    <row r="135" spans="2:20" s="272" customFormat="1">
      <c r="B135" s="238"/>
      <c r="C135" s="238"/>
      <c r="D135" s="237"/>
      <c r="E135" s="237"/>
      <c r="F135" s="237"/>
      <c r="G135" s="234"/>
      <c r="H135" s="234"/>
      <c r="I135" s="234"/>
      <c r="J135" s="234"/>
      <c r="K135" s="234"/>
      <c r="L135" s="237"/>
      <c r="M135" s="237"/>
      <c r="N135" s="234"/>
      <c r="O135" s="239"/>
      <c r="P135" s="239"/>
      <c r="S135" s="406"/>
      <c r="T135" s="406"/>
    </row>
    <row r="136" spans="2:20" s="272" customFormat="1">
      <c r="B136" s="238"/>
      <c r="C136" s="238"/>
      <c r="D136" s="237"/>
      <c r="E136" s="237"/>
      <c r="F136" s="237"/>
      <c r="G136" s="234"/>
      <c r="H136" s="234"/>
      <c r="I136" s="234"/>
      <c r="J136" s="234"/>
      <c r="K136" s="234"/>
      <c r="L136" s="237"/>
      <c r="M136" s="237"/>
      <c r="N136" s="234"/>
      <c r="O136" s="239"/>
      <c r="P136" s="239"/>
      <c r="S136" s="406"/>
      <c r="T136" s="406"/>
    </row>
    <row r="137" spans="2:20" s="272" customFormat="1">
      <c r="B137" s="238"/>
      <c r="C137" s="238"/>
      <c r="D137" s="237"/>
      <c r="E137" s="237"/>
      <c r="F137" s="237"/>
      <c r="G137" s="234"/>
      <c r="H137" s="234"/>
      <c r="I137" s="234"/>
      <c r="J137" s="234"/>
      <c r="K137" s="234"/>
      <c r="L137" s="237"/>
      <c r="M137" s="237"/>
      <c r="N137" s="234"/>
      <c r="O137" s="239"/>
      <c r="P137" s="239"/>
      <c r="S137" s="406"/>
      <c r="T137" s="406"/>
    </row>
    <row r="138" spans="2:20" s="272" customFormat="1">
      <c r="B138" s="238"/>
      <c r="C138" s="238"/>
      <c r="D138" s="237"/>
      <c r="E138" s="237"/>
      <c r="F138" s="237"/>
      <c r="G138" s="234"/>
      <c r="H138" s="234"/>
      <c r="I138" s="234"/>
      <c r="J138" s="234"/>
      <c r="K138" s="234"/>
      <c r="L138" s="237"/>
      <c r="M138" s="237"/>
      <c r="N138" s="234"/>
      <c r="O138" s="239"/>
      <c r="P138" s="239"/>
      <c r="S138" s="406"/>
      <c r="T138" s="406"/>
    </row>
    <row r="139" spans="2:20" s="272" customFormat="1">
      <c r="B139" s="238"/>
      <c r="C139" s="238"/>
      <c r="D139" s="237"/>
      <c r="E139" s="237"/>
      <c r="F139" s="237"/>
      <c r="G139" s="234"/>
      <c r="H139" s="234"/>
      <c r="I139" s="234"/>
      <c r="J139" s="234"/>
      <c r="K139" s="234"/>
      <c r="L139" s="237"/>
      <c r="M139" s="237"/>
      <c r="N139" s="234"/>
      <c r="O139" s="239"/>
      <c r="P139" s="239"/>
      <c r="S139" s="406"/>
      <c r="T139" s="406"/>
    </row>
    <row r="140" spans="2:20" s="272" customFormat="1">
      <c r="B140" s="238"/>
      <c r="C140" s="238"/>
      <c r="D140" s="237"/>
      <c r="E140" s="237"/>
      <c r="F140" s="237"/>
      <c r="G140" s="234"/>
      <c r="H140" s="234"/>
      <c r="I140" s="234"/>
      <c r="J140" s="234"/>
      <c r="K140" s="234"/>
      <c r="L140" s="237"/>
      <c r="M140" s="237"/>
      <c r="N140" s="234"/>
      <c r="O140" s="239"/>
      <c r="P140" s="239"/>
      <c r="S140" s="406"/>
      <c r="T140" s="406"/>
    </row>
    <row r="141" spans="2:20" s="272" customFormat="1">
      <c r="B141" s="238"/>
      <c r="C141" s="238"/>
      <c r="D141" s="237"/>
      <c r="E141" s="237"/>
      <c r="F141" s="237"/>
      <c r="G141" s="234"/>
      <c r="H141" s="234"/>
      <c r="I141" s="234"/>
      <c r="J141" s="234"/>
      <c r="K141" s="234"/>
      <c r="L141" s="237"/>
      <c r="M141" s="237"/>
      <c r="N141" s="234"/>
      <c r="O141" s="239"/>
      <c r="P141" s="239"/>
      <c r="S141" s="406"/>
      <c r="T141" s="406"/>
    </row>
    <row r="142" spans="2:20" s="272" customFormat="1">
      <c r="B142" s="238"/>
      <c r="C142" s="238"/>
      <c r="D142" s="237"/>
      <c r="E142" s="237"/>
      <c r="F142" s="237"/>
      <c r="G142" s="234"/>
      <c r="H142" s="234"/>
      <c r="I142" s="234"/>
      <c r="J142" s="234"/>
      <c r="K142" s="234"/>
      <c r="L142" s="237"/>
      <c r="M142" s="237"/>
      <c r="N142" s="234"/>
      <c r="O142" s="239"/>
      <c r="P142" s="239"/>
      <c r="S142" s="406"/>
      <c r="T142" s="406"/>
    </row>
    <row r="143" spans="2:20" s="272" customFormat="1">
      <c r="B143" s="238"/>
      <c r="C143" s="238"/>
      <c r="D143" s="237"/>
      <c r="E143" s="237"/>
      <c r="F143" s="237"/>
      <c r="G143" s="234"/>
      <c r="H143" s="234"/>
      <c r="I143" s="234"/>
      <c r="J143" s="234"/>
      <c r="K143" s="234"/>
      <c r="L143" s="237"/>
      <c r="M143" s="237"/>
      <c r="N143" s="234"/>
      <c r="O143" s="239"/>
      <c r="P143" s="239"/>
      <c r="S143" s="406"/>
      <c r="T143" s="406"/>
    </row>
    <row r="144" spans="2:20" s="272" customFormat="1">
      <c r="B144" s="238"/>
      <c r="C144" s="238"/>
      <c r="D144" s="237"/>
      <c r="E144" s="237"/>
      <c r="F144" s="237"/>
      <c r="G144" s="234"/>
      <c r="H144" s="234"/>
      <c r="I144" s="234"/>
      <c r="J144" s="234"/>
      <c r="K144" s="234"/>
      <c r="L144" s="237"/>
      <c r="M144" s="237"/>
      <c r="N144" s="234"/>
      <c r="O144" s="239"/>
      <c r="P144" s="239"/>
      <c r="S144" s="406"/>
      <c r="T144" s="406"/>
    </row>
    <row r="145" spans="2:20" s="272" customFormat="1">
      <c r="B145" s="238"/>
      <c r="C145" s="238"/>
      <c r="D145" s="237"/>
      <c r="E145" s="237"/>
      <c r="F145" s="237"/>
      <c r="G145" s="234"/>
      <c r="H145" s="234"/>
      <c r="I145" s="234"/>
      <c r="J145" s="234"/>
      <c r="K145" s="234"/>
      <c r="L145" s="237"/>
      <c r="M145" s="237"/>
      <c r="N145" s="234"/>
      <c r="O145" s="239"/>
      <c r="P145" s="239"/>
      <c r="S145" s="406"/>
      <c r="T145" s="406"/>
    </row>
    <row r="146" spans="2:20" s="272" customFormat="1">
      <c r="B146" s="238"/>
      <c r="C146" s="238"/>
      <c r="D146" s="237"/>
      <c r="E146" s="237"/>
      <c r="F146" s="237"/>
      <c r="G146" s="234"/>
      <c r="H146" s="234"/>
      <c r="I146" s="234"/>
      <c r="J146" s="234"/>
      <c r="K146" s="234"/>
      <c r="L146" s="237"/>
      <c r="M146" s="237"/>
      <c r="N146" s="234"/>
      <c r="O146" s="239"/>
      <c r="P146" s="239"/>
      <c r="S146" s="406"/>
      <c r="T146" s="406"/>
    </row>
    <row r="147" spans="2:20" s="272" customFormat="1">
      <c r="B147" s="238"/>
      <c r="C147" s="238"/>
      <c r="D147" s="237"/>
      <c r="E147" s="237"/>
      <c r="F147" s="237"/>
      <c r="G147" s="234"/>
      <c r="H147" s="234"/>
      <c r="I147" s="234"/>
      <c r="J147" s="234"/>
      <c r="K147" s="234"/>
      <c r="L147" s="237"/>
      <c r="M147" s="237"/>
      <c r="N147" s="234"/>
      <c r="O147" s="239"/>
      <c r="P147" s="239"/>
      <c r="S147" s="406"/>
      <c r="T147" s="406"/>
    </row>
    <row r="148" spans="2:20" s="272" customFormat="1">
      <c r="B148" s="238"/>
      <c r="C148" s="238"/>
      <c r="D148" s="237"/>
      <c r="E148" s="237"/>
      <c r="F148" s="237"/>
      <c r="G148" s="234"/>
      <c r="H148" s="234"/>
      <c r="I148" s="234"/>
      <c r="J148" s="234"/>
      <c r="K148" s="234"/>
      <c r="L148" s="237"/>
      <c r="M148" s="237"/>
      <c r="N148" s="234"/>
      <c r="O148" s="239"/>
      <c r="P148" s="239"/>
      <c r="S148" s="406"/>
      <c r="T148" s="406"/>
    </row>
    <row r="149" spans="2:20" s="272" customFormat="1">
      <c r="B149" s="238"/>
      <c r="C149" s="238"/>
      <c r="D149" s="237"/>
      <c r="E149" s="237"/>
      <c r="F149" s="237"/>
      <c r="G149" s="234"/>
      <c r="H149" s="234"/>
      <c r="I149" s="234"/>
      <c r="J149" s="234"/>
      <c r="K149" s="234"/>
      <c r="L149" s="237"/>
      <c r="M149" s="237"/>
      <c r="N149" s="234"/>
      <c r="O149" s="239"/>
      <c r="P149" s="239"/>
      <c r="S149" s="406"/>
      <c r="T149" s="406"/>
    </row>
    <row r="150" spans="2:20" s="272" customFormat="1">
      <c r="B150" s="238"/>
      <c r="C150" s="238"/>
      <c r="D150" s="237"/>
      <c r="E150" s="237"/>
      <c r="F150" s="237"/>
      <c r="G150" s="234"/>
      <c r="H150" s="234"/>
      <c r="I150" s="234"/>
      <c r="J150" s="234"/>
      <c r="K150" s="234"/>
      <c r="L150" s="237"/>
      <c r="M150" s="237"/>
      <c r="N150" s="234"/>
      <c r="O150" s="239"/>
      <c r="P150" s="239"/>
      <c r="S150" s="406"/>
      <c r="T150" s="406"/>
    </row>
    <row r="151" spans="2:20" s="272" customFormat="1">
      <c r="B151" s="238"/>
      <c r="C151" s="238"/>
      <c r="D151" s="237"/>
      <c r="E151" s="237"/>
      <c r="F151" s="237"/>
      <c r="G151" s="234"/>
      <c r="H151" s="234"/>
      <c r="I151" s="234"/>
      <c r="J151" s="234"/>
      <c r="K151" s="234"/>
      <c r="L151" s="237"/>
      <c r="M151" s="237"/>
      <c r="N151" s="234"/>
      <c r="O151" s="239"/>
      <c r="P151" s="239"/>
      <c r="S151" s="406"/>
      <c r="T151" s="406"/>
    </row>
    <row r="152" spans="2:20" s="272" customFormat="1">
      <c r="B152" s="238"/>
      <c r="C152" s="238"/>
      <c r="D152" s="237"/>
      <c r="E152" s="237"/>
      <c r="F152" s="237"/>
      <c r="G152" s="234"/>
      <c r="H152" s="234"/>
      <c r="I152" s="234"/>
      <c r="J152" s="234"/>
      <c r="K152" s="234"/>
      <c r="L152" s="237"/>
      <c r="M152" s="237"/>
      <c r="N152" s="234"/>
      <c r="O152" s="239"/>
      <c r="P152" s="239"/>
      <c r="S152" s="406"/>
      <c r="T152" s="406"/>
    </row>
    <row r="153" spans="2:20" s="272" customFormat="1">
      <c r="B153" s="238"/>
      <c r="C153" s="238"/>
      <c r="D153" s="237"/>
      <c r="E153" s="237"/>
      <c r="F153" s="237"/>
      <c r="G153" s="234"/>
      <c r="H153" s="234"/>
      <c r="I153" s="234"/>
      <c r="J153" s="234"/>
      <c r="K153" s="234"/>
      <c r="L153" s="237"/>
      <c r="M153" s="237"/>
      <c r="N153" s="234"/>
      <c r="O153" s="239"/>
      <c r="P153" s="239"/>
      <c r="S153" s="406"/>
      <c r="T153" s="406"/>
    </row>
    <row r="154" spans="2:20" s="272" customFormat="1">
      <c r="B154" s="238"/>
      <c r="C154" s="238"/>
      <c r="D154" s="237"/>
      <c r="E154" s="237"/>
      <c r="F154" s="237"/>
      <c r="G154" s="234"/>
      <c r="H154" s="234"/>
      <c r="I154" s="234"/>
      <c r="J154" s="234"/>
      <c r="K154" s="234"/>
      <c r="L154" s="237"/>
      <c r="M154" s="237"/>
      <c r="N154" s="234"/>
      <c r="O154" s="239"/>
      <c r="P154" s="239"/>
      <c r="S154" s="406"/>
      <c r="T154" s="406"/>
    </row>
    <row r="155" spans="2:20" s="272" customFormat="1">
      <c r="B155" s="238"/>
      <c r="C155" s="238"/>
      <c r="D155" s="237"/>
      <c r="E155" s="237"/>
      <c r="F155" s="237"/>
      <c r="G155" s="234"/>
      <c r="H155" s="234"/>
      <c r="I155" s="234"/>
      <c r="J155" s="234"/>
      <c r="K155" s="234"/>
      <c r="L155" s="237"/>
      <c r="M155" s="237"/>
      <c r="N155" s="234"/>
      <c r="O155" s="239"/>
      <c r="P155" s="239"/>
      <c r="S155" s="406"/>
      <c r="T155" s="406"/>
    </row>
    <row r="156" spans="2:20" s="272" customFormat="1">
      <c r="B156" s="238"/>
      <c r="C156" s="238"/>
      <c r="D156" s="237"/>
      <c r="E156" s="237"/>
      <c r="F156" s="237"/>
      <c r="G156" s="234"/>
      <c r="H156" s="234"/>
      <c r="I156" s="234"/>
      <c r="J156" s="234"/>
      <c r="K156" s="234"/>
      <c r="L156" s="237"/>
      <c r="M156" s="237"/>
      <c r="N156" s="234"/>
      <c r="O156" s="239"/>
      <c r="P156" s="239"/>
      <c r="S156" s="406"/>
      <c r="T156" s="406"/>
    </row>
    <row r="157" spans="2:20" s="272" customFormat="1">
      <c r="B157" s="238"/>
      <c r="C157" s="238"/>
      <c r="D157" s="237"/>
      <c r="E157" s="237"/>
      <c r="F157" s="237"/>
      <c r="G157" s="234"/>
      <c r="H157" s="234"/>
      <c r="I157" s="234"/>
      <c r="J157" s="234"/>
      <c r="K157" s="234"/>
      <c r="L157" s="237"/>
      <c r="M157" s="237"/>
      <c r="N157" s="234"/>
      <c r="O157" s="239"/>
      <c r="P157" s="239"/>
      <c r="S157" s="406"/>
      <c r="T157" s="406"/>
    </row>
    <row r="158" spans="2:20" s="272" customFormat="1">
      <c r="B158" s="238"/>
      <c r="C158" s="238"/>
      <c r="D158" s="237"/>
      <c r="E158" s="237"/>
      <c r="F158" s="237"/>
      <c r="G158" s="234"/>
      <c r="H158" s="234"/>
      <c r="I158" s="234"/>
      <c r="J158" s="234"/>
      <c r="K158" s="234"/>
      <c r="L158" s="237"/>
      <c r="M158" s="237"/>
      <c r="N158" s="234"/>
      <c r="O158" s="239"/>
      <c r="P158" s="239"/>
      <c r="S158" s="406"/>
      <c r="T158" s="406"/>
    </row>
    <row r="159" spans="2:20" s="272" customFormat="1">
      <c r="B159" s="238"/>
      <c r="C159" s="238"/>
      <c r="D159" s="237"/>
      <c r="E159" s="237"/>
      <c r="F159" s="237"/>
      <c r="G159" s="234"/>
      <c r="H159" s="234"/>
      <c r="I159" s="234"/>
      <c r="J159" s="234"/>
      <c r="K159" s="234"/>
      <c r="L159" s="237"/>
      <c r="M159" s="237"/>
      <c r="N159" s="234"/>
      <c r="O159" s="239"/>
      <c r="P159" s="239"/>
      <c r="S159" s="406"/>
      <c r="T159" s="406"/>
    </row>
    <row r="160" spans="2:20" s="272" customFormat="1">
      <c r="B160" s="238"/>
      <c r="C160" s="238"/>
      <c r="D160" s="237"/>
      <c r="E160" s="237"/>
      <c r="F160" s="237"/>
      <c r="G160" s="234"/>
      <c r="H160" s="234"/>
      <c r="I160" s="234"/>
      <c r="J160" s="234"/>
      <c r="K160" s="234"/>
      <c r="L160" s="237"/>
      <c r="M160" s="237"/>
      <c r="N160" s="234"/>
      <c r="O160" s="239"/>
      <c r="P160" s="239"/>
      <c r="S160" s="406"/>
      <c r="T160" s="406"/>
    </row>
    <row r="161" spans="2:20" s="272" customFormat="1">
      <c r="B161" s="238"/>
      <c r="C161" s="238"/>
      <c r="D161" s="237"/>
      <c r="E161" s="237"/>
      <c r="F161" s="237"/>
      <c r="G161" s="234"/>
      <c r="H161" s="234"/>
      <c r="I161" s="234"/>
      <c r="J161" s="234"/>
      <c r="K161" s="234"/>
      <c r="L161" s="237"/>
      <c r="M161" s="237"/>
      <c r="N161" s="234"/>
      <c r="O161" s="239"/>
      <c r="P161" s="239"/>
      <c r="S161" s="406"/>
      <c r="T161" s="406"/>
    </row>
    <row r="162" spans="2:20" s="272" customFormat="1">
      <c r="B162" s="238"/>
      <c r="C162" s="238"/>
      <c r="D162" s="237"/>
      <c r="E162" s="237"/>
      <c r="F162" s="237"/>
      <c r="G162" s="234"/>
      <c r="H162" s="234"/>
      <c r="I162" s="234"/>
      <c r="J162" s="234"/>
      <c r="K162" s="234"/>
      <c r="L162" s="237"/>
      <c r="M162" s="237"/>
      <c r="N162" s="234"/>
      <c r="O162" s="239"/>
      <c r="P162" s="239"/>
      <c r="S162" s="406"/>
      <c r="T162" s="406"/>
    </row>
    <row r="163" spans="2:20" s="272" customFormat="1">
      <c r="B163" s="238"/>
      <c r="C163" s="238"/>
      <c r="D163" s="237"/>
      <c r="E163" s="237"/>
      <c r="F163" s="237"/>
      <c r="G163" s="234"/>
      <c r="H163" s="234"/>
      <c r="I163" s="234"/>
      <c r="J163" s="234"/>
      <c r="K163" s="234"/>
      <c r="L163" s="237"/>
      <c r="M163" s="237"/>
      <c r="N163" s="234"/>
      <c r="O163" s="239"/>
      <c r="P163" s="239"/>
      <c r="S163" s="406"/>
      <c r="T163" s="406"/>
    </row>
    <row r="164" spans="2:20" s="272" customFormat="1">
      <c r="B164" s="238"/>
      <c r="C164" s="238"/>
      <c r="D164" s="237"/>
      <c r="E164" s="237"/>
      <c r="F164" s="237"/>
      <c r="G164" s="234"/>
      <c r="H164" s="234"/>
      <c r="I164" s="234"/>
      <c r="J164" s="234"/>
      <c r="K164" s="234"/>
      <c r="L164" s="237"/>
      <c r="M164" s="237"/>
      <c r="N164" s="234"/>
      <c r="O164" s="239"/>
      <c r="P164" s="239"/>
      <c r="S164" s="406"/>
      <c r="T164" s="406"/>
    </row>
    <row r="165" spans="2:20" s="272" customFormat="1">
      <c r="B165" s="238"/>
      <c r="C165" s="238"/>
      <c r="D165" s="237"/>
      <c r="E165" s="237"/>
      <c r="F165" s="237"/>
      <c r="G165" s="234"/>
      <c r="H165" s="234"/>
      <c r="I165" s="234"/>
      <c r="J165" s="234"/>
      <c r="K165" s="234"/>
      <c r="L165" s="237"/>
      <c r="M165" s="237"/>
      <c r="N165" s="234"/>
      <c r="O165" s="239"/>
      <c r="P165" s="239"/>
      <c r="S165" s="406"/>
      <c r="T165" s="406"/>
    </row>
    <row r="166" spans="2:20" s="272" customFormat="1">
      <c r="B166" s="238"/>
      <c r="C166" s="238"/>
      <c r="D166" s="237"/>
      <c r="E166" s="237"/>
      <c r="F166" s="237"/>
      <c r="G166" s="234"/>
      <c r="H166" s="234"/>
      <c r="I166" s="234"/>
      <c r="J166" s="234"/>
      <c r="K166" s="234"/>
      <c r="L166" s="237"/>
      <c r="M166" s="237"/>
      <c r="N166" s="234"/>
      <c r="O166" s="239"/>
      <c r="P166" s="239"/>
      <c r="S166" s="406"/>
      <c r="T166" s="406"/>
    </row>
    <row r="167" spans="2:20" s="272" customFormat="1">
      <c r="B167" s="238"/>
      <c r="C167" s="238"/>
      <c r="D167" s="237"/>
      <c r="E167" s="237"/>
      <c r="F167" s="237"/>
      <c r="G167" s="234"/>
      <c r="H167" s="234"/>
      <c r="I167" s="234"/>
      <c r="J167" s="234"/>
      <c r="K167" s="234"/>
      <c r="L167" s="237"/>
      <c r="M167" s="237"/>
      <c r="N167" s="234"/>
      <c r="O167" s="239"/>
      <c r="P167" s="239"/>
      <c r="S167" s="406"/>
      <c r="T167" s="406"/>
    </row>
    <row r="168" spans="2:20" s="272" customFormat="1">
      <c r="B168" s="238"/>
      <c r="C168" s="238"/>
      <c r="D168" s="237"/>
      <c r="E168" s="237"/>
      <c r="F168" s="237"/>
      <c r="G168" s="234"/>
      <c r="H168" s="234"/>
      <c r="I168" s="234"/>
      <c r="J168" s="234"/>
      <c r="K168" s="234"/>
      <c r="L168" s="237"/>
      <c r="M168" s="237"/>
      <c r="N168" s="234"/>
      <c r="O168" s="239"/>
      <c r="P168" s="239"/>
      <c r="S168" s="406"/>
      <c r="T168" s="406"/>
    </row>
    <row r="169" spans="2:20" s="272" customFormat="1">
      <c r="B169" s="238"/>
      <c r="C169" s="238"/>
      <c r="D169" s="237"/>
      <c r="E169" s="237"/>
      <c r="F169" s="237"/>
      <c r="G169" s="234"/>
      <c r="H169" s="234"/>
      <c r="I169" s="234"/>
      <c r="J169" s="234"/>
      <c r="K169" s="234"/>
      <c r="L169" s="237"/>
      <c r="M169" s="237"/>
      <c r="N169" s="234"/>
      <c r="O169" s="239"/>
      <c r="P169" s="239"/>
      <c r="S169" s="406"/>
      <c r="T169" s="406"/>
    </row>
    <row r="170" spans="2:20" s="272" customFormat="1">
      <c r="B170" s="238"/>
      <c r="C170" s="238"/>
      <c r="D170" s="237"/>
      <c r="E170" s="237"/>
      <c r="F170" s="237"/>
      <c r="G170" s="234"/>
      <c r="H170" s="234"/>
      <c r="I170" s="234"/>
      <c r="J170" s="234"/>
      <c r="K170" s="234"/>
      <c r="L170" s="237"/>
      <c r="M170" s="237"/>
      <c r="N170" s="234"/>
      <c r="O170" s="239"/>
      <c r="P170" s="239"/>
      <c r="S170" s="406"/>
      <c r="T170" s="406"/>
    </row>
    <row r="171" spans="2:20" s="272" customFormat="1">
      <c r="B171" s="238"/>
      <c r="C171" s="238"/>
      <c r="D171" s="237"/>
      <c r="E171" s="237"/>
      <c r="F171" s="237"/>
      <c r="G171" s="234"/>
      <c r="H171" s="234"/>
      <c r="I171" s="234"/>
      <c r="J171" s="234"/>
      <c r="K171" s="234"/>
      <c r="L171" s="237"/>
      <c r="M171" s="237"/>
      <c r="N171" s="234"/>
      <c r="O171" s="239"/>
      <c r="P171" s="239"/>
      <c r="S171" s="406"/>
      <c r="T171" s="406"/>
    </row>
    <row r="172" spans="2:20" s="272" customFormat="1">
      <c r="B172" s="238"/>
      <c r="C172" s="238"/>
      <c r="D172" s="237"/>
      <c r="E172" s="237"/>
      <c r="F172" s="237"/>
      <c r="G172" s="234"/>
      <c r="H172" s="234"/>
      <c r="I172" s="234"/>
      <c r="J172" s="234"/>
      <c r="K172" s="234"/>
      <c r="L172" s="237"/>
      <c r="M172" s="237"/>
      <c r="N172" s="234"/>
      <c r="O172" s="239"/>
      <c r="P172" s="239"/>
      <c r="S172" s="406"/>
      <c r="T172" s="406"/>
    </row>
    <row r="173" spans="2:20" s="272" customFormat="1">
      <c r="B173" s="238"/>
      <c r="C173" s="238"/>
      <c r="D173" s="237"/>
      <c r="E173" s="237"/>
      <c r="F173" s="237"/>
      <c r="G173" s="234"/>
      <c r="H173" s="234"/>
      <c r="I173" s="234"/>
      <c r="J173" s="234"/>
      <c r="K173" s="234"/>
      <c r="L173" s="237"/>
      <c r="M173" s="237"/>
      <c r="N173" s="234"/>
      <c r="O173" s="239"/>
      <c r="P173" s="239"/>
      <c r="S173" s="406"/>
      <c r="T173" s="406"/>
    </row>
    <row r="174" spans="2:20" s="272" customFormat="1">
      <c r="B174" s="238"/>
      <c r="C174" s="238"/>
      <c r="D174" s="237"/>
      <c r="E174" s="237"/>
      <c r="F174" s="237"/>
      <c r="G174" s="234"/>
      <c r="H174" s="234"/>
      <c r="I174" s="234"/>
      <c r="J174" s="234"/>
      <c r="K174" s="234"/>
      <c r="L174" s="237"/>
      <c r="M174" s="237"/>
      <c r="N174" s="234"/>
      <c r="O174" s="239"/>
      <c r="P174" s="239"/>
      <c r="S174" s="406"/>
      <c r="T174" s="406"/>
    </row>
    <row r="175" spans="2:20" s="272" customFormat="1">
      <c r="B175" s="238"/>
      <c r="C175" s="238"/>
      <c r="D175" s="237"/>
      <c r="E175" s="237"/>
      <c r="F175" s="237"/>
      <c r="G175" s="234"/>
      <c r="H175" s="234"/>
      <c r="I175" s="234"/>
      <c r="J175" s="234"/>
      <c r="K175" s="234"/>
      <c r="L175" s="237"/>
      <c r="M175" s="237"/>
      <c r="N175" s="234"/>
      <c r="O175" s="239"/>
      <c r="P175" s="239"/>
      <c r="S175" s="406"/>
      <c r="T175" s="406"/>
    </row>
    <row r="176" spans="2:20" s="272" customFormat="1">
      <c r="B176" s="238"/>
      <c r="C176" s="238"/>
      <c r="D176" s="237"/>
      <c r="E176" s="237"/>
      <c r="F176" s="237"/>
      <c r="G176" s="234"/>
      <c r="H176" s="234"/>
      <c r="I176" s="234"/>
      <c r="J176" s="234"/>
      <c r="K176" s="234"/>
      <c r="L176" s="237"/>
      <c r="M176" s="237"/>
      <c r="N176" s="234"/>
      <c r="O176" s="239"/>
      <c r="P176" s="239"/>
      <c r="S176" s="406"/>
      <c r="T176" s="406"/>
    </row>
    <row r="177" spans="2:20" s="272" customFormat="1">
      <c r="B177" s="238"/>
      <c r="C177" s="238"/>
      <c r="D177" s="237"/>
      <c r="E177" s="237"/>
      <c r="F177" s="237"/>
      <c r="G177" s="234"/>
      <c r="H177" s="234"/>
      <c r="I177" s="234"/>
      <c r="J177" s="234"/>
      <c r="K177" s="234"/>
      <c r="L177" s="237"/>
      <c r="M177" s="237"/>
      <c r="N177" s="234"/>
      <c r="O177" s="239"/>
      <c r="P177" s="239"/>
      <c r="S177" s="406"/>
      <c r="T177" s="406"/>
    </row>
    <row r="178" spans="2:20" s="272" customFormat="1">
      <c r="B178" s="238"/>
      <c r="C178" s="238"/>
      <c r="D178" s="237"/>
      <c r="E178" s="237"/>
      <c r="F178" s="237"/>
      <c r="G178" s="234"/>
      <c r="H178" s="234"/>
      <c r="I178" s="234"/>
      <c r="J178" s="234"/>
      <c r="K178" s="234"/>
      <c r="L178" s="237"/>
      <c r="M178" s="237"/>
      <c r="N178" s="234"/>
      <c r="O178" s="239"/>
      <c r="P178" s="239"/>
      <c r="S178" s="406"/>
      <c r="T178" s="406"/>
    </row>
    <row r="179" spans="2:20" s="272" customFormat="1">
      <c r="B179" s="238"/>
      <c r="C179" s="238"/>
      <c r="D179" s="237"/>
      <c r="E179" s="237"/>
      <c r="F179" s="237"/>
      <c r="G179" s="234"/>
      <c r="H179" s="234"/>
      <c r="I179" s="234"/>
      <c r="J179" s="234"/>
      <c r="K179" s="234"/>
      <c r="L179" s="237"/>
      <c r="M179" s="237"/>
      <c r="N179" s="234"/>
      <c r="O179" s="239"/>
      <c r="P179" s="239"/>
      <c r="S179" s="406"/>
      <c r="T179" s="406"/>
    </row>
    <row r="180" spans="2:20" s="272" customFormat="1">
      <c r="B180" s="238"/>
      <c r="C180" s="238"/>
      <c r="D180" s="237"/>
      <c r="E180" s="237"/>
      <c r="F180" s="237"/>
      <c r="G180" s="234"/>
      <c r="H180" s="234"/>
      <c r="I180" s="234"/>
      <c r="J180" s="234"/>
      <c r="K180" s="234"/>
      <c r="L180" s="237"/>
      <c r="M180" s="237"/>
      <c r="N180" s="234"/>
      <c r="O180" s="239"/>
      <c r="P180" s="239"/>
      <c r="S180" s="406"/>
      <c r="T180" s="406"/>
    </row>
    <row r="181" spans="2:20" s="272" customFormat="1">
      <c r="B181" s="238"/>
      <c r="C181" s="238"/>
      <c r="D181" s="237"/>
      <c r="E181" s="237"/>
      <c r="F181" s="237"/>
      <c r="G181" s="234"/>
      <c r="H181" s="234"/>
      <c r="I181" s="234"/>
      <c r="J181" s="234"/>
      <c r="K181" s="234"/>
      <c r="L181" s="237"/>
      <c r="M181" s="237"/>
      <c r="N181" s="234"/>
      <c r="O181" s="239"/>
      <c r="P181" s="239"/>
      <c r="S181" s="406"/>
      <c r="T181" s="406"/>
    </row>
    <row r="182" spans="2:20" s="272" customFormat="1">
      <c r="B182" s="238"/>
      <c r="C182" s="238"/>
      <c r="D182" s="237"/>
      <c r="E182" s="237"/>
      <c r="F182" s="237"/>
      <c r="G182" s="234"/>
      <c r="H182" s="234"/>
      <c r="I182" s="234"/>
      <c r="J182" s="234"/>
      <c r="K182" s="234"/>
      <c r="L182" s="237"/>
      <c r="M182" s="237"/>
      <c r="N182" s="234"/>
      <c r="O182" s="239"/>
      <c r="P182" s="239"/>
      <c r="S182" s="406"/>
      <c r="T182" s="406"/>
    </row>
    <row r="183" spans="2:20" s="272" customFormat="1">
      <c r="B183" s="238"/>
      <c r="C183" s="238"/>
      <c r="D183" s="237"/>
      <c r="E183" s="237"/>
      <c r="F183" s="237"/>
      <c r="G183" s="234"/>
      <c r="H183" s="234"/>
      <c r="I183" s="234"/>
      <c r="J183" s="234"/>
      <c r="K183" s="234"/>
      <c r="L183" s="237"/>
      <c r="M183" s="237"/>
      <c r="N183" s="234"/>
      <c r="O183" s="239"/>
      <c r="P183" s="239"/>
      <c r="S183" s="406"/>
      <c r="T183" s="406"/>
    </row>
    <row r="184" spans="2:20" s="272" customFormat="1">
      <c r="B184" s="238"/>
      <c r="C184" s="238"/>
      <c r="D184" s="237"/>
      <c r="E184" s="237"/>
      <c r="F184" s="237"/>
      <c r="G184" s="234"/>
      <c r="H184" s="234"/>
      <c r="I184" s="234"/>
      <c r="J184" s="234"/>
      <c r="K184" s="234"/>
      <c r="L184" s="237"/>
      <c r="M184" s="237"/>
      <c r="N184" s="234"/>
      <c r="O184" s="239"/>
      <c r="P184" s="239"/>
      <c r="S184" s="406"/>
      <c r="T184" s="406"/>
    </row>
    <row r="185" spans="2:20" s="272" customFormat="1">
      <c r="B185" s="238"/>
      <c r="C185" s="238"/>
      <c r="D185" s="237"/>
      <c r="E185" s="237"/>
      <c r="F185" s="237"/>
      <c r="G185" s="234"/>
      <c r="H185" s="234"/>
      <c r="I185" s="234"/>
      <c r="J185" s="234"/>
      <c r="K185" s="234"/>
      <c r="L185" s="237"/>
      <c r="M185" s="237"/>
      <c r="N185" s="234"/>
      <c r="O185" s="239"/>
      <c r="P185" s="239"/>
      <c r="S185" s="406"/>
      <c r="T185" s="406"/>
    </row>
    <row r="186" spans="2:20" s="272" customFormat="1">
      <c r="B186" s="238"/>
      <c r="C186" s="238"/>
      <c r="D186" s="237"/>
      <c r="E186" s="237"/>
      <c r="F186" s="237"/>
      <c r="G186" s="234"/>
      <c r="H186" s="234"/>
      <c r="I186" s="234"/>
      <c r="J186" s="234"/>
      <c r="K186" s="234"/>
      <c r="L186" s="237"/>
      <c r="M186" s="237"/>
      <c r="N186" s="234"/>
      <c r="O186" s="239"/>
      <c r="P186" s="239"/>
      <c r="S186" s="406"/>
      <c r="T186" s="406"/>
    </row>
    <row r="187" spans="2:20" s="272" customFormat="1">
      <c r="B187" s="238"/>
      <c r="C187" s="238"/>
      <c r="D187" s="237"/>
      <c r="E187" s="237"/>
      <c r="F187" s="237"/>
      <c r="G187" s="234"/>
      <c r="H187" s="234"/>
      <c r="I187" s="234"/>
      <c r="J187" s="234"/>
      <c r="K187" s="234"/>
      <c r="L187" s="237"/>
      <c r="M187" s="237"/>
      <c r="N187" s="234"/>
      <c r="O187" s="239"/>
      <c r="P187" s="239"/>
      <c r="S187" s="406"/>
      <c r="T187" s="406"/>
    </row>
    <row r="188" spans="2:20" s="272" customFormat="1">
      <c r="B188" s="238"/>
      <c r="C188" s="238"/>
      <c r="D188" s="237"/>
      <c r="E188" s="237"/>
      <c r="F188" s="237"/>
      <c r="G188" s="234"/>
      <c r="H188" s="234"/>
      <c r="I188" s="234"/>
      <c r="J188" s="234"/>
      <c r="K188" s="234"/>
      <c r="L188" s="237"/>
      <c r="M188" s="237"/>
      <c r="N188" s="234"/>
      <c r="O188" s="239"/>
      <c r="P188" s="239"/>
      <c r="S188" s="406"/>
      <c r="T188" s="406"/>
    </row>
    <row r="189" spans="2:20" s="272" customFormat="1">
      <c r="B189" s="238"/>
      <c r="C189" s="238"/>
      <c r="D189" s="237"/>
      <c r="E189" s="237"/>
      <c r="F189" s="237"/>
      <c r="G189" s="234"/>
      <c r="H189" s="234"/>
      <c r="I189" s="234"/>
      <c r="J189" s="234"/>
      <c r="K189" s="234"/>
      <c r="L189" s="237"/>
      <c r="M189" s="237"/>
      <c r="N189" s="234"/>
      <c r="O189" s="239"/>
      <c r="P189" s="239"/>
      <c r="S189" s="406"/>
      <c r="T189" s="406"/>
    </row>
    <row r="190" spans="2:20" s="272" customFormat="1">
      <c r="B190" s="238"/>
      <c r="C190" s="238"/>
      <c r="D190" s="237"/>
      <c r="E190" s="237"/>
      <c r="F190" s="237"/>
      <c r="G190" s="234"/>
      <c r="H190" s="234"/>
      <c r="I190" s="234"/>
      <c r="J190" s="234"/>
      <c r="K190" s="234"/>
      <c r="L190" s="237"/>
      <c r="M190" s="237"/>
      <c r="N190" s="234"/>
      <c r="O190" s="239"/>
      <c r="P190" s="239"/>
      <c r="S190" s="406"/>
      <c r="T190" s="406"/>
    </row>
    <row r="191" spans="2:20" s="272" customFormat="1">
      <c r="B191" s="238"/>
      <c r="C191" s="238"/>
      <c r="D191" s="237"/>
      <c r="E191" s="237"/>
      <c r="F191" s="237"/>
      <c r="G191" s="234"/>
      <c r="H191" s="234"/>
      <c r="I191" s="234"/>
      <c r="J191" s="234"/>
      <c r="K191" s="234"/>
      <c r="L191" s="237"/>
      <c r="M191" s="237"/>
      <c r="N191" s="234"/>
      <c r="O191" s="239"/>
      <c r="P191" s="239"/>
      <c r="S191" s="406"/>
      <c r="T191" s="406"/>
    </row>
    <row r="192" spans="2:20" s="272" customFormat="1">
      <c r="B192" s="238"/>
      <c r="C192" s="238"/>
      <c r="D192" s="237"/>
      <c r="E192" s="237"/>
      <c r="F192" s="237"/>
      <c r="G192" s="234"/>
      <c r="H192" s="234"/>
      <c r="I192" s="234"/>
      <c r="J192" s="234"/>
      <c r="K192" s="234"/>
      <c r="L192" s="237"/>
      <c r="M192" s="237"/>
      <c r="N192" s="234"/>
      <c r="O192" s="239"/>
      <c r="P192" s="239"/>
      <c r="S192" s="406"/>
      <c r="T192" s="406"/>
    </row>
    <row r="193" spans="2:20" s="272" customFormat="1">
      <c r="B193" s="238"/>
      <c r="C193" s="238"/>
      <c r="D193" s="237"/>
      <c r="E193" s="237"/>
      <c r="F193" s="237"/>
      <c r="G193" s="234"/>
      <c r="H193" s="234"/>
      <c r="I193" s="234"/>
      <c r="J193" s="234"/>
      <c r="K193" s="234"/>
      <c r="L193" s="237"/>
      <c r="M193" s="237"/>
      <c r="N193" s="234"/>
      <c r="O193" s="239"/>
      <c r="P193" s="239"/>
      <c r="S193" s="406"/>
      <c r="T193" s="406"/>
    </row>
    <row r="194" spans="2:20" s="272" customFormat="1">
      <c r="B194" s="238"/>
      <c r="C194" s="238"/>
      <c r="D194" s="237"/>
      <c r="E194" s="237"/>
      <c r="F194" s="237"/>
      <c r="G194" s="234"/>
      <c r="H194" s="234"/>
      <c r="I194" s="234"/>
      <c r="J194" s="234"/>
      <c r="K194" s="234"/>
      <c r="L194" s="237"/>
      <c r="M194" s="237"/>
      <c r="N194" s="234"/>
      <c r="O194" s="239"/>
      <c r="P194" s="239"/>
      <c r="S194" s="406"/>
      <c r="T194" s="406"/>
    </row>
    <row r="195" spans="2:20" s="272" customFormat="1">
      <c r="B195" s="238"/>
      <c r="C195" s="238"/>
      <c r="D195" s="237"/>
      <c r="E195" s="237"/>
      <c r="F195" s="237"/>
      <c r="G195" s="234"/>
      <c r="H195" s="234"/>
      <c r="I195" s="234"/>
      <c r="J195" s="234"/>
      <c r="K195" s="234"/>
      <c r="L195" s="237"/>
      <c r="M195" s="237"/>
      <c r="N195" s="234"/>
      <c r="O195" s="239"/>
      <c r="P195" s="239"/>
      <c r="S195" s="406"/>
      <c r="T195" s="406"/>
    </row>
    <row r="196" spans="2:20" s="272" customFormat="1">
      <c r="B196" s="238"/>
      <c r="C196" s="238"/>
      <c r="D196" s="237"/>
      <c r="E196" s="237"/>
      <c r="F196" s="237"/>
      <c r="G196" s="234"/>
      <c r="H196" s="234"/>
      <c r="I196" s="234"/>
      <c r="J196" s="234"/>
      <c r="K196" s="234"/>
      <c r="L196" s="237"/>
      <c r="M196" s="237"/>
      <c r="N196" s="234"/>
      <c r="O196" s="239"/>
      <c r="P196" s="239"/>
      <c r="S196" s="406"/>
      <c r="T196" s="406"/>
    </row>
    <row r="197" spans="2:20" s="272" customFormat="1">
      <c r="B197" s="238"/>
      <c r="C197" s="238"/>
      <c r="D197" s="237"/>
      <c r="E197" s="237"/>
      <c r="F197" s="237"/>
      <c r="G197" s="234"/>
      <c r="H197" s="234"/>
      <c r="I197" s="234"/>
      <c r="J197" s="234"/>
      <c r="K197" s="234"/>
      <c r="L197" s="237"/>
      <c r="M197" s="237"/>
      <c r="N197" s="234"/>
      <c r="O197" s="239"/>
      <c r="P197" s="239"/>
      <c r="S197" s="406"/>
      <c r="T197" s="406"/>
    </row>
    <row r="198" spans="2:20" s="272" customFormat="1">
      <c r="B198" s="238"/>
      <c r="C198" s="238"/>
      <c r="D198" s="237"/>
      <c r="E198" s="237"/>
      <c r="F198" s="237"/>
      <c r="G198" s="234"/>
      <c r="H198" s="234"/>
      <c r="I198" s="234"/>
      <c r="J198" s="234"/>
      <c r="K198" s="234"/>
      <c r="L198" s="237"/>
      <c r="M198" s="237"/>
      <c r="N198" s="234"/>
      <c r="O198" s="239"/>
      <c r="P198" s="239"/>
      <c r="S198" s="406"/>
      <c r="T198" s="406"/>
    </row>
    <row r="199" spans="2:20" s="272" customFormat="1">
      <c r="B199" s="238"/>
      <c r="C199" s="238"/>
      <c r="D199" s="237"/>
      <c r="E199" s="237"/>
      <c r="F199" s="237"/>
      <c r="G199" s="234"/>
      <c r="H199" s="234"/>
      <c r="I199" s="234"/>
      <c r="J199" s="234"/>
      <c r="K199" s="234"/>
      <c r="L199" s="237"/>
      <c r="M199" s="237"/>
      <c r="N199" s="234"/>
      <c r="O199" s="239"/>
      <c r="P199" s="239"/>
      <c r="S199" s="406"/>
      <c r="T199" s="406"/>
    </row>
    <row r="200" spans="2:20" s="272" customFormat="1">
      <c r="B200" s="238"/>
      <c r="C200" s="238"/>
      <c r="D200" s="237"/>
      <c r="E200" s="237"/>
      <c r="F200" s="237"/>
      <c r="G200" s="234"/>
      <c r="H200" s="234"/>
      <c r="I200" s="234"/>
      <c r="J200" s="234"/>
      <c r="K200" s="234"/>
      <c r="L200" s="237"/>
      <c r="M200" s="237"/>
      <c r="N200" s="234"/>
      <c r="O200" s="239"/>
      <c r="P200" s="239"/>
      <c r="S200" s="406"/>
      <c r="T200" s="406"/>
    </row>
    <row r="201" spans="2:20" s="272" customFormat="1">
      <c r="B201" s="238"/>
      <c r="C201" s="238"/>
      <c r="D201" s="237"/>
      <c r="E201" s="237"/>
      <c r="F201" s="237"/>
      <c r="G201" s="234"/>
      <c r="H201" s="234"/>
      <c r="I201" s="234"/>
      <c r="J201" s="234"/>
      <c r="K201" s="234"/>
      <c r="L201" s="237"/>
      <c r="M201" s="237"/>
      <c r="N201" s="234"/>
      <c r="O201" s="239"/>
      <c r="P201" s="239"/>
      <c r="S201" s="406"/>
      <c r="T201" s="406"/>
    </row>
    <row r="202" spans="2:20" s="272" customFormat="1">
      <c r="B202" s="238"/>
      <c r="C202" s="238"/>
      <c r="D202" s="237"/>
      <c r="E202" s="237"/>
      <c r="F202" s="237"/>
      <c r="G202" s="234"/>
      <c r="H202" s="234"/>
      <c r="I202" s="234"/>
      <c r="J202" s="234"/>
      <c r="K202" s="234"/>
      <c r="L202" s="237"/>
      <c r="M202" s="237"/>
      <c r="N202" s="234"/>
      <c r="O202" s="239"/>
      <c r="P202" s="239"/>
      <c r="S202" s="406"/>
      <c r="T202" s="406"/>
    </row>
    <row r="203" spans="2:20" s="272" customFormat="1">
      <c r="B203" s="238"/>
      <c r="C203" s="238"/>
      <c r="D203" s="237"/>
      <c r="E203" s="237"/>
      <c r="F203" s="237"/>
      <c r="G203" s="234"/>
      <c r="H203" s="234"/>
      <c r="I203" s="234"/>
      <c r="J203" s="234"/>
      <c r="K203" s="234"/>
      <c r="L203" s="237"/>
      <c r="M203" s="237"/>
      <c r="N203" s="234"/>
      <c r="O203" s="239"/>
      <c r="P203" s="239"/>
      <c r="S203" s="406"/>
      <c r="T203" s="406"/>
    </row>
    <row r="204" spans="2:20" s="272" customFormat="1">
      <c r="B204" s="238"/>
      <c r="C204" s="238"/>
      <c r="D204" s="237"/>
      <c r="E204" s="237"/>
      <c r="F204" s="237"/>
      <c r="G204" s="234"/>
      <c r="H204" s="234"/>
      <c r="I204" s="234"/>
      <c r="J204" s="234"/>
      <c r="K204" s="234"/>
      <c r="L204" s="237"/>
      <c r="M204" s="237"/>
      <c r="N204" s="234"/>
      <c r="O204" s="239"/>
      <c r="P204" s="239"/>
      <c r="S204" s="406"/>
      <c r="T204" s="406"/>
    </row>
    <row r="205" spans="2:20" s="272" customFormat="1">
      <c r="B205" s="238"/>
      <c r="C205" s="238"/>
      <c r="D205" s="237"/>
      <c r="E205" s="237"/>
      <c r="F205" s="237"/>
      <c r="G205" s="234"/>
      <c r="H205" s="234"/>
      <c r="I205" s="234"/>
      <c r="J205" s="234"/>
      <c r="K205" s="234"/>
      <c r="L205" s="237"/>
      <c r="M205" s="237"/>
      <c r="N205" s="234"/>
      <c r="O205" s="239"/>
      <c r="P205" s="239"/>
      <c r="S205" s="406"/>
      <c r="T205" s="406"/>
    </row>
    <row r="206" spans="2:20" s="272" customFormat="1">
      <c r="B206" s="238"/>
      <c r="C206" s="238"/>
      <c r="D206" s="237"/>
      <c r="E206" s="237"/>
      <c r="F206" s="237"/>
      <c r="G206" s="234"/>
      <c r="H206" s="234"/>
      <c r="I206" s="234"/>
      <c r="J206" s="234"/>
      <c r="K206" s="234"/>
      <c r="L206" s="237"/>
      <c r="M206" s="237"/>
      <c r="N206" s="234"/>
      <c r="O206" s="239"/>
      <c r="P206" s="239"/>
      <c r="S206" s="406"/>
      <c r="T206" s="406"/>
    </row>
    <row r="207" spans="2:20" s="272" customFormat="1">
      <c r="B207" s="238"/>
      <c r="C207" s="238"/>
      <c r="D207" s="237"/>
      <c r="E207" s="237"/>
      <c r="F207" s="237"/>
      <c r="G207" s="234"/>
      <c r="H207" s="234"/>
      <c r="I207" s="234"/>
      <c r="J207" s="234"/>
      <c r="K207" s="234"/>
      <c r="L207" s="237"/>
      <c r="M207" s="237"/>
      <c r="N207" s="234"/>
      <c r="O207" s="239"/>
      <c r="P207" s="239"/>
      <c r="S207" s="406"/>
      <c r="T207" s="406"/>
    </row>
    <row r="208" spans="2:20" s="272" customFormat="1">
      <c r="B208" s="238"/>
      <c r="C208" s="238"/>
      <c r="D208" s="237"/>
      <c r="E208" s="237"/>
      <c r="F208" s="237"/>
      <c r="G208" s="234"/>
      <c r="H208" s="234"/>
      <c r="I208" s="234"/>
      <c r="J208" s="234"/>
      <c r="K208" s="234"/>
      <c r="L208" s="237"/>
      <c r="M208" s="237"/>
      <c r="N208" s="234"/>
      <c r="O208" s="239"/>
      <c r="P208" s="239"/>
      <c r="S208" s="406"/>
      <c r="T208" s="406"/>
    </row>
    <row r="209" spans="2:20" s="272" customFormat="1">
      <c r="B209" s="238"/>
      <c r="C209" s="238"/>
      <c r="D209" s="237"/>
      <c r="E209" s="237"/>
      <c r="F209" s="237"/>
      <c r="G209" s="234"/>
      <c r="H209" s="234"/>
      <c r="I209" s="234"/>
      <c r="J209" s="234"/>
      <c r="K209" s="234"/>
      <c r="L209" s="237"/>
      <c r="M209" s="237"/>
      <c r="N209" s="234"/>
      <c r="O209" s="239"/>
      <c r="P209" s="239"/>
      <c r="S209" s="406"/>
      <c r="T209" s="406"/>
    </row>
    <row r="210" spans="2:20" s="272" customFormat="1">
      <c r="B210" s="238"/>
      <c r="C210" s="238"/>
      <c r="D210" s="237"/>
      <c r="E210" s="237"/>
      <c r="F210" s="237"/>
      <c r="G210" s="234"/>
      <c r="H210" s="234"/>
      <c r="I210" s="234"/>
      <c r="J210" s="234"/>
      <c r="K210" s="234"/>
      <c r="L210" s="237"/>
      <c r="M210" s="237"/>
      <c r="N210" s="234"/>
      <c r="O210" s="239"/>
      <c r="P210" s="239"/>
      <c r="S210" s="406"/>
      <c r="T210" s="406"/>
    </row>
    <row r="211" spans="2:20" s="272" customFormat="1">
      <c r="B211" s="238"/>
      <c r="C211" s="238"/>
      <c r="D211" s="237"/>
      <c r="E211" s="237"/>
      <c r="F211" s="237"/>
      <c r="G211" s="234"/>
      <c r="H211" s="234"/>
      <c r="I211" s="234"/>
      <c r="J211" s="234"/>
      <c r="K211" s="234"/>
      <c r="L211" s="237"/>
      <c r="M211" s="237"/>
      <c r="N211" s="234"/>
      <c r="O211" s="239"/>
      <c r="P211" s="239"/>
      <c r="S211" s="406"/>
      <c r="T211" s="406"/>
    </row>
    <row r="212" spans="2:20" s="272" customFormat="1">
      <c r="B212" s="238"/>
      <c r="C212" s="238"/>
      <c r="D212" s="237"/>
      <c r="E212" s="237"/>
      <c r="F212" s="237"/>
      <c r="G212" s="234"/>
      <c r="H212" s="234"/>
      <c r="I212" s="234"/>
      <c r="J212" s="234"/>
      <c r="K212" s="234"/>
      <c r="L212" s="237"/>
      <c r="M212" s="237"/>
      <c r="N212" s="234"/>
      <c r="O212" s="239"/>
      <c r="P212" s="239"/>
      <c r="S212" s="406"/>
      <c r="T212" s="406"/>
    </row>
    <row r="213" spans="2:20" s="272" customFormat="1">
      <c r="B213" s="238"/>
      <c r="C213" s="238"/>
      <c r="D213" s="237"/>
      <c r="E213" s="237"/>
      <c r="F213" s="237"/>
      <c r="G213" s="234"/>
      <c r="H213" s="234"/>
      <c r="I213" s="234"/>
      <c r="J213" s="234"/>
      <c r="K213" s="234"/>
      <c r="L213" s="237"/>
      <c r="M213" s="237"/>
      <c r="N213" s="234"/>
      <c r="O213" s="239"/>
      <c r="P213" s="239"/>
      <c r="S213" s="406"/>
      <c r="T213" s="406"/>
    </row>
    <row r="214" spans="2:20" s="272" customFormat="1">
      <c r="B214" s="238"/>
      <c r="C214" s="238"/>
      <c r="D214" s="237"/>
      <c r="E214" s="237"/>
      <c r="F214" s="237"/>
      <c r="G214" s="234"/>
      <c r="H214" s="234"/>
      <c r="I214" s="234"/>
      <c r="J214" s="234"/>
      <c r="K214" s="234"/>
      <c r="L214" s="237"/>
      <c r="M214" s="237"/>
      <c r="N214" s="234"/>
      <c r="O214" s="239"/>
      <c r="P214" s="239"/>
      <c r="S214" s="406"/>
      <c r="T214" s="406"/>
    </row>
    <row r="215" spans="2:20" s="272" customFormat="1">
      <c r="B215" s="238"/>
      <c r="C215" s="238"/>
      <c r="D215" s="237"/>
      <c r="E215" s="237"/>
      <c r="F215" s="237"/>
      <c r="G215" s="234"/>
      <c r="H215" s="234"/>
      <c r="I215" s="234"/>
      <c r="J215" s="234"/>
      <c r="K215" s="234"/>
      <c r="L215" s="237"/>
      <c r="M215" s="237"/>
      <c r="N215" s="234"/>
      <c r="O215" s="239"/>
      <c r="P215" s="239"/>
      <c r="S215" s="406"/>
      <c r="T215" s="406"/>
    </row>
    <row r="216" spans="2:20" s="272" customFormat="1">
      <c r="B216" s="238"/>
      <c r="C216" s="238"/>
      <c r="D216" s="237"/>
      <c r="E216" s="237"/>
      <c r="F216" s="237"/>
      <c r="G216" s="234"/>
      <c r="H216" s="234"/>
      <c r="I216" s="234"/>
      <c r="J216" s="234"/>
      <c r="K216" s="234"/>
      <c r="L216" s="237"/>
      <c r="M216" s="237"/>
      <c r="N216" s="234"/>
      <c r="O216" s="239"/>
      <c r="P216" s="239"/>
      <c r="S216" s="406"/>
      <c r="T216" s="406"/>
    </row>
    <row r="217" spans="2:20" s="272" customFormat="1">
      <c r="B217" s="238"/>
      <c r="C217" s="238"/>
      <c r="D217" s="237"/>
      <c r="E217" s="237"/>
      <c r="F217" s="237"/>
      <c r="G217" s="234"/>
      <c r="H217" s="234"/>
      <c r="I217" s="234"/>
      <c r="J217" s="234"/>
      <c r="K217" s="234"/>
      <c r="L217" s="237"/>
      <c r="M217" s="237"/>
      <c r="N217" s="234"/>
      <c r="O217" s="239"/>
      <c r="P217" s="239"/>
      <c r="S217" s="406"/>
      <c r="T217" s="406"/>
    </row>
    <row r="218" spans="2:20" s="272" customFormat="1">
      <c r="B218" s="238"/>
      <c r="C218" s="238"/>
      <c r="D218" s="237"/>
      <c r="E218" s="237"/>
      <c r="F218" s="237"/>
      <c r="G218" s="234"/>
      <c r="H218" s="234"/>
      <c r="I218" s="234"/>
      <c r="J218" s="234"/>
      <c r="K218" s="234"/>
      <c r="L218" s="237"/>
      <c r="M218" s="237"/>
      <c r="N218" s="234"/>
      <c r="O218" s="239"/>
      <c r="P218" s="239"/>
      <c r="S218" s="406"/>
      <c r="T218" s="406"/>
    </row>
    <row r="219" spans="2:20" s="272" customFormat="1">
      <c r="B219" s="238"/>
      <c r="C219" s="238"/>
      <c r="D219" s="237"/>
      <c r="E219" s="237"/>
      <c r="F219" s="237"/>
      <c r="G219" s="234"/>
      <c r="H219" s="234"/>
      <c r="I219" s="234"/>
      <c r="J219" s="234"/>
      <c r="K219" s="234"/>
      <c r="L219" s="237"/>
      <c r="M219" s="237"/>
      <c r="N219" s="234"/>
      <c r="O219" s="239"/>
      <c r="P219" s="239"/>
      <c r="S219" s="406"/>
      <c r="T219" s="406"/>
    </row>
    <row r="220" spans="2:20" s="272" customFormat="1">
      <c r="B220" s="238"/>
      <c r="C220" s="238"/>
      <c r="D220" s="237"/>
      <c r="E220" s="237"/>
      <c r="F220" s="237"/>
      <c r="G220" s="234"/>
      <c r="H220" s="234"/>
      <c r="I220" s="234"/>
      <c r="J220" s="234"/>
      <c r="K220" s="234"/>
      <c r="L220" s="237"/>
      <c r="M220" s="237"/>
      <c r="N220" s="234"/>
      <c r="O220" s="239"/>
      <c r="P220" s="239"/>
      <c r="S220" s="406"/>
      <c r="T220" s="406"/>
    </row>
    <row r="221" spans="2:20" s="272" customFormat="1">
      <c r="B221" s="238"/>
      <c r="C221" s="238"/>
      <c r="D221" s="237"/>
      <c r="E221" s="237"/>
      <c r="F221" s="237"/>
      <c r="G221" s="234"/>
      <c r="H221" s="234"/>
      <c r="I221" s="234"/>
      <c r="J221" s="234"/>
      <c r="K221" s="234"/>
      <c r="L221" s="237"/>
      <c r="M221" s="237"/>
      <c r="N221" s="234"/>
      <c r="O221" s="239"/>
      <c r="P221" s="239"/>
      <c r="S221" s="406"/>
      <c r="T221" s="406"/>
    </row>
    <row r="222" spans="2:20" s="272" customFormat="1">
      <c r="B222" s="238"/>
      <c r="C222" s="238"/>
      <c r="D222" s="237"/>
      <c r="E222" s="237"/>
      <c r="F222" s="237"/>
      <c r="G222" s="234"/>
      <c r="H222" s="234"/>
      <c r="I222" s="234"/>
      <c r="J222" s="234"/>
      <c r="K222" s="234"/>
      <c r="L222" s="237"/>
      <c r="M222" s="237"/>
      <c r="N222" s="234"/>
      <c r="O222" s="239"/>
      <c r="P222" s="239"/>
      <c r="S222" s="406"/>
      <c r="T222" s="406"/>
    </row>
    <row r="223" spans="2:20" s="272" customFormat="1">
      <c r="B223" s="238"/>
      <c r="C223" s="238"/>
      <c r="D223" s="237"/>
      <c r="E223" s="237"/>
      <c r="F223" s="237"/>
      <c r="G223" s="234"/>
      <c r="H223" s="234"/>
      <c r="I223" s="234"/>
      <c r="J223" s="234"/>
      <c r="K223" s="234"/>
      <c r="L223" s="237"/>
      <c r="M223" s="237"/>
      <c r="N223" s="234"/>
      <c r="O223" s="239"/>
      <c r="P223" s="239"/>
      <c r="S223" s="406"/>
      <c r="T223" s="406"/>
    </row>
    <row r="224" spans="2:20" s="272" customFormat="1">
      <c r="B224" s="238"/>
      <c r="C224" s="238"/>
      <c r="D224" s="237"/>
      <c r="E224" s="237"/>
      <c r="F224" s="237"/>
      <c r="G224" s="234"/>
      <c r="H224" s="234"/>
      <c r="I224" s="234"/>
      <c r="J224" s="234"/>
      <c r="K224" s="234"/>
      <c r="L224" s="237"/>
      <c r="M224" s="237"/>
      <c r="N224" s="234"/>
      <c r="O224" s="239"/>
      <c r="P224" s="239"/>
      <c r="S224" s="406"/>
      <c r="T224" s="406"/>
    </row>
    <row r="225" spans="2:20" s="272" customFormat="1">
      <c r="B225" s="238"/>
      <c r="C225" s="238"/>
      <c r="D225" s="237"/>
      <c r="E225" s="237"/>
      <c r="F225" s="237"/>
      <c r="G225" s="234"/>
      <c r="H225" s="234"/>
      <c r="I225" s="234"/>
      <c r="J225" s="234"/>
      <c r="K225" s="234"/>
      <c r="L225" s="237"/>
      <c r="M225" s="237"/>
      <c r="N225" s="234"/>
      <c r="O225" s="239"/>
      <c r="P225" s="239"/>
      <c r="S225" s="406"/>
      <c r="T225" s="406"/>
    </row>
    <row r="226" spans="2:20" s="272" customFormat="1">
      <c r="B226" s="238"/>
      <c r="C226" s="238"/>
      <c r="D226" s="237"/>
      <c r="E226" s="237"/>
      <c r="F226" s="237"/>
      <c r="G226" s="234"/>
      <c r="H226" s="234"/>
      <c r="I226" s="234"/>
      <c r="J226" s="234"/>
      <c r="K226" s="234"/>
      <c r="L226" s="237"/>
      <c r="M226" s="237"/>
      <c r="N226" s="234"/>
      <c r="O226" s="239"/>
      <c r="P226" s="239"/>
      <c r="S226" s="406"/>
      <c r="T226" s="406"/>
    </row>
    <row r="227" spans="2:20" s="272" customFormat="1">
      <c r="B227" s="238"/>
      <c r="C227" s="238"/>
      <c r="D227" s="237"/>
      <c r="E227" s="237"/>
      <c r="F227" s="237"/>
      <c r="G227" s="234"/>
      <c r="H227" s="234"/>
      <c r="I227" s="234"/>
      <c r="J227" s="234"/>
      <c r="K227" s="234"/>
      <c r="L227" s="237"/>
      <c r="M227" s="237"/>
      <c r="N227" s="234"/>
      <c r="O227" s="239"/>
      <c r="P227" s="239"/>
      <c r="S227" s="406"/>
      <c r="T227" s="406"/>
    </row>
    <row r="228" spans="2:20" s="272" customFormat="1">
      <c r="B228" s="238"/>
      <c r="C228" s="238"/>
      <c r="D228" s="237"/>
      <c r="E228" s="237"/>
      <c r="F228" s="237"/>
      <c r="G228" s="234"/>
      <c r="H228" s="234"/>
      <c r="I228" s="234"/>
      <c r="J228" s="234"/>
      <c r="K228" s="234"/>
      <c r="L228" s="237"/>
      <c r="M228" s="237"/>
      <c r="N228" s="234"/>
      <c r="O228" s="239"/>
      <c r="P228" s="239"/>
      <c r="S228" s="406"/>
      <c r="T228" s="406"/>
    </row>
    <row r="229" spans="2:20" s="272" customFormat="1">
      <c r="B229" s="238"/>
      <c r="C229" s="238"/>
      <c r="D229" s="237"/>
      <c r="E229" s="237"/>
      <c r="F229" s="237"/>
      <c r="G229" s="234"/>
      <c r="H229" s="234"/>
      <c r="I229" s="234"/>
      <c r="J229" s="234"/>
      <c r="K229" s="234"/>
      <c r="L229" s="237"/>
      <c r="M229" s="237"/>
      <c r="N229" s="234"/>
      <c r="O229" s="239"/>
      <c r="P229" s="239"/>
      <c r="S229" s="406"/>
      <c r="T229" s="406"/>
    </row>
    <row r="230" spans="2:20" s="272" customFormat="1">
      <c r="B230" s="238"/>
      <c r="C230" s="238"/>
      <c r="D230" s="237"/>
      <c r="E230" s="237"/>
      <c r="F230" s="237"/>
      <c r="G230" s="234"/>
      <c r="H230" s="234"/>
      <c r="I230" s="234"/>
      <c r="J230" s="234"/>
      <c r="K230" s="234"/>
      <c r="L230" s="237"/>
      <c r="M230" s="237"/>
      <c r="N230" s="234"/>
      <c r="O230" s="239"/>
      <c r="P230" s="239"/>
      <c r="S230" s="406"/>
      <c r="T230" s="406"/>
    </row>
    <row r="231" spans="2:20" s="272" customFormat="1">
      <c r="B231" s="238"/>
      <c r="C231" s="238"/>
      <c r="D231" s="237"/>
      <c r="E231" s="237"/>
      <c r="F231" s="237"/>
      <c r="G231" s="234"/>
      <c r="H231" s="234"/>
      <c r="I231" s="234"/>
      <c r="J231" s="234"/>
      <c r="K231" s="234"/>
      <c r="L231" s="237"/>
      <c r="M231" s="237"/>
      <c r="N231" s="234"/>
      <c r="O231" s="239"/>
      <c r="P231" s="239"/>
      <c r="S231" s="406"/>
      <c r="T231" s="406"/>
    </row>
    <row r="232" spans="2:20" s="272" customFormat="1">
      <c r="B232" s="238"/>
      <c r="C232" s="238"/>
      <c r="D232" s="237"/>
      <c r="E232" s="237"/>
      <c r="F232" s="237"/>
      <c r="G232" s="234"/>
      <c r="H232" s="234"/>
      <c r="I232" s="234"/>
      <c r="J232" s="234"/>
      <c r="K232" s="234"/>
      <c r="L232" s="237"/>
      <c r="M232" s="237"/>
      <c r="N232" s="234"/>
      <c r="O232" s="239"/>
      <c r="P232" s="239"/>
      <c r="S232" s="406"/>
      <c r="T232" s="406"/>
    </row>
    <row r="233" spans="2:20" s="272" customFormat="1">
      <c r="B233" s="238"/>
      <c r="C233" s="238"/>
      <c r="D233" s="237"/>
      <c r="E233" s="237"/>
      <c r="F233" s="237"/>
      <c r="G233" s="234"/>
      <c r="H233" s="234"/>
      <c r="I233" s="234"/>
      <c r="J233" s="234"/>
      <c r="K233" s="234"/>
      <c r="L233" s="237"/>
      <c r="M233" s="237"/>
      <c r="N233" s="234"/>
      <c r="O233" s="239"/>
      <c r="P233" s="239"/>
      <c r="S233" s="406"/>
      <c r="T233" s="406"/>
    </row>
    <row r="234" spans="2:20" s="272" customFormat="1">
      <c r="B234" s="238"/>
      <c r="C234" s="238"/>
      <c r="D234" s="237"/>
      <c r="E234" s="237"/>
      <c r="F234" s="237"/>
      <c r="G234" s="234"/>
      <c r="H234" s="234"/>
      <c r="I234" s="234"/>
      <c r="J234" s="234"/>
      <c r="K234" s="234"/>
      <c r="L234" s="237"/>
      <c r="M234" s="237"/>
      <c r="N234" s="234"/>
      <c r="O234" s="239"/>
      <c r="P234" s="239"/>
      <c r="S234" s="406"/>
      <c r="T234" s="406"/>
    </row>
    <row r="235" spans="2:20" s="272" customFormat="1">
      <c r="B235" s="238"/>
      <c r="C235" s="238"/>
      <c r="D235" s="237"/>
      <c r="E235" s="237"/>
      <c r="F235" s="237"/>
      <c r="G235" s="234"/>
      <c r="H235" s="234"/>
      <c r="I235" s="234"/>
      <c r="J235" s="234"/>
      <c r="K235" s="234"/>
      <c r="L235" s="237"/>
      <c r="M235" s="237"/>
      <c r="N235" s="234"/>
      <c r="O235" s="239"/>
      <c r="P235" s="239"/>
      <c r="S235" s="406"/>
      <c r="T235" s="406"/>
    </row>
    <row r="236" spans="2:20" s="272" customFormat="1">
      <c r="B236" s="238"/>
      <c r="C236" s="238"/>
      <c r="D236" s="237"/>
      <c r="E236" s="237"/>
      <c r="F236" s="237"/>
      <c r="G236" s="234"/>
      <c r="H236" s="234"/>
      <c r="I236" s="234"/>
      <c r="J236" s="234"/>
      <c r="K236" s="234"/>
      <c r="L236" s="237"/>
      <c r="M236" s="237"/>
      <c r="N236" s="234"/>
      <c r="O236" s="239"/>
      <c r="P236" s="239"/>
      <c r="S236" s="406"/>
      <c r="T236" s="406"/>
    </row>
    <row r="237" spans="2:20" s="272" customFormat="1">
      <c r="B237" s="238"/>
      <c r="C237" s="238"/>
      <c r="D237" s="237"/>
      <c r="E237" s="237"/>
      <c r="F237" s="237"/>
      <c r="G237" s="234"/>
      <c r="H237" s="234"/>
      <c r="I237" s="234"/>
      <c r="J237" s="234"/>
      <c r="K237" s="234"/>
      <c r="L237" s="237"/>
      <c r="M237" s="237"/>
      <c r="N237" s="234"/>
      <c r="O237" s="239"/>
      <c r="P237" s="239"/>
      <c r="S237" s="406"/>
      <c r="T237" s="406"/>
    </row>
    <row r="238" spans="2:20" s="272" customFormat="1">
      <c r="B238" s="238"/>
      <c r="C238" s="238"/>
      <c r="D238" s="237"/>
      <c r="E238" s="237"/>
      <c r="F238" s="237"/>
      <c r="G238" s="234"/>
      <c r="H238" s="234"/>
      <c r="I238" s="234"/>
      <c r="J238" s="234"/>
      <c r="K238" s="234"/>
      <c r="L238" s="237"/>
      <c r="M238" s="237"/>
      <c r="N238" s="234"/>
      <c r="O238" s="239"/>
      <c r="P238" s="239"/>
      <c r="S238" s="406"/>
      <c r="T238" s="406"/>
    </row>
    <row r="239" spans="2:20" s="272" customFormat="1">
      <c r="B239" s="238"/>
      <c r="C239" s="238"/>
      <c r="D239" s="237"/>
      <c r="E239" s="237"/>
      <c r="F239" s="237"/>
      <c r="G239" s="234"/>
      <c r="H239" s="234"/>
      <c r="I239" s="234"/>
      <c r="J239" s="234"/>
      <c r="K239" s="234"/>
      <c r="L239" s="237"/>
      <c r="M239" s="237"/>
      <c r="N239" s="234"/>
      <c r="O239" s="239"/>
      <c r="P239" s="239"/>
      <c r="S239" s="406"/>
      <c r="T239" s="406"/>
    </row>
    <row r="240" spans="2:20" s="272" customFormat="1">
      <c r="B240" s="238"/>
      <c r="C240" s="238"/>
      <c r="D240" s="237"/>
      <c r="E240" s="237"/>
      <c r="F240" s="237"/>
      <c r="G240" s="234"/>
      <c r="H240" s="234"/>
      <c r="I240" s="234"/>
      <c r="J240" s="234"/>
      <c r="K240" s="234"/>
      <c r="L240" s="237"/>
      <c r="M240" s="237"/>
      <c r="N240" s="234"/>
      <c r="O240" s="239"/>
      <c r="P240" s="239"/>
      <c r="S240" s="406"/>
      <c r="T240" s="406"/>
    </row>
    <row r="241" spans="2:20" s="272" customFormat="1">
      <c r="B241" s="238"/>
      <c r="C241" s="238"/>
      <c r="D241" s="237"/>
      <c r="E241" s="237"/>
      <c r="F241" s="237"/>
      <c r="G241" s="234"/>
      <c r="H241" s="234"/>
      <c r="I241" s="234"/>
      <c r="J241" s="234"/>
      <c r="K241" s="234"/>
      <c r="L241" s="237"/>
      <c r="M241" s="237"/>
      <c r="N241" s="234"/>
      <c r="O241" s="239"/>
      <c r="P241" s="239"/>
      <c r="S241" s="406"/>
      <c r="T241" s="406"/>
    </row>
    <row r="242" spans="2:20" s="272" customFormat="1">
      <c r="B242" s="238"/>
      <c r="C242" s="238"/>
      <c r="D242" s="237"/>
      <c r="E242" s="237"/>
      <c r="F242" s="237"/>
      <c r="G242" s="234"/>
      <c r="H242" s="234"/>
      <c r="I242" s="234"/>
      <c r="J242" s="234"/>
      <c r="K242" s="234"/>
      <c r="L242" s="237"/>
      <c r="M242" s="237"/>
      <c r="N242" s="234"/>
      <c r="O242" s="239"/>
      <c r="P242" s="239"/>
      <c r="S242" s="406"/>
      <c r="T242" s="406"/>
    </row>
    <row r="243" spans="2:20" s="272" customFormat="1">
      <c r="B243" s="238"/>
      <c r="C243" s="238"/>
      <c r="D243" s="237"/>
      <c r="E243" s="237"/>
      <c r="F243" s="237"/>
      <c r="G243" s="234"/>
      <c r="H243" s="234"/>
      <c r="I243" s="234"/>
      <c r="J243" s="234"/>
      <c r="K243" s="234"/>
      <c r="L243" s="237"/>
      <c r="M243" s="237"/>
      <c r="N243" s="234"/>
      <c r="O243" s="239"/>
      <c r="P243" s="239"/>
      <c r="S243" s="406"/>
      <c r="T243" s="406"/>
    </row>
    <row r="244" spans="2:20" s="272" customFormat="1">
      <c r="B244" s="238"/>
      <c r="C244" s="238"/>
      <c r="D244" s="237"/>
      <c r="E244" s="237"/>
      <c r="F244" s="237"/>
      <c r="G244" s="234"/>
      <c r="H244" s="234"/>
      <c r="I244" s="234"/>
      <c r="J244" s="234"/>
      <c r="K244" s="234"/>
      <c r="L244" s="237"/>
      <c r="M244" s="237"/>
      <c r="N244" s="234"/>
      <c r="O244" s="239"/>
      <c r="P244" s="239"/>
      <c r="S244" s="406"/>
      <c r="T244" s="406"/>
    </row>
    <row r="245" spans="2:20" s="272" customFormat="1">
      <c r="B245" s="238"/>
      <c r="C245" s="238"/>
      <c r="D245" s="237"/>
      <c r="E245" s="237"/>
      <c r="F245" s="237"/>
      <c r="G245" s="234"/>
      <c r="H245" s="234"/>
      <c r="I245" s="234"/>
      <c r="J245" s="234"/>
      <c r="K245" s="234"/>
      <c r="L245" s="237"/>
      <c r="M245" s="237"/>
      <c r="N245" s="234"/>
      <c r="O245" s="239"/>
      <c r="P245" s="239"/>
      <c r="S245" s="406"/>
      <c r="T245" s="406"/>
    </row>
    <row r="246" spans="2:20" s="272" customFormat="1">
      <c r="B246" s="238"/>
      <c r="C246" s="238"/>
      <c r="D246" s="237"/>
      <c r="E246" s="237"/>
      <c r="F246" s="237"/>
      <c r="G246" s="234"/>
      <c r="H246" s="234"/>
      <c r="I246" s="234"/>
      <c r="J246" s="234"/>
      <c r="K246" s="234"/>
      <c r="L246" s="237"/>
      <c r="M246" s="237"/>
      <c r="N246" s="234"/>
      <c r="O246" s="239"/>
      <c r="P246" s="239"/>
      <c r="S246" s="406"/>
      <c r="T246" s="406"/>
    </row>
    <row r="247" spans="2:20" s="272" customFormat="1">
      <c r="B247" s="238"/>
      <c r="C247" s="238"/>
      <c r="D247" s="237"/>
      <c r="E247" s="237"/>
      <c r="F247" s="237"/>
      <c r="G247" s="234"/>
      <c r="H247" s="234"/>
      <c r="I247" s="234"/>
      <c r="J247" s="234"/>
      <c r="K247" s="234"/>
      <c r="L247" s="237"/>
      <c r="M247" s="237"/>
      <c r="N247" s="234"/>
      <c r="O247" s="239"/>
      <c r="P247" s="239"/>
      <c r="S247" s="406"/>
      <c r="T247" s="406"/>
    </row>
    <row r="248" spans="2:20" s="272" customFormat="1">
      <c r="B248" s="238"/>
      <c r="C248" s="238"/>
      <c r="D248" s="237"/>
      <c r="E248" s="237"/>
      <c r="F248" s="237"/>
      <c r="G248" s="234"/>
      <c r="H248" s="234"/>
      <c r="I248" s="234"/>
      <c r="J248" s="234"/>
      <c r="K248" s="234"/>
      <c r="L248" s="237"/>
      <c r="M248" s="237"/>
      <c r="N248" s="234"/>
      <c r="O248" s="239"/>
      <c r="P248" s="239"/>
      <c r="S248" s="406"/>
      <c r="T248" s="406"/>
    </row>
    <row r="249" spans="2:20" s="272" customFormat="1">
      <c r="B249" s="238"/>
      <c r="C249" s="238"/>
      <c r="D249" s="237"/>
      <c r="E249" s="237"/>
      <c r="F249" s="237"/>
      <c r="G249" s="234"/>
      <c r="H249" s="234"/>
      <c r="I249" s="234"/>
      <c r="J249" s="234"/>
      <c r="K249" s="234"/>
      <c r="L249" s="237"/>
      <c r="M249" s="237"/>
      <c r="N249" s="234"/>
      <c r="O249" s="239"/>
      <c r="P249" s="239"/>
      <c r="S249" s="406"/>
      <c r="T249" s="406"/>
    </row>
    <row r="250" spans="2:20" s="272" customFormat="1">
      <c r="B250" s="238"/>
      <c r="C250" s="238"/>
      <c r="D250" s="237"/>
      <c r="E250" s="237"/>
      <c r="F250" s="237"/>
      <c r="G250" s="234"/>
      <c r="H250" s="234"/>
      <c r="I250" s="234"/>
      <c r="J250" s="234"/>
      <c r="K250" s="234"/>
      <c r="L250" s="237"/>
      <c r="M250" s="237"/>
      <c r="N250" s="234"/>
      <c r="O250" s="239"/>
      <c r="P250" s="239"/>
      <c r="S250" s="406"/>
      <c r="T250" s="406"/>
    </row>
    <row r="251" spans="2:20" s="272" customFormat="1">
      <c r="B251" s="238"/>
      <c r="C251" s="238"/>
      <c r="D251" s="237"/>
      <c r="E251" s="237"/>
      <c r="F251" s="237"/>
      <c r="G251" s="234"/>
      <c r="H251" s="234"/>
      <c r="I251" s="234"/>
      <c r="J251" s="234"/>
      <c r="K251" s="234"/>
      <c r="L251" s="237"/>
      <c r="M251" s="237"/>
      <c r="N251" s="234"/>
      <c r="O251" s="239"/>
      <c r="P251" s="239"/>
      <c r="S251" s="406"/>
      <c r="T251" s="406"/>
    </row>
    <row r="252" spans="2:20" s="272" customFormat="1">
      <c r="B252" s="238"/>
      <c r="C252" s="238"/>
      <c r="D252" s="237"/>
      <c r="E252" s="237"/>
      <c r="F252" s="237"/>
      <c r="G252" s="234"/>
      <c r="H252" s="234"/>
      <c r="I252" s="234"/>
      <c r="J252" s="234"/>
      <c r="K252" s="234"/>
      <c r="L252" s="237"/>
      <c r="M252" s="237"/>
      <c r="N252" s="234"/>
      <c r="O252" s="239"/>
      <c r="P252" s="239"/>
      <c r="S252" s="406"/>
      <c r="T252" s="406"/>
    </row>
    <row r="253" spans="2:20" s="272" customFormat="1">
      <c r="B253" s="238"/>
      <c r="C253" s="238"/>
      <c r="D253" s="237"/>
      <c r="E253" s="237"/>
      <c r="F253" s="237"/>
      <c r="G253" s="234"/>
      <c r="H253" s="234"/>
      <c r="I253" s="234"/>
      <c r="J253" s="234"/>
      <c r="K253" s="234"/>
      <c r="L253" s="237"/>
      <c r="M253" s="237"/>
      <c r="N253" s="234"/>
      <c r="O253" s="239"/>
      <c r="P253" s="239"/>
      <c r="S253" s="406"/>
      <c r="T253" s="406"/>
    </row>
    <row r="254" spans="2:20" s="272" customFormat="1">
      <c r="B254" s="238"/>
      <c r="C254" s="238"/>
      <c r="D254" s="237"/>
      <c r="E254" s="237"/>
      <c r="F254" s="237"/>
      <c r="G254" s="234"/>
      <c r="H254" s="234"/>
      <c r="I254" s="234"/>
      <c r="J254" s="234"/>
      <c r="K254" s="234"/>
      <c r="L254" s="237"/>
      <c r="M254" s="237"/>
      <c r="N254" s="234"/>
      <c r="O254" s="239"/>
      <c r="P254" s="239"/>
      <c r="S254" s="406"/>
      <c r="T254" s="406"/>
    </row>
    <row r="255" spans="2:20" s="272" customFormat="1">
      <c r="B255" s="238"/>
      <c r="C255" s="238"/>
      <c r="D255" s="237"/>
      <c r="E255" s="237"/>
      <c r="F255" s="237"/>
      <c r="G255" s="234"/>
      <c r="H255" s="234"/>
      <c r="I255" s="234"/>
      <c r="J255" s="234"/>
      <c r="K255" s="234"/>
      <c r="L255" s="237"/>
      <c r="M255" s="237"/>
      <c r="N255" s="234"/>
      <c r="O255" s="239"/>
      <c r="P255" s="239"/>
      <c r="S255" s="406"/>
      <c r="T255" s="406"/>
    </row>
    <row r="256" spans="2:20" s="272" customFormat="1">
      <c r="B256" s="238"/>
      <c r="C256" s="238"/>
      <c r="D256" s="237"/>
      <c r="E256" s="237"/>
      <c r="F256" s="237"/>
      <c r="G256" s="234"/>
      <c r="H256" s="234"/>
      <c r="I256" s="234"/>
      <c r="J256" s="234"/>
      <c r="K256" s="234"/>
      <c r="L256" s="237"/>
      <c r="M256" s="237"/>
      <c r="N256" s="234"/>
      <c r="O256" s="239"/>
      <c r="P256" s="239"/>
      <c r="S256" s="406"/>
      <c r="T256" s="406"/>
    </row>
    <row r="257" spans="2:20" s="272" customFormat="1">
      <c r="B257" s="238"/>
      <c r="C257" s="238"/>
      <c r="D257" s="237"/>
      <c r="E257" s="237"/>
      <c r="F257" s="237"/>
      <c r="G257" s="234"/>
      <c r="H257" s="234"/>
      <c r="I257" s="234"/>
      <c r="J257" s="234"/>
      <c r="K257" s="234"/>
      <c r="L257" s="237"/>
      <c r="M257" s="237"/>
      <c r="N257" s="234"/>
      <c r="O257" s="239"/>
      <c r="P257" s="239"/>
      <c r="S257" s="406"/>
      <c r="T257" s="406"/>
    </row>
    <row r="258" spans="2:20" s="272" customFormat="1">
      <c r="B258" s="238"/>
      <c r="C258" s="238"/>
      <c r="D258" s="237"/>
      <c r="E258" s="237"/>
      <c r="F258" s="237"/>
      <c r="G258" s="234"/>
      <c r="H258" s="234"/>
      <c r="I258" s="234"/>
      <c r="J258" s="234"/>
      <c r="K258" s="234"/>
      <c r="L258" s="237"/>
      <c r="M258" s="237"/>
      <c r="N258" s="234"/>
      <c r="O258" s="239"/>
      <c r="P258" s="239"/>
      <c r="S258" s="406"/>
      <c r="T258" s="406"/>
    </row>
    <row r="259" spans="2:20" s="272" customFormat="1">
      <c r="B259" s="238"/>
      <c r="C259" s="238"/>
      <c r="D259" s="237"/>
      <c r="E259" s="237"/>
      <c r="F259" s="237"/>
      <c r="G259" s="234"/>
      <c r="H259" s="234"/>
      <c r="I259" s="234"/>
      <c r="J259" s="234"/>
      <c r="K259" s="234"/>
      <c r="L259" s="237"/>
      <c r="M259" s="237"/>
      <c r="N259" s="234"/>
      <c r="O259" s="239"/>
      <c r="P259" s="239"/>
      <c r="S259" s="406"/>
      <c r="T259" s="406"/>
    </row>
    <row r="260" spans="2:20" s="272" customFormat="1">
      <c r="B260" s="238"/>
      <c r="C260" s="238"/>
      <c r="D260" s="237"/>
      <c r="E260" s="237"/>
      <c r="F260" s="237"/>
      <c r="G260" s="234"/>
      <c r="H260" s="234"/>
      <c r="I260" s="234"/>
      <c r="J260" s="234"/>
      <c r="K260" s="234"/>
      <c r="L260" s="237"/>
      <c r="M260" s="237"/>
      <c r="N260" s="234"/>
      <c r="O260" s="239"/>
      <c r="P260" s="239"/>
      <c r="S260" s="406"/>
      <c r="T260" s="406"/>
    </row>
    <row r="261" spans="2:20" s="272" customFormat="1">
      <c r="B261" s="238"/>
      <c r="C261" s="238"/>
      <c r="D261" s="237"/>
      <c r="E261" s="237"/>
      <c r="F261" s="237"/>
      <c r="G261" s="234"/>
      <c r="H261" s="234"/>
      <c r="I261" s="234"/>
      <c r="J261" s="234"/>
      <c r="K261" s="234"/>
      <c r="L261" s="237"/>
      <c r="M261" s="237"/>
      <c r="N261" s="234"/>
      <c r="O261" s="239"/>
      <c r="P261" s="239"/>
      <c r="S261" s="406"/>
      <c r="T261" s="406"/>
    </row>
    <row r="262" spans="2:20" s="272" customFormat="1">
      <c r="B262" s="238"/>
      <c r="C262" s="238"/>
      <c r="D262" s="237"/>
      <c r="E262" s="237"/>
      <c r="F262" s="237"/>
      <c r="G262" s="234"/>
      <c r="H262" s="234"/>
      <c r="I262" s="234"/>
      <c r="J262" s="234"/>
      <c r="K262" s="234"/>
      <c r="L262" s="237"/>
      <c r="M262" s="237"/>
      <c r="N262" s="234"/>
      <c r="O262" s="239"/>
      <c r="P262" s="239"/>
      <c r="S262" s="406"/>
      <c r="T262" s="406"/>
    </row>
    <row r="263" spans="2:20" s="272" customFormat="1">
      <c r="B263" s="238"/>
      <c r="C263" s="238"/>
      <c r="D263" s="237"/>
      <c r="E263" s="237"/>
      <c r="F263" s="237"/>
      <c r="G263" s="234"/>
      <c r="H263" s="234"/>
      <c r="I263" s="234"/>
      <c r="J263" s="234"/>
      <c r="K263" s="234"/>
      <c r="L263" s="237"/>
      <c r="M263" s="237"/>
      <c r="N263" s="234"/>
      <c r="O263" s="239"/>
      <c r="P263" s="239"/>
      <c r="S263" s="406"/>
      <c r="T263" s="406"/>
    </row>
    <row r="264" spans="2:20" s="272" customFormat="1">
      <c r="B264" s="238"/>
      <c r="C264" s="238"/>
      <c r="D264" s="237"/>
      <c r="E264" s="237"/>
      <c r="F264" s="237"/>
      <c r="G264" s="234"/>
      <c r="H264" s="234"/>
      <c r="I264" s="234"/>
      <c r="J264" s="234"/>
      <c r="K264" s="234"/>
      <c r="L264" s="237"/>
      <c r="M264" s="237"/>
      <c r="N264" s="234"/>
      <c r="O264" s="239"/>
      <c r="P264" s="239"/>
      <c r="S264" s="406"/>
      <c r="T264" s="406"/>
    </row>
    <row r="265" spans="2:20" s="272" customFormat="1">
      <c r="B265" s="238"/>
      <c r="C265" s="238"/>
      <c r="D265" s="237"/>
      <c r="E265" s="237"/>
      <c r="F265" s="237"/>
      <c r="G265" s="234"/>
      <c r="H265" s="234"/>
      <c r="I265" s="234"/>
      <c r="J265" s="234"/>
      <c r="K265" s="234"/>
      <c r="L265" s="237"/>
      <c r="M265" s="237"/>
      <c r="N265" s="234"/>
      <c r="O265" s="239"/>
      <c r="P265" s="239"/>
      <c r="S265" s="406"/>
      <c r="T265" s="406"/>
    </row>
    <row r="266" spans="2:20" s="272" customFormat="1">
      <c r="B266" s="238"/>
      <c r="C266" s="238"/>
      <c r="D266" s="237"/>
      <c r="E266" s="237"/>
      <c r="F266" s="237"/>
      <c r="G266" s="234"/>
      <c r="H266" s="234"/>
      <c r="I266" s="234"/>
      <c r="J266" s="234"/>
      <c r="K266" s="234"/>
      <c r="L266" s="237"/>
      <c r="M266" s="237"/>
      <c r="N266" s="234"/>
      <c r="O266" s="239"/>
      <c r="P266" s="239"/>
      <c r="S266" s="406"/>
      <c r="T266" s="406"/>
    </row>
    <row r="267" spans="2:20" s="272" customFormat="1">
      <c r="B267" s="238"/>
      <c r="C267" s="238"/>
      <c r="D267" s="237"/>
      <c r="E267" s="237"/>
      <c r="F267" s="237"/>
      <c r="G267" s="234"/>
      <c r="H267" s="234"/>
      <c r="I267" s="234"/>
      <c r="J267" s="234"/>
      <c r="K267" s="234"/>
      <c r="L267" s="237"/>
      <c r="M267" s="237"/>
      <c r="N267" s="234"/>
      <c r="O267" s="239"/>
      <c r="P267" s="239"/>
      <c r="S267" s="406"/>
      <c r="T267" s="406"/>
    </row>
    <row r="268" spans="2:20" s="272" customFormat="1">
      <c r="B268" s="238"/>
      <c r="C268" s="238"/>
      <c r="D268" s="237"/>
      <c r="E268" s="237"/>
      <c r="F268" s="237"/>
      <c r="G268" s="234"/>
      <c r="H268" s="234"/>
      <c r="I268" s="234"/>
      <c r="J268" s="234"/>
      <c r="K268" s="234"/>
      <c r="L268" s="237"/>
      <c r="M268" s="237"/>
      <c r="N268" s="234"/>
      <c r="O268" s="239"/>
      <c r="P268" s="239"/>
      <c r="S268" s="406"/>
      <c r="T268" s="406"/>
    </row>
    <row r="269" spans="2:20" s="272" customFormat="1">
      <c r="B269" s="238"/>
      <c r="C269" s="238"/>
      <c r="D269" s="237"/>
      <c r="E269" s="237"/>
      <c r="F269" s="237"/>
      <c r="G269" s="234"/>
      <c r="H269" s="234"/>
      <c r="I269" s="234"/>
      <c r="J269" s="234"/>
      <c r="K269" s="234"/>
      <c r="L269" s="237"/>
      <c r="M269" s="237"/>
      <c r="N269" s="234"/>
      <c r="O269" s="239"/>
      <c r="P269" s="239"/>
      <c r="S269" s="406"/>
      <c r="T269" s="406"/>
    </row>
    <row r="270" spans="2:20" s="272" customFormat="1">
      <c r="B270" s="238"/>
      <c r="C270" s="238"/>
      <c r="D270" s="237"/>
      <c r="E270" s="237"/>
      <c r="F270" s="237"/>
      <c r="G270" s="234"/>
      <c r="H270" s="234"/>
      <c r="I270" s="234"/>
      <c r="J270" s="234"/>
      <c r="K270" s="234"/>
      <c r="L270" s="237"/>
      <c r="M270" s="237"/>
      <c r="N270" s="234"/>
      <c r="O270" s="239"/>
      <c r="P270" s="239"/>
      <c r="S270" s="406"/>
      <c r="T270" s="406"/>
    </row>
    <row r="271" spans="2:20" s="272" customFormat="1">
      <c r="B271" s="238"/>
      <c r="C271" s="238"/>
      <c r="D271" s="237"/>
      <c r="E271" s="237"/>
      <c r="F271" s="237"/>
      <c r="G271" s="234"/>
      <c r="H271" s="234"/>
      <c r="I271" s="234"/>
      <c r="J271" s="234"/>
      <c r="K271" s="234"/>
      <c r="L271" s="237"/>
      <c r="M271" s="237"/>
      <c r="N271" s="234"/>
      <c r="O271" s="239"/>
      <c r="P271" s="239"/>
      <c r="S271" s="406"/>
      <c r="T271" s="406"/>
    </row>
    <row r="272" spans="2:20" s="272" customFormat="1">
      <c r="B272" s="238"/>
      <c r="C272" s="238"/>
      <c r="D272" s="237"/>
      <c r="E272" s="237"/>
      <c r="F272" s="237"/>
      <c r="G272" s="234"/>
      <c r="H272" s="234"/>
      <c r="I272" s="234"/>
      <c r="J272" s="234"/>
      <c r="K272" s="234"/>
      <c r="L272" s="237"/>
      <c r="M272" s="237"/>
      <c r="N272" s="234"/>
      <c r="O272" s="239"/>
      <c r="P272" s="239"/>
      <c r="S272" s="406"/>
      <c r="T272" s="406"/>
    </row>
    <row r="273" spans="2:20" s="272" customFormat="1">
      <c r="B273" s="238"/>
      <c r="C273" s="238"/>
      <c r="D273" s="237"/>
      <c r="E273" s="237"/>
      <c r="F273" s="237"/>
      <c r="G273" s="234"/>
      <c r="H273" s="234"/>
      <c r="I273" s="234"/>
      <c r="J273" s="234"/>
      <c r="K273" s="234"/>
      <c r="L273" s="237"/>
      <c r="M273" s="237"/>
      <c r="N273" s="234"/>
      <c r="O273" s="239"/>
      <c r="P273" s="239"/>
      <c r="S273" s="406"/>
      <c r="T273" s="406"/>
    </row>
    <row r="274" spans="2:20" s="272" customFormat="1">
      <c r="B274" s="238"/>
      <c r="C274" s="238"/>
      <c r="D274" s="237"/>
      <c r="E274" s="237"/>
      <c r="F274" s="237"/>
      <c r="G274" s="234"/>
      <c r="H274" s="234"/>
      <c r="I274" s="234"/>
      <c r="J274" s="234"/>
      <c r="K274" s="234"/>
      <c r="L274" s="237"/>
      <c r="M274" s="237"/>
      <c r="N274" s="234"/>
      <c r="O274" s="239"/>
      <c r="P274" s="239"/>
      <c r="S274" s="406"/>
      <c r="T274" s="406"/>
    </row>
    <row r="275" spans="2:20" s="272" customFormat="1">
      <c r="B275" s="238"/>
      <c r="C275" s="238"/>
      <c r="D275" s="237"/>
      <c r="E275" s="237"/>
      <c r="F275" s="237"/>
      <c r="G275" s="234"/>
      <c r="H275" s="234"/>
      <c r="I275" s="234"/>
      <c r="J275" s="234"/>
      <c r="K275" s="234"/>
      <c r="L275" s="237"/>
      <c r="M275" s="237"/>
      <c r="N275" s="234"/>
      <c r="O275" s="239"/>
      <c r="P275" s="239"/>
      <c r="S275" s="406"/>
      <c r="T275" s="406"/>
    </row>
    <row r="276" spans="2:20" s="272" customFormat="1">
      <c r="B276" s="238"/>
      <c r="C276" s="238"/>
      <c r="D276" s="237"/>
      <c r="E276" s="237"/>
      <c r="F276" s="237"/>
      <c r="G276" s="234"/>
      <c r="H276" s="234"/>
      <c r="I276" s="234"/>
      <c r="J276" s="234"/>
      <c r="K276" s="234"/>
      <c r="L276" s="237"/>
      <c r="M276" s="237"/>
      <c r="N276" s="234"/>
      <c r="O276" s="239"/>
      <c r="P276" s="239"/>
      <c r="S276" s="406"/>
      <c r="T276" s="406"/>
    </row>
    <row r="277" spans="2:20" s="272" customFormat="1">
      <c r="B277" s="238"/>
      <c r="C277" s="238"/>
      <c r="D277" s="237"/>
      <c r="E277" s="237"/>
      <c r="F277" s="237"/>
      <c r="G277" s="234"/>
      <c r="H277" s="234"/>
      <c r="I277" s="234"/>
      <c r="J277" s="234"/>
      <c r="K277" s="234"/>
      <c r="L277" s="237"/>
      <c r="M277" s="237"/>
      <c r="N277" s="234"/>
      <c r="O277" s="239"/>
      <c r="P277" s="239"/>
      <c r="S277" s="406"/>
      <c r="T277" s="406"/>
    </row>
    <row r="278" spans="2:20" s="272" customFormat="1">
      <c r="B278" s="238"/>
      <c r="C278" s="238"/>
      <c r="D278" s="237"/>
      <c r="E278" s="237"/>
      <c r="F278" s="237"/>
      <c r="G278" s="234"/>
      <c r="H278" s="234"/>
      <c r="I278" s="234"/>
      <c r="J278" s="234"/>
      <c r="K278" s="234"/>
      <c r="L278" s="237"/>
      <c r="M278" s="237"/>
      <c r="N278" s="234"/>
      <c r="O278" s="239"/>
      <c r="P278" s="239"/>
      <c r="S278" s="406"/>
      <c r="T278" s="406"/>
    </row>
    <row r="279" spans="2:20" s="272" customFormat="1">
      <c r="B279" s="238"/>
      <c r="C279" s="238"/>
      <c r="D279" s="237"/>
      <c r="E279" s="237"/>
      <c r="F279" s="237"/>
      <c r="G279" s="234"/>
      <c r="H279" s="234"/>
      <c r="I279" s="234"/>
      <c r="J279" s="234"/>
      <c r="K279" s="234"/>
      <c r="L279" s="237"/>
      <c r="M279" s="237"/>
      <c r="N279" s="234"/>
      <c r="O279" s="239"/>
      <c r="P279" s="239"/>
      <c r="S279" s="406"/>
      <c r="T279" s="406"/>
    </row>
    <row r="280" spans="2:20" s="272" customFormat="1">
      <c r="B280" s="238"/>
      <c r="C280" s="238"/>
      <c r="D280" s="237"/>
      <c r="E280" s="237"/>
      <c r="F280" s="237"/>
      <c r="G280" s="234"/>
      <c r="H280" s="234"/>
      <c r="I280" s="234"/>
      <c r="J280" s="234"/>
      <c r="K280" s="234"/>
      <c r="L280" s="237"/>
      <c r="M280" s="237"/>
      <c r="N280" s="234"/>
      <c r="O280" s="239"/>
      <c r="P280" s="239"/>
      <c r="S280" s="406"/>
      <c r="T280" s="406"/>
    </row>
    <row r="281" spans="2:20" s="272" customFormat="1">
      <c r="B281" s="238"/>
      <c r="C281" s="238"/>
      <c r="D281" s="237"/>
      <c r="E281" s="237"/>
      <c r="F281" s="237"/>
      <c r="G281" s="234"/>
      <c r="H281" s="234"/>
      <c r="I281" s="234"/>
      <c r="J281" s="234"/>
      <c r="K281" s="234"/>
      <c r="L281" s="237"/>
      <c r="M281" s="237"/>
      <c r="N281" s="234"/>
      <c r="O281" s="239"/>
      <c r="P281" s="239"/>
      <c r="S281" s="406"/>
      <c r="T281" s="406"/>
    </row>
    <row r="282" spans="2:20" s="272" customFormat="1">
      <c r="B282" s="238"/>
      <c r="C282" s="238"/>
      <c r="D282" s="237"/>
      <c r="E282" s="237"/>
      <c r="F282" s="237"/>
      <c r="G282" s="234"/>
      <c r="H282" s="234"/>
      <c r="I282" s="234"/>
      <c r="J282" s="234"/>
      <c r="K282" s="234"/>
      <c r="L282" s="237"/>
      <c r="M282" s="237"/>
      <c r="N282" s="234"/>
      <c r="O282" s="239"/>
      <c r="P282" s="239"/>
      <c r="S282" s="406"/>
      <c r="T282" s="406"/>
    </row>
    <row r="283" spans="2:20" s="272" customFormat="1">
      <c r="B283" s="238"/>
      <c r="C283" s="238"/>
      <c r="D283" s="237"/>
      <c r="E283" s="237"/>
      <c r="F283" s="237"/>
      <c r="G283" s="234"/>
      <c r="H283" s="234"/>
      <c r="I283" s="234"/>
      <c r="J283" s="234"/>
      <c r="K283" s="234"/>
      <c r="L283" s="237"/>
      <c r="M283" s="237"/>
      <c r="N283" s="234"/>
      <c r="O283" s="239"/>
      <c r="P283" s="239"/>
      <c r="S283" s="406"/>
      <c r="T283" s="406"/>
    </row>
    <row r="284" spans="2:20" s="272" customFormat="1">
      <c r="B284" s="238"/>
      <c r="C284" s="238"/>
      <c r="D284" s="237"/>
      <c r="E284" s="237"/>
      <c r="F284" s="237"/>
      <c r="G284" s="234"/>
      <c r="H284" s="234"/>
      <c r="I284" s="234"/>
      <c r="J284" s="234"/>
      <c r="K284" s="234"/>
      <c r="L284" s="237"/>
      <c r="M284" s="237"/>
      <c r="N284" s="234"/>
      <c r="O284" s="239"/>
      <c r="P284" s="239"/>
      <c r="S284" s="406"/>
      <c r="T284" s="406"/>
    </row>
    <row r="285" spans="2:20" s="272" customFormat="1">
      <c r="B285" s="238"/>
      <c r="C285" s="238"/>
      <c r="D285" s="237"/>
      <c r="E285" s="237"/>
      <c r="F285" s="237"/>
      <c r="G285" s="234"/>
      <c r="H285" s="234"/>
      <c r="I285" s="234"/>
      <c r="J285" s="234"/>
      <c r="K285" s="234"/>
      <c r="L285" s="237"/>
      <c r="M285" s="237"/>
      <c r="N285" s="234"/>
      <c r="O285" s="239"/>
      <c r="P285" s="239"/>
      <c r="S285" s="406"/>
      <c r="T285" s="406"/>
    </row>
    <row r="286" spans="2:20" s="272" customFormat="1">
      <c r="B286" s="238"/>
      <c r="C286" s="238"/>
      <c r="D286" s="237"/>
      <c r="E286" s="237"/>
      <c r="F286" s="237"/>
      <c r="G286" s="234"/>
      <c r="H286" s="234"/>
      <c r="I286" s="234"/>
      <c r="J286" s="234"/>
      <c r="K286" s="234"/>
      <c r="L286" s="237"/>
      <c r="M286" s="237"/>
      <c r="N286" s="234"/>
      <c r="O286" s="239"/>
      <c r="P286" s="239"/>
      <c r="S286" s="406"/>
      <c r="T286" s="406"/>
    </row>
    <row r="287" spans="2:20" s="272" customFormat="1">
      <c r="B287" s="238"/>
      <c r="C287" s="238"/>
      <c r="D287" s="237"/>
      <c r="E287" s="237"/>
      <c r="F287" s="237"/>
      <c r="G287" s="234"/>
      <c r="H287" s="234"/>
      <c r="I287" s="234"/>
      <c r="J287" s="234"/>
      <c r="K287" s="234"/>
      <c r="L287" s="237"/>
      <c r="M287" s="237"/>
      <c r="N287" s="234"/>
      <c r="O287" s="239"/>
      <c r="P287" s="239"/>
      <c r="S287" s="406"/>
      <c r="T287" s="406"/>
    </row>
    <row r="288" spans="2:20" s="272" customFormat="1">
      <c r="B288" s="238"/>
      <c r="C288" s="238"/>
      <c r="D288" s="237"/>
      <c r="E288" s="237"/>
      <c r="F288" s="237"/>
      <c r="G288" s="234"/>
      <c r="H288" s="234"/>
      <c r="I288" s="234"/>
      <c r="J288" s="234"/>
      <c r="K288" s="234"/>
      <c r="L288" s="237"/>
      <c r="M288" s="237"/>
      <c r="N288" s="234"/>
      <c r="O288" s="239"/>
      <c r="P288" s="239"/>
      <c r="S288" s="406"/>
      <c r="T288" s="406"/>
    </row>
    <row r="289" spans="2:20" s="272" customFormat="1">
      <c r="B289" s="238"/>
      <c r="C289" s="238"/>
      <c r="D289" s="237"/>
      <c r="E289" s="237"/>
      <c r="F289" s="237"/>
      <c r="G289" s="234"/>
      <c r="H289" s="234"/>
      <c r="I289" s="234"/>
      <c r="J289" s="234"/>
      <c r="K289" s="234"/>
      <c r="L289" s="237"/>
      <c r="M289" s="237"/>
      <c r="N289" s="234"/>
      <c r="O289" s="239"/>
      <c r="P289" s="239"/>
      <c r="S289" s="406"/>
      <c r="T289" s="406"/>
    </row>
    <row r="290" spans="2:20" s="272" customFormat="1">
      <c r="B290" s="238"/>
      <c r="C290" s="238"/>
      <c r="D290" s="237"/>
      <c r="E290" s="237"/>
      <c r="F290" s="237"/>
      <c r="G290" s="234"/>
      <c r="H290" s="234"/>
      <c r="I290" s="234"/>
      <c r="J290" s="234"/>
      <c r="K290" s="234"/>
      <c r="L290" s="237"/>
      <c r="M290" s="237"/>
      <c r="N290" s="234"/>
      <c r="O290" s="239"/>
      <c r="P290" s="239"/>
      <c r="S290" s="406"/>
      <c r="T290" s="406"/>
    </row>
    <row r="291" spans="2:20" s="272" customFormat="1">
      <c r="B291" s="238"/>
      <c r="C291" s="238"/>
      <c r="D291" s="237"/>
      <c r="E291" s="237"/>
      <c r="F291" s="237"/>
      <c r="G291" s="234"/>
      <c r="H291" s="234"/>
      <c r="I291" s="234"/>
      <c r="J291" s="234"/>
      <c r="K291" s="234"/>
      <c r="L291" s="237"/>
      <c r="M291" s="237"/>
      <c r="N291" s="234"/>
      <c r="O291" s="239"/>
      <c r="P291" s="239"/>
      <c r="S291" s="406"/>
      <c r="T291" s="406"/>
    </row>
    <row r="292" spans="2:20" s="272" customFormat="1">
      <c r="B292" s="238"/>
      <c r="C292" s="238"/>
      <c r="D292" s="237"/>
      <c r="E292" s="237"/>
      <c r="F292" s="237"/>
      <c r="G292" s="234"/>
      <c r="H292" s="234"/>
      <c r="I292" s="234"/>
      <c r="J292" s="234"/>
      <c r="K292" s="234"/>
      <c r="L292" s="237"/>
      <c r="M292" s="237"/>
      <c r="N292" s="234"/>
      <c r="O292" s="239"/>
      <c r="P292" s="239"/>
      <c r="S292" s="406"/>
      <c r="T292" s="406"/>
    </row>
    <row r="293" spans="2:20" s="272" customFormat="1">
      <c r="B293" s="238"/>
      <c r="C293" s="238"/>
      <c r="D293" s="237"/>
      <c r="E293" s="237"/>
      <c r="F293" s="237"/>
      <c r="G293" s="234"/>
      <c r="H293" s="234"/>
      <c r="I293" s="234"/>
      <c r="J293" s="234"/>
      <c r="K293" s="234"/>
      <c r="L293" s="237"/>
      <c r="M293" s="237"/>
      <c r="N293" s="234"/>
      <c r="O293" s="239"/>
      <c r="P293" s="239"/>
      <c r="S293" s="406"/>
      <c r="T293" s="406"/>
    </row>
    <row r="294" spans="2:20" s="272" customFormat="1">
      <c r="B294" s="238"/>
      <c r="C294" s="238"/>
      <c r="D294" s="237"/>
      <c r="E294" s="237"/>
      <c r="F294" s="237"/>
      <c r="G294" s="234"/>
      <c r="H294" s="234"/>
      <c r="I294" s="234"/>
      <c r="J294" s="234"/>
      <c r="K294" s="234"/>
      <c r="L294" s="237"/>
      <c r="M294" s="237"/>
      <c r="N294" s="234"/>
      <c r="O294" s="239"/>
      <c r="P294" s="239"/>
      <c r="S294" s="406"/>
      <c r="T294" s="406"/>
    </row>
    <row r="295" spans="2:20" s="272" customFormat="1">
      <c r="B295" s="238"/>
      <c r="C295" s="238"/>
      <c r="D295" s="237"/>
      <c r="E295" s="237"/>
      <c r="F295" s="237"/>
      <c r="G295" s="234"/>
      <c r="H295" s="234"/>
      <c r="I295" s="234"/>
      <c r="J295" s="234"/>
      <c r="K295" s="234"/>
      <c r="L295" s="237"/>
      <c r="M295" s="237"/>
      <c r="N295" s="234"/>
      <c r="O295" s="239"/>
      <c r="P295" s="239"/>
      <c r="S295" s="406"/>
      <c r="T295" s="406"/>
    </row>
    <row r="296" spans="2:20" s="272" customFormat="1">
      <c r="B296" s="238"/>
      <c r="C296" s="238"/>
      <c r="D296" s="237"/>
      <c r="E296" s="237"/>
      <c r="F296" s="237"/>
      <c r="G296" s="234"/>
      <c r="H296" s="234"/>
      <c r="I296" s="234"/>
      <c r="J296" s="234"/>
      <c r="K296" s="234"/>
      <c r="L296" s="237"/>
      <c r="M296" s="237"/>
      <c r="N296" s="234"/>
      <c r="O296" s="239"/>
      <c r="P296" s="239"/>
      <c r="S296" s="406"/>
      <c r="T296" s="406"/>
    </row>
    <row r="297" spans="2:20" s="272" customFormat="1">
      <c r="B297" s="238"/>
      <c r="C297" s="238"/>
      <c r="D297" s="237"/>
      <c r="E297" s="237"/>
      <c r="F297" s="237"/>
      <c r="G297" s="234"/>
      <c r="H297" s="234"/>
      <c r="I297" s="234"/>
      <c r="J297" s="234"/>
      <c r="K297" s="234"/>
      <c r="L297" s="237"/>
      <c r="M297" s="237"/>
      <c r="N297" s="234"/>
      <c r="O297" s="239"/>
      <c r="P297" s="239"/>
      <c r="S297" s="406"/>
      <c r="T297" s="406"/>
    </row>
    <row r="298" spans="2:20" s="272" customFormat="1">
      <c r="B298" s="238"/>
      <c r="C298" s="238"/>
      <c r="D298" s="237"/>
      <c r="E298" s="237"/>
      <c r="F298" s="237"/>
      <c r="G298" s="234"/>
      <c r="H298" s="234"/>
      <c r="I298" s="234"/>
      <c r="J298" s="234"/>
      <c r="K298" s="234"/>
      <c r="L298" s="237"/>
      <c r="M298" s="237"/>
      <c r="N298" s="234"/>
      <c r="O298" s="239"/>
      <c r="P298" s="239"/>
      <c r="S298" s="406"/>
      <c r="T298" s="406"/>
    </row>
    <row r="299" spans="2:20" s="272" customFormat="1">
      <c r="B299" s="238"/>
      <c r="C299" s="238"/>
      <c r="D299" s="237"/>
      <c r="E299" s="237"/>
      <c r="F299" s="237"/>
      <c r="G299" s="234"/>
      <c r="H299" s="234"/>
      <c r="I299" s="234"/>
      <c r="J299" s="234"/>
      <c r="K299" s="234"/>
      <c r="L299" s="237"/>
      <c r="M299" s="237"/>
      <c r="N299" s="234"/>
      <c r="O299" s="239"/>
      <c r="P299" s="239"/>
      <c r="S299" s="406"/>
      <c r="T299" s="406"/>
    </row>
    <row r="300" spans="2:20" s="272" customFormat="1">
      <c r="B300" s="238"/>
      <c r="C300" s="238"/>
      <c r="D300" s="237"/>
      <c r="E300" s="237"/>
      <c r="F300" s="237"/>
      <c r="G300" s="234"/>
      <c r="H300" s="234"/>
      <c r="I300" s="234"/>
      <c r="J300" s="234"/>
      <c r="K300" s="234"/>
      <c r="L300" s="237"/>
      <c r="M300" s="237"/>
      <c r="N300" s="234"/>
      <c r="O300" s="239"/>
      <c r="P300" s="239"/>
      <c r="S300" s="406"/>
      <c r="T300" s="406"/>
    </row>
    <row r="301" spans="2:20" s="272" customFormat="1">
      <c r="B301" s="238"/>
      <c r="C301" s="238"/>
      <c r="D301" s="237"/>
      <c r="E301" s="237"/>
      <c r="F301" s="237"/>
      <c r="G301" s="234"/>
      <c r="H301" s="234"/>
      <c r="I301" s="234"/>
      <c r="J301" s="234"/>
      <c r="K301" s="234"/>
      <c r="L301" s="237"/>
      <c r="M301" s="237"/>
      <c r="N301" s="234"/>
      <c r="O301" s="239"/>
      <c r="P301" s="239"/>
      <c r="S301" s="406"/>
      <c r="T301" s="406"/>
    </row>
    <row r="302" spans="2:20" s="272" customFormat="1">
      <c r="B302" s="238"/>
      <c r="C302" s="238"/>
      <c r="D302" s="237"/>
      <c r="E302" s="237"/>
      <c r="F302" s="237"/>
      <c r="G302" s="234"/>
      <c r="H302" s="234"/>
      <c r="I302" s="234"/>
      <c r="J302" s="234"/>
      <c r="K302" s="234"/>
      <c r="L302" s="237"/>
      <c r="M302" s="237"/>
      <c r="N302" s="234"/>
      <c r="O302" s="239"/>
      <c r="P302" s="239"/>
      <c r="S302" s="406"/>
      <c r="T302" s="406"/>
    </row>
    <row r="303" spans="2:20" s="272" customFormat="1">
      <c r="B303" s="238"/>
      <c r="C303" s="238"/>
      <c r="D303" s="237"/>
      <c r="E303" s="237"/>
      <c r="F303" s="237"/>
      <c r="G303" s="234"/>
      <c r="H303" s="234"/>
      <c r="I303" s="234"/>
      <c r="J303" s="234"/>
      <c r="K303" s="234"/>
      <c r="L303" s="237"/>
      <c r="M303" s="237"/>
      <c r="N303" s="234"/>
      <c r="O303" s="239"/>
      <c r="P303" s="239"/>
      <c r="S303" s="406"/>
      <c r="T303" s="406"/>
    </row>
    <row r="304" spans="2:20" s="272" customFormat="1">
      <c r="B304" s="238"/>
      <c r="C304" s="238"/>
      <c r="D304" s="237"/>
      <c r="E304" s="237"/>
      <c r="F304" s="237"/>
      <c r="G304" s="234"/>
      <c r="H304" s="234"/>
      <c r="I304" s="234"/>
      <c r="J304" s="234"/>
      <c r="K304" s="234"/>
      <c r="L304" s="237"/>
      <c r="M304" s="237"/>
      <c r="N304" s="234"/>
      <c r="O304" s="239"/>
      <c r="P304" s="239"/>
      <c r="S304" s="406"/>
      <c r="T304" s="406"/>
    </row>
    <row r="305" spans="2:20" s="272" customFormat="1">
      <c r="B305" s="238"/>
      <c r="C305" s="238"/>
      <c r="D305" s="237"/>
      <c r="E305" s="237"/>
      <c r="F305" s="237"/>
      <c r="G305" s="234"/>
      <c r="H305" s="234"/>
      <c r="I305" s="234"/>
      <c r="J305" s="234"/>
      <c r="K305" s="234"/>
      <c r="L305" s="237"/>
      <c r="M305" s="237"/>
      <c r="N305" s="234"/>
      <c r="O305" s="239"/>
      <c r="P305" s="239"/>
      <c r="S305" s="406"/>
      <c r="T305" s="406"/>
    </row>
    <row r="306" spans="2:20" s="272" customFormat="1">
      <c r="B306" s="238"/>
      <c r="C306" s="238"/>
      <c r="D306" s="237"/>
      <c r="E306" s="237"/>
      <c r="F306" s="237"/>
      <c r="G306" s="234"/>
      <c r="H306" s="234"/>
      <c r="I306" s="234"/>
      <c r="J306" s="234"/>
      <c r="K306" s="234"/>
      <c r="L306" s="237"/>
      <c r="M306" s="237"/>
      <c r="N306" s="234"/>
      <c r="O306" s="239"/>
      <c r="P306" s="239"/>
      <c r="S306" s="406"/>
      <c r="T306" s="406"/>
    </row>
    <row r="307" spans="2:20" s="272" customFormat="1">
      <c r="B307" s="238"/>
      <c r="C307" s="238"/>
      <c r="D307" s="237"/>
      <c r="E307" s="237"/>
      <c r="F307" s="237"/>
      <c r="G307" s="234"/>
      <c r="H307" s="234"/>
      <c r="I307" s="234"/>
      <c r="J307" s="234"/>
      <c r="K307" s="234"/>
      <c r="L307" s="237"/>
      <c r="M307" s="237"/>
      <c r="N307" s="234"/>
      <c r="O307" s="239"/>
      <c r="P307" s="239"/>
      <c r="S307" s="406"/>
      <c r="T307" s="406"/>
    </row>
    <row r="308" spans="2:20" s="272" customFormat="1">
      <c r="B308" s="238"/>
      <c r="C308" s="238"/>
      <c r="D308" s="237"/>
      <c r="E308" s="237"/>
      <c r="F308" s="237"/>
      <c r="G308" s="234"/>
      <c r="H308" s="234"/>
      <c r="I308" s="234"/>
      <c r="J308" s="234"/>
      <c r="K308" s="234"/>
      <c r="L308" s="237"/>
      <c r="M308" s="237"/>
      <c r="N308" s="234"/>
      <c r="O308" s="239"/>
      <c r="P308" s="239"/>
      <c r="S308" s="406"/>
      <c r="T308" s="406"/>
    </row>
    <row r="309" spans="2:20" s="272" customFormat="1">
      <c r="B309" s="238"/>
      <c r="C309" s="238"/>
      <c r="D309" s="237"/>
      <c r="E309" s="237"/>
      <c r="F309" s="237"/>
      <c r="G309" s="234"/>
      <c r="H309" s="234"/>
      <c r="I309" s="234"/>
      <c r="J309" s="234"/>
      <c r="K309" s="234"/>
      <c r="L309" s="237"/>
      <c r="M309" s="237"/>
      <c r="N309" s="234"/>
      <c r="O309" s="239"/>
      <c r="P309" s="239"/>
      <c r="S309" s="406"/>
      <c r="T309" s="406"/>
    </row>
    <row r="310" spans="2:20" s="272" customFormat="1">
      <c r="B310" s="238"/>
      <c r="C310" s="238"/>
      <c r="D310" s="237"/>
      <c r="E310" s="237"/>
      <c r="F310" s="237"/>
      <c r="G310" s="234"/>
      <c r="H310" s="234"/>
      <c r="I310" s="234"/>
      <c r="J310" s="234"/>
      <c r="K310" s="234"/>
      <c r="L310" s="237"/>
      <c r="M310" s="237"/>
      <c r="N310" s="234"/>
      <c r="O310" s="239"/>
      <c r="P310" s="239"/>
      <c r="S310" s="406"/>
      <c r="T310" s="406"/>
    </row>
    <row r="311" spans="2:20" s="272" customFormat="1">
      <c r="B311" s="238"/>
      <c r="C311" s="238"/>
      <c r="D311" s="237"/>
      <c r="E311" s="237"/>
      <c r="F311" s="237"/>
      <c r="G311" s="234"/>
      <c r="H311" s="234"/>
      <c r="I311" s="234"/>
      <c r="J311" s="234"/>
      <c r="K311" s="234"/>
      <c r="L311" s="237"/>
      <c r="M311" s="237"/>
      <c r="N311" s="234"/>
      <c r="O311" s="239"/>
      <c r="P311" s="239"/>
      <c r="S311" s="406"/>
      <c r="T311" s="406"/>
    </row>
    <row r="312" spans="2:20" s="272" customFormat="1">
      <c r="B312" s="238"/>
      <c r="C312" s="238"/>
      <c r="D312" s="237"/>
      <c r="E312" s="237"/>
      <c r="F312" s="237"/>
      <c r="G312" s="234"/>
      <c r="H312" s="234"/>
      <c r="I312" s="234"/>
      <c r="J312" s="234"/>
      <c r="K312" s="234"/>
      <c r="L312" s="237"/>
      <c r="M312" s="237"/>
      <c r="N312" s="234"/>
      <c r="O312" s="239"/>
      <c r="P312" s="239"/>
      <c r="S312" s="406"/>
      <c r="T312" s="406"/>
    </row>
    <row r="313" spans="2:20" s="272" customFormat="1">
      <c r="B313" s="238"/>
      <c r="C313" s="238"/>
      <c r="D313" s="237"/>
      <c r="E313" s="237"/>
      <c r="F313" s="237"/>
      <c r="G313" s="234"/>
      <c r="H313" s="234"/>
      <c r="I313" s="234"/>
      <c r="J313" s="234"/>
      <c r="K313" s="234"/>
      <c r="L313" s="237"/>
      <c r="M313" s="237"/>
      <c r="N313" s="234"/>
      <c r="O313" s="239"/>
      <c r="P313" s="239"/>
      <c r="S313" s="406"/>
      <c r="T313" s="406"/>
    </row>
    <row r="314" spans="2:20" s="272" customFormat="1">
      <c r="B314" s="238"/>
      <c r="C314" s="238"/>
      <c r="D314" s="237"/>
      <c r="E314" s="237"/>
      <c r="F314" s="237"/>
      <c r="G314" s="234"/>
      <c r="H314" s="234"/>
      <c r="I314" s="234"/>
      <c r="J314" s="234"/>
      <c r="K314" s="234"/>
      <c r="L314" s="237"/>
      <c r="M314" s="237"/>
      <c r="N314" s="234"/>
      <c r="O314" s="239"/>
      <c r="P314" s="239"/>
      <c r="S314" s="406"/>
      <c r="T314" s="406"/>
    </row>
    <row r="315" spans="2:20" s="272" customFormat="1">
      <c r="B315" s="238"/>
      <c r="C315" s="238"/>
      <c r="D315" s="237"/>
      <c r="E315" s="237"/>
      <c r="F315" s="237"/>
      <c r="G315" s="234"/>
      <c r="H315" s="234"/>
      <c r="I315" s="234"/>
      <c r="J315" s="234"/>
      <c r="K315" s="234"/>
      <c r="L315" s="237"/>
      <c r="M315" s="237"/>
      <c r="N315" s="234"/>
      <c r="O315" s="239"/>
      <c r="P315" s="239"/>
      <c r="S315" s="406"/>
      <c r="T315" s="406"/>
    </row>
    <row r="316" spans="2:20" s="272" customFormat="1">
      <c r="B316" s="238"/>
      <c r="C316" s="238"/>
      <c r="D316" s="237"/>
      <c r="E316" s="237"/>
      <c r="F316" s="237"/>
      <c r="G316" s="234"/>
      <c r="H316" s="234"/>
      <c r="I316" s="234"/>
      <c r="J316" s="234"/>
      <c r="K316" s="234"/>
      <c r="L316" s="237"/>
      <c r="M316" s="237"/>
      <c r="N316" s="234"/>
      <c r="O316" s="239"/>
      <c r="P316" s="239"/>
      <c r="S316" s="406"/>
      <c r="T316" s="406"/>
    </row>
    <row r="317" spans="2:20" s="272" customFormat="1">
      <c r="B317" s="238"/>
      <c r="C317" s="238"/>
      <c r="D317" s="237"/>
      <c r="E317" s="237"/>
      <c r="F317" s="237"/>
      <c r="G317" s="234"/>
      <c r="H317" s="234"/>
      <c r="I317" s="234"/>
      <c r="J317" s="234"/>
      <c r="K317" s="234"/>
      <c r="L317" s="237"/>
      <c r="M317" s="237"/>
      <c r="N317" s="234"/>
      <c r="O317" s="239"/>
      <c r="P317" s="239"/>
      <c r="S317" s="406"/>
      <c r="T317" s="406"/>
    </row>
    <row r="318" spans="2:20" s="272" customFormat="1">
      <c r="B318" s="238"/>
      <c r="C318" s="238"/>
      <c r="D318" s="237"/>
      <c r="E318" s="237"/>
      <c r="F318" s="237"/>
      <c r="G318" s="234"/>
      <c r="H318" s="234"/>
      <c r="I318" s="234"/>
      <c r="J318" s="234"/>
      <c r="K318" s="234"/>
      <c r="L318" s="237"/>
      <c r="M318" s="237"/>
      <c r="N318" s="234"/>
      <c r="O318" s="239"/>
      <c r="P318" s="239"/>
      <c r="S318" s="406"/>
      <c r="T318" s="406"/>
    </row>
    <row r="319" spans="2:20" s="272" customFormat="1">
      <c r="B319" s="238"/>
      <c r="C319" s="238"/>
      <c r="D319" s="237"/>
      <c r="E319" s="237"/>
      <c r="F319" s="237"/>
      <c r="G319" s="234"/>
      <c r="H319" s="234"/>
      <c r="I319" s="234"/>
      <c r="J319" s="234"/>
      <c r="K319" s="234"/>
      <c r="L319" s="237"/>
      <c r="M319" s="237"/>
      <c r="N319" s="234"/>
      <c r="O319" s="239"/>
      <c r="P319" s="239"/>
      <c r="S319" s="406"/>
      <c r="T319" s="406"/>
    </row>
    <row r="320" spans="2:20" s="272" customFormat="1">
      <c r="B320" s="238"/>
      <c r="C320" s="238"/>
      <c r="D320" s="237"/>
      <c r="E320" s="237"/>
      <c r="F320" s="237"/>
      <c r="G320" s="234"/>
      <c r="H320" s="234"/>
      <c r="I320" s="234"/>
      <c r="J320" s="234"/>
      <c r="K320" s="234"/>
      <c r="L320" s="237"/>
      <c r="M320" s="237"/>
      <c r="N320" s="234"/>
      <c r="O320" s="239"/>
      <c r="P320" s="239"/>
      <c r="S320" s="406"/>
      <c r="T320" s="406"/>
    </row>
    <row r="321" spans="2:20" s="272" customFormat="1">
      <c r="B321" s="238"/>
      <c r="C321" s="238"/>
      <c r="D321" s="237"/>
      <c r="E321" s="237"/>
      <c r="F321" s="237"/>
      <c r="G321" s="234"/>
      <c r="H321" s="234"/>
      <c r="I321" s="234"/>
      <c r="J321" s="234"/>
      <c r="K321" s="234"/>
      <c r="L321" s="237"/>
      <c r="M321" s="237"/>
      <c r="N321" s="234"/>
      <c r="O321" s="239"/>
      <c r="P321" s="239"/>
      <c r="S321" s="406"/>
      <c r="T321" s="406"/>
    </row>
    <row r="322" spans="2:20" s="272" customFormat="1">
      <c r="B322" s="238"/>
      <c r="C322" s="238"/>
      <c r="D322" s="237"/>
      <c r="E322" s="237"/>
      <c r="F322" s="237"/>
      <c r="G322" s="234"/>
      <c r="H322" s="234"/>
      <c r="I322" s="234"/>
      <c r="J322" s="234"/>
      <c r="K322" s="234"/>
      <c r="L322" s="237"/>
      <c r="M322" s="237"/>
      <c r="N322" s="234"/>
      <c r="O322" s="239"/>
      <c r="P322" s="239"/>
      <c r="S322" s="406"/>
      <c r="T322" s="406"/>
    </row>
    <row r="323" spans="2:20" s="272" customFormat="1">
      <c r="B323" s="238"/>
      <c r="C323" s="238"/>
      <c r="D323" s="237"/>
      <c r="E323" s="237"/>
      <c r="F323" s="237"/>
      <c r="G323" s="234"/>
      <c r="H323" s="234"/>
      <c r="I323" s="234"/>
      <c r="J323" s="234"/>
      <c r="K323" s="234"/>
      <c r="L323" s="237"/>
      <c r="M323" s="237"/>
      <c r="N323" s="234"/>
      <c r="O323" s="239"/>
      <c r="P323" s="239"/>
      <c r="S323" s="406"/>
      <c r="T323" s="406"/>
    </row>
    <row r="324" spans="2:20" s="272" customFormat="1">
      <c r="B324" s="238"/>
      <c r="C324" s="238"/>
      <c r="D324" s="237"/>
      <c r="E324" s="237"/>
      <c r="F324" s="237"/>
      <c r="G324" s="234"/>
      <c r="H324" s="234"/>
      <c r="I324" s="234"/>
      <c r="J324" s="234"/>
      <c r="K324" s="234"/>
      <c r="L324" s="237"/>
      <c r="M324" s="237"/>
      <c r="N324" s="234"/>
      <c r="O324" s="239"/>
      <c r="P324" s="239"/>
      <c r="S324" s="406"/>
      <c r="T324" s="406"/>
    </row>
    <row r="325" spans="2:20" s="272" customFormat="1">
      <c r="B325" s="238"/>
      <c r="C325" s="238"/>
      <c r="D325" s="237"/>
      <c r="E325" s="237"/>
      <c r="F325" s="237"/>
      <c r="G325" s="234"/>
      <c r="H325" s="234"/>
      <c r="I325" s="234"/>
      <c r="J325" s="234"/>
      <c r="K325" s="234"/>
      <c r="L325" s="237"/>
      <c r="M325" s="237"/>
      <c r="N325" s="234"/>
      <c r="O325" s="239"/>
      <c r="P325" s="239"/>
      <c r="S325" s="406"/>
      <c r="T325" s="406"/>
    </row>
    <row r="326" spans="2:20" s="272" customFormat="1">
      <c r="B326" s="238"/>
      <c r="C326" s="238"/>
      <c r="D326" s="237"/>
      <c r="E326" s="237"/>
      <c r="F326" s="237"/>
      <c r="G326" s="234"/>
      <c r="H326" s="234"/>
      <c r="I326" s="234"/>
      <c r="J326" s="234"/>
      <c r="K326" s="234"/>
      <c r="L326" s="237"/>
      <c r="M326" s="237"/>
      <c r="N326" s="234"/>
      <c r="O326" s="239"/>
      <c r="P326" s="239"/>
      <c r="S326" s="406"/>
      <c r="T326" s="406"/>
    </row>
    <row r="327" spans="2:20" s="272" customFormat="1">
      <c r="B327" s="238"/>
      <c r="C327" s="238"/>
      <c r="D327" s="237"/>
      <c r="E327" s="237"/>
      <c r="F327" s="237"/>
      <c r="G327" s="234"/>
      <c r="H327" s="234"/>
      <c r="I327" s="234"/>
      <c r="J327" s="234"/>
      <c r="K327" s="234"/>
      <c r="L327" s="237"/>
      <c r="M327" s="237"/>
      <c r="N327" s="234"/>
      <c r="O327" s="239"/>
      <c r="P327" s="239"/>
      <c r="S327" s="406"/>
      <c r="T327" s="406"/>
    </row>
    <row r="328" spans="2:20" s="272" customFormat="1">
      <c r="B328" s="238"/>
      <c r="C328" s="238"/>
      <c r="D328" s="237"/>
      <c r="E328" s="237"/>
      <c r="F328" s="237"/>
      <c r="G328" s="234"/>
      <c r="H328" s="234"/>
      <c r="I328" s="234"/>
      <c r="J328" s="234"/>
      <c r="K328" s="234"/>
      <c r="L328" s="237"/>
      <c r="M328" s="237"/>
      <c r="N328" s="234"/>
      <c r="O328" s="239"/>
      <c r="P328" s="239"/>
      <c r="S328" s="406"/>
      <c r="T328" s="406"/>
    </row>
    <row r="329" spans="2:20" s="272" customFormat="1">
      <c r="B329" s="238"/>
      <c r="C329" s="238"/>
      <c r="D329" s="237"/>
      <c r="E329" s="237"/>
      <c r="F329" s="237"/>
      <c r="G329" s="234"/>
      <c r="H329" s="234"/>
      <c r="I329" s="234"/>
      <c r="J329" s="234"/>
      <c r="K329" s="234"/>
      <c r="L329" s="237"/>
      <c r="M329" s="237"/>
      <c r="N329" s="234"/>
      <c r="O329" s="239"/>
      <c r="P329" s="239"/>
      <c r="S329" s="406"/>
      <c r="T329" s="406"/>
    </row>
    <row r="330" spans="2:20" s="272" customFormat="1">
      <c r="B330" s="238"/>
      <c r="C330" s="238"/>
      <c r="D330" s="237"/>
      <c r="E330" s="237"/>
      <c r="F330" s="237"/>
      <c r="G330" s="234"/>
      <c r="H330" s="234"/>
      <c r="I330" s="234"/>
      <c r="J330" s="234"/>
      <c r="K330" s="234"/>
      <c r="L330" s="237"/>
      <c r="M330" s="237"/>
      <c r="N330" s="234"/>
      <c r="O330" s="239"/>
      <c r="P330" s="239"/>
      <c r="S330" s="406"/>
      <c r="T330" s="406"/>
    </row>
    <row r="331" spans="2:20" s="272" customFormat="1">
      <c r="B331" s="238"/>
      <c r="C331" s="238"/>
      <c r="D331" s="237"/>
      <c r="E331" s="237"/>
      <c r="F331" s="237"/>
      <c r="G331" s="234"/>
      <c r="H331" s="234"/>
      <c r="I331" s="234"/>
      <c r="J331" s="234"/>
      <c r="K331" s="234"/>
      <c r="L331" s="237"/>
      <c r="M331" s="237"/>
      <c r="N331" s="234"/>
      <c r="O331" s="239"/>
      <c r="P331" s="239"/>
      <c r="S331" s="406"/>
      <c r="T331" s="406"/>
    </row>
    <row r="332" spans="2:20" s="272" customFormat="1">
      <c r="B332" s="238"/>
      <c r="C332" s="238"/>
      <c r="D332" s="237"/>
      <c r="E332" s="237"/>
      <c r="F332" s="237"/>
      <c r="G332" s="234"/>
      <c r="H332" s="234"/>
      <c r="I332" s="234"/>
      <c r="J332" s="234"/>
      <c r="K332" s="234"/>
      <c r="L332" s="237"/>
      <c r="M332" s="237"/>
      <c r="N332" s="234"/>
      <c r="O332" s="239"/>
      <c r="P332" s="239"/>
      <c r="S332" s="406"/>
      <c r="T332" s="406"/>
    </row>
    <row r="333" spans="2:20" s="272" customFormat="1">
      <c r="B333" s="238"/>
      <c r="C333" s="238"/>
      <c r="D333" s="237"/>
      <c r="E333" s="237"/>
      <c r="F333" s="237"/>
      <c r="G333" s="234"/>
      <c r="H333" s="234"/>
      <c r="I333" s="234"/>
      <c r="J333" s="234"/>
      <c r="K333" s="234"/>
      <c r="L333" s="237"/>
      <c r="M333" s="237"/>
      <c r="N333" s="234"/>
      <c r="O333" s="239"/>
      <c r="P333" s="239"/>
      <c r="S333" s="406"/>
      <c r="T333" s="406"/>
    </row>
    <row r="334" spans="2:20" s="272" customFormat="1">
      <c r="B334" s="238"/>
      <c r="C334" s="238"/>
      <c r="D334" s="237"/>
      <c r="E334" s="237"/>
      <c r="F334" s="237"/>
      <c r="G334" s="234"/>
      <c r="H334" s="234"/>
      <c r="I334" s="234"/>
      <c r="J334" s="234"/>
      <c r="K334" s="234"/>
      <c r="L334" s="237"/>
      <c r="M334" s="237"/>
      <c r="N334" s="234"/>
      <c r="O334" s="239"/>
      <c r="P334" s="239"/>
      <c r="S334" s="406"/>
      <c r="T334" s="406"/>
    </row>
    <row r="335" spans="2:20" s="272" customFormat="1">
      <c r="B335" s="238"/>
      <c r="C335" s="238"/>
      <c r="D335" s="237"/>
      <c r="E335" s="237"/>
      <c r="F335" s="237"/>
      <c r="G335" s="234"/>
      <c r="H335" s="234"/>
      <c r="I335" s="234"/>
      <c r="J335" s="234"/>
      <c r="K335" s="234"/>
      <c r="L335" s="237"/>
      <c r="M335" s="237"/>
      <c r="N335" s="234"/>
      <c r="O335" s="239"/>
      <c r="P335" s="239"/>
      <c r="S335" s="406"/>
      <c r="T335" s="406"/>
    </row>
    <row r="336" spans="2:20" s="272" customFormat="1">
      <c r="B336" s="238"/>
      <c r="C336" s="238"/>
      <c r="D336" s="237"/>
      <c r="E336" s="237"/>
      <c r="F336" s="237"/>
      <c r="G336" s="234"/>
      <c r="H336" s="234"/>
      <c r="I336" s="234"/>
      <c r="J336" s="234"/>
      <c r="K336" s="234"/>
      <c r="L336" s="237"/>
      <c r="M336" s="237"/>
      <c r="N336" s="234"/>
      <c r="O336" s="239"/>
      <c r="P336" s="239"/>
      <c r="S336" s="406"/>
      <c r="T336" s="406"/>
    </row>
    <row r="337" spans="2:20" s="272" customFormat="1">
      <c r="B337" s="238"/>
      <c r="C337" s="238"/>
      <c r="D337" s="237"/>
      <c r="E337" s="237"/>
      <c r="F337" s="237"/>
      <c r="G337" s="234"/>
      <c r="H337" s="234"/>
      <c r="I337" s="234"/>
      <c r="J337" s="234"/>
      <c r="K337" s="234"/>
      <c r="L337" s="237"/>
      <c r="M337" s="237"/>
      <c r="N337" s="234"/>
      <c r="O337" s="239"/>
      <c r="P337" s="239"/>
      <c r="S337" s="406"/>
      <c r="T337" s="406"/>
    </row>
    <row r="338" spans="2:20" s="272" customFormat="1">
      <c r="B338" s="238"/>
      <c r="C338" s="238"/>
      <c r="D338" s="237"/>
      <c r="E338" s="237"/>
      <c r="F338" s="237"/>
      <c r="G338" s="234"/>
      <c r="H338" s="234"/>
      <c r="I338" s="234"/>
      <c r="J338" s="234"/>
      <c r="K338" s="234"/>
      <c r="L338" s="237"/>
      <c r="M338" s="237"/>
      <c r="N338" s="234"/>
      <c r="O338" s="239"/>
      <c r="P338" s="239"/>
      <c r="S338" s="406"/>
      <c r="T338" s="406"/>
    </row>
    <row r="339" spans="2:20" s="272" customFormat="1">
      <c r="B339" s="238"/>
      <c r="C339" s="238"/>
      <c r="D339" s="237"/>
      <c r="E339" s="237"/>
      <c r="F339" s="237"/>
      <c r="G339" s="234"/>
      <c r="H339" s="234"/>
      <c r="I339" s="234"/>
      <c r="J339" s="234"/>
      <c r="K339" s="234"/>
      <c r="L339" s="237"/>
      <c r="M339" s="237"/>
      <c r="N339" s="234"/>
      <c r="O339" s="239"/>
      <c r="P339" s="239"/>
      <c r="S339" s="406"/>
      <c r="T339" s="406"/>
    </row>
    <row r="340" spans="2:20" s="272" customFormat="1">
      <c r="B340" s="238"/>
      <c r="C340" s="238"/>
      <c r="D340" s="237"/>
      <c r="E340" s="237"/>
      <c r="F340" s="237"/>
      <c r="G340" s="234"/>
      <c r="H340" s="234"/>
      <c r="I340" s="234"/>
      <c r="J340" s="234"/>
      <c r="K340" s="234"/>
      <c r="L340" s="237"/>
      <c r="M340" s="237"/>
      <c r="N340" s="234"/>
      <c r="O340" s="239"/>
      <c r="P340" s="239"/>
      <c r="S340" s="406"/>
      <c r="T340" s="406"/>
    </row>
    <row r="341" spans="2:20" s="272" customFormat="1">
      <c r="B341" s="238"/>
      <c r="C341" s="238"/>
      <c r="D341" s="237"/>
      <c r="E341" s="237"/>
      <c r="F341" s="237"/>
      <c r="G341" s="234"/>
      <c r="H341" s="234"/>
      <c r="I341" s="234"/>
      <c r="J341" s="234"/>
      <c r="K341" s="234"/>
      <c r="L341" s="237"/>
      <c r="M341" s="237"/>
      <c r="N341" s="234"/>
      <c r="O341" s="239"/>
      <c r="P341" s="239"/>
      <c r="S341" s="406"/>
      <c r="T341" s="406"/>
    </row>
    <row r="342" spans="2:20" s="272" customFormat="1">
      <c r="B342" s="238"/>
      <c r="C342" s="238"/>
      <c r="D342" s="237"/>
      <c r="E342" s="237"/>
      <c r="F342" s="237"/>
      <c r="G342" s="234"/>
      <c r="H342" s="234"/>
      <c r="I342" s="234"/>
      <c r="J342" s="234"/>
      <c r="K342" s="234"/>
      <c r="L342" s="237"/>
      <c r="M342" s="237"/>
      <c r="N342" s="234"/>
      <c r="O342" s="239"/>
      <c r="P342" s="239"/>
      <c r="S342" s="406"/>
      <c r="T342" s="406"/>
    </row>
    <row r="343" spans="2:20" s="272" customFormat="1">
      <c r="B343" s="238"/>
      <c r="C343" s="238"/>
      <c r="D343" s="237"/>
      <c r="E343" s="237"/>
      <c r="F343" s="237"/>
      <c r="G343" s="234"/>
      <c r="H343" s="234"/>
      <c r="I343" s="234"/>
      <c r="J343" s="234"/>
      <c r="K343" s="234"/>
      <c r="L343" s="237"/>
      <c r="M343" s="237"/>
      <c r="N343" s="234"/>
      <c r="O343" s="239"/>
      <c r="P343" s="239"/>
      <c r="S343" s="406"/>
      <c r="T343" s="406"/>
    </row>
    <row r="344" spans="2:20" s="272" customFormat="1">
      <c r="B344" s="238"/>
      <c r="C344" s="238"/>
      <c r="D344" s="237"/>
      <c r="E344" s="237"/>
      <c r="F344" s="237"/>
      <c r="G344" s="234"/>
      <c r="H344" s="234"/>
      <c r="I344" s="234"/>
      <c r="J344" s="234"/>
      <c r="K344" s="234"/>
      <c r="L344" s="237"/>
      <c r="M344" s="237"/>
      <c r="N344" s="234"/>
      <c r="O344" s="239"/>
      <c r="P344" s="239"/>
      <c r="S344" s="406"/>
      <c r="T344" s="406"/>
    </row>
    <row r="345" spans="2:20" s="272" customFormat="1">
      <c r="B345" s="238"/>
      <c r="C345" s="238"/>
      <c r="D345" s="237"/>
      <c r="E345" s="237"/>
      <c r="F345" s="237"/>
      <c r="G345" s="234"/>
      <c r="H345" s="234"/>
      <c r="I345" s="234"/>
      <c r="J345" s="234"/>
      <c r="K345" s="234"/>
      <c r="L345" s="237"/>
      <c r="M345" s="237"/>
      <c r="N345" s="234"/>
      <c r="O345" s="239"/>
      <c r="P345" s="239"/>
      <c r="S345" s="406"/>
      <c r="T345" s="406"/>
    </row>
    <row r="346" spans="2:20" s="272" customFormat="1">
      <c r="B346" s="238"/>
      <c r="C346" s="238"/>
      <c r="D346" s="237"/>
      <c r="E346" s="237"/>
      <c r="F346" s="237"/>
      <c r="G346" s="234"/>
      <c r="H346" s="234"/>
      <c r="I346" s="234"/>
      <c r="J346" s="234"/>
      <c r="K346" s="234"/>
      <c r="L346" s="237"/>
      <c r="M346" s="237"/>
      <c r="N346" s="234"/>
      <c r="O346" s="239"/>
      <c r="P346" s="239"/>
      <c r="S346" s="406"/>
      <c r="T346" s="406"/>
    </row>
    <row r="347" spans="2:20" s="272" customFormat="1">
      <c r="B347" s="238"/>
      <c r="C347" s="238"/>
      <c r="D347" s="237"/>
      <c r="E347" s="237"/>
      <c r="F347" s="237"/>
      <c r="G347" s="234"/>
      <c r="H347" s="234"/>
      <c r="I347" s="234"/>
      <c r="J347" s="234"/>
      <c r="K347" s="234"/>
      <c r="L347" s="237"/>
      <c r="M347" s="237"/>
      <c r="N347" s="234"/>
      <c r="O347" s="239"/>
      <c r="P347" s="239"/>
      <c r="S347" s="406"/>
      <c r="T347" s="406"/>
    </row>
    <row r="348" spans="2:20" s="272" customFormat="1">
      <c r="B348" s="238"/>
      <c r="C348" s="238"/>
      <c r="D348" s="237"/>
      <c r="E348" s="237"/>
      <c r="F348" s="237"/>
      <c r="G348" s="234"/>
      <c r="H348" s="234"/>
      <c r="I348" s="234"/>
      <c r="J348" s="234"/>
      <c r="K348" s="234"/>
      <c r="L348" s="237"/>
      <c r="M348" s="237"/>
      <c r="N348" s="234"/>
      <c r="O348" s="239"/>
      <c r="P348" s="239"/>
      <c r="S348" s="406"/>
      <c r="T348" s="406"/>
    </row>
    <row r="349" spans="2:20" s="272" customFormat="1">
      <c r="B349" s="238"/>
      <c r="C349" s="238"/>
      <c r="D349" s="237"/>
      <c r="E349" s="237"/>
      <c r="F349" s="237"/>
      <c r="G349" s="234"/>
      <c r="H349" s="234"/>
      <c r="I349" s="234"/>
      <c r="J349" s="234"/>
      <c r="K349" s="234"/>
      <c r="L349" s="237"/>
      <c r="M349" s="237"/>
      <c r="N349" s="234"/>
      <c r="O349" s="239"/>
      <c r="P349" s="239"/>
      <c r="S349" s="406"/>
      <c r="T349" s="406"/>
    </row>
    <row r="350" spans="2:20" s="272" customFormat="1">
      <c r="B350" s="238"/>
      <c r="C350" s="238"/>
      <c r="D350" s="237"/>
      <c r="E350" s="237"/>
      <c r="F350" s="237"/>
      <c r="G350" s="234"/>
      <c r="H350" s="234"/>
      <c r="I350" s="234"/>
      <c r="J350" s="234"/>
      <c r="K350" s="234"/>
      <c r="L350" s="237"/>
      <c r="M350" s="237"/>
      <c r="N350" s="234"/>
      <c r="O350" s="239"/>
      <c r="P350" s="239"/>
      <c r="S350" s="406"/>
      <c r="T350" s="406"/>
    </row>
    <row r="351" spans="2:20" s="272" customFormat="1">
      <c r="B351" s="238"/>
      <c r="C351" s="238"/>
      <c r="D351" s="237"/>
      <c r="E351" s="237"/>
      <c r="F351" s="237"/>
      <c r="G351" s="234"/>
      <c r="H351" s="234"/>
      <c r="I351" s="234"/>
      <c r="J351" s="234"/>
      <c r="K351" s="234"/>
      <c r="L351" s="237"/>
      <c r="M351" s="237"/>
      <c r="N351" s="234"/>
      <c r="O351" s="239"/>
      <c r="P351" s="239"/>
      <c r="S351" s="406"/>
      <c r="T351" s="406"/>
    </row>
    <row r="352" spans="2:20" s="272" customFormat="1">
      <c r="B352" s="238"/>
      <c r="C352" s="238"/>
      <c r="D352" s="237"/>
      <c r="E352" s="237"/>
      <c r="F352" s="237"/>
      <c r="G352" s="234"/>
      <c r="H352" s="234"/>
      <c r="I352" s="234"/>
      <c r="J352" s="234"/>
      <c r="K352" s="234"/>
      <c r="L352" s="237"/>
      <c r="M352" s="237"/>
      <c r="N352" s="234"/>
      <c r="O352" s="239"/>
      <c r="P352" s="239"/>
      <c r="S352" s="406"/>
      <c r="T352" s="406"/>
    </row>
    <row r="353" spans="2:20" s="272" customFormat="1">
      <c r="B353" s="238"/>
      <c r="C353" s="238"/>
      <c r="D353" s="237"/>
      <c r="E353" s="237"/>
      <c r="F353" s="237"/>
      <c r="G353" s="234"/>
      <c r="H353" s="234"/>
      <c r="I353" s="234"/>
      <c r="J353" s="234"/>
      <c r="K353" s="234"/>
      <c r="L353" s="237"/>
      <c r="M353" s="237"/>
      <c r="N353" s="234"/>
      <c r="O353" s="239"/>
      <c r="P353" s="239"/>
      <c r="S353" s="406"/>
      <c r="T353" s="406"/>
    </row>
    <row r="354" spans="2:20" s="272" customFormat="1">
      <c r="B354" s="238"/>
      <c r="C354" s="238"/>
      <c r="D354" s="237"/>
      <c r="E354" s="237"/>
      <c r="F354" s="237"/>
      <c r="G354" s="234"/>
      <c r="H354" s="234"/>
      <c r="I354" s="234"/>
      <c r="J354" s="234"/>
      <c r="K354" s="234"/>
      <c r="L354" s="237"/>
      <c r="M354" s="237"/>
      <c r="N354" s="234"/>
      <c r="O354" s="239"/>
      <c r="P354" s="239"/>
      <c r="S354" s="406"/>
      <c r="T354" s="406"/>
    </row>
    <row r="355" spans="2:20" s="272" customFormat="1">
      <c r="B355" s="238"/>
      <c r="C355" s="238"/>
      <c r="D355" s="237"/>
      <c r="E355" s="237"/>
      <c r="F355" s="237"/>
      <c r="G355" s="234"/>
      <c r="H355" s="234"/>
      <c r="I355" s="234"/>
      <c r="J355" s="234"/>
      <c r="K355" s="234"/>
      <c r="L355" s="237"/>
      <c r="M355" s="237"/>
      <c r="N355" s="234"/>
      <c r="O355" s="239"/>
      <c r="P355" s="239"/>
      <c r="S355" s="406"/>
      <c r="T355" s="406"/>
    </row>
    <row r="356" spans="2:20" s="272" customFormat="1">
      <c r="B356" s="238"/>
      <c r="C356" s="238"/>
      <c r="D356" s="237"/>
      <c r="E356" s="237"/>
      <c r="F356" s="237"/>
      <c r="G356" s="234"/>
      <c r="H356" s="234"/>
      <c r="I356" s="234"/>
      <c r="J356" s="234"/>
      <c r="K356" s="234"/>
      <c r="L356" s="237"/>
      <c r="M356" s="237"/>
      <c r="N356" s="234"/>
      <c r="O356" s="239"/>
      <c r="P356" s="239"/>
      <c r="S356" s="406"/>
      <c r="T356" s="406"/>
    </row>
    <row r="357" spans="2:20" s="272" customFormat="1">
      <c r="B357" s="238"/>
      <c r="C357" s="238"/>
      <c r="D357" s="237"/>
      <c r="E357" s="237"/>
      <c r="F357" s="237"/>
      <c r="G357" s="234"/>
      <c r="H357" s="234"/>
      <c r="I357" s="234"/>
      <c r="J357" s="234"/>
      <c r="K357" s="234"/>
      <c r="L357" s="237"/>
      <c r="M357" s="237"/>
      <c r="N357" s="234"/>
      <c r="O357" s="239"/>
      <c r="P357" s="239"/>
      <c r="S357" s="406"/>
      <c r="T357" s="406"/>
    </row>
    <row r="358" spans="2:20" s="272" customFormat="1">
      <c r="B358" s="238"/>
      <c r="C358" s="238"/>
      <c r="D358" s="237"/>
      <c r="E358" s="237"/>
      <c r="F358" s="237"/>
      <c r="G358" s="234"/>
      <c r="H358" s="234"/>
      <c r="I358" s="234"/>
      <c r="J358" s="234"/>
      <c r="K358" s="234"/>
      <c r="L358" s="237"/>
      <c r="M358" s="237"/>
      <c r="N358" s="234"/>
      <c r="O358" s="239"/>
      <c r="P358" s="239"/>
      <c r="S358" s="406"/>
      <c r="T358" s="406"/>
    </row>
    <row r="359" spans="2:20" s="272" customFormat="1">
      <c r="B359" s="238"/>
      <c r="C359" s="238"/>
      <c r="D359" s="237"/>
      <c r="E359" s="237"/>
      <c r="F359" s="237"/>
      <c r="G359" s="234"/>
      <c r="H359" s="234"/>
      <c r="I359" s="234"/>
      <c r="J359" s="234"/>
      <c r="K359" s="234"/>
      <c r="L359" s="237"/>
      <c r="M359" s="237"/>
      <c r="N359" s="234"/>
      <c r="O359" s="239"/>
      <c r="P359" s="239"/>
      <c r="S359" s="406"/>
      <c r="T359" s="406"/>
    </row>
    <row r="360" spans="2:20" s="272" customFormat="1">
      <c r="B360" s="238"/>
      <c r="C360" s="238"/>
      <c r="D360" s="237"/>
      <c r="E360" s="237"/>
      <c r="F360" s="237"/>
      <c r="G360" s="234"/>
      <c r="H360" s="234"/>
      <c r="I360" s="234"/>
      <c r="J360" s="234"/>
      <c r="K360" s="234"/>
      <c r="L360" s="237"/>
      <c r="M360" s="237"/>
      <c r="N360" s="234"/>
      <c r="O360" s="239"/>
      <c r="P360" s="239"/>
      <c r="S360" s="406"/>
      <c r="T360" s="406"/>
    </row>
    <row r="361" spans="2:20" s="272" customFormat="1">
      <c r="B361" s="238"/>
      <c r="C361" s="238"/>
      <c r="D361" s="237"/>
      <c r="E361" s="237"/>
      <c r="F361" s="237"/>
      <c r="G361" s="234"/>
      <c r="H361" s="234"/>
      <c r="I361" s="234"/>
      <c r="J361" s="234"/>
      <c r="K361" s="234"/>
      <c r="L361" s="237"/>
      <c r="M361" s="237"/>
      <c r="N361" s="234"/>
      <c r="O361" s="239"/>
      <c r="P361" s="239"/>
      <c r="S361" s="406"/>
      <c r="T361" s="406"/>
    </row>
    <row r="362" spans="2:20" s="272" customFormat="1">
      <c r="B362" s="238"/>
      <c r="C362" s="238"/>
      <c r="D362" s="237"/>
      <c r="E362" s="237"/>
      <c r="F362" s="237"/>
      <c r="G362" s="234"/>
      <c r="H362" s="234"/>
      <c r="I362" s="234"/>
      <c r="J362" s="234"/>
      <c r="K362" s="234"/>
      <c r="L362" s="237"/>
      <c r="M362" s="237"/>
      <c r="N362" s="234"/>
      <c r="O362" s="239"/>
      <c r="P362" s="239"/>
      <c r="S362" s="406"/>
      <c r="T362" s="406"/>
    </row>
    <row r="363" spans="2:20" s="272" customFormat="1">
      <c r="B363" s="238"/>
      <c r="C363" s="238"/>
      <c r="D363" s="237"/>
      <c r="E363" s="237"/>
      <c r="F363" s="237"/>
      <c r="G363" s="234"/>
      <c r="H363" s="234"/>
      <c r="I363" s="234"/>
      <c r="J363" s="234"/>
      <c r="K363" s="234"/>
      <c r="L363" s="237"/>
      <c r="M363" s="237"/>
      <c r="N363" s="234"/>
      <c r="O363" s="239"/>
      <c r="P363" s="239"/>
      <c r="S363" s="406"/>
      <c r="T363" s="406"/>
    </row>
    <row r="364" spans="2:20" s="272" customFormat="1">
      <c r="B364" s="238"/>
      <c r="C364" s="238"/>
      <c r="D364" s="237"/>
      <c r="E364" s="237"/>
      <c r="F364" s="237"/>
      <c r="G364" s="234"/>
      <c r="H364" s="234"/>
      <c r="I364" s="234"/>
      <c r="J364" s="234"/>
      <c r="K364" s="234"/>
      <c r="L364" s="237"/>
      <c r="M364" s="237"/>
      <c r="N364" s="234"/>
      <c r="O364" s="239"/>
      <c r="P364" s="239"/>
      <c r="S364" s="406"/>
      <c r="T364" s="406"/>
    </row>
    <row r="365" spans="2:20" s="272" customFormat="1">
      <c r="B365" s="238"/>
      <c r="C365" s="238"/>
      <c r="D365" s="237"/>
      <c r="E365" s="237"/>
      <c r="F365" s="237"/>
      <c r="G365" s="234"/>
      <c r="H365" s="234"/>
      <c r="I365" s="234"/>
      <c r="J365" s="234"/>
      <c r="K365" s="234"/>
      <c r="L365" s="237"/>
      <c r="M365" s="237"/>
      <c r="N365" s="234"/>
      <c r="O365" s="239"/>
      <c r="P365" s="239"/>
      <c r="S365" s="406"/>
      <c r="T365" s="406"/>
    </row>
    <row r="366" spans="2:20" s="272" customFormat="1">
      <c r="B366" s="238"/>
      <c r="C366" s="238"/>
      <c r="D366" s="237"/>
      <c r="E366" s="237"/>
      <c r="F366" s="237"/>
      <c r="G366" s="234"/>
      <c r="H366" s="234"/>
      <c r="I366" s="234"/>
      <c r="J366" s="234"/>
      <c r="K366" s="234"/>
      <c r="L366" s="237"/>
      <c r="M366" s="237"/>
      <c r="N366" s="234"/>
      <c r="O366" s="239"/>
      <c r="P366" s="239"/>
      <c r="S366" s="406"/>
      <c r="T366" s="406"/>
    </row>
    <row r="367" spans="2:20" s="272" customFormat="1">
      <c r="B367" s="238"/>
      <c r="C367" s="238"/>
      <c r="D367" s="237"/>
      <c r="E367" s="237"/>
      <c r="F367" s="237"/>
      <c r="G367" s="234"/>
      <c r="H367" s="234"/>
      <c r="I367" s="234"/>
      <c r="J367" s="234"/>
      <c r="K367" s="234"/>
      <c r="L367" s="237"/>
      <c r="M367" s="237"/>
      <c r="N367" s="234"/>
      <c r="O367" s="239"/>
      <c r="P367" s="239"/>
      <c r="S367" s="406"/>
      <c r="T367" s="406"/>
    </row>
    <row r="368" spans="2:20" s="272" customFormat="1">
      <c r="B368" s="238"/>
      <c r="C368" s="238"/>
      <c r="D368" s="237"/>
      <c r="E368" s="237"/>
      <c r="F368" s="237"/>
      <c r="G368" s="234"/>
      <c r="H368" s="234"/>
      <c r="I368" s="234"/>
      <c r="J368" s="234"/>
      <c r="K368" s="234"/>
      <c r="L368" s="237"/>
      <c r="M368" s="237"/>
      <c r="N368" s="234"/>
      <c r="O368" s="239"/>
      <c r="P368" s="239"/>
      <c r="S368" s="406"/>
      <c r="T368" s="406"/>
    </row>
    <row r="369" spans="2:20" s="272" customFormat="1">
      <c r="B369" s="238"/>
      <c r="C369" s="238"/>
      <c r="D369" s="237"/>
      <c r="E369" s="237"/>
      <c r="F369" s="237"/>
      <c r="G369" s="234"/>
      <c r="H369" s="234"/>
      <c r="I369" s="234"/>
      <c r="J369" s="234"/>
      <c r="K369" s="234"/>
      <c r="L369" s="237"/>
      <c r="M369" s="237"/>
      <c r="N369" s="234"/>
      <c r="O369" s="239"/>
      <c r="P369" s="239"/>
      <c r="S369" s="406"/>
      <c r="T369" s="406"/>
    </row>
    <row r="370" spans="2:20" s="272" customFormat="1">
      <c r="B370" s="238"/>
      <c r="C370" s="238"/>
      <c r="D370" s="237"/>
      <c r="E370" s="237"/>
      <c r="F370" s="237"/>
      <c r="G370" s="234"/>
      <c r="H370" s="234"/>
      <c r="I370" s="234"/>
      <c r="J370" s="234"/>
      <c r="K370" s="234"/>
      <c r="L370" s="237"/>
      <c r="M370" s="237"/>
      <c r="N370" s="234"/>
      <c r="O370" s="239"/>
      <c r="P370" s="239"/>
      <c r="S370" s="406"/>
      <c r="T370" s="406"/>
    </row>
    <row r="371" spans="2:20" s="272" customFormat="1">
      <c r="B371" s="238"/>
      <c r="C371" s="238"/>
      <c r="D371" s="237"/>
      <c r="E371" s="237"/>
      <c r="F371" s="237"/>
      <c r="G371" s="234"/>
      <c r="H371" s="234"/>
      <c r="I371" s="234"/>
      <c r="J371" s="234"/>
      <c r="K371" s="234"/>
      <c r="L371" s="237"/>
      <c r="M371" s="237"/>
      <c r="N371" s="234"/>
      <c r="O371" s="239"/>
      <c r="P371" s="239"/>
      <c r="S371" s="406"/>
      <c r="T371" s="406"/>
    </row>
    <row r="372" spans="2:20" s="272" customFormat="1">
      <c r="B372" s="238"/>
      <c r="C372" s="238"/>
      <c r="D372" s="237"/>
      <c r="E372" s="237"/>
      <c r="F372" s="237"/>
      <c r="G372" s="234"/>
      <c r="H372" s="234"/>
      <c r="I372" s="234"/>
      <c r="J372" s="234"/>
      <c r="K372" s="234"/>
      <c r="L372" s="237"/>
      <c r="M372" s="237"/>
      <c r="N372" s="234"/>
      <c r="O372" s="239"/>
      <c r="P372" s="239"/>
      <c r="S372" s="406"/>
      <c r="T372" s="406"/>
    </row>
    <row r="373" spans="2:20" s="272" customFormat="1">
      <c r="B373" s="238"/>
      <c r="C373" s="238"/>
      <c r="D373" s="237"/>
      <c r="E373" s="237"/>
      <c r="F373" s="237"/>
      <c r="G373" s="234"/>
      <c r="H373" s="234"/>
      <c r="I373" s="234"/>
      <c r="J373" s="234"/>
      <c r="K373" s="234"/>
      <c r="L373" s="237"/>
      <c r="M373" s="237"/>
      <c r="N373" s="234"/>
      <c r="O373" s="239"/>
      <c r="P373" s="239"/>
      <c r="S373" s="406"/>
      <c r="T373" s="406"/>
    </row>
    <row r="374" spans="2:20" s="272" customFormat="1">
      <c r="B374" s="238"/>
      <c r="C374" s="238"/>
      <c r="D374" s="237"/>
      <c r="E374" s="237"/>
      <c r="F374" s="237"/>
      <c r="G374" s="234"/>
      <c r="H374" s="234"/>
      <c r="I374" s="234"/>
      <c r="J374" s="234"/>
      <c r="K374" s="234"/>
      <c r="L374" s="237"/>
      <c r="M374" s="237"/>
      <c r="N374" s="234"/>
      <c r="O374" s="239"/>
      <c r="P374" s="239"/>
      <c r="S374" s="406"/>
      <c r="T374" s="406"/>
    </row>
    <row r="375" spans="2:20" s="272" customFormat="1">
      <c r="B375" s="238"/>
      <c r="C375" s="238"/>
      <c r="D375" s="237"/>
      <c r="E375" s="237"/>
      <c r="F375" s="237"/>
      <c r="G375" s="234"/>
      <c r="H375" s="234"/>
      <c r="I375" s="234"/>
      <c r="J375" s="234"/>
      <c r="K375" s="234"/>
      <c r="L375" s="237"/>
      <c r="M375" s="237"/>
      <c r="N375" s="234"/>
      <c r="O375" s="239"/>
      <c r="P375" s="239"/>
      <c r="S375" s="406"/>
      <c r="T375" s="406"/>
    </row>
    <row r="376" spans="2:20" s="272" customFormat="1">
      <c r="B376" s="238"/>
      <c r="C376" s="238"/>
      <c r="D376" s="237"/>
      <c r="E376" s="237"/>
      <c r="F376" s="237"/>
      <c r="G376" s="234"/>
      <c r="H376" s="234"/>
      <c r="I376" s="234"/>
      <c r="J376" s="234"/>
      <c r="K376" s="234"/>
      <c r="L376" s="237"/>
      <c r="M376" s="237"/>
      <c r="N376" s="234"/>
      <c r="O376" s="239"/>
      <c r="P376" s="239"/>
      <c r="S376" s="406"/>
      <c r="T376" s="406"/>
    </row>
    <row r="377" spans="2:20" s="272" customFormat="1">
      <c r="B377" s="238"/>
      <c r="C377" s="238"/>
      <c r="D377" s="237"/>
      <c r="E377" s="237"/>
      <c r="F377" s="237"/>
      <c r="G377" s="234"/>
      <c r="H377" s="234"/>
      <c r="I377" s="234"/>
      <c r="J377" s="234"/>
      <c r="K377" s="234"/>
      <c r="L377" s="237"/>
      <c r="M377" s="237"/>
      <c r="N377" s="234"/>
      <c r="O377" s="239"/>
      <c r="P377" s="239"/>
      <c r="S377" s="406"/>
      <c r="T377" s="406"/>
    </row>
    <row r="378" spans="2:20" s="272" customFormat="1">
      <c r="B378" s="238"/>
      <c r="C378" s="238"/>
      <c r="D378" s="237"/>
      <c r="E378" s="237"/>
      <c r="F378" s="237"/>
      <c r="G378" s="234"/>
      <c r="H378" s="234"/>
      <c r="I378" s="234"/>
      <c r="J378" s="234"/>
      <c r="K378" s="234"/>
      <c r="L378" s="237"/>
      <c r="M378" s="237"/>
      <c r="N378" s="234"/>
      <c r="O378" s="239"/>
      <c r="P378" s="239"/>
      <c r="S378" s="406"/>
      <c r="T378" s="406"/>
    </row>
    <row r="379" spans="2:20" s="272" customFormat="1">
      <c r="B379" s="238"/>
      <c r="C379" s="238"/>
      <c r="D379" s="237"/>
      <c r="E379" s="237"/>
      <c r="F379" s="237"/>
      <c r="G379" s="234"/>
      <c r="H379" s="234"/>
      <c r="I379" s="234"/>
      <c r="J379" s="234"/>
      <c r="K379" s="234"/>
      <c r="L379" s="237"/>
      <c r="M379" s="237"/>
      <c r="N379" s="234"/>
      <c r="O379" s="239"/>
      <c r="P379" s="239"/>
      <c r="S379" s="406"/>
      <c r="T379" s="406"/>
    </row>
    <row r="380" spans="2:20" s="272" customFormat="1">
      <c r="B380" s="238"/>
      <c r="C380" s="238"/>
      <c r="D380" s="237"/>
      <c r="E380" s="237"/>
      <c r="F380" s="237"/>
      <c r="G380" s="234"/>
      <c r="H380" s="234"/>
      <c r="I380" s="234"/>
      <c r="J380" s="234"/>
      <c r="K380" s="234"/>
      <c r="L380" s="237"/>
      <c r="M380" s="237"/>
      <c r="N380" s="234"/>
      <c r="O380" s="239"/>
      <c r="P380" s="239"/>
      <c r="S380" s="406"/>
      <c r="T380" s="406"/>
    </row>
    <row r="381" spans="2:20" s="272" customFormat="1">
      <c r="B381" s="238"/>
      <c r="C381" s="238"/>
      <c r="D381" s="237"/>
      <c r="E381" s="237"/>
      <c r="F381" s="237"/>
      <c r="G381" s="234"/>
      <c r="H381" s="234"/>
      <c r="I381" s="234"/>
      <c r="J381" s="234"/>
      <c r="K381" s="234"/>
      <c r="L381" s="237"/>
      <c r="M381" s="237"/>
      <c r="N381" s="234"/>
      <c r="O381" s="239"/>
      <c r="P381" s="239"/>
      <c r="S381" s="406"/>
      <c r="T381" s="406"/>
    </row>
    <row r="382" spans="2:20" s="272" customFormat="1">
      <c r="B382" s="238"/>
      <c r="C382" s="238"/>
      <c r="D382" s="237"/>
      <c r="E382" s="237"/>
      <c r="F382" s="237"/>
      <c r="G382" s="234"/>
      <c r="H382" s="234"/>
      <c r="I382" s="234"/>
      <c r="J382" s="234"/>
      <c r="K382" s="234"/>
      <c r="L382" s="237"/>
      <c r="M382" s="237"/>
      <c r="N382" s="234"/>
      <c r="O382" s="239"/>
      <c r="P382" s="239"/>
      <c r="S382" s="406"/>
      <c r="T382" s="406"/>
    </row>
    <row r="383" spans="2:20" s="272" customFormat="1">
      <c r="B383" s="238"/>
      <c r="C383" s="238"/>
      <c r="D383" s="237"/>
      <c r="E383" s="237"/>
      <c r="F383" s="237"/>
      <c r="G383" s="234"/>
      <c r="H383" s="234"/>
      <c r="I383" s="234"/>
      <c r="J383" s="234"/>
      <c r="K383" s="234"/>
      <c r="L383" s="237"/>
      <c r="M383" s="237"/>
      <c r="N383" s="234"/>
      <c r="O383" s="239"/>
      <c r="P383" s="239"/>
      <c r="S383" s="406"/>
      <c r="T383" s="406"/>
    </row>
    <row r="384" spans="2:20" s="272" customFormat="1">
      <c r="B384" s="238"/>
      <c r="C384" s="238"/>
      <c r="D384" s="237"/>
      <c r="E384" s="237"/>
      <c r="F384" s="237"/>
      <c r="G384" s="234"/>
      <c r="H384" s="234"/>
      <c r="I384" s="234"/>
      <c r="J384" s="234"/>
      <c r="K384" s="234"/>
      <c r="L384" s="237"/>
      <c r="M384" s="237"/>
      <c r="N384" s="234"/>
      <c r="O384" s="239"/>
      <c r="P384" s="239"/>
      <c r="S384" s="406"/>
      <c r="T384" s="406"/>
    </row>
  </sheetData>
  <mergeCells count="18">
    <mergeCell ref="B9:C9"/>
    <mergeCell ref="G2:H2"/>
    <mergeCell ref="B2:E2"/>
    <mergeCell ref="G3:H3"/>
    <mergeCell ref="G4:H4"/>
    <mergeCell ref="S7:S8"/>
    <mergeCell ref="G5:H5"/>
    <mergeCell ref="G6:H6"/>
    <mergeCell ref="N6:O6"/>
    <mergeCell ref="N5:O5"/>
    <mergeCell ref="N4:O4"/>
    <mergeCell ref="N3:O3"/>
    <mergeCell ref="N2:O2"/>
    <mergeCell ref="I6:M6"/>
    <mergeCell ref="I5:M5"/>
    <mergeCell ref="I4:M4"/>
    <mergeCell ref="I3:M3"/>
    <mergeCell ref="I2:M2"/>
  </mergeCells>
  <phoneticPr fontId="8" type="noConversion"/>
  <pageMargins left="0.7" right="0.7" top="0.75" bottom="0.75" header="0.3" footer="0.3"/>
  <pageSetup paperSize="9" orientation="portrait" horizontalDpi="0" verticalDpi="0"/>
  <ignoredErrors>
    <ignoredError sqref="B10:B40"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611A2-C691-0C42-ACD4-55C481B8EF5C}">
  <dimension ref="A1:AP381"/>
  <sheetViews>
    <sheetView zoomScale="140" zoomScaleNormal="140" workbookViewId="0">
      <pane ySplit="7" topLeftCell="A8" activePane="bottomLeft" state="frozen"/>
      <selection activeCell="C1" sqref="C1"/>
      <selection pane="bottomLeft" activeCell="Q32" sqref="Q32"/>
    </sheetView>
  </sheetViews>
  <sheetFormatPr baseColWidth="10" defaultColWidth="10.83203125" defaultRowHeight="15"/>
  <cols>
    <col min="1" max="1" width="1.5" style="272" customWidth="1"/>
    <col min="2" max="3" width="5.6640625" style="449" customWidth="1"/>
    <col min="4" max="5" width="11.1640625" style="450" bestFit="1" customWidth="1"/>
    <col min="6" max="6" width="4.5" style="450" customWidth="1"/>
    <col min="7" max="7" width="4.33203125" style="267" customWidth="1"/>
    <col min="8" max="8" width="10.83203125" style="267" customWidth="1"/>
    <col min="9" max="9" width="11.1640625" style="267" bestFit="1" customWidth="1"/>
    <col min="10" max="10" width="4.5" style="267" customWidth="1"/>
    <col min="11" max="11" width="4" style="267" customWidth="1"/>
    <col min="12" max="13" width="11.1640625" style="450" bestFit="1" customWidth="1"/>
    <col min="14" max="14" width="4" style="267" bestFit="1" customWidth="1"/>
    <col min="15" max="16" width="16.83203125" style="451" customWidth="1"/>
    <col min="17" max="17" width="48" style="273" customWidth="1"/>
    <col min="18" max="18" width="3.1640625" style="272" customWidth="1"/>
    <col min="19" max="19" width="8.83203125" style="272" customWidth="1"/>
    <col min="20" max="20" width="11.1640625" style="272" bestFit="1" customWidth="1"/>
    <col min="21" max="22" width="12.33203125" style="272" bestFit="1" customWidth="1"/>
    <col min="23" max="23" width="11.1640625" style="272" bestFit="1" customWidth="1"/>
    <col min="24"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row>
    <row r="2" spans="1:42" s="232" customFormat="1" ht="20" customHeight="1">
      <c r="B2" s="938" t="s">
        <v>283</v>
      </c>
      <c r="C2" s="939"/>
      <c r="D2" s="939"/>
      <c r="E2" s="939"/>
      <c r="F2" s="407"/>
      <c r="G2" s="934">
        <f>SUM(O10:O37)</f>
        <v>64368.1</v>
      </c>
      <c r="H2" s="935"/>
      <c r="I2" s="931" t="s">
        <v>1543</v>
      </c>
      <c r="J2" s="932"/>
      <c r="K2" s="932"/>
      <c r="L2" s="932"/>
      <c r="M2" s="933"/>
      <c r="N2" s="934">
        <f>SUM(D10:E37)/(G5)</f>
        <v>330.66458333333333</v>
      </c>
      <c r="O2" s="935"/>
      <c r="P2" s="408" t="s">
        <v>284</v>
      </c>
      <c r="Q2" s="409">
        <f>GEN!Q2+SUM(P10:P38)-SUM(M10:M38)-SUM(I10:I38)-SUM(E10:E38)-Q3</f>
        <v>24059.410000000003</v>
      </c>
      <c r="S2" s="274"/>
      <c r="T2" s="409"/>
    </row>
    <row r="3" spans="1:42" s="232" customFormat="1" ht="20" customHeight="1">
      <c r="B3" s="412" t="s">
        <v>285</v>
      </c>
      <c r="C3" s="413"/>
      <c r="D3" s="413"/>
      <c r="E3" s="413"/>
      <c r="F3" s="414"/>
      <c r="G3" s="934">
        <f>SUM(P10:P37)</f>
        <v>81218.3</v>
      </c>
      <c r="H3" s="935"/>
      <c r="I3" s="931" t="s">
        <v>1544</v>
      </c>
      <c r="J3" s="932"/>
      <c r="K3" s="932"/>
      <c r="L3" s="932"/>
      <c r="M3" s="933"/>
      <c r="N3" s="934">
        <f>SUM(H10:I37)/(G5-2)</f>
        <v>559.89090909090908</v>
      </c>
      <c r="O3" s="935"/>
      <c r="P3" s="408" t="s">
        <v>1545</v>
      </c>
      <c r="Q3" s="409">
        <f>SUMIFS(BANCA!$E:$E,BANCA!$B:$B,"&gt;=01/02/2025",BANCA!$B:$B,"&lt;=28/02/2025",BANCA!$D:$D,"Versamento contanti")</f>
        <v>16950</v>
      </c>
      <c r="S3" s="274"/>
      <c r="T3" s="409"/>
    </row>
    <row r="4" spans="1:42" s="232" customFormat="1" ht="20" customHeight="1">
      <c r="B4" s="412" t="s">
        <v>287</v>
      </c>
      <c r="C4" s="413"/>
      <c r="D4" s="413"/>
      <c r="E4" s="413"/>
      <c r="F4" s="414"/>
      <c r="G4" s="929">
        <f>G3/G2</f>
        <v>1.2617787382259225</v>
      </c>
      <c r="H4" s="930"/>
      <c r="I4" s="931" t="s">
        <v>1546</v>
      </c>
      <c r="J4" s="932"/>
      <c r="K4" s="932"/>
      <c r="L4" s="932"/>
      <c r="M4" s="933"/>
      <c r="N4" s="934">
        <f>SUM(L10:M37)/G5</f>
        <v>1838.1062499999998</v>
      </c>
      <c r="O4" s="935"/>
      <c r="P4" s="243"/>
      <c r="S4" s="274"/>
      <c r="T4" s="409"/>
    </row>
    <row r="5" spans="1:42" s="232" customFormat="1" ht="20" customHeight="1">
      <c r="B5" s="412" t="s">
        <v>288</v>
      </c>
      <c r="C5" s="413"/>
      <c r="D5" s="413"/>
      <c r="E5" s="413"/>
      <c r="F5" s="414"/>
      <c r="G5" s="936">
        <f>COUNTA(O10:O37)</f>
        <v>24</v>
      </c>
      <c r="H5" s="937"/>
      <c r="I5" s="931" t="s">
        <v>290</v>
      </c>
      <c r="J5" s="932"/>
      <c r="K5" s="932"/>
      <c r="L5" s="932"/>
      <c r="M5" s="933"/>
      <c r="N5" s="934">
        <f>SUM(E10:E37,M10:M37,I10:I37)</f>
        <v>30351.549999999996</v>
      </c>
      <c r="O5" s="930"/>
      <c r="P5" s="243"/>
      <c r="S5" s="274"/>
      <c r="T5" s="409"/>
    </row>
    <row r="6" spans="1:42" s="232" customFormat="1" ht="20" customHeight="1">
      <c r="B6" s="415" t="s">
        <v>289</v>
      </c>
      <c r="C6" s="416"/>
      <c r="D6" s="416"/>
      <c r="E6" s="416"/>
      <c r="F6" s="417"/>
      <c r="G6" s="934">
        <f>G2/G5</f>
        <v>2682.0041666666666</v>
      </c>
      <c r="H6" s="935"/>
      <c r="I6" s="931" t="s">
        <v>1547</v>
      </c>
      <c r="J6" s="932"/>
      <c r="K6" s="932"/>
      <c r="L6" s="932"/>
      <c r="M6" s="933"/>
      <c r="N6" s="934">
        <v>1100</v>
      </c>
      <c r="O6" s="935"/>
      <c r="P6" s="243"/>
      <c r="S6" s="274"/>
      <c r="T6" s="409"/>
    </row>
    <row r="7" spans="1:42" s="272" customFormat="1" ht="7" customHeight="1">
      <c r="B7" s="418"/>
      <c r="C7" s="418"/>
      <c r="D7" s="418"/>
      <c r="E7" s="408"/>
      <c r="F7" s="408"/>
      <c r="G7" s="313"/>
      <c r="H7" s="408"/>
      <c r="I7" s="408"/>
      <c r="J7" s="408"/>
      <c r="K7" s="313"/>
      <c r="L7" s="418"/>
      <c r="M7" s="418"/>
      <c r="N7" s="422"/>
      <c r="O7" s="239"/>
      <c r="P7" s="239"/>
      <c r="S7" s="1001"/>
      <c r="T7" s="409"/>
    </row>
    <row r="8" spans="1:42" s="272" customFormat="1" ht="7" customHeight="1" thickBot="1">
      <c r="B8" s="238"/>
      <c r="C8" s="238"/>
      <c r="D8" s="237"/>
      <c r="E8" s="237"/>
      <c r="F8" s="237"/>
      <c r="G8" s="234"/>
      <c r="H8" s="234"/>
      <c r="I8" s="234"/>
      <c r="J8" s="234"/>
      <c r="K8" s="234"/>
      <c r="L8" s="237"/>
      <c r="M8" s="237"/>
      <c r="N8" s="234"/>
      <c r="O8" s="239"/>
      <c r="P8" s="239"/>
      <c r="S8" s="1001"/>
      <c r="T8" s="409"/>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52">
        <v>1</v>
      </c>
      <c r="C10" s="424" t="s">
        <v>176</v>
      </c>
      <c r="D10" s="425">
        <f>276-E10</f>
        <v>234.3</v>
      </c>
      <c r="E10" s="425">
        <v>41.7</v>
      </c>
      <c r="F10" s="426">
        <v>57</v>
      </c>
      <c r="G10" s="427" t="s">
        <v>295</v>
      </c>
      <c r="H10" s="425">
        <f>1290-D10-E10-I10</f>
        <v>538.4</v>
      </c>
      <c r="I10" s="425">
        <v>475.6</v>
      </c>
      <c r="J10" s="426">
        <v>19</v>
      </c>
      <c r="K10" s="427" t="s">
        <v>295</v>
      </c>
      <c r="L10" s="425">
        <f>4154.05-M10-I10-H10-E10-D10</f>
        <v>2065.3000000000002</v>
      </c>
      <c r="M10" s="425">
        <f>1316.05-I10-E10</f>
        <v>798.74999999999989</v>
      </c>
      <c r="N10" s="427" t="s">
        <v>295</v>
      </c>
      <c r="O10" s="428">
        <f t="shared" ref="O10" si="0">SUM(D10:E10,H10:I10,L10:M10)</f>
        <v>4154.05</v>
      </c>
      <c r="P10" s="429">
        <v>2223.1</v>
      </c>
      <c r="Q10" s="430" t="s">
        <v>1613</v>
      </c>
      <c r="S10" s="368" t="s">
        <v>294</v>
      </c>
      <c r="T10" s="313">
        <f t="shared" ref="T10:T14" si="1">(SUMIF($C$10:$C$37,S10,$D$10:$D$37)+SUMIF($C$10:$C$37,S10,$E$10:$E$37))/COUNTIF($C$10:$C$37,S10)</f>
        <v>186.9</v>
      </c>
      <c r="U10" s="313">
        <f t="shared" ref="U10:U13" si="2">(SUMIF($C$10:$C$37,S10,$H$10:$H$37)+SUMIF($C$10:$C$37,S10,$I$10:$I$37)+SUMIF($C$10:$C$37,S10,$L$10:$L$37)+SUMIF($C$10:$C$37,S10,$M$10:$M$37))/COUNTIF($C$10:$C$37,S10)</f>
        <v>817.75000000000011</v>
      </c>
      <c r="V10" s="313">
        <f t="shared" ref="V10:V13" si="3">(SUMIF($C$10:$C$37,S10,$H$10:$H$37)+SUMIF($C$10:$C$37,S10,$I$10:$I$37))/COUNTIF($C$10:$C$37,S10)</f>
        <v>242.22499999999997</v>
      </c>
      <c r="W10" s="313">
        <f t="shared" ref="W10:W14" si="4">(SUMIF($C$10:$C$37,S10,$L$10:$L$37)+SUMIF($C$10:$C$37,S10,$M$10:$M$37))/COUNTIF($C$10:$C$37,S10)</f>
        <v>575.52500000000009</v>
      </c>
    </row>
    <row r="11" spans="1:42" s="368" customFormat="1" ht="16" customHeight="1">
      <c r="B11" s="427">
        <v>2</v>
      </c>
      <c r="C11" s="424" t="s">
        <v>177</v>
      </c>
      <c r="D11" s="425">
        <f>826-E11</f>
        <v>572.79999999999995</v>
      </c>
      <c r="E11" s="425">
        <v>253.2</v>
      </c>
      <c r="F11" s="426">
        <v>93</v>
      </c>
      <c r="G11" s="427" t="s">
        <v>295</v>
      </c>
      <c r="H11" s="425">
        <f>1735-D11-E11-I11</f>
        <v>452</v>
      </c>
      <c r="I11" s="425">
        <v>457</v>
      </c>
      <c r="J11" s="426">
        <v>12</v>
      </c>
      <c r="K11" s="427" t="s">
        <v>295</v>
      </c>
      <c r="L11" s="425">
        <f>11744.2-M11-I11-H11-E11-D11</f>
        <v>4410.2000000000007</v>
      </c>
      <c r="M11" s="425">
        <f>6309.2-I11-E11</f>
        <v>5599</v>
      </c>
      <c r="N11" s="427" t="s">
        <v>295</v>
      </c>
      <c r="O11" s="428">
        <f t="shared" ref="O11:O18" si="5">SUM(D11:E11,H11:I11,L11:M11)</f>
        <v>11744.2</v>
      </c>
      <c r="P11" s="429">
        <f>12018.5+5300</f>
        <v>17318.5</v>
      </c>
      <c r="Q11" s="431" t="s">
        <v>54</v>
      </c>
      <c r="S11" s="368" t="s">
        <v>1557</v>
      </c>
      <c r="T11" s="313">
        <f t="shared" si="1"/>
        <v>170.625</v>
      </c>
      <c r="U11" s="313">
        <f t="shared" si="2"/>
        <v>556.97500000000002</v>
      </c>
      <c r="V11" s="313">
        <f t="shared" si="3"/>
        <v>319</v>
      </c>
      <c r="W11" s="313">
        <f t="shared" si="4"/>
        <v>237.97499999999999</v>
      </c>
    </row>
    <row r="12" spans="1:42" s="368" customFormat="1" ht="16" customHeight="1">
      <c r="B12" s="427">
        <v>3</v>
      </c>
      <c r="C12" s="424" t="s">
        <v>1567</v>
      </c>
      <c r="D12" s="425"/>
      <c r="E12" s="425"/>
      <c r="F12" s="426"/>
      <c r="G12" s="453"/>
      <c r="H12" s="425"/>
      <c r="I12" s="425"/>
      <c r="J12" s="426"/>
      <c r="K12" s="453"/>
      <c r="L12" s="425"/>
      <c r="M12" s="425"/>
      <c r="N12" s="453"/>
      <c r="O12" s="428"/>
      <c r="P12" s="429"/>
      <c r="Q12" s="430"/>
      <c r="S12" s="368" t="s">
        <v>1558</v>
      </c>
      <c r="T12" s="313">
        <f t="shared" si="1"/>
        <v>288.47500000000002</v>
      </c>
      <c r="U12" s="313">
        <f t="shared" si="2"/>
        <v>819.375</v>
      </c>
      <c r="V12" s="313">
        <f t="shared" si="3"/>
        <v>410.25000000000006</v>
      </c>
      <c r="W12" s="313">
        <f t="shared" si="4"/>
        <v>409.125</v>
      </c>
    </row>
    <row r="13" spans="1:42" s="368" customFormat="1" ht="16" customHeight="1">
      <c r="B13" s="427">
        <v>4</v>
      </c>
      <c r="C13" s="424" t="s">
        <v>294</v>
      </c>
      <c r="D13" s="425">
        <f>105.5-E13</f>
        <v>99</v>
      </c>
      <c r="E13" s="425">
        <v>6.5</v>
      </c>
      <c r="F13" s="426">
        <v>68</v>
      </c>
      <c r="G13" s="427" t="s">
        <v>295</v>
      </c>
      <c r="H13" s="425">
        <f>339.3-D13-E13-I13</f>
        <v>175.8</v>
      </c>
      <c r="I13" s="425">
        <v>58</v>
      </c>
      <c r="J13" s="426">
        <v>6</v>
      </c>
      <c r="K13" s="427" t="s">
        <v>295</v>
      </c>
      <c r="L13" s="425">
        <f>1530.5-M13-I13-H13-E13-D13</f>
        <v>825.3</v>
      </c>
      <c r="M13" s="425">
        <f>430.4-I13-E13</f>
        <v>365.9</v>
      </c>
      <c r="N13" s="427" t="s">
        <v>295</v>
      </c>
      <c r="O13" s="428">
        <f t="shared" si="5"/>
        <v>1530.5</v>
      </c>
      <c r="P13" s="429">
        <f>1147.9+1950+1530+1270+1320</f>
        <v>7217.9</v>
      </c>
      <c r="Q13" s="430"/>
      <c r="S13" s="368" t="s">
        <v>175</v>
      </c>
      <c r="T13" s="313">
        <f t="shared" si="1"/>
        <v>217.11249999999998</v>
      </c>
      <c r="U13" s="313">
        <f t="shared" si="2"/>
        <v>1989.15</v>
      </c>
      <c r="V13" s="313">
        <f t="shared" si="3"/>
        <v>403.55</v>
      </c>
      <c r="W13" s="313">
        <f t="shared" si="4"/>
        <v>1585.6</v>
      </c>
    </row>
    <row r="14" spans="1:42" s="368" customFormat="1" ht="16" customHeight="1">
      <c r="B14" s="427">
        <v>5</v>
      </c>
      <c r="C14" s="424" t="s">
        <v>1557</v>
      </c>
      <c r="D14" s="425">
        <f>166.4-E14</f>
        <v>136.30000000000001</v>
      </c>
      <c r="E14" s="425">
        <v>30.1</v>
      </c>
      <c r="F14" s="426">
        <v>59</v>
      </c>
      <c r="G14" s="427" t="s">
        <v>295</v>
      </c>
      <c r="H14" s="425">
        <f>520.6-D14-E14-I14</f>
        <v>282.5</v>
      </c>
      <c r="I14" s="425">
        <v>71.7</v>
      </c>
      <c r="J14" s="426">
        <v>10</v>
      </c>
      <c r="K14" s="427" t="s">
        <v>295</v>
      </c>
      <c r="L14" s="425">
        <f>600.4-M14-I14-H14-E14-D14</f>
        <v>-83.700000000000017</v>
      </c>
      <c r="M14" s="425">
        <f>265.3-I14-E14</f>
        <v>163.50000000000003</v>
      </c>
      <c r="N14" s="427" t="s">
        <v>295</v>
      </c>
      <c r="O14" s="428">
        <f t="shared" si="5"/>
        <v>600.4</v>
      </c>
      <c r="P14" s="429">
        <v>575.4</v>
      </c>
      <c r="Q14" s="430"/>
      <c r="S14" s="368" t="s">
        <v>176</v>
      </c>
      <c r="T14" s="313">
        <f t="shared" si="1"/>
        <v>340.625</v>
      </c>
      <c r="U14" s="313">
        <f>(SUMIF($C$10:$C$37,S14,$H$10:$H$37)+SUMIF($C$10:$C$37,S14,$I$10:$I$37)+SUMIF($C$10:$C$37,S14,$L$10:$L$37)+SUMIF($C$10:$C$37,S14,$M$10:$M$37))/COUNTIF($C$10:$C$37,S14)</f>
        <v>3561.9375</v>
      </c>
      <c r="V14" s="313">
        <f>(SUMIF($C$10:$C$37,S14,$H$10:$H$37)+SUMIF($C$10:$C$37,S14,$I$10:$I$37))/COUNTIF($C$10:$C$37,S14)</f>
        <v>938.65000000000009</v>
      </c>
      <c r="W14" s="313">
        <f t="shared" si="4"/>
        <v>2623.2874999999999</v>
      </c>
    </row>
    <row r="15" spans="1:42" s="368" customFormat="1" ht="16" customHeight="1">
      <c r="B15" s="427">
        <v>6</v>
      </c>
      <c r="C15" s="424" t="s">
        <v>1558</v>
      </c>
      <c r="D15" s="425">
        <f>290.5-E15</f>
        <v>277.5</v>
      </c>
      <c r="E15" s="425">
        <v>13</v>
      </c>
      <c r="F15" s="426">
        <v>74</v>
      </c>
      <c r="G15" s="427" t="s">
        <v>295</v>
      </c>
      <c r="H15" s="425">
        <f>555.7-D15-E15-I15</f>
        <v>146.60000000000005</v>
      </c>
      <c r="I15" s="425">
        <v>118.6</v>
      </c>
      <c r="J15" s="426">
        <v>14</v>
      </c>
      <c r="K15" s="427" t="s">
        <v>295</v>
      </c>
      <c r="L15" s="425">
        <f>964-M15-I15-H15-E15-D15</f>
        <v>153.59999999999991</v>
      </c>
      <c r="M15" s="425">
        <f>316.3+70-I15-E15</f>
        <v>254.70000000000005</v>
      </c>
      <c r="N15" s="427" t="s">
        <v>295</v>
      </c>
      <c r="O15" s="428">
        <f t="shared" si="5"/>
        <v>964</v>
      </c>
      <c r="P15" s="429">
        <v>1699.5</v>
      </c>
      <c r="Q15" s="430"/>
      <c r="S15" s="368" t="s">
        <v>177</v>
      </c>
      <c r="T15" s="313">
        <f>(SUMIF($C$10:$C$37,S15,$D$10:$D$37)+SUMIF($C$10:$C$37,S15,$E$10:$E$37))/COUNTIF($C$10:$C$37,S15)</f>
        <v>780.25</v>
      </c>
      <c r="U15" s="313">
        <f>(SUMIF($C$10:$C$37,S15,$H$10:$H$37)+SUMIF($C$10:$C$37,S15,$I$10:$I$37)+SUMIF($C$10:$C$37,S15,$L$10:$L$37)+SUMIF($C$10:$C$37,S15,$M$10:$M$37))/COUNTIF($C$10:$C$37,S15)</f>
        <v>6362.85</v>
      </c>
      <c r="V15" s="313">
        <f>(SUMIF($C$10:$C$37,S15,$H$10:$H$37)+SUMIF($C$10:$C$37,S15,$I$10:$I$37))/(COUNTIF($C$10:$C$37,S15)-2)</f>
        <v>1531.45</v>
      </c>
      <c r="W15" s="313">
        <f>(SUMIF($C$10:$C$37,S15,$L$10:$L$37)+SUMIF($C$10:$C$37,S15,$M$10:$M$37))/COUNTIF($C$10:$C$37,S15)</f>
        <v>5597.125</v>
      </c>
    </row>
    <row r="16" spans="1:42" s="368" customFormat="1" ht="16" customHeight="1">
      <c r="B16" s="427">
        <v>7</v>
      </c>
      <c r="C16" s="424" t="s">
        <v>175</v>
      </c>
      <c r="D16" s="425">
        <f>115.4-E16</f>
        <v>84.7</v>
      </c>
      <c r="E16" s="425">
        <v>30.7</v>
      </c>
      <c r="F16" s="426">
        <v>48</v>
      </c>
      <c r="G16" s="427" t="s">
        <v>295</v>
      </c>
      <c r="H16" s="425">
        <f>432.5-D16-E16-I16</f>
        <v>265.60000000000002</v>
      </c>
      <c r="I16" s="425">
        <v>51.5</v>
      </c>
      <c r="J16" s="426">
        <v>12</v>
      </c>
      <c r="K16" s="427" t="s">
        <v>295</v>
      </c>
      <c r="L16" s="425">
        <f>2264.6-M16-I16-H16-E16-D16</f>
        <v>401.59999999999991</v>
      </c>
      <c r="M16" s="425">
        <f>1512.7-I16-E16</f>
        <v>1430.5</v>
      </c>
      <c r="N16" s="427" t="s">
        <v>295</v>
      </c>
      <c r="O16" s="428">
        <f t="shared" si="5"/>
        <v>2264.6</v>
      </c>
      <c r="P16" s="429">
        <v>2862.7</v>
      </c>
      <c r="Q16" s="452" t="s">
        <v>1614</v>
      </c>
      <c r="S16" s="272"/>
      <c r="T16" s="272"/>
      <c r="U16" s="272"/>
      <c r="V16" s="272"/>
      <c r="W16" s="313"/>
      <c r="X16" s="432"/>
      <c r="Y16" s="432"/>
      <c r="Z16" s="432"/>
      <c r="AA16" s="432"/>
      <c r="AB16" s="432"/>
      <c r="AC16" s="432"/>
    </row>
    <row r="17" spans="2:22" s="368" customFormat="1" ht="16" customHeight="1">
      <c r="B17" s="427">
        <v>8</v>
      </c>
      <c r="C17" s="424" t="s">
        <v>176</v>
      </c>
      <c r="D17" s="425">
        <f>333.2-E17</f>
        <v>239.2</v>
      </c>
      <c r="E17" s="425">
        <v>94</v>
      </c>
      <c r="F17" s="426">
        <v>46</v>
      </c>
      <c r="G17" s="427" t="s">
        <v>295</v>
      </c>
      <c r="H17" s="425">
        <f>1460.4-D17-E17-I17</f>
        <v>556.5</v>
      </c>
      <c r="I17" s="425">
        <v>570.70000000000005</v>
      </c>
      <c r="J17" s="426">
        <v>30</v>
      </c>
      <c r="K17" s="427" t="s">
        <v>295</v>
      </c>
      <c r="L17" s="425">
        <f>4708.4-M17-I17-H17-E17-D17</f>
        <v>1595.4999999999998</v>
      </c>
      <c r="M17" s="425">
        <f>2317.2-I17-E17</f>
        <v>1652.4999999999998</v>
      </c>
      <c r="N17" s="427" t="s">
        <v>295</v>
      </c>
      <c r="O17" s="428">
        <f t="shared" si="5"/>
        <v>4708.3999999999996</v>
      </c>
      <c r="P17" s="429">
        <v>11010.4</v>
      </c>
      <c r="Q17" s="430" t="s">
        <v>1587</v>
      </c>
      <c r="T17" s="313"/>
      <c r="U17" s="422" t="s">
        <v>1615</v>
      </c>
      <c r="V17" s="422" t="s">
        <v>1616</v>
      </c>
    </row>
    <row r="18" spans="2:22" s="368" customFormat="1" ht="16" customHeight="1">
      <c r="B18" s="427">
        <v>9</v>
      </c>
      <c r="C18" s="424" t="s">
        <v>177</v>
      </c>
      <c r="D18" s="425">
        <f>633-E18</f>
        <v>587.79999999999995</v>
      </c>
      <c r="E18" s="425">
        <v>45.2</v>
      </c>
      <c r="F18" s="426">
        <v>65</v>
      </c>
      <c r="G18" s="427" t="s">
        <v>295</v>
      </c>
      <c r="H18" s="425">
        <f>1039.9-D18-E18-I18</f>
        <v>-196.2999999999999</v>
      </c>
      <c r="I18" s="425">
        <v>603.20000000000005</v>
      </c>
      <c r="J18" s="426">
        <v>10</v>
      </c>
      <c r="K18" s="427" t="s">
        <v>295</v>
      </c>
      <c r="L18" s="425">
        <f>3393.5-M18-I18-H18-E18-D18</f>
        <v>663.5</v>
      </c>
      <c r="M18" s="425">
        <f>2338.5-I18-E18</f>
        <v>1690.1</v>
      </c>
      <c r="N18" s="427" t="s">
        <v>295</v>
      </c>
      <c r="O18" s="428">
        <f t="shared" si="5"/>
        <v>3393.5</v>
      </c>
      <c r="P18" s="429">
        <f>6662+1949</f>
        <v>8611</v>
      </c>
      <c r="Q18" s="430" t="s">
        <v>1617</v>
      </c>
      <c r="S18" s="433" t="s">
        <v>1573</v>
      </c>
      <c r="T18" s="434"/>
      <c r="U18" s="435">
        <v>520</v>
      </c>
      <c r="V18" s="435">
        <v>400</v>
      </c>
    </row>
    <row r="19" spans="2:22" s="368" customFormat="1" ht="16" customHeight="1">
      <c r="B19" s="427">
        <v>10</v>
      </c>
      <c r="C19" s="424" t="s">
        <v>1567</v>
      </c>
      <c r="D19" s="425"/>
      <c r="E19" s="425"/>
      <c r="F19" s="426"/>
      <c r="G19" s="453"/>
      <c r="H19" s="425"/>
      <c r="I19" s="425"/>
      <c r="J19" s="426"/>
      <c r="K19" s="453"/>
      <c r="L19" s="425"/>
      <c r="M19" s="425"/>
      <c r="N19" s="453"/>
      <c r="O19" s="428"/>
      <c r="P19" s="429"/>
      <c r="Q19" s="430"/>
      <c r="S19" s="433" t="s">
        <v>1576</v>
      </c>
      <c r="T19" s="434"/>
      <c r="U19" s="435">
        <v>100</v>
      </c>
      <c r="V19" s="435">
        <v>100</v>
      </c>
    </row>
    <row r="20" spans="2:22" s="368" customFormat="1" ht="16" customHeight="1">
      <c r="B20" s="427">
        <v>11</v>
      </c>
      <c r="C20" s="424" t="s">
        <v>294</v>
      </c>
      <c r="D20" s="425">
        <f>221-E20</f>
        <v>221</v>
      </c>
      <c r="E20" s="425">
        <v>0</v>
      </c>
      <c r="F20" s="426">
        <v>53</v>
      </c>
      <c r="G20" s="427" t="s">
        <v>1564</v>
      </c>
      <c r="H20" s="425">
        <f>399.3-D20-E20-I20</f>
        <v>114.80000000000001</v>
      </c>
      <c r="I20" s="425">
        <v>63.5</v>
      </c>
      <c r="J20" s="426">
        <v>11</v>
      </c>
      <c r="K20" s="427" t="s">
        <v>1564</v>
      </c>
      <c r="L20" s="425">
        <f>906.5-M20-I20-H20-E20-D20</f>
        <v>355.20000000000005</v>
      </c>
      <c r="M20" s="425">
        <f>215.5-I20-E20</f>
        <v>152</v>
      </c>
      <c r="N20" s="427" t="s">
        <v>1596</v>
      </c>
      <c r="O20" s="428">
        <f>SUM(D20:E20,H20:I20,L20:M20)</f>
        <v>906.5</v>
      </c>
      <c r="P20" s="429">
        <v>783.7</v>
      </c>
      <c r="Q20" s="452" t="s">
        <v>1618</v>
      </c>
      <c r="S20" s="433" t="s">
        <v>1579</v>
      </c>
      <c r="T20" s="434"/>
      <c r="U20" s="435">
        <v>50</v>
      </c>
      <c r="V20" s="435">
        <v>50</v>
      </c>
    </row>
    <row r="21" spans="2:22" s="368" customFormat="1" ht="16" customHeight="1">
      <c r="B21" s="427">
        <v>12</v>
      </c>
      <c r="C21" s="424" t="s">
        <v>1557</v>
      </c>
      <c r="D21" s="425">
        <f>160.1-E21</f>
        <v>117</v>
      </c>
      <c r="E21" s="425">
        <v>43.1</v>
      </c>
      <c r="F21" s="426">
        <v>51</v>
      </c>
      <c r="G21" s="427" t="s">
        <v>1564</v>
      </c>
      <c r="H21" s="425">
        <f>517.3-D21-E21-I21</f>
        <v>213.99999999999994</v>
      </c>
      <c r="I21" s="425">
        <v>143.19999999999999</v>
      </c>
      <c r="J21" s="426">
        <v>7</v>
      </c>
      <c r="K21" s="427" t="s">
        <v>1596</v>
      </c>
      <c r="L21" s="425">
        <f>961.1-M21-I21-H21-E21-D21</f>
        <v>202.49999999999994</v>
      </c>
      <c r="M21" s="425">
        <f>427.6-I21-E21</f>
        <v>241.30000000000004</v>
      </c>
      <c r="N21" s="427" t="s">
        <v>1596</v>
      </c>
      <c r="O21" s="428">
        <f>SUM(D21:E21,H21:I21,L21:M21)</f>
        <v>961.1</v>
      </c>
      <c r="P21" s="429">
        <v>1628.9</v>
      </c>
      <c r="Q21" s="452" t="s">
        <v>1619</v>
      </c>
      <c r="S21" s="433" t="s">
        <v>1580</v>
      </c>
      <c r="T21" s="434"/>
      <c r="U21" s="435">
        <v>100</v>
      </c>
      <c r="V21" s="435">
        <v>50</v>
      </c>
    </row>
    <row r="22" spans="2:22" s="368" customFormat="1" ht="16" customHeight="1">
      <c r="B22" s="427">
        <v>13</v>
      </c>
      <c r="C22" s="424" t="s">
        <v>1558</v>
      </c>
      <c r="D22" s="425">
        <f>195.1-E22</f>
        <v>191</v>
      </c>
      <c r="E22" s="425">
        <v>4.0999999999999996</v>
      </c>
      <c r="F22" s="426">
        <v>59</v>
      </c>
      <c r="G22" s="427" t="s">
        <v>1564</v>
      </c>
      <c r="H22" s="425">
        <f>530.1-D22-E22-I22</f>
        <v>178.5</v>
      </c>
      <c r="I22" s="425">
        <v>156.5</v>
      </c>
      <c r="J22" s="426">
        <v>15</v>
      </c>
      <c r="K22" s="427" t="s">
        <v>1564</v>
      </c>
      <c r="L22" s="425">
        <f>1028.2-M22-I22-H22-E22-D22</f>
        <v>182.10000000000002</v>
      </c>
      <c r="M22" s="425">
        <f>476.6-I22-E22</f>
        <v>316</v>
      </c>
      <c r="N22" s="427" t="s">
        <v>1596</v>
      </c>
      <c r="O22" s="428">
        <f>SUM(D22:E22,H22:I22,L22:M22)</f>
        <v>1028.2</v>
      </c>
      <c r="P22" s="429">
        <v>1327.9</v>
      </c>
      <c r="Q22" s="452" t="s">
        <v>1619</v>
      </c>
      <c r="S22" s="433" t="s">
        <v>1582</v>
      </c>
      <c r="T22" s="434"/>
      <c r="U22" s="435">
        <v>100</v>
      </c>
      <c r="V22" s="435">
        <v>100</v>
      </c>
    </row>
    <row r="23" spans="2:22" s="368" customFormat="1" ht="16" customHeight="1">
      <c r="B23" s="427">
        <v>14</v>
      </c>
      <c r="C23" s="424" t="s">
        <v>175</v>
      </c>
      <c r="D23" s="425">
        <f>223.2-E23</f>
        <v>180.6</v>
      </c>
      <c r="E23" s="425">
        <v>42.6</v>
      </c>
      <c r="F23" s="426">
        <v>59</v>
      </c>
      <c r="G23" s="427" t="s">
        <v>1564</v>
      </c>
      <c r="H23" s="425">
        <f>510.5-D23-E23-I23</f>
        <v>-27.600000000000023</v>
      </c>
      <c r="I23" s="425">
        <v>314.89999999999998</v>
      </c>
      <c r="J23" s="426">
        <v>17</v>
      </c>
      <c r="K23" s="427" t="s">
        <v>1564</v>
      </c>
      <c r="L23" s="425">
        <f>1518.1-M23-I23-H23-E23-D23</f>
        <v>467.09999999999991</v>
      </c>
      <c r="M23" s="425">
        <f>898-I23-E23</f>
        <v>540.5</v>
      </c>
      <c r="N23" s="427" t="s">
        <v>1596</v>
      </c>
      <c r="O23" s="428">
        <f t="shared" ref="O23:O37" si="6">SUM(D23:E23,H23:I23,L23:M23)</f>
        <v>1518.1</v>
      </c>
      <c r="P23" s="429">
        <v>1451.4</v>
      </c>
      <c r="Q23" s="452" t="s">
        <v>1620</v>
      </c>
      <c r="S23" s="436" t="s">
        <v>1584</v>
      </c>
      <c r="T23" s="437"/>
      <c r="U23" s="438">
        <v>70</v>
      </c>
      <c r="V23" s="438">
        <v>70</v>
      </c>
    </row>
    <row r="24" spans="2:22" s="368" customFormat="1" ht="16" customHeight="1">
      <c r="B24" s="427">
        <v>15</v>
      </c>
      <c r="C24" s="424" t="s">
        <v>176</v>
      </c>
      <c r="D24" s="425">
        <f>393.3-E24</f>
        <v>314</v>
      </c>
      <c r="E24" s="425">
        <v>79.3</v>
      </c>
      <c r="F24" s="426">
        <v>72</v>
      </c>
      <c r="G24" s="427" t="s">
        <v>295</v>
      </c>
      <c r="H24" s="425">
        <f>1234-D24-E24-I24</f>
        <v>470.30000000000007</v>
      </c>
      <c r="I24" s="425">
        <v>370.4</v>
      </c>
      <c r="J24" s="426">
        <v>40</v>
      </c>
      <c r="K24" s="427" t="s">
        <v>295</v>
      </c>
      <c r="L24" s="425">
        <f>3317.6-M24-I24-H24-E24-D24</f>
        <v>1529.9999999999998</v>
      </c>
      <c r="M24" s="425">
        <f>1003.3-I24-E24</f>
        <v>553.6</v>
      </c>
      <c r="N24" s="427" t="s">
        <v>295</v>
      </c>
      <c r="O24" s="428">
        <f t="shared" si="6"/>
        <v>3317.6</v>
      </c>
      <c r="P24" s="429">
        <v>2956.9</v>
      </c>
      <c r="Q24" s="452" t="s">
        <v>1621</v>
      </c>
      <c r="S24" s="436" t="s">
        <v>1585</v>
      </c>
      <c r="T24" s="437"/>
      <c r="U24" s="438">
        <v>220</v>
      </c>
      <c r="V24" s="438">
        <v>220</v>
      </c>
    </row>
    <row r="25" spans="2:22" s="368" customFormat="1" ht="16" customHeight="1">
      <c r="B25" s="427">
        <v>16</v>
      </c>
      <c r="C25" s="424" t="s">
        <v>177</v>
      </c>
      <c r="D25" s="425">
        <f>578-E25</f>
        <v>459.4</v>
      </c>
      <c r="E25" s="425">
        <v>118.6</v>
      </c>
      <c r="F25" s="426">
        <v>77</v>
      </c>
      <c r="G25" s="427" t="s">
        <v>295</v>
      </c>
      <c r="H25" s="425">
        <f>1321-D25-E25-I25</f>
        <v>320.39999999999998</v>
      </c>
      <c r="I25" s="425">
        <v>422.6</v>
      </c>
      <c r="J25" s="426">
        <v>11</v>
      </c>
      <c r="K25" s="427" t="s">
        <v>295</v>
      </c>
      <c r="L25" s="425">
        <f>8590.8-M25-I25-H25-E25-D25</f>
        <v>3634.1999999999989</v>
      </c>
      <c r="M25" s="425">
        <f>4176.8-I25-E25</f>
        <v>3635.6000000000004</v>
      </c>
      <c r="N25" s="427" t="s">
        <v>295</v>
      </c>
      <c r="O25" s="428">
        <f t="shared" si="6"/>
        <v>8590.7999999999993</v>
      </c>
      <c r="P25" s="429">
        <v>8135.8</v>
      </c>
      <c r="Q25" s="431" t="s">
        <v>1622</v>
      </c>
      <c r="S25" s="436" t="s">
        <v>1586</v>
      </c>
      <c r="T25" s="437"/>
      <c r="U25" s="438">
        <v>150</v>
      </c>
      <c r="V25" s="438">
        <v>150</v>
      </c>
    </row>
    <row r="26" spans="2:22" s="368" customFormat="1" ht="16" customHeight="1">
      <c r="B26" s="427">
        <v>17</v>
      </c>
      <c r="C26" s="424" t="s">
        <v>1567</v>
      </c>
      <c r="D26" s="425"/>
      <c r="E26" s="425"/>
      <c r="F26" s="426"/>
      <c r="G26" s="453"/>
      <c r="H26" s="425"/>
      <c r="I26" s="425"/>
      <c r="J26" s="426"/>
      <c r="K26" s="453"/>
      <c r="L26" s="425"/>
      <c r="M26" s="425"/>
      <c r="N26" s="453"/>
      <c r="O26" s="428"/>
      <c r="P26" s="429"/>
      <c r="Q26" s="430"/>
      <c r="S26" s="436" t="s">
        <v>952</v>
      </c>
      <c r="T26" s="437"/>
      <c r="U26" s="438">
        <v>100</v>
      </c>
      <c r="V26" s="438">
        <v>100</v>
      </c>
    </row>
    <row r="27" spans="2:22" s="368" customFormat="1" ht="16" customHeight="1">
      <c r="B27" s="427">
        <v>18</v>
      </c>
      <c r="C27" s="424" t="s">
        <v>294</v>
      </c>
      <c r="D27" s="425">
        <f>230.1-E27</f>
        <v>110</v>
      </c>
      <c r="E27" s="425">
        <v>120.1</v>
      </c>
      <c r="F27" s="426">
        <v>52</v>
      </c>
      <c r="G27" s="427" t="s">
        <v>295</v>
      </c>
      <c r="H27" s="425">
        <f>490.4-D27-E27-I27</f>
        <v>154.99999999999994</v>
      </c>
      <c r="I27" s="425">
        <v>105.3</v>
      </c>
      <c r="J27" s="426">
        <v>21</v>
      </c>
      <c r="K27" s="427" t="s">
        <v>295</v>
      </c>
      <c r="L27" s="425">
        <f>722.6-M27-I27-H27-E27-D27</f>
        <v>213.70000000000016</v>
      </c>
      <c r="M27" s="425">
        <f>243.9-I27-E27</f>
        <v>18.500000000000028</v>
      </c>
      <c r="N27" s="427" t="s">
        <v>295</v>
      </c>
      <c r="O27" s="428">
        <f t="shared" si="6"/>
        <v>722.60000000000014</v>
      </c>
      <c r="P27" s="429">
        <v>833.7</v>
      </c>
      <c r="Q27" s="454" t="s">
        <v>1623</v>
      </c>
      <c r="S27" s="436" t="s">
        <v>1588</v>
      </c>
      <c r="T27" s="437"/>
      <c r="U27" s="438"/>
      <c r="V27" s="438">
        <v>210</v>
      </c>
    </row>
    <row r="28" spans="2:22" s="368" customFormat="1" ht="16" customHeight="1">
      <c r="B28" s="427">
        <v>19</v>
      </c>
      <c r="C28" s="424" t="s">
        <v>1557</v>
      </c>
      <c r="D28" s="425">
        <f>125-E28</f>
        <v>103.1</v>
      </c>
      <c r="E28" s="425">
        <v>21.9</v>
      </c>
      <c r="F28" s="426">
        <v>39</v>
      </c>
      <c r="G28" s="427" t="s">
        <v>295</v>
      </c>
      <c r="H28" s="425">
        <f>474.6-D28-E28-I28</f>
        <v>169.90000000000003</v>
      </c>
      <c r="I28" s="425">
        <v>179.7</v>
      </c>
      <c r="J28" s="426">
        <v>18</v>
      </c>
      <c r="K28" s="427" t="s">
        <v>295</v>
      </c>
      <c r="L28" s="425">
        <f>763.1-M28-I28-H28-E28-D28</f>
        <v>166.00000000000003</v>
      </c>
      <c r="M28" s="425">
        <f>324.1-I28-E28</f>
        <v>122.50000000000003</v>
      </c>
      <c r="N28" s="427" t="s">
        <v>295</v>
      </c>
      <c r="O28" s="428">
        <f t="shared" si="6"/>
        <v>763.1</v>
      </c>
      <c r="P28" s="429">
        <v>556</v>
      </c>
      <c r="Q28" s="454" t="s">
        <v>1624</v>
      </c>
      <c r="S28" s="436" t="s">
        <v>144</v>
      </c>
      <c r="T28" s="437"/>
      <c r="U28" s="438">
        <v>400</v>
      </c>
      <c r="V28" s="438">
        <v>400</v>
      </c>
    </row>
    <row r="29" spans="2:22" s="368" customFormat="1" ht="16" customHeight="1">
      <c r="B29" s="427">
        <v>20</v>
      </c>
      <c r="C29" s="424" t="s">
        <v>1558</v>
      </c>
      <c r="D29" s="425">
        <f>282.6-E29</f>
        <v>250.60000000000002</v>
      </c>
      <c r="E29" s="425">
        <v>32</v>
      </c>
      <c r="F29" s="426">
        <v>103</v>
      </c>
      <c r="G29" s="427" t="s">
        <v>295</v>
      </c>
      <c r="H29" s="425">
        <f>1045.9-D29-E29-I29</f>
        <v>607.70000000000005</v>
      </c>
      <c r="I29" s="425">
        <v>155.6</v>
      </c>
      <c r="J29" s="426">
        <v>12</v>
      </c>
      <c r="K29" s="427" t="s">
        <v>295</v>
      </c>
      <c r="L29" s="425">
        <f>1478-M29-I29-H29-E29-D29</f>
        <v>89.599999999999909</v>
      </c>
      <c r="M29" s="425">
        <f>530.1-I29-E29</f>
        <v>342.5</v>
      </c>
      <c r="N29" s="427" t="s">
        <v>295</v>
      </c>
      <c r="O29" s="428">
        <f t="shared" si="6"/>
        <v>1478</v>
      </c>
      <c r="P29" s="429">
        <v>1243.3</v>
      </c>
      <c r="Q29" s="454" t="s">
        <v>1625</v>
      </c>
      <c r="S29" s="439" t="s">
        <v>1592</v>
      </c>
      <c r="T29" s="440"/>
      <c r="U29" s="441">
        <v>150</v>
      </c>
      <c r="V29" s="441">
        <v>150</v>
      </c>
    </row>
    <row r="30" spans="2:22" s="368" customFormat="1" ht="16" customHeight="1">
      <c r="B30" s="427">
        <v>21</v>
      </c>
      <c r="C30" s="424" t="s">
        <v>175</v>
      </c>
      <c r="D30" s="425">
        <f>343-E30</f>
        <v>248.6</v>
      </c>
      <c r="E30" s="425">
        <v>94.4</v>
      </c>
      <c r="F30" s="426">
        <v>75</v>
      </c>
      <c r="G30" s="427" t="s">
        <v>295</v>
      </c>
      <c r="H30" s="425">
        <f>979.4-D30-E30-I30</f>
        <v>553.9</v>
      </c>
      <c r="I30" s="425">
        <v>82.5</v>
      </c>
      <c r="J30" s="426">
        <v>4</v>
      </c>
      <c r="K30" s="427" t="s">
        <v>295</v>
      </c>
      <c r="L30" s="425">
        <f>2111.8-M30-I30-H30-E30-D30</f>
        <v>247.10000000000005</v>
      </c>
      <c r="M30" s="425">
        <f>1062.2-I30-E30</f>
        <v>885.30000000000007</v>
      </c>
      <c r="N30" s="427" t="s">
        <v>295</v>
      </c>
      <c r="O30" s="428">
        <f t="shared" si="6"/>
        <v>2111.8000000000002</v>
      </c>
      <c r="P30" s="429">
        <v>1870.2</v>
      </c>
      <c r="Q30" s="454" t="s">
        <v>1626</v>
      </c>
      <c r="S30" s="439" t="s">
        <v>1595</v>
      </c>
      <c r="T30" s="440"/>
      <c r="U30" s="441">
        <v>50</v>
      </c>
      <c r="V30" s="441">
        <v>50</v>
      </c>
    </row>
    <row r="31" spans="2:22" s="368" customFormat="1" ht="16" customHeight="1">
      <c r="B31" s="427">
        <v>22</v>
      </c>
      <c r="C31" s="424" t="s">
        <v>176</v>
      </c>
      <c r="D31" s="425">
        <f>360-E31</f>
        <v>303.89999999999998</v>
      </c>
      <c r="E31" s="425">
        <v>56.1</v>
      </c>
      <c r="F31" s="426">
        <v>72</v>
      </c>
      <c r="G31" s="427" t="s">
        <v>295</v>
      </c>
      <c r="H31" s="425">
        <f>1132.7-D31-E31-I31</f>
        <v>207.60000000000002</v>
      </c>
      <c r="I31" s="425">
        <v>565.1</v>
      </c>
      <c r="J31" s="426">
        <v>14</v>
      </c>
      <c r="K31" s="427" t="s">
        <v>295</v>
      </c>
      <c r="L31" s="425">
        <f>3430.2-M31-I31-H31-E31-D31</f>
        <v>1563.5</v>
      </c>
      <c r="M31" s="425">
        <f>1355.2-I31-E31</f>
        <v>734</v>
      </c>
      <c r="N31" s="427" t="s">
        <v>295</v>
      </c>
      <c r="O31" s="428">
        <f t="shared" si="6"/>
        <v>3430.2</v>
      </c>
      <c r="P31" s="429">
        <v>2385.8000000000002</v>
      </c>
      <c r="Q31" s="454" t="s">
        <v>1623</v>
      </c>
      <c r="S31" s="439" t="s">
        <v>1597</v>
      </c>
      <c r="T31" s="440"/>
      <c r="U31" s="441">
        <v>50</v>
      </c>
      <c r="V31" s="441">
        <v>50</v>
      </c>
    </row>
    <row r="32" spans="2:22" s="368" customFormat="1" ht="16" customHeight="1">
      <c r="B32" s="427">
        <v>23</v>
      </c>
      <c r="C32" s="424" t="s">
        <v>177</v>
      </c>
      <c r="D32" s="425">
        <f>1084-E32</f>
        <v>621.20000000000005</v>
      </c>
      <c r="E32" s="425">
        <v>462.8</v>
      </c>
      <c r="F32" s="426">
        <v>125</v>
      </c>
      <c r="G32" s="427" t="s">
        <v>295</v>
      </c>
      <c r="H32" s="425">
        <f>2088-D32-E32-I32</f>
        <v>574.9</v>
      </c>
      <c r="I32" s="425">
        <v>429.1</v>
      </c>
      <c r="J32" s="426">
        <v>9</v>
      </c>
      <c r="K32" s="427" t="s">
        <v>1564</v>
      </c>
      <c r="L32" s="425">
        <f>4843.9-M32-I32-H32-E32-D32</f>
        <v>1563.8999999999994</v>
      </c>
      <c r="M32" s="425">
        <f>2083.9-I32-E32</f>
        <v>1192.0000000000002</v>
      </c>
      <c r="N32" s="427" t="s">
        <v>1564</v>
      </c>
      <c r="O32" s="428">
        <f t="shared" si="6"/>
        <v>4843.8999999999996</v>
      </c>
      <c r="P32" s="429">
        <v>2451.6999999999998</v>
      </c>
      <c r="Q32" s="430" t="s">
        <v>1627</v>
      </c>
      <c r="S32" s="439" t="s">
        <v>1598</v>
      </c>
      <c r="T32" s="440"/>
      <c r="U32" s="441"/>
      <c r="V32" s="441"/>
    </row>
    <row r="33" spans="2:23" s="368" customFormat="1" ht="16" customHeight="1">
      <c r="B33" s="427">
        <v>24</v>
      </c>
      <c r="C33" s="424" t="s">
        <v>1567</v>
      </c>
      <c r="D33" s="425"/>
      <c r="E33" s="425"/>
      <c r="F33" s="426"/>
      <c r="G33" s="453"/>
      <c r="H33" s="425"/>
      <c r="I33" s="425"/>
      <c r="J33" s="426"/>
      <c r="K33" s="453"/>
      <c r="L33" s="425"/>
      <c r="M33" s="425"/>
      <c r="N33" s="453"/>
      <c r="O33" s="428"/>
      <c r="P33" s="429"/>
      <c r="Q33" s="430"/>
      <c r="S33" s="439" t="s">
        <v>1600</v>
      </c>
      <c r="T33" s="440"/>
      <c r="U33" s="441">
        <v>90</v>
      </c>
      <c r="V33" s="441"/>
    </row>
    <row r="34" spans="2:23" s="368" customFormat="1" ht="16" customHeight="1">
      <c r="B34" s="427">
        <v>25</v>
      </c>
      <c r="C34" s="424" t="s">
        <v>294</v>
      </c>
      <c r="D34" s="425">
        <f>191-E34</f>
        <v>164</v>
      </c>
      <c r="E34" s="425">
        <v>27</v>
      </c>
      <c r="F34" s="426">
        <v>51</v>
      </c>
      <c r="G34" s="427" t="s">
        <v>1564</v>
      </c>
      <c r="H34" s="425">
        <f>487.5-D34-E34-I34</f>
        <v>148</v>
      </c>
      <c r="I34" s="425">
        <v>148.5</v>
      </c>
      <c r="J34" s="426">
        <v>8</v>
      </c>
      <c r="K34" s="427" t="s">
        <v>1596</v>
      </c>
      <c r="L34" s="425">
        <f>859-M34-I34-H34-E34-D34</f>
        <v>184</v>
      </c>
      <c r="M34" s="425">
        <f>363-I34-E34</f>
        <v>187.5</v>
      </c>
      <c r="N34" s="427" t="s">
        <v>1596</v>
      </c>
      <c r="O34" s="428">
        <f t="shared" si="6"/>
        <v>859</v>
      </c>
      <c r="P34" s="429">
        <v>684.3</v>
      </c>
      <c r="Q34" s="430"/>
      <c r="S34" s="439" t="s">
        <v>1603</v>
      </c>
      <c r="T34" s="440"/>
      <c r="U34" s="441">
        <v>100</v>
      </c>
      <c r="V34" s="441">
        <v>100</v>
      </c>
    </row>
    <row r="35" spans="2:23" s="368" customFormat="1" ht="16" customHeight="1">
      <c r="B35" s="427">
        <v>26</v>
      </c>
      <c r="C35" s="424" t="s">
        <v>1557</v>
      </c>
      <c r="D35" s="425">
        <f>231-E35</f>
        <v>134.5</v>
      </c>
      <c r="E35" s="425">
        <v>96.5</v>
      </c>
      <c r="F35" s="426">
        <v>44</v>
      </c>
      <c r="G35" s="427" t="s">
        <v>1596</v>
      </c>
      <c r="H35" s="425">
        <f>446-D35-E35-I35</f>
        <v>180.5</v>
      </c>
      <c r="I35" s="425">
        <v>34.5</v>
      </c>
      <c r="J35" s="426">
        <v>10</v>
      </c>
      <c r="K35" s="427" t="s">
        <v>1596</v>
      </c>
      <c r="L35" s="425">
        <f>585.8-M35-I35-H35-E35-D35</f>
        <v>90.299999999999955</v>
      </c>
      <c r="M35" s="425">
        <f>180.5-I35-E35</f>
        <v>49.5</v>
      </c>
      <c r="N35" s="427" t="s">
        <v>1596</v>
      </c>
      <c r="O35" s="428">
        <f t="shared" si="6"/>
        <v>585.79999999999995</v>
      </c>
      <c r="P35" s="429">
        <v>449.7</v>
      </c>
      <c r="Q35" s="430"/>
      <c r="S35" s="439" t="s">
        <v>1606</v>
      </c>
      <c r="T35" s="440"/>
      <c r="U35" s="441">
        <v>132</v>
      </c>
      <c r="V35" s="441">
        <v>132</v>
      </c>
    </row>
    <row r="36" spans="2:23" s="368" customFormat="1" ht="16" customHeight="1">
      <c r="B36" s="427">
        <v>27</v>
      </c>
      <c r="C36" s="424" t="s">
        <v>1558</v>
      </c>
      <c r="D36" s="425">
        <f>385.7-E36</f>
        <v>189.5</v>
      </c>
      <c r="E36" s="425">
        <v>196.2</v>
      </c>
      <c r="F36" s="426">
        <v>85</v>
      </c>
      <c r="G36" s="427" t="s">
        <v>295</v>
      </c>
      <c r="H36" s="425">
        <f>663.2-D36-E36-I36</f>
        <v>171.00000000000006</v>
      </c>
      <c r="I36" s="425">
        <v>106.5</v>
      </c>
      <c r="J36" s="426">
        <v>8</v>
      </c>
      <c r="K36" s="427" t="s">
        <v>295</v>
      </c>
      <c r="L36" s="425">
        <f>961.2-M36-I36-H36-E36-D36</f>
        <v>97</v>
      </c>
      <c r="M36" s="425">
        <f>503.7-I36-E36</f>
        <v>201</v>
      </c>
      <c r="N36" s="427" t="s">
        <v>295</v>
      </c>
      <c r="O36" s="428">
        <f t="shared" si="6"/>
        <v>961.2</v>
      </c>
      <c r="P36" s="429">
        <v>715.6</v>
      </c>
      <c r="Q36" s="452" t="s">
        <v>1628</v>
      </c>
      <c r="S36" s="439" t="s">
        <v>1608</v>
      </c>
      <c r="T36" s="440"/>
      <c r="U36" s="441">
        <v>70</v>
      </c>
      <c r="V36" s="441">
        <v>80</v>
      </c>
    </row>
    <row r="37" spans="2:23" s="368" customFormat="1" ht="16" customHeight="1">
      <c r="B37" s="427">
        <v>28</v>
      </c>
      <c r="C37" s="424" t="s">
        <v>175</v>
      </c>
      <c r="D37" s="425">
        <f>186.85-E37</f>
        <v>138.14999999999998</v>
      </c>
      <c r="E37" s="425">
        <v>48.7</v>
      </c>
      <c r="F37" s="426">
        <v>60</v>
      </c>
      <c r="G37" s="427" t="s">
        <v>295</v>
      </c>
      <c r="H37" s="425">
        <f>560.25-D37-E37-I37</f>
        <v>230.10000000000002</v>
      </c>
      <c r="I37" s="425">
        <v>143.30000000000001</v>
      </c>
      <c r="J37" s="426">
        <v>21</v>
      </c>
      <c r="K37" s="427" t="s">
        <v>295</v>
      </c>
      <c r="L37" s="425">
        <f>2930.55-M37-I37-H37-E37-D37</f>
        <v>930.80000000000007</v>
      </c>
      <c r="M37" s="425">
        <f>1631.5-I37-E37</f>
        <v>1439.5</v>
      </c>
      <c r="N37" s="427" t="s">
        <v>295</v>
      </c>
      <c r="O37" s="428">
        <f t="shared" si="6"/>
        <v>2930.55</v>
      </c>
      <c r="P37" s="429">
        <v>2224.9</v>
      </c>
      <c r="Q37" s="452" t="s">
        <v>1629</v>
      </c>
      <c r="S37" s="439" t="s">
        <v>1630</v>
      </c>
      <c r="T37" s="440"/>
      <c r="U37" s="441">
        <v>130</v>
      </c>
      <c r="V37" s="441">
        <v>130</v>
      </c>
    </row>
    <row r="38" spans="2:23" s="368" customFormat="1">
      <c r="B38" s="238"/>
      <c r="C38" s="238"/>
      <c r="D38" s="237"/>
      <c r="E38" s="237"/>
      <c r="F38" s="237"/>
      <c r="G38" s="234"/>
      <c r="H38" s="234"/>
      <c r="I38" s="234"/>
      <c r="J38" s="234"/>
      <c r="K38" s="234"/>
      <c r="L38" s="237"/>
      <c r="M38" s="237"/>
      <c r="N38" s="234"/>
      <c r="O38" s="239"/>
      <c r="P38" s="239"/>
      <c r="Q38" s="272"/>
      <c r="S38" s="439"/>
      <c r="T38" s="440"/>
      <c r="U38" s="441"/>
      <c r="V38" s="441"/>
    </row>
    <row r="39" spans="2:23" s="272" customFormat="1">
      <c r="B39" s="238"/>
      <c r="C39" s="238"/>
      <c r="D39" s="237"/>
      <c r="E39" s="237"/>
      <c r="F39" s="237"/>
      <c r="G39" s="234"/>
      <c r="H39" s="234"/>
      <c r="I39" s="234"/>
      <c r="J39" s="234"/>
      <c r="K39" s="234"/>
      <c r="L39" s="237"/>
      <c r="M39" s="237"/>
      <c r="N39" s="234"/>
      <c r="O39" s="239"/>
      <c r="P39" s="239"/>
      <c r="S39" s="439"/>
      <c r="T39" s="440"/>
      <c r="U39" s="441"/>
      <c r="V39" s="441"/>
      <c r="W39" s="368"/>
    </row>
    <row r="40" spans="2:23" s="272" customFormat="1">
      <c r="B40" s="238"/>
      <c r="C40" s="238"/>
      <c r="D40" s="237"/>
      <c r="E40" s="237"/>
      <c r="F40" s="237"/>
      <c r="G40" s="234"/>
      <c r="H40" s="234"/>
      <c r="I40" s="234"/>
      <c r="J40" s="234"/>
      <c r="K40" s="234"/>
      <c r="L40" s="237"/>
      <c r="M40" s="237"/>
      <c r="N40" s="234"/>
      <c r="O40" s="239"/>
      <c r="P40" s="239"/>
      <c r="S40" s="442" t="s">
        <v>1612</v>
      </c>
      <c r="T40" s="443"/>
      <c r="U40" s="444">
        <v>400</v>
      </c>
      <c r="V40" s="444">
        <v>320</v>
      </c>
    </row>
    <row r="41" spans="2:23" s="272" customFormat="1">
      <c r="B41" s="238"/>
      <c r="C41" s="238"/>
      <c r="D41" s="237"/>
      <c r="E41" s="237"/>
      <c r="F41" s="237"/>
      <c r="G41" s="234"/>
      <c r="H41" s="234"/>
      <c r="I41" s="234"/>
      <c r="J41" s="234"/>
      <c r="K41" s="234"/>
      <c r="L41" s="237"/>
      <c r="M41" s="237"/>
      <c r="N41" s="234"/>
      <c r="O41" s="239"/>
      <c r="P41" s="239"/>
      <c r="S41" s="455" t="s">
        <v>130</v>
      </c>
      <c r="T41" s="456"/>
      <c r="U41" s="457">
        <f>SUM(U18:U40)</f>
        <v>2982</v>
      </c>
      <c r="V41" s="457">
        <f>SUM(V18:V40)</f>
        <v>2862</v>
      </c>
    </row>
    <row r="42" spans="2:23" s="272" customFormat="1">
      <c r="B42" s="238"/>
      <c r="C42" s="238"/>
      <c r="D42" s="237"/>
      <c r="E42" s="237"/>
      <c r="F42" s="237"/>
      <c r="G42" s="234"/>
      <c r="H42" s="234"/>
      <c r="I42" s="234"/>
      <c r="J42" s="234"/>
      <c r="K42" s="234"/>
      <c r="L42" s="237"/>
      <c r="M42" s="237"/>
      <c r="N42" s="234"/>
      <c r="O42" s="239"/>
      <c r="P42" s="239"/>
    </row>
    <row r="43" spans="2:23" s="272" customFormat="1">
      <c r="B43" s="238"/>
      <c r="C43" s="238"/>
      <c r="D43" s="237"/>
      <c r="E43" s="237"/>
      <c r="F43" s="237"/>
      <c r="G43" s="234"/>
      <c r="H43" s="234"/>
      <c r="I43" s="234"/>
      <c r="J43" s="234"/>
      <c r="K43" s="234"/>
      <c r="L43" s="237"/>
      <c r="M43" s="237"/>
      <c r="N43" s="234"/>
      <c r="O43" s="239"/>
      <c r="P43" s="239"/>
    </row>
    <row r="44" spans="2:23" s="272" customFormat="1">
      <c r="B44" s="238"/>
      <c r="C44" s="238"/>
      <c r="D44" s="237"/>
      <c r="E44" s="237"/>
      <c r="F44" s="237"/>
      <c r="G44" s="234"/>
      <c r="H44" s="234"/>
      <c r="I44" s="234"/>
      <c r="J44" s="234"/>
      <c r="K44" s="234"/>
      <c r="L44" s="237"/>
      <c r="M44" s="237"/>
      <c r="N44" s="234"/>
      <c r="O44" s="239"/>
      <c r="P44" s="239"/>
    </row>
    <row r="45" spans="2:23" s="272" customFormat="1">
      <c r="B45" s="238"/>
      <c r="C45" s="238"/>
      <c r="D45" s="237"/>
      <c r="E45" s="237"/>
      <c r="F45" s="237"/>
      <c r="G45" s="234"/>
      <c r="H45" s="234"/>
      <c r="I45" s="234"/>
      <c r="J45" s="234"/>
      <c r="K45" s="234"/>
      <c r="L45" s="237"/>
      <c r="M45" s="237"/>
      <c r="N45" s="234"/>
      <c r="O45" s="239"/>
      <c r="P45" s="239"/>
    </row>
    <row r="46" spans="2:23" s="272" customFormat="1">
      <c r="B46" s="238"/>
      <c r="C46" s="238"/>
      <c r="D46" s="237"/>
      <c r="E46" s="237"/>
      <c r="F46" s="237"/>
      <c r="G46" s="234"/>
      <c r="H46" s="234"/>
      <c r="I46" s="234"/>
      <c r="J46" s="234"/>
      <c r="K46" s="234"/>
      <c r="L46" s="237"/>
      <c r="M46" s="237"/>
      <c r="N46" s="234"/>
      <c r="O46" s="239"/>
      <c r="P46" s="239"/>
    </row>
    <row r="47" spans="2:23" s="272" customFormat="1">
      <c r="B47" s="238"/>
      <c r="C47" s="238"/>
      <c r="D47" s="237"/>
      <c r="E47" s="237"/>
      <c r="F47" s="237"/>
      <c r="G47" s="234"/>
      <c r="H47" s="234"/>
      <c r="I47" s="234"/>
      <c r="J47" s="234"/>
      <c r="K47" s="234"/>
      <c r="L47" s="237"/>
      <c r="M47" s="237"/>
      <c r="N47" s="234"/>
      <c r="O47" s="239"/>
      <c r="P47" s="239"/>
    </row>
    <row r="48" spans="2:23" s="272" customFormat="1">
      <c r="B48" s="238"/>
      <c r="C48" s="238"/>
      <c r="D48" s="237"/>
      <c r="E48" s="237"/>
      <c r="F48" s="237"/>
      <c r="G48" s="234"/>
      <c r="H48" s="234"/>
      <c r="I48" s="234"/>
      <c r="J48" s="234"/>
      <c r="K48" s="234"/>
      <c r="L48" s="237"/>
      <c r="M48" s="237"/>
      <c r="N48" s="234"/>
      <c r="O48" s="239"/>
      <c r="P48" s="239"/>
    </row>
    <row r="49" spans="2:16" s="272" customFormat="1">
      <c r="B49" s="238"/>
      <c r="C49" s="238"/>
      <c r="D49" s="237"/>
      <c r="E49" s="237"/>
      <c r="F49" s="237"/>
      <c r="G49" s="234"/>
      <c r="H49" s="234"/>
      <c r="I49" s="234"/>
      <c r="J49" s="234"/>
      <c r="K49" s="234"/>
      <c r="L49" s="237"/>
      <c r="M49" s="237"/>
      <c r="N49" s="234"/>
      <c r="O49" s="239"/>
      <c r="P49" s="239"/>
    </row>
    <row r="50" spans="2:16" s="272" customFormat="1">
      <c r="B50" s="238"/>
      <c r="C50" s="238"/>
      <c r="D50" s="237"/>
      <c r="E50" s="237"/>
      <c r="F50" s="237"/>
      <c r="G50" s="234"/>
      <c r="H50" s="234"/>
      <c r="I50" s="234"/>
      <c r="J50" s="234"/>
      <c r="K50" s="234"/>
      <c r="L50" s="237"/>
      <c r="M50" s="237"/>
      <c r="N50" s="234"/>
      <c r="O50" s="239"/>
      <c r="P50" s="239"/>
    </row>
    <row r="51" spans="2:16" s="272" customFormat="1">
      <c r="B51" s="238"/>
      <c r="C51" s="238"/>
      <c r="D51" s="237"/>
      <c r="E51" s="237"/>
      <c r="F51" s="237"/>
      <c r="G51" s="234"/>
      <c r="H51" s="234"/>
      <c r="I51" s="234"/>
      <c r="J51" s="234"/>
      <c r="K51" s="234"/>
      <c r="L51" s="237"/>
      <c r="M51" s="237"/>
      <c r="N51" s="234"/>
      <c r="O51" s="239"/>
      <c r="P51" s="239"/>
    </row>
    <row r="52" spans="2:16" s="272" customFormat="1">
      <c r="B52" s="238"/>
      <c r="C52" s="238"/>
      <c r="D52" s="237"/>
      <c r="E52" s="237"/>
      <c r="F52" s="237"/>
      <c r="G52" s="234"/>
      <c r="H52" s="234"/>
      <c r="I52" s="234"/>
      <c r="J52" s="234"/>
      <c r="K52" s="234"/>
      <c r="L52" s="237"/>
      <c r="M52" s="237"/>
      <c r="N52" s="234"/>
      <c r="O52" s="239"/>
      <c r="P52" s="239"/>
    </row>
    <row r="53" spans="2:16" s="272" customFormat="1">
      <c r="B53" s="238"/>
      <c r="C53" s="238"/>
      <c r="D53" s="237"/>
      <c r="E53" s="237"/>
      <c r="F53" s="237"/>
      <c r="G53" s="234"/>
      <c r="H53" s="234"/>
      <c r="I53" s="234"/>
      <c r="J53" s="234"/>
      <c r="K53" s="234"/>
      <c r="L53" s="237"/>
      <c r="M53" s="237"/>
      <c r="N53" s="234"/>
      <c r="O53" s="239"/>
      <c r="P53" s="239"/>
    </row>
    <row r="54" spans="2:16" s="272" customFormat="1">
      <c r="B54" s="238"/>
      <c r="C54" s="238"/>
      <c r="D54" s="237"/>
      <c r="E54" s="237"/>
      <c r="F54" s="237"/>
      <c r="G54" s="234"/>
      <c r="H54" s="234"/>
      <c r="I54" s="234"/>
      <c r="J54" s="234"/>
      <c r="K54" s="234"/>
      <c r="L54" s="237"/>
      <c r="M54" s="237"/>
      <c r="N54" s="234"/>
      <c r="O54" s="239"/>
      <c r="P54" s="239"/>
    </row>
    <row r="55" spans="2:16" s="272" customFormat="1">
      <c r="B55" s="238"/>
      <c r="C55" s="238"/>
      <c r="D55" s="237"/>
      <c r="E55" s="237"/>
      <c r="F55" s="237"/>
      <c r="G55" s="234"/>
      <c r="H55" s="234"/>
      <c r="I55" s="234"/>
      <c r="J55" s="234"/>
      <c r="K55" s="234"/>
      <c r="L55" s="237"/>
      <c r="M55" s="237"/>
      <c r="N55" s="234"/>
      <c r="O55" s="239"/>
      <c r="P55" s="239"/>
    </row>
    <row r="56" spans="2:16" s="272" customFormat="1">
      <c r="B56" s="238"/>
      <c r="C56" s="238"/>
      <c r="D56" s="237"/>
      <c r="E56" s="237"/>
      <c r="F56" s="237"/>
      <c r="G56" s="234"/>
      <c r="H56" s="234"/>
      <c r="I56" s="234"/>
      <c r="J56" s="234"/>
      <c r="K56" s="234"/>
      <c r="L56" s="237"/>
      <c r="M56" s="237"/>
      <c r="N56" s="234"/>
      <c r="O56" s="239"/>
      <c r="P56" s="239"/>
    </row>
    <row r="57" spans="2:16" s="272" customFormat="1">
      <c r="B57" s="238"/>
      <c r="C57" s="238"/>
      <c r="D57" s="237"/>
      <c r="E57" s="237"/>
      <c r="F57" s="237"/>
      <c r="G57" s="234"/>
      <c r="H57" s="234"/>
      <c r="I57" s="234"/>
      <c r="J57" s="234"/>
      <c r="K57" s="234"/>
      <c r="L57" s="237"/>
      <c r="M57" s="237"/>
      <c r="N57" s="234"/>
      <c r="O57" s="239"/>
      <c r="P57" s="239"/>
    </row>
    <row r="58" spans="2:16" s="272" customFormat="1">
      <c r="B58" s="238"/>
      <c r="C58" s="238"/>
      <c r="D58" s="237"/>
      <c r="E58" s="237"/>
      <c r="F58" s="237"/>
      <c r="G58" s="234"/>
      <c r="H58" s="234"/>
      <c r="I58" s="234"/>
      <c r="J58" s="234"/>
      <c r="K58" s="234"/>
      <c r="L58" s="237"/>
      <c r="M58" s="237"/>
      <c r="N58" s="234"/>
      <c r="O58" s="239"/>
      <c r="P58" s="239"/>
    </row>
    <row r="59" spans="2:16" s="272" customFormat="1">
      <c r="B59" s="238"/>
      <c r="C59" s="238"/>
      <c r="D59" s="237"/>
      <c r="E59" s="237"/>
      <c r="F59" s="237"/>
      <c r="G59" s="234"/>
      <c r="H59" s="234"/>
      <c r="I59" s="234"/>
      <c r="J59" s="234"/>
      <c r="K59" s="234"/>
      <c r="L59" s="237"/>
      <c r="M59" s="237"/>
      <c r="N59" s="234"/>
      <c r="O59" s="239"/>
      <c r="P59" s="239"/>
    </row>
    <row r="60" spans="2:16" s="272" customFormat="1">
      <c r="B60" s="238"/>
      <c r="C60" s="238"/>
      <c r="D60" s="237"/>
      <c r="E60" s="237"/>
      <c r="F60" s="237"/>
      <c r="G60" s="234"/>
      <c r="H60" s="234"/>
      <c r="I60" s="234"/>
      <c r="J60" s="234"/>
      <c r="K60" s="234"/>
      <c r="L60" s="237"/>
      <c r="M60" s="237"/>
      <c r="N60" s="234"/>
      <c r="O60" s="239"/>
      <c r="P60" s="239"/>
    </row>
    <row r="61" spans="2:16" s="272" customFormat="1">
      <c r="B61" s="238"/>
      <c r="C61" s="238"/>
      <c r="D61" s="237"/>
      <c r="E61" s="237"/>
      <c r="F61" s="237"/>
      <c r="G61" s="234"/>
      <c r="H61" s="234"/>
      <c r="I61" s="234"/>
      <c r="J61" s="234"/>
      <c r="K61" s="234"/>
      <c r="L61" s="237"/>
      <c r="M61" s="237"/>
      <c r="N61" s="234"/>
      <c r="O61" s="239"/>
      <c r="P61" s="239"/>
    </row>
    <row r="62" spans="2:16" s="272" customFormat="1">
      <c r="B62" s="238"/>
      <c r="C62" s="238"/>
      <c r="D62" s="237"/>
      <c r="E62" s="237"/>
      <c r="F62" s="237"/>
      <c r="G62" s="234"/>
      <c r="H62" s="234"/>
      <c r="I62" s="234"/>
      <c r="J62" s="234"/>
      <c r="K62" s="234"/>
      <c r="L62" s="237"/>
      <c r="M62" s="237"/>
      <c r="N62" s="234"/>
      <c r="O62" s="239"/>
      <c r="P62" s="239"/>
    </row>
    <row r="63" spans="2:16" s="272" customFormat="1">
      <c r="B63" s="238"/>
      <c r="C63" s="238"/>
      <c r="D63" s="237"/>
      <c r="E63" s="237"/>
      <c r="F63" s="237"/>
      <c r="G63" s="234"/>
      <c r="H63" s="234"/>
      <c r="I63" s="234"/>
      <c r="J63" s="234"/>
      <c r="K63" s="234"/>
      <c r="L63" s="237"/>
      <c r="M63" s="237"/>
      <c r="N63" s="234"/>
      <c r="O63" s="239"/>
      <c r="P63" s="239"/>
    </row>
    <row r="64" spans="2:16" s="272" customFormat="1">
      <c r="B64" s="238"/>
      <c r="C64" s="238"/>
      <c r="D64" s="237"/>
      <c r="E64" s="237"/>
      <c r="F64" s="237"/>
      <c r="G64" s="234"/>
      <c r="H64" s="234"/>
      <c r="I64" s="234"/>
      <c r="J64" s="234"/>
      <c r="K64" s="234"/>
      <c r="L64" s="237"/>
      <c r="M64" s="237"/>
      <c r="N64" s="234"/>
      <c r="O64" s="239"/>
      <c r="P64" s="239"/>
    </row>
    <row r="65" spans="2:16" s="272" customFormat="1">
      <c r="B65" s="238"/>
      <c r="C65" s="238"/>
      <c r="D65" s="237"/>
      <c r="E65" s="237"/>
      <c r="F65" s="237"/>
      <c r="G65" s="234"/>
      <c r="H65" s="234"/>
      <c r="I65" s="234"/>
      <c r="J65" s="234"/>
      <c r="K65" s="234"/>
      <c r="L65" s="237"/>
      <c r="M65" s="237"/>
      <c r="N65" s="234"/>
      <c r="O65" s="239"/>
      <c r="P65" s="239"/>
    </row>
    <row r="66" spans="2:16" s="272" customFormat="1">
      <c r="B66" s="238"/>
      <c r="C66" s="238"/>
      <c r="D66" s="237"/>
      <c r="E66" s="237"/>
      <c r="F66" s="237"/>
      <c r="G66" s="234"/>
      <c r="H66" s="234"/>
      <c r="I66" s="234"/>
      <c r="J66" s="234"/>
      <c r="K66" s="234"/>
      <c r="L66" s="237"/>
      <c r="M66" s="237"/>
      <c r="N66" s="234"/>
      <c r="O66" s="239"/>
      <c r="P66" s="239"/>
    </row>
    <row r="67" spans="2:16" s="272" customFormat="1">
      <c r="B67" s="238"/>
      <c r="C67" s="238"/>
      <c r="D67" s="237"/>
      <c r="E67" s="237"/>
      <c r="F67" s="237"/>
      <c r="G67" s="234"/>
      <c r="H67" s="234"/>
      <c r="I67" s="234"/>
      <c r="J67" s="234"/>
      <c r="K67" s="234"/>
      <c r="L67" s="237"/>
      <c r="M67" s="237"/>
      <c r="N67" s="234"/>
      <c r="O67" s="239"/>
      <c r="P67" s="239"/>
    </row>
    <row r="68" spans="2:16" s="272" customFormat="1">
      <c r="B68" s="238"/>
      <c r="C68" s="238"/>
      <c r="D68" s="237"/>
      <c r="E68" s="237"/>
      <c r="F68" s="237"/>
      <c r="G68" s="234"/>
      <c r="H68" s="234"/>
      <c r="I68" s="234"/>
      <c r="J68" s="234"/>
      <c r="K68" s="234"/>
      <c r="L68" s="237"/>
      <c r="M68" s="237"/>
      <c r="N68" s="234"/>
      <c r="O68" s="239"/>
      <c r="P68" s="239"/>
    </row>
    <row r="69" spans="2:16" s="272" customFormat="1">
      <c r="B69" s="238"/>
      <c r="C69" s="238"/>
      <c r="D69" s="237"/>
      <c r="E69" s="237"/>
      <c r="F69" s="237"/>
      <c r="G69" s="234"/>
      <c r="H69" s="234"/>
      <c r="I69" s="234"/>
      <c r="J69" s="234"/>
      <c r="K69" s="234"/>
      <c r="L69" s="237"/>
      <c r="M69" s="237"/>
      <c r="N69" s="234"/>
      <c r="O69" s="239"/>
      <c r="P69" s="239"/>
    </row>
    <row r="70" spans="2:16" s="272" customFormat="1">
      <c r="B70" s="238"/>
      <c r="C70" s="238"/>
      <c r="D70" s="237"/>
      <c r="E70" s="237"/>
      <c r="F70" s="237"/>
      <c r="G70" s="234"/>
      <c r="H70" s="234"/>
      <c r="I70" s="234"/>
      <c r="J70" s="234"/>
      <c r="K70" s="234"/>
      <c r="L70" s="237"/>
      <c r="M70" s="237"/>
      <c r="N70" s="234"/>
      <c r="O70" s="239"/>
      <c r="P70" s="239"/>
    </row>
    <row r="71" spans="2:16" s="272" customFormat="1">
      <c r="B71" s="238"/>
      <c r="C71" s="238"/>
      <c r="D71" s="237"/>
      <c r="E71" s="237"/>
      <c r="F71" s="237"/>
      <c r="G71" s="234"/>
      <c r="H71" s="234"/>
      <c r="I71" s="234"/>
      <c r="J71" s="234"/>
      <c r="K71" s="234"/>
      <c r="L71" s="237"/>
      <c r="M71" s="237"/>
      <c r="N71" s="234"/>
      <c r="O71" s="239"/>
      <c r="P71" s="239"/>
    </row>
    <row r="72" spans="2:16" s="272" customFormat="1">
      <c r="B72" s="238"/>
      <c r="C72" s="238"/>
      <c r="D72" s="237"/>
      <c r="E72" s="237"/>
      <c r="F72" s="237"/>
      <c r="G72" s="234"/>
      <c r="H72" s="234"/>
      <c r="I72" s="234"/>
      <c r="J72" s="234"/>
      <c r="K72" s="234"/>
      <c r="L72" s="237"/>
      <c r="M72" s="237"/>
      <c r="N72" s="234"/>
      <c r="O72" s="239"/>
      <c r="P72" s="239"/>
    </row>
    <row r="73" spans="2:16" s="272" customFormat="1">
      <c r="B73" s="238"/>
      <c r="C73" s="238"/>
      <c r="D73" s="237"/>
      <c r="E73" s="237"/>
      <c r="F73" s="237"/>
      <c r="G73" s="234"/>
      <c r="H73" s="234"/>
      <c r="I73" s="234"/>
      <c r="J73" s="234"/>
      <c r="K73" s="234"/>
      <c r="L73" s="237"/>
      <c r="M73" s="237"/>
      <c r="N73" s="234"/>
      <c r="O73" s="239"/>
      <c r="P73" s="239"/>
    </row>
    <row r="74" spans="2:16" s="272" customFormat="1">
      <c r="B74" s="238"/>
      <c r="C74" s="238"/>
      <c r="D74" s="237"/>
      <c r="E74" s="237"/>
      <c r="F74" s="237"/>
      <c r="G74" s="234"/>
      <c r="H74" s="234"/>
      <c r="I74" s="234"/>
      <c r="J74" s="234"/>
      <c r="K74" s="234"/>
      <c r="L74" s="237"/>
      <c r="M74" s="237"/>
      <c r="N74" s="234"/>
      <c r="O74" s="239"/>
      <c r="P74" s="239"/>
    </row>
    <row r="75" spans="2:16" s="272" customFormat="1">
      <c r="B75" s="238"/>
      <c r="C75" s="238"/>
      <c r="D75" s="237"/>
      <c r="E75" s="237"/>
      <c r="F75" s="237"/>
      <c r="G75" s="234"/>
      <c r="H75" s="234"/>
      <c r="I75" s="234"/>
      <c r="J75" s="234"/>
      <c r="K75" s="234"/>
      <c r="L75" s="237"/>
      <c r="M75" s="237"/>
      <c r="N75" s="234"/>
      <c r="O75" s="239"/>
      <c r="P75" s="239"/>
    </row>
    <row r="76" spans="2:16" s="272" customFormat="1">
      <c r="B76" s="238"/>
      <c r="C76" s="238"/>
      <c r="D76" s="237"/>
      <c r="E76" s="237"/>
      <c r="F76" s="237"/>
      <c r="G76" s="234"/>
      <c r="H76" s="234"/>
      <c r="I76" s="234"/>
      <c r="J76" s="234"/>
      <c r="K76" s="234"/>
      <c r="L76" s="237"/>
      <c r="M76" s="237"/>
      <c r="N76" s="234"/>
      <c r="O76" s="239"/>
      <c r="P76" s="239"/>
    </row>
    <row r="77" spans="2:16" s="272" customFormat="1">
      <c r="B77" s="238"/>
      <c r="C77" s="238"/>
      <c r="D77" s="237"/>
      <c r="E77" s="237"/>
      <c r="F77" s="237"/>
      <c r="G77" s="234"/>
      <c r="H77" s="234"/>
      <c r="I77" s="234"/>
      <c r="J77" s="234"/>
      <c r="K77" s="234"/>
      <c r="L77" s="237"/>
      <c r="M77" s="237"/>
      <c r="N77" s="234"/>
      <c r="O77" s="239"/>
      <c r="P77" s="239"/>
    </row>
    <row r="78" spans="2:16" s="272" customFormat="1">
      <c r="B78" s="238"/>
      <c r="C78" s="238"/>
      <c r="D78" s="237"/>
      <c r="E78" s="237"/>
      <c r="F78" s="237"/>
      <c r="G78" s="234"/>
      <c r="H78" s="234"/>
      <c r="I78" s="234"/>
      <c r="J78" s="234"/>
      <c r="K78" s="234"/>
      <c r="L78" s="237"/>
      <c r="M78" s="237"/>
      <c r="N78" s="234"/>
      <c r="O78" s="239"/>
      <c r="P78" s="239"/>
    </row>
    <row r="79" spans="2:16" s="272" customFormat="1">
      <c r="B79" s="238"/>
      <c r="C79" s="238"/>
      <c r="D79" s="237"/>
      <c r="E79" s="237"/>
      <c r="F79" s="237"/>
      <c r="G79" s="234"/>
      <c r="H79" s="234"/>
      <c r="I79" s="234"/>
      <c r="J79" s="234"/>
      <c r="K79" s="234"/>
      <c r="L79" s="237"/>
      <c r="M79" s="237"/>
      <c r="N79" s="234"/>
      <c r="O79" s="239"/>
      <c r="P79" s="239"/>
    </row>
    <row r="80" spans="2:16" s="272" customFormat="1">
      <c r="B80" s="238"/>
      <c r="C80" s="238"/>
      <c r="D80" s="237"/>
      <c r="E80" s="237"/>
      <c r="F80" s="237"/>
      <c r="G80" s="234"/>
      <c r="H80" s="234"/>
      <c r="I80" s="234"/>
      <c r="J80" s="234"/>
      <c r="K80" s="234"/>
      <c r="L80" s="237"/>
      <c r="M80" s="237"/>
      <c r="N80" s="234"/>
      <c r="O80" s="239"/>
      <c r="P80" s="239"/>
    </row>
    <row r="81" spans="2:16" s="272" customFormat="1">
      <c r="B81" s="238"/>
      <c r="C81" s="238"/>
      <c r="D81" s="237"/>
      <c r="E81" s="237"/>
      <c r="F81" s="237"/>
      <c r="G81" s="234"/>
      <c r="H81" s="234"/>
      <c r="I81" s="234"/>
      <c r="J81" s="234"/>
      <c r="K81" s="234"/>
      <c r="L81" s="237"/>
      <c r="M81" s="237"/>
      <c r="N81" s="234"/>
      <c r="O81" s="239"/>
      <c r="P81" s="239"/>
    </row>
    <row r="82" spans="2:16" s="272" customFormat="1">
      <c r="B82" s="238"/>
      <c r="C82" s="238"/>
      <c r="D82" s="237"/>
      <c r="E82" s="237"/>
      <c r="F82" s="237"/>
      <c r="G82" s="234"/>
      <c r="H82" s="234"/>
      <c r="I82" s="234"/>
      <c r="J82" s="234"/>
      <c r="K82" s="234"/>
      <c r="L82" s="237"/>
      <c r="M82" s="237"/>
      <c r="N82" s="234"/>
      <c r="O82" s="239"/>
      <c r="P82" s="239"/>
    </row>
    <row r="83" spans="2:16" s="272" customFormat="1">
      <c r="B83" s="238"/>
      <c r="C83" s="238"/>
      <c r="D83" s="237"/>
      <c r="E83" s="237"/>
      <c r="F83" s="237"/>
      <c r="G83" s="234"/>
      <c r="H83" s="234"/>
      <c r="I83" s="234"/>
      <c r="J83" s="234"/>
      <c r="K83" s="234"/>
      <c r="L83" s="237"/>
      <c r="M83" s="237"/>
      <c r="N83" s="234"/>
      <c r="O83" s="239"/>
      <c r="P83" s="239"/>
    </row>
    <row r="84" spans="2:16" s="272" customFormat="1">
      <c r="B84" s="238"/>
      <c r="C84" s="238"/>
      <c r="D84" s="237"/>
      <c r="E84" s="237"/>
      <c r="F84" s="237"/>
      <c r="G84" s="234"/>
      <c r="H84" s="234"/>
      <c r="I84" s="234"/>
      <c r="J84" s="234"/>
      <c r="K84" s="234"/>
      <c r="L84" s="237"/>
      <c r="M84" s="237"/>
      <c r="N84" s="234"/>
      <c r="O84" s="239"/>
      <c r="P84" s="239"/>
    </row>
    <row r="85" spans="2:16" s="272" customFormat="1">
      <c r="B85" s="238"/>
      <c r="C85" s="238"/>
      <c r="D85" s="237"/>
      <c r="E85" s="237"/>
      <c r="F85" s="237"/>
      <c r="G85" s="234"/>
      <c r="H85" s="234"/>
      <c r="I85" s="234"/>
      <c r="J85" s="234"/>
      <c r="K85" s="234"/>
      <c r="L85" s="237"/>
      <c r="M85" s="237"/>
      <c r="N85" s="234"/>
      <c r="O85" s="239"/>
      <c r="P85" s="239"/>
    </row>
    <row r="86" spans="2:16" s="272" customFormat="1">
      <c r="B86" s="238"/>
      <c r="C86" s="238"/>
      <c r="D86" s="237"/>
      <c r="E86" s="237"/>
      <c r="F86" s="237"/>
      <c r="G86" s="234"/>
      <c r="H86" s="234"/>
      <c r="I86" s="234"/>
      <c r="J86" s="234"/>
      <c r="K86" s="234"/>
      <c r="L86" s="237"/>
      <c r="M86" s="237"/>
      <c r="N86" s="234"/>
      <c r="O86" s="239"/>
      <c r="P86" s="239"/>
    </row>
    <row r="87" spans="2:16" s="272" customFormat="1">
      <c r="B87" s="238"/>
      <c r="C87" s="238"/>
      <c r="D87" s="237"/>
      <c r="E87" s="237"/>
      <c r="F87" s="237"/>
      <c r="G87" s="234"/>
      <c r="H87" s="234"/>
      <c r="I87" s="234"/>
      <c r="J87" s="234"/>
      <c r="K87" s="234"/>
      <c r="L87" s="237"/>
      <c r="M87" s="237"/>
      <c r="N87" s="234"/>
      <c r="O87" s="239"/>
      <c r="P87" s="239"/>
    </row>
    <row r="88" spans="2:16" s="272" customFormat="1">
      <c r="B88" s="238"/>
      <c r="C88" s="238"/>
      <c r="D88" s="237"/>
      <c r="E88" s="237"/>
      <c r="F88" s="237"/>
      <c r="G88" s="234"/>
      <c r="H88" s="234"/>
      <c r="I88" s="234"/>
      <c r="J88" s="234"/>
      <c r="K88" s="234"/>
      <c r="L88" s="237"/>
      <c r="M88" s="237"/>
      <c r="N88" s="234"/>
      <c r="O88" s="239"/>
      <c r="P88" s="239"/>
    </row>
    <row r="89" spans="2:16" s="272" customFormat="1">
      <c r="B89" s="238"/>
      <c r="C89" s="238"/>
      <c r="D89" s="237"/>
      <c r="E89" s="237"/>
      <c r="F89" s="237"/>
      <c r="G89" s="234"/>
      <c r="H89" s="234"/>
      <c r="I89" s="234"/>
      <c r="J89" s="234"/>
      <c r="K89" s="234"/>
      <c r="L89" s="237"/>
      <c r="M89" s="237"/>
      <c r="N89" s="234"/>
      <c r="O89" s="239"/>
      <c r="P89" s="239"/>
    </row>
    <row r="90" spans="2:16" s="272" customFormat="1">
      <c r="B90" s="238"/>
      <c r="C90" s="238"/>
      <c r="D90" s="237"/>
      <c r="E90" s="237"/>
      <c r="F90" s="237"/>
      <c r="G90" s="234"/>
      <c r="H90" s="234"/>
      <c r="I90" s="234"/>
      <c r="J90" s="234"/>
      <c r="K90" s="234"/>
      <c r="L90" s="237"/>
      <c r="M90" s="237"/>
      <c r="N90" s="234"/>
      <c r="O90" s="239"/>
      <c r="P90" s="239"/>
    </row>
    <row r="91" spans="2:16" s="272" customFormat="1">
      <c r="B91" s="238"/>
      <c r="C91" s="238"/>
      <c r="D91" s="237"/>
      <c r="E91" s="237"/>
      <c r="F91" s="237"/>
      <c r="G91" s="234"/>
      <c r="H91" s="234"/>
      <c r="I91" s="234"/>
      <c r="J91" s="234"/>
      <c r="K91" s="234"/>
      <c r="L91" s="237"/>
      <c r="M91" s="237"/>
      <c r="N91" s="234"/>
      <c r="O91" s="239"/>
      <c r="P91" s="239"/>
    </row>
    <row r="92" spans="2:16" s="272" customFormat="1">
      <c r="B92" s="238"/>
      <c r="C92" s="238"/>
      <c r="D92" s="237"/>
      <c r="E92" s="237"/>
      <c r="F92" s="237"/>
      <c r="G92" s="234"/>
      <c r="H92" s="234"/>
      <c r="I92" s="234"/>
      <c r="J92" s="234"/>
      <c r="K92" s="234"/>
      <c r="L92" s="237"/>
      <c r="M92" s="237"/>
      <c r="N92" s="234"/>
      <c r="O92" s="239"/>
      <c r="P92" s="239"/>
    </row>
    <row r="93" spans="2:16" s="272" customFormat="1">
      <c r="B93" s="238"/>
      <c r="C93" s="238"/>
      <c r="D93" s="237"/>
      <c r="E93" s="237"/>
      <c r="F93" s="237"/>
      <c r="G93" s="234"/>
      <c r="H93" s="234"/>
      <c r="I93" s="234"/>
      <c r="J93" s="234"/>
      <c r="K93" s="234"/>
      <c r="L93" s="237"/>
      <c r="M93" s="237"/>
      <c r="N93" s="234"/>
      <c r="O93" s="239"/>
      <c r="P93" s="239"/>
    </row>
    <row r="94" spans="2:16" s="272" customFormat="1">
      <c r="B94" s="238"/>
      <c r="C94" s="238"/>
      <c r="D94" s="237"/>
      <c r="E94" s="237"/>
      <c r="F94" s="237"/>
      <c r="G94" s="234"/>
      <c r="H94" s="234"/>
      <c r="I94" s="234"/>
      <c r="J94" s="234"/>
      <c r="K94" s="234"/>
      <c r="L94" s="237"/>
      <c r="M94" s="237"/>
      <c r="N94" s="234"/>
      <c r="O94" s="239"/>
      <c r="P94" s="239"/>
    </row>
    <row r="95" spans="2:16" s="272" customFormat="1">
      <c r="B95" s="238"/>
      <c r="C95" s="238"/>
      <c r="D95" s="237"/>
      <c r="E95" s="237"/>
      <c r="F95" s="237"/>
      <c r="G95" s="234"/>
      <c r="H95" s="234"/>
      <c r="I95" s="234"/>
      <c r="J95" s="234"/>
      <c r="K95" s="234"/>
      <c r="L95" s="237"/>
      <c r="M95" s="237"/>
      <c r="N95" s="234"/>
      <c r="O95" s="239"/>
      <c r="P95" s="239"/>
    </row>
    <row r="96" spans="2:16" s="272" customFormat="1">
      <c r="B96" s="238"/>
      <c r="C96" s="238"/>
      <c r="D96" s="237"/>
      <c r="E96" s="237"/>
      <c r="F96" s="237"/>
      <c r="G96" s="234"/>
      <c r="H96" s="234"/>
      <c r="I96" s="234"/>
      <c r="J96" s="234"/>
      <c r="K96" s="234"/>
      <c r="L96" s="237"/>
      <c r="M96" s="237"/>
      <c r="N96" s="234"/>
      <c r="O96" s="239"/>
      <c r="P96" s="239"/>
    </row>
    <row r="97" spans="2:16" s="272" customFormat="1">
      <c r="B97" s="238"/>
      <c r="C97" s="238"/>
      <c r="D97" s="237"/>
      <c r="E97" s="237"/>
      <c r="F97" s="237"/>
      <c r="G97" s="234"/>
      <c r="H97" s="234"/>
      <c r="I97" s="234"/>
      <c r="J97" s="234"/>
      <c r="K97" s="234"/>
      <c r="L97" s="237"/>
      <c r="M97" s="237"/>
      <c r="N97" s="234"/>
      <c r="O97" s="239"/>
      <c r="P97" s="239"/>
    </row>
    <row r="98" spans="2:16" s="272" customFormat="1">
      <c r="B98" s="238"/>
      <c r="C98" s="238"/>
      <c r="D98" s="237"/>
      <c r="E98" s="237"/>
      <c r="F98" s="237"/>
      <c r="G98" s="234"/>
      <c r="H98" s="234"/>
      <c r="I98" s="234"/>
      <c r="J98" s="234"/>
      <c r="K98" s="234"/>
      <c r="L98" s="237"/>
      <c r="M98" s="237"/>
      <c r="N98" s="234"/>
      <c r="O98" s="239"/>
      <c r="P98" s="239"/>
    </row>
    <row r="99" spans="2:16" s="272" customFormat="1">
      <c r="B99" s="238"/>
      <c r="C99" s="238"/>
      <c r="D99" s="237"/>
      <c r="E99" s="237"/>
      <c r="F99" s="237"/>
      <c r="G99" s="234"/>
      <c r="H99" s="234"/>
      <c r="I99" s="234"/>
      <c r="J99" s="234"/>
      <c r="K99" s="234"/>
      <c r="L99" s="237"/>
      <c r="M99" s="237"/>
      <c r="N99" s="234"/>
      <c r="O99" s="239"/>
      <c r="P99" s="239"/>
    </row>
    <row r="100" spans="2:16" s="272" customFormat="1">
      <c r="B100" s="238"/>
      <c r="C100" s="238"/>
      <c r="D100" s="237"/>
      <c r="E100" s="237"/>
      <c r="F100" s="237"/>
      <c r="G100" s="234"/>
      <c r="H100" s="234"/>
      <c r="I100" s="234"/>
      <c r="J100" s="234"/>
      <c r="K100" s="234"/>
      <c r="L100" s="237"/>
      <c r="M100" s="237"/>
      <c r="N100" s="234"/>
      <c r="O100" s="239"/>
      <c r="P100" s="239"/>
    </row>
    <row r="101" spans="2:16" s="272" customFormat="1">
      <c r="B101" s="238"/>
      <c r="C101" s="238"/>
      <c r="D101" s="237"/>
      <c r="E101" s="237"/>
      <c r="F101" s="237"/>
      <c r="G101" s="234"/>
      <c r="H101" s="234"/>
      <c r="I101" s="234"/>
      <c r="J101" s="234"/>
      <c r="K101" s="234"/>
      <c r="L101" s="237"/>
      <c r="M101" s="237"/>
      <c r="N101" s="234"/>
      <c r="O101" s="239"/>
      <c r="P101" s="239"/>
    </row>
    <row r="102" spans="2:16" s="272" customFormat="1">
      <c r="B102" s="238"/>
      <c r="C102" s="238"/>
      <c r="D102" s="237"/>
      <c r="E102" s="237"/>
      <c r="F102" s="237"/>
      <c r="G102" s="234"/>
      <c r="H102" s="234"/>
      <c r="I102" s="234"/>
      <c r="J102" s="234"/>
      <c r="K102" s="234"/>
      <c r="L102" s="237"/>
      <c r="M102" s="237"/>
      <c r="N102" s="234"/>
      <c r="O102" s="239"/>
      <c r="P102" s="239"/>
    </row>
    <row r="103" spans="2:16" s="272" customFormat="1">
      <c r="B103" s="238"/>
      <c r="C103" s="238"/>
      <c r="D103" s="237"/>
      <c r="E103" s="237"/>
      <c r="F103" s="237"/>
      <c r="G103" s="234"/>
      <c r="H103" s="234"/>
      <c r="I103" s="234"/>
      <c r="J103" s="234"/>
      <c r="K103" s="234"/>
      <c r="L103" s="237"/>
      <c r="M103" s="237"/>
      <c r="N103" s="234"/>
      <c r="O103" s="239"/>
      <c r="P103" s="239"/>
    </row>
    <row r="104" spans="2:16" s="272" customFormat="1">
      <c r="B104" s="238"/>
      <c r="C104" s="238"/>
      <c r="D104" s="237"/>
      <c r="E104" s="237"/>
      <c r="F104" s="237"/>
      <c r="G104" s="234"/>
      <c r="H104" s="234"/>
      <c r="I104" s="234"/>
      <c r="J104" s="234"/>
      <c r="K104" s="234"/>
      <c r="L104" s="237"/>
      <c r="M104" s="237"/>
      <c r="N104" s="234"/>
      <c r="O104" s="239"/>
      <c r="P104" s="239"/>
    </row>
    <row r="105" spans="2:16" s="272" customFormat="1">
      <c r="B105" s="238"/>
      <c r="C105" s="238"/>
      <c r="D105" s="237"/>
      <c r="E105" s="237"/>
      <c r="F105" s="237"/>
      <c r="G105" s="234"/>
      <c r="H105" s="234"/>
      <c r="I105" s="234"/>
      <c r="J105" s="234"/>
      <c r="K105" s="234"/>
      <c r="L105" s="237"/>
      <c r="M105" s="237"/>
      <c r="N105" s="234"/>
      <c r="O105" s="239"/>
      <c r="P105" s="239"/>
    </row>
    <row r="106" spans="2:16" s="272" customFormat="1">
      <c r="B106" s="238"/>
      <c r="C106" s="238"/>
      <c r="D106" s="237"/>
      <c r="E106" s="237"/>
      <c r="F106" s="237"/>
      <c r="G106" s="234"/>
      <c r="H106" s="234"/>
      <c r="I106" s="234"/>
      <c r="J106" s="234"/>
      <c r="K106" s="234"/>
      <c r="L106" s="237"/>
      <c r="M106" s="237"/>
      <c r="N106" s="234"/>
      <c r="O106" s="239"/>
      <c r="P106" s="239"/>
    </row>
    <row r="107" spans="2:16" s="272" customFormat="1">
      <c r="B107" s="238"/>
      <c r="C107" s="238"/>
      <c r="D107" s="237"/>
      <c r="E107" s="237"/>
      <c r="F107" s="237"/>
      <c r="G107" s="234"/>
      <c r="H107" s="234"/>
      <c r="I107" s="234"/>
      <c r="J107" s="234"/>
      <c r="K107" s="234"/>
      <c r="L107" s="237"/>
      <c r="M107" s="237"/>
      <c r="N107" s="234"/>
      <c r="O107" s="239"/>
      <c r="P107" s="239"/>
    </row>
    <row r="108" spans="2:16" s="272" customFormat="1">
      <c r="B108" s="238"/>
      <c r="C108" s="238"/>
      <c r="D108" s="237"/>
      <c r="E108" s="237"/>
      <c r="F108" s="237"/>
      <c r="G108" s="234"/>
      <c r="H108" s="234"/>
      <c r="I108" s="234"/>
      <c r="J108" s="234"/>
      <c r="K108" s="234"/>
      <c r="L108" s="237"/>
      <c r="M108" s="237"/>
      <c r="N108" s="234"/>
      <c r="O108" s="239"/>
      <c r="P108" s="239"/>
    </row>
    <row r="109" spans="2:16" s="272" customFormat="1">
      <c r="B109" s="238"/>
      <c r="C109" s="238"/>
      <c r="D109" s="237"/>
      <c r="E109" s="237"/>
      <c r="F109" s="237"/>
      <c r="G109" s="234"/>
      <c r="H109" s="234"/>
      <c r="I109" s="234"/>
      <c r="J109" s="234"/>
      <c r="K109" s="234"/>
      <c r="L109" s="237"/>
      <c r="M109" s="237"/>
      <c r="N109" s="234"/>
      <c r="O109" s="239"/>
      <c r="P109" s="239"/>
    </row>
    <row r="110" spans="2:16" s="272" customFormat="1">
      <c r="B110" s="238"/>
      <c r="C110" s="238"/>
      <c r="D110" s="237"/>
      <c r="E110" s="237"/>
      <c r="F110" s="237"/>
      <c r="G110" s="234"/>
      <c r="H110" s="234"/>
      <c r="I110" s="234"/>
      <c r="J110" s="234"/>
      <c r="K110" s="234"/>
      <c r="L110" s="237"/>
      <c r="M110" s="237"/>
      <c r="N110" s="234"/>
      <c r="O110" s="239"/>
      <c r="P110" s="239"/>
    </row>
    <row r="111" spans="2:16" s="272" customFormat="1">
      <c r="B111" s="238"/>
      <c r="C111" s="238"/>
      <c r="D111" s="237"/>
      <c r="E111" s="237"/>
      <c r="F111" s="237"/>
      <c r="G111" s="234"/>
      <c r="H111" s="234"/>
      <c r="I111" s="234"/>
      <c r="J111" s="234"/>
      <c r="K111" s="234"/>
      <c r="L111" s="237"/>
      <c r="M111" s="237"/>
      <c r="N111" s="234"/>
      <c r="O111" s="239"/>
      <c r="P111" s="239"/>
    </row>
    <row r="112" spans="2:16" s="272" customFormat="1">
      <c r="B112" s="238"/>
      <c r="C112" s="238"/>
      <c r="D112" s="237"/>
      <c r="E112" s="237"/>
      <c r="F112" s="237"/>
      <c r="G112" s="234"/>
      <c r="H112" s="234"/>
      <c r="I112" s="234"/>
      <c r="J112" s="234"/>
      <c r="K112" s="234"/>
      <c r="L112" s="237"/>
      <c r="M112" s="237"/>
      <c r="N112" s="234"/>
      <c r="O112" s="239"/>
      <c r="P112" s="239"/>
    </row>
    <row r="113" spans="2:16" s="272" customFormat="1">
      <c r="B113" s="238"/>
      <c r="C113" s="238"/>
      <c r="D113" s="237"/>
      <c r="E113" s="237"/>
      <c r="F113" s="237"/>
      <c r="G113" s="234"/>
      <c r="H113" s="234"/>
      <c r="I113" s="234"/>
      <c r="J113" s="234"/>
      <c r="K113" s="234"/>
      <c r="L113" s="237"/>
      <c r="M113" s="237"/>
      <c r="N113" s="234"/>
      <c r="O113" s="239"/>
      <c r="P113" s="239"/>
    </row>
    <row r="114" spans="2:16" s="272" customFormat="1">
      <c r="B114" s="238"/>
      <c r="C114" s="238"/>
      <c r="D114" s="237"/>
      <c r="E114" s="237"/>
      <c r="F114" s="237"/>
      <c r="G114" s="234"/>
      <c r="H114" s="234"/>
      <c r="I114" s="234"/>
      <c r="J114" s="234"/>
      <c r="K114" s="234"/>
      <c r="L114" s="237"/>
      <c r="M114" s="237"/>
      <c r="N114" s="234"/>
      <c r="O114" s="239"/>
      <c r="P114" s="239"/>
    </row>
    <row r="115" spans="2:16" s="272" customFormat="1">
      <c r="B115" s="238"/>
      <c r="C115" s="238"/>
      <c r="D115" s="237"/>
      <c r="E115" s="237"/>
      <c r="F115" s="237"/>
      <c r="G115" s="234"/>
      <c r="H115" s="234"/>
      <c r="I115" s="234"/>
      <c r="J115" s="234"/>
      <c r="K115" s="234"/>
      <c r="L115" s="237"/>
      <c r="M115" s="237"/>
      <c r="N115" s="234"/>
      <c r="O115" s="239"/>
      <c r="P115" s="239"/>
    </row>
    <row r="116" spans="2:16" s="272" customFormat="1">
      <c r="B116" s="238"/>
      <c r="C116" s="238"/>
      <c r="D116" s="237"/>
      <c r="E116" s="237"/>
      <c r="F116" s="237"/>
      <c r="G116" s="234"/>
      <c r="H116" s="234"/>
      <c r="I116" s="234"/>
      <c r="J116" s="234"/>
      <c r="K116" s="234"/>
      <c r="L116" s="237"/>
      <c r="M116" s="237"/>
      <c r="N116" s="234"/>
      <c r="O116" s="239"/>
      <c r="P116" s="239"/>
    </row>
    <row r="117" spans="2:16" s="272" customFormat="1">
      <c r="B117" s="238"/>
      <c r="C117" s="238"/>
      <c r="D117" s="237"/>
      <c r="E117" s="237"/>
      <c r="F117" s="237"/>
      <c r="G117" s="234"/>
      <c r="H117" s="234"/>
      <c r="I117" s="234"/>
      <c r="J117" s="234"/>
      <c r="K117" s="234"/>
      <c r="L117" s="237"/>
      <c r="M117" s="237"/>
      <c r="N117" s="234"/>
      <c r="O117" s="239"/>
      <c r="P117" s="239"/>
    </row>
    <row r="118" spans="2:16" s="272" customFormat="1">
      <c r="B118" s="238"/>
      <c r="C118" s="238"/>
      <c r="D118" s="237"/>
      <c r="E118" s="237"/>
      <c r="F118" s="237"/>
      <c r="G118" s="234"/>
      <c r="H118" s="234"/>
      <c r="I118" s="234"/>
      <c r="J118" s="234"/>
      <c r="K118" s="234"/>
      <c r="L118" s="237"/>
      <c r="M118" s="237"/>
      <c r="N118" s="234"/>
      <c r="O118" s="239"/>
      <c r="P118" s="239"/>
    </row>
    <row r="119" spans="2:16" s="272" customFormat="1">
      <c r="B119" s="238"/>
      <c r="C119" s="238"/>
      <c r="D119" s="237"/>
      <c r="E119" s="237"/>
      <c r="F119" s="237"/>
      <c r="G119" s="234"/>
      <c r="H119" s="234"/>
      <c r="I119" s="234"/>
      <c r="J119" s="234"/>
      <c r="K119" s="234"/>
      <c r="L119" s="237"/>
      <c r="M119" s="237"/>
      <c r="N119" s="234"/>
      <c r="O119" s="239"/>
      <c r="P119" s="239"/>
    </row>
    <row r="120" spans="2:16" s="272" customFormat="1">
      <c r="B120" s="238"/>
      <c r="C120" s="238"/>
      <c r="D120" s="237"/>
      <c r="E120" s="237"/>
      <c r="F120" s="237"/>
      <c r="G120" s="234"/>
      <c r="H120" s="234"/>
      <c r="I120" s="234"/>
      <c r="J120" s="234"/>
      <c r="K120" s="234"/>
      <c r="L120" s="237"/>
      <c r="M120" s="237"/>
      <c r="N120" s="234"/>
      <c r="O120" s="239"/>
      <c r="P120" s="239"/>
    </row>
    <row r="121" spans="2:16" s="272" customFormat="1">
      <c r="B121" s="238"/>
      <c r="C121" s="238"/>
      <c r="D121" s="237"/>
      <c r="E121" s="237"/>
      <c r="F121" s="237"/>
      <c r="G121" s="234"/>
      <c r="H121" s="234"/>
      <c r="I121" s="234"/>
      <c r="J121" s="234"/>
      <c r="K121" s="234"/>
      <c r="L121" s="237"/>
      <c r="M121" s="237"/>
      <c r="N121" s="234"/>
      <c r="O121" s="239"/>
      <c r="P121" s="239"/>
    </row>
    <row r="122" spans="2:16" s="272" customFormat="1">
      <c r="B122" s="238"/>
      <c r="C122" s="238"/>
      <c r="D122" s="237"/>
      <c r="E122" s="237"/>
      <c r="F122" s="237"/>
      <c r="G122" s="234"/>
      <c r="H122" s="234"/>
      <c r="I122" s="234"/>
      <c r="J122" s="234"/>
      <c r="K122" s="234"/>
      <c r="L122" s="237"/>
      <c r="M122" s="237"/>
      <c r="N122" s="234"/>
      <c r="O122" s="239"/>
      <c r="P122" s="239"/>
    </row>
    <row r="123" spans="2:16" s="272" customFormat="1">
      <c r="B123" s="238"/>
      <c r="C123" s="238"/>
      <c r="D123" s="237"/>
      <c r="E123" s="237"/>
      <c r="F123" s="237"/>
      <c r="G123" s="234"/>
      <c r="H123" s="234"/>
      <c r="I123" s="234"/>
      <c r="J123" s="234"/>
      <c r="K123" s="234"/>
      <c r="L123" s="237"/>
      <c r="M123" s="237"/>
      <c r="N123" s="234"/>
      <c r="O123" s="239"/>
      <c r="P123" s="239"/>
    </row>
    <row r="124" spans="2:16" s="272" customFormat="1">
      <c r="B124" s="238"/>
      <c r="C124" s="238"/>
      <c r="D124" s="237"/>
      <c r="E124" s="237"/>
      <c r="F124" s="237"/>
      <c r="G124" s="234"/>
      <c r="H124" s="234"/>
      <c r="I124" s="234"/>
      <c r="J124" s="234"/>
      <c r="K124" s="234"/>
      <c r="L124" s="237"/>
      <c r="M124" s="237"/>
      <c r="N124" s="234"/>
      <c r="O124" s="239"/>
      <c r="P124" s="239"/>
    </row>
    <row r="125" spans="2:16" s="272" customFormat="1">
      <c r="B125" s="238"/>
      <c r="C125" s="238"/>
      <c r="D125" s="237"/>
      <c r="E125" s="237"/>
      <c r="F125" s="237"/>
      <c r="G125" s="234"/>
      <c r="H125" s="234"/>
      <c r="I125" s="234"/>
      <c r="J125" s="234"/>
      <c r="K125" s="234"/>
      <c r="L125" s="237"/>
      <c r="M125" s="237"/>
      <c r="N125" s="234"/>
      <c r="O125" s="239"/>
      <c r="P125" s="239"/>
    </row>
    <row r="126" spans="2:16" s="272" customFormat="1">
      <c r="B126" s="238"/>
      <c r="C126" s="238"/>
      <c r="D126" s="237"/>
      <c r="E126" s="237"/>
      <c r="F126" s="237"/>
      <c r="G126" s="234"/>
      <c r="H126" s="234"/>
      <c r="I126" s="234"/>
      <c r="J126" s="234"/>
      <c r="K126" s="234"/>
      <c r="L126" s="237"/>
      <c r="M126" s="237"/>
      <c r="N126" s="234"/>
      <c r="O126" s="239"/>
      <c r="P126" s="239"/>
    </row>
    <row r="127" spans="2:16" s="272" customFormat="1">
      <c r="B127" s="238"/>
      <c r="C127" s="238"/>
      <c r="D127" s="237"/>
      <c r="E127" s="237"/>
      <c r="F127" s="237"/>
      <c r="G127" s="234"/>
      <c r="H127" s="234"/>
      <c r="I127" s="234"/>
      <c r="J127" s="234"/>
      <c r="K127" s="234"/>
      <c r="L127" s="237"/>
      <c r="M127" s="237"/>
      <c r="N127" s="234"/>
      <c r="O127" s="239"/>
      <c r="P127" s="239"/>
    </row>
    <row r="128" spans="2:16" s="272" customFormat="1">
      <c r="B128" s="238"/>
      <c r="C128" s="238"/>
      <c r="D128" s="237"/>
      <c r="E128" s="237"/>
      <c r="F128" s="237"/>
      <c r="G128" s="234"/>
      <c r="H128" s="234"/>
      <c r="I128" s="234"/>
      <c r="J128" s="234"/>
      <c r="K128" s="234"/>
      <c r="L128" s="237"/>
      <c r="M128" s="237"/>
      <c r="N128" s="234"/>
      <c r="O128" s="239"/>
      <c r="P128" s="239"/>
    </row>
    <row r="129" spans="2:16" s="272" customFormat="1">
      <c r="B129" s="238"/>
      <c r="C129" s="238"/>
      <c r="D129" s="237"/>
      <c r="E129" s="237"/>
      <c r="F129" s="237"/>
      <c r="G129" s="234"/>
      <c r="H129" s="234"/>
      <c r="I129" s="234"/>
      <c r="J129" s="234"/>
      <c r="K129" s="234"/>
      <c r="L129" s="237"/>
      <c r="M129" s="237"/>
      <c r="N129" s="234"/>
      <c r="O129" s="239"/>
      <c r="P129" s="239"/>
    </row>
    <row r="130" spans="2:16" s="272" customFormat="1">
      <c r="B130" s="238"/>
      <c r="C130" s="238"/>
      <c r="D130" s="237"/>
      <c r="E130" s="237"/>
      <c r="F130" s="237"/>
      <c r="G130" s="234"/>
      <c r="H130" s="234"/>
      <c r="I130" s="234"/>
      <c r="J130" s="234"/>
      <c r="K130" s="234"/>
      <c r="L130" s="237"/>
      <c r="M130" s="237"/>
      <c r="N130" s="234"/>
      <c r="O130" s="239"/>
      <c r="P130" s="239"/>
    </row>
    <row r="131" spans="2:16" s="272" customFormat="1">
      <c r="B131" s="238"/>
      <c r="C131" s="238"/>
      <c r="D131" s="237"/>
      <c r="E131" s="237"/>
      <c r="F131" s="237"/>
      <c r="G131" s="234"/>
      <c r="H131" s="234"/>
      <c r="I131" s="234"/>
      <c r="J131" s="234"/>
      <c r="K131" s="234"/>
      <c r="L131" s="237"/>
      <c r="M131" s="237"/>
      <c r="N131" s="234"/>
      <c r="O131" s="239"/>
      <c r="P131" s="239"/>
    </row>
    <row r="132" spans="2:16" s="272" customFormat="1">
      <c r="B132" s="238"/>
      <c r="C132" s="238"/>
      <c r="D132" s="237"/>
      <c r="E132" s="237"/>
      <c r="F132" s="237"/>
      <c r="G132" s="234"/>
      <c r="H132" s="234"/>
      <c r="I132" s="234"/>
      <c r="J132" s="234"/>
      <c r="K132" s="234"/>
      <c r="L132" s="237"/>
      <c r="M132" s="237"/>
      <c r="N132" s="234"/>
      <c r="O132" s="239"/>
      <c r="P132" s="239"/>
    </row>
    <row r="133" spans="2:16" s="272" customFormat="1">
      <c r="B133" s="238"/>
      <c r="C133" s="238"/>
      <c r="D133" s="237"/>
      <c r="E133" s="237"/>
      <c r="F133" s="237"/>
      <c r="G133" s="234"/>
      <c r="H133" s="234"/>
      <c r="I133" s="234"/>
      <c r="J133" s="234"/>
      <c r="K133" s="234"/>
      <c r="L133" s="237"/>
      <c r="M133" s="237"/>
      <c r="N133" s="234"/>
      <c r="O133" s="239"/>
      <c r="P133" s="239"/>
    </row>
    <row r="134" spans="2:16" s="272" customFormat="1">
      <c r="B134" s="238"/>
      <c r="C134" s="238"/>
      <c r="D134" s="237"/>
      <c r="E134" s="237"/>
      <c r="F134" s="237"/>
      <c r="G134" s="234"/>
      <c r="H134" s="234"/>
      <c r="I134" s="234"/>
      <c r="J134" s="234"/>
      <c r="K134" s="234"/>
      <c r="L134" s="237"/>
      <c r="M134" s="237"/>
      <c r="N134" s="234"/>
      <c r="O134" s="239"/>
      <c r="P134" s="239"/>
    </row>
    <row r="135" spans="2:16" s="272" customFormat="1">
      <c r="B135" s="238"/>
      <c r="C135" s="238"/>
      <c r="D135" s="237"/>
      <c r="E135" s="237"/>
      <c r="F135" s="237"/>
      <c r="G135" s="234"/>
      <c r="H135" s="234"/>
      <c r="I135" s="234"/>
      <c r="J135" s="234"/>
      <c r="K135" s="234"/>
      <c r="L135" s="237"/>
      <c r="M135" s="237"/>
      <c r="N135" s="234"/>
      <c r="O135" s="239"/>
      <c r="P135" s="239"/>
    </row>
    <row r="136" spans="2:16" s="272" customFormat="1">
      <c r="B136" s="238"/>
      <c r="C136" s="238"/>
      <c r="D136" s="237"/>
      <c r="E136" s="237"/>
      <c r="F136" s="237"/>
      <c r="G136" s="234"/>
      <c r="H136" s="234"/>
      <c r="I136" s="234"/>
      <c r="J136" s="234"/>
      <c r="K136" s="234"/>
      <c r="L136" s="237"/>
      <c r="M136" s="237"/>
      <c r="N136" s="234"/>
      <c r="O136" s="239"/>
      <c r="P136" s="239"/>
    </row>
    <row r="137" spans="2:16" s="272" customFormat="1">
      <c r="B137" s="238"/>
      <c r="C137" s="238"/>
      <c r="D137" s="237"/>
      <c r="E137" s="237"/>
      <c r="F137" s="237"/>
      <c r="G137" s="234"/>
      <c r="H137" s="234"/>
      <c r="I137" s="234"/>
      <c r="J137" s="234"/>
      <c r="K137" s="234"/>
      <c r="L137" s="237"/>
      <c r="M137" s="237"/>
      <c r="N137" s="234"/>
      <c r="O137" s="239"/>
      <c r="P137" s="239"/>
    </row>
    <row r="138" spans="2:16" s="272" customFormat="1">
      <c r="B138" s="238"/>
      <c r="C138" s="238"/>
      <c r="D138" s="237"/>
      <c r="E138" s="237"/>
      <c r="F138" s="237"/>
      <c r="G138" s="234"/>
      <c r="H138" s="234"/>
      <c r="I138" s="234"/>
      <c r="J138" s="234"/>
      <c r="K138" s="234"/>
      <c r="L138" s="237"/>
      <c r="M138" s="237"/>
      <c r="N138" s="234"/>
      <c r="O138" s="239"/>
      <c r="P138" s="239"/>
    </row>
    <row r="139" spans="2:16" s="272" customFormat="1">
      <c r="B139" s="238"/>
      <c r="C139" s="238"/>
      <c r="D139" s="237"/>
      <c r="E139" s="237"/>
      <c r="F139" s="237"/>
      <c r="G139" s="234"/>
      <c r="H139" s="234"/>
      <c r="I139" s="234"/>
      <c r="J139" s="234"/>
      <c r="K139" s="234"/>
      <c r="L139" s="237"/>
      <c r="M139" s="237"/>
      <c r="N139" s="234"/>
      <c r="O139" s="239"/>
      <c r="P139" s="239"/>
    </row>
    <row r="140" spans="2:16" s="272" customFormat="1">
      <c r="B140" s="238"/>
      <c r="C140" s="238"/>
      <c r="D140" s="237"/>
      <c r="E140" s="237"/>
      <c r="F140" s="237"/>
      <c r="G140" s="234"/>
      <c r="H140" s="234"/>
      <c r="I140" s="234"/>
      <c r="J140" s="234"/>
      <c r="K140" s="234"/>
      <c r="L140" s="237"/>
      <c r="M140" s="237"/>
      <c r="N140" s="234"/>
      <c r="O140" s="239"/>
      <c r="P140" s="239"/>
    </row>
    <row r="141" spans="2:16" s="272" customFormat="1">
      <c r="B141" s="238"/>
      <c r="C141" s="238"/>
      <c r="D141" s="237"/>
      <c r="E141" s="237"/>
      <c r="F141" s="237"/>
      <c r="G141" s="234"/>
      <c r="H141" s="234"/>
      <c r="I141" s="234"/>
      <c r="J141" s="234"/>
      <c r="K141" s="234"/>
      <c r="L141" s="237"/>
      <c r="M141" s="237"/>
      <c r="N141" s="234"/>
      <c r="O141" s="239"/>
      <c r="P141" s="239"/>
    </row>
    <row r="142" spans="2:16" s="272" customFormat="1">
      <c r="B142" s="238"/>
      <c r="C142" s="238"/>
      <c r="D142" s="237"/>
      <c r="E142" s="237"/>
      <c r="F142" s="237"/>
      <c r="G142" s="234"/>
      <c r="H142" s="234"/>
      <c r="I142" s="234"/>
      <c r="J142" s="234"/>
      <c r="K142" s="234"/>
      <c r="L142" s="237"/>
      <c r="M142" s="237"/>
      <c r="N142" s="234"/>
      <c r="O142" s="239"/>
      <c r="P142" s="239"/>
    </row>
    <row r="143" spans="2:16" s="272" customFormat="1">
      <c r="B143" s="238"/>
      <c r="C143" s="238"/>
      <c r="D143" s="237"/>
      <c r="E143" s="237"/>
      <c r="F143" s="237"/>
      <c r="G143" s="234"/>
      <c r="H143" s="234"/>
      <c r="I143" s="234"/>
      <c r="J143" s="234"/>
      <c r="K143" s="234"/>
      <c r="L143" s="237"/>
      <c r="M143" s="237"/>
      <c r="N143" s="234"/>
      <c r="O143" s="239"/>
      <c r="P143" s="239"/>
    </row>
    <row r="144" spans="2:16" s="272" customFormat="1">
      <c r="B144" s="238"/>
      <c r="C144" s="238"/>
      <c r="D144" s="237"/>
      <c r="E144" s="237"/>
      <c r="F144" s="237"/>
      <c r="G144" s="234"/>
      <c r="H144" s="234"/>
      <c r="I144" s="234"/>
      <c r="J144" s="234"/>
      <c r="K144" s="234"/>
      <c r="L144" s="237"/>
      <c r="M144" s="237"/>
      <c r="N144" s="234"/>
      <c r="O144" s="239"/>
      <c r="P144" s="239"/>
    </row>
    <row r="145" spans="2:16" s="272" customFormat="1">
      <c r="B145" s="238"/>
      <c r="C145" s="238"/>
      <c r="D145" s="237"/>
      <c r="E145" s="237"/>
      <c r="F145" s="237"/>
      <c r="G145" s="234"/>
      <c r="H145" s="234"/>
      <c r="I145" s="234"/>
      <c r="J145" s="234"/>
      <c r="K145" s="234"/>
      <c r="L145" s="237"/>
      <c r="M145" s="237"/>
      <c r="N145" s="234"/>
      <c r="O145" s="239"/>
      <c r="P145" s="239"/>
    </row>
    <row r="146" spans="2:16" s="272" customFormat="1">
      <c r="B146" s="238"/>
      <c r="C146" s="238"/>
      <c r="D146" s="237"/>
      <c r="E146" s="237"/>
      <c r="F146" s="237"/>
      <c r="G146" s="234"/>
      <c r="H146" s="234"/>
      <c r="I146" s="234"/>
      <c r="J146" s="234"/>
      <c r="K146" s="234"/>
      <c r="L146" s="237"/>
      <c r="M146" s="237"/>
      <c r="N146" s="234"/>
      <c r="O146" s="239"/>
      <c r="P146" s="239"/>
    </row>
    <row r="147" spans="2:16" s="272" customFormat="1">
      <c r="B147" s="238"/>
      <c r="C147" s="238"/>
      <c r="D147" s="237"/>
      <c r="E147" s="237"/>
      <c r="F147" s="237"/>
      <c r="G147" s="234"/>
      <c r="H147" s="234"/>
      <c r="I147" s="234"/>
      <c r="J147" s="234"/>
      <c r="K147" s="234"/>
      <c r="L147" s="237"/>
      <c r="M147" s="237"/>
      <c r="N147" s="234"/>
      <c r="O147" s="239"/>
      <c r="P147" s="239"/>
    </row>
    <row r="148" spans="2:16" s="272" customFormat="1">
      <c r="B148" s="238"/>
      <c r="C148" s="238"/>
      <c r="D148" s="237"/>
      <c r="E148" s="237"/>
      <c r="F148" s="237"/>
      <c r="G148" s="234"/>
      <c r="H148" s="234"/>
      <c r="I148" s="234"/>
      <c r="J148" s="234"/>
      <c r="K148" s="234"/>
      <c r="L148" s="237"/>
      <c r="M148" s="237"/>
      <c r="N148" s="234"/>
      <c r="O148" s="239"/>
      <c r="P148" s="239"/>
    </row>
    <row r="149" spans="2:16" s="272" customFormat="1">
      <c r="B149" s="238"/>
      <c r="C149" s="238"/>
      <c r="D149" s="237"/>
      <c r="E149" s="237"/>
      <c r="F149" s="237"/>
      <c r="G149" s="234"/>
      <c r="H149" s="234"/>
      <c r="I149" s="234"/>
      <c r="J149" s="234"/>
      <c r="K149" s="234"/>
      <c r="L149" s="237"/>
      <c r="M149" s="237"/>
      <c r="N149" s="234"/>
      <c r="O149" s="239"/>
      <c r="P149" s="239"/>
    </row>
    <row r="150" spans="2:16" s="272" customFormat="1">
      <c r="B150" s="238"/>
      <c r="C150" s="238"/>
      <c r="D150" s="237"/>
      <c r="E150" s="237"/>
      <c r="F150" s="237"/>
      <c r="G150" s="234"/>
      <c r="H150" s="234"/>
      <c r="I150" s="234"/>
      <c r="J150" s="234"/>
      <c r="K150" s="234"/>
      <c r="L150" s="237"/>
      <c r="M150" s="237"/>
      <c r="N150" s="234"/>
      <c r="O150" s="239"/>
      <c r="P150" s="239"/>
    </row>
    <row r="151" spans="2:16" s="272" customFormat="1">
      <c r="B151" s="238"/>
      <c r="C151" s="238"/>
      <c r="D151" s="237"/>
      <c r="E151" s="237"/>
      <c r="F151" s="237"/>
      <c r="G151" s="234"/>
      <c r="H151" s="234"/>
      <c r="I151" s="234"/>
      <c r="J151" s="234"/>
      <c r="K151" s="234"/>
      <c r="L151" s="237"/>
      <c r="M151" s="237"/>
      <c r="N151" s="234"/>
      <c r="O151" s="239"/>
      <c r="P151" s="239"/>
    </row>
    <row r="152" spans="2:16" s="272" customFormat="1">
      <c r="B152" s="238"/>
      <c r="C152" s="238"/>
      <c r="D152" s="237"/>
      <c r="E152" s="237"/>
      <c r="F152" s="237"/>
      <c r="G152" s="234"/>
      <c r="H152" s="234"/>
      <c r="I152" s="234"/>
      <c r="J152" s="234"/>
      <c r="K152" s="234"/>
      <c r="L152" s="237"/>
      <c r="M152" s="237"/>
      <c r="N152" s="234"/>
      <c r="O152" s="239"/>
      <c r="P152" s="239"/>
    </row>
    <row r="153" spans="2:16" s="272" customFormat="1">
      <c r="B153" s="238"/>
      <c r="C153" s="238"/>
      <c r="D153" s="237"/>
      <c r="E153" s="237"/>
      <c r="F153" s="237"/>
      <c r="G153" s="234"/>
      <c r="H153" s="234"/>
      <c r="I153" s="234"/>
      <c r="J153" s="234"/>
      <c r="K153" s="234"/>
      <c r="L153" s="237"/>
      <c r="M153" s="237"/>
      <c r="N153" s="234"/>
      <c r="O153" s="239"/>
      <c r="P153" s="239"/>
    </row>
    <row r="154" spans="2:16" s="272" customFormat="1">
      <c r="B154" s="238"/>
      <c r="C154" s="238"/>
      <c r="D154" s="237"/>
      <c r="E154" s="237"/>
      <c r="F154" s="237"/>
      <c r="G154" s="234"/>
      <c r="H154" s="234"/>
      <c r="I154" s="234"/>
      <c r="J154" s="234"/>
      <c r="K154" s="234"/>
      <c r="L154" s="237"/>
      <c r="M154" s="237"/>
      <c r="N154" s="234"/>
      <c r="O154" s="239"/>
      <c r="P154" s="239"/>
    </row>
    <row r="155" spans="2:16" s="272" customFormat="1">
      <c r="B155" s="238"/>
      <c r="C155" s="238"/>
      <c r="D155" s="237"/>
      <c r="E155" s="237"/>
      <c r="F155" s="237"/>
      <c r="G155" s="234"/>
      <c r="H155" s="234"/>
      <c r="I155" s="234"/>
      <c r="J155" s="234"/>
      <c r="K155" s="234"/>
      <c r="L155" s="237"/>
      <c r="M155" s="237"/>
      <c r="N155" s="234"/>
      <c r="O155" s="239"/>
      <c r="P155" s="239"/>
    </row>
    <row r="156" spans="2:16" s="272" customFormat="1">
      <c r="B156" s="238"/>
      <c r="C156" s="238"/>
      <c r="D156" s="237"/>
      <c r="E156" s="237"/>
      <c r="F156" s="237"/>
      <c r="G156" s="234"/>
      <c r="H156" s="234"/>
      <c r="I156" s="234"/>
      <c r="J156" s="234"/>
      <c r="K156" s="234"/>
      <c r="L156" s="237"/>
      <c r="M156" s="237"/>
      <c r="N156" s="234"/>
      <c r="O156" s="239"/>
      <c r="P156" s="239"/>
    </row>
    <row r="157" spans="2:16" s="272" customFormat="1">
      <c r="B157" s="238"/>
      <c r="C157" s="238"/>
      <c r="D157" s="237"/>
      <c r="E157" s="237"/>
      <c r="F157" s="237"/>
      <c r="G157" s="234"/>
      <c r="H157" s="234"/>
      <c r="I157" s="234"/>
      <c r="J157" s="234"/>
      <c r="K157" s="234"/>
      <c r="L157" s="237"/>
      <c r="M157" s="237"/>
      <c r="N157" s="234"/>
      <c r="O157" s="239"/>
      <c r="P157" s="239"/>
    </row>
    <row r="158" spans="2:16" s="272" customFormat="1">
      <c r="B158" s="238"/>
      <c r="C158" s="238"/>
      <c r="D158" s="237"/>
      <c r="E158" s="237"/>
      <c r="F158" s="237"/>
      <c r="G158" s="234"/>
      <c r="H158" s="234"/>
      <c r="I158" s="234"/>
      <c r="J158" s="234"/>
      <c r="K158" s="234"/>
      <c r="L158" s="237"/>
      <c r="M158" s="237"/>
      <c r="N158" s="234"/>
      <c r="O158" s="239"/>
      <c r="P158" s="239"/>
    </row>
    <row r="159" spans="2:16" s="272" customFormat="1">
      <c r="B159" s="238"/>
      <c r="C159" s="238"/>
      <c r="D159" s="237"/>
      <c r="E159" s="237"/>
      <c r="F159" s="237"/>
      <c r="G159" s="234"/>
      <c r="H159" s="234"/>
      <c r="I159" s="234"/>
      <c r="J159" s="234"/>
      <c r="K159" s="234"/>
      <c r="L159" s="237"/>
      <c r="M159" s="237"/>
      <c r="N159" s="234"/>
      <c r="O159" s="239"/>
      <c r="P159" s="239"/>
    </row>
    <row r="160" spans="2:16" s="272" customFormat="1">
      <c r="B160" s="238"/>
      <c r="C160" s="238"/>
      <c r="D160" s="237"/>
      <c r="E160" s="237"/>
      <c r="F160" s="237"/>
      <c r="G160" s="234"/>
      <c r="H160" s="234"/>
      <c r="I160" s="234"/>
      <c r="J160" s="234"/>
      <c r="K160" s="234"/>
      <c r="L160" s="237"/>
      <c r="M160" s="237"/>
      <c r="N160" s="234"/>
      <c r="O160" s="239"/>
      <c r="P160" s="239"/>
    </row>
    <row r="161" spans="2:16" s="272" customFormat="1">
      <c r="B161" s="238"/>
      <c r="C161" s="238"/>
      <c r="D161" s="237"/>
      <c r="E161" s="237"/>
      <c r="F161" s="237"/>
      <c r="G161" s="234"/>
      <c r="H161" s="234"/>
      <c r="I161" s="234"/>
      <c r="J161" s="234"/>
      <c r="K161" s="234"/>
      <c r="L161" s="237"/>
      <c r="M161" s="237"/>
      <c r="N161" s="234"/>
      <c r="O161" s="239"/>
      <c r="P161" s="239"/>
    </row>
    <row r="162" spans="2:16" s="272" customFormat="1">
      <c r="B162" s="238"/>
      <c r="C162" s="238"/>
      <c r="D162" s="237"/>
      <c r="E162" s="237"/>
      <c r="F162" s="237"/>
      <c r="G162" s="234"/>
      <c r="H162" s="234"/>
      <c r="I162" s="234"/>
      <c r="J162" s="234"/>
      <c r="K162" s="234"/>
      <c r="L162" s="237"/>
      <c r="M162" s="237"/>
      <c r="N162" s="234"/>
      <c r="O162" s="239"/>
      <c r="P162" s="239"/>
    </row>
    <row r="163" spans="2:16" s="272" customFormat="1">
      <c r="B163" s="238"/>
      <c r="C163" s="238"/>
      <c r="D163" s="237"/>
      <c r="E163" s="237"/>
      <c r="F163" s="237"/>
      <c r="G163" s="234"/>
      <c r="H163" s="234"/>
      <c r="I163" s="234"/>
      <c r="J163" s="234"/>
      <c r="K163" s="234"/>
      <c r="L163" s="237"/>
      <c r="M163" s="237"/>
      <c r="N163" s="234"/>
      <c r="O163" s="239"/>
      <c r="P163" s="239"/>
    </row>
    <row r="164" spans="2:16" s="272" customFormat="1">
      <c r="B164" s="238"/>
      <c r="C164" s="238"/>
      <c r="D164" s="237"/>
      <c r="E164" s="237"/>
      <c r="F164" s="237"/>
      <c r="G164" s="234"/>
      <c r="H164" s="234"/>
      <c r="I164" s="234"/>
      <c r="J164" s="234"/>
      <c r="K164" s="234"/>
      <c r="L164" s="237"/>
      <c r="M164" s="237"/>
      <c r="N164" s="234"/>
      <c r="O164" s="239"/>
      <c r="P164" s="239"/>
    </row>
    <row r="165" spans="2:16" s="272" customFormat="1">
      <c r="B165" s="238"/>
      <c r="C165" s="238"/>
      <c r="D165" s="237"/>
      <c r="E165" s="237"/>
      <c r="F165" s="237"/>
      <c r="G165" s="234"/>
      <c r="H165" s="234"/>
      <c r="I165" s="234"/>
      <c r="J165" s="234"/>
      <c r="K165" s="234"/>
      <c r="L165" s="237"/>
      <c r="M165" s="237"/>
      <c r="N165" s="234"/>
      <c r="O165" s="239"/>
      <c r="P165" s="239"/>
    </row>
    <row r="166" spans="2:16" s="272" customFormat="1">
      <c r="B166" s="238"/>
      <c r="C166" s="238"/>
      <c r="D166" s="237"/>
      <c r="E166" s="237"/>
      <c r="F166" s="237"/>
      <c r="G166" s="234"/>
      <c r="H166" s="234"/>
      <c r="I166" s="234"/>
      <c r="J166" s="234"/>
      <c r="K166" s="234"/>
      <c r="L166" s="237"/>
      <c r="M166" s="237"/>
      <c r="N166" s="234"/>
      <c r="O166" s="239"/>
      <c r="P166" s="239"/>
    </row>
    <row r="167" spans="2:16" s="272" customFormat="1">
      <c r="B167" s="238"/>
      <c r="C167" s="238"/>
      <c r="D167" s="237"/>
      <c r="E167" s="237"/>
      <c r="F167" s="237"/>
      <c r="G167" s="234"/>
      <c r="H167" s="234"/>
      <c r="I167" s="234"/>
      <c r="J167" s="234"/>
      <c r="K167" s="234"/>
      <c r="L167" s="237"/>
      <c r="M167" s="237"/>
      <c r="N167" s="234"/>
      <c r="O167" s="239"/>
      <c r="P167" s="239"/>
    </row>
    <row r="168" spans="2:16" s="272" customFormat="1">
      <c r="B168" s="238"/>
      <c r="C168" s="238"/>
      <c r="D168" s="237"/>
      <c r="E168" s="237"/>
      <c r="F168" s="237"/>
      <c r="G168" s="234"/>
      <c r="H168" s="234"/>
      <c r="I168" s="234"/>
      <c r="J168" s="234"/>
      <c r="K168" s="234"/>
      <c r="L168" s="237"/>
      <c r="M168" s="237"/>
      <c r="N168" s="234"/>
      <c r="O168" s="239"/>
      <c r="P168" s="239"/>
    </row>
    <row r="169" spans="2:16" s="272" customFormat="1">
      <c r="B169" s="238"/>
      <c r="C169" s="238"/>
      <c r="D169" s="237"/>
      <c r="E169" s="237"/>
      <c r="F169" s="237"/>
      <c r="G169" s="234"/>
      <c r="H169" s="234"/>
      <c r="I169" s="234"/>
      <c r="J169" s="234"/>
      <c r="K169" s="234"/>
      <c r="L169" s="237"/>
      <c r="M169" s="237"/>
      <c r="N169" s="234"/>
      <c r="O169" s="239"/>
      <c r="P169" s="239"/>
    </row>
    <row r="170" spans="2:16" s="272" customFormat="1">
      <c r="B170" s="238"/>
      <c r="C170" s="238"/>
      <c r="D170" s="237"/>
      <c r="E170" s="237"/>
      <c r="F170" s="237"/>
      <c r="G170" s="234"/>
      <c r="H170" s="234"/>
      <c r="I170" s="234"/>
      <c r="J170" s="234"/>
      <c r="K170" s="234"/>
      <c r="L170" s="237"/>
      <c r="M170" s="237"/>
      <c r="N170" s="234"/>
      <c r="O170" s="239"/>
      <c r="P170" s="239"/>
    </row>
    <row r="171" spans="2:16" s="272" customFormat="1">
      <c r="B171" s="238"/>
      <c r="C171" s="238"/>
      <c r="D171" s="237"/>
      <c r="E171" s="237"/>
      <c r="F171" s="237"/>
      <c r="G171" s="234"/>
      <c r="H171" s="234"/>
      <c r="I171" s="234"/>
      <c r="J171" s="234"/>
      <c r="K171" s="234"/>
      <c r="L171" s="237"/>
      <c r="M171" s="237"/>
      <c r="N171" s="234"/>
      <c r="O171" s="239"/>
      <c r="P171" s="239"/>
    </row>
    <row r="172" spans="2:16" s="272" customFormat="1">
      <c r="B172" s="238"/>
      <c r="C172" s="238"/>
      <c r="D172" s="237"/>
      <c r="E172" s="237"/>
      <c r="F172" s="237"/>
      <c r="G172" s="234"/>
      <c r="H172" s="234"/>
      <c r="I172" s="234"/>
      <c r="J172" s="234"/>
      <c r="K172" s="234"/>
      <c r="L172" s="237"/>
      <c r="M172" s="237"/>
      <c r="N172" s="234"/>
      <c r="O172" s="239"/>
      <c r="P172" s="239"/>
    </row>
    <row r="173" spans="2:16" s="272" customFormat="1">
      <c r="B173" s="238"/>
      <c r="C173" s="238"/>
      <c r="D173" s="237"/>
      <c r="E173" s="237"/>
      <c r="F173" s="237"/>
      <c r="G173" s="234"/>
      <c r="H173" s="234"/>
      <c r="I173" s="234"/>
      <c r="J173" s="234"/>
      <c r="K173" s="234"/>
      <c r="L173" s="237"/>
      <c r="M173" s="237"/>
      <c r="N173" s="234"/>
      <c r="O173" s="239"/>
      <c r="P173" s="239"/>
    </row>
    <row r="174" spans="2:16" s="272" customFormat="1">
      <c r="B174" s="238"/>
      <c r="C174" s="238"/>
      <c r="D174" s="237"/>
      <c r="E174" s="237"/>
      <c r="F174" s="237"/>
      <c r="G174" s="234"/>
      <c r="H174" s="234"/>
      <c r="I174" s="234"/>
      <c r="J174" s="234"/>
      <c r="K174" s="234"/>
      <c r="L174" s="237"/>
      <c r="M174" s="237"/>
      <c r="N174" s="234"/>
      <c r="O174" s="239"/>
      <c r="P174" s="239"/>
    </row>
    <row r="175" spans="2:16" s="272" customFormat="1">
      <c r="B175" s="238"/>
      <c r="C175" s="238"/>
      <c r="D175" s="237"/>
      <c r="E175" s="237"/>
      <c r="F175" s="237"/>
      <c r="G175" s="234"/>
      <c r="H175" s="234"/>
      <c r="I175" s="234"/>
      <c r="J175" s="234"/>
      <c r="K175" s="234"/>
      <c r="L175" s="237"/>
      <c r="M175" s="237"/>
      <c r="N175" s="234"/>
      <c r="O175" s="239"/>
      <c r="P175" s="239"/>
    </row>
    <row r="176" spans="2:16" s="272" customFormat="1">
      <c r="B176" s="238"/>
      <c r="C176" s="238"/>
      <c r="D176" s="237"/>
      <c r="E176" s="237"/>
      <c r="F176" s="237"/>
      <c r="G176" s="234"/>
      <c r="H176" s="234"/>
      <c r="I176" s="234"/>
      <c r="J176" s="234"/>
      <c r="K176" s="234"/>
      <c r="L176" s="237"/>
      <c r="M176" s="237"/>
      <c r="N176" s="234"/>
      <c r="O176" s="239"/>
      <c r="P176" s="239"/>
    </row>
    <row r="177" spans="2:16" s="272" customFormat="1">
      <c r="B177" s="238"/>
      <c r="C177" s="238"/>
      <c r="D177" s="237"/>
      <c r="E177" s="237"/>
      <c r="F177" s="237"/>
      <c r="G177" s="234"/>
      <c r="H177" s="234"/>
      <c r="I177" s="234"/>
      <c r="J177" s="234"/>
      <c r="K177" s="234"/>
      <c r="L177" s="237"/>
      <c r="M177" s="237"/>
      <c r="N177" s="234"/>
      <c r="O177" s="239"/>
      <c r="P177" s="239"/>
    </row>
    <row r="178" spans="2:16" s="272" customFormat="1">
      <c r="B178" s="238"/>
      <c r="C178" s="238"/>
      <c r="D178" s="237"/>
      <c r="E178" s="237"/>
      <c r="F178" s="237"/>
      <c r="G178" s="234"/>
      <c r="H178" s="234"/>
      <c r="I178" s="234"/>
      <c r="J178" s="234"/>
      <c r="K178" s="234"/>
      <c r="L178" s="237"/>
      <c r="M178" s="237"/>
      <c r="N178" s="234"/>
      <c r="O178" s="239"/>
      <c r="P178" s="239"/>
    </row>
    <row r="179" spans="2:16" s="272" customFormat="1">
      <c r="B179" s="238"/>
      <c r="C179" s="238"/>
      <c r="D179" s="237"/>
      <c r="E179" s="237"/>
      <c r="F179" s="237"/>
      <c r="G179" s="234"/>
      <c r="H179" s="234"/>
      <c r="I179" s="234"/>
      <c r="J179" s="234"/>
      <c r="K179" s="234"/>
      <c r="L179" s="237"/>
      <c r="M179" s="237"/>
      <c r="N179" s="234"/>
      <c r="O179" s="239"/>
      <c r="P179" s="239"/>
    </row>
    <row r="180" spans="2:16" s="272" customFormat="1">
      <c r="B180" s="238"/>
      <c r="C180" s="238"/>
      <c r="D180" s="237"/>
      <c r="E180" s="237"/>
      <c r="F180" s="237"/>
      <c r="G180" s="234"/>
      <c r="H180" s="234"/>
      <c r="I180" s="234"/>
      <c r="J180" s="234"/>
      <c r="K180" s="234"/>
      <c r="L180" s="237"/>
      <c r="M180" s="237"/>
      <c r="N180" s="234"/>
      <c r="O180" s="239"/>
      <c r="P180" s="239"/>
    </row>
    <row r="181" spans="2:16" s="272" customFormat="1">
      <c r="B181" s="238"/>
      <c r="C181" s="238"/>
      <c r="D181" s="237"/>
      <c r="E181" s="237"/>
      <c r="F181" s="237"/>
      <c r="G181" s="234"/>
      <c r="H181" s="234"/>
      <c r="I181" s="234"/>
      <c r="J181" s="234"/>
      <c r="K181" s="234"/>
      <c r="L181" s="237"/>
      <c r="M181" s="237"/>
      <c r="N181" s="234"/>
      <c r="O181" s="239"/>
      <c r="P181" s="239"/>
    </row>
    <row r="182" spans="2:16" s="272" customFormat="1">
      <c r="B182" s="238"/>
      <c r="C182" s="238"/>
      <c r="D182" s="237"/>
      <c r="E182" s="237"/>
      <c r="F182" s="237"/>
      <c r="G182" s="234"/>
      <c r="H182" s="234"/>
      <c r="I182" s="234"/>
      <c r="J182" s="234"/>
      <c r="K182" s="234"/>
      <c r="L182" s="237"/>
      <c r="M182" s="237"/>
      <c r="N182" s="234"/>
      <c r="O182" s="239"/>
      <c r="P182" s="239"/>
    </row>
    <row r="183" spans="2:16" s="272" customFormat="1">
      <c r="B183" s="238"/>
      <c r="C183" s="238"/>
      <c r="D183" s="237"/>
      <c r="E183" s="237"/>
      <c r="F183" s="237"/>
      <c r="G183" s="234"/>
      <c r="H183" s="234"/>
      <c r="I183" s="234"/>
      <c r="J183" s="234"/>
      <c r="K183" s="234"/>
      <c r="L183" s="237"/>
      <c r="M183" s="237"/>
      <c r="N183" s="234"/>
      <c r="O183" s="239"/>
      <c r="P183" s="239"/>
    </row>
    <row r="184" spans="2:16" s="272" customFormat="1">
      <c r="B184" s="238"/>
      <c r="C184" s="238"/>
      <c r="D184" s="237"/>
      <c r="E184" s="237"/>
      <c r="F184" s="237"/>
      <c r="G184" s="234"/>
      <c r="H184" s="234"/>
      <c r="I184" s="234"/>
      <c r="J184" s="234"/>
      <c r="K184" s="234"/>
      <c r="L184" s="237"/>
      <c r="M184" s="237"/>
      <c r="N184" s="234"/>
      <c r="O184" s="239"/>
      <c r="P184" s="239"/>
    </row>
    <row r="185" spans="2:16" s="272" customFormat="1">
      <c r="B185" s="238"/>
      <c r="C185" s="238"/>
      <c r="D185" s="237"/>
      <c r="E185" s="237"/>
      <c r="F185" s="237"/>
      <c r="G185" s="234"/>
      <c r="H185" s="234"/>
      <c r="I185" s="234"/>
      <c r="J185" s="234"/>
      <c r="K185" s="234"/>
      <c r="L185" s="237"/>
      <c r="M185" s="237"/>
      <c r="N185" s="234"/>
      <c r="O185" s="239"/>
      <c r="P185" s="239"/>
    </row>
    <row r="186" spans="2:16" s="272" customFormat="1">
      <c r="B186" s="238"/>
      <c r="C186" s="238"/>
      <c r="D186" s="237"/>
      <c r="E186" s="237"/>
      <c r="F186" s="237"/>
      <c r="G186" s="234"/>
      <c r="H186" s="234"/>
      <c r="I186" s="234"/>
      <c r="J186" s="234"/>
      <c r="K186" s="234"/>
      <c r="L186" s="237"/>
      <c r="M186" s="237"/>
      <c r="N186" s="234"/>
      <c r="O186" s="239"/>
      <c r="P186" s="239"/>
    </row>
    <row r="187" spans="2:16" s="272" customFormat="1">
      <c r="B187" s="238"/>
      <c r="C187" s="238"/>
      <c r="D187" s="237"/>
      <c r="E187" s="237"/>
      <c r="F187" s="237"/>
      <c r="G187" s="234"/>
      <c r="H187" s="234"/>
      <c r="I187" s="234"/>
      <c r="J187" s="234"/>
      <c r="K187" s="234"/>
      <c r="L187" s="237"/>
      <c r="M187" s="237"/>
      <c r="N187" s="234"/>
      <c r="O187" s="239"/>
      <c r="P187" s="239"/>
    </row>
    <row r="188" spans="2:16" s="272" customFormat="1">
      <c r="B188" s="238"/>
      <c r="C188" s="238"/>
      <c r="D188" s="237"/>
      <c r="E188" s="237"/>
      <c r="F188" s="237"/>
      <c r="G188" s="234"/>
      <c r="H188" s="234"/>
      <c r="I188" s="234"/>
      <c r="J188" s="234"/>
      <c r="K188" s="234"/>
      <c r="L188" s="237"/>
      <c r="M188" s="237"/>
      <c r="N188" s="234"/>
      <c r="O188" s="239"/>
      <c r="P188" s="239"/>
    </row>
    <row r="189" spans="2:16" s="272" customFormat="1">
      <c r="B189" s="238"/>
      <c r="C189" s="238"/>
      <c r="D189" s="237"/>
      <c r="E189" s="237"/>
      <c r="F189" s="237"/>
      <c r="G189" s="234"/>
      <c r="H189" s="234"/>
      <c r="I189" s="234"/>
      <c r="J189" s="234"/>
      <c r="K189" s="234"/>
      <c r="L189" s="237"/>
      <c r="M189" s="237"/>
      <c r="N189" s="234"/>
      <c r="O189" s="239"/>
      <c r="P189" s="239"/>
    </row>
    <row r="190" spans="2:16" s="272" customFormat="1">
      <c r="B190" s="238"/>
      <c r="C190" s="238"/>
      <c r="D190" s="237"/>
      <c r="E190" s="237"/>
      <c r="F190" s="237"/>
      <c r="G190" s="234"/>
      <c r="H190" s="234"/>
      <c r="I190" s="234"/>
      <c r="J190" s="234"/>
      <c r="K190" s="234"/>
      <c r="L190" s="237"/>
      <c r="M190" s="237"/>
      <c r="N190" s="234"/>
      <c r="O190" s="239"/>
      <c r="P190" s="239"/>
    </row>
    <row r="191" spans="2:16" s="272" customFormat="1">
      <c r="B191" s="238"/>
      <c r="C191" s="238"/>
      <c r="D191" s="237"/>
      <c r="E191" s="237"/>
      <c r="F191" s="237"/>
      <c r="G191" s="234"/>
      <c r="H191" s="234"/>
      <c r="I191" s="234"/>
      <c r="J191" s="234"/>
      <c r="K191" s="234"/>
      <c r="L191" s="237"/>
      <c r="M191" s="237"/>
      <c r="N191" s="234"/>
      <c r="O191" s="239"/>
      <c r="P191" s="239"/>
    </row>
    <row r="192" spans="2:16" s="272" customFormat="1">
      <c r="B192" s="238"/>
      <c r="C192" s="238"/>
      <c r="D192" s="237"/>
      <c r="E192" s="237"/>
      <c r="F192" s="237"/>
      <c r="G192" s="234"/>
      <c r="H192" s="234"/>
      <c r="I192" s="234"/>
      <c r="J192" s="234"/>
      <c r="K192" s="234"/>
      <c r="L192" s="237"/>
      <c r="M192" s="237"/>
      <c r="N192" s="234"/>
      <c r="O192" s="239"/>
      <c r="P192" s="239"/>
    </row>
    <row r="193" spans="2:16" s="272" customFormat="1">
      <c r="B193" s="238"/>
      <c r="C193" s="238"/>
      <c r="D193" s="237"/>
      <c r="E193" s="237"/>
      <c r="F193" s="237"/>
      <c r="G193" s="234"/>
      <c r="H193" s="234"/>
      <c r="I193" s="234"/>
      <c r="J193" s="234"/>
      <c r="K193" s="234"/>
      <c r="L193" s="237"/>
      <c r="M193" s="237"/>
      <c r="N193" s="234"/>
      <c r="O193" s="239"/>
      <c r="P193" s="239"/>
    </row>
    <row r="194" spans="2:16" s="272" customFormat="1">
      <c r="B194" s="238"/>
      <c r="C194" s="238"/>
      <c r="D194" s="237"/>
      <c r="E194" s="237"/>
      <c r="F194" s="237"/>
      <c r="G194" s="234"/>
      <c r="H194" s="234"/>
      <c r="I194" s="234"/>
      <c r="J194" s="234"/>
      <c r="K194" s="234"/>
      <c r="L194" s="237"/>
      <c r="M194" s="237"/>
      <c r="N194" s="234"/>
      <c r="O194" s="239"/>
      <c r="P194" s="239"/>
    </row>
    <row r="195" spans="2:16" s="272" customFormat="1">
      <c r="B195" s="238"/>
      <c r="C195" s="238"/>
      <c r="D195" s="237"/>
      <c r="E195" s="237"/>
      <c r="F195" s="237"/>
      <c r="G195" s="234"/>
      <c r="H195" s="234"/>
      <c r="I195" s="234"/>
      <c r="J195" s="234"/>
      <c r="K195" s="234"/>
      <c r="L195" s="237"/>
      <c r="M195" s="237"/>
      <c r="N195" s="234"/>
      <c r="O195" s="239"/>
      <c r="P195" s="239"/>
    </row>
    <row r="196" spans="2:16" s="272" customFormat="1">
      <c r="B196" s="238"/>
      <c r="C196" s="238"/>
      <c r="D196" s="237"/>
      <c r="E196" s="237"/>
      <c r="F196" s="237"/>
      <c r="G196" s="234"/>
      <c r="H196" s="234"/>
      <c r="I196" s="234"/>
      <c r="J196" s="234"/>
      <c r="K196" s="234"/>
      <c r="L196" s="237"/>
      <c r="M196" s="237"/>
      <c r="N196" s="234"/>
      <c r="O196" s="239"/>
      <c r="P196" s="239"/>
    </row>
    <row r="197" spans="2:16" s="272" customFormat="1">
      <c r="B197" s="238"/>
      <c r="C197" s="238"/>
      <c r="D197" s="237"/>
      <c r="E197" s="237"/>
      <c r="F197" s="237"/>
      <c r="G197" s="234"/>
      <c r="H197" s="234"/>
      <c r="I197" s="234"/>
      <c r="J197" s="234"/>
      <c r="K197" s="234"/>
      <c r="L197" s="237"/>
      <c r="M197" s="237"/>
      <c r="N197" s="234"/>
      <c r="O197" s="239"/>
      <c r="P197" s="239"/>
    </row>
    <row r="198" spans="2:16" s="272" customFormat="1">
      <c r="B198" s="238"/>
      <c r="C198" s="238"/>
      <c r="D198" s="237"/>
      <c r="E198" s="237"/>
      <c r="F198" s="237"/>
      <c r="G198" s="234"/>
      <c r="H198" s="234"/>
      <c r="I198" s="234"/>
      <c r="J198" s="234"/>
      <c r="K198" s="234"/>
      <c r="L198" s="237"/>
      <c r="M198" s="237"/>
      <c r="N198" s="234"/>
      <c r="O198" s="239"/>
      <c r="P198" s="239"/>
    </row>
    <row r="199" spans="2:16" s="272" customFormat="1">
      <c r="B199" s="238"/>
      <c r="C199" s="238"/>
      <c r="D199" s="237"/>
      <c r="E199" s="237"/>
      <c r="F199" s="237"/>
      <c r="G199" s="234"/>
      <c r="H199" s="234"/>
      <c r="I199" s="234"/>
      <c r="J199" s="234"/>
      <c r="K199" s="234"/>
      <c r="L199" s="237"/>
      <c r="M199" s="237"/>
      <c r="N199" s="234"/>
      <c r="O199" s="239"/>
      <c r="P199" s="239"/>
    </row>
    <row r="200" spans="2:16" s="272" customFormat="1">
      <c r="B200" s="238"/>
      <c r="C200" s="238"/>
      <c r="D200" s="237"/>
      <c r="E200" s="237"/>
      <c r="F200" s="237"/>
      <c r="G200" s="234"/>
      <c r="H200" s="234"/>
      <c r="I200" s="234"/>
      <c r="J200" s="234"/>
      <c r="K200" s="234"/>
      <c r="L200" s="237"/>
      <c r="M200" s="237"/>
      <c r="N200" s="234"/>
      <c r="O200" s="239"/>
      <c r="P200" s="239"/>
    </row>
    <row r="201" spans="2:16" s="272" customFormat="1">
      <c r="B201" s="238"/>
      <c r="C201" s="238"/>
      <c r="D201" s="237"/>
      <c r="E201" s="237"/>
      <c r="F201" s="237"/>
      <c r="G201" s="234"/>
      <c r="H201" s="234"/>
      <c r="I201" s="234"/>
      <c r="J201" s="234"/>
      <c r="K201" s="234"/>
      <c r="L201" s="237"/>
      <c r="M201" s="237"/>
      <c r="N201" s="234"/>
      <c r="O201" s="239"/>
      <c r="P201" s="239"/>
    </row>
    <row r="202" spans="2:16" s="272" customFormat="1">
      <c r="B202" s="238"/>
      <c r="C202" s="238"/>
      <c r="D202" s="237"/>
      <c r="E202" s="237"/>
      <c r="F202" s="237"/>
      <c r="G202" s="234"/>
      <c r="H202" s="234"/>
      <c r="I202" s="234"/>
      <c r="J202" s="234"/>
      <c r="K202" s="234"/>
      <c r="L202" s="237"/>
      <c r="M202" s="237"/>
      <c r="N202" s="234"/>
      <c r="O202" s="239"/>
      <c r="P202" s="239"/>
    </row>
    <row r="203" spans="2:16" s="272" customFormat="1">
      <c r="B203" s="238"/>
      <c r="C203" s="238"/>
      <c r="D203" s="237"/>
      <c r="E203" s="237"/>
      <c r="F203" s="237"/>
      <c r="G203" s="234"/>
      <c r="H203" s="234"/>
      <c r="I203" s="234"/>
      <c r="J203" s="234"/>
      <c r="K203" s="234"/>
      <c r="L203" s="237"/>
      <c r="M203" s="237"/>
      <c r="N203" s="234"/>
      <c r="O203" s="239"/>
      <c r="P203" s="239"/>
    </row>
    <row r="204" spans="2:16" s="272" customFormat="1">
      <c r="B204" s="238"/>
      <c r="C204" s="238"/>
      <c r="D204" s="237"/>
      <c r="E204" s="237"/>
      <c r="F204" s="237"/>
      <c r="G204" s="234"/>
      <c r="H204" s="234"/>
      <c r="I204" s="234"/>
      <c r="J204" s="234"/>
      <c r="K204" s="234"/>
      <c r="L204" s="237"/>
      <c r="M204" s="237"/>
      <c r="N204" s="234"/>
      <c r="O204" s="239"/>
      <c r="P204" s="239"/>
    </row>
    <row r="205" spans="2:16" s="272" customFormat="1">
      <c r="B205" s="238"/>
      <c r="C205" s="238"/>
      <c r="D205" s="237"/>
      <c r="E205" s="237"/>
      <c r="F205" s="237"/>
      <c r="G205" s="234"/>
      <c r="H205" s="234"/>
      <c r="I205" s="234"/>
      <c r="J205" s="234"/>
      <c r="K205" s="234"/>
      <c r="L205" s="237"/>
      <c r="M205" s="237"/>
      <c r="N205" s="234"/>
      <c r="O205" s="239"/>
      <c r="P205" s="239"/>
    </row>
    <row r="206" spans="2:16" s="272" customFormat="1">
      <c r="B206" s="238"/>
      <c r="C206" s="238"/>
      <c r="D206" s="237"/>
      <c r="E206" s="237"/>
      <c r="F206" s="237"/>
      <c r="G206" s="234"/>
      <c r="H206" s="234"/>
      <c r="I206" s="234"/>
      <c r="J206" s="234"/>
      <c r="K206" s="234"/>
      <c r="L206" s="237"/>
      <c r="M206" s="237"/>
      <c r="N206" s="234"/>
      <c r="O206" s="239"/>
      <c r="P206" s="239"/>
    </row>
    <row r="207" spans="2:16" s="272" customFormat="1">
      <c r="B207" s="238"/>
      <c r="C207" s="238"/>
      <c r="D207" s="237"/>
      <c r="E207" s="237"/>
      <c r="F207" s="237"/>
      <c r="G207" s="234"/>
      <c r="H207" s="234"/>
      <c r="I207" s="234"/>
      <c r="J207" s="234"/>
      <c r="K207" s="234"/>
      <c r="L207" s="237"/>
      <c r="M207" s="237"/>
      <c r="N207" s="234"/>
      <c r="O207" s="239"/>
      <c r="P207" s="239"/>
    </row>
    <row r="208" spans="2:16" s="272" customFormat="1">
      <c r="B208" s="238"/>
      <c r="C208" s="238"/>
      <c r="D208" s="237"/>
      <c r="E208" s="237"/>
      <c r="F208" s="237"/>
      <c r="G208" s="234"/>
      <c r="H208" s="234"/>
      <c r="I208" s="234"/>
      <c r="J208" s="234"/>
      <c r="K208" s="234"/>
      <c r="L208" s="237"/>
      <c r="M208" s="237"/>
      <c r="N208" s="234"/>
      <c r="O208" s="239"/>
      <c r="P208" s="239"/>
    </row>
    <row r="209" spans="2:16" s="272" customFormat="1">
      <c r="B209" s="238"/>
      <c r="C209" s="238"/>
      <c r="D209" s="237"/>
      <c r="E209" s="237"/>
      <c r="F209" s="237"/>
      <c r="G209" s="234"/>
      <c r="H209" s="234"/>
      <c r="I209" s="234"/>
      <c r="J209" s="234"/>
      <c r="K209" s="234"/>
      <c r="L209" s="237"/>
      <c r="M209" s="237"/>
      <c r="N209" s="234"/>
      <c r="O209" s="239"/>
      <c r="P209" s="239"/>
    </row>
    <row r="210" spans="2:16" s="272" customFormat="1">
      <c r="B210" s="238"/>
      <c r="C210" s="238"/>
      <c r="D210" s="237"/>
      <c r="E210" s="237"/>
      <c r="F210" s="237"/>
      <c r="G210" s="234"/>
      <c r="H210" s="234"/>
      <c r="I210" s="234"/>
      <c r="J210" s="234"/>
      <c r="K210" s="234"/>
      <c r="L210" s="237"/>
      <c r="M210" s="237"/>
      <c r="N210" s="234"/>
      <c r="O210" s="239"/>
      <c r="P210" s="239"/>
    </row>
    <row r="211" spans="2:16" s="272" customFormat="1">
      <c r="B211" s="238"/>
      <c r="C211" s="238"/>
      <c r="D211" s="237"/>
      <c r="E211" s="237"/>
      <c r="F211" s="237"/>
      <c r="G211" s="234"/>
      <c r="H211" s="234"/>
      <c r="I211" s="234"/>
      <c r="J211" s="234"/>
      <c r="K211" s="234"/>
      <c r="L211" s="237"/>
      <c r="M211" s="237"/>
      <c r="N211" s="234"/>
      <c r="O211" s="239"/>
      <c r="P211" s="239"/>
    </row>
    <row r="212" spans="2:16" s="272" customFormat="1">
      <c r="B212" s="238"/>
      <c r="C212" s="238"/>
      <c r="D212" s="237"/>
      <c r="E212" s="237"/>
      <c r="F212" s="237"/>
      <c r="G212" s="234"/>
      <c r="H212" s="234"/>
      <c r="I212" s="234"/>
      <c r="J212" s="234"/>
      <c r="K212" s="234"/>
      <c r="L212" s="237"/>
      <c r="M212" s="237"/>
      <c r="N212" s="234"/>
      <c r="O212" s="239"/>
      <c r="P212" s="239"/>
    </row>
    <row r="213" spans="2:16" s="272" customFormat="1">
      <c r="B213" s="238"/>
      <c r="C213" s="238"/>
      <c r="D213" s="237"/>
      <c r="E213" s="237"/>
      <c r="F213" s="237"/>
      <c r="G213" s="234"/>
      <c r="H213" s="234"/>
      <c r="I213" s="234"/>
      <c r="J213" s="234"/>
      <c r="K213" s="234"/>
      <c r="L213" s="237"/>
      <c r="M213" s="237"/>
      <c r="N213" s="234"/>
      <c r="O213" s="239"/>
      <c r="P213" s="239"/>
    </row>
    <row r="214" spans="2:16" s="272" customFormat="1">
      <c r="B214" s="238"/>
      <c r="C214" s="238"/>
      <c r="D214" s="237"/>
      <c r="E214" s="237"/>
      <c r="F214" s="237"/>
      <c r="G214" s="234"/>
      <c r="H214" s="234"/>
      <c r="I214" s="234"/>
      <c r="J214" s="234"/>
      <c r="K214" s="234"/>
      <c r="L214" s="237"/>
      <c r="M214" s="237"/>
      <c r="N214" s="234"/>
      <c r="O214" s="239"/>
      <c r="P214" s="239"/>
    </row>
    <row r="215" spans="2:16" s="272" customFormat="1">
      <c r="B215" s="238"/>
      <c r="C215" s="238"/>
      <c r="D215" s="237"/>
      <c r="E215" s="237"/>
      <c r="F215" s="237"/>
      <c r="G215" s="234"/>
      <c r="H215" s="234"/>
      <c r="I215" s="234"/>
      <c r="J215" s="234"/>
      <c r="K215" s="234"/>
      <c r="L215" s="237"/>
      <c r="M215" s="237"/>
      <c r="N215" s="234"/>
      <c r="O215" s="239"/>
      <c r="P215" s="239"/>
    </row>
    <row r="216" spans="2:16" s="272" customFormat="1">
      <c r="B216" s="238"/>
      <c r="C216" s="238"/>
      <c r="D216" s="237"/>
      <c r="E216" s="237"/>
      <c r="F216" s="237"/>
      <c r="G216" s="234"/>
      <c r="H216" s="234"/>
      <c r="I216" s="234"/>
      <c r="J216" s="234"/>
      <c r="K216" s="234"/>
      <c r="L216" s="237"/>
      <c r="M216" s="237"/>
      <c r="N216" s="234"/>
      <c r="O216" s="239"/>
      <c r="P216" s="239"/>
    </row>
    <row r="217" spans="2:16" s="272" customFormat="1">
      <c r="B217" s="238"/>
      <c r="C217" s="238"/>
      <c r="D217" s="237"/>
      <c r="E217" s="237"/>
      <c r="F217" s="237"/>
      <c r="G217" s="234"/>
      <c r="H217" s="234"/>
      <c r="I217" s="234"/>
      <c r="J217" s="234"/>
      <c r="K217" s="234"/>
      <c r="L217" s="237"/>
      <c r="M217" s="237"/>
      <c r="N217" s="234"/>
      <c r="O217" s="239"/>
      <c r="P217" s="239"/>
    </row>
    <row r="218" spans="2:16" s="272" customFormat="1">
      <c r="B218" s="238"/>
      <c r="C218" s="238"/>
      <c r="D218" s="237"/>
      <c r="E218" s="237"/>
      <c r="F218" s="237"/>
      <c r="G218" s="234"/>
      <c r="H218" s="234"/>
      <c r="I218" s="234"/>
      <c r="J218" s="234"/>
      <c r="K218" s="234"/>
      <c r="L218" s="237"/>
      <c r="M218" s="237"/>
      <c r="N218" s="234"/>
      <c r="O218" s="239"/>
      <c r="P218" s="239"/>
    </row>
    <row r="219" spans="2:16" s="272" customFormat="1">
      <c r="B219" s="238"/>
      <c r="C219" s="238"/>
      <c r="D219" s="237"/>
      <c r="E219" s="237"/>
      <c r="F219" s="237"/>
      <c r="G219" s="234"/>
      <c r="H219" s="234"/>
      <c r="I219" s="234"/>
      <c r="J219" s="234"/>
      <c r="K219" s="234"/>
      <c r="L219" s="237"/>
      <c r="M219" s="237"/>
      <c r="N219" s="234"/>
      <c r="O219" s="239"/>
      <c r="P219" s="239"/>
    </row>
    <row r="220" spans="2:16" s="272" customFormat="1">
      <c r="B220" s="238"/>
      <c r="C220" s="238"/>
      <c r="D220" s="237"/>
      <c r="E220" s="237"/>
      <c r="F220" s="237"/>
      <c r="G220" s="234"/>
      <c r="H220" s="234"/>
      <c r="I220" s="234"/>
      <c r="J220" s="234"/>
      <c r="K220" s="234"/>
      <c r="L220" s="237"/>
      <c r="M220" s="237"/>
      <c r="N220" s="234"/>
      <c r="O220" s="239"/>
      <c r="P220" s="239"/>
    </row>
    <row r="221" spans="2:16" s="272" customFormat="1">
      <c r="B221" s="238"/>
      <c r="C221" s="238"/>
      <c r="D221" s="237"/>
      <c r="E221" s="237"/>
      <c r="F221" s="237"/>
      <c r="G221" s="234"/>
      <c r="H221" s="234"/>
      <c r="I221" s="234"/>
      <c r="J221" s="234"/>
      <c r="K221" s="234"/>
      <c r="L221" s="237"/>
      <c r="M221" s="237"/>
      <c r="N221" s="234"/>
      <c r="O221" s="239"/>
      <c r="P221" s="239"/>
    </row>
    <row r="222" spans="2:16" s="272" customFormat="1">
      <c r="B222" s="238"/>
      <c r="C222" s="238"/>
      <c r="D222" s="237"/>
      <c r="E222" s="237"/>
      <c r="F222" s="237"/>
      <c r="G222" s="234"/>
      <c r="H222" s="234"/>
      <c r="I222" s="234"/>
      <c r="J222" s="234"/>
      <c r="K222" s="234"/>
      <c r="L222" s="237"/>
      <c r="M222" s="237"/>
      <c r="N222" s="234"/>
      <c r="O222" s="239"/>
      <c r="P222" s="239"/>
    </row>
    <row r="223" spans="2:16" s="272" customFormat="1">
      <c r="B223" s="238"/>
      <c r="C223" s="238"/>
      <c r="D223" s="237"/>
      <c r="E223" s="237"/>
      <c r="F223" s="237"/>
      <c r="G223" s="234"/>
      <c r="H223" s="234"/>
      <c r="I223" s="234"/>
      <c r="J223" s="234"/>
      <c r="K223" s="234"/>
      <c r="L223" s="237"/>
      <c r="M223" s="237"/>
      <c r="N223" s="234"/>
      <c r="O223" s="239"/>
      <c r="P223" s="239"/>
    </row>
    <row r="224" spans="2:16" s="272" customFormat="1">
      <c r="B224" s="238"/>
      <c r="C224" s="238"/>
      <c r="D224" s="237"/>
      <c r="E224" s="237"/>
      <c r="F224" s="237"/>
      <c r="G224" s="234"/>
      <c r="H224" s="234"/>
      <c r="I224" s="234"/>
      <c r="J224" s="234"/>
      <c r="K224" s="234"/>
      <c r="L224" s="237"/>
      <c r="M224" s="237"/>
      <c r="N224" s="234"/>
      <c r="O224" s="239"/>
      <c r="P224" s="239"/>
    </row>
    <row r="225" spans="2:16" s="272" customFormat="1">
      <c r="B225" s="238"/>
      <c r="C225" s="238"/>
      <c r="D225" s="237"/>
      <c r="E225" s="237"/>
      <c r="F225" s="237"/>
      <c r="G225" s="234"/>
      <c r="H225" s="234"/>
      <c r="I225" s="234"/>
      <c r="J225" s="234"/>
      <c r="K225" s="234"/>
      <c r="L225" s="237"/>
      <c r="M225" s="237"/>
      <c r="N225" s="234"/>
      <c r="O225" s="239"/>
      <c r="P225" s="239"/>
    </row>
    <row r="226" spans="2:16" s="272" customFormat="1">
      <c r="B226" s="238"/>
      <c r="C226" s="238"/>
      <c r="D226" s="237"/>
      <c r="E226" s="237"/>
      <c r="F226" s="237"/>
      <c r="G226" s="234"/>
      <c r="H226" s="234"/>
      <c r="I226" s="234"/>
      <c r="J226" s="234"/>
      <c r="K226" s="234"/>
      <c r="L226" s="237"/>
      <c r="M226" s="237"/>
      <c r="N226" s="234"/>
      <c r="O226" s="239"/>
      <c r="P226" s="239"/>
    </row>
    <row r="227" spans="2:16" s="272" customFormat="1">
      <c r="B227" s="238"/>
      <c r="C227" s="238"/>
      <c r="D227" s="237"/>
      <c r="E227" s="237"/>
      <c r="F227" s="237"/>
      <c r="G227" s="234"/>
      <c r="H227" s="234"/>
      <c r="I227" s="234"/>
      <c r="J227" s="234"/>
      <c r="K227" s="234"/>
      <c r="L227" s="237"/>
      <c r="M227" s="237"/>
      <c r="N227" s="234"/>
      <c r="O227" s="239"/>
      <c r="P227" s="239"/>
    </row>
    <row r="228" spans="2:16" s="272" customFormat="1">
      <c r="B228" s="238"/>
      <c r="C228" s="238"/>
      <c r="D228" s="237"/>
      <c r="E228" s="237"/>
      <c r="F228" s="237"/>
      <c r="G228" s="234"/>
      <c r="H228" s="234"/>
      <c r="I228" s="234"/>
      <c r="J228" s="234"/>
      <c r="K228" s="234"/>
      <c r="L228" s="237"/>
      <c r="M228" s="237"/>
      <c r="N228" s="234"/>
      <c r="O228" s="239"/>
      <c r="P228" s="239"/>
    </row>
    <row r="229" spans="2:16" s="272" customFormat="1">
      <c r="B229" s="238"/>
      <c r="C229" s="238"/>
      <c r="D229" s="237"/>
      <c r="E229" s="237"/>
      <c r="F229" s="237"/>
      <c r="G229" s="234"/>
      <c r="H229" s="234"/>
      <c r="I229" s="234"/>
      <c r="J229" s="234"/>
      <c r="K229" s="234"/>
      <c r="L229" s="237"/>
      <c r="M229" s="237"/>
      <c r="N229" s="234"/>
      <c r="O229" s="239"/>
      <c r="P229" s="239"/>
    </row>
    <row r="230" spans="2:16" s="272" customFormat="1">
      <c r="B230" s="238"/>
      <c r="C230" s="238"/>
      <c r="D230" s="237"/>
      <c r="E230" s="237"/>
      <c r="F230" s="237"/>
      <c r="G230" s="234"/>
      <c r="H230" s="234"/>
      <c r="I230" s="234"/>
      <c r="J230" s="234"/>
      <c r="K230" s="234"/>
      <c r="L230" s="237"/>
      <c r="M230" s="237"/>
      <c r="N230" s="234"/>
      <c r="O230" s="239"/>
      <c r="P230" s="239"/>
    </row>
    <row r="231" spans="2:16" s="272" customFormat="1">
      <c r="B231" s="238"/>
      <c r="C231" s="238"/>
      <c r="D231" s="237"/>
      <c r="E231" s="237"/>
      <c r="F231" s="237"/>
      <c r="G231" s="234"/>
      <c r="H231" s="234"/>
      <c r="I231" s="234"/>
      <c r="J231" s="234"/>
      <c r="K231" s="234"/>
      <c r="L231" s="237"/>
      <c r="M231" s="237"/>
      <c r="N231" s="234"/>
      <c r="O231" s="239"/>
      <c r="P231" s="239"/>
    </row>
    <row r="232" spans="2:16" s="272" customFormat="1">
      <c r="B232" s="238"/>
      <c r="C232" s="238"/>
      <c r="D232" s="237"/>
      <c r="E232" s="237"/>
      <c r="F232" s="237"/>
      <c r="G232" s="234"/>
      <c r="H232" s="234"/>
      <c r="I232" s="234"/>
      <c r="J232" s="234"/>
      <c r="K232" s="234"/>
      <c r="L232" s="237"/>
      <c r="M232" s="237"/>
      <c r="N232" s="234"/>
      <c r="O232" s="239"/>
      <c r="P232" s="239"/>
    </row>
    <row r="233" spans="2:16" s="272" customFormat="1">
      <c r="B233" s="238"/>
      <c r="C233" s="238"/>
      <c r="D233" s="237"/>
      <c r="E233" s="237"/>
      <c r="F233" s="237"/>
      <c r="G233" s="234"/>
      <c r="H233" s="234"/>
      <c r="I233" s="234"/>
      <c r="J233" s="234"/>
      <c r="K233" s="234"/>
      <c r="L233" s="237"/>
      <c r="M233" s="237"/>
      <c r="N233" s="234"/>
      <c r="O233" s="239"/>
      <c r="P233" s="239"/>
    </row>
    <row r="234" spans="2:16" s="272" customFormat="1">
      <c r="B234" s="238"/>
      <c r="C234" s="238"/>
      <c r="D234" s="237"/>
      <c r="E234" s="237"/>
      <c r="F234" s="237"/>
      <c r="G234" s="234"/>
      <c r="H234" s="234"/>
      <c r="I234" s="234"/>
      <c r="J234" s="234"/>
      <c r="K234" s="234"/>
      <c r="L234" s="237"/>
      <c r="M234" s="237"/>
      <c r="N234" s="234"/>
      <c r="O234" s="239"/>
      <c r="P234" s="239"/>
    </row>
    <row r="235" spans="2:16" s="272" customFormat="1">
      <c r="B235" s="238"/>
      <c r="C235" s="238"/>
      <c r="D235" s="237"/>
      <c r="E235" s="237"/>
      <c r="F235" s="237"/>
      <c r="G235" s="234"/>
      <c r="H235" s="234"/>
      <c r="I235" s="234"/>
      <c r="J235" s="234"/>
      <c r="K235" s="234"/>
      <c r="L235" s="237"/>
      <c r="M235" s="237"/>
      <c r="N235" s="234"/>
      <c r="O235" s="239"/>
      <c r="P235" s="239"/>
    </row>
    <row r="236" spans="2:16" s="272" customFormat="1">
      <c r="B236" s="238"/>
      <c r="C236" s="238"/>
      <c r="D236" s="237"/>
      <c r="E236" s="237"/>
      <c r="F236" s="237"/>
      <c r="G236" s="234"/>
      <c r="H236" s="234"/>
      <c r="I236" s="234"/>
      <c r="J236" s="234"/>
      <c r="K236" s="234"/>
      <c r="L236" s="237"/>
      <c r="M236" s="237"/>
      <c r="N236" s="234"/>
      <c r="O236" s="239"/>
      <c r="P236" s="239"/>
    </row>
    <row r="237" spans="2:16" s="272" customFormat="1">
      <c r="B237" s="238"/>
      <c r="C237" s="238"/>
      <c r="D237" s="237"/>
      <c r="E237" s="237"/>
      <c r="F237" s="237"/>
      <c r="G237" s="234"/>
      <c r="H237" s="234"/>
      <c r="I237" s="234"/>
      <c r="J237" s="234"/>
      <c r="K237" s="234"/>
      <c r="L237" s="237"/>
      <c r="M237" s="237"/>
      <c r="N237" s="234"/>
      <c r="O237" s="239"/>
      <c r="P237" s="239"/>
    </row>
    <row r="238" spans="2:16" s="272" customFormat="1">
      <c r="B238" s="238"/>
      <c r="C238" s="238"/>
      <c r="D238" s="237"/>
      <c r="E238" s="237"/>
      <c r="F238" s="237"/>
      <c r="G238" s="234"/>
      <c r="H238" s="234"/>
      <c r="I238" s="234"/>
      <c r="J238" s="234"/>
      <c r="K238" s="234"/>
      <c r="L238" s="237"/>
      <c r="M238" s="237"/>
      <c r="N238" s="234"/>
      <c r="O238" s="239"/>
      <c r="P238" s="239"/>
    </row>
    <row r="239" spans="2:16" s="272" customFormat="1">
      <c r="B239" s="238"/>
      <c r="C239" s="238"/>
      <c r="D239" s="237"/>
      <c r="E239" s="237"/>
      <c r="F239" s="237"/>
      <c r="G239" s="234"/>
      <c r="H239" s="234"/>
      <c r="I239" s="234"/>
      <c r="J239" s="234"/>
      <c r="K239" s="234"/>
      <c r="L239" s="237"/>
      <c r="M239" s="237"/>
      <c r="N239" s="234"/>
      <c r="O239" s="239"/>
      <c r="P239" s="239"/>
    </row>
    <row r="240" spans="2:16" s="272" customFormat="1">
      <c r="B240" s="238"/>
      <c r="C240" s="238"/>
      <c r="D240" s="237"/>
      <c r="E240" s="237"/>
      <c r="F240" s="237"/>
      <c r="G240" s="234"/>
      <c r="H240" s="234"/>
      <c r="I240" s="234"/>
      <c r="J240" s="234"/>
      <c r="K240" s="234"/>
      <c r="L240" s="237"/>
      <c r="M240" s="237"/>
      <c r="N240" s="234"/>
      <c r="O240" s="239"/>
      <c r="P240" s="239"/>
    </row>
    <row r="241" spans="2:16" s="272" customFormat="1">
      <c r="B241" s="238"/>
      <c r="C241" s="238"/>
      <c r="D241" s="237"/>
      <c r="E241" s="237"/>
      <c r="F241" s="237"/>
      <c r="G241" s="234"/>
      <c r="H241" s="234"/>
      <c r="I241" s="234"/>
      <c r="J241" s="234"/>
      <c r="K241" s="234"/>
      <c r="L241" s="237"/>
      <c r="M241" s="237"/>
      <c r="N241" s="234"/>
      <c r="O241" s="239"/>
      <c r="P241" s="239"/>
    </row>
    <row r="242" spans="2:16" s="272" customFormat="1">
      <c r="B242" s="238"/>
      <c r="C242" s="238"/>
      <c r="D242" s="237"/>
      <c r="E242" s="237"/>
      <c r="F242" s="237"/>
      <c r="G242" s="234"/>
      <c r="H242" s="234"/>
      <c r="I242" s="234"/>
      <c r="J242" s="234"/>
      <c r="K242" s="234"/>
      <c r="L242" s="237"/>
      <c r="M242" s="237"/>
      <c r="N242" s="234"/>
      <c r="O242" s="239"/>
      <c r="P242" s="239"/>
    </row>
    <row r="243" spans="2:16" s="272" customFormat="1">
      <c r="B243" s="238"/>
      <c r="C243" s="238"/>
      <c r="D243" s="237"/>
      <c r="E243" s="237"/>
      <c r="F243" s="237"/>
      <c r="G243" s="234"/>
      <c r="H243" s="234"/>
      <c r="I243" s="234"/>
      <c r="J243" s="234"/>
      <c r="K243" s="234"/>
      <c r="L243" s="237"/>
      <c r="M243" s="237"/>
      <c r="N243" s="234"/>
      <c r="O243" s="239"/>
      <c r="P243" s="239"/>
    </row>
    <row r="244" spans="2:16" s="272" customFormat="1">
      <c r="B244" s="238"/>
      <c r="C244" s="238"/>
      <c r="D244" s="237"/>
      <c r="E244" s="237"/>
      <c r="F244" s="237"/>
      <c r="G244" s="234"/>
      <c r="H244" s="234"/>
      <c r="I244" s="234"/>
      <c r="J244" s="234"/>
      <c r="K244" s="234"/>
      <c r="L244" s="237"/>
      <c r="M244" s="237"/>
      <c r="N244" s="234"/>
      <c r="O244" s="239"/>
      <c r="P244" s="239"/>
    </row>
    <row r="245" spans="2:16" s="272" customFormat="1">
      <c r="B245" s="238"/>
      <c r="C245" s="238"/>
      <c r="D245" s="237"/>
      <c r="E245" s="237"/>
      <c r="F245" s="237"/>
      <c r="G245" s="234"/>
      <c r="H245" s="234"/>
      <c r="I245" s="234"/>
      <c r="J245" s="234"/>
      <c r="K245" s="234"/>
      <c r="L245" s="237"/>
      <c r="M245" s="237"/>
      <c r="N245" s="234"/>
      <c r="O245" s="239"/>
      <c r="P245" s="239"/>
    </row>
    <row r="246" spans="2:16" s="272" customFormat="1">
      <c r="B246" s="238"/>
      <c r="C246" s="238"/>
      <c r="D246" s="237"/>
      <c r="E246" s="237"/>
      <c r="F246" s="237"/>
      <c r="G246" s="234"/>
      <c r="H246" s="234"/>
      <c r="I246" s="234"/>
      <c r="J246" s="234"/>
      <c r="K246" s="234"/>
      <c r="L246" s="237"/>
      <c r="M246" s="237"/>
      <c r="N246" s="234"/>
      <c r="O246" s="239"/>
      <c r="P246" s="239"/>
    </row>
    <row r="247" spans="2:16" s="272" customFormat="1">
      <c r="B247" s="238"/>
      <c r="C247" s="238"/>
      <c r="D247" s="237"/>
      <c r="E247" s="237"/>
      <c r="F247" s="237"/>
      <c r="G247" s="234"/>
      <c r="H247" s="234"/>
      <c r="I247" s="234"/>
      <c r="J247" s="234"/>
      <c r="K247" s="234"/>
      <c r="L247" s="237"/>
      <c r="M247" s="237"/>
      <c r="N247" s="234"/>
      <c r="O247" s="239"/>
      <c r="P247" s="239"/>
    </row>
    <row r="248" spans="2:16" s="272" customFormat="1">
      <c r="B248" s="238"/>
      <c r="C248" s="238"/>
      <c r="D248" s="237"/>
      <c r="E248" s="237"/>
      <c r="F248" s="237"/>
      <c r="G248" s="234"/>
      <c r="H248" s="234"/>
      <c r="I248" s="234"/>
      <c r="J248" s="234"/>
      <c r="K248" s="234"/>
      <c r="L248" s="237"/>
      <c r="M248" s="237"/>
      <c r="N248" s="234"/>
      <c r="O248" s="239"/>
      <c r="P248" s="239"/>
    </row>
    <row r="249" spans="2:16" s="272" customFormat="1">
      <c r="B249" s="238"/>
      <c r="C249" s="238"/>
      <c r="D249" s="237"/>
      <c r="E249" s="237"/>
      <c r="F249" s="237"/>
      <c r="G249" s="234"/>
      <c r="H249" s="234"/>
      <c r="I249" s="234"/>
      <c r="J249" s="234"/>
      <c r="K249" s="234"/>
      <c r="L249" s="237"/>
      <c r="M249" s="237"/>
      <c r="N249" s="234"/>
      <c r="O249" s="239"/>
      <c r="P249" s="239"/>
    </row>
    <row r="250" spans="2:16" s="272" customFormat="1">
      <c r="B250" s="238"/>
      <c r="C250" s="238"/>
      <c r="D250" s="237"/>
      <c r="E250" s="237"/>
      <c r="F250" s="237"/>
      <c r="G250" s="234"/>
      <c r="H250" s="234"/>
      <c r="I250" s="234"/>
      <c r="J250" s="234"/>
      <c r="K250" s="234"/>
      <c r="L250" s="237"/>
      <c r="M250" s="237"/>
      <c r="N250" s="234"/>
      <c r="O250" s="239"/>
      <c r="P250" s="239"/>
    </row>
    <row r="251" spans="2:16" s="272" customFormat="1">
      <c r="B251" s="238"/>
      <c r="C251" s="238"/>
      <c r="D251" s="237"/>
      <c r="E251" s="237"/>
      <c r="F251" s="237"/>
      <c r="G251" s="234"/>
      <c r="H251" s="234"/>
      <c r="I251" s="234"/>
      <c r="J251" s="234"/>
      <c r="K251" s="234"/>
      <c r="L251" s="237"/>
      <c r="M251" s="237"/>
      <c r="N251" s="234"/>
      <c r="O251" s="239"/>
      <c r="P251" s="239"/>
    </row>
    <row r="252" spans="2:16" s="272" customFormat="1">
      <c r="B252" s="238"/>
      <c r="C252" s="238"/>
      <c r="D252" s="237"/>
      <c r="E252" s="237"/>
      <c r="F252" s="237"/>
      <c r="G252" s="234"/>
      <c r="H252" s="234"/>
      <c r="I252" s="234"/>
      <c r="J252" s="234"/>
      <c r="K252" s="234"/>
      <c r="L252" s="237"/>
      <c r="M252" s="237"/>
      <c r="N252" s="234"/>
      <c r="O252" s="239"/>
      <c r="P252" s="239"/>
    </row>
    <row r="253" spans="2:16" s="272" customFormat="1">
      <c r="B253" s="238"/>
      <c r="C253" s="238"/>
      <c r="D253" s="237"/>
      <c r="E253" s="237"/>
      <c r="F253" s="237"/>
      <c r="G253" s="234"/>
      <c r="H253" s="234"/>
      <c r="I253" s="234"/>
      <c r="J253" s="234"/>
      <c r="K253" s="234"/>
      <c r="L253" s="237"/>
      <c r="M253" s="237"/>
      <c r="N253" s="234"/>
      <c r="O253" s="239"/>
      <c r="P253" s="239"/>
    </row>
    <row r="254" spans="2:16" s="272" customFormat="1">
      <c r="B254" s="238"/>
      <c r="C254" s="238"/>
      <c r="D254" s="237"/>
      <c r="E254" s="237"/>
      <c r="F254" s="237"/>
      <c r="G254" s="234"/>
      <c r="H254" s="234"/>
      <c r="I254" s="234"/>
      <c r="J254" s="234"/>
      <c r="K254" s="234"/>
      <c r="L254" s="237"/>
      <c r="M254" s="237"/>
      <c r="N254" s="234"/>
      <c r="O254" s="239"/>
      <c r="P254" s="239"/>
    </row>
    <row r="255" spans="2:16" s="272" customFormat="1">
      <c r="B255" s="238"/>
      <c r="C255" s="238"/>
      <c r="D255" s="237"/>
      <c r="E255" s="237"/>
      <c r="F255" s="237"/>
      <c r="G255" s="234"/>
      <c r="H255" s="234"/>
      <c r="I255" s="234"/>
      <c r="J255" s="234"/>
      <c r="K255" s="234"/>
      <c r="L255" s="237"/>
      <c r="M255" s="237"/>
      <c r="N255" s="234"/>
      <c r="O255" s="239"/>
      <c r="P255" s="239"/>
    </row>
    <row r="256" spans="2:16" s="272" customFormat="1">
      <c r="B256" s="238"/>
      <c r="C256" s="238"/>
      <c r="D256" s="237"/>
      <c r="E256" s="237"/>
      <c r="F256" s="237"/>
      <c r="G256" s="234"/>
      <c r="H256" s="234"/>
      <c r="I256" s="234"/>
      <c r="J256" s="234"/>
      <c r="K256" s="234"/>
      <c r="L256" s="237"/>
      <c r="M256" s="237"/>
      <c r="N256" s="234"/>
      <c r="O256" s="239"/>
      <c r="P256" s="239"/>
    </row>
    <row r="257" spans="2:16" s="272" customFormat="1">
      <c r="B257" s="238"/>
      <c r="C257" s="238"/>
      <c r="D257" s="237"/>
      <c r="E257" s="237"/>
      <c r="F257" s="237"/>
      <c r="G257" s="234"/>
      <c r="H257" s="234"/>
      <c r="I257" s="234"/>
      <c r="J257" s="234"/>
      <c r="K257" s="234"/>
      <c r="L257" s="237"/>
      <c r="M257" s="237"/>
      <c r="N257" s="234"/>
      <c r="O257" s="239"/>
      <c r="P257" s="239"/>
    </row>
    <row r="258" spans="2:16" s="272" customFormat="1">
      <c r="B258" s="238"/>
      <c r="C258" s="238"/>
      <c r="D258" s="237"/>
      <c r="E258" s="237"/>
      <c r="F258" s="237"/>
      <c r="G258" s="234"/>
      <c r="H258" s="234"/>
      <c r="I258" s="234"/>
      <c r="J258" s="234"/>
      <c r="K258" s="234"/>
      <c r="L258" s="237"/>
      <c r="M258" s="237"/>
      <c r="N258" s="234"/>
      <c r="O258" s="239"/>
      <c r="P258" s="239"/>
    </row>
    <row r="259" spans="2:16" s="272" customFormat="1">
      <c r="B259" s="238"/>
      <c r="C259" s="238"/>
      <c r="D259" s="237"/>
      <c r="E259" s="237"/>
      <c r="F259" s="237"/>
      <c r="G259" s="234"/>
      <c r="H259" s="234"/>
      <c r="I259" s="234"/>
      <c r="J259" s="234"/>
      <c r="K259" s="234"/>
      <c r="L259" s="237"/>
      <c r="M259" s="237"/>
      <c r="N259" s="234"/>
      <c r="O259" s="239"/>
      <c r="P259" s="239"/>
    </row>
    <row r="260" spans="2:16" s="272" customFormat="1">
      <c r="B260" s="238"/>
      <c r="C260" s="238"/>
      <c r="D260" s="237"/>
      <c r="E260" s="237"/>
      <c r="F260" s="237"/>
      <c r="G260" s="234"/>
      <c r="H260" s="234"/>
      <c r="I260" s="234"/>
      <c r="J260" s="234"/>
      <c r="K260" s="234"/>
      <c r="L260" s="237"/>
      <c r="M260" s="237"/>
      <c r="N260" s="234"/>
      <c r="O260" s="239"/>
      <c r="P260" s="239"/>
    </row>
    <row r="261" spans="2:16" s="272" customFormat="1">
      <c r="B261" s="238"/>
      <c r="C261" s="238"/>
      <c r="D261" s="237"/>
      <c r="E261" s="237"/>
      <c r="F261" s="237"/>
      <c r="G261" s="234"/>
      <c r="H261" s="234"/>
      <c r="I261" s="234"/>
      <c r="J261" s="234"/>
      <c r="K261" s="234"/>
      <c r="L261" s="237"/>
      <c r="M261" s="237"/>
      <c r="N261" s="234"/>
      <c r="O261" s="239"/>
      <c r="P261" s="239"/>
    </row>
    <row r="262" spans="2:16" s="272" customFormat="1">
      <c r="B262" s="238"/>
      <c r="C262" s="238"/>
      <c r="D262" s="237"/>
      <c r="E262" s="237"/>
      <c r="F262" s="237"/>
      <c r="G262" s="234"/>
      <c r="H262" s="234"/>
      <c r="I262" s="234"/>
      <c r="J262" s="234"/>
      <c r="K262" s="234"/>
      <c r="L262" s="237"/>
      <c r="M262" s="237"/>
      <c r="N262" s="234"/>
      <c r="O262" s="239"/>
      <c r="P262" s="239"/>
    </row>
    <row r="263" spans="2:16" s="272" customFormat="1">
      <c r="B263" s="238"/>
      <c r="C263" s="238"/>
      <c r="D263" s="237"/>
      <c r="E263" s="237"/>
      <c r="F263" s="237"/>
      <c r="G263" s="234"/>
      <c r="H263" s="234"/>
      <c r="I263" s="234"/>
      <c r="J263" s="234"/>
      <c r="K263" s="234"/>
      <c r="L263" s="237"/>
      <c r="M263" s="237"/>
      <c r="N263" s="234"/>
      <c r="O263" s="239"/>
      <c r="P263" s="239"/>
    </row>
    <row r="264" spans="2:16" s="272" customFormat="1">
      <c r="B264" s="238"/>
      <c r="C264" s="238"/>
      <c r="D264" s="237"/>
      <c r="E264" s="237"/>
      <c r="F264" s="237"/>
      <c r="G264" s="234"/>
      <c r="H264" s="234"/>
      <c r="I264" s="234"/>
      <c r="J264" s="234"/>
      <c r="K264" s="234"/>
      <c r="L264" s="237"/>
      <c r="M264" s="237"/>
      <c r="N264" s="234"/>
      <c r="O264" s="239"/>
      <c r="P264" s="239"/>
    </row>
    <row r="265" spans="2:16" s="272" customFormat="1">
      <c r="B265" s="238"/>
      <c r="C265" s="238"/>
      <c r="D265" s="237"/>
      <c r="E265" s="237"/>
      <c r="F265" s="237"/>
      <c r="G265" s="234"/>
      <c r="H265" s="234"/>
      <c r="I265" s="234"/>
      <c r="J265" s="234"/>
      <c r="K265" s="234"/>
      <c r="L265" s="237"/>
      <c r="M265" s="237"/>
      <c r="N265" s="234"/>
      <c r="O265" s="239"/>
      <c r="P265" s="239"/>
    </row>
    <row r="266" spans="2:16" s="272" customFormat="1">
      <c r="B266" s="238"/>
      <c r="C266" s="238"/>
      <c r="D266" s="237"/>
      <c r="E266" s="237"/>
      <c r="F266" s="237"/>
      <c r="G266" s="234"/>
      <c r="H266" s="234"/>
      <c r="I266" s="234"/>
      <c r="J266" s="234"/>
      <c r="K266" s="234"/>
      <c r="L266" s="237"/>
      <c r="M266" s="237"/>
      <c r="N266" s="234"/>
      <c r="O266" s="239"/>
      <c r="P266" s="239"/>
    </row>
    <row r="267" spans="2:16" s="272" customFormat="1">
      <c r="B267" s="238"/>
      <c r="C267" s="238"/>
      <c r="D267" s="237"/>
      <c r="E267" s="237"/>
      <c r="F267" s="237"/>
      <c r="G267" s="234"/>
      <c r="H267" s="234"/>
      <c r="I267" s="234"/>
      <c r="J267" s="234"/>
      <c r="K267" s="234"/>
      <c r="L267" s="237"/>
      <c r="M267" s="237"/>
      <c r="N267" s="234"/>
      <c r="O267" s="239"/>
      <c r="P267" s="239"/>
    </row>
    <row r="268" spans="2:16" s="272" customFormat="1">
      <c r="B268" s="238"/>
      <c r="C268" s="238"/>
      <c r="D268" s="237"/>
      <c r="E268" s="237"/>
      <c r="F268" s="237"/>
      <c r="G268" s="234"/>
      <c r="H268" s="234"/>
      <c r="I268" s="234"/>
      <c r="J268" s="234"/>
      <c r="K268" s="234"/>
      <c r="L268" s="237"/>
      <c r="M268" s="237"/>
      <c r="N268" s="234"/>
      <c r="O268" s="239"/>
      <c r="P268" s="239"/>
    </row>
    <row r="269" spans="2:16" s="272" customFormat="1">
      <c r="B269" s="238"/>
      <c r="C269" s="238"/>
      <c r="D269" s="237"/>
      <c r="E269" s="237"/>
      <c r="F269" s="237"/>
      <c r="G269" s="234"/>
      <c r="H269" s="234"/>
      <c r="I269" s="234"/>
      <c r="J269" s="234"/>
      <c r="K269" s="234"/>
      <c r="L269" s="237"/>
      <c r="M269" s="237"/>
      <c r="N269" s="234"/>
      <c r="O269" s="239"/>
      <c r="P269" s="239"/>
    </row>
    <row r="270" spans="2:16" s="272" customFormat="1">
      <c r="B270" s="238"/>
      <c r="C270" s="238"/>
      <c r="D270" s="237"/>
      <c r="E270" s="237"/>
      <c r="F270" s="237"/>
      <c r="G270" s="234"/>
      <c r="H270" s="234"/>
      <c r="I270" s="234"/>
      <c r="J270" s="234"/>
      <c r="K270" s="234"/>
      <c r="L270" s="237"/>
      <c r="M270" s="237"/>
      <c r="N270" s="234"/>
      <c r="O270" s="239"/>
      <c r="P270" s="239"/>
    </row>
    <row r="271" spans="2:16" s="272" customFormat="1">
      <c r="B271" s="238"/>
      <c r="C271" s="238"/>
      <c r="D271" s="237"/>
      <c r="E271" s="237"/>
      <c r="F271" s="237"/>
      <c r="G271" s="234"/>
      <c r="H271" s="234"/>
      <c r="I271" s="234"/>
      <c r="J271" s="234"/>
      <c r="K271" s="234"/>
      <c r="L271" s="237"/>
      <c r="M271" s="237"/>
      <c r="N271" s="234"/>
      <c r="O271" s="239"/>
      <c r="P271" s="239"/>
    </row>
    <row r="272" spans="2:16" s="272" customFormat="1">
      <c r="B272" s="238"/>
      <c r="C272" s="238"/>
      <c r="D272" s="237"/>
      <c r="E272" s="237"/>
      <c r="F272" s="237"/>
      <c r="G272" s="234"/>
      <c r="H272" s="234"/>
      <c r="I272" s="234"/>
      <c r="J272" s="234"/>
      <c r="K272" s="234"/>
      <c r="L272" s="237"/>
      <c r="M272" s="237"/>
      <c r="N272" s="234"/>
      <c r="O272" s="239"/>
      <c r="P272" s="239"/>
    </row>
    <row r="273" spans="2:16" s="272" customFormat="1">
      <c r="B273" s="238"/>
      <c r="C273" s="238"/>
      <c r="D273" s="237"/>
      <c r="E273" s="237"/>
      <c r="F273" s="237"/>
      <c r="G273" s="234"/>
      <c r="H273" s="234"/>
      <c r="I273" s="234"/>
      <c r="J273" s="234"/>
      <c r="K273" s="234"/>
      <c r="L273" s="237"/>
      <c r="M273" s="237"/>
      <c r="N273" s="234"/>
      <c r="O273" s="239"/>
      <c r="P273" s="239"/>
    </row>
    <row r="274" spans="2:16" s="272" customFormat="1">
      <c r="B274" s="238"/>
      <c r="C274" s="238"/>
      <c r="D274" s="237"/>
      <c r="E274" s="237"/>
      <c r="F274" s="237"/>
      <c r="G274" s="234"/>
      <c r="H274" s="234"/>
      <c r="I274" s="234"/>
      <c r="J274" s="234"/>
      <c r="K274" s="234"/>
      <c r="L274" s="237"/>
      <c r="M274" s="237"/>
      <c r="N274" s="234"/>
      <c r="O274" s="239"/>
      <c r="P274" s="239"/>
    </row>
    <row r="275" spans="2:16" s="272" customFormat="1">
      <c r="B275" s="238"/>
      <c r="C275" s="238"/>
      <c r="D275" s="237"/>
      <c r="E275" s="237"/>
      <c r="F275" s="237"/>
      <c r="G275" s="234"/>
      <c r="H275" s="234"/>
      <c r="I275" s="234"/>
      <c r="J275" s="234"/>
      <c r="K275" s="234"/>
      <c r="L275" s="237"/>
      <c r="M275" s="237"/>
      <c r="N275" s="234"/>
      <c r="O275" s="239"/>
      <c r="P275" s="239"/>
    </row>
    <row r="276" spans="2:16" s="272" customFormat="1">
      <c r="B276" s="238"/>
      <c r="C276" s="238"/>
      <c r="D276" s="237"/>
      <c r="E276" s="237"/>
      <c r="F276" s="237"/>
      <c r="G276" s="234"/>
      <c r="H276" s="234"/>
      <c r="I276" s="234"/>
      <c r="J276" s="234"/>
      <c r="K276" s="234"/>
      <c r="L276" s="237"/>
      <c r="M276" s="237"/>
      <c r="N276" s="234"/>
      <c r="O276" s="239"/>
      <c r="P276" s="239"/>
    </row>
    <row r="277" spans="2:16" s="272" customFormat="1">
      <c r="B277" s="238"/>
      <c r="C277" s="238"/>
      <c r="D277" s="237"/>
      <c r="E277" s="237"/>
      <c r="F277" s="237"/>
      <c r="G277" s="234"/>
      <c r="H277" s="234"/>
      <c r="I277" s="234"/>
      <c r="J277" s="234"/>
      <c r="K277" s="234"/>
      <c r="L277" s="237"/>
      <c r="M277" s="237"/>
      <c r="N277" s="234"/>
      <c r="O277" s="239"/>
      <c r="P277" s="239"/>
    </row>
    <row r="278" spans="2:16" s="272" customFormat="1">
      <c r="B278" s="238"/>
      <c r="C278" s="238"/>
      <c r="D278" s="237"/>
      <c r="E278" s="237"/>
      <c r="F278" s="237"/>
      <c r="G278" s="234"/>
      <c r="H278" s="234"/>
      <c r="I278" s="234"/>
      <c r="J278" s="234"/>
      <c r="K278" s="234"/>
      <c r="L278" s="237"/>
      <c r="M278" s="237"/>
      <c r="N278" s="234"/>
      <c r="O278" s="239"/>
      <c r="P278" s="239"/>
    </row>
    <row r="279" spans="2:16" s="272" customFormat="1">
      <c r="B279" s="238"/>
      <c r="C279" s="238"/>
      <c r="D279" s="237"/>
      <c r="E279" s="237"/>
      <c r="F279" s="237"/>
      <c r="G279" s="234"/>
      <c r="H279" s="234"/>
      <c r="I279" s="234"/>
      <c r="J279" s="234"/>
      <c r="K279" s="234"/>
      <c r="L279" s="237"/>
      <c r="M279" s="237"/>
      <c r="N279" s="234"/>
      <c r="O279" s="239"/>
      <c r="P279" s="239"/>
    </row>
    <row r="280" spans="2:16" s="272" customFormat="1">
      <c r="B280" s="238"/>
      <c r="C280" s="238"/>
      <c r="D280" s="237"/>
      <c r="E280" s="237"/>
      <c r="F280" s="237"/>
      <c r="G280" s="234"/>
      <c r="H280" s="234"/>
      <c r="I280" s="234"/>
      <c r="J280" s="234"/>
      <c r="K280" s="234"/>
      <c r="L280" s="237"/>
      <c r="M280" s="237"/>
      <c r="N280" s="234"/>
      <c r="O280" s="239"/>
      <c r="P280" s="239"/>
    </row>
    <row r="281" spans="2:16" s="272" customFormat="1">
      <c r="B281" s="238"/>
      <c r="C281" s="238"/>
      <c r="D281" s="237"/>
      <c r="E281" s="237"/>
      <c r="F281" s="237"/>
      <c r="G281" s="234"/>
      <c r="H281" s="234"/>
      <c r="I281" s="234"/>
      <c r="J281" s="234"/>
      <c r="K281" s="234"/>
      <c r="L281" s="237"/>
      <c r="M281" s="237"/>
      <c r="N281" s="234"/>
      <c r="O281" s="239"/>
      <c r="P281" s="239"/>
    </row>
    <row r="282" spans="2:16" s="272" customFormat="1">
      <c r="B282" s="238"/>
      <c r="C282" s="238"/>
      <c r="D282" s="237"/>
      <c r="E282" s="237"/>
      <c r="F282" s="237"/>
      <c r="G282" s="234"/>
      <c r="H282" s="234"/>
      <c r="I282" s="234"/>
      <c r="J282" s="234"/>
      <c r="K282" s="234"/>
      <c r="L282" s="237"/>
      <c r="M282" s="237"/>
      <c r="N282" s="234"/>
      <c r="O282" s="239"/>
      <c r="P282" s="239"/>
    </row>
    <row r="283" spans="2:16" s="272" customFormat="1">
      <c r="B283" s="238"/>
      <c r="C283" s="238"/>
      <c r="D283" s="237"/>
      <c r="E283" s="237"/>
      <c r="F283" s="237"/>
      <c r="G283" s="234"/>
      <c r="H283" s="234"/>
      <c r="I283" s="234"/>
      <c r="J283" s="234"/>
      <c r="K283" s="234"/>
      <c r="L283" s="237"/>
      <c r="M283" s="237"/>
      <c r="N283" s="234"/>
      <c r="O283" s="239"/>
      <c r="P283" s="239"/>
    </row>
    <row r="284" spans="2:16" s="272" customFormat="1">
      <c r="B284" s="238"/>
      <c r="C284" s="238"/>
      <c r="D284" s="237"/>
      <c r="E284" s="237"/>
      <c r="F284" s="237"/>
      <c r="G284" s="234"/>
      <c r="H284" s="234"/>
      <c r="I284" s="234"/>
      <c r="J284" s="234"/>
      <c r="K284" s="234"/>
      <c r="L284" s="237"/>
      <c r="M284" s="237"/>
      <c r="N284" s="234"/>
      <c r="O284" s="239"/>
      <c r="P284" s="239"/>
    </row>
    <row r="285" spans="2:16" s="272" customFormat="1">
      <c r="B285" s="238"/>
      <c r="C285" s="238"/>
      <c r="D285" s="237"/>
      <c r="E285" s="237"/>
      <c r="F285" s="237"/>
      <c r="G285" s="234"/>
      <c r="H285" s="234"/>
      <c r="I285" s="234"/>
      <c r="J285" s="234"/>
      <c r="K285" s="234"/>
      <c r="L285" s="237"/>
      <c r="M285" s="237"/>
      <c r="N285" s="234"/>
      <c r="O285" s="239"/>
      <c r="P285" s="239"/>
    </row>
    <row r="286" spans="2:16" s="272" customFormat="1">
      <c r="B286" s="238"/>
      <c r="C286" s="238"/>
      <c r="D286" s="237"/>
      <c r="E286" s="237"/>
      <c r="F286" s="237"/>
      <c r="G286" s="234"/>
      <c r="H286" s="234"/>
      <c r="I286" s="234"/>
      <c r="J286" s="234"/>
      <c r="K286" s="234"/>
      <c r="L286" s="237"/>
      <c r="M286" s="237"/>
      <c r="N286" s="234"/>
      <c r="O286" s="239"/>
      <c r="P286" s="239"/>
    </row>
    <row r="287" spans="2:16" s="272" customFormat="1">
      <c r="B287" s="238"/>
      <c r="C287" s="238"/>
      <c r="D287" s="237"/>
      <c r="E287" s="237"/>
      <c r="F287" s="237"/>
      <c r="G287" s="234"/>
      <c r="H287" s="234"/>
      <c r="I287" s="234"/>
      <c r="J287" s="234"/>
      <c r="K287" s="234"/>
      <c r="L287" s="237"/>
      <c r="M287" s="237"/>
      <c r="N287" s="234"/>
      <c r="O287" s="239"/>
      <c r="P287" s="239"/>
    </row>
    <row r="288" spans="2:16" s="272" customFormat="1">
      <c r="B288" s="238"/>
      <c r="C288" s="238"/>
      <c r="D288" s="237"/>
      <c r="E288" s="237"/>
      <c r="F288" s="237"/>
      <c r="G288" s="234"/>
      <c r="H288" s="234"/>
      <c r="I288" s="234"/>
      <c r="J288" s="234"/>
      <c r="K288" s="234"/>
      <c r="L288" s="237"/>
      <c r="M288" s="237"/>
      <c r="N288" s="234"/>
      <c r="O288" s="239"/>
      <c r="P288" s="239"/>
    </row>
    <row r="289" spans="2:16" s="272" customFormat="1">
      <c r="B289" s="238"/>
      <c r="C289" s="238"/>
      <c r="D289" s="237"/>
      <c r="E289" s="237"/>
      <c r="F289" s="237"/>
      <c r="G289" s="234"/>
      <c r="H289" s="234"/>
      <c r="I289" s="234"/>
      <c r="J289" s="234"/>
      <c r="K289" s="234"/>
      <c r="L289" s="237"/>
      <c r="M289" s="237"/>
      <c r="N289" s="234"/>
      <c r="O289" s="239"/>
      <c r="P289" s="239"/>
    </row>
    <row r="290" spans="2:16" s="272" customFormat="1">
      <c r="B290" s="238"/>
      <c r="C290" s="238"/>
      <c r="D290" s="237"/>
      <c r="E290" s="237"/>
      <c r="F290" s="237"/>
      <c r="G290" s="234"/>
      <c r="H290" s="234"/>
      <c r="I290" s="234"/>
      <c r="J290" s="234"/>
      <c r="K290" s="234"/>
      <c r="L290" s="237"/>
      <c r="M290" s="237"/>
      <c r="N290" s="234"/>
      <c r="O290" s="239"/>
      <c r="P290" s="239"/>
    </row>
    <row r="291" spans="2:16" s="272" customFormat="1">
      <c r="B291" s="238"/>
      <c r="C291" s="238"/>
      <c r="D291" s="237"/>
      <c r="E291" s="237"/>
      <c r="F291" s="237"/>
      <c r="G291" s="234"/>
      <c r="H291" s="234"/>
      <c r="I291" s="234"/>
      <c r="J291" s="234"/>
      <c r="K291" s="234"/>
      <c r="L291" s="237"/>
      <c r="M291" s="237"/>
      <c r="N291" s="234"/>
      <c r="O291" s="239"/>
      <c r="P291" s="239"/>
    </row>
    <row r="292" spans="2:16" s="272" customFormat="1">
      <c r="B292" s="238"/>
      <c r="C292" s="238"/>
      <c r="D292" s="237"/>
      <c r="E292" s="237"/>
      <c r="F292" s="237"/>
      <c r="G292" s="234"/>
      <c r="H292" s="234"/>
      <c r="I292" s="234"/>
      <c r="J292" s="234"/>
      <c r="K292" s="234"/>
      <c r="L292" s="237"/>
      <c r="M292" s="237"/>
      <c r="N292" s="234"/>
      <c r="O292" s="239"/>
      <c r="P292" s="239"/>
    </row>
    <row r="293" spans="2:16" s="272" customFormat="1">
      <c r="B293" s="238"/>
      <c r="C293" s="238"/>
      <c r="D293" s="237"/>
      <c r="E293" s="237"/>
      <c r="F293" s="237"/>
      <c r="G293" s="234"/>
      <c r="H293" s="234"/>
      <c r="I293" s="234"/>
      <c r="J293" s="234"/>
      <c r="K293" s="234"/>
      <c r="L293" s="237"/>
      <c r="M293" s="237"/>
      <c r="N293" s="234"/>
      <c r="O293" s="239"/>
      <c r="P293" s="239"/>
    </row>
    <row r="294" spans="2:16" s="272" customFormat="1">
      <c r="B294" s="238"/>
      <c r="C294" s="238"/>
      <c r="D294" s="237"/>
      <c r="E294" s="237"/>
      <c r="F294" s="237"/>
      <c r="G294" s="234"/>
      <c r="H294" s="234"/>
      <c r="I294" s="234"/>
      <c r="J294" s="234"/>
      <c r="K294" s="234"/>
      <c r="L294" s="237"/>
      <c r="M294" s="237"/>
      <c r="N294" s="234"/>
      <c r="O294" s="239"/>
      <c r="P294" s="239"/>
    </row>
    <row r="295" spans="2:16" s="272" customFormat="1">
      <c r="B295" s="238"/>
      <c r="C295" s="238"/>
      <c r="D295" s="237"/>
      <c r="E295" s="237"/>
      <c r="F295" s="237"/>
      <c r="G295" s="234"/>
      <c r="H295" s="234"/>
      <c r="I295" s="234"/>
      <c r="J295" s="234"/>
      <c r="K295" s="234"/>
      <c r="L295" s="237"/>
      <c r="M295" s="237"/>
      <c r="N295" s="234"/>
      <c r="O295" s="239"/>
      <c r="P295" s="239"/>
    </row>
    <row r="296" spans="2:16" s="272" customFormat="1">
      <c r="B296" s="238"/>
      <c r="C296" s="238"/>
      <c r="D296" s="237"/>
      <c r="E296" s="237"/>
      <c r="F296" s="237"/>
      <c r="G296" s="234"/>
      <c r="H296" s="234"/>
      <c r="I296" s="234"/>
      <c r="J296" s="234"/>
      <c r="K296" s="234"/>
      <c r="L296" s="237"/>
      <c r="M296" s="237"/>
      <c r="N296" s="234"/>
      <c r="O296" s="239"/>
      <c r="P296" s="239"/>
    </row>
    <row r="297" spans="2:16" s="272" customFormat="1">
      <c r="B297" s="238"/>
      <c r="C297" s="238"/>
      <c r="D297" s="237"/>
      <c r="E297" s="237"/>
      <c r="F297" s="237"/>
      <c r="G297" s="234"/>
      <c r="H297" s="234"/>
      <c r="I297" s="234"/>
      <c r="J297" s="234"/>
      <c r="K297" s="234"/>
      <c r="L297" s="237"/>
      <c r="M297" s="237"/>
      <c r="N297" s="234"/>
      <c r="O297" s="239"/>
      <c r="P297" s="239"/>
    </row>
    <row r="298" spans="2:16" s="272" customFormat="1">
      <c r="B298" s="238"/>
      <c r="C298" s="238"/>
      <c r="D298" s="237"/>
      <c r="E298" s="237"/>
      <c r="F298" s="237"/>
      <c r="G298" s="234"/>
      <c r="H298" s="234"/>
      <c r="I298" s="234"/>
      <c r="J298" s="234"/>
      <c r="K298" s="234"/>
      <c r="L298" s="237"/>
      <c r="M298" s="237"/>
      <c r="N298" s="234"/>
      <c r="O298" s="239"/>
      <c r="P298" s="239"/>
    </row>
    <row r="299" spans="2:16" s="272" customFormat="1">
      <c r="B299" s="238"/>
      <c r="C299" s="238"/>
      <c r="D299" s="237"/>
      <c r="E299" s="237"/>
      <c r="F299" s="237"/>
      <c r="G299" s="234"/>
      <c r="H299" s="234"/>
      <c r="I299" s="234"/>
      <c r="J299" s="234"/>
      <c r="K299" s="234"/>
      <c r="L299" s="237"/>
      <c r="M299" s="237"/>
      <c r="N299" s="234"/>
      <c r="O299" s="239"/>
      <c r="P299" s="239"/>
    </row>
    <row r="300" spans="2:16" s="272" customFormat="1">
      <c r="B300" s="238"/>
      <c r="C300" s="238"/>
      <c r="D300" s="237"/>
      <c r="E300" s="237"/>
      <c r="F300" s="237"/>
      <c r="G300" s="234"/>
      <c r="H300" s="234"/>
      <c r="I300" s="234"/>
      <c r="J300" s="234"/>
      <c r="K300" s="234"/>
      <c r="L300" s="237"/>
      <c r="M300" s="237"/>
      <c r="N300" s="234"/>
      <c r="O300" s="239"/>
      <c r="P300" s="239"/>
    </row>
    <row r="301" spans="2:16" s="272" customFormat="1">
      <c r="B301" s="238"/>
      <c r="C301" s="238"/>
      <c r="D301" s="237"/>
      <c r="E301" s="237"/>
      <c r="F301" s="237"/>
      <c r="G301" s="234"/>
      <c r="H301" s="234"/>
      <c r="I301" s="234"/>
      <c r="J301" s="234"/>
      <c r="K301" s="234"/>
      <c r="L301" s="237"/>
      <c r="M301" s="237"/>
      <c r="N301" s="234"/>
      <c r="O301" s="239"/>
      <c r="P301" s="239"/>
    </row>
    <row r="302" spans="2:16" s="272" customFormat="1">
      <c r="B302" s="238"/>
      <c r="C302" s="238"/>
      <c r="D302" s="237"/>
      <c r="E302" s="237"/>
      <c r="F302" s="237"/>
      <c r="G302" s="234"/>
      <c r="H302" s="234"/>
      <c r="I302" s="234"/>
      <c r="J302" s="234"/>
      <c r="K302" s="234"/>
      <c r="L302" s="237"/>
      <c r="M302" s="237"/>
      <c r="N302" s="234"/>
      <c r="O302" s="239"/>
      <c r="P302" s="239"/>
    </row>
    <row r="303" spans="2:16" s="272" customFormat="1">
      <c r="B303" s="238"/>
      <c r="C303" s="238"/>
      <c r="D303" s="237"/>
      <c r="E303" s="237"/>
      <c r="F303" s="237"/>
      <c r="G303" s="234"/>
      <c r="H303" s="234"/>
      <c r="I303" s="234"/>
      <c r="J303" s="234"/>
      <c r="K303" s="234"/>
      <c r="L303" s="237"/>
      <c r="M303" s="237"/>
      <c r="N303" s="234"/>
      <c r="O303" s="239"/>
      <c r="P303" s="239"/>
    </row>
    <row r="304" spans="2:16" s="272" customFormat="1">
      <c r="B304" s="238"/>
      <c r="C304" s="238"/>
      <c r="D304" s="237"/>
      <c r="E304" s="237"/>
      <c r="F304" s="237"/>
      <c r="G304" s="234"/>
      <c r="H304" s="234"/>
      <c r="I304" s="234"/>
      <c r="J304" s="234"/>
      <c r="K304" s="234"/>
      <c r="L304" s="237"/>
      <c r="M304" s="237"/>
      <c r="N304" s="234"/>
      <c r="O304" s="239"/>
      <c r="P304" s="239"/>
    </row>
    <row r="305" spans="2:16" s="272" customFormat="1">
      <c r="B305" s="238"/>
      <c r="C305" s="238"/>
      <c r="D305" s="237"/>
      <c r="E305" s="237"/>
      <c r="F305" s="237"/>
      <c r="G305" s="234"/>
      <c r="H305" s="234"/>
      <c r="I305" s="234"/>
      <c r="J305" s="234"/>
      <c r="K305" s="234"/>
      <c r="L305" s="237"/>
      <c r="M305" s="237"/>
      <c r="N305" s="234"/>
      <c r="O305" s="239"/>
      <c r="P305" s="239"/>
    </row>
    <row r="306" spans="2:16" s="272" customFormat="1">
      <c r="B306" s="238"/>
      <c r="C306" s="238"/>
      <c r="D306" s="237"/>
      <c r="E306" s="237"/>
      <c r="F306" s="237"/>
      <c r="G306" s="234"/>
      <c r="H306" s="234"/>
      <c r="I306" s="234"/>
      <c r="J306" s="234"/>
      <c r="K306" s="234"/>
      <c r="L306" s="237"/>
      <c r="M306" s="237"/>
      <c r="N306" s="234"/>
      <c r="O306" s="239"/>
      <c r="P306" s="239"/>
    </row>
    <row r="307" spans="2:16" s="272" customFormat="1">
      <c r="B307" s="238"/>
      <c r="C307" s="238"/>
      <c r="D307" s="237"/>
      <c r="E307" s="237"/>
      <c r="F307" s="237"/>
      <c r="G307" s="234"/>
      <c r="H307" s="234"/>
      <c r="I307" s="234"/>
      <c r="J307" s="234"/>
      <c r="K307" s="234"/>
      <c r="L307" s="237"/>
      <c r="M307" s="237"/>
      <c r="N307" s="234"/>
      <c r="O307" s="239"/>
      <c r="P307" s="239"/>
    </row>
    <row r="308" spans="2:16" s="272" customFormat="1">
      <c r="B308" s="238"/>
      <c r="C308" s="238"/>
      <c r="D308" s="237"/>
      <c r="E308" s="237"/>
      <c r="F308" s="237"/>
      <c r="G308" s="234"/>
      <c r="H308" s="234"/>
      <c r="I308" s="234"/>
      <c r="J308" s="234"/>
      <c r="K308" s="234"/>
      <c r="L308" s="237"/>
      <c r="M308" s="237"/>
      <c r="N308" s="234"/>
      <c r="O308" s="239"/>
      <c r="P308" s="239"/>
    </row>
    <row r="309" spans="2:16" s="272" customFormat="1">
      <c r="B309" s="238"/>
      <c r="C309" s="238"/>
      <c r="D309" s="237"/>
      <c r="E309" s="237"/>
      <c r="F309" s="237"/>
      <c r="G309" s="234"/>
      <c r="H309" s="234"/>
      <c r="I309" s="234"/>
      <c r="J309" s="234"/>
      <c r="K309" s="234"/>
      <c r="L309" s="237"/>
      <c r="M309" s="237"/>
      <c r="N309" s="234"/>
      <c r="O309" s="239"/>
      <c r="P309" s="239"/>
    </row>
    <row r="310" spans="2:16" s="272" customFormat="1">
      <c r="B310" s="238"/>
      <c r="C310" s="238"/>
      <c r="D310" s="237"/>
      <c r="E310" s="237"/>
      <c r="F310" s="237"/>
      <c r="G310" s="234"/>
      <c r="H310" s="234"/>
      <c r="I310" s="234"/>
      <c r="J310" s="234"/>
      <c r="K310" s="234"/>
      <c r="L310" s="237"/>
      <c r="M310" s="237"/>
      <c r="N310" s="234"/>
      <c r="O310" s="239"/>
      <c r="P310" s="239"/>
    </row>
    <row r="311" spans="2:16" s="272" customFormat="1">
      <c r="B311" s="238"/>
      <c r="C311" s="238"/>
      <c r="D311" s="237"/>
      <c r="E311" s="237"/>
      <c r="F311" s="237"/>
      <c r="G311" s="234"/>
      <c r="H311" s="234"/>
      <c r="I311" s="234"/>
      <c r="J311" s="234"/>
      <c r="K311" s="234"/>
      <c r="L311" s="237"/>
      <c r="M311" s="237"/>
      <c r="N311" s="234"/>
      <c r="O311" s="239"/>
      <c r="P311" s="239"/>
    </row>
    <row r="312" spans="2:16" s="272" customFormat="1">
      <c r="B312" s="238"/>
      <c r="C312" s="238"/>
      <c r="D312" s="237"/>
      <c r="E312" s="237"/>
      <c r="F312" s="237"/>
      <c r="G312" s="234"/>
      <c r="H312" s="234"/>
      <c r="I312" s="234"/>
      <c r="J312" s="234"/>
      <c r="K312" s="234"/>
      <c r="L312" s="237"/>
      <c r="M312" s="237"/>
      <c r="N312" s="234"/>
      <c r="O312" s="239"/>
      <c r="P312" s="239"/>
    </row>
    <row r="313" spans="2:16" s="272" customFormat="1">
      <c r="B313" s="238"/>
      <c r="C313" s="238"/>
      <c r="D313" s="237"/>
      <c r="E313" s="237"/>
      <c r="F313" s="237"/>
      <c r="G313" s="234"/>
      <c r="H313" s="234"/>
      <c r="I313" s="234"/>
      <c r="J313" s="234"/>
      <c r="K313" s="234"/>
      <c r="L313" s="237"/>
      <c r="M313" s="237"/>
      <c r="N313" s="234"/>
      <c r="O313" s="239"/>
      <c r="P313" s="239"/>
    </row>
    <row r="314" spans="2:16" s="272" customFormat="1">
      <c r="B314" s="238"/>
      <c r="C314" s="238"/>
      <c r="D314" s="237"/>
      <c r="E314" s="237"/>
      <c r="F314" s="237"/>
      <c r="G314" s="234"/>
      <c r="H314" s="234"/>
      <c r="I314" s="234"/>
      <c r="J314" s="234"/>
      <c r="K314" s="234"/>
      <c r="L314" s="237"/>
      <c r="M314" s="237"/>
      <c r="N314" s="234"/>
      <c r="O314" s="239"/>
      <c r="P314" s="239"/>
    </row>
    <row r="315" spans="2:16" s="272" customFormat="1">
      <c r="B315" s="238"/>
      <c r="C315" s="238"/>
      <c r="D315" s="237"/>
      <c r="E315" s="237"/>
      <c r="F315" s="237"/>
      <c r="G315" s="234"/>
      <c r="H315" s="234"/>
      <c r="I315" s="234"/>
      <c r="J315" s="234"/>
      <c r="K315" s="234"/>
      <c r="L315" s="237"/>
      <c r="M315" s="237"/>
      <c r="N315" s="234"/>
      <c r="O315" s="239"/>
      <c r="P315" s="239"/>
    </row>
    <row r="316" spans="2:16" s="272" customFormat="1">
      <c r="B316" s="238"/>
      <c r="C316" s="238"/>
      <c r="D316" s="237"/>
      <c r="E316" s="237"/>
      <c r="F316" s="237"/>
      <c r="G316" s="234"/>
      <c r="H316" s="234"/>
      <c r="I316" s="234"/>
      <c r="J316" s="234"/>
      <c r="K316" s="234"/>
      <c r="L316" s="237"/>
      <c r="M316" s="237"/>
      <c r="N316" s="234"/>
      <c r="O316" s="239"/>
      <c r="P316" s="239"/>
    </row>
    <row r="317" spans="2:16" s="272" customFormat="1">
      <c r="B317" s="238"/>
      <c r="C317" s="238"/>
      <c r="D317" s="237"/>
      <c r="E317" s="237"/>
      <c r="F317" s="237"/>
      <c r="G317" s="234"/>
      <c r="H317" s="234"/>
      <c r="I317" s="234"/>
      <c r="J317" s="234"/>
      <c r="K317" s="234"/>
      <c r="L317" s="237"/>
      <c r="M317" s="237"/>
      <c r="N317" s="234"/>
      <c r="O317" s="239"/>
      <c r="P317" s="239"/>
    </row>
    <row r="318" spans="2:16" s="272" customFormat="1">
      <c r="B318" s="238"/>
      <c r="C318" s="238"/>
      <c r="D318" s="237"/>
      <c r="E318" s="237"/>
      <c r="F318" s="237"/>
      <c r="G318" s="234"/>
      <c r="H318" s="234"/>
      <c r="I318" s="234"/>
      <c r="J318" s="234"/>
      <c r="K318" s="234"/>
      <c r="L318" s="237"/>
      <c r="M318" s="237"/>
      <c r="N318" s="234"/>
      <c r="O318" s="239"/>
      <c r="P318" s="239"/>
    </row>
    <row r="319" spans="2:16" s="272" customFormat="1">
      <c r="B319" s="238"/>
      <c r="C319" s="238"/>
      <c r="D319" s="237"/>
      <c r="E319" s="237"/>
      <c r="F319" s="237"/>
      <c r="G319" s="234"/>
      <c r="H319" s="234"/>
      <c r="I319" s="234"/>
      <c r="J319" s="234"/>
      <c r="K319" s="234"/>
      <c r="L319" s="237"/>
      <c r="M319" s="237"/>
      <c r="N319" s="234"/>
      <c r="O319" s="239"/>
      <c r="P319" s="239"/>
    </row>
    <row r="320" spans="2:16" s="272" customFormat="1">
      <c r="B320" s="238"/>
      <c r="C320" s="238"/>
      <c r="D320" s="237"/>
      <c r="E320" s="237"/>
      <c r="F320" s="237"/>
      <c r="G320" s="234"/>
      <c r="H320" s="234"/>
      <c r="I320" s="234"/>
      <c r="J320" s="234"/>
      <c r="K320" s="234"/>
      <c r="L320" s="237"/>
      <c r="M320" s="237"/>
      <c r="N320" s="234"/>
      <c r="O320" s="239"/>
      <c r="P320" s="239"/>
    </row>
    <row r="321" spans="2:16" s="272" customFormat="1">
      <c r="B321" s="238"/>
      <c r="C321" s="238"/>
      <c r="D321" s="237"/>
      <c r="E321" s="237"/>
      <c r="F321" s="237"/>
      <c r="G321" s="234"/>
      <c r="H321" s="234"/>
      <c r="I321" s="234"/>
      <c r="J321" s="234"/>
      <c r="K321" s="234"/>
      <c r="L321" s="237"/>
      <c r="M321" s="237"/>
      <c r="N321" s="234"/>
      <c r="O321" s="239"/>
      <c r="P321" s="239"/>
    </row>
    <row r="322" spans="2:16" s="272" customFormat="1">
      <c r="B322" s="238"/>
      <c r="C322" s="238"/>
      <c r="D322" s="237"/>
      <c r="E322" s="237"/>
      <c r="F322" s="237"/>
      <c r="G322" s="234"/>
      <c r="H322" s="234"/>
      <c r="I322" s="234"/>
      <c r="J322" s="234"/>
      <c r="K322" s="234"/>
      <c r="L322" s="237"/>
      <c r="M322" s="237"/>
      <c r="N322" s="234"/>
      <c r="O322" s="239"/>
      <c r="P322" s="239"/>
    </row>
    <row r="323" spans="2:16" s="272" customFormat="1">
      <c r="B323" s="238"/>
      <c r="C323" s="238"/>
      <c r="D323" s="237"/>
      <c r="E323" s="237"/>
      <c r="F323" s="237"/>
      <c r="G323" s="234"/>
      <c r="H323" s="234"/>
      <c r="I323" s="234"/>
      <c r="J323" s="234"/>
      <c r="K323" s="234"/>
      <c r="L323" s="237"/>
      <c r="M323" s="237"/>
      <c r="N323" s="234"/>
      <c r="O323" s="239"/>
      <c r="P323" s="239"/>
    </row>
    <row r="324" spans="2:16" s="272" customFormat="1">
      <c r="B324" s="238"/>
      <c r="C324" s="238"/>
      <c r="D324" s="237"/>
      <c r="E324" s="237"/>
      <c r="F324" s="237"/>
      <c r="G324" s="234"/>
      <c r="H324" s="234"/>
      <c r="I324" s="234"/>
      <c r="J324" s="234"/>
      <c r="K324" s="234"/>
      <c r="L324" s="237"/>
      <c r="M324" s="237"/>
      <c r="N324" s="234"/>
      <c r="O324" s="239"/>
      <c r="P324" s="239"/>
    </row>
    <row r="325" spans="2:16" s="272" customFormat="1">
      <c r="B325" s="238"/>
      <c r="C325" s="238"/>
      <c r="D325" s="237"/>
      <c r="E325" s="237"/>
      <c r="F325" s="237"/>
      <c r="G325" s="234"/>
      <c r="H325" s="234"/>
      <c r="I325" s="234"/>
      <c r="J325" s="234"/>
      <c r="K325" s="234"/>
      <c r="L325" s="237"/>
      <c r="M325" s="237"/>
      <c r="N325" s="234"/>
      <c r="O325" s="239"/>
      <c r="P325" s="239"/>
    </row>
    <row r="326" spans="2:16" s="272" customFormat="1">
      <c r="B326" s="238"/>
      <c r="C326" s="238"/>
      <c r="D326" s="237"/>
      <c r="E326" s="237"/>
      <c r="F326" s="237"/>
      <c r="G326" s="234"/>
      <c r="H326" s="234"/>
      <c r="I326" s="234"/>
      <c r="J326" s="234"/>
      <c r="K326" s="234"/>
      <c r="L326" s="237"/>
      <c r="M326" s="237"/>
      <c r="N326" s="234"/>
      <c r="O326" s="239"/>
      <c r="P326" s="239"/>
    </row>
    <row r="327" spans="2:16" s="272" customFormat="1">
      <c r="B327" s="238"/>
      <c r="C327" s="238"/>
      <c r="D327" s="237"/>
      <c r="E327" s="237"/>
      <c r="F327" s="237"/>
      <c r="G327" s="234"/>
      <c r="H327" s="234"/>
      <c r="I327" s="234"/>
      <c r="J327" s="234"/>
      <c r="K327" s="234"/>
      <c r="L327" s="237"/>
      <c r="M327" s="237"/>
      <c r="N327" s="234"/>
      <c r="O327" s="239"/>
      <c r="P327" s="239"/>
    </row>
    <row r="328" spans="2:16" s="272" customFormat="1">
      <c r="B328" s="238"/>
      <c r="C328" s="238"/>
      <c r="D328" s="237"/>
      <c r="E328" s="237"/>
      <c r="F328" s="237"/>
      <c r="G328" s="234"/>
      <c r="H328" s="234"/>
      <c r="I328" s="234"/>
      <c r="J328" s="234"/>
      <c r="K328" s="234"/>
      <c r="L328" s="237"/>
      <c r="M328" s="237"/>
      <c r="N328" s="234"/>
      <c r="O328" s="239"/>
      <c r="P328" s="239"/>
    </row>
    <row r="329" spans="2:16" s="272" customFormat="1">
      <c r="B329" s="238"/>
      <c r="C329" s="238"/>
      <c r="D329" s="237"/>
      <c r="E329" s="237"/>
      <c r="F329" s="237"/>
      <c r="G329" s="234"/>
      <c r="H329" s="234"/>
      <c r="I329" s="234"/>
      <c r="J329" s="234"/>
      <c r="K329" s="234"/>
      <c r="L329" s="237"/>
      <c r="M329" s="237"/>
      <c r="N329" s="234"/>
      <c r="O329" s="239"/>
      <c r="P329" s="239"/>
    </row>
    <row r="330" spans="2:16" s="272" customFormat="1">
      <c r="B330" s="238"/>
      <c r="C330" s="238"/>
      <c r="D330" s="237"/>
      <c r="E330" s="237"/>
      <c r="F330" s="237"/>
      <c r="G330" s="234"/>
      <c r="H330" s="234"/>
      <c r="I330" s="234"/>
      <c r="J330" s="234"/>
      <c r="K330" s="234"/>
      <c r="L330" s="237"/>
      <c r="M330" s="237"/>
      <c r="N330" s="234"/>
      <c r="O330" s="239"/>
      <c r="P330" s="239"/>
    </row>
    <row r="331" spans="2:16" s="272" customFormat="1">
      <c r="B331" s="238"/>
      <c r="C331" s="238"/>
      <c r="D331" s="237"/>
      <c r="E331" s="237"/>
      <c r="F331" s="237"/>
      <c r="G331" s="234"/>
      <c r="H331" s="234"/>
      <c r="I331" s="234"/>
      <c r="J331" s="234"/>
      <c r="K331" s="234"/>
      <c r="L331" s="237"/>
      <c r="M331" s="237"/>
      <c r="N331" s="234"/>
      <c r="O331" s="239"/>
      <c r="P331" s="239"/>
    </row>
    <row r="332" spans="2:16" s="272" customFormat="1">
      <c r="B332" s="238"/>
      <c r="C332" s="238"/>
      <c r="D332" s="237"/>
      <c r="E332" s="237"/>
      <c r="F332" s="237"/>
      <c r="G332" s="234"/>
      <c r="H332" s="234"/>
      <c r="I332" s="234"/>
      <c r="J332" s="234"/>
      <c r="K332" s="234"/>
      <c r="L332" s="237"/>
      <c r="M332" s="237"/>
      <c r="N332" s="234"/>
      <c r="O332" s="239"/>
      <c r="P332" s="239"/>
    </row>
    <row r="333" spans="2:16" s="272" customFormat="1">
      <c r="B333" s="238"/>
      <c r="C333" s="238"/>
      <c r="D333" s="237"/>
      <c r="E333" s="237"/>
      <c r="F333" s="237"/>
      <c r="G333" s="234"/>
      <c r="H333" s="234"/>
      <c r="I333" s="234"/>
      <c r="J333" s="234"/>
      <c r="K333" s="234"/>
      <c r="L333" s="237"/>
      <c r="M333" s="237"/>
      <c r="N333" s="234"/>
      <c r="O333" s="239"/>
      <c r="P333" s="239"/>
    </row>
    <row r="334" spans="2:16" s="272" customFormat="1">
      <c r="B334" s="238"/>
      <c r="C334" s="238"/>
      <c r="D334" s="237"/>
      <c r="E334" s="237"/>
      <c r="F334" s="237"/>
      <c r="G334" s="234"/>
      <c r="H334" s="234"/>
      <c r="I334" s="234"/>
      <c r="J334" s="234"/>
      <c r="K334" s="234"/>
      <c r="L334" s="237"/>
      <c r="M334" s="237"/>
      <c r="N334" s="234"/>
      <c r="O334" s="239"/>
      <c r="P334" s="239"/>
    </row>
    <row r="335" spans="2:16" s="272" customFormat="1">
      <c r="B335" s="238"/>
      <c r="C335" s="238"/>
      <c r="D335" s="237"/>
      <c r="E335" s="237"/>
      <c r="F335" s="237"/>
      <c r="G335" s="234"/>
      <c r="H335" s="234"/>
      <c r="I335" s="234"/>
      <c r="J335" s="234"/>
      <c r="K335" s="234"/>
      <c r="L335" s="237"/>
      <c r="M335" s="237"/>
      <c r="N335" s="234"/>
      <c r="O335" s="239"/>
      <c r="P335" s="239"/>
    </row>
    <row r="336" spans="2:16" s="272" customFormat="1">
      <c r="B336" s="238"/>
      <c r="C336" s="238"/>
      <c r="D336" s="237"/>
      <c r="E336" s="237"/>
      <c r="F336" s="237"/>
      <c r="G336" s="234"/>
      <c r="H336" s="234"/>
      <c r="I336" s="234"/>
      <c r="J336" s="234"/>
      <c r="K336" s="234"/>
      <c r="L336" s="237"/>
      <c r="M336" s="237"/>
      <c r="N336" s="234"/>
      <c r="O336" s="239"/>
      <c r="P336" s="239"/>
    </row>
    <row r="337" spans="2:16" s="272" customFormat="1">
      <c r="B337" s="238"/>
      <c r="C337" s="238"/>
      <c r="D337" s="237"/>
      <c r="E337" s="237"/>
      <c r="F337" s="237"/>
      <c r="G337" s="234"/>
      <c r="H337" s="234"/>
      <c r="I337" s="234"/>
      <c r="J337" s="234"/>
      <c r="K337" s="234"/>
      <c r="L337" s="237"/>
      <c r="M337" s="237"/>
      <c r="N337" s="234"/>
      <c r="O337" s="239"/>
      <c r="P337" s="239"/>
    </row>
    <row r="338" spans="2:16" s="272" customFormat="1">
      <c r="B338" s="238"/>
      <c r="C338" s="238"/>
      <c r="D338" s="237"/>
      <c r="E338" s="237"/>
      <c r="F338" s="237"/>
      <c r="G338" s="234"/>
      <c r="H338" s="234"/>
      <c r="I338" s="234"/>
      <c r="J338" s="234"/>
      <c r="K338" s="234"/>
      <c r="L338" s="237"/>
      <c r="M338" s="237"/>
      <c r="N338" s="234"/>
      <c r="O338" s="239"/>
      <c r="P338" s="239"/>
    </row>
    <row r="339" spans="2:16" s="272" customFormat="1">
      <c r="B339" s="238"/>
      <c r="C339" s="238"/>
      <c r="D339" s="237"/>
      <c r="E339" s="237"/>
      <c r="F339" s="237"/>
      <c r="G339" s="234"/>
      <c r="H339" s="234"/>
      <c r="I339" s="234"/>
      <c r="J339" s="234"/>
      <c r="K339" s="234"/>
      <c r="L339" s="237"/>
      <c r="M339" s="237"/>
      <c r="N339" s="234"/>
      <c r="O339" s="239"/>
      <c r="P339" s="239"/>
    </row>
    <row r="340" spans="2:16" s="272" customFormat="1">
      <c r="B340" s="238"/>
      <c r="C340" s="238"/>
      <c r="D340" s="237"/>
      <c r="E340" s="237"/>
      <c r="F340" s="237"/>
      <c r="G340" s="234"/>
      <c r="H340" s="234"/>
      <c r="I340" s="234"/>
      <c r="J340" s="234"/>
      <c r="K340" s="234"/>
      <c r="L340" s="237"/>
      <c r="M340" s="237"/>
      <c r="N340" s="234"/>
      <c r="O340" s="239"/>
      <c r="P340" s="239"/>
    </row>
    <row r="341" spans="2:16" s="272" customFormat="1">
      <c r="B341" s="238"/>
      <c r="C341" s="238"/>
      <c r="D341" s="237"/>
      <c r="E341" s="237"/>
      <c r="F341" s="237"/>
      <c r="G341" s="234"/>
      <c r="H341" s="234"/>
      <c r="I341" s="234"/>
      <c r="J341" s="234"/>
      <c r="K341" s="234"/>
      <c r="L341" s="237"/>
      <c r="M341" s="237"/>
      <c r="N341" s="234"/>
      <c r="O341" s="239"/>
      <c r="P341" s="239"/>
    </row>
    <row r="342" spans="2:16" s="272" customFormat="1">
      <c r="B342" s="238"/>
      <c r="C342" s="238"/>
      <c r="D342" s="237"/>
      <c r="E342" s="237"/>
      <c r="F342" s="237"/>
      <c r="G342" s="234"/>
      <c r="H342" s="234"/>
      <c r="I342" s="234"/>
      <c r="J342" s="234"/>
      <c r="K342" s="234"/>
      <c r="L342" s="237"/>
      <c r="M342" s="237"/>
      <c r="N342" s="234"/>
      <c r="O342" s="239"/>
      <c r="P342" s="239"/>
    </row>
    <row r="343" spans="2:16" s="272" customFormat="1">
      <c r="B343" s="238"/>
      <c r="C343" s="238"/>
      <c r="D343" s="237"/>
      <c r="E343" s="237"/>
      <c r="F343" s="237"/>
      <c r="G343" s="234"/>
      <c r="H343" s="234"/>
      <c r="I343" s="234"/>
      <c r="J343" s="234"/>
      <c r="K343" s="234"/>
      <c r="L343" s="237"/>
      <c r="M343" s="237"/>
      <c r="N343" s="234"/>
      <c r="O343" s="239"/>
      <c r="P343" s="239"/>
    </row>
    <row r="344" spans="2:16" s="272" customFormat="1">
      <c r="B344" s="238"/>
      <c r="C344" s="238"/>
      <c r="D344" s="237"/>
      <c r="E344" s="237"/>
      <c r="F344" s="237"/>
      <c r="G344" s="234"/>
      <c r="H344" s="234"/>
      <c r="I344" s="234"/>
      <c r="J344" s="234"/>
      <c r="K344" s="234"/>
      <c r="L344" s="237"/>
      <c r="M344" s="237"/>
      <c r="N344" s="234"/>
      <c r="O344" s="239"/>
      <c r="P344" s="239"/>
    </row>
    <row r="345" spans="2:16" s="272" customFormat="1">
      <c r="B345" s="238"/>
      <c r="C345" s="238"/>
      <c r="D345" s="237"/>
      <c r="E345" s="237"/>
      <c r="F345" s="237"/>
      <c r="G345" s="234"/>
      <c r="H345" s="234"/>
      <c r="I345" s="234"/>
      <c r="J345" s="234"/>
      <c r="K345" s="234"/>
      <c r="L345" s="237"/>
      <c r="M345" s="237"/>
      <c r="N345" s="234"/>
      <c r="O345" s="239"/>
      <c r="P345" s="239"/>
    </row>
    <row r="346" spans="2:16" s="272" customFormat="1">
      <c r="B346" s="238"/>
      <c r="C346" s="238"/>
      <c r="D346" s="237"/>
      <c r="E346" s="237"/>
      <c r="F346" s="237"/>
      <c r="G346" s="234"/>
      <c r="H346" s="234"/>
      <c r="I346" s="234"/>
      <c r="J346" s="234"/>
      <c r="K346" s="234"/>
      <c r="L346" s="237"/>
      <c r="M346" s="237"/>
      <c r="N346" s="234"/>
      <c r="O346" s="239"/>
      <c r="P346" s="239"/>
    </row>
    <row r="347" spans="2:16" s="272" customFormat="1">
      <c r="B347" s="238"/>
      <c r="C347" s="238"/>
      <c r="D347" s="237"/>
      <c r="E347" s="237"/>
      <c r="F347" s="237"/>
      <c r="G347" s="234"/>
      <c r="H347" s="234"/>
      <c r="I347" s="234"/>
      <c r="J347" s="234"/>
      <c r="K347" s="234"/>
      <c r="L347" s="237"/>
      <c r="M347" s="237"/>
      <c r="N347" s="234"/>
      <c r="O347" s="239"/>
      <c r="P347" s="239"/>
    </row>
    <row r="348" spans="2:16" s="272" customFormat="1">
      <c r="B348" s="238"/>
      <c r="C348" s="238"/>
      <c r="D348" s="237"/>
      <c r="E348" s="237"/>
      <c r="F348" s="237"/>
      <c r="G348" s="234"/>
      <c r="H348" s="234"/>
      <c r="I348" s="234"/>
      <c r="J348" s="234"/>
      <c r="K348" s="234"/>
      <c r="L348" s="237"/>
      <c r="M348" s="237"/>
      <c r="N348" s="234"/>
      <c r="O348" s="239"/>
      <c r="P348" s="239"/>
    </row>
    <row r="349" spans="2:16" s="272" customFormat="1">
      <c r="B349" s="238"/>
      <c r="C349" s="238"/>
      <c r="D349" s="237"/>
      <c r="E349" s="237"/>
      <c r="F349" s="237"/>
      <c r="G349" s="234"/>
      <c r="H349" s="234"/>
      <c r="I349" s="234"/>
      <c r="J349" s="234"/>
      <c r="K349" s="234"/>
      <c r="L349" s="237"/>
      <c r="M349" s="237"/>
      <c r="N349" s="234"/>
      <c r="O349" s="239"/>
      <c r="P349" s="239"/>
    </row>
    <row r="350" spans="2:16" s="272" customFormat="1">
      <c r="B350" s="238"/>
      <c r="C350" s="238"/>
      <c r="D350" s="237"/>
      <c r="E350" s="237"/>
      <c r="F350" s="237"/>
      <c r="G350" s="234"/>
      <c r="H350" s="234"/>
      <c r="I350" s="234"/>
      <c r="J350" s="234"/>
      <c r="K350" s="234"/>
      <c r="L350" s="237"/>
      <c r="M350" s="237"/>
      <c r="N350" s="234"/>
      <c r="O350" s="239"/>
      <c r="P350" s="239"/>
    </row>
    <row r="351" spans="2:16" s="272" customFormat="1">
      <c r="B351" s="238"/>
      <c r="C351" s="238"/>
      <c r="D351" s="237"/>
      <c r="E351" s="237"/>
      <c r="F351" s="237"/>
      <c r="G351" s="234"/>
      <c r="H351" s="234"/>
      <c r="I351" s="234"/>
      <c r="J351" s="234"/>
      <c r="K351" s="234"/>
      <c r="L351" s="237"/>
      <c r="M351" s="237"/>
      <c r="N351" s="234"/>
      <c r="O351" s="239"/>
      <c r="P351" s="239"/>
    </row>
    <row r="352" spans="2:16" s="272" customFormat="1">
      <c r="B352" s="238"/>
      <c r="C352" s="238"/>
      <c r="D352" s="237"/>
      <c r="E352" s="237"/>
      <c r="F352" s="237"/>
      <c r="G352" s="234"/>
      <c r="H352" s="234"/>
      <c r="I352" s="234"/>
      <c r="J352" s="234"/>
      <c r="K352" s="234"/>
      <c r="L352" s="237"/>
      <c r="M352" s="237"/>
      <c r="N352" s="234"/>
      <c r="O352" s="239"/>
      <c r="P352" s="239"/>
    </row>
    <row r="353" spans="2:16" s="272" customFormat="1">
      <c r="B353" s="238"/>
      <c r="C353" s="238"/>
      <c r="D353" s="237"/>
      <c r="E353" s="237"/>
      <c r="F353" s="237"/>
      <c r="G353" s="234"/>
      <c r="H353" s="234"/>
      <c r="I353" s="234"/>
      <c r="J353" s="234"/>
      <c r="K353" s="234"/>
      <c r="L353" s="237"/>
      <c r="M353" s="237"/>
      <c r="N353" s="234"/>
      <c r="O353" s="239"/>
      <c r="P353" s="239"/>
    </row>
    <row r="354" spans="2:16" s="272" customFormat="1">
      <c r="B354" s="238"/>
      <c r="C354" s="238"/>
      <c r="D354" s="237"/>
      <c r="E354" s="237"/>
      <c r="F354" s="237"/>
      <c r="G354" s="234"/>
      <c r="H354" s="234"/>
      <c r="I354" s="234"/>
      <c r="J354" s="234"/>
      <c r="K354" s="234"/>
      <c r="L354" s="237"/>
      <c r="M354" s="237"/>
      <c r="N354" s="234"/>
      <c r="O354" s="239"/>
      <c r="P354" s="239"/>
    </row>
    <row r="355" spans="2:16" s="272" customFormat="1">
      <c r="B355" s="238"/>
      <c r="C355" s="238"/>
      <c r="D355" s="237"/>
      <c r="E355" s="237"/>
      <c r="F355" s="237"/>
      <c r="G355" s="234"/>
      <c r="H355" s="234"/>
      <c r="I355" s="234"/>
      <c r="J355" s="234"/>
      <c r="K355" s="234"/>
      <c r="L355" s="237"/>
      <c r="M355" s="237"/>
      <c r="N355" s="234"/>
      <c r="O355" s="239"/>
      <c r="P355" s="239"/>
    </row>
    <row r="356" spans="2:16" s="272" customFormat="1">
      <c r="B356" s="238"/>
      <c r="C356" s="238"/>
      <c r="D356" s="237"/>
      <c r="E356" s="237"/>
      <c r="F356" s="237"/>
      <c r="G356" s="234"/>
      <c r="H356" s="234"/>
      <c r="I356" s="234"/>
      <c r="J356" s="234"/>
      <c r="K356" s="234"/>
      <c r="L356" s="237"/>
      <c r="M356" s="237"/>
      <c r="N356" s="234"/>
      <c r="O356" s="239"/>
      <c r="P356" s="239"/>
    </row>
    <row r="357" spans="2:16" s="272" customFormat="1">
      <c r="B357" s="238"/>
      <c r="C357" s="238"/>
      <c r="D357" s="237"/>
      <c r="E357" s="237"/>
      <c r="F357" s="237"/>
      <c r="G357" s="234"/>
      <c r="H357" s="234"/>
      <c r="I357" s="234"/>
      <c r="J357" s="234"/>
      <c r="K357" s="234"/>
      <c r="L357" s="237"/>
      <c r="M357" s="237"/>
      <c r="N357" s="234"/>
      <c r="O357" s="239"/>
      <c r="P357" s="239"/>
    </row>
    <row r="358" spans="2:16" s="272" customFormat="1">
      <c r="B358" s="238"/>
      <c r="C358" s="238"/>
      <c r="D358" s="237"/>
      <c r="E358" s="237"/>
      <c r="F358" s="237"/>
      <c r="G358" s="234"/>
      <c r="H358" s="234"/>
      <c r="I358" s="234"/>
      <c r="J358" s="234"/>
      <c r="K358" s="234"/>
      <c r="L358" s="237"/>
      <c r="M358" s="237"/>
      <c r="N358" s="234"/>
      <c r="O358" s="239"/>
      <c r="P358" s="239"/>
    </row>
    <row r="359" spans="2:16" s="272" customFormat="1">
      <c r="B359" s="238"/>
      <c r="C359" s="238"/>
      <c r="D359" s="237"/>
      <c r="E359" s="237"/>
      <c r="F359" s="237"/>
      <c r="G359" s="234"/>
      <c r="H359" s="234"/>
      <c r="I359" s="234"/>
      <c r="J359" s="234"/>
      <c r="K359" s="234"/>
      <c r="L359" s="237"/>
      <c r="M359" s="237"/>
      <c r="N359" s="234"/>
      <c r="O359" s="239"/>
      <c r="P359" s="239"/>
    </row>
    <row r="360" spans="2:16" s="272" customFormat="1">
      <c r="B360" s="238"/>
      <c r="C360" s="238"/>
      <c r="D360" s="237"/>
      <c r="E360" s="237"/>
      <c r="F360" s="237"/>
      <c r="G360" s="234"/>
      <c r="H360" s="234"/>
      <c r="I360" s="234"/>
      <c r="J360" s="234"/>
      <c r="K360" s="234"/>
      <c r="L360" s="237"/>
      <c r="M360" s="237"/>
      <c r="N360" s="234"/>
      <c r="O360" s="239"/>
      <c r="P360" s="239"/>
    </row>
    <row r="361" spans="2:16" s="272" customFormat="1">
      <c r="B361" s="238"/>
      <c r="C361" s="238"/>
      <c r="D361" s="237"/>
      <c r="E361" s="237"/>
      <c r="F361" s="237"/>
      <c r="G361" s="234"/>
      <c r="H361" s="234"/>
      <c r="I361" s="234"/>
      <c r="J361" s="234"/>
      <c r="K361" s="234"/>
      <c r="L361" s="237"/>
      <c r="M361" s="237"/>
      <c r="N361" s="234"/>
      <c r="O361" s="239"/>
      <c r="P361" s="239"/>
    </row>
    <row r="362" spans="2:16" s="272" customFormat="1">
      <c r="B362" s="238"/>
      <c r="C362" s="238"/>
      <c r="D362" s="237"/>
      <c r="E362" s="237"/>
      <c r="F362" s="237"/>
      <c r="G362" s="234"/>
      <c r="H362" s="234"/>
      <c r="I362" s="234"/>
      <c r="J362" s="234"/>
      <c r="K362" s="234"/>
      <c r="L362" s="237"/>
      <c r="M362" s="237"/>
      <c r="N362" s="234"/>
      <c r="O362" s="239"/>
      <c r="P362" s="239"/>
    </row>
    <row r="363" spans="2:16" s="272" customFormat="1">
      <c r="B363" s="238"/>
      <c r="C363" s="238"/>
      <c r="D363" s="237"/>
      <c r="E363" s="237"/>
      <c r="F363" s="237"/>
      <c r="G363" s="234"/>
      <c r="H363" s="234"/>
      <c r="I363" s="234"/>
      <c r="J363" s="234"/>
      <c r="K363" s="234"/>
      <c r="L363" s="237"/>
      <c r="M363" s="237"/>
      <c r="N363" s="234"/>
      <c r="O363" s="239"/>
      <c r="P363" s="239"/>
    </row>
    <row r="364" spans="2:16" s="272" customFormat="1">
      <c r="B364" s="238"/>
      <c r="C364" s="238"/>
      <c r="D364" s="237"/>
      <c r="E364" s="237"/>
      <c r="F364" s="237"/>
      <c r="G364" s="234"/>
      <c r="H364" s="234"/>
      <c r="I364" s="234"/>
      <c r="J364" s="234"/>
      <c r="K364" s="234"/>
      <c r="L364" s="237"/>
      <c r="M364" s="237"/>
      <c r="N364" s="234"/>
      <c r="O364" s="239"/>
      <c r="P364" s="239"/>
    </row>
    <row r="365" spans="2:16" s="272" customFormat="1">
      <c r="B365" s="238"/>
      <c r="C365" s="238"/>
      <c r="D365" s="237"/>
      <c r="E365" s="237"/>
      <c r="F365" s="237"/>
      <c r="G365" s="234"/>
      <c r="H365" s="234"/>
      <c r="I365" s="234"/>
      <c r="J365" s="234"/>
      <c r="K365" s="234"/>
      <c r="L365" s="237"/>
      <c r="M365" s="237"/>
      <c r="N365" s="234"/>
      <c r="O365" s="239"/>
      <c r="P365" s="239"/>
    </row>
    <row r="366" spans="2:16" s="272" customFormat="1">
      <c r="B366" s="238"/>
      <c r="C366" s="238"/>
      <c r="D366" s="237"/>
      <c r="E366" s="237"/>
      <c r="F366" s="237"/>
      <c r="G366" s="234"/>
      <c r="H366" s="234"/>
      <c r="I366" s="234"/>
      <c r="J366" s="234"/>
      <c r="K366" s="234"/>
      <c r="L366" s="237"/>
      <c r="M366" s="237"/>
      <c r="N366" s="234"/>
      <c r="O366" s="239"/>
      <c r="P366" s="239"/>
    </row>
    <row r="367" spans="2:16" s="272" customFormat="1">
      <c r="B367" s="238"/>
      <c r="C367" s="238"/>
      <c r="D367" s="237"/>
      <c r="E367" s="237"/>
      <c r="F367" s="237"/>
      <c r="G367" s="234"/>
      <c r="H367" s="234"/>
      <c r="I367" s="234"/>
      <c r="J367" s="234"/>
      <c r="K367" s="234"/>
      <c r="L367" s="237"/>
      <c r="M367" s="237"/>
      <c r="N367" s="234"/>
      <c r="O367" s="239"/>
      <c r="P367" s="239"/>
    </row>
    <row r="368" spans="2:16" s="272" customFormat="1">
      <c r="B368" s="238"/>
      <c r="C368" s="238"/>
      <c r="D368" s="237"/>
      <c r="E368" s="237"/>
      <c r="F368" s="237"/>
      <c r="G368" s="234"/>
      <c r="H368" s="234"/>
      <c r="I368" s="234"/>
      <c r="J368" s="234"/>
      <c r="K368" s="234"/>
      <c r="L368" s="237"/>
      <c r="M368" s="237"/>
      <c r="N368" s="234"/>
      <c r="O368" s="239"/>
      <c r="P368" s="239"/>
    </row>
    <row r="369" spans="2:16" s="272" customFormat="1">
      <c r="B369" s="238"/>
      <c r="C369" s="238"/>
      <c r="D369" s="237"/>
      <c r="E369" s="237"/>
      <c r="F369" s="237"/>
      <c r="G369" s="234"/>
      <c r="H369" s="234"/>
      <c r="I369" s="234"/>
      <c r="J369" s="234"/>
      <c r="K369" s="234"/>
      <c r="L369" s="237"/>
      <c r="M369" s="237"/>
      <c r="N369" s="234"/>
      <c r="O369" s="239"/>
      <c r="P369" s="239"/>
    </row>
    <row r="370" spans="2:16" s="272" customFormat="1">
      <c r="B370" s="238"/>
      <c r="C370" s="238"/>
      <c r="D370" s="237"/>
      <c r="E370" s="237"/>
      <c r="F370" s="237"/>
      <c r="G370" s="234"/>
      <c r="H370" s="234"/>
      <c r="I370" s="234"/>
      <c r="J370" s="234"/>
      <c r="K370" s="234"/>
      <c r="L370" s="237"/>
      <c r="M370" s="237"/>
      <c r="N370" s="234"/>
      <c r="O370" s="239"/>
      <c r="P370" s="239"/>
    </row>
    <row r="371" spans="2:16" s="272" customFormat="1">
      <c r="B371" s="238"/>
      <c r="C371" s="238"/>
      <c r="D371" s="237"/>
      <c r="E371" s="237"/>
      <c r="F371" s="237"/>
      <c r="G371" s="234"/>
      <c r="H371" s="234"/>
      <c r="I371" s="234"/>
      <c r="J371" s="234"/>
      <c r="K371" s="234"/>
      <c r="L371" s="237"/>
      <c r="M371" s="237"/>
      <c r="N371" s="234"/>
      <c r="O371" s="239"/>
      <c r="P371" s="239"/>
    </row>
    <row r="372" spans="2:16" s="272" customFormat="1">
      <c r="B372" s="238"/>
      <c r="C372" s="238"/>
      <c r="D372" s="237"/>
      <c r="E372" s="237"/>
      <c r="F372" s="237"/>
      <c r="G372" s="234"/>
      <c r="H372" s="234"/>
      <c r="I372" s="234"/>
      <c r="J372" s="234"/>
      <c r="K372" s="234"/>
      <c r="L372" s="237"/>
      <c r="M372" s="237"/>
      <c r="N372" s="234"/>
      <c r="O372" s="239"/>
      <c r="P372" s="239"/>
    </row>
    <row r="373" spans="2:16" s="272" customFormat="1">
      <c r="B373" s="238"/>
      <c r="C373" s="238"/>
      <c r="D373" s="237"/>
      <c r="E373" s="237"/>
      <c r="F373" s="237"/>
      <c r="G373" s="234"/>
      <c r="H373" s="234"/>
      <c r="I373" s="234"/>
      <c r="J373" s="234"/>
      <c r="K373" s="234"/>
      <c r="L373" s="237"/>
      <c r="M373" s="237"/>
      <c r="N373" s="234"/>
      <c r="O373" s="239"/>
      <c r="P373" s="239"/>
    </row>
    <row r="374" spans="2:16" s="272" customFormat="1">
      <c r="B374" s="238"/>
      <c r="C374" s="238"/>
      <c r="D374" s="237"/>
      <c r="E374" s="237"/>
      <c r="F374" s="237"/>
      <c r="G374" s="234"/>
      <c r="H374" s="234"/>
      <c r="I374" s="234"/>
      <c r="J374" s="234"/>
      <c r="K374" s="234"/>
      <c r="L374" s="237"/>
      <c r="M374" s="237"/>
      <c r="N374" s="234"/>
      <c r="O374" s="239"/>
      <c r="P374" s="239"/>
    </row>
    <row r="375" spans="2:16" s="272" customFormat="1">
      <c r="B375" s="238"/>
      <c r="C375" s="238"/>
      <c r="D375" s="237"/>
      <c r="E375" s="237"/>
      <c r="F375" s="237"/>
      <c r="G375" s="234"/>
      <c r="H375" s="234"/>
      <c r="I375" s="234"/>
      <c r="J375" s="234"/>
      <c r="K375" s="234"/>
      <c r="L375" s="237"/>
      <c r="M375" s="237"/>
      <c r="N375" s="234"/>
      <c r="O375" s="239"/>
      <c r="P375" s="239"/>
    </row>
    <row r="376" spans="2:16" s="272" customFormat="1">
      <c r="B376" s="238"/>
      <c r="C376" s="238"/>
      <c r="D376" s="237"/>
      <c r="E376" s="237"/>
      <c r="F376" s="237"/>
      <c r="G376" s="234"/>
      <c r="H376" s="234"/>
      <c r="I376" s="234"/>
      <c r="J376" s="234"/>
      <c r="K376" s="234"/>
      <c r="L376" s="237"/>
      <c r="M376" s="237"/>
      <c r="N376" s="234"/>
      <c r="O376" s="239"/>
      <c r="P376" s="239"/>
    </row>
    <row r="377" spans="2:16" s="272" customFormat="1">
      <c r="B377" s="238"/>
      <c r="C377" s="238"/>
      <c r="D377" s="237"/>
      <c r="E377" s="237"/>
      <c r="F377" s="237"/>
      <c r="G377" s="234"/>
      <c r="H377" s="234"/>
      <c r="I377" s="234"/>
      <c r="J377" s="234"/>
      <c r="K377" s="234"/>
      <c r="L377" s="237"/>
      <c r="M377" s="237"/>
      <c r="N377" s="234"/>
      <c r="O377" s="239"/>
      <c r="P377" s="239"/>
    </row>
    <row r="378" spans="2:16" s="272" customFormat="1">
      <c r="B378" s="238"/>
      <c r="C378" s="238"/>
      <c r="D378" s="237"/>
      <c r="E378" s="237"/>
      <c r="F378" s="237"/>
      <c r="G378" s="234"/>
      <c r="H378" s="234"/>
      <c r="I378" s="234"/>
      <c r="J378" s="234"/>
      <c r="K378" s="234"/>
      <c r="L378" s="237"/>
      <c r="M378" s="237"/>
      <c r="N378" s="234"/>
      <c r="O378" s="239"/>
      <c r="P378" s="239"/>
    </row>
    <row r="379" spans="2:16" s="272" customFormat="1">
      <c r="B379" s="238"/>
      <c r="C379" s="238"/>
      <c r="D379" s="237"/>
      <c r="E379" s="237"/>
      <c r="F379" s="237"/>
      <c r="G379" s="234"/>
      <c r="H379" s="234"/>
      <c r="I379" s="234"/>
      <c r="J379" s="234"/>
      <c r="K379" s="234"/>
      <c r="L379" s="237"/>
      <c r="M379" s="237"/>
      <c r="N379" s="234"/>
      <c r="O379" s="239"/>
      <c r="P379" s="239"/>
    </row>
    <row r="380" spans="2:16" s="272" customFormat="1">
      <c r="B380" s="238"/>
      <c r="C380" s="238"/>
      <c r="D380" s="237"/>
      <c r="E380" s="237"/>
      <c r="F380" s="237"/>
      <c r="G380" s="234"/>
      <c r="H380" s="234"/>
      <c r="I380" s="234"/>
      <c r="J380" s="234"/>
      <c r="K380" s="234"/>
      <c r="L380" s="237"/>
      <c r="M380" s="237"/>
      <c r="N380" s="234"/>
      <c r="O380" s="239"/>
      <c r="P380" s="239"/>
    </row>
    <row r="381" spans="2:16" s="272" customFormat="1">
      <c r="B381" s="238"/>
      <c r="C381" s="238"/>
      <c r="D381" s="237"/>
      <c r="E381" s="237"/>
      <c r="F381" s="237"/>
      <c r="G381" s="234"/>
      <c r="H381" s="234"/>
      <c r="I381" s="234"/>
      <c r="J381" s="234"/>
      <c r="K381" s="234"/>
      <c r="L381" s="237"/>
      <c r="M381" s="237"/>
      <c r="N381" s="234"/>
      <c r="O381" s="239"/>
      <c r="P381" s="239"/>
    </row>
  </sheetData>
  <mergeCells count="18">
    <mergeCell ref="S7:S8"/>
    <mergeCell ref="N2:O2"/>
    <mergeCell ref="G3:H3"/>
    <mergeCell ref="I3:M3"/>
    <mergeCell ref="N3:O3"/>
    <mergeCell ref="G4:H4"/>
    <mergeCell ref="I4:M4"/>
    <mergeCell ref="N4:O4"/>
    <mergeCell ref="G5:H5"/>
    <mergeCell ref="I5:M5"/>
    <mergeCell ref="N5:O5"/>
    <mergeCell ref="G6:H6"/>
    <mergeCell ref="I6:M6"/>
    <mergeCell ref="N6:O6"/>
    <mergeCell ref="B2:E2"/>
    <mergeCell ref="G2:H2"/>
    <mergeCell ref="I2:M2"/>
    <mergeCell ref="B9:C9"/>
  </mergeCells>
  <phoneticPr fontId="8" type="noConversion"/>
  <pageMargins left="0.7" right="0.7" top="0.75" bottom="0.75" header="0.3" footer="0.3"/>
  <pageSetup paperSize="9" orientation="portrait" horizontalDpi="0" verticalDpi="0"/>
  <ignoredErrors>
    <ignoredError sqref="G3 N5"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D273-A188-BC48-B1A7-9D14F67B5BE8}">
  <dimension ref="A1:AP381"/>
  <sheetViews>
    <sheetView zoomScale="140" zoomScaleNormal="140" workbookViewId="0">
      <pane ySplit="7" topLeftCell="A32" activePane="bottomLeft" state="frozen"/>
      <selection activeCell="R45" sqref="R45"/>
      <selection pane="bottomLeft" activeCell="K34" sqref="K34"/>
    </sheetView>
  </sheetViews>
  <sheetFormatPr baseColWidth="10" defaultColWidth="10.83203125" defaultRowHeight="15"/>
  <cols>
    <col min="1" max="1" width="1.5" style="272" customWidth="1"/>
    <col min="2" max="3" width="5.6640625" style="449" customWidth="1"/>
    <col min="4" max="5" width="10.83203125" style="450"/>
    <col min="6" max="6" width="4.5" style="450" customWidth="1"/>
    <col min="7" max="7" width="4.33203125" style="267" customWidth="1"/>
    <col min="8" max="8" width="10.83203125" style="267" customWidth="1"/>
    <col min="9" max="9" width="10.83203125" style="267"/>
    <col min="10" max="10" width="4.5" style="267" customWidth="1"/>
    <col min="11" max="11" width="4" style="267" customWidth="1"/>
    <col min="12" max="13" width="10.83203125" style="450"/>
    <col min="14" max="14" width="4" style="267" bestFit="1" customWidth="1"/>
    <col min="15" max="16" width="16.83203125" style="451" customWidth="1"/>
    <col min="17" max="17" width="48" style="273" customWidth="1"/>
    <col min="18" max="18" width="3.1640625" style="272" customWidth="1"/>
    <col min="19" max="19" width="8.83203125" style="272" customWidth="1"/>
    <col min="20" max="20" width="10.83203125" style="272"/>
    <col min="21" max="23" width="12.5" style="272" customWidth="1"/>
    <col min="24"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row>
    <row r="2" spans="1:42" s="232" customFormat="1" ht="20" customHeight="1">
      <c r="B2" s="938" t="s">
        <v>283</v>
      </c>
      <c r="C2" s="939"/>
      <c r="D2" s="939"/>
      <c r="E2" s="939"/>
      <c r="F2" s="407"/>
      <c r="G2" s="934">
        <f>SUM(O10:O40)</f>
        <v>91689.910000000018</v>
      </c>
      <c r="H2" s="935"/>
      <c r="I2" s="931" t="s">
        <v>1543</v>
      </c>
      <c r="J2" s="932"/>
      <c r="K2" s="932"/>
      <c r="L2" s="932"/>
      <c r="M2" s="933"/>
      <c r="N2" s="934">
        <f>SUM(D10:E40)/(G5)</f>
        <v>345.69032258064516</v>
      </c>
      <c r="O2" s="935"/>
      <c r="P2" s="408" t="s">
        <v>284</v>
      </c>
      <c r="Q2" s="409">
        <f>FEB!Q2+SUM(P10:P40)-SUM(M10:M40)-SUM(I10:I40)-SUM(E10:E40)-Q3</f>
        <v>46391.350000000006</v>
      </c>
      <c r="S2" s="274"/>
      <c r="T2" s="409"/>
    </row>
    <row r="3" spans="1:42" s="232" customFormat="1" ht="20" customHeight="1">
      <c r="B3" s="412" t="s">
        <v>285</v>
      </c>
      <c r="C3" s="413"/>
      <c r="D3" s="413"/>
      <c r="E3" s="413"/>
      <c r="F3" s="414"/>
      <c r="G3" s="934">
        <f>SUM(P10:P40)</f>
        <v>68421.7</v>
      </c>
      <c r="H3" s="935"/>
      <c r="I3" s="931" t="s">
        <v>1544</v>
      </c>
      <c r="J3" s="932"/>
      <c r="K3" s="932"/>
      <c r="L3" s="932"/>
      <c r="M3" s="933"/>
      <c r="N3" s="934">
        <f>SUM(H10:I40)/G5</f>
        <v>640.58387096774186</v>
      </c>
      <c r="O3" s="935"/>
      <c r="P3" s="408" t="s">
        <v>1545</v>
      </c>
      <c r="Q3" s="409">
        <f>SUMIFS(BANCA!$E:$E,BANCA!$B:$B,"&gt;=01/03/2025",BANCA!$B:$B,"&lt;=31/03/2025",BANCA!$D:$D,"Versamento contanti")</f>
        <v>0</v>
      </c>
      <c r="S3" s="274"/>
      <c r="T3" s="409"/>
    </row>
    <row r="4" spans="1:42" s="232" customFormat="1" ht="20" customHeight="1">
      <c r="B4" s="412" t="s">
        <v>287</v>
      </c>
      <c r="C4" s="413"/>
      <c r="D4" s="413"/>
      <c r="E4" s="413"/>
      <c r="F4" s="414"/>
      <c r="G4" s="929">
        <f>G3/G2</f>
        <v>0.74622932883236537</v>
      </c>
      <c r="H4" s="930"/>
      <c r="I4" s="931" t="s">
        <v>1546</v>
      </c>
      <c r="J4" s="932"/>
      <c r="K4" s="932"/>
      <c r="L4" s="932"/>
      <c r="M4" s="933"/>
      <c r="N4" s="934">
        <f>SUM(L10:M40)/G5</f>
        <v>1971.4648387096777</v>
      </c>
      <c r="O4" s="935"/>
      <c r="P4" s="243"/>
      <c r="S4" s="274"/>
      <c r="T4" s="409"/>
    </row>
    <row r="5" spans="1:42" s="232" customFormat="1" ht="20" customHeight="1">
      <c r="B5" s="412" t="s">
        <v>288</v>
      </c>
      <c r="C5" s="413"/>
      <c r="D5" s="413"/>
      <c r="E5" s="413"/>
      <c r="F5" s="414"/>
      <c r="G5" s="936">
        <f>COUNTA(O10:O40)</f>
        <v>31</v>
      </c>
      <c r="H5" s="937"/>
      <c r="I5" s="931" t="s">
        <v>290</v>
      </c>
      <c r="J5" s="932"/>
      <c r="K5" s="932"/>
      <c r="L5" s="932"/>
      <c r="M5" s="933"/>
      <c r="N5" s="934">
        <f>SUM(E10:E40,M10:M40,I10:I40)</f>
        <v>46089.760000000009</v>
      </c>
      <c r="O5" s="930"/>
      <c r="P5" s="243"/>
      <c r="S5" s="274"/>
      <c r="T5" s="409"/>
    </row>
    <row r="6" spans="1:42" s="232" customFormat="1" ht="20" customHeight="1">
      <c r="B6" s="415" t="s">
        <v>289</v>
      </c>
      <c r="C6" s="416"/>
      <c r="D6" s="416"/>
      <c r="E6" s="416"/>
      <c r="F6" s="417"/>
      <c r="G6" s="934">
        <f>G2/G5</f>
        <v>2957.739032258065</v>
      </c>
      <c r="H6" s="935"/>
      <c r="I6" s="931" t="s">
        <v>1547</v>
      </c>
      <c r="J6" s="932"/>
      <c r="K6" s="932"/>
      <c r="L6" s="932"/>
      <c r="M6" s="933"/>
      <c r="N6" s="934">
        <v>1200</v>
      </c>
      <c r="O6" s="935"/>
      <c r="P6" s="243"/>
      <c r="S6" s="274"/>
      <c r="T6" s="409"/>
    </row>
    <row r="7" spans="1:42" s="272" customFormat="1" ht="7" customHeight="1">
      <c r="B7" s="418"/>
      <c r="C7" s="418"/>
      <c r="D7" s="418"/>
      <c r="E7" s="408"/>
      <c r="F7" s="408"/>
      <c r="G7" s="408"/>
      <c r="H7" s="408"/>
      <c r="I7" s="408"/>
      <c r="J7" s="408"/>
      <c r="K7" s="408"/>
      <c r="L7" s="418"/>
      <c r="M7" s="418"/>
      <c r="N7" s="418"/>
      <c r="O7" s="239"/>
      <c r="P7" s="239"/>
      <c r="S7" s="1001"/>
      <c r="T7" s="409"/>
    </row>
    <row r="8" spans="1:42" s="272" customFormat="1" ht="7" customHeight="1" thickBot="1">
      <c r="B8" s="238"/>
      <c r="C8" s="238"/>
      <c r="D8" s="237"/>
      <c r="E8" s="237"/>
      <c r="F8" s="237"/>
      <c r="G8" s="234"/>
      <c r="H8" s="234"/>
      <c r="I8" s="234"/>
      <c r="J8" s="234"/>
      <c r="K8" s="234"/>
      <c r="L8" s="237"/>
      <c r="M8" s="237"/>
      <c r="N8" s="234"/>
      <c r="O8" s="239"/>
      <c r="P8" s="239"/>
      <c r="S8" s="1001"/>
      <c r="T8" s="409"/>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52">
        <v>1</v>
      </c>
      <c r="C10" s="424" t="s">
        <v>176</v>
      </c>
      <c r="D10" s="425">
        <f>500.5-E10</f>
        <v>354.2</v>
      </c>
      <c r="E10" s="425">
        <v>146.30000000000001</v>
      </c>
      <c r="F10" s="426">
        <v>87</v>
      </c>
      <c r="G10" s="427" t="s">
        <v>295</v>
      </c>
      <c r="H10" s="425">
        <f>2242.4-D10-E10-I10</f>
        <v>897.10000000000014</v>
      </c>
      <c r="I10" s="425">
        <v>844.8</v>
      </c>
      <c r="J10" s="426">
        <v>26</v>
      </c>
      <c r="K10" s="427" t="s">
        <v>295</v>
      </c>
      <c r="L10" s="425">
        <f>5669.7-M10-I10-H10-E10-D10</f>
        <v>1008.2999999999995</v>
      </c>
      <c r="M10" s="425">
        <f>3410.1-I10-E10</f>
        <v>2419</v>
      </c>
      <c r="N10" s="427" t="s">
        <v>295</v>
      </c>
      <c r="O10" s="428">
        <f t="shared" ref="O10:O40" si="0">SUM(D10:E10,H10:I10,L10:M10)</f>
        <v>5669.7</v>
      </c>
      <c r="P10" s="429">
        <v>4449.3999999999996</v>
      </c>
      <c r="Q10" s="430" t="s">
        <v>1631</v>
      </c>
      <c r="S10" s="368" t="s">
        <v>294</v>
      </c>
      <c r="T10" s="313">
        <f>(SUMIF($C$10:$C$40,S10,$D$10:$D$40)+SUMIF($C$10:$C$40,S10,$E$10:$E$40))/COUNTIF($C$10:$C$40,S10)</f>
        <v>251.40000000000003</v>
      </c>
      <c r="U10" s="313">
        <f>(SUMIF($C$10:$C$40,S10,$H$10:$H$40)+SUMIF($C$10:$C$40,S10,$I$10:$I$40)+SUMIF($C$10:$C$40,S10,$L$10:$L$40)+SUMIF($C$10:$C$40,S10,$M$10:$M$40))/COUNTIF($C$10:$C$40,S10)</f>
        <v>1411.5250000000001</v>
      </c>
      <c r="V10" s="313">
        <f>(SUMIF($C$10:$C$40,S10,$H$10:$H$40)+SUMIF($C$10:$C$40,S10,$I$10:$I$40))/COUNTIF($C$10:$C$40,S10)</f>
        <v>567.59999999999991</v>
      </c>
      <c r="W10" s="313">
        <f>(SUMIF($C$10:$C$40,S10,$L$10:$L$40)+SUMIF($C$10:$C$40,S10,$M$10:$M$40))/COUNTIF($C$10:$C$40,S10)</f>
        <v>843.92500000000018</v>
      </c>
    </row>
    <row r="11" spans="1:42" s="368" customFormat="1" ht="16" customHeight="1">
      <c r="B11" s="427">
        <v>2</v>
      </c>
      <c r="C11" s="424" t="s">
        <v>177</v>
      </c>
      <c r="D11" s="425">
        <f>1058.6-E11</f>
        <v>764.99999999999989</v>
      </c>
      <c r="E11" s="425">
        <v>293.60000000000002</v>
      </c>
      <c r="F11" s="426">
        <v>69</v>
      </c>
      <c r="G11" s="427" t="s">
        <v>295</v>
      </c>
      <c r="H11" s="425">
        <f>1835-D11-E11-I11</f>
        <v>192.19999999999993</v>
      </c>
      <c r="I11" s="425">
        <v>584.20000000000005</v>
      </c>
      <c r="J11" s="426">
        <v>18</v>
      </c>
      <c r="K11" s="427" t="s">
        <v>295</v>
      </c>
      <c r="L11" s="425">
        <f>10318.6-M11-I11-H11-E11-D11</f>
        <v>5133.6000000000004</v>
      </c>
      <c r="M11" s="425">
        <f>4227.8-I11-E11</f>
        <v>3350.0000000000005</v>
      </c>
      <c r="N11" s="427" t="s">
        <v>295</v>
      </c>
      <c r="O11" s="428">
        <f>SUM(D11:E11,H11:I11,L11:M11)</f>
        <v>10318.6</v>
      </c>
      <c r="P11" s="429">
        <v>8005.9</v>
      </c>
      <c r="Q11" s="458" t="s">
        <v>1632</v>
      </c>
      <c r="S11" s="368" t="s">
        <v>1557</v>
      </c>
      <c r="T11" s="313">
        <f>(SUMIF($C$10:$C$40,S11,$D$10:$D$40)+SUMIF($C$10:$C$40,S11,$E$10:$E$40))/COUNTIF($C$10:$C$40,S11)</f>
        <v>191.51249999999999</v>
      </c>
      <c r="U11" s="313">
        <f t="shared" ref="U11:U15" si="1">(SUMIF($C$10:$C$40,S11,$H$10:$H$40)+SUMIF($C$10:$C$40,S11,$I$10:$I$40)+SUMIF($C$10:$C$40,S11,$L$10:$L$40)+SUMIF($C$10:$C$40,S11,$M$10:$M$40))/COUNTIF($C$10:$C$40,S11)</f>
        <v>888.17499999999995</v>
      </c>
      <c r="V11" s="313">
        <f t="shared" ref="V11:V14" si="2">(SUMIF($C$10:$C$40,S11,$H$10:$H$40)+SUMIF($C$10:$C$40,S11,$I$10:$I$40))/COUNTIF($C$10:$C$40,S11)</f>
        <v>358.27500000000003</v>
      </c>
      <c r="W11" s="313">
        <f t="shared" ref="W11:W14" si="3">(SUMIF($C$10:$C$40,S11,$L$10:$L$40)+SUMIF($C$10:$C$40,S11,$M$10:$M$40))/COUNTIF($C$10:$C$40,S11)</f>
        <v>529.9</v>
      </c>
    </row>
    <row r="12" spans="1:42" s="368" customFormat="1" ht="16" customHeight="1">
      <c r="B12" s="427">
        <v>3</v>
      </c>
      <c r="C12" s="424" t="s">
        <v>1567</v>
      </c>
      <c r="D12" s="425"/>
      <c r="E12" s="425"/>
      <c r="F12" s="426"/>
      <c r="G12" s="453"/>
      <c r="H12" s="425">
        <f>193.5-D12-E12-I12</f>
        <v>127</v>
      </c>
      <c r="I12" s="425">
        <v>66.5</v>
      </c>
      <c r="J12" s="426">
        <v>32</v>
      </c>
      <c r="K12" s="427" t="s">
        <v>295</v>
      </c>
      <c r="L12" s="425">
        <f>410.4-M12-I12-H12-E12-D12</f>
        <v>83.399999999999977</v>
      </c>
      <c r="M12" s="425">
        <f>200-I12-E12</f>
        <v>133.5</v>
      </c>
      <c r="N12" s="427" t="s">
        <v>295</v>
      </c>
      <c r="O12" s="428">
        <f t="shared" si="0"/>
        <v>410.4</v>
      </c>
      <c r="P12" s="429">
        <v>392.4</v>
      </c>
      <c r="Q12" s="452" t="s">
        <v>1633</v>
      </c>
      <c r="S12" s="368" t="s">
        <v>1558</v>
      </c>
      <c r="T12" s="313">
        <f t="shared" ref="T12:T13" si="4">(SUMIF($C$10:$C$40,S12,$D$10:$D$40)+SUMIF($C$10:$C$40,S12,$E$10:$E$40))/COUNTIF($C$10:$C$40,S12)</f>
        <v>396.4</v>
      </c>
      <c r="U12" s="313">
        <f t="shared" si="1"/>
        <v>932.17500000000007</v>
      </c>
      <c r="V12" s="313">
        <f t="shared" si="2"/>
        <v>360.75</v>
      </c>
      <c r="W12" s="313">
        <f t="shared" si="3"/>
        <v>571.42500000000007</v>
      </c>
    </row>
    <row r="13" spans="1:42" s="368" customFormat="1" ht="16" customHeight="1">
      <c r="B13" s="427">
        <v>4</v>
      </c>
      <c r="C13" s="424" t="s">
        <v>294</v>
      </c>
      <c r="D13" s="425">
        <f>328.6-E13</f>
        <v>248.20000000000002</v>
      </c>
      <c r="E13" s="425">
        <v>80.400000000000006</v>
      </c>
      <c r="F13" s="426">
        <v>58</v>
      </c>
      <c r="G13" s="427" t="s">
        <v>295</v>
      </c>
      <c r="H13" s="425">
        <f>809-D13-E13-I13</f>
        <v>309.59999999999997</v>
      </c>
      <c r="I13" s="425">
        <v>170.8</v>
      </c>
      <c r="J13" s="426">
        <v>21</v>
      </c>
      <c r="K13" s="427" t="s">
        <v>295</v>
      </c>
      <c r="L13" s="425">
        <f>2484.7-M13-I13-H13-E13-D13</f>
        <v>1177.1999999999998</v>
      </c>
      <c r="M13" s="425">
        <f>749.7-I13-E13</f>
        <v>498.50000000000011</v>
      </c>
      <c r="N13" s="427" t="s">
        <v>295</v>
      </c>
      <c r="O13" s="428">
        <f t="shared" si="0"/>
        <v>2484.6999999999998</v>
      </c>
      <c r="P13" s="429">
        <v>1358.8</v>
      </c>
      <c r="Q13" s="452" t="s">
        <v>1634</v>
      </c>
      <c r="S13" s="368" t="s">
        <v>175</v>
      </c>
      <c r="T13" s="313">
        <f t="shared" si="4"/>
        <v>208.76249999999999</v>
      </c>
      <c r="U13" s="313">
        <f t="shared" si="1"/>
        <v>3240.09</v>
      </c>
      <c r="V13" s="313">
        <f t="shared" si="2"/>
        <v>538.54999999999995</v>
      </c>
      <c r="W13" s="313">
        <f t="shared" si="3"/>
        <v>2701.54</v>
      </c>
    </row>
    <row r="14" spans="1:42" s="368" customFormat="1" ht="16" customHeight="1">
      <c r="B14" s="427">
        <v>5</v>
      </c>
      <c r="C14" s="424" t="s">
        <v>1557</v>
      </c>
      <c r="D14" s="425">
        <f>209-E14</f>
        <v>183.5</v>
      </c>
      <c r="E14" s="425">
        <v>25.5</v>
      </c>
      <c r="F14" s="426">
        <v>41</v>
      </c>
      <c r="G14" s="427" t="s">
        <v>295</v>
      </c>
      <c r="H14" s="425">
        <f>632.8-D14-E14-I14</f>
        <v>235.59999999999997</v>
      </c>
      <c r="I14" s="425">
        <v>188.2</v>
      </c>
      <c r="J14" s="426">
        <v>18</v>
      </c>
      <c r="K14" s="427" t="s">
        <v>295</v>
      </c>
      <c r="L14" s="425">
        <f>910.2-M14-I14-H14-E14-D14</f>
        <v>134.40000000000003</v>
      </c>
      <c r="M14" s="425">
        <f>356.7-I14-E14</f>
        <v>143</v>
      </c>
      <c r="N14" s="427" t="s">
        <v>295</v>
      </c>
      <c r="O14" s="428">
        <f t="shared" si="0"/>
        <v>910.2</v>
      </c>
      <c r="P14" s="429">
        <v>676.4</v>
      </c>
      <c r="Q14" s="430"/>
      <c r="S14" s="368" t="s">
        <v>176</v>
      </c>
      <c r="T14" s="313">
        <f>(SUMIF($C$10:$C$40,S14,$D$10:$D$40)+SUMIF($C$10:$C$40,S14,$E$10:$E$40))/COUNTIF($C$10:$C$40,S14)</f>
        <v>476.7</v>
      </c>
      <c r="U14" s="313">
        <f t="shared" si="1"/>
        <v>4273.92</v>
      </c>
      <c r="V14" s="313">
        <f t="shared" si="2"/>
        <v>1197.1399999999999</v>
      </c>
      <c r="W14" s="313">
        <f t="shared" si="3"/>
        <v>3076.78</v>
      </c>
    </row>
    <row r="15" spans="1:42" s="368" customFormat="1" ht="16" customHeight="1">
      <c r="B15" s="427">
        <v>6</v>
      </c>
      <c r="C15" s="424" t="s">
        <v>1558</v>
      </c>
      <c r="D15" s="425">
        <f>568-E15</f>
        <v>420.4</v>
      </c>
      <c r="E15" s="425">
        <v>147.6</v>
      </c>
      <c r="F15" s="426">
        <v>106</v>
      </c>
      <c r="G15" s="427" t="s">
        <v>295</v>
      </c>
      <c r="H15" s="425">
        <f>882-D15-E15-I15</f>
        <v>164.7</v>
      </c>
      <c r="I15" s="425">
        <v>149.30000000000001</v>
      </c>
      <c r="J15" s="426">
        <v>16</v>
      </c>
      <c r="K15" s="427" t="s">
        <v>295</v>
      </c>
      <c r="L15" s="425">
        <f>1299.4-M15-I15-H15-E15-D15</f>
        <v>177.10000000000014</v>
      </c>
      <c r="M15" s="425">
        <f>537.2-I15-E15</f>
        <v>240.30000000000004</v>
      </c>
      <c r="N15" s="427" t="s">
        <v>295</v>
      </c>
      <c r="O15" s="428">
        <f t="shared" si="0"/>
        <v>1299.4000000000001</v>
      </c>
      <c r="P15" s="429">
        <v>973.9</v>
      </c>
      <c r="Q15" s="430"/>
      <c r="S15" s="368" t="s">
        <v>177</v>
      </c>
      <c r="T15" s="313">
        <f>(SUMIF($C$10:$C$40,S15,$D$10:$D$40)+SUMIF($C$10:$C$40,S15,$E$10:$E$40))/COUNTIF($C$10:$C$40,S15)</f>
        <v>828.11999999999989</v>
      </c>
      <c r="U15" s="313">
        <f t="shared" si="1"/>
        <v>6070.57</v>
      </c>
      <c r="V15" s="313">
        <f>(SUMIF($C$10:$C$40,S15,$H$10:$H$40)+SUMIF($C$10:$C$40,S15,$I$10:$I$40))/(COUNTIF($C$10:$C$40,S15)-3)</f>
        <v>2550.9499999999998</v>
      </c>
      <c r="W15" s="313">
        <f>(SUMIF($C$10:$C$40,S15,$L$10:$L$40)+SUMIF($C$10:$C$40,S15,$M$10:$M$40))/COUNTIF($C$10:$C$40,S15)</f>
        <v>5050.1899999999996</v>
      </c>
    </row>
    <row r="16" spans="1:42" s="368" customFormat="1" ht="16" customHeight="1">
      <c r="B16" s="427">
        <v>7</v>
      </c>
      <c r="C16" s="424" t="s">
        <v>175</v>
      </c>
      <c r="D16" s="425">
        <f>271-E16</f>
        <v>149.6</v>
      </c>
      <c r="E16" s="425">
        <v>121.4</v>
      </c>
      <c r="F16" s="426">
        <v>122</v>
      </c>
      <c r="G16" s="427" t="s">
        <v>295</v>
      </c>
      <c r="H16" s="425">
        <f>825-D16-E16-I16</f>
        <v>327.39999999999998</v>
      </c>
      <c r="I16" s="425">
        <v>226.6</v>
      </c>
      <c r="J16" s="426">
        <v>12</v>
      </c>
      <c r="K16" s="427" t="s">
        <v>295</v>
      </c>
      <c r="L16" s="425">
        <f>4480.7-M16-I16-H16-E16-D16</f>
        <v>785.59999999999991</v>
      </c>
      <c r="M16" s="425">
        <f>3218.1-I16-E16</f>
        <v>2870.1</v>
      </c>
      <c r="N16" s="427" t="s">
        <v>295</v>
      </c>
      <c r="O16" s="428">
        <f t="shared" si="0"/>
        <v>4480.7</v>
      </c>
      <c r="P16" s="429">
        <v>3753.2</v>
      </c>
      <c r="Q16" s="430" t="s">
        <v>1635</v>
      </c>
      <c r="T16" s="313"/>
      <c r="U16" s="313"/>
      <c r="V16" s="313"/>
      <c r="W16" s="313"/>
      <c r="X16" s="432"/>
      <c r="Y16" s="432"/>
      <c r="Z16" s="432"/>
      <c r="AA16" s="432"/>
      <c r="AB16" s="432"/>
      <c r="AC16" s="432"/>
    </row>
    <row r="17" spans="2:23" s="368" customFormat="1" ht="16" customHeight="1">
      <c r="B17" s="427">
        <v>8</v>
      </c>
      <c r="C17" s="424" t="s">
        <v>176</v>
      </c>
      <c r="D17" s="425">
        <f>888-E17</f>
        <v>391.4</v>
      </c>
      <c r="E17" s="425">
        <v>496.6</v>
      </c>
      <c r="F17" s="426">
        <v>72</v>
      </c>
      <c r="G17" s="427" t="s">
        <v>295</v>
      </c>
      <c r="H17" s="425">
        <f>2559-D17-E17-I17</f>
        <v>742.3</v>
      </c>
      <c r="I17" s="425">
        <v>928.7</v>
      </c>
      <c r="J17" s="426">
        <v>24</v>
      </c>
      <c r="K17" s="427" t="s">
        <v>295</v>
      </c>
      <c r="L17" s="425">
        <f>5225.3-M17-I17-H17-E17-D17</f>
        <v>1015.2999999999994</v>
      </c>
      <c r="M17" s="425">
        <f>3076.3-I17-E17</f>
        <v>1651.0000000000005</v>
      </c>
      <c r="N17" s="427" t="s">
        <v>295</v>
      </c>
      <c r="O17" s="428">
        <f t="shared" si="0"/>
        <v>5225.2999999999993</v>
      </c>
      <c r="P17" s="429">
        <v>4145.3</v>
      </c>
      <c r="Q17" s="430"/>
      <c r="T17" s="313"/>
      <c r="U17" s="422" t="s">
        <v>1636</v>
      </c>
      <c r="V17" s="422" t="s">
        <v>1637</v>
      </c>
      <c r="W17" s="422" t="s">
        <v>1638</v>
      </c>
    </row>
    <row r="18" spans="2:23" s="368" customFormat="1" ht="16" customHeight="1">
      <c r="B18" s="427">
        <v>9</v>
      </c>
      <c r="C18" s="424" t="s">
        <v>177</v>
      </c>
      <c r="D18" s="425">
        <f>726-E18</f>
        <v>500.9</v>
      </c>
      <c r="E18" s="425">
        <v>225.1</v>
      </c>
      <c r="F18" s="426">
        <v>100</v>
      </c>
      <c r="G18" s="427" t="s">
        <v>295</v>
      </c>
      <c r="H18" s="425">
        <f>1303-D18-E18-I18</f>
        <v>373.9</v>
      </c>
      <c r="I18" s="425">
        <v>203.1</v>
      </c>
      <c r="J18" s="426">
        <v>16</v>
      </c>
      <c r="K18" s="427" t="s">
        <v>1564</v>
      </c>
      <c r="L18" s="425">
        <f>1645.15-M18-I18-H18-E18-D18</f>
        <v>223.4000000000002</v>
      </c>
      <c r="M18" s="425">
        <f>546.95-I18-E18</f>
        <v>118.75000000000003</v>
      </c>
      <c r="N18" s="427" t="s">
        <v>1564</v>
      </c>
      <c r="O18" s="428">
        <f t="shared" si="0"/>
        <v>1645.15</v>
      </c>
      <c r="P18" s="429">
        <v>1306</v>
      </c>
      <c r="Q18" s="452" t="s">
        <v>48</v>
      </c>
      <c r="S18" s="433" t="s">
        <v>1573</v>
      </c>
      <c r="T18" s="434"/>
      <c r="U18" s="435">
        <v>300</v>
      </c>
      <c r="V18" s="435">
        <v>500</v>
      </c>
      <c r="W18" s="435">
        <v>500</v>
      </c>
    </row>
    <row r="19" spans="2:23" s="368" customFormat="1" ht="16" customHeight="1">
      <c r="B19" s="427">
        <v>10</v>
      </c>
      <c r="C19" s="424" t="s">
        <v>1567</v>
      </c>
      <c r="D19" s="425"/>
      <c r="E19" s="425"/>
      <c r="F19" s="426"/>
      <c r="G19" s="453"/>
      <c r="H19" s="425">
        <f>157-D19-E19-I19</f>
        <v>81.900000000000006</v>
      </c>
      <c r="I19" s="425">
        <v>75.099999999999994</v>
      </c>
      <c r="J19" s="426">
        <v>12</v>
      </c>
      <c r="K19" s="427" t="s">
        <v>1564</v>
      </c>
      <c r="L19" s="425">
        <f>587.1-M19-I19-H19-E19-D19</f>
        <v>72.100000000000023</v>
      </c>
      <c r="M19" s="425">
        <f>433.1-I19-E19</f>
        <v>358</v>
      </c>
      <c r="N19" s="427" t="s">
        <v>1564</v>
      </c>
      <c r="O19" s="428">
        <f t="shared" si="0"/>
        <v>587.1</v>
      </c>
      <c r="P19" s="429">
        <v>522.20000000000005</v>
      </c>
      <c r="Q19" s="430"/>
      <c r="S19" s="433" t="s">
        <v>1576</v>
      </c>
      <c r="T19" s="434"/>
      <c r="U19" s="435">
        <v>100</v>
      </c>
      <c r="V19" s="435">
        <v>100</v>
      </c>
      <c r="W19" s="435">
        <v>100</v>
      </c>
    </row>
    <row r="20" spans="2:23" s="368" customFormat="1" ht="16" customHeight="1">
      <c r="B20" s="427">
        <v>11</v>
      </c>
      <c r="C20" s="424" t="s">
        <v>294</v>
      </c>
      <c r="D20" s="425">
        <f>252-E20</f>
        <v>174.3</v>
      </c>
      <c r="E20" s="425">
        <v>77.7</v>
      </c>
      <c r="F20" s="426">
        <v>69</v>
      </c>
      <c r="G20" s="427" t="s">
        <v>295</v>
      </c>
      <c r="H20" s="425">
        <f>629-D20-E20-I20</f>
        <v>300.60000000000002</v>
      </c>
      <c r="I20" s="425">
        <v>76.400000000000006</v>
      </c>
      <c r="J20" s="426">
        <v>11</v>
      </c>
      <c r="K20" s="427" t="s">
        <v>1596</v>
      </c>
      <c r="L20" s="425">
        <f>822.4-M20-I20-H20-E20-D20</f>
        <v>158.39999999999998</v>
      </c>
      <c r="M20" s="425">
        <f>189.1-I20-E20</f>
        <v>34.999999999999986</v>
      </c>
      <c r="N20" s="427" t="s">
        <v>1596</v>
      </c>
      <c r="O20" s="428">
        <f t="shared" si="0"/>
        <v>822.4</v>
      </c>
      <c r="P20" s="429">
        <v>514.1</v>
      </c>
      <c r="Q20" s="430"/>
      <c r="S20" s="433" t="s">
        <v>1579</v>
      </c>
      <c r="T20" s="434"/>
      <c r="U20" s="435">
        <v>50</v>
      </c>
      <c r="V20" s="435">
        <v>50</v>
      </c>
      <c r="W20" s="435">
        <v>50</v>
      </c>
    </row>
    <row r="21" spans="2:23" s="368" customFormat="1" ht="16" customHeight="1">
      <c r="B21" s="427">
        <v>12</v>
      </c>
      <c r="C21" s="424" t="s">
        <v>1557</v>
      </c>
      <c r="D21" s="425">
        <f>71.5-E21</f>
        <v>57</v>
      </c>
      <c r="E21" s="425">
        <v>14.5</v>
      </c>
      <c r="F21" s="426">
        <v>57</v>
      </c>
      <c r="G21" s="427" t="s">
        <v>1596</v>
      </c>
      <c r="H21" s="425">
        <f>378.8-D21-E21-I21</f>
        <v>198.5</v>
      </c>
      <c r="I21" s="425">
        <v>108.8</v>
      </c>
      <c r="J21" s="426">
        <v>17</v>
      </c>
      <c r="K21" s="427" t="s">
        <v>1564</v>
      </c>
      <c r="L21" s="425">
        <f>487.3-M21-I21-H21-E21-D21</f>
        <v>84.5</v>
      </c>
      <c r="M21" s="425">
        <f>147.3-I21-E21</f>
        <v>24.000000000000014</v>
      </c>
      <c r="N21" s="427" t="s">
        <v>1596</v>
      </c>
      <c r="O21" s="428">
        <f t="shared" si="0"/>
        <v>487.3</v>
      </c>
      <c r="P21" s="429">
        <v>371</v>
      </c>
      <c r="Q21" s="454"/>
      <c r="S21" s="433" t="s">
        <v>1580</v>
      </c>
      <c r="T21" s="434"/>
      <c r="U21" s="435">
        <v>50</v>
      </c>
      <c r="V21" s="435">
        <v>50</v>
      </c>
      <c r="W21" s="435">
        <v>50</v>
      </c>
    </row>
    <row r="22" spans="2:23" s="368" customFormat="1" ht="16" customHeight="1">
      <c r="B22" s="427">
        <v>13</v>
      </c>
      <c r="C22" s="424" t="s">
        <v>1558</v>
      </c>
      <c r="D22" s="425">
        <f>280-E22</f>
        <v>229.5</v>
      </c>
      <c r="E22" s="425">
        <v>50.5</v>
      </c>
      <c r="F22" s="426">
        <v>82</v>
      </c>
      <c r="G22" s="427" t="s">
        <v>1564</v>
      </c>
      <c r="H22" s="425">
        <f>484.6-D22-E22-I22</f>
        <v>105.60000000000002</v>
      </c>
      <c r="I22" s="425">
        <v>99</v>
      </c>
      <c r="J22" s="426">
        <v>14</v>
      </c>
      <c r="K22" s="427" t="s">
        <v>1596</v>
      </c>
      <c r="L22" s="425">
        <f>1031.1-M22-I22-H22-E22-D22</f>
        <v>408.49999999999989</v>
      </c>
      <c r="M22" s="425">
        <f>287.5-I22-E22</f>
        <v>138</v>
      </c>
      <c r="N22" s="427" t="s">
        <v>1596</v>
      </c>
      <c r="O22" s="428">
        <f t="shared" si="0"/>
        <v>1031.0999999999999</v>
      </c>
      <c r="P22" s="429">
        <v>709.9</v>
      </c>
      <c r="Q22" s="430"/>
      <c r="S22" s="433" t="s">
        <v>1582</v>
      </c>
      <c r="T22" s="434"/>
      <c r="U22" s="435">
        <v>80</v>
      </c>
      <c r="V22" s="435"/>
      <c r="W22" s="435">
        <v>80</v>
      </c>
    </row>
    <row r="23" spans="2:23" s="368" customFormat="1" ht="16" customHeight="1">
      <c r="B23" s="427">
        <v>14</v>
      </c>
      <c r="C23" s="424" t="s">
        <v>175</v>
      </c>
      <c r="D23" s="425">
        <f>106.65-E23</f>
        <v>78.550000000000011</v>
      </c>
      <c r="E23" s="425">
        <v>28.1</v>
      </c>
      <c r="F23" s="426">
        <v>42</v>
      </c>
      <c r="G23" s="427" t="s">
        <v>1596</v>
      </c>
      <c r="H23" s="425">
        <f>524.65-D23-E23-I23</f>
        <v>308.49999999999994</v>
      </c>
      <c r="I23" s="425">
        <v>109.5</v>
      </c>
      <c r="J23" s="426">
        <v>20</v>
      </c>
      <c r="K23" s="427" t="s">
        <v>1596</v>
      </c>
      <c r="L23" s="425">
        <f>2724.36-M23-I23-H23-E23-D23</f>
        <v>967.70000000000027</v>
      </c>
      <c r="M23" s="425">
        <f>1369.61-I23-E23</f>
        <v>1232.01</v>
      </c>
      <c r="N23" s="427" t="s">
        <v>1596</v>
      </c>
      <c r="O23" s="428">
        <f t="shared" si="0"/>
        <v>2724.3600000000006</v>
      </c>
      <c r="P23" s="429">
        <v>1925.6</v>
      </c>
      <c r="Q23" s="430" t="s">
        <v>1639</v>
      </c>
      <c r="S23" s="436" t="s">
        <v>1584</v>
      </c>
      <c r="T23" s="437"/>
      <c r="U23" s="438">
        <v>70</v>
      </c>
      <c r="V23" s="438">
        <v>70</v>
      </c>
      <c r="W23" s="438">
        <v>70</v>
      </c>
    </row>
    <row r="24" spans="2:23" s="368" customFormat="1" ht="16" customHeight="1">
      <c r="B24" s="427">
        <v>15</v>
      </c>
      <c r="C24" s="424" t="s">
        <v>176</v>
      </c>
      <c r="D24" s="425">
        <f>295-E24</f>
        <v>247.7</v>
      </c>
      <c r="E24" s="425">
        <v>47.3</v>
      </c>
      <c r="F24" s="426">
        <v>58</v>
      </c>
      <c r="G24" s="427" t="s">
        <v>1564</v>
      </c>
      <c r="H24" s="425">
        <f>1225-D24-E24-I24</f>
        <v>556.29999999999995</v>
      </c>
      <c r="I24" s="425">
        <v>373.7</v>
      </c>
      <c r="J24" s="426">
        <v>25</v>
      </c>
      <c r="K24" s="427" t="s">
        <v>1564</v>
      </c>
      <c r="L24" s="425">
        <f>5186.4-M24-I24-H24-E24-D24</f>
        <v>1121.9999999999995</v>
      </c>
      <c r="M24" s="425">
        <f>3260.4-I24-E24</f>
        <v>2839.4</v>
      </c>
      <c r="N24" s="427" t="s">
        <v>1596</v>
      </c>
      <c r="O24" s="428">
        <f t="shared" si="0"/>
        <v>5186.3999999999996</v>
      </c>
      <c r="P24" s="429">
        <v>3861.5</v>
      </c>
      <c r="Q24" s="430" t="s">
        <v>1640</v>
      </c>
      <c r="S24" s="436" t="s">
        <v>1585</v>
      </c>
      <c r="T24" s="437"/>
      <c r="U24" s="438">
        <v>220</v>
      </c>
      <c r="V24" s="438">
        <v>220</v>
      </c>
      <c r="W24" s="438">
        <v>220</v>
      </c>
    </row>
    <row r="25" spans="2:23" s="368" customFormat="1" ht="16" customHeight="1">
      <c r="B25" s="427">
        <v>16</v>
      </c>
      <c r="C25" s="424" t="s">
        <v>177</v>
      </c>
      <c r="D25" s="425">
        <f>570-E25</f>
        <v>448.7</v>
      </c>
      <c r="E25" s="425">
        <v>121.3</v>
      </c>
      <c r="F25" s="426">
        <v>66</v>
      </c>
      <c r="G25" s="427" t="s">
        <v>1596</v>
      </c>
      <c r="H25" s="425">
        <f>1649-D25-E25-I25</f>
        <v>595.6</v>
      </c>
      <c r="I25" s="425">
        <v>483.4</v>
      </c>
      <c r="J25" s="426">
        <v>19</v>
      </c>
      <c r="K25" s="427" t="s">
        <v>1564</v>
      </c>
      <c r="L25" s="425">
        <f>9615.3-M25-I25-H25-E25-D25</f>
        <v>4532.7999999999993</v>
      </c>
      <c r="M25" s="425">
        <f>4038.2-I25-E25</f>
        <v>3433.4999999999995</v>
      </c>
      <c r="N25" s="427" t="s">
        <v>1564</v>
      </c>
      <c r="O25" s="428">
        <f t="shared" si="0"/>
        <v>9615.2999999999993</v>
      </c>
      <c r="P25" s="429">
        <v>5930.2</v>
      </c>
      <c r="Q25" s="431" t="s">
        <v>54</v>
      </c>
      <c r="S25" s="436" t="s">
        <v>1586</v>
      </c>
      <c r="T25" s="437"/>
      <c r="U25" s="438">
        <v>150</v>
      </c>
      <c r="V25" s="438">
        <v>150</v>
      </c>
      <c r="W25" s="438"/>
    </row>
    <row r="26" spans="2:23" s="368" customFormat="1" ht="16" customHeight="1">
      <c r="B26" s="427">
        <v>17</v>
      </c>
      <c r="C26" s="424" t="s">
        <v>1567</v>
      </c>
      <c r="D26" s="425"/>
      <c r="E26" s="425"/>
      <c r="F26" s="426"/>
      <c r="G26" s="453"/>
      <c r="H26" s="425">
        <f>353-D26-E26-I26</f>
        <v>95</v>
      </c>
      <c r="I26" s="425">
        <v>258</v>
      </c>
      <c r="J26" s="426">
        <v>24</v>
      </c>
      <c r="K26" s="427" t="s">
        <v>1596</v>
      </c>
      <c r="L26" s="425">
        <f>867.5-M26-I26-H26-E26-D26</f>
        <v>-57</v>
      </c>
      <c r="M26" s="425">
        <v>571.5</v>
      </c>
      <c r="N26" s="427" t="s">
        <v>1596</v>
      </c>
      <c r="O26" s="428">
        <f t="shared" si="0"/>
        <v>867.5</v>
      </c>
      <c r="P26" s="429">
        <v>722.9</v>
      </c>
      <c r="Q26" s="454" t="s">
        <v>1594</v>
      </c>
      <c r="S26" s="436" t="s">
        <v>952</v>
      </c>
      <c r="T26" s="437"/>
      <c r="U26" s="438">
        <v>100</v>
      </c>
      <c r="V26" s="438">
        <v>100</v>
      </c>
      <c r="W26" s="438">
        <v>100</v>
      </c>
    </row>
    <row r="27" spans="2:23" s="368" customFormat="1" ht="16" customHeight="1">
      <c r="B27" s="427">
        <v>18</v>
      </c>
      <c r="C27" s="424" t="s">
        <v>294</v>
      </c>
      <c r="D27" s="425">
        <f>242-E27</f>
        <v>198.2</v>
      </c>
      <c r="E27" s="425">
        <v>43.8</v>
      </c>
      <c r="F27" s="426">
        <v>65</v>
      </c>
      <c r="G27" s="427" t="s">
        <v>295</v>
      </c>
      <c r="H27" s="425">
        <f>1351-D27-E27-I27</f>
        <v>491.4</v>
      </c>
      <c r="I27" s="425">
        <v>617.6</v>
      </c>
      <c r="J27" s="426">
        <v>15</v>
      </c>
      <c r="K27" s="427" t="s">
        <v>295</v>
      </c>
      <c r="L27" s="425">
        <f>2481.9-M27-I27-H27-E27-D27</f>
        <v>401.40000000000026</v>
      </c>
      <c r="M27" s="425">
        <f>1390.9-I27-E27</f>
        <v>729.50000000000011</v>
      </c>
      <c r="N27" s="427" t="s">
        <v>295</v>
      </c>
      <c r="O27" s="428">
        <f t="shared" si="0"/>
        <v>2481.9000000000005</v>
      </c>
      <c r="P27" s="429">
        <v>1767.1</v>
      </c>
      <c r="Q27" s="454" t="s">
        <v>1594</v>
      </c>
      <c r="S27" s="436" t="s">
        <v>1588</v>
      </c>
      <c r="T27" s="437"/>
      <c r="U27" s="438"/>
      <c r="V27" s="438"/>
      <c r="W27" s="438"/>
    </row>
    <row r="28" spans="2:23" s="368" customFormat="1" ht="16" customHeight="1">
      <c r="B28" s="427">
        <v>19</v>
      </c>
      <c r="C28" s="424" t="s">
        <v>1557</v>
      </c>
      <c r="D28" s="425">
        <f>353-E28</f>
        <v>269.60000000000002</v>
      </c>
      <c r="E28" s="425">
        <v>83.4</v>
      </c>
      <c r="F28" s="426">
        <v>75</v>
      </c>
      <c r="G28" s="427" t="s">
        <v>295</v>
      </c>
      <c r="H28" s="425">
        <f>689.7-D28-E28-I28</f>
        <v>3.5000000000000568</v>
      </c>
      <c r="I28" s="425">
        <v>333.2</v>
      </c>
      <c r="J28" s="426">
        <v>27</v>
      </c>
      <c r="K28" s="427" t="s">
        <v>295</v>
      </c>
      <c r="L28" s="425">
        <f>1742-M28-I28-H28-E28-D28</f>
        <v>687.3</v>
      </c>
      <c r="M28" s="425">
        <f>781.6-I28-E28</f>
        <v>365</v>
      </c>
      <c r="N28" s="427" t="s">
        <v>295</v>
      </c>
      <c r="O28" s="428">
        <f t="shared" si="0"/>
        <v>1742</v>
      </c>
      <c r="P28" s="429">
        <v>1446</v>
      </c>
      <c r="Q28" s="454" t="s">
        <v>1594</v>
      </c>
      <c r="S28" s="436" t="s">
        <v>144</v>
      </c>
      <c r="T28" s="437"/>
      <c r="U28" s="438">
        <v>500</v>
      </c>
      <c r="V28" s="438">
        <v>400</v>
      </c>
      <c r="W28" s="438">
        <v>300</v>
      </c>
    </row>
    <row r="29" spans="2:23" s="368" customFormat="1" ht="16" customHeight="1">
      <c r="B29" s="427">
        <v>20</v>
      </c>
      <c r="C29" s="424" t="s">
        <v>1558</v>
      </c>
      <c r="D29" s="425">
        <f>394-E29</f>
        <v>291.89999999999998</v>
      </c>
      <c r="E29" s="425">
        <v>102.1</v>
      </c>
      <c r="F29" s="426">
        <v>125</v>
      </c>
      <c r="G29" s="427" t="s">
        <v>295</v>
      </c>
      <c r="H29" s="425">
        <f>950.4-D29-E29-I29</f>
        <v>355.59999999999997</v>
      </c>
      <c r="I29" s="425">
        <v>200.8</v>
      </c>
      <c r="J29" s="426">
        <v>17</v>
      </c>
      <c r="K29" s="427" t="s">
        <v>295</v>
      </c>
      <c r="L29" s="425">
        <f>1500.2-M29-I29-H29-E29-D29</f>
        <v>314.80000000000018</v>
      </c>
      <c r="M29" s="425">
        <f>537.9-I29-E29</f>
        <v>234.99999999999997</v>
      </c>
      <c r="N29" s="427" t="s">
        <v>295</v>
      </c>
      <c r="O29" s="428">
        <f t="shared" si="0"/>
        <v>1500.2</v>
      </c>
      <c r="P29" s="429">
        <v>1229.5999999999999</v>
      </c>
      <c r="Q29" s="430"/>
      <c r="S29" s="439" t="s">
        <v>1592</v>
      </c>
      <c r="T29" s="440"/>
      <c r="U29" s="441">
        <v>150</v>
      </c>
      <c r="V29" s="441">
        <v>150</v>
      </c>
      <c r="W29" s="441">
        <v>150</v>
      </c>
    </row>
    <row r="30" spans="2:23" s="368" customFormat="1" ht="16" customHeight="1">
      <c r="B30" s="427">
        <v>21</v>
      </c>
      <c r="C30" s="424" t="s">
        <v>175</v>
      </c>
      <c r="D30" s="425">
        <f>224-E30</f>
        <v>161.4</v>
      </c>
      <c r="E30" s="425">
        <v>62.6</v>
      </c>
      <c r="F30" s="426">
        <v>66</v>
      </c>
      <c r="G30" s="427" t="s">
        <v>295</v>
      </c>
      <c r="H30" s="425">
        <f>677-D30-E30-I30</f>
        <v>317.60000000000002</v>
      </c>
      <c r="I30" s="425">
        <v>135.4</v>
      </c>
      <c r="J30" s="426">
        <v>13</v>
      </c>
      <c r="K30" s="427" t="s">
        <v>295</v>
      </c>
      <c r="L30" s="425">
        <f>4005.3-M30-I30-H30-E30-D30</f>
        <v>782.10000000000025</v>
      </c>
      <c r="M30" s="425">
        <f>2744.2-I30-E30</f>
        <v>2546.1999999999998</v>
      </c>
      <c r="N30" s="427" t="s">
        <v>295</v>
      </c>
      <c r="O30" s="428">
        <f t="shared" si="0"/>
        <v>4005.3</v>
      </c>
      <c r="P30" s="429">
        <v>2994.8</v>
      </c>
      <c r="Q30" s="430" t="s">
        <v>1641</v>
      </c>
      <c r="S30" s="439" t="s">
        <v>1595</v>
      </c>
      <c r="T30" s="440"/>
      <c r="U30" s="441">
        <v>50</v>
      </c>
      <c r="V30" s="441">
        <v>50</v>
      </c>
      <c r="W30" s="441">
        <v>50</v>
      </c>
    </row>
    <row r="31" spans="2:23" s="368" customFormat="1" ht="16" customHeight="1">
      <c r="B31" s="427">
        <v>22</v>
      </c>
      <c r="C31" s="424" t="s">
        <v>176</v>
      </c>
      <c r="D31" s="425">
        <f>425-E31</f>
        <v>299.2</v>
      </c>
      <c r="E31" s="425">
        <v>125.8</v>
      </c>
      <c r="F31" s="426">
        <v>54</v>
      </c>
      <c r="G31" s="427" t="s">
        <v>1596</v>
      </c>
      <c r="H31" s="425">
        <f>1306.8-D31-E31-I31</f>
        <v>348.5</v>
      </c>
      <c r="I31" s="425">
        <v>533.29999999999995</v>
      </c>
      <c r="J31" s="426">
        <v>20</v>
      </c>
      <c r="K31" s="427" t="s">
        <v>1596</v>
      </c>
      <c r="L31" s="425">
        <f>3972.8-M31-I31-H31-E31-D31</f>
        <v>1050.0000000000002</v>
      </c>
      <c r="M31" s="425">
        <f>2275.1-I31-E31</f>
        <v>1616</v>
      </c>
      <c r="N31" s="427" t="s">
        <v>1596</v>
      </c>
      <c r="O31" s="428">
        <f t="shared" si="0"/>
        <v>3972.8</v>
      </c>
      <c r="P31" s="429">
        <v>2860.7</v>
      </c>
      <c r="Q31" s="430" t="s">
        <v>1642</v>
      </c>
      <c r="S31" s="439" t="s">
        <v>1597</v>
      </c>
      <c r="T31" s="440"/>
      <c r="U31" s="441">
        <v>50</v>
      </c>
      <c r="V31" s="441">
        <v>50</v>
      </c>
      <c r="W31" s="441">
        <v>50</v>
      </c>
    </row>
    <row r="32" spans="2:23" s="368" customFormat="1" ht="16" customHeight="1">
      <c r="B32" s="427">
        <v>23</v>
      </c>
      <c r="C32" s="424" t="s">
        <v>177</v>
      </c>
      <c r="D32" s="425">
        <f>1013-E32</f>
        <v>693.3</v>
      </c>
      <c r="E32" s="425">
        <v>319.7</v>
      </c>
      <c r="F32" s="426">
        <v>101</v>
      </c>
      <c r="G32" s="427" t="s">
        <v>1564</v>
      </c>
      <c r="H32" s="425">
        <f>2405.5-D32-E32-I32</f>
        <v>981.2</v>
      </c>
      <c r="I32" s="425">
        <v>411.3</v>
      </c>
      <c r="J32" s="426">
        <v>16</v>
      </c>
      <c r="K32" s="427" t="s">
        <v>1564</v>
      </c>
      <c r="L32" s="425">
        <f>10277.8-M32-I32-H32-E32-D32</f>
        <v>3939.8999999999996</v>
      </c>
      <c r="M32" s="425">
        <f>4663.4-I32-E32</f>
        <v>3932.3999999999996</v>
      </c>
      <c r="N32" s="427" t="s">
        <v>1564</v>
      </c>
      <c r="O32" s="428">
        <f t="shared" si="0"/>
        <v>10277.799999999999</v>
      </c>
      <c r="P32" s="429">
        <f>3525.2+2495.5+1790</f>
        <v>7810.7</v>
      </c>
      <c r="Q32" s="431" t="s">
        <v>1643</v>
      </c>
      <c r="S32" s="439" t="s">
        <v>1598</v>
      </c>
      <c r="T32" s="440"/>
      <c r="U32" s="441">
        <v>50</v>
      </c>
      <c r="V32" s="441">
        <v>50</v>
      </c>
      <c r="W32" s="441">
        <v>50</v>
      </c>
    </row>
    <row r="33" spans="2:23" s="368" customFormat="1" ht="16" customHeight="1">
      <c r="B33" s="427">
        <v>24</v>
      </c>
      <c r="C33" s="424" t="s">
        <v>1567</v>
      </c>
      <c r="D33" s="425"/>
      <c r="E33" s="425"/>
      <c r="F33" s="426"/>
      <c r="G33" s="453"/>
      <c r="H33" s="425">
        <f>345-D33-E33-I33</f>
        <v>199.2</v>
      </c>
      <c r="I33" s="425">
        <v>145.80000000000001</v>
      </c>
      <c r="J33" s="426">
        <v>26</v>
      </c>
      <c r="K33" s="427" t="s">
        <v>1564</v>
      </c>
      <c r="L33" s="425">
        <f>672.8-M33-I33-H33-E33-D33</f>
        <v>65.799999999999955</v>
      </c>
      <c r="M33" s="425">
        <f>407.8-I33-E33</f>
        <v>262</v>
      </c>
      <c r="N33" s="427" t="s">
        <v>1596</v>
      </c>
      <c r="O33" s="428">
        <f t="shared" si="0"/>
        <v>672.8</v>
      </c>
      <c r="P33" s="429">
        <v>581.9</v>
      </c>
      <c r="Q33" s="430"/>
      <c r="S33" s="439" t="s">
        <v>1600</v>
      </c>
      <c r="T33" s="440"/>
      <c r="U33" s="441"/>
      <c r="V33" s="441"/>
      <c r="W33" s="441"/>
    </row>
    <row r="34" spans="2:23" s="368" customFormat="1" ht="16" customHeight="1">
      <c r="B34" s="427">
        <v>25</v>
      </c>
      <c r="C34" s="424" t="s">
        <v>294</v>
      </c>
      <c r="D34" s="425">
        <f>183-E34</f>
        <v>158.1</v>
      </c>
      <c r="E34" s="425">
        <v>24.9</v>
      </c>
      <c r="F34" s="426">
        <v>67</v>
      </c>
      <c r="G34" s="427" t="s">
        <v>295</v>
      </c>
      <c r="H34" s="425">
        <f>487-D34-E34-I34</f>
        <v>214.1</v>
      </c>
      <c r="I34" s="425">
        <v>89.9</v>
      </c>
      <c r="J34" s="426">
        <v>13</v>
      </c>
      <c r="K34" s="427" t="s">
        <v>1596</v>
      </c>
      <c r="L34" s="425">
        <f>862.7-M34-I34-H34-E34-D34</f>
        <v>214.70000000000007</v>
      </c>
      <c r="M34" s="425">
        <f>275.8-I34-E34</f>
        <v>161</v>
      </c>
      <c r="N34" s="427" t="s">
        <v>1564</v>
      </c>
      <c r="O34" s="428">
        <f t="shared" si="0"/>
        <v>862.7</v>
      </c>
      <c r="P34" s="429">
        <v>533.29999999999995</v>
      </c>
      <c r="Q34" s="430"/>
      <c r="S34" s="439" t="s">
        <v>1606</v>
      </c>
      <c r="T34" s="440"/>
      <c r="U34" s="441">
        <v>132</v>
      </c>
      <c r="V34" s="441">
        <v>132</v>
      </c>
      <c r="W34" s="441">
        <v>132</v>
      </c>
    </row>
    <row r="35" spans="2:23" s="368" customFormat="1" ht="16" customHeight="1">
      <c r="B35" s="427">
        <v>26</v>
      </c>
      <c r="C35" s="424" t="s">
        <v>1557</v>
      </c>
      <c r="D35" s="425">
        <f>132.55-E35</f>
        <v>111.15</v>
      </c>
      <c r="E35" s="425">
        <v>21.4</v>
      </c>
      <c r="F35" s="426">
        <v>48</v>
      </c>
      <c r="G35" s="427" t="s">
        <v>295</v>
      </c>
      <c r="H35" s="425">
        <f>497.85-D35-E35-I35</f>
        <v>266.80000000000007</v>
      </c>
      <c r="I35" s="425">
        <v>98.5</v>
      </c>
      <c r="J35" s="426">
        <v>11</v>
      </c>
      <c r="K35" s="427" t="s">
        <v>295</v>
      </c>
      <c r="L35" s="425">
        <f>1179.25-M35-I35-H35-E35-D35</f>
        <v>311.39999999999998</v>
      </c>
      <c r="M35" s="425">
        <f>489.9-I35-E35</f>
        <v>370</v>
      </c>
      <c r="N35" s="427" t="s">
        <v>295</v>
      </c>
      <c r="O35" s="428">
        <f t="shared" si="0"/>
        <v>1179.25</v>
      </c>
      <c r="P35" s="429">
        <v>724.5</v>
      </c>
      <c r="Q35" s="430"/>
      <c r="S35" s="439" t="s">
        <v>1608</v>
      </c>
      <c r="T35" s="440"/>
      <c r="U35" s="441">
        <v>70</v>
      </c>
      <c r="V35" s="441">
        <v>70</v>
      </c>
      <c r="W35" s="441">
        <v>70</v>
      </c>
    </row>
    <row r="36" spans="2:23" s="368" customFormat="1" ht="16" customHeight="1">
      <c r="B36" s="427">
        <v>27</v>
      </c>
      <c r="C36" s="424" t="s">
        <v>1558</v>
      </c>
      <c r="D36" s="425">
        <f>343.6-E36</f>
        <v>288.5</v>
      </c>
      <c r="E36" s="425">
        <v>55.1</v>
      </c>
      <c r="F36" s="426">
        <v>105</v>
      </c>
      <c r="G36" s="427" t="s">
        <v>1564</v>
      </c>
      <c r="H36" s="425">
        <f>711.6-D36-E36-I36</f>
        <v>249</v>
      </c>
      <c r="I36" s="425">
        <v>119</v>
      </c>
      <c r="J36" s="426">
        <v>14</v>
      </c>
      <c r="K36" s="427" t="s">
        <v>1564</v>
      </c>
      <c r="L36" s="425">
        <f>1483.6-M36-I36-H36-E36-D36</f>
        <v>237.49999999999989</v>
      </c>
      <c r="M36" s="425">
        <f>708.6-I36-E36</f>
        <v>534.5</v>
      </c>
      <c r="N36" s="427" t="s">
        <v>1564</v>
      </c>
      <c r="O36" s="428">
        <f t="shared" si="0"/>
        <v>1483.6</v>
      </c>
      <c r="P36" s="429">
        <v>1219.9000000000001</v>
      </c>
      <c r="Q36" s="454" t="s">
        <v>1644</v>
      </c>
      <c r="S36" s="439" t="s">
        <v>1630</v>
      </c>
      <c r="T36" s="440"/>
      <c r="U36" s="441">
        <v>130</v>
      </c>
      <c r="V36" s="441">
        <v>130</v>
      </c>
      <c r="W36" s="441">
        <v>130</v>
      </c>
    </row>
    <row r="37" spans="2:23" s="368" customFormat="1" ht="16" customHeight="1">
      <c r="B37" s="427">
        <v>28</v>
      </c>
      <c r="C37" s="424" t="s">
        <v>175</v>
      </c>
      <c r="D37" s="425">
        <f>233.4-E37</f>
        <v>167.5</v>
      </c>
      <c r="E37" s="425">
        <v>65.900000000000006</v>
      </c>
      <c r="F37" s="426">
        <v>61</v>
      </c>
      <c r="G37" s="427" t="s">
        <v>1596</v>
      </c>
      <c r="H37" s="425">
        <f>962.6-D37-E37-I37</f>
        <v>376.50000000000006</v>
      </c>
      <c r="I37" s="425">
        <v>352.7</v>
      </c>
      <c r="J37" s="426">
        <v>21</v>
      </c>
      <c r="K37" s="427" t="s">
        <v>1596</v>
      </c>
      <c r="L37" s="425">
        <f>2585.05-M37-I37-H37-E37-D37</f>
        <v>513.1500000000002</v>
      </c>
      <c r="M37" s="425">
        <f>1527.9-I37-E37</f>
        <v>1109.3</v>
      </c>
      <c r="N37" s="427" t="s">
        <v>1596</v>
      </c>
      <c r="O37" s="428">
        <f t="shared" si="0"/>
        <v>2585.0500000000002</v>
      </c>
      <c r="P37" s="429">
        <v>2011.8</v>
      </c>
      <c r="Q37" s="430" t="s">
        <v>1639</v>
      </c>
      <c r="S37" s="439" t="s">
        <v>1645</v>
      </c>
      <c r="T37" s="440"/>
      <c r="U37" s="441"/>
      <c r="V37" s="441"/>
      <c r="W37" s="441"/>
    </row>
    <row r="38" spans="2:23" s="368" customFormat="1" ht="13">
      <c r="B38" s="427">
        <v>29</v>
      </c>
      <c r="C38" s="424" t="s">
        <v>176</v>
      </c>
      <c r="D38" s="425">
        <f>275-E38</f>
        <v>228.4</v>
      </c>
      <c r="E38" s="425">
        <v>46.6</v>
      </c>
      <c r="F38" s="426">
        <v>79</v>
      </c>
      <c r="G38" s="427" t="s">
        <v>1596</v>
      </c>
      <c r="H38" s="425">
        <f>1036-D38-E38-I38</f>
        <v>545.4</v>
      </c>
      <c r="I38" s="425">
        <v>215.6</v>
      </c>
      <c r="J38" s="426">
        <v>15</v>
      </c>
      <c r="K38" s="427" t="s">
        <v>1596</v>
      </c>
      <c r="L38" s="425">
        <f>3698.9-M38-I38-H38-E38-D38</f>
        <v>1007.4000000000002</v>
      </c>
      <c r="M38" s="425">
        <f>1917.7-I38-E38</f>
        <v>1655.5000000000002</v>
      </c>
      <c r="N38" s="427" t="s">
        <v>1596</v>
      </c>
      <c r="O38" s="428">
        <f t="shared" si="0"/>
        <v>3698.9000000000005</v>
      </c>
      <c r="P38" s="429">
        <v>2839.5</v>
      </c>
      <c r="Q38" s="430" t="s">
        <v>1646</v>
      </c>
      <c r="S38" s="439" t="s">
        <v>1327</v>
      </c>
      <c r="T38" s="440"/>
      <c r="U38" s="441"/>
      <c r="V38" s="441"/>
      <c r="W38" s="441"/>
    </row>
    <row r="39" spans="2:23" s="272" customFormat="1">
      <c r="B39" s="427">
        <v>30</v>
      </c>
      <c r="C39" s="424" t="s">
        <v>177</v>
      </c>
      <c r="D39" s="425">
        <f>773-E39</f>
        <v>499</v>
      </c>
      <c r="E39" s="425">
        <v>274</v>
      </c>
      <c r="F39" s="426">
        <v>106</v>
      </c>
      <c r="G39" s="427" t="s">
        <v>295</v>
      </c>
      <c r="H39" s="425">
        <f>2050-D39-E39-I39</f>
        <v>762.4</v>
      </c>
      <c r="I39" s="425">
        <v>514.6</v>
      </c>
      <c r="J39" s="426">
        <v>12</v>
      </c>
      <c r="K39" s="427" t="s">
        <v>295</v>
      </c>
      <c r="L39" s="425">
        <f>2636.6-M39-I39-H39-E39-D39</f>
        <v>298.59999999999991</v>
      </c>
      <c r="M39" s="425">
        <f>1076.6-I39-E39</f>
        <v>287.99999999999989</v>
      </c>
      <c r="N39" s="427" t="s">
        <v>295</v>
      </c>
      <c r="O39" s="428">
        <f t="shared" si="0"/>
        <v>2636.6</v>
      </c>
      <c r="P39" s="429">
        <v>2186.4</v>
      </c>
      <c r="Q39" s="452" t="s">
        <v>48</v>
      </c>
      <c r="S39" s="439"/>
      <c r="T39" s="440"/>
      <c r="U39" s="441"/>
      <c r="V39" s="441"/>
      <c r="W39" s="441"/>
    </row>
    <row r="40" spans="2:23" s="272" customFormat="1">
      <c r="B40" s="427">
        <v>31</v>
      </c>
      <c r="C40" s="424" t="s">
        <v>1567</v>
      </c>
      <c r="D40" s="425"/>
      <c r="E40" s="425"/>
      <c r="F40" s="426"/>
      <c r="G40" s="453"/>
      <c r="H40" s="425">
        <f>421.3-D40-E40-I40</f>
        <v>239</v>
      </c>
      <c r="I40" s="425">
        <v>182.3</v>
      </c>
      <c r="J40" s="426">
        <v>14</v>
      </c>
      <c r="K40" s="427" t="s">
        <v>295</v>
      </c>
      <c r="L40" s="425">
        <f>825.4-M40-I40-H40-E40-D40</f>
        <v>171.59999999999997</v>
      </c>
      <c r="M40" s="425">
        <f>414.8-I40-E40</f>
        <v>232.5</v>
      </c>
      <c r="N40" s="427" t="s">
        <v>295</v>
      </c>
      <c r="O40" s="428">
        <f t="shared" si="0"/>
        <v>825.4</v>
      </c>
      <c r="P40" s="429">
        <v>596.79999999999995</v>
      </c>
      <c r="Q40" s="454"/>
      <c r="S40" s="442" t="s">
        <v>1612</v>
      </c>
      <c r="T40" s="443"/>
      <c r="U40" s="444">
        <v>650</v>
      </c>
      <c r="V40" s="444">
        <v>400</v>
      </c>
      <c r="W40" s="444">
        <v>400</v>
      </c>
    </row>
    <row r="41" spans="2:23" s="272" customFormat="1">
      <c r="B41" s="238"/>
      <c r="C41" s="238"/>
      <c r="D41" s="237"/>
      <c r="E41" s="237"/>
      <c r="F41" s="237"/>
      <c r="G41" s="234"/>
      <c r="H41" s="234"/>
      <c r="I41" s="234"/>
      <c r="J41" s="234"/>
      <c r="K41" s="234"/>
      <c r="L41" s="237"/>
      <c r="M41" s="237"/>
      <c r="N41" s="234"/>
      <c r="O41" s="239"/>
      <c r="P41" s="239"/>
      <c r="S41" s="455" t="s">
        <v>130</v>
      </c>
      <c r="T41" s="456"/>
      <c r="U41" s="448">
        <f>SUM(U18:U40)</f>
        <v>2902</v>
      </c>
      <c r="V41" s="448">
        <f>SUM(V18:V40)</f>
        <v>2672</v>
      </c>
      <c r="W41" s="448">
        <f>SUM(W18:W40)</f>
        <v>2502</v>
      </c>
    </row>
    <row r="42" spans="2:23" s="272" customFormat="1">
      <c r="B42" s="238"/>
      <c r="C42" s="238"/>
      <c r="D42" s="237"/>
      <c r="E42" s="237"/>
      <c r="F42" s="237"/>
      <c r="G42" s="234"/>
      <c r="H42" s="234"/>
      <c r="I42" s="234"/>
      <c r="J42" s="234"/>
      <c r="K42" s="234"/>
      <c r="L42" s="237"/>
      <c r="M42" s="237"/>
      <c r="N42" s="234"/>
      <c r="O42" s="239"/>
      <c r="P42" s="239"/>
    </row>
    <row r="43" spans="2:23" s="272" customFormat="1">
      <c r="B43" s="238"/>
      <c r="C43" s="238"/>
      <c r="D43" s="237"/>
      <c r="E43" s="237"/>
      <c r="F43" s="237"/>
      <c r="G43" s="234"/>
      <c r="H43" s="234"/>
      <c r="I43" s="234"/>
      <c r="J43" s="234"/>
      <c r="K43" s="234"/>
      <c r="L43" s="237"/>
      <c r="M43" s="237"/>
      <c r="N43" s="234"/>
      <c r="O43" s="239"/>
      <c r="P43" s="239"/>
    </row>
    <row r="44" spans="2:23" s="272" customFormat="1">
      <c r="B44" s="238"/>
      <c r="C44" s="238"/>
      <c r="D44" s="237"/>
      <c r="E44" s="237"/>
      <c r="F44" s="237"/>
      <c r="G44" s="234"/>
      <c r="H44" s="234"/>
      <c r="I44" s="234"/>
      <c r="J44" s="234"/>
      <c r="K44" s="234"/>
      <c r="L44" s="237"/>
      <c r="M44" s="237"/>
      <c r="N44" s="234"/>
      <c r="O44" s="239"/>
      <c r="P44" s="239"/>
    </row>
    <row r="45" spans="2:23" s="272" customFormat="1">
      <c r="B45" s="238"/>
      <c r="C45" s="238"/>
      <c r="D45" s="237"/>
      <c r="E45" s="237"/>
      <c r="F45" s="237"/>
      <c r="G45" s="234"/>
      <c r="H45" s="234"/>
      <c r="I45" s="234"/>
      <c r="J45" s="234"/>
      <c r="K45" s="234"/>
      <c r="L45" s="237"/>
      <c r="M45" s="237"/>
      <c r="N45" s="234"/>
      <c r="O45" s="239"/>
      <c r="P45" s="239"/>
    </row>
    <row r="46" spans="2:23" s="272" customFormat="1">
      <c r="B46" s="238"/>
      <c r="C46" s="238"/>
      <c r="D46" s="237"/>
      <c r="E46" s="237"/>
      <c r="F46" s="237"/>
      <c r="G46" s="234"/>
      <c r="H46" s="234"/>
      <c r="I46" s="234"/>
      <c r="J46" s="234"/>
      <c r="K46" s="234"/>
      <c r="L46" s="237"/>
      <c r="M46" s="237"/>
      <c r="N46" s="234"/>
      <c r="O46" s="239"/>
      <c r="P46" s="239"/>
    </row>
    <row r="47" spans="2:23" s="272" customFormat="1">
      <c r="B47" s="238"/>
      <c r="C47" s="238"/>
      <c r="D47" s="237"/>
      <c r="E47" s="237"/>
      <c r="F47" s="237"/>
      <c r="G47" s="234"/>
      <c r="H47" s="234"/>
      <c r="I47" s="234"/>
      <c r="J47" s="234"/>
      <c r="K47" s="234"/>
      <c r="L47" s="237"/>
      <c r="M47" s="237"/>
      <c r="N47" s="234"/>
      <c r="O47" s="239"/>
      <c r="P47" s="239"/>
    </row>
    <row r="48" spans="2:23" s="272" customFormat="1">
      <c r="B48" s="238"/>
      <c r="C48" s="238"/>
      <c r="D48" s="237"/>
      <c r="E48" s="237"/>
      <c r="F48" s="237"/>
      <c r="G48" s="234"/>
      <c r="H48" s="234"/>
      <c r="I48" s="234"/>
      <c r="J48" s="234"/>
      <c r="K48" s="234"/>
      <c r="L48" s="237"/>
      <c r="M48" s="237"/>
      <c r="N48" s="234"/>
      <c r="O48" s="239"/>
      <c r="P48" s="239"/>
    </row>
    <row r="49" spans="2:16" s="272" customFormat="1">
      <c r="B49" s="238"/>
      <c r="C49" s="238"/>
      <c r="D49" s="237"/>
      <c r="E49" s="237"/>
      <c r="F49" s="237"/>
      <c r="G49" s="234"/>
      <c r="H49" s="234"/>
      <c r="I49" s="234"/>
      <c r="J49" s="234"/>
      <c r="K49" s="234"/>
      <c r="L49" s="237"/>
      <c r="M49" s="237"/>
      <c r="N49" s="234"/>
      <c r="O49" s="239"/>
      <c r="P49" s="239"/>
    </row>
    <row r="50" spans="2:16" s="272" customFormat="1">
      <c r="B50" s="238"/>
      <c r="C50" s="238"/>
      <c r="D50" s="237"/>
      <c r="E50" s="237"/>
      <c r="F50" s="237"/>
      <c r="G50" s="234"/>
      <c r="H50" s="234"/>
      <c r="I50" s="234"/>
      <c r="J50" s="234"/>
      <c r="K50" s="234"/>
      <c r="L50" s="237"/>
      <c r="M50" s="237"/>
      <c r="N50" s="234"/>
      <c r="O50" s="239"/>
      <c r="P50" s="239"/>
    </row>
    <row r="51" spans="2:16" s="272" customFormat="1">
      <c r="B51" s="238"/>
      <c r="C51" s="238"/>
      <c r="D51" s="237"/>
      <c r="E51" s="237"/>
      <c r="F51" s="237"/>
      <c r="G51" s="234"/>
      <c r="H51" s="234"/>
      <c r="I51" s="234"/>
      <c r="J51" s="234"/>
      <c r="K51" s="234"/>
      <c r="L51" s="237"/>
      <c r="M51" s="237"/>
      <c r="N51" s="234"/>
      <c r="O51" s="239"/>
      <c r="P51" s="239"/>
    </row>
    <row r="52" spans="2:16" s="272" customFormat="1">
      <c r="B52" s="238"/>
      <c r="C52" s="238"/>
      <c r="D52" s="237"/>
      <c r="E52" s="237"/>
      <c r="F52" s="237"/>
      <c r="G52" s="234"/>
      <c r="H52" s="234"/>
      <c r="I52" s="234"/>
      <c r="J52" s="234"/>
      <c r="K52" s="234"/>
      <c r="L52" s="237"/>
      <c r="M52" s="237"/>
      <c r="N52" s="234"/>
      <c r="O52" s="239"/>
      <c r="P52" s="239"/>
    </row>
    <row r="53" spans="2:16" s="272" customFormat="1">
      <c r="B53" s="238"/>
      <c r="C53" s="238"/>
      <c r="D53" s="237"/>
      <c r="E53" s="237"/>
      <c r="F53" s="237"/>
      <c r="G53" s="234"/>
      <c r="H53" s="234"/>
      <c r="I53" s="234"/>
      <c r="J53" s="234"/>
      <c r="K53" s="234"/>
      <c r="L53" s="237"/>
      <c r="M53" s="237"/>
      <c r="N53" s="234"/>
      <c r="O53" s="239"/>
      <c r="P53" s="239"/>
    </row>
    <row r="54" spans="2:16" s="272" customFormat="1">
      <c r="B54" s="238"/>
      <c r="C54" s="238"/>
      <c r="D54" s="237"/>
      <c r="E54" s="237"/>
      <c r="F54" s="237"/>
      <c r="G54" s="234"/>
      <c r="H54" s="234"/>
      <c r="I54" s="234"/>
      <c r="J54" s="234"/>
      <c r="K54" s="234"/>
      <c r="L54" s="237"/>
      <c r="M54" s="237"/>
      <c r="N54" s="234"/>
      <c r="O54" s="239"/>
      <c r="P54" s="239"/>
    </row>
    <row r="55" spans="2:16" s="272" customFormat="1">
      <c r="B55" s="238"/>
      <c r="C55" s="238"/>
      <c r="D55" s="237"/>
      <c r="E55" s="237"/>
      <c r="F55" s="237"/>
      <c r="G55" s="234"/>
      <c r="H55" s="234"/>
      <c r="I55" s="234"/>
      <c r="J55" s="234"/>
      <c r="K55" s="234"/>
      <c r="L55" s="237"/>
      <c r="M55" s="237"/>
      <c r="N55" s="234"/>
      <c r="O55" s="239"/>
      <c r="P55" s="239"/>
    </row>
    <row r="56" spans="2:16" s="272" customFormat="1">
      <c r="B56" s="238"/>
      <c r="C56" s="238"/>
      <c r="D56" s="237"/>
      <c r="E56" s="237"/>
      <c r="F56" s="237"/>
      <c r="G56" s="234"/>
      <c r="H56" s="234"/>
      <c r="I56" s="234"/>
      <c r="J56" s="234"/>
      <c r="K56" s="234"/>
      <c r="L56" s="237"/>
      <c r="M56" s="237"/>
      <c r="N56" s="234"/>
      <c r="O56" s="239"/>
      <c r="P56" s="239"/>
    </row>
    <row r="57" spans="2:16" s="272" customFormat="1">
      <c r="B57" s="238"/>
      <c r="C57" s="238"/>
      <c r="D57" s="237"/>
      <c r="E57" s="237"/>
      <c r="F57" s="237"/>
      <c r="G57" s="234"/>
      <c r="H57" s="234"/>
      <c r="I57" s="234"/>
      <c r="J57" s="234"/>
      <c r="K57" s="234"/>
      <c r="L57" s="237"/>
      <c r="M57" s="237"/>
      <c r="N57" s="234"/>
      <c r="O57" s="239"/>
      <c r="P57" s="239"/>
    </row>
    <row r="58" spans="2:16" s="272" customFormat="1">
      <c r="B58" s="238"/>
      <c r="C58" s="238"/>
      <c r="D58" s="237"/>
      <c r="E58" s="237"/>
      <c r="F58" s="237"/>
      <c r="G58" s="234"/>
      <c r="H58" s="234"/>
      <c r="I58" s="234"/>
      <c r="J58" s="234"/>
      <c r="K58" s="234"/>
      <c r="L58" s="237"/>
      <c r="M58" s="237"/>
      <c r="N58" s="234"/>
      <c r="O58" s="239"/>
      <c r="P58" s="239"/>
    </row>
    <row r="59" spans="2:16" s="272" customFormat="1">
      <c r="B59" s="238"/>
      <c r="C59" s="238"/>
      <c r="D59" s="237"/>
      <c r="E59" s="237"/>
      <c r="F59" s="237"/>
      <c r="G59" s="234"/>
      <c r="H59" s="234"/>
      <c r="I59" s="234"/>
      <c r="J59" s="234"/>
      <c r="K59" s="234"/>
      <c r="L59" s="237"/>
      <c r="M59" s="237"/>
      <c r="N59" s="234"/>
      <c r="O59" s="239"/>
      <c r="P59" s="239"/>
    </row>
    <row r="60" spans="2:16" s="272" customFormat="1">
      <c r="B60" s="238"/>
      <c r="C60" s="238"/>
      <c r="D60" s="237"/>
      <c r="E60" s="237"/>
      <c r="F60" s="237"/>
      <c r="G60" s="234"/>
      <c r="H60" s="234"/>
      <c r="I60" s="234"/>
      <c r="J60" s="234"/>
      <c r="K60" s="234"/>
      <c r="L60" s="237"/>
      <c r="M60" s="237"/>
      <c r="N60" s="234"/>
      <c r="O60" s="239"/>
      <c r="P60" s="239"/>
    </row>
    <row r="61" spans="2:16" s="272" customFormat="1">
      <c r="B61" s="238"/>
      <c r="C61" s="238"/>
      <c r="D61" s="237"/>
      <c r="E61" s="237"/>
      <c r="F61" s="237"/>
      <c r="G61" s="234"/>
      <c r="H61" s="234"/>
      <c r="I61" s="234"/>
      <c r="J61" s="234"/>
      <c r="K61" s="234"/>
      <c r="L61" s="237"/>
      <c r="M61" s="237"/>
      <c r="N61" s="234"/>
      <c r="O61" s="239"/>
      <c r="P61" s="239"/>
    </row>
    <row r="62" spans="2:16" s="272" customFormat="1">
      <c r="B62" s="238"/>
      <c r="C62" s="238"/>
      <c r="D62" s="237"/>
      <c r="E62" s="237"/>
      <c r="F62" s="237"/>
      <c r="G62" s="234"/>
      <c r="H62" s="234"/>
      <c r="I62" s="234"/>
      <c r="J62" s="234"/>
      <c r="K62" s="234"/>
      <c r="L62" s="237"/>
      <c r="M62" s="237"/>
      <c r="N62" s="234"/>
      <c r="O62" s="239"/>
      <c r="P62" s="239"/>
    </row>
    <row r="63" spans="2:16" s="272" customFormat="1">
      <c r="B63" s="238"/>
      <c r="C63" s="238"/>
      <c r="D63" s="237"/>
      <c r="E63" s="237"/>
      <c r="F63" s="237"/>
      <c r="G63" s="234"/>
      <c r="H63" s="234"/>
      <c r="I63" s="234"/>
      <c r="J63" s="234"/>
      <c r="K63" s="234"/>
      <c r="L63" s="237"/>
      <c r="M63" s="237"/>
      <c r="N63" s="234"/>
      <c r="O63" s="239"/>
      <c r="P63" s="239"/>
    </row>
    <row r="64" spans="2:16" s="272" customFormat="1">
      <c r="B64" s="238"/>
      <c r="C64" s="238"/>
      <c r="D64" s="237"/>
      <c r="E64" s="237"/>
      <c r="F64" s="237"/>
      <c r="G64" s="234"/>
      <c r="H64" s="234"/>
      <c r="I64" s="234"/>
      <c r="J64" s="234"/>
      <c r="K64" s="234"/>
      <c r="L64" s="237"/>
      <c r="M64" s="237"/>
      <c r="N64" s="234"/>
      <c r="O64" s="239"/>
      <c r="P64" s="239"/>
    </row>
    <row r="65" spans="2:16" s="272" customFormat="1">
      <c r="B65" s="238"/>
      <c r="C65" s="238"/>
      <c r="D65" s="237"/>
      <c r="E65" s="237"/>
      <c r="F65" s="237"/>
      <c r="G65" s="234"/>
      <c r="H65" s="234"/>
      <c r="I65" s="234"/>
      <c r="J65" s="234"/>
      <c r="K65" s="234"/>
      <c r="L65" s="237"/>
      <c r="M65" s="237"/>
      <c r="N65" s="234"/>
      <c r="O65" s="239"/>
      <c r="P65" s="239"/>
    </row>
    <row r="66" spans="2:16" s="272" customFormat="1">
      <c r="B66" s="238"/>
      <c r="C66" s="238"/>
      <c r="D66" s="237"/>
      <c r="E66" s="237"/>
      <c r="F66" s="237"/>
      <c r="G66" s="234"/>
      <c r="H66" s="234"/>
      <c r="I66" s="234"/>
      <c r="J66" s="234"/>
      <c r="K66" s="234"/>
      <c r="L66" s="237"/>
      <c r="M66" s="237"/>
      <c r="N66" s="234"/>
      <c r="O66" s="239"/>
      <c r="P66" s="239"/>
    </row>
    <row r="67" spans="2:16" s="272" customFormat="1">
      <c r="B67" s="238"/>
      <c r="C67" s="238"/>
      <c r="D67" s="237"/>
      <c r="E67" s="237"/>
      <c r="F67" s="237"/>
      <c r="G67" s="234"/>
      <c r="H67" s="234"/>
      <c r="I67" s="234"/>
      <c r="J67" s="234"/>
      <c r="K67" s="234"/>
      <c r="L67" s="237"/>
      <c r="M67" s="237"/>
      <c r="N67" s="234"/>
      <c r="O67" s="239"/>
      <c r="P67" s="239"/>
    </row>
    <row r="68" spans="2:16" s="272" customFormat="1">
      <c r="B68" s="238"/>
      <c r="C68" s="238"/>
      <c r="D68" s="237"/>
      <c r="E68" s="237"/>
      <c r="F68" s="237"/>
      <c r="G68" s="234"/>
      <c r="H68" s="234"/>
      <c r="I68" s="234"/>
      <c r="J68" s="234"/>
      <c r="K68" s="234"/>
      <c r="L68" s="237"/>
      <c r="M68" s="237"/>
      <c r="N68" s="234"/>
      <c r="O68" s="239"/>
      <c r="P68" s="239"/>
    </row>
    <row r="69" spans="2:16" s="272" customFormat="1">
      <c r="B69" s="238"/>
      <c r="C69" s="238"/>
      <c r="D69" s="237"/>
      <c r="E69" s="237"/>
      <c r="F69" s="237"/>
      <c r="G69" s="234"/>
      <c r="H69" s="234"/>
      <c r="I69" s="234"/>
      <c r="J69" s="234"/>
      <c r="K69" s="234"/>
      <c r="L69" s="237"/>
      <c r="M69" s="237"/>
      <c r="N69" s="234"/>
      <c r="O69" s="239"/>
      <c r="P69" s="239"/>
    </row>
    <row r="70" spans="2:16" s="272" customFormat="1">
      <c r="B70" s="238"/>
      <c r="C70" s="238"/>
      <c r="D70" s="237"/>
      <c r="E70" s="237"/>
      <c r="F70" s="237"/>
      <c r="G70" s="234"/>
      <c r="H70" s="234"/>
      <c r="I70" s="234"/>
      <c r="J70" s="234"/>
      <c r="K70" s="234"/>
      <c r="L70" s="237"/>
      <c r="M70" s="237"/>
      <c r="N70" s="234"/>
      <c r="O70" s="239"/>
      <c r="P70" s="239"/>
    </row>
    <row r="71" spans="2:16" s="272" customFormat="1">
      <c r="B71" s="238"/>
      <c r="C71" s="238"/>
      <c r="D71" s="237"/>
      <c r="E71" s="237"/>
      <c r="F71" s="237"/>
      <c r="G71" s="234"/>
      <c r="H71" s="234"/>
      <c r="I71" s="234"/>
      <c r="J71" s="234"/>
      <c r="K71" s="234"/>
      <c r="L71" s="237"/>
      <c r="M71" s="237"/>
      <c r="N71" s="234"/>
      <c r="O71" s="239"/>
      <c r="P71" s="239"/>
    </row>
    <row r="72" spans="2:16" s="272" customFormat="1">
      <c r="B72" s="238"/>
      <c r="C72" s="238"/>
      <c r="D72" s="237"/>
      <c r="E72" s="237"/>
      <c r="F72" s="237"/>
      <c r="G72" s="234"/>
      <c r="H72" s="234"/>
      <c r="I72" s="234"/>
      <c r="J72" s="234"/>
      <c r="K72" s="234"/>
      <c r="L72" s="237"/>
      <c r="M72" s="237"/>
      <c r="N72" s="234"/>
      <c r="O72" s="239"/>
      <c r="P72" s="239"/>
    </row>
    <row r="73" spans="2:16" s="272" customFormat="1">
      <c r="B73" s="238"/>
      <c r="C73" s="238"/>
      <c r="D73" s="237"/>
      <c r="E73" s="237"/>
      <c r="F73" s="237"/>
      <c r="G73" s="234"/>
      <c r="H73" s="234"/>
      <c r="I73" s="234"/>
      <c r="J73" s="234"/>
      <c r="K73" s="234"/>
      <c r="L73" s="237"/>
      <c r="M73" s="237"/>
      <c r="N73" s="234"/>
      <c r="O73" s="239"/>
      <c r="P73" s="239"/>
    </row>
    <row r="74" spans="2:16" s="272" customFormat="1">
      <c r="B74" s="238"/>
      <c r="C74" s="238"/>
      <c r="D74" s="237"/>
      <c r="E74" s="237"/>
      <c r="F74" s="237"/>
      <c r="G74" s="234"/>
      <c r="H74" s="234"/>
      <c r="I74" s="234"/>
      <c r="J74" s="234"/>
      <c r="K74" s="234"/>
      <c r="L74" s="237"/>
      <c r="M74" s="237"/>
      <c r="N74" s="234"/>
      <c r="O74" s="239"/>
      <c r="P74" s="239"/>
    </row>
    <row r="75" spans="2:16" s="272" customFormat="1">
      <c r="B75" s="238"/>
      <c r="C75" s="238"/>
      <c r="D75" s="237"/>
      <c r="E75" s="237"/>
      <c r="F75" s="237"/>
      <c r="G75" s="234"/>
      <c r="H75" s="234"/>
      <c r="I75" s="234"/>
      <c r="J75" s="234"/>
      <c r="K75" s="234"/>
      <c r="L75" s="237"/>
      <c r="M75" s="237"/>
      <c r="N75" s="234"/>
      <c r="O75" s="239"/>
      <c r="P75" s="239"/>
    </row>
    <row r="76" spans="2:16" s="272" customFormat="1">
      <c r="B76" s="238"/>
      <c r="C76" s="238"/>
      <c r="D76" s="237"/>
      <c r="E76" s="237"/>
      <c r="F76" s="237"/>
      <c r="G76" s="234"/>
      <c r="H76" s="234"/>
      <c r="I76" s="234"/>
      <c r="J76" s="234"/>
      <c r="K76" s="234"/>
      <c r="L76" s="237"/>
      <c r="M76" s="237"/>
      <c r="N76" s="234"/>
      <c r="O76" s="239"/>
      <c r="P76" s="239"/>
    </row>
    <row r="77" spans="2:16" s="272" customFormat="1">
      <c r="B77" s="238"/>
      <c r="C77" s="238"/>
      <c r="D77" s="237"/>
      <c r="E77" s="237"/>
      <c r="F77" s="237"/>
      <c r="G77" s="234"/>
      <c r="H77" s="234"/>
      <c r="I77" s="234"/>
      <c r="J77" s="234"/>
      <c r="K77" s="234"/>
      <c r="L77" s="237"/>
      <c r="M77" s="237"/>
      <c r="N77" s="234"/>
      <c r="O77" s="239"/>
      <c r="P77" s="239"/>
    </row>
    <row r="78" spans="2:16" s="272" customFormat="1">
      <c r="B78" s="238"/>
      <c r="C78" s="238"/>
      <c r="D78" s="237"/>
      <c r="E78" s="237"/>
      <c r="F78" s="237"/>
      <c r="G78" s="234"/>
      <c r="H78" s="234"/>
      <c r="I78" s="234"/>
      <c r="J78" s="234"/>
      <c r="K78" s="234"/>
      <c r="L78" s="237"/>
      <c r="M78" s="237"/>
      <c r="N78" s="234"/>
      <c r="O78" s="239"/>
      <c r="P78" s="239"/>
    </row>
    <row r="79" spans="2:16" s="272" customFormat="1">
      <c r="B79" s="238"/>
      <c r="C79" s="238"/>
      <c r="D79" s="237"/>
      <c r="E79" s="237"/>
      <c r="F79" s="237"/>
      <c r="G79" s="234"/>
      <c r="H79" s="234"/>
      <c r="I79" s="234"/>
      <c r="J79" s="234"/>
      <c r="K79" s="234"/>
      <c r="L79" s="237"/>
      <c r="M79" s="237"/>
      <c r="N79" s="234"/>
      <c r="O79" s="239"/>
      <c r="P79" s="239"/>
    </row>
    <row r="80" spans="2:16" s="272" customFormat="1">
      <c r="B80" s="238"/>
      <c r="C80" s="238"/>
      <c r="D80" s="237"/>
      <c r="E80" s="237"/>
      <c r="F80" s="237"/>
      <c r="G80" s="234"/>
      <c r="H80" s="234"/>
      <c r="I80" s="234"/>
      <c r="J80" s="234"/>
      <c r="K80" s="234"/>
      <c r="L80" s="237"/>
      <c r="M80" s="237"/>
      <c r="N80" s="234"/>
      <c r="O80" s="239"/>
      <c r="P80" s="239"/>
    </row>
    <row r="81" spans="2:16" s="272" customFormat="1">
      <c r="B81" s="238"/>
      <c r="C81" s="238"/>
      <c r="D81" s="237"/>
      <c r="E81" s="237"/>
      <c r="F81" s="237"/>
      <c r="G81" s="234"/>
      <c r="H81" s="234"/>
      <c r="I81" s="234"/>
      <c r="J81" s="234"/>
      <c r="K81" s="234"/>
      <c r="L81" s="237"/>
      <c r="M81" s="237"/>
      <c r="N81" s="234"/>
      <c r="O81" s="239"/>
      <c r="P81" s="239"/>
    </row>
    <row r="82" spans="2:16" s="272" customFormat="1">
      <c r="B82" s="238"/>
      <c r="C82" s="238"/>
      <c r="D82" s="237"/>
      <c r="E82" s="237"/>
      <c r="F82" s="237"/>
      <c r="G82" s="234"/>
      <c r="H82" s="234"/>
      <c r="I82" s="234"/>
      <c r="J82" s="234"/>
      <c r="K82" s="234"/>
      <c r="L82" s="237"/>
      <c r="M82" s="237"/>
      <c r="N82" s="234"/>
      <c r="O82" s="239"/>
      <c r="P82" s="239"/>
    </row>
    <row r="83" spans="2:16" s="272" customFormat="1">
      <c r="B83" s="238"/>
      <c r="C83" s="238"/>
      <c r="D83" s="237"/>
      <c r="E83" s="237"/>
      <c r="F83" s="237"/>
      <c r="G83" s="234"/>
      <c r="H83" s="234"/>
      <c r="I83" s="234"/>
      <c r="J83" s="234"/>
      <c r="K83" s="234"/>
      <c r="L83" s="237"/>
      <c r="M83" s="237"/>
      <c r="N83" s="234"/>
      <c r="O83" s="239"/>
      <c r="P83" s="239"/>
    </row>
    <row r="84" spans="2:16" s="272" customFormat="1">
      <c r="B84" s="238"/>
      <c r="C84" s="238"/>
      <c r="D84" s="237"/>
      <c r="E84" s="237"/>
      <c r="F84" s="237"/>
      <c r="G84" s="234"/>
      <c r="H84" s="234"/>
      <c r="I84" s="234"/>
      <c r="J84" s="234"/>
      <c r="K84" s="234"/>
      <c r="L84" s="237"/>
      <c r="M84" s="237"/>
      <c r="N84" s="234"/>
      <c r="O84" s="239"/>
      <c r="P84" s="239"/>
    </row>
    <row r="85" spans="2:16" s="272" customFormat="1">
      <c r="B85" s="238"/>
      <c r="C85" s="238"/>
      <c r="D85" s="237"/>
      <c r="E85" s="237"/>
      <c r="F85" s="237"/>
      <c r="G85" s="234"/>
      <c r="H85" s="234"/>
      <c r="I85" s="234"/>
      <c r="J85" s="234"/>
      <c r="K85" s="234"/>
      <c r="L85" s="237"/>
      <c r="M85" s="237"/>
      <c r="N85" s="234"/>
      <c r="O85" s="239"/>
      <c r="P85" s="239"/>
    </row>
    <row r="86" spans="2:16" s="272" customFormat="1">
      <c r="B86" s="238"/>
      <c r="C86" s="238"/>
      <c r="D86" s="237"/>
      <c r="E86" s="237"/>
      <c r="F86" s="237"/>
      <c r="G86" s="234"/>
      <c r="H86" s="234"/>
      <c r="I86" s="234"/>
      <c r="J86" s="234"/>
      <c r="K86" s="234"/>
      <c r="L86" s="237"/>
      <c r="M86" s="237"/>
      <c r="N86" s="234"/>
      <c r="O86" s="239"/>
      <c r="P86" s="239"/>
    </row>
    <row r="87" spans="2:16" s="272" customFormat="1">
      <c r="B87" s="238"/>
      <c r="C87" s="238"/>
      <c r="D87" s="237"/>
      <c r="E87" s="237"/>
      <c r="F87" s="237"/>
      <c r="G87" s="234"/>
      <c r="H87" s="234"/>
      <c r="I87" s="234"/>
      <c r="J87" s="234"/>
      <c r="K87" s="234"/>
      <c r="L87" s="237"/>
      <c r="M87" s="237"/>
      <c r="N87" s="234"/>
      <c r="O87" s="239"/>
      <c r="P87" s="239"/>
    </row>
    <row r="88" spans="2:16" s="272" customFormat="1">
      <c r="B88" s="238"/>
      <c r="C88" s="238"/>
      <c r="D88" s="237"/>
      <c r="E88" s="237"/>
      <c r="F88" s="237"/>
      <c r="G88" s="234"/>
      <c r="H88" s="234"/>
      <c r="I88" s="234"/>
      <c r="J88" s="234"/>
      <c r="K88" s="234"/>
      <c r="L88" s="237"/>
      <c r="M88" s="237"/>
      <c r="N88" s="234"/>
      <c r="O88" s="239"/>
      <c r="P88" s="239"/>
    </row>
    <row r="89" spans="2:16" s="272" customFormat="1">
      <c r="B89" s="238"/>
      <c r="C89" s="238"/>
      <c r="D89" s="237"/>
      <c r="E89" s="237"/>
      <c r="F89" s="237"/>
      <c r="G89" s="234"/>
      <c r="H89" s="234"/>
      <c r="I89" s="234"/>
      <c r="J89" s="234"/>
      <c r="K89" s="234"/>
      <c r="L89" s="237"/>
      <c r="M89" s="237"/>
      <c r="N89" s="234"/>
      <c r="O89" s="239"/>
      <c r="P89" s="239"/>
    </row>
    <row r="90" spans="2:16" s="272" customFormat="1">
      <c r="B90" s="238"/>
      <c r="C90" s="238"/>
      <c r="D90" s="237"/>
      <c r="E90" s="237"/>
      <c r="F90" s="237"/>
      <c r="G90" s="234"/>
      <c r="H90" s="234"/>
      <c r="I90" s="234"/>
      <c r="J90" s="234"/>
      <c r="K90" s="234"/>
      <c r="L90" s="237"/>
      <c r="M90" s="237"/>
      <c r="N90" s="234"/>
      <c r="O90" s="239"/>
      <c r="P90" s="239"/>
    </row>
    <row r="91" spans="2:16" s="272" customFormat="1">
      <c r="B91" s="238"/>
      <c r="C91" s="238"/>
      <c r="D91" s="237"/>
      <c r="E91" s="237"/>
      <c r="F91" s="237"/>
      <c r="G91" s="234"/>
      <c r="H91" s="234"/>
      <c r="I91" s="234"/>
      <c r="J91" s="234"/>
      <c r="K91" s="234"/>
      <c r="L91" s="237"/>
      <c r="M91" s="237"/>
      <c r="N91" s="234"/>
      <c r="O91" s="239"/>
      <c r="P91" s="239"/>
    </row>
    <row r="92" spans="2:16" s="272" customFormat="1">
      <c r="B92" s="238"/>
      <c r="C92" s="238"/>
      <c r="D92" s="237"/>
      <c r="E92" s="237"/>
      <c r="F92" s="237"/>
      <c r="G92" s="234"/>
      <c r="H92" s="234"/>
      <c r="I92" s="234"/>
      <c r="J92" s="234"/>
      <c r="K92" s="234"/>
      <c r="L92" s="237"/>
      <c r="M92" s="237"/>
      <c r="N92" s="234"/>
      <c r="O92" s="239"/>
      <c r="P92" s="239"/>
    </row>
    <row r="93" spans="2:16" s="272" customFormat="1">
      <c r="B93" s="238"/>
      <c r="C93" s="238"/>
      <c r="D93" s="237"/>
      <c r="E93" s="237"/>
      <c r="F93" s="237"/>
      <c r="G93" s="234"/>
      <c r="H93" s="234"/>
      <c r="I93" s="234"/>
      <c r="J93" s="234"/>
      <c r="K93" s="234"/>
      <c r="L93" s="237"/>
      <c r="M93" s="237"/>
      <c r="N93" s="234"/>
      <c r="O93" s="239"/>
      <c r="P93" s="239"/>
    </row>
    <row r="94" spans="2:16" s="272" customFormat="1">
      <c r="B94" s="238"/>
      <c r="C94" s="238"/>
      <c r="D94" s="237"/>
      <c r="E94" s="237"/>
      <c r="F94" s="237"/>
      <c r="G94" s="234"/>
      <c r="H94" s="234"/>
      <c r="I94" s="234"/>
      <c r="J94" s="234"/>
      <c r="K94" s="234"/>
      <c r="L94" s="237"/>
      <c r="M94" s="237"/>
      <c r="N94" s="234"/>
      <c r="O94" s="239"/>
      <c r="P94" s="239"/>
    </row>
    <row r="95" spans="2:16" s="272" customFormat="1">
      <c r="B95" s="238"/>
      <c r="C95" s="238"/>
      <c r="D95" s="237"/>
      <c r="E95" s="237"/>
      <c r="F95" s="237"/>
      <c r="G95" s="234"/>
      <c r="H95" s="234"/>
      <c r="I95" s="234"/>
      <c r="J95" s="234"/>
      <c r="K95" s="234"/>
      <c r="L95" s="237"/>
      <c r="M95" s="237"/>
      <c r="N95" s="234"/>
      <c r="O95" s="239"/>
      <c r="P95" s="239"/>
    </row>
    <row r="96" spans="2:16" s="272" customFormat="1">
      <c r="B96" s="238"/>
      <c r="C96" s="238"/>
      <c r="D96" s="237"/>
      <c r="E96" s="237"/>
      <c r="F96" s="237"/>
      <c r="G96" s="234"/>
      <c r="H96" s="234"/>
      <c r="I96" s="234"/>
      <c r="J96" s="234"/>
      <c r="K96" s="234"/>
      <c r="L96" s="237"/>
      <c r="M96" s="237"/>
      <c r="N96" s="234"/>
      <c r="O96" s="239"/>
      <c r="P96" s="239"/>
    </row>
    <row r="97" spans="2:16" s="272" customFormat="1">
      <c r="B97" s="238"/>
      <c r="C97" s="238"/>
      <c r="D97" s="237"/>
      <c r="E97" s="237"/>
      <c r="F97" s="237"/>
      <c r="G97" s="234"/>
      <c r="H97" s="234"/>
      <c r="I97" s="234"/>
      <c r="J97" s="234"/>
      <c r="K97" s="234"/>
      <c r="L97" s="237"/>
      <c r="M97" s="237"/>
      <c r="N97" s="234"/>
      <c r="O97" s="239"/>
      <c r="P97" s="239"/>
    </row>
    <row r="98" spans="2:16" s="272" customFormat="1">
      <c r="B98" s="238"/>
      <c r="C98" s="238"/>
      <c r="D98" s="237"/>
      <c r="E98" s="237"/>
      <c r="F98" s="237"/>
      <c r="G98" s="234"/>
      <c r="H98" s="234"/>
      <c r="I98" s="234"/>
      <c r="J98" s="234"/>
      <c r="K98" s="234"/>
      <c r="L98" s="237"/>
      <c r="M98" s="237"/>
      <c r="N98" s="234"/>
      <c r="O98" s="239"/>
      <c r="P98" s="239"/>
    </row>
    <row r="99" spans="2:16" s="272" customFormat="1">
      <c r="B99" s="238"/>
      <c r="C99" s="238"/>
      <c r="D99" s="237"/>
      <c r="E99" s="237"/>
      <c r="F99" s="237"/>
      <c r="G99" s="234"/>
      <c r="H99" s="234"/>
      <c r="I99" s="234"/>
      <c r="J99" s="234"/>
      <c r="K99" s="234"/>
      <c r="L99" s="237"/>
      <c r="M99" s="237"/>
      <c r="N99" s="234"/>
      <c r="O99" s="239"/>
      <c r="P99" s="239"/>
    </row>
    <row r="100" spans="2:16" s="272" customFormat="1">
      <c r="B100" s="238"/>
      <c r="C100" s="238"/>
      <c r="D100" s="237"/>
      <c r="E100" s="237"/>
      <c r="F100" s="237"/>
      <c r="G100" s="234"/>
      <c r="H100" s="234"/>
      <c r="I100" s="234"/>
      <c r="J100" s="234"/>
      <c r="K100" s="234"/>
      <c r="L100" s="237"/>
      <c r="M100" s="237"/>
      <c r="N100" s="234"/>
      <c r="O100" s="239"/>
      <c r="P100" s="239"/>
    </row>
    <row r="101" spans="2:16" s="272" customFormat="1">
      <c r="B101" s="238"/>
      <c r="C101" s="238"/>
      <c r="D101" s="237"/>
      <c r="E101" s="237"/>
      <c r="F101" s="237"/>
      <c r="G101" s="234"/>
      <c r="H101" s="234"/>
      <c r="I101" s="234"/>
      <c r="J101" s="234"/>
      <c r="K101" s="234"/>
      <c r="L101" s="237"/>
      <c r="M101" s="237"/>
      <c r="N101" s="234"/>
      <c r="O101" s="239"/>
      <c r="P101" s="239"/>
    </row>
    <row r="102" spans="2:16" s="272" customFormat="1">
      <c r="B102" s="238"/>
      <c r="C102" s="238"/>
      <c r="D102" s="237"/>
      <c r="E102" s="237"/>
      <c r="F102" s="237"/>
      <c r="G102" s="234"/>
      <c r="H102" s="234"/>
      <c r="I102" s="234"/>
      <c r="J102" s="234"/>
      <c r="K102" s="234"/>
      <c r="L102" s="237"/>
      <c r="M102" s="237"/>
      <c r="N102" s="234"/>
      <c r="O102" s="239"/>
      <c r="P102" s="239"/>
    </row>
    <row r="103" spans="2:16" s="272" customFormat="1">
      <c r="B103" s="238"/>
      <c r="C103" s="238"/>
      <c r="D103" s="237"/>
      <c r="E103" s="237"/>
      <c r="F103" s="237"/>
      <c r="G103" s="234"/>
      <c r="H103" s="234"/>
      <c r="I103" s="234"/>
      <c r="J103" s="234"/>
      <c r="K103" s="234"/>
      <c r="L103" s="237"/>
      <c r="M103" s="237"/>
      <c r="N103" s="234"/>
      <c r="O103" s="239"/>
      <c r="P103" s="239"/>
    </row>
    <row r="104" spans="2:16" s="272" customFormat="1">
      <c r="B104" s="238"/>
      <c r="C104" s="238"/>
      <c r="D104" s="237"/>
      <c r="E104" s="237"/>
      <c r="F104" s="237"/>
      <c r="G104" s="234"/>
      <c r="H104" s="234"/>
      <c r="I104" s="234"/>
      <c r="J104" s="234"/>
      <c r="K104" s="234"/>
      <c r="L104" s="237"/>
      <c r="M104" s="237"/>
      <c r="N104" s="234"/>
      <c r="O104" s="239"/>
      <c r="P104" s="239"/>
    </row>
    <row r="105" spans="2:16" s="272" customFormat="1">
      <c r="B105" s="238"/>
      <c r="C105" s="238"/>
      <c r="D105" s="237"/>
      <c r="E105" s="237"/>
      <c r="F105" s="237"/>
      <c r="G105" s="234"/>
      <c r="H105" s="234"/>
      <c r="I105" s="234"/>
      <c r="J105" s="234"/>
      <c r="K105" s="234"/>
      <c r="L105" s="237"/>
      <c r="M105" s="237"/>
      <c r="N105" s="234"/>
      <c r="O105" s="239"/>
      <c r="P105" s="239"/>
    </row>
    <row r="106" spans="2:16" s="272" customFormat="1">
      <c r="B106" s="238"/>
      <c r="C106" s="238"/>
      <c r="D106" s="237"/>
      <c r="E106" s="237"/>
      <c r="F106" s="237"/>
      <c r="G106" s="234"/>
      <c r="H106" s="234"/>
      <c r="I106" s="234"/>
      <c r="J106" s="234"/>
      <c r="K106" s="234"/>
      <c r="L106" s="237"/>
      <c r="M106" s="237"/>
      <c r="N106" s="234"/>
      <c r="O106" s="239"/>
      <c r="P106" s="239"/>
    </row>
    <row r="107" spans="2:16" s="272" customFormat="1">
      <c r="B107" s="238"/>
      <c r="C107" s="238"/>
      <c r="D107" s="237"/>
      <c r="E107" s="237"/>
      <c r="F107" s="237"/>
      <c r="G107" s="234"/>
      <c r="H107" s="234"/>
      <c r="I107" s="234"/>
      <c r="J107" s="234"/>
      <c r="K107" s="234"/>
      <c r="L107" s="237"/>
      <c r="M107" s="237"/>
      <c r="N107" s="234"/>
      <c r="O107" s="239"/>
      <c r="P107" s="239"/>
    </row>
    <row r="108" spans="2:16" s="272" customFormat="1">
      <c r="B108" s="238"/>
      <c r="C108" s="238"/>
      <c r="D108" s="237"/>
      <c r="E108" s="237"/>
      <c r="F108" s="237"/>
      <c r="G108" s="234"/>
      <c r="H108" s="234"/>
      <c r="I108" s="234"/>
      <c r="J108" s="234"/>
      <c r="K108" s="234"/>
      <c r="L108" s="237"/>
      <c r="M108" s="237"/>
      <c r="N108" s="234"/>
      <c r="O108" s="239"/>
      <c r="P108" s="239"/>
    </row>
    <row r="109" spans="2:16" s="272" customFormat="1">
      <c r="B109" s="238"/>
      <c r="C109" s="238"/>
      <c r="D109" s="237"/>
      <c r="E109" s="237"/>
      <c r="F109" s="237"/>
      <c r="G109" s="234"/>
      <c r="H109" s="234"/>
      <c r="I109" s="234"/>
      <c r="J109" s="234"/>
      <c r="K109" s="234"/>
      <c r="L109" s="237"/>
      <c r="M109" s="237"/>
      <c r="N109" s="234"/>
      <c r="O109" s="239"/>
      <c r="P109" s="239"/>
    </row>
    <row r="110" spans="2:16" s="272" customFormat="1">
      <c r="B110" s="238"/>
      <c r="C110" s="238"/>
      <c r="D110" s="237"/>
      <c r="E110" s="237"/>
      <c r="F110" s="237"/>
      <c r="G110" s="234"/>
      <c r="H110" s="234"/>
      <c r="I110" s="234"/>
      <c r="J110" s="234"/>
      <c r="K110" s="234"/>
      <c r="L110" s="237"/>
      <c r="M110" s="237"/>
      <c r="N110" s="234"/>
      <c r="O110" s="239"/>
      <c r="P110" s="239"/>
    </row>
    <row r="111" spans="2:16" s="272" customFormat="1">
      <c r="B111" s="238"/>
      <c r="C111" s="238"/>
      <c r="D111" s="237"/>
      <c r="E111" s="237"/>
      <c r="F111" s="237"/>
      <c r="G111" s="234"/>
      <c r="H111" s="234"/>
      <c r="I111" s="234"/>
      <c r="J111" s="234"/>
      <c r="K111" s="234"/>
      <c r="L111" s="237"/>
      <c r="M111" s="237"/>
      <c r="N111" s="234"/>
      <c r="O111" s="239"/>
      <c r="P111" s="239"/>
    </row>
    <row r="112" spans="2:16" s="272" customFormat="1">
      <c r="B112" s="238"/>
      <c r="C112" s="238"/>
      <c r="D112" s="237"/>
      <c r="E112" s="237"/>
      <c r="F112" s="237"/>
      <c r="G112" s="234"/>
      <c r="H112" s="234"/>
      <c r="I112" s="234"/>
      <c r="J112" s="234"/>
      <c r="K112" s="234"/>
      <c r="L112" s="237"/>
      <c r="M112" s="237"/>
      <c r="N112" s="234"/>
      <c r="O112" s="239"/>
      <c r="P112" s="239"/>
    </row>
    <row r="113" spans="2:16" s="272" customFormat="1">
      <c r="B113" s="238"/>
      <c r="C113" s="238"/>
      <c r="D113" s="237"/>
      <c r="E113" s="237"/>
      <c r="F113" s="237"/>
      <c r="G113" s="234"/>
      <c r="H113" s="234"/>
      <c r="I113" s="234"/>
      <c r="J113" s="234"/>
      <c r="K113" s="234"/>
      <c r="L113" s="237"/>
      <c r="M113" s="237"/>
      <c r="N113" s="234"/>
      <c r="O113" s="239"/>
      <c r="P113" s="239"/>
    </row>
    <row r="114" spans="2:16" s="272" customFormat="1">
      <c r="B114" s="238"/>
      <c r="C114" s="238"/>
      <c r="D114" s="237"/>
      <c r="E114" s="237"/>
      <c r="F114" s="237"/>
      <c r="G114" s="234"/>
      <c r="H114" s="234"/>
      <c r="I114" s="234"/>
      <c r="J114" s="234"/>
      <c r="K114" s="234"/>
      <c r="L114" s="237"/>
      <c r="M114" s="237"/>
      <c r="N114" s="234"/>
      <c r="O114" s="239"/>
      <c r="P114" s="239"/>
    </row>
    <row r="115" spans="2:16" s="272" customFormat="1">
      <c r="B115" s="238"/>
      <c r="C115" s="238"/>
      <c r="D115" s="237"/>
      <c r="E115" s="237"/>
      <c r="F115" s="237"/>
      <c r="G115" s="234"/>
      <c r="H115" s="234"/>
      <c r="I115" s="234"/>
      <c r="J115" s="234"/>
      <c r="K115" s="234"/>
      <c r="L115" s="237"/>
      <c r="M115" s="237"/>
      <c r="N115" s="234"/>
      <c r="O115" s="239"/>
      <c r="P115" s="239"/>
    </row>
    <row r="116" spans="2:16" s="272" customFormat="1">
      <c r="B116" s="238"/>
      <c r="C116" s="238"/>
      <c r="D116" s="237"/>
      <c r="E116" s="237"/>
      <c r="F116" s="237"/>
      <c r="G116" s="234"/>
      <c r="H116" s="234"/>
      <c r="I116" s="234"/>
      <c r="J116" s="234"/>
      <c r="K116" s="234"/>
      <c r="L116" s="237"/>
      <c r="M116" s="237"/>
      <c r="N116" s="234"/>
      <c r="O116" s="239"/>
      <c r="P116" s="239"/>
    </row>
    <row r="117" spans="2:16" s="272" customFormat="1">
      <c r="B117" s="238"/>
      <c r="C117" s="238"/>
      <c r="D117" s="237"/>
      <c r="E117" s="237"/>
      <c r="F117" s="237"/>
      <c r="G117" s="234"/>
      <c r="H117" s="234"/>
      <c r="I117" s="234"/>
      <c r="J117" s="234"/>
      <c r="K117" s="234"/>
      <c r="L117" s="237"/>
      <c r="M117" s="237"/>
      <c r="N117" s="234"/>
      <c r="O117" s="239"/>
      <c r="P117" s="239"/>
    </row>
    <row r="118" spans="2:16" s="272" customFormat="1">
      <c r="B118" s="238"/>
      <c r="C118" s="238"/>
      <c r="D118" s="237"/>
      <c r="E118" s="237"/>
      <c r="F118" s="237"/>
      <c r="G118" s="234"/>
      <c r="H118" s="234"/>
      <c r="I118" s="234"/>
      <c r="J118" s="234"/>
      <c r="K118" s="234"/>
      <c r="L118" s="237"/>
      <c r="M118" s="237"/>
      <c r="N118" s="234"/>
      <c r="O118" s="239"/>
      <c r="P118" s="239"/>
    </row>
    <row r="119" spans="2:16" s="272" customFormat="1">
      <c r="B119" s="238"/>
      <c r="C119" s="238"/>
      <c r="D119" s="237"/>
      <c r="E119" s="237"/>
      <c r="F119" s="237"/>
      <c r="G119" s="234"/>
      <c r="H119" s="234"/>
      <c r="I119" s="234"/>
      <c r="J119" s="234"/>
      <c r="K119" s="234"/>
      <c r="L119" s="237"/>
      <c r="M119" s="237"/>
      <c r="N119" s="234"/>
      <c r="O119" s="239"/>
      <c r="P119" s="239"/>
    </row>
    <row r="120" spans="2:16" s="272" customFormat="1">
      <c r="B120" s="238"/>
      <c r="C120" s="238"/>
      <c r="D120" s="237"/>
      <c r="E120" s="237"/>
      <c r="F120" s="237"/>
      <c r="G120" s="234"/>
      <c r="H120" s="234"/>
      <c r="I120" s="234"/>
      <c r="J120" s="234"/>
      <c r="K120" s="234"/>
      <c r="L120" s="237"/>
      <c r="M120" s="237"/>
      <c r="N120" s="234"/>
      <c r="O120" s="239"/>
      <c r="P120" s="239"/>
    </row>
    <row r="121" spans="2:16" s="272" customFormat="1">
      <c r="B121" s="238"/>
      <c r="C121" s="238"/>
      <c r="D121" s="237"/>
      <c r="E121" s="237"/>
      <c r="F121" s="237"/>
      <c r="G121" s="234"/>
      <c r="H121" s="234"/>
      <c r="I121" s="234"/>
      <c r="J121" s="234"/>
      <c r="K121" s="234"/>
      <c r="L121" s="237"/>
      <c r="M121" s="237"/>
      <c r="N121" s="234"/>
      <c r="O121" s="239"/>
      <c r="P121" s="239"/>
    </row>
    <row r="122" spans="2:16" s="272" customFormat="1">
      <c r="B122" s="238"/>
      <c r="C122" s="238"/>
      <c r="D122" s="237"/>
      <c r="E122" s="237"/>
      <c r="F122" s="237"/>
      <c r="G122" s="234"/>
      <c r="H122" s="234"/>
      <c r="I122" s="234"/>
      <c r="J122" s="234"/>
      <c r="K122" s="234"/>
      <c r="L122" s="237"/>
      <c r="M122" s="237"/>
      <c r="N122" s="234"/>
      <c r="O122" s="239"/>
      <c r="P122" s="239"/>
    </row>
    <row r="123" spans="2:16" s="272" customFormat="1">
      <c r="B123" s="238"/>
      <c r="C123" s="238"/>
      <c r="D123" s="237"/>
      <c r="E123" s="237"/>
      <c r="F123" s="237"/>
      <c r="G123" s="234"/>
      <c r="H123" s="234"/>
      <c r="I123" s="234"/>
      <c r="J123" s="234"/>
      <c r="K123" s="234"/>
      <c r="L123" s="237"/>
      <c r="M123" s="237"/>
      <c r="N123" s="234"/>
      <c r="O123" s="239"/>
      <c r="P123" s="239"/>
    </row>
    <row r="124" spans="2:16" s="272" customFormat="1">
      <c r="B124" s="238"/>
      <c r="C124" s="238"/>
      <c r="D124" s="237"/>
      <c r="E124" s="237"/>
      <c r="F124" s="237"/>
      <c r="G124" s="234"/>
      <c r="H124" s="234"/>
      <c r="I124" s="234"/>
      <c r="J124" s="234"/>
      <c r="K124" s="234"/>
      <c r="L124" s="237"/>
      <c r="M124" s="237"/>
      <c r="N124" s="234"/>
      <c r="O124" s="239"/>
      <c r="P124" s="239"/>
    </row>
    <row r="125" spans="2:16" s="272" customFormat="1">
      <c r="B125" s="238"/>
      <c r="C125" s="238"/>
      <c r="D125" s="237"/>
      <c r="E125" s="237"/>
      <c r="F125" s="237"/>
      <c r="G125" s="234"/>
      <c r="H125" s="234"/>
      <c r="I125" s="234"/>
      <c r="J125" s="234"/>
      <c r="K125" s="234"/>
      <c r="L125" s="237"/>
      <c r="M125" s="237"/>
      <c r="N125" s="234"/>
      <c r="O125" s="239"/>
      <c r="P125" s="239"/>
    </row>
    <row r="126" spans="2:16" s="272" customFormat="1">
      <c r="B126" s="238"/>
      <c r="C126" s="238"/>
      <c r="D126" s="237"/>
      <c r="E126" s="237"/>
      <c r="F126" s="237"/>
      <c r="G126" s="234"/>
      <c r="H126" s="234"/>
      <c r="I126" s="234"/>
      <c r="J126" s="234"/>
      <c r="K126" s="234"/>
      <c r="L126" s="237"/>
      <c r="M126" s="237"/>
      <c r="N126" s="234"/>
      <c r="O126" s="239"/>
      <c r="P126" s="239"/>
    </row>
    <row r="127" spans="2:16" s="272" customFormat="1">
      <c r="B127" s="238"/>
      <c r="C127" s="238"/>
      <c r="D127" s="237"/>
      <c r="E127" s="237"/>
      <c r="F127" s="237"/>
      <c r="G127" s="234"/>
      <c r="H127" s="234"/>
      <c r="I127" s="234"/>
      <c r="J127" s="234"/>
      <c r="K127" s="234"/>
      <c r="L127" s="237"/>
      <c r="M127" s="237"/>
      <c r="N127" s="234"/>
      <c r="O127" s="239"/>
      <c r="P127" s="239"/>
    </row>
    <row r="128" spans="2:16" s="272" customFormat="1">
      <c r="B128" s="238"/>
      <c r="C128" s="238"/>
      <c r="D128" s="237"/>
      <c r="E128" s="237"/>
      <c r="F128" s="237"/>
      <c r="G128" s="234"/>
      <c r="H128" s="234"/>
      <c r="I128" s="234"/>
      <c r="J128" s="234"/>
      <c r="K128" s="234"/>
      <c r="L128" s="237"/>
      <c r="M128" s="237"/>
      <c r="N128" s="234"/>
      <c r="O128" s="239"/>
      <c r="P128" s="239"/>
    </row>
    <row r="129" spans="2:16" s="272" customFormat="1">
      <c r="B129" s="238"/>
      <c r="C129" s="238"/>
      <c r="D129" s="237"/>
      <c r="E129" s="237"/>
      <c r="F129" s="237"/>
      <c r="G129" s="234"/>
      <c r="H129" s="234"/>
      <c r="I129" s="234"/>
      <c r="J129" s="234"/>
      <c r="K129" s="234"/>
      <c r="L129" s="237"/>
      <c r="M129" s="237"/>
      <c r="N129" s="234"/>
      <c r="O129" s="239"/>
      <c r="P129" s="239"/>
    </row>
    <row r="130" spans="2:16" s="272" customFormat="1">
      <c r="B130" s="238"/>
      <c r="C130" s="238"/>
      <c r="D130" s="237"/>
      <c r="E130" s="237"/>
      <c r="F130" s="237"/>
      <c r="G130" s="234"/>
      <c r="H130" s="234"/>
      <c r="I130" s="234"/>
      <c r="J130" s="234"/>
      <c r="K130" s="234"/>
      <c r="L130" s="237"/>
      <c r="M130" s="237"/>
      <c r="N130" s="234"/>
      <c r="O130" s="239"/>
      <c r="P130" s="239"/>
    </row>
    <row r="131" spans="2:16" s="272" customFormat="1">
      <c r="B131" s="238"/>
      <c r="C131" s="238"/>
      <c r="D131" s="237"/>
      <c r="E131" s="237"/>
      <c r="F131" s="237"/>
      <c r="G131" s="234"/>
      <c r="H131" s="234"/>
      <c r="I131" s="234"/>
      <c r="J131" s="234"/>
      <c r="K131" s="234"/>
      <c r="L131" s="237"/>
      <c r="M131" s="237"/>
      <c r="N131" s="234"/>
      <c r="O131" s="239"/>
      <c r="P131" s="239"/>
    </row>
    <row r="132" spans="2:16" s="272" customFormat="1">
      <c r="B132" s="238"/>
      <c r="C132" s="238"/>
      <c r="D132" s="237"/>
      <c r="E132" s="237"/>
      <c r="F132" s="237"/>
      <c r="G132" s="234"/>
      <c r="H132" s="234"/>
      <c r="I132" s="234"/>
      <c r="J132" s="234"/>
      <c r="K132" s="234"/>
      <c r="L132" s="237"/>
      <c r="M132" s="237"/>
      <c r="N132" s="234"/>
      <c r="O132" s="239"/>
      <c r="P132" s="239"/>
    </row>
    <row r="133" spans="2:16" s="272" customFormat="1">
      <c r="B133" s="238"/>
      <c r="C133" s="238"/>
      <c r="D133" s="237"/>
      <c r="E133" s="237"/>
      <c r="F133" s="237"/>
      <c r="G133" s="234"/>
      <c r="H133" s="234"/>
      <c r="I133" s="234"/>
      <c r="J133" s="234"/>
      <c r="K133" s="234"/>
      <c r="L133" s="237"/>
      <c r="M133" s="237"/>
      <c r="N133" s="234"/>
      <c r="O133" s="239"/>
      <c r="P133" s="239"/>
    </row>
    <row r="134" spans="2:16" s="272" customFormat="1">
      <c r="B134" s="238"/>
      <c r="C134" s="238"/>
      <c r="D134" s="237"/>
      <c r="E134" s="237"/>
      <c r="F134" s="237"/>
      <c r="G134" s="234"/>
      <c r="H134" s="234"/>
      <c r="I134" s="234"/>
      <c r="J134" s="234"/>
      <c r="K134" s="234"/>
      <c r="L134" s="237"/>
      <c r="M134" s="237"/>
      <c r="N134" s="234"/>
      <c r="O134" s="239"/>
      <c r="P134" s="239"/>
    </row>
    <row r="135" spans="2:16" s="272" customFormat="1">
      <c r="B135" s="238"/>
      <c r="C135" s="238"/>
      <c r="D135" s="237"/>
      <c r="E135" s="237"/>
      <c r="F135" s="237"/>
      <c r="G135" s="234"/>
      <c r="H135" s="234"/>
      <c r="I135" s="234"/>
      <c r="J135" s="234"/>
      <c r="K135" s="234"/>
      <c r="L135" s="237"/>
      <c r="M135" s="237"/>
      <c r="N135" s="234"/>
      <c r="O135" s="239"/>
      <c r="P135" s="239"/>
    </row>
    <row r="136" spans="2:16" s="272" customFormat="1">
      <c r="B136" s="238"/>
      <c r="C136" s="238"/>
      <c r="D136" s="237"/>
      <c r="E136" s="237"/>
      <c r="F136" s="237"/>
      <c r="G136" s="234"/>
      <c r="H136" s="234"/>
      <c r="I136" s="234"/>
      <c r="J136" s="234"/>
      <c r="K136" s="234"/>
      <c r="L136" s="237"/>
      <c r="M136" s="237"/>
      <c r="N136" s="234"/>
      <c r="O136" s="239"/>
      <c r="P136" s="239"/>
    </row>
    <row r="137" spans="2:16" s="272" customFormat="1">
      <c r="B137" s="238"/>
      <c r="C137" s="238"/>
      <c r="D137" s="237"/>
      <c r="E137" s="237"/>
      <c r="F137" s="237"/>
      <c r="G137" s="234"/>
      <c r="H137" s="234"/>
      <c r="I137" s="234"/>
      <c r="J137" s="234"/>
      <c r="K137" s="234"/>
      <c r="L137" s="237"/>
      <c r="M137" s="237"/>
      <c r="N137" s="234"/>
      <c r="O137" s="239"/>
      <c r="P137" s="239"/>
    </row>
    <row r="138" spans="2:16" s="272" customFormat="1">
      <c r="B138" s="238"/>
      <c r="C138" s="238"/>
      <c r="D138" s="237"/>
      <c r="E138" s="237"/>
      <c r="F138" s="237"/>
      <c r="G138" s="234"/>
      <c r="H138" s="234"/>
      <c r="I138" s="234"/>
      <c r="J138" s="234"/>
      <c r="K138" s="234"/>
      <c r="L138" s="237"/>
      <c r="M138" s="237"/>
      <c r="N138" s="234"/>
      <c r="O138" s="239"/>
      <c r="P138" s="239"/>
    </row>
    <row r="139" spans="2:16" s="272" customFormat="1">
      <c r="B139" s="238"/>
      <c r="C139" s="238"/>
      <c r="D139" s="237"/>
      <c r="E139" s="237"/>
      <c r="F139" s="237"/>
      <c r="G139" s="234"/>
      <c r="H139" s="234"/>
      <c r="I139" s="234"/>
      <c r="J139" s="234"/>
      <c r="K139" s="234"/>
      <c r="L139" s="237"/>
      <c r="M139" s="237"/>
      <c r="N139" s="234"/>
      <c r="O139" s="239"/>
      <c r="P139" s="239"/>
    </row>
    <row r="140" spans="2:16" s="272" customFormat="1">
      <c r="B140" s="238"/>
      <c r="C140" s="238"/>
      <c r="D140" s="237"/>
      <c r="E140" s="237"/>
      <c r="F140" s="237"/>
      <c r="G140" s="234"/>
      <c r="H140" s="234"/>
      <c r="I140" s="234"/>
      <c r="J140" s="234"/>
      <c r="K140" s="234"/>
      <c r="L140" s="237"/>
      <c r="M140" s="237"/>
      <c r="N140" s="234"/>
      <c r="O140" s="239"/>
      <c r="P140" s="239"/>
    </row>
    <row r="141" spans="2:16" s="272" customFormat="1">
      <c r="B141" s="238"/>
      <c r="C141" s="238"/>
      <c r="D141" s="237"/>
      <c r="E141" s="237"/>
      <c r="F141" s="237"/>
      <c r="G141" s="234"/>
      <c r="H141" s="234"/>
      <c r="I141" s="234"/>
      <c r="J141" s="234"/>
      <c r="K141" s="234"/>
      <c r="L141" s="237"/>
      <c r="M141" s="237"/>
      <c r="N141" s="234"/>
      <c r="O141" s="239"/>
      <c r="P141" s="239"/>
    </row>
    <row r="142" spans="2:16" s="272" customFormat="1">
      <c r="B142" s="238"/>
      <c r="C142" s="238"/>
      <c r="D142" s="237"/>
      <c r="E142" s="237"/>
      <c r="F142" s="237"/>
      <c r="G142" s="234"/>
      <c r="H142" s="234"/>
      <c r="I142" s="234"/>
      <c r="J142" s="234"/>
      <c r="K142" s="234"/>
      <c r="L142" s="237"/>
      <c r="M142" s="237"/>
      <c r="N142" s="234"/>
      <c r="O142" s="239"/>
      <c r="P142" s="239"/>
    </row>
    <row r="143" spans="2:16" s="272" customFormat="1">
      <c r="B143" s="238"/>
      <c r="C143" s="238"/>
      <c r="D143" s="237"/>
      <c r="E143" s="237"/>
      <c r="F143" s="237"/>
      <c r="G143" s="234"/>
      <c r="H143" s="234"/>
      <c r="I143" s="234"/>
      <c r="J143" s="234"/>
      <c r="K143" s="234"/>
      <c r="L143" s="237"/>
      <c r="M143" s="237"/>
      <c r="N143" s="234"/>
      <c r="O143" s="239"/>
      <c r="P143" s="239"/>
    </row>
    <row r="144" spans="2:16" s="272" customFormat="1">
      <c r="B144" s="238"/>
      <c r="C144" s="238"/>
      <c r="D144" s="237"/>
      <c r="E144" s="237"/>
      <c r="F144" s="237"/>
      <c r="G144" s="234"/>
      <c r="H144" s="234"/>
      <c r="I144" s="234"/>
      <c r="J144" s="234"/>
      <c r="K144" s="234"/>
      <c r="L144" s="237"/>
      <c r="M144" s="237"/>
      <c r="N144" s="234"/>
      <c r="O144" s="239"/>
      <c r="P144" s="239"/>
    </row>
    <row r="145" spans="2:16" s="272" customFormat="1">
      <c r="B145" s="238"/>
      <c r="C145" s="238"/>
      <c r="D145" s="237"/>
      <c r="E145" s="237"/>
      <c r="F145" s="237"/>
      <c r="G145" s="234"/>
      <c r="H145" s="234"/>
      <c r="I145" s="234"/>
      <c r="J145" s="234"/>
      <c r="K145" s="234"/>
      <c r="L145" s="237"/>
      <c r="M145" s="237"/>
      <c r="N145" s="234"/>
      <c r="O145" s="239"/>
      <c r="P145" s="239"/>
    </row>
    <row r="146" spans="2:16" s="272" customFormat="1">
      <c r="B146" s="238"/>
      <c r="C146" s="238"/>
      <c r="D146" s="237"/>
      <c r="E146" s="237"/>
      <c r="F146" s="237"/>
      <c r="G146" s="234"/>
      <c r="H146" s="234"/>
      <c r="I146" s="234"/>
      <c r="J146" s="234"/>
      <c r="K146" s="234"/>
      <c r="L146" s="237"/>
      <c r="M146" s="237"/>
      <c r="N146" s="234"/>
      <c r="O146" s="239"/>
      <c r="P146" s="239"/>
    </row>
    <row r="147" spans="2:16" s="272" customFormat="1">
      <c r="B147" s="238"/>
      <c r="C147" s="238"/>
      <c r="D147" s="237"/>
      <c r="E147" s="237"/>
      <c r="F147" s="237"/>
      <c r="G147" s="234"/>
      <c r="H147" s="234"/>
      <c r="I147" s="234"/>
      <c r="J147" s="234"/>
      <c r="K147" s="234"/>
      <c r="L147" s="237"/>
      <c r="M147" s="237"/>
      <c r="N147" s="234"/>
      <c r="O147" s="239"/>
      <c r="P147" s="239"/>
    </row>
    <row r="148" spans="2:16" s="272" customFormat="1">
      <c r="B148" s="238"/>
      <c r="C148" s="238"/>
      <c r="D148" s="237"/>
      <c r="E148" s="237"/>
      <c r="F148" s="237"/>
      <c r="G148" s="234"/>
      <c r="H148" s="234"/>
      <c r="I148" s="234"/>
      <c r="J148" s="234"/>
      <c r="K148" s="234"/>
      <c r="L148" s="237"/>
      <c r="M148" s="237"/>
      <c r="N148" s="234"/>
      <c r="O148" s="239"/>
      <c r="P148" s="239"/>
    </row>
    <row r="149" spans="2:16" s="272" customFormat="1">
      <c r="B149" s="238"/>
      <c r="C149" s="238"/>
      <c r="D149" s="237"/>
      <c r="E149" s="237"/>
      <c r="F149" s="237"/>
      <c r="G149" s="234"/>
      <c r="H149" s="234"/>
      <c r="I149" s="234"/>
      <c r="J149" s="234"/>
      <c r="K149" s="234"/>
      <c r="L149" s="237"/>
      <c r="M149" s="237"/>
      <c r="N149" s="234"/>
      <c r="O149" s="239"/>
      <c r="P149" s="239"/>
    </row>
    <row r="150" spans="2:16" s="272" customFormat="1">
      <c r="B150" s="238"/>
      <c r="C150" s="238"/>
      <c r="D150" s="237"/>
      <c r="E150" s="237"/>
      <c r="F150" s="237"/>
      <c r="G150" s="234"/>
      <c r="H150" s="234"/>
      <c r="I150" s="234"/>
      <c r="J150" s="234"/>
      <c r="K150" s="234"/>
      <c r="L150" s="237"/>
      <c r="M150" s="237"/>
      <c r="N150" s="234"/>
      <c r="O150" s="239"/>
      <c r="P150" s="239"/>
    </row>
    <row r="151" spans="2:16" s="272" customFormat="1">
      <c r="B151" s="238"/>
      <c r="C151" s="238"/>
      <c r="D151" s="237"/>
      <c r="E151" s="237"/>
      <c r="F151" s="237"/>
      <c r="G151" s="234"/>
      <c r="H151" s="234"/>
      <c r="I151" s="234"/>
      <c r="J151" s="234"/>
      <c r="K151" s="234"/>
      <c r="L151" s="237"/>
      <c r="M151" s="237"/>
      <c r="N151" s="234"/>
      <c r="O151" s="239"/>
      <c r="P151" s="239"/>
    </row>
    <row r="152" spans="2:16" s="272" customFormat="1">
      <c r="B152" s="238"/>
      <c r="C152" s="238"/>
      <c r="D152" s="237"/>
      <c r="E152" s="237"/>
      <c r="F152" s="237"/>
      <c r="G152" s="234"/>
      <c r="H152" s="234"/>
      <c r="I152" s="234"/>
      <c r="J152" s="234"/>
      <c r="K152" s="234"/>
      <c r="L152" s="237"/>
      <c r="M152" s="237"/>
      <c r="N152" s="234"/>
      <c r="O152" s="239"/>
      <c r="P152" s="239"/>
    </row>
    <row r="153" spans="2:16" s="272" customFormat="1">
      <c r="B153" s="238"/>
      <c r="C153" s="238"/>
      <c r="D153" s="237"/>
      <c r="E153" s="237"/>
      <c r="F153" s="237"/>
      <c r="G153" s="234"/>
      <c r="H153" s="234"/>
      <c r="I153" s="234"/>
      <c r="J153" s="234"/>
      <c r="K153" s="234"/>
      <c r="L153" s="237"/>
      <c r="M153" s="237"/>
      <c r="N153" s="234"/>
      <c r="O153" s="239"/>
      <c r="P153" s="239"/>
    </row>
    <row r="154" spans="2:16" s="272" customFormat="1">
      <c r="B154" s="238"/>
      <c r="C154" s="238"/>
      <c r="D154" s="237"/>
      <c r="E154" s="237"/>
      <c r="F154" s="237"/>
      <c r="G154" s="234"/>
      <c r="H154" s="234"/>
      <c r="I154" s="234"/>
      <c r="J154" s="234"/>
      <c r="K154" s="234"/>
      <c r="L154" s="237"/>
      <c r="M154" s="237"/>
      <c r="N154" s="234"/>
      <c r="O154" s="239"/>
      <c r="P154" s="239"/>
    </row>
    <row r="155" spans="2:16" s="272" customFormat="1">
      <c r="B155" s="238"/>
      <c r="C155" s="238"/>
      <c r="D155" s="237"/>
      <c r="E155" s="237"/>
      <c r="F155" s="237"/>
      <c r="G155" s="234"/>
      <c r="H155" s="234"/>
      <c r="I155" s="234"/>
      <c r="J155" s="234"/>
      <c r="K155" s="234"/>
      <c r="L155" s="237"/>
      <c r="M155" s="237"/>
      <c r="N155" s="234"/>
      <c r="O155" s="239"/>
      <c r="P155" s="239"/>
    </row>
    <row r="156" spans="2:16" s="272" customFormat="1">
      <c r="B156" s="238"/>
      <c r="C156" s="238"/>
      <c r="D156" s="237"/>
      <c r="E156" s="237"/>
      <c r="F156" s="237"/>
      <c r="G156" s="234"/>
      <c r="H156" s="234"/>
      <c r="I156" s="234"/>
      <c r="J156" s="234"/>
      <c r="K156" s="234"/>
      <c r="L156" s="237"/>
      <c r="M156" s="237"/>
      <c r="N156" s="234"/>
      <c r="O156" s="239"/>
      <c r="P156" s="239"/>
    </row>
    <row r="157" spans="2:16" s="272" customFormat="1">
      <c r="B157" s="238"/>
      <c r="C157" s="238"/>
      <c r="D157" s="237"/>
      <c r="E157" s="237"/>
      <c r="F157" s="237"/>
      <c r="G157" s="234"/>
      <c r="H157" s="234"/>
      <c r="I157" s="234"/>
      <c r="J157" s="234"/>
      <c r="K157" s="234"/>
      <c r="L157" s="237"/>
      <c r="M157" s="237"/>
      <c r="N157" s="234"/>
      <c r="O157" s="239"/>
      <c r="P157" s="239"/>
    </row>
    <row r="158" spans="2:16" s="272" customFormat="1">
      <c r="B158" s="238"/>
      <c r="C158" s="238"/>
      <c r="D158" s="237"/>
      <c r="E158" s="237"/>
      <c r="F158" s="237"/>
      <c r="G158" s="234"/>
      <c r="H158" s="234"/>
      <c r="I158" s="234"/>
      <c r="J158" s="234"/>
      <c r="K158" s="234"/>
      <c r="L158" s="237"/>
      <c r="M158" s="237"/>
      <c r="N158" s="234"/>
      <c r="O158" s="239"/>
      <c r="P158" s="239"/>
    </row>
    <row r="159" spans="2:16" s="272" customFormat="1">
      <c r="B159" s="238"/>
      <c r="C159" s="238"/>
      <c r="D159" s="237"/>
      <c r="E159" s="237"/>
      <c r="F159" s="237"/>
      <c r="G159" s="234"/>
      <c r="H159" s="234"/>
      <c r="I159" s="234"/>
      <c r="J159" s="234"/>
      <c r="K159" s="234"/>
      <c r="L159" s="237"/>
      <c r="M159" s="237"/>
      <c r="N159" s="234"/>
      <c r="O159" s="239"/>
      <c r="P159" s="239"/>
    </row>
    <row r="160" spans="2:16" s="272" customFormat="1">
      <c r="B160" s="238"/>
      <c r="C160" s="238"/>
      <c r="D160" s="237"/>
      <c r="E160" s="237"/>
      <c r="F160" s="237"/>
      <c r="G160" s="234"/>
      <c r="H160" s="234"/>
      <c r="I160" s="234"/>
      <c r="J160" s="234"/>
      <c r="K160" s="234"/>
      <c r="L160" s="237"/>
      <c r="M160" s="237"/>
      <c r="N160" s="234"/>
      <c r="O160" s="239"/>
      <c r="P160" s="239"/>
    </row>
    <row r="161" spans="2:16" s="272" customFormat="1">
      <c r="B161" s="238"/>
      <c r="C161" s="238"/>
      <c r="D161" s="237"/>
      <c r="E161" s="237"/>
      <c r="F161" s="237"/>
      <c r="G161" s="234"/>
      <c r="H161" s="234"/>
      <c r="I161" s="234"/>
      <c r="J161" s="234"/>
      <c r="K161" s="234"/>
      <c r="L161" s="237"/>
      <c r="M161" s="237"/>
      <c r="N161" s="234"/>
      <c r="O161" s="239"/>
      <c r="P161" s="239"/>
    </row>
    <row r="162" spans="2:16" s="272" customFormat="1">
      <c r="B162" s="238"/>
      <c r="C162" s="238"/>
      <c r="D162" s="237"/>
      <c r="E162" s="237"/>
      <c r="F162" s="237"/>
      <c r="G162" s="234"/>
      <c r="H162" s="234"/>
      <c r="I162" s="234"/>
      <c r="J162" s="234"/>
      <c r="K162" s="234"/>
      <c r="L162" s="237"/>
      <c r="M162" s="237"/>
      <c r="N162" s="234"/>
      <c r="O162" s="239"/>
      <c r="P162" s="239"/>
    </row>
    <row r="163" spans="2:16" s="272" customFormat="1">
      <c r="B163" s="238"/>
      <c r="C163" s="238"/>
      <c r="D163" s="237"/>
      <c r="E163" s="237"/>
      <c r="F163" s="237"/>
      <c r="G163" s="234"/>
      <c r="H163" s="234"/>
      <c r="I163" s="234"/>
      <c r="J163" s="234"/>
      <c r="K163" s="234"/>
      <c r="L163" s="237"/>
      <c r="M163" s="237"/>
      <c r="N163" s="234"/>
      <c r="O163" s="239"/>
      <c r="P163" s="239"/>
    </row>
    <row r="164" spans="2:16" s="272" customFormat="1">
      <c r="B164" s="238"/>
      <c r="C164" s="238"/>
      <c r="D164" s="237"/>
      <c r="E164" s="237"/>
      <c r="F164" s="237"/>
      <c r="G164" s="234"/>
      <c r="H164" s="234"/>
      <c r="I164" s="234"/>
      <c r="J164" s="234"/>
      <c r="K164" s="234"/>
      <c r="L164" s="237"/>
      <c r="M164" s="237"/>
      <c r="N164" s="234"/>
      <c r="O164" s="239"/>
      <c r="P164" s="239"/>
    </row>
    <row r="165" spans="2:16" s="272" customFormat="1">
      <c r="B165" s="238"/>
      <c r="C165" s="238"/>
      <c r="D165" s="237"/>
      <c r="E165" s="237"/>
      <c r="F165" s="237"/>
      <c r="G165" s="234"/>
      <c r="H165" s="234"/>
      <c r="I165" s="234"/>
      <c r="J165" s="234"/>
      <c r="K165" s="234"/>
      <c r="L165" s="237"/>
      <c r="M165" s="237"/>
      <c r="N165" s="234"/>
      <c r="O165" s="239"/>
      <c r="P165" s="239"/>
    </row>
    <row r="166" spans="2:16" s="272" customFormat="1">
      <c r="B166" s="238"/>
      <c r="C166" s="238"/>
      <c r="D166" s="237"/>
      <c r="E166" s="237"/>
      <c r="F166" s="237"/>
      <c r="G166" s="234"/>
      <c r="H166" s="234"/>
      <c r="I166" s="234"/>
      <c r="J166" s="234"/>
      <c r="K166" s="234"/>
      <c r="L166" s="237"/>
      <c r="M166" s="237"/>
      <c r="N166" s="234"/>
      <c r="O166" s="239"/>
      <c r="P166" s="239"/>
    </row>
    <row r="167" spans="2:16" s="272" customFormat="1">
      <c r="B167" s="238"/>
      <c r="C167" s="238"/>
      <c r="D167" s="237"/>
      <c r="E167" s="237"/>
      <c r="F167" s="237"/>
      <c r="G167" s="234"/>
      <c r="H167" s="234"/>
      <c r="I167" s="234"/>
      <c r="J167" s="234"/>
      <c r="K167" s="234"/>
      <c r="L167" s="237"/>
      <c r="M167" s="237"/>
      <c r="N167" s="234"/>
      <c r="O167" s="239"/>
      <c r="P167" s="239"/>
    </row>
    <row r="168" spans="2:16" s="272" customFormat="1">
      <c r="B168" s="238"/>
      <c r="C168" s="238"/>
      <c r="D168" s="237"/>
      <c r="E168" s="237"/>
      <c r="F168" s="237"/>
      <c r="G168" s="234"/>
      <c r="H168" s="234"/>
      <c r="I168" s="234"/>
      <c r="J168" s="234"/>
      <c r="K168" s="234"/>
      <c r="L168" s="237"/>
      <c r="M168" s="237"/>
      <c r="N168" s="234"/>
      <c r="O168" s="239"/>
      <c r="P168" s="239"/>
    </row>
    <row r="169" spans="2:16" s="272" customFormat="1">
      <c r="B169" s="238"/>
      <c r="C169" s="238"/>
      <c r="D169" s="237"/>
      <c r="E169" s="237"/>
      <c r="F169" s="237"/>
      <c r="G169" s="234"/>
      <c r="H169" s="234"/>
      <c r="I169" s="234"/>
      <c r="J169" s="234"/>
      <c r="K169" s="234"/>
      <c r="L169" s="237"/>
      <c r="M169" s="237"/>
      <c r="N169" s="234"/>
      <c r="O169" s="239"/>
      <c r="P169" s="239"/>
    </row>
    <row r="170" spans="2:16" s="272" customFormat="1">
      <c r="B170" s="238"/>
      <c r="C170" s="238"/>
      <c r="D170" s="237"/>
      <c r="E170" s="237"/>
      <c r="F170" s="237"/>
      <c r="G170" s="234"/>
      <c r="H170" s="234"/>
      <c r="I170" s="234"/>
      <c r="J170" s="234"/>
      <c r="K170" s="234"/>
      <c r="L170" s="237"/>
      <c r="M170" s="237"/>
      <c r="N170" s="234"/>
      <c r="O170" s="239"/>
      <c r="P170" s="239"/>
    </row>
    <row r="171" spans="2:16" s="272" customFormat="1">
      <c r="B171" s="238"/>
      <c r="C171" s="238"/>
      <c r="D171" s="237"/>
      <c r="E171" s="237"/>
      <c r="F171" s="237"/>
      <c r="G171" s="234"/>
      <c r="H171" s="234"/>
      <c r="I171" s="234"/>
      <c r="J171" s="234"/>
      <c r="K171" s="234"/>
      <c r="L171" s="237"/>
      <c r="M171" s="237"/>
      <c r="N171" s="234"/>
      <c r="O171" s="239"/>
      <c r="P171" s="239"/>
    </row>
    <row r="172" spans="2:16" s="272" customFormat="1">
      <c r="B172" s="238"/>
      <c r="C172" s="238"/>
      <c r="D172" s="237"/>
      <c r="E172" s="237"/>
      <c r="F172" s="237"/>
      <c r="G172" s="234"/>
      <c r="H172" s="234"/>
      <c r="I172" s="234"/>
      <c r="J172" s="234"/>
      <c r="K172" s="234"/>
      <c r="L172" s="237"/>
      <c r="M172" s="237"/>
      <c r="N172" s="234"/>
      <c r="O172" s="239"/>
      <c r="P172" s="239"/>
    </row>
    <row r="173" spans="2:16" s="272" customFormat="1">
      <c r="B173" s="238"/>
      <c r="C173" s="238"/>
      <c r="D173" s="237"/>
      <c r="E173" s="237"/>
      <c r="F173" s="237"/>
      <c r="G173" s="234"/>
      <c r="H173" s="234"/>
      <c r="I173" s="234"/>
      <c r="J173" s="234"/>
      <c r="K173" s="234"/>
      <c r="L173" s="237"/>
      <c r="M173" s="237"/>
      <c r="N173" s="234"/>
      <c r="O173" s="239"/>
      <c r="P173" s="239"/>
    </row>
    <row r="174" spans="2:16" s="272" customFormat="1">
      <c r="B174" s="238"/>
      <c r="C174" s="238"/>
      <c r="D174" s="237"/>
      <c r="E174" s="237"/>
      <c r="F174" s="237"/>
      <c r="G174" s="234"/>
      <c r="H174" s="234"/>
      <c r="I174" s="234"/>
      <c r="J174" s="234"/>
      <c r="K174" s="234"/>
      <c r="L174" s="237"/>
      <c r="M174" s="237"/>
      <c r="N174" s="234"/>
      <c r="O174" s="239"/>
      <c r="P174" s="239"/>
    </row>
    <row r="175" spans="2:16" s="272" customFormat="1">
      <c r="B175" s="238"/>
      <c r="C175" s="238"/>
      <c r="D175" s="237"/>
      <c r="E175" s="237"/>
      <c r="F175" s="237"/>
      <c r="G175" s="234"/>
      <c r="H175" s="234"/>
      <c r="I175" s="234"/>
      <c r="J175" s="234"/>
      <c r="K175" s="234"/>
      <c r="L175" s="237"/>
      <c r="M175" s="237"/>
      <c r="N175" s="234"/>
      <c r="O175" s="239"/>
      <c r="P175" s="239"/>
    </row>
    <row r="176" spans="2:16" s="272" customFormat="1">
      <c r="B176" s="238"/>
      <c r="C176" s="238"/>
      <c r="D176" s="237"/>
      <c r="E176" s="237"/>
      <c r="F176" s="237"/>
      <c r="G176" s="234"/>
      <c r="H176" s="234"/>
      <c r="I176" s="234"/>
      <c r="J176" s="234"/>
      <c r="K176" s="234"/>
      <c r="L176" s="237"/>
      <c r="M176" s="237"/>
      <c r="N176" s="234"/>
      <c r="O176" s="239"/>
      <c r="P176" s="239"/>
    </row>
    <row r="177" spans="2:16" s="272" customFormat="1">
      <c r="B177" s="238"/>
      <c r="C177" s="238"/>
      <c r="D177" s="237"/>
      <c r="E177" s="237"/>
      <c r="F177" s="237"/>
      <c r="G177" s="234"/>
      <c r="H177" s="234"/>
      <c r="I177" s="234"/>
      <c r="J177" s="234"/>
      <c r="K177" s="234"/>
      <c r="L177" s="237"/>
      <c r="M177" s="237"/>
      <c r="N177" s="234"/>
      <c r="O177" s="239"/>
      <c r="P177" s="239"/>
    </row>
    <row r="178" spans="2:16" s="272" customFormat="1">
      <c r="B178" s="238"/>
      <c r="C178" s="238"/>
      <c r="D178" s="237"/>
      <c r="E178" s="237"/>
      <c r="F178" s="237"/>
      <c r="G178" s="234"/>
      <c r="H178" s="234"/>
      <c r="I178" s="234"/>
      <c r="J178" s="234"/>
      <c r="K178" s="234"/>
      <c r="L178" s="237"/>
      <c r="M178" s="237"/>
      <c r="N178" s="234"/>
      <c r="O178" s="239"/>
      <c r="P178" s="239"/>
    </row>
    <row r="179" spans="2:16" s="272" customFormat="1">
      <c r="B179" s="238"/>
      <c r="C179" s="238"/>
      <c r="D179" s="237"/>
      <c r="E179" s="237"/>
      <c r="F179" s="237"/>
      <c r="G179" s="234"/>
      <c r="H179" s="234"/>
      <c r="I179" s="234"/>
      <c r="J179" s="234"/>
      <c r="K179" s="234"/>
      <c r="L179" s="237"/>
      <c r="M179" s="237"/>
      <c r="N179" s="234"/>
      <c r="O179" s="239"/>
      <c r="P179" s="239"/>
    </row>
    <row r="180" spans="2:16" s="272" customFormat="1">
      <c r="B180" s="238"/>
      <c r="C180" s="238"/>
      <c r="D180" s="237"/>
      <c r="E180" s="237"/>
      <c r="F180" s="237"/>
      <c r="G180" s="234"/>
      <c r="H180" s="234"/>
      <c r="I180" s="234"/>
      <c r="J180" s="234"/>
      <c r="K180" s="234"/>
      <c r="L180" s="237"/>
      <c r="M180" s="237"/>
      <c r="N180" s="234"/>
      <c r="O180" s="239"/>
      <c r="P180" s="239"/>
    </row>
    <row r="181" spans="2:16" s="272" customFormat="1">
      <c r="B181" s="238"/>
      <c r="C181" s="238"/>
      <c r="D181" s="237"/>
      <c r="E181" s="237"/>
      <c r="F181" s="237"/>
      <c r="G181" s="234"/>
      <c r="H181" s="234"/>
      <c r="I181" s="234"/>
      <c r="J181" s="234"/>
      <c r="K181" s="234"/>
      <c r="L181" s="237"/>
      <c r="M181" s="237"/>
      <c r="N181" s="234"/>
      <c r="O181" s="239"/>
      <c r="P181" s="239"/>
    </row>
    <row r="182" spans="2:16" s="272" customFormat="1">
      <c r="B182" s="238"/>
      <c r="C182" s="238"/>
      <c r="D182" s="237"/>
      <c r="E182" s="237"/>
      <c r="F182" s="237"/>
      <c r="G182" s="234"/>
      <c r="H182" s="234"/>
      <c r="I182" s="234"/>
      <c r="J182" s="234"/>
      <c r="K182" s="234"/>
      <c r="L182" s="237"/>
      <c r="M182" s="237"/>
      <c r="N182" s="234"/>
      <c r="O182" s="239"/>
      <c r="P182" s="239"/>
    </row>
    <row r="183" spans="2:16" s="272" customFormat="1">
      <c r="B183" s="238"/>
      <c r="C183" s="238"/>
      <c r="D183" s="237"/>
      <c r="E183" s="237"/>
      <c r="F183" s="237"/>
      <c r="G183" s="234"/>
      <c r="H183" s="234"/>
      <c r="I183" s="234"/>
      <c r="J183" s="234"/>
      <c r="K183" s="234"/>
      <c r="L183" s="237"/>
      <c r="M183" s="237"/>
      <c r="N183" s="234"/>
      <c r="O183" s="239"/>
      <c r="P183" s="239"/>
    </row>
    <row r="184" spans="2:16" s="272" customFormat="1">
      <c r="B184" s="238"/>
      <c r="C184" s="238"/>
      <c r="D184" s="237"/>
      <c r="E184" s="237"/>
      <c r="F184" s="237"/>
      <c r="G184" s="234"/>
      <c r="H184" s="234"/>
      <c r="I184" s="234"/>
      <c r="J184" s="234"/>
      <c r="K184" s="234"/>
      <c r="L184" s="237"/>
      <c r="M184" s="237"/>
      <c r="N184" s="234"/>
      <c r="O184" s="239"/>
      <c r="P184" s="239"/>
    </row>
    <row r="185" spans="2:16" s="272" customFormat="1">
      <c r="B185" s="238"/>
      <c r="C185" s="238"/>
      <c r="D185" s="237"/>
      <c r="E185" s="237"/>
      <c r="F185" s="237"/>
      <c r="G185" s="234"/>
      <c r="H185" s="234"/>
      <c r="I185" s="234"/>
      <c r="J185" s="234"/>
      <c r="K185" s="234"/>
      <c r="L185" s="237"/>
      <c r="M185" s="237"/>
      <c r="N185" s="234"/>
      <c r="O185" s="239"/>
      <c r="P185" s="239"/>
    </row>
    <row r="186" spans="2:16" s="272" customFormat="1">
      <c r="B186" s="238"/>
      <c r="C186" s="238"/>
      <c r="D186" s="237"/>
      <c r="E186" s="237"/>
      <c r="F186" s="237"/>
      <c r="G186" s="234"/>
      <c r="H186" s="234"/>
      <c r="I186" s="234"/>
      <c r="J186" s="234"/>
      <c r="K186" s="234"/>
      <c r="L186" s="237"/>
      <c r="M186" s="237"/>
      <c r="N186" s="234"/>
      <c r="O186" s="239"/>
      <c r="P186" s="239"/>
    </row>
    <row r="187" spans="2:16" s="272" customFormat="1">
      <c r="B187" s="238"/>
      <c r="C187" s="238"/>
      <c r="D187" s="237"/>
      <c r="E187" s="237"/>
      <c r="F187" s="237"/>
      <c r="G187" s="234"/>
      <c r="H187" s="234"/>
      <c r="I187" s="234"/>
      <c r="J187" s="234"/>
      <c r="K187" s="234"/>
      <c r="L187" s="237"/>
      <c r="M187" s="237"/>
      <c r="N187" s="234"/>
      <c r="O187" s="239"/>
      <c r="P187" s="239"/>
    </row>
    <row r="188" spans="2:16" s="272" customFormat="1">
      <c r="B188" s="238"/>
      <c r="C188" s="238"/>
      <c r="D188" s="237"/>
      <c r="E188" s="237"/>
      <c r="F188" s="237"/>
      <c r="G188" s="234"/>
      <c r="H188" s="234"/>
      <c r="I188" s="234"/>
      <c r="J188" s="234"/>
      <c r="K188" s="234"/>
      <c r="L188" s="237"/>
      <c r="M188" s="237"/>
      <c r="N188" s="234"/>
      <c r="O188" s="239"/>
      <c r="P188" s="239"/>
    </row>
    <row r="189" spans="2:16" s="272" customFormat="1">
      <c r="B189" s="238"/>
      <c r="C189" s="238"/>
      <c r="D189" s="237"/>
      <c r="E189" s="237"/>
      <c r="F189" s="237"/>
      <c r="G189" s="234"/>
      <c r="H189" s="234"/>
      <c r="I189" s="234"/>
      <c r="J189" s="234"/>
      <c r="K189" s="234"/>
      <c r="L189" s="237"/>
      <c r="M189" s="237"/>
      <c r="N189" s="234"/>
      <c r="O189" s="239"/>
      <c r="P189" s="239"/>
    </row>
    <row r="190" spans="2:16" s="272" customFormat="1">
      <c r="B190" s="238"/>
      <c r="C190" s="238"/>
      <c r="D190" s="237"/>
      <c r="E190" s="237"/>
      <c r="F190" s="237"/>
      <c r="G190" s="234"/>
      <c r="H190" s="234"/>
      <c r="I190" s="234"/>
      <c r="J190" s="234"/>
      <c r="K190" s="234"/>
      <c r="L190" s="237"/>
      <c r="M190" s="237"/>
      <c r="N190" s="234"/>
      <c r="O190" s="239"/>
      <c r="P190" s="239"/>
    </row>
    <row r="191" spans="2:16" s="272" customFormat="1">
      <c r="B191" s="238"/>
      <c r="C191" s="238"/>
      <c r="D191" s="237"/>
      <c r="E191" s="237"/>
      <c r="F191" s="237"/>
      <c r="G191" s="234"/>
      <c r="H191" s="234"/>
      <c r="I191" s="234"/>
      <c r="J191" s="234"/>
      <c r="K191" s="234"/>
      <c r="L191" s="237"/>
      <c r="M191" s="237"/>
      <c r="N191" s="234"/>
      <c r="O191" s="239"/>
      <c r="P191" s="239"/>
    </row>
    <row r="192" spans="2:16" s="272" customFormat="1">
      <c r="B192" s="238"/>
      <c r="C192" s="238"/>
      <c r="D192" s="237"/>
      <c r="E192" s="237"/>
      <c r="F192" s="237"/>
      <c r="G192" s="234"/>
      <c r="H192" s="234"/>
      <c r="I192" s="234"/>
      <c r="J192" s="234"/>
      <c r="K192" s="234"/>
      <c r="L192" s="237"/>
      <c r="M192" s="237"/>
      <c r="N192" s="234"/>
      <c r="O192" s="239"/>
      <c r="P192" s="239"/>
    </row>
    <row r="193" spans="2:16" s="272" customFormat="1">
      <c r="B193" s="238"/>
      <c r="C193" s="238"/>
      <c r="D193" s="237"/>
      <c r="E193" s="237"/>
      <c r="F193" s="237"/>
      <c r="G193" s="234"/>
      <c r="H193" s="234"/>
      <c r="I193" s="234"/>
      <c r="J193" s="234"/>
      <c r="K193" s="234"/>
      <c r="L193" s="237"/>
      <c r="M193" s="237"/>
      <c r="N193" s="234"/>
      <c r="O193" s="239"/>
      <c r="P193" s="239"/>
    </row>
    <row r="194" spans="2:16" s="272" customFormat="1">
      <c r="B194" s="238"/>
      <c r="C194" s="238"/>
      <c r="D194" s="237"/>
      <c r="E194" s="237"/>
      <c r="F194" s="237"/>
      <c r="G194" s="234"/>
      <c r="H194" s="234"/>
      <c r="I194" s="234"/>
      <c r="J194" s="234"/>
      <c r="K194" s="234"/>
      <c r="L194" s="237"/>
      <c r="M194" s="237"/>
      <c r="N194" s="234"/>
      <c r="O194" s="239"/>
      <c r="P194" s="239"/>
    </row>
    <row r="195" spans="2:16" s="272" customFormat="1">
      <c r="B195" s="238"/>
      <c r="C195" s="238"/>
      <c r="D195" s="237"/>
      <c r="E195" s="237"/>
      <c r="F195" s="237"/>
      <c r="G195" s="234"/>
      <c r="H195" s="234"/>
      <c r="I195" s="234"/>
      <c r="J195" s="234"/>
      <c r="K195" s="234"/>
      <c r="L195" s="237"/>
      <c r="M195" s="237"/>
      <c r="N195" s="234"/>
      <c r="O195" s="239"/>
      <c r="P195" s="239"/>
    </row>
    <row r="196" spans="2:16" s="272" customFormat="1">
      <c r="B196" s="238"/>
      <c r="C196" s="238"/>
      <c r="D196" s="237"/>
      <c r="E196" s="237"/>
      <c r="F196" s="237"/>
      <c r="G196" s="234"/>
      <c r="H196" s="234"/>
      <c r="I196" s="234"/>
      <c r="J196" s="234"/>
      <c r="K196" s="234"/>
      <c r="L196" s="237"/>
      <c r="M196" s="237"/>
      <c r="N196" s="234"/>
      <c r="O196" s="239"/>
      <c r="P196" s="239"/>
    </row>
    <row r="197" spans="2:16" s="272" customFormat="1">
      <c r="B197" s="238"/>
      <c r="C197" s="238"/>
      <c r="D197" s="237"/>
      <c r="E197" s="237"/>
      <c r="F197" s="237"/>
      <c r="G197" s="234"/>
      <c r="H197" s="234"/>
      <c r="I197" s="234"/>
      <c r="J197" s="234"/>
      <c r="K197" s="234"/>
      <c r="L197" s="237"/>
      <c r="M197" s="237"/>
      <c r="N197" s="234"/>
      <c r="O197" s="239"/>
      <c r="P197" s="239"/>
    </row>
    <row r="198" spans="2:16" s="272" customFormat="1">
      <c r="B198" s="238"/>
      <c r="C198" s="238"/>
      <c r="D198" s="237"/>
      <c r="E198" s="237"/>
      <c r="F198" s="237"/>
      <c r="G198" s="234"/>
      <c r="H198" s="234"/>
      <c r="I198" s="234"/>
      <c r="J198" s="234"/>
      <c r="K198" s="234"/>
      <c r="L198" s="237"/>
      <c r="M198" s="237"/>
      <c r="N198" s="234"/>
      <c r="O198" s="239"/>
      <c r="P198" s="239"/>
    </row>
    <row r="199" spans="2:16" s="272" customFormat="1">
      <c r="B199" s="238"/>
      <c r="C199" s="238"/>
      <c r="D199" s="237"/>
      <c r="E199" s="237"/>
      <c r="F199" s="237"/>
      <c r="G199" s="234"/>
      <c r="H199" s="234"/>
      <c r="I199" s="234"/>
      <c r="J199" s="234"/>
      <c r="K199" s="234"/>
      <c r="L199" s="237"/>
      <c r="M199" s="237"/>
      <c r="N199" s="234"/>
      <c r="O199" s="239"/>
      <c r="P199" s="239"/>
    </row>
    <row r="200" spans="2:16" s="272" customFormat="1">
      <c r="B200" s="238"/>
      <c r="C200" s="238"/>
      <c r="D200" s="237"/>
      <c r="E200" s="237"/>
      <c r="F200" s="237"/>
      <c r="G200" s="234"/>
      <c r="H200" s="234"/>
      <c r="I200" s="234"/>
      <c r="J200" s="234"/>
      <c r="K200" s="234"/>
      <c r="L200" s="237"/>
      <c r="M200" s="237"/>
      <c r="N200" s="234"/>
      <c r="O200" s="239"/>
      <c r="P200" s="239"/>
    </row>
    <row r="201" spans="2:16" s="272" customFormat="1">
      <c r="B201" s="238"/>
      <c r="C201" s="238"/>
      <c r="D201" s="237"/>
      <c r="E201" s="237"/>
      <c r="F201" s="237"/>
      <c r="G201" s="234"/>
      <c r="H201" s="234"/>
      <c r="I201" s="234"/>
      <c r="J201" s="234"/>
      <c r="K201" s="234"/>
      <c r="L201" s="237"/>
      <c r="M201" s="237"/>
      <c r="N201" s="234"/>
      <c r="O201" s="239"/>
      <c r="P201" s="239"/>
    </row>
    <row r="202" spans="2:16" s="272" customFormat="1">
      <c r="B202" s="238"/>
      <c r="C202" s="238"/>
      <c r="D202" s="237"/>
      <c r="E202" s="237"/>
      <c r="F202" s="237"/>
      <c r="G202" s="234"/>
      <c r="H202" s="234"/>
      <c r="I202" s="234"/>
      <c r="J202" s="234"/>
      <c r="K202" s="234"/>
      <c r="L202" s="237"/>
      <c r="M202" s="237"/>
      <c r="N202" s="234"/>
      <c r="O202" s="239"/>
      <c r="P202" s="239"/>
    </row>
    <row r="203" spans="2:16" s="272" customFormat="1">
      <c r="B203" s="238"/>
      <c r="C203" s="238"/>
      <c r="D203" s="237"/>
      <c r="E203" s="237"/>
      <c r="F203" s="237"/>
      <c r="G203" s="234"/>
      <c r="H203" s="234"/>
      <c r="I203" s="234"/>
      <c r="J203" s="234"/>
      <c r="K203" s="234"/>
      <c r="L203" s="237"/>
      <c r="M203" s="237"/>
      <c r="N203" s="234"/>
      <c r="O203" s="239"/>
      <c r="P203" s="239"/>
    </row>
    <row r="204" spans="2:16" s="272" customFormat="1">
      <c r="B204" s="238"/>
      <c r="C204" s="238"/>
      <c r="D204" s="237"/>
      <c r="E204" s="237"/>
      <c r="F204" s="237"/>
      <c r="G204" s="234"/>
      <c r="H204" s="234"/>
      <c r="I204" s="234"/>
      <c r="J204" s="234"/>
      <c r="K204" s="234"/>
      <c r="L204" s="237"/>
      <c r="M204" s="237"/>
      <c r="N204" s="234"/>
      <c r="O204" s="239"/>
      <c r="P204" s="239"/>
    </row>
    <row r="205" spans="2:16" s="272" customFormat="1">
      <c r="B205" s="238"/>
      <c r="C205" s="238"/>
      <c r="D205" s="237"/>
      <c r="E205" s="237"/>
      <c r="F205" s="237"/>
      <c r="G205" s="234"/>
      <c r="H205" s="234"/>
      <c r="I205" s="234"/>
      <c r="J205" s="234"/>
      <c r="K205" s="234"/>
      <c r="L205" s="237"/>
      <c r="M205" s="237"/>
      <c r="N205" s="234"/>
      <c r="O205" s="239"/>
      <c r="P205" s="239"/>
    </row>
    <row r="206" spans="2:16" s="272" customFormat="1">
      <c r="B206" s="238"/>
      <c r="C206" s="238"/>
      <c r="D206" s="237"/>
      <c r="E206" s="237"/>
      <c r="F206" s="237"/>
      <c r="G206" s="234"/>
      <c r="H206" s="234"/>
      <c r="I206" s="234"/>
      <c r="J206" s="234"/>
      <c r="K206" s="234"/>
      <c r="L206" s="237"/>
      <c r="M206" s="237"/>
      <c r="N206" s="234"/>
      <c r="O206" s="239"/>
      <c r="P206" s="239"/>
    </row>
    <row r="207" spans="2:16" s="272" customFormat="1">
      <c r="B207" s="238"/>
      <c r="C207" s="238"/>
      <c r="D207" s="237"/>
      <c r="E207" s="237"/>
      <c r="F207" s="237"/>
      <c r="G207" s="234"/>
      <c r="H207" s="234"/>
      <c r="I207" s="234"/>
      <c r="J207" s="234"/>
      <c r="K207" s="234"/>
      <c r="L207" s="237"/>
      <c r="M207" s="237"/>
      <c r="N207" s="234"/>
      <c r="O207" s="239"/>
      <c r="P207" s="239"/>
    </row>
    <row r="208" spans="2:16" s="272" customFormat="1">
      <c r="B208" s="238"/>
      <c r="C208" s="238"/>
      <c r="D208" s="237"/>
      <c r="E208" s="237"/>
      <c r="F208" s="237"/>
      <c r="G208" s="234"/>
      <c r="H208" s="234"/>
      <c r="I208" s="234"/>
      <c r="J208" s="234"/>
      <c r="K208" s="234"/>
      <c r="L208" s="237"/>
      <c r="M208" s="237"/>
      <c r="N208" s="234"/>
      <c r="O208" s="239"/>
      <c r="P208" s="239"/>
    </row>
    <row r="209" spans="2:16" s="272" customFormat="1">
      <c r="B209" s="238"/>
      <c r="C209" s="238"/>
      <c r="D209" s="237"/>
      <c r="E209" s="237"/>
      <c r="F209" s="237"/>
      <c r="G209" s="234"/>
      <c r="H209" s="234"/>
      <c r="I209" s="234"/>
      <c r="J209" s="234"/>
      <c r="K209" s="234"/>
      <c r="L209" s="237"/>
      <c r="M209" s="237"/>
      <c r="N209" s="234"/>
      <c r="O209" s="239"/>
      <c r="P209" s="239"/>
    </row>
    <row r="210" spans="2:16" s="272" customFormat="1">
      <c r="B210" s="238"/>
      <c r="C210" s="238"/>
      <c r="D210" s="237"/>
      <c r="E210" s="237"/>
      <c r="F210" s="237"/>
      <c r="G210" s="234"/>
      <c r="H210" s="234"/>
      <c r="I210" s="234"/>
      <c r="J210" s="234"/>
      <c r="K210" s="234"/>
      <c r="L210" s="237"/>
      <c r="M210" s="237"/>
      <c r="N210" s="234"/>
      <c r="O210" s="239"/>
      <c r="P210" s="239"/>
    </row>
    <row r="211" spans="2:16" s="272" customFormat="1">
      <c r="B211" s="238"/>
      <c r="C211" s="238"/>
      <c r="D211" s="237"/>
      <c r="E211" s="237"/>
      <c r="F211" s="237"/>
      <c r="G211" s="234"/>
      <c r="H211" s="234"/>
      <c r="I211" s="234"/>
      <c r="J211" s="234"/>
      <c r="K211" s="234"/>
      <c r="L211" s="237"/>
      <c r="M211" s="237"/>
      <c r="N211" s="234"/>
      <c r="O211" s="239"/>
      <c r="P211" s="239"/>
    </row>
    <row r="212" spans="2:16" s="272" customFormat="1">
      <c r="B212" s="238"/>
      <c r="C212" s="238"/>
      <c r="D212" s="237"/>
      <c r="E212" s="237"/>
      <c r="F212" s="237"/>
      <c r="G212" s="234"/>
      <c r="H212" s="234"/>
      <c r="I212" s="234"/>
      <c r="J212" s="234"/>
      <c r="K212" s="234"/>
      <c r="L212" s="237"/>
      <c r="M212" s="237"/>
      <c r="N212" s="234"/>
      <c r="O212" s="239"/>
      <c r="P212" s="239"/>
    </row>
    <row r="213" spans="2:16" s="272" customFormat="1">
      <c r="B213" s="238"/>
      <c r="C213" s="238"/>
      <c r="D213" s="237"/>
      <c r="E213" s="237"/>
      <c r="F213" s="237"/>
      <c r="G213" s="234"/>
      <c r="H213" s="234"/>
      <c r="I213" s="234"/>
      <c r="J213" s="234"/>
      <c r="K213" s="234"/>
      <c r="L213" s="237"/>
      <c r="M213" s="237"/>
      <c r="N213" s="234"/>
      <c r="O213" s="239"/>
      <c r="P213" s="239"/>
    </row>
    <row r="214" spans="2:16" s="272" customFormat="1">
      <c r="B214" s="238"/>
      <c r="C214" s="238"/>
      <c r="D214" s="237"/>
      <c r="E214" s="237"/>
      <c r="F214" s="237"/>
      <c r="G214" s="234"/>
      <c r="H214" s="234"/>
      <c r="I214" s="234"/>
      <c r="J214" s="234"/>
      <c r="K214" s="234"/>
      <c r="L214" s="237"/>
      <c r="M214" s="237"/>
      <c r="N214" s="234"/>
      <c r="O214" s="239"/>
      <c r="P214" s="239"/>
    </row>
    <row r="215" spans="2:16" s="272" customFormat="1">
      <c r="B215" s="238"/>
      <c r="C215" s="238"/>
      <c r="D215" s="237"/>
      <c r="E215" s="237"/>
      <c r="F215" s="237"/>
      <c r="G215" s="234"/>
      <c r="H215" s="234"/>
      <c r="I215" s="234"/>
      <c r="J215" s="234"/>
      <c r="K215" s="234"/>
      <c r="L215" s="237"/>
      <c r="M215" s="237"/>
      <c r="N215" s="234"/>
      <c r="O215" s="239"/>
      <c r="P215" s="239"/>
    </row>
    <row r="216" spans="2:16" s="272" customFormat="1">
      <c r="B216" s="238"/>
      <c r="C216" s="238"/>
      <c r="D216" s="237"/>
      <c r="E216" s="237"/>
      <c r="F216" s="237"/>
      <c r="G216" s="234"/>
      <c r="H216" s="234"/>
      <c r="I216" s="234"/>
      <c r="J216" s="234"/>
      <c r="K216" s="234"/>
      <c r="L216" s="237"/>
      <c r="M216" s="237"/>
      <c r="N216" s="234"/>
      <c r="O216" s="239"/>
      <c r="P216" s="239"/>
    </row>
    <row r="217" spans="2:16" s="272" customFormat="1">
      <c r="B217" s="238"/>
      <c r="C217" s="238"/>
      <c r="D217" s="237"/>
      <c r="E217" s="237"/>
      <c r="F217" s="237"/>
      <c r="G217" s="234"/>
      <c r="H217" s="234"/>
      <c r="I217" s="234"/>
      <c r="J217" s="234"/>
      <c r="K217" s="234"/>
      <c r="L217" s="237"/>
      <c r="M217" s="237"/>
      <c r="N217" s="234"/>
      <c r="O217" s="239"/>
      <c r="P217" s="239"/>
    </row>
    <row r="218" spans="2:16" s="272" customFormat="1">
      <c r="B218" s="238"/>
      <c r="C218" s="238"/>
      <c r="D218" s="237"/>
      <c r="E218" s="237"/>
      <c r="F218" s="237"/>
      <c r="G218" s="234"/>
      <c r="H218" s="234"/>
      <c r="I218" s="234"/>
      <c r="J218" s="234"/>
      <c r="K218" s="234"/>
      <c r="L218" s="237"/>
      <c r="M218" s="237"/>
      <c r="N218" s="234"/>
      <c r="O218" s="239"/>
      <c r="P218" s="239"/>
    </row>
    <row r="219" spans="2:16" s="272" customFormat="1">
      <c r="B219" s="238"/>
      <c r="C219" s="238"/>
      <c r="D219" s="237"/>
      <c r="E219" s="237"/>
      <c r="F219" s="237"/>
      <c r="G219" s="234"/>
      <c r="H219" s="234"/>
      <c r="I219" s="234"/>
      <c r="J219" s="234"/>
      <c r="K219" s="234"/>
      <c r="L219" s="237"/>
      <c r="M219" s="237"/>
      <c r="N219" s="234"/>
      <c r="O219" s="239"/>
      <c r="P219" s="239"/>
    </row>
    <row r="220" spans="2:16" s="272" customFormat="1">
      <c r="B220" s="238"/>
      <c r="C220" s="238"/>
      <c r="D220" s="237"/>
      <c r="E220" s="237"/>
      <c r="F220" s="237"/>
      <c r="G220" s="234"/>
      <c r="H220" s="234"/>
      <c r="I220" s="234"/>
      <c r="J220" s="234"/>
      <c r="K220" s="234"/>
      <c r="L220" s="237"/>
      <c r="M220" s="237"/>
      <c r="N220" s="234"/>
      <c r="O220" s="239"/>
      <c r="P220" s="239"/>
    </row>
    <row r="221" spans="2:16" s="272" customFormat="1">
      <c r="B221" s="238"/>
      <c r="C221" s="238"/>
      <c r="D221" s="237"/>
      <c r="E221" s="237"/>
      <c r="F221" s="237"/>
      <c r="G221" s="234"/>
      <c r="H221" s="234"/>
      <c r="I221" s="234"/>
      <c r="J221" s="234"/>
      <c r="K221" s="234"/>
      <c r="L221" s="237"/>
      <c r="M221" s="237"/>
      <c r="N221" s="234"/>
      <c r="O221" s="239"/>
      <c r="P221" s="239"/>
    </row>
    <row r="222" spans="2:16" s="272" customFormat="1">
      <c r="B222" s="238"/>
      <c r="C222" s="238"/>
      <c r="D222" s="237"/>
      <c r="E222" s="237"/>
      <c r="F222" s="237"/>
      <c r="G222" s="234"/>
      <c r="H222" s="234"/>
      <c r="I222" s="234"/>
      <c r="J222" s="234"/>
      <c r="K222" s="234"/>
      <c r="L222" s="237"/>
      <c r="M222" s="237"/>
      <c r="N222" s="234"/>
      <c r="O222" s="239"/>
      <c r="P222" s="239"/>
    </row>
    <row r="223" spans="2:16" s="272" customFormat="1">
      <c r="B223" s="238"/>
      <c r="C223" s="238"/>
      <c r="D223" s="237"/>
      <c r="E223" s="237"/>
      <c r="F223" s="237"/>
      <c r="G223" s="234"/>
      <c r="H223" s="234"/>
      <c r="I223" s="234"/>
      <c r="J223" s="234"/>
      <c r="K223" s="234"/>
      <c r="L223" s="237"/>
      <c r="M223" s="237"/>
      <c r="N223" s="234"/>
      <c r="O223" s="239"/>
      <c r="P223" s="239"/>
    </row>
    <row r="224" spans="2:16" s="272" customFormat="1">
      <c r="B224" s="238"/>
      <c r="C224" s="238"/>
      <c r="D224" s="237"/>
      <c r="E224" s="237"/>
      <c r="F224" s="237"/>
      <c r="G224" s="234"/>
      <c r="H224" s="234"/>
      <c r="I224" s="234"/>
      <c r="J224" s="234"/>
      <c r="K224" s="234"/>
      <c r="L224" s="237"/>
      <c r="M224" s="237"/>
      <c r="N224" s="234"/>
      <c r="O224" s="239"/>
      <c r="P224" s="239"/>
    </row>
    <row r="225" spans="2:16" s="272" customFormat="1">
      <c r="B225" s="238"/>
      <c r="C225" s="238"/>
      <c r="D225" s="237"/>
      <c r="E225" s="237"/>
      <c r="F225" s="237"/>
      <c r="G225" s="234"/>
      <c r="H225" s="234"/>
      <c r="I225" s="234"/>
      <c r="J225" s="234"/>
      <c r="K225" s="234"/>
      <c r="L225" s="237"/>
      <c r="M225" s="237"/>
      <c r="N225" s="234"/>
      <c r="O225" s="239"/>
      <c r="P225" s="239"/>
    </row>
    <row r="226" spans="2:16" s="272" customFormat="1">
      <c r="B226" s="238"/>
      <c r="C226" s="238"/>
      <c r="D226" s="237"/>
      <c r="E226" s="237"/>
      <c r="F226" s="237"/>
      <c r="G226" s="234"/>
      <c r="H226" s="234"/>
      <c r="I226" s="234"/>
      <c r="J226" s="234"/>
      <c r="K226" s="234"/>
      <c r="L226" s="237"/>
      <c r="M226" s="237"/>
      <c r="N226" s="234"/>
      <c r="O226" s="239"/>
      <c r="P226" s="239"/>
    </row>
    <row r="227" spans="2:16" s="272" customFormat="1">
      <c r="B227" s="238"/>
      <c r="C227" s="238"/>
      <c r="D227" s="237"/>
      <c r="E227" s="237"/>
      <c r="F227" s="237"/>
      <c r="G227" s="234"/>
      <c r="H227" s="234"/>
      <c r="I227" s="234"/>
      <c r="J227" s="234"/>
      <c r="K227" s="234"/>
      <c r="L227" s="237"/>
      <c r="M227" s="237"/>
      <c r="N227" s="234"/>
      <c r="O227" s="239"/>
      <c r="P227" s="239"/>
    </row>
    <row r="228" spans="2:16" s="272" customFormat="1">
      <c r="B228" s="238"/>
      <c r="C228" s="238"/>
      <c r="D228" s="237"/>
      <c r="E228" s="237"/>
      <c r="F228" s="237"/>
      <c r="G228" s="234"/>
      <c r="H228" s="234"/>
      <c r="I228" s="234"/>
      <c r="J228" s="234"/>
      <c r="K228" s="234"/>
      <c r="L228" s="237"/>
      <c r="M228" s="237"/>
      <c r="N228" s="234"/>
      <c r="O228" s="239"/>
      <c r="P228" s="239"/>
    </row>
    <row r="229" spans="2:16" s="272" customFormat="1">
      <c r="B229" s="238"/>
      <c r="C229" s="238"/>
      <c r="D229" s="237"/>
      <c r="E229" s="237"/>
      <c r="F229" s="237"/>
      <c r="G229" s="234"/>
      <c r="H229" s="234"/>
      <c r="I229" s="234"/>
      <c r="J229" s="234"/>
      <c r="K229" s="234"/>
      <c r="L229" s="237"/>
      <c r="M229" s="237"/>
      <c r="N229" s="234"/>
      <c r="O229" s="239"/>
      <c r="P229" s="239"/>
    </row>
    <row r="230" spans="2:16" s="272" customFormat="1">
      <c r="B230" s="238"/>
      <c r="C230" s="238"/>
      <c r="D230" s="237"/>
      <c r="E230" s="237"/>
      <c r="F230" s="237"/>
      <c r="G230" s="234"/>
      <c r="H230" s="234"/>
      <c r="I230" s="234"/>
      <c r="J230" s="234"/>
      <c r="K230" s="234"/>
      <c r="L230" s="237"/>
      <c r="M230" s="237"/>
      <c r="N230" s="234"/>
      <c r="O230" s="239"/>
      <c r="P230" s="239"/>
    </row>
    <row r="231" spans="2:16" s="272" customFormat="1">
      <c r="B231" s="238"/>
      <c r="C231" s="238"/>
      <c r="D231" s="237"/>
      <c r="E231" s="237"/>
      <c r="F231" s="237"/>
      <c r="G231" s="234"/>
      <c r="H231" s="234"/>
      <c r="I231" s="234"/>
      <c r="J231" s="234"/>
      <c r="K231" s="234"/>
      <c r="L231" s="237"/>
      <c r="M231" s="237"/>
      <c r="N231" s="234"/>
      <c r="O231" s="239"/>
      <c r="P231" s="239"/>
    </row>
    <row r="232" spans="2:16" s="272" customFormat="1">
      <c r="B232" s="238"/>
      <c r="C232" s="238"/>
      <c r="D232" s="237"/>
      <c r="E232" s="237"/>
      <c r="F232" s="237"/>
      <c r="G232" s="234"/>
      <c r="H232" s="234"/>
      <c r="I232" s="234"/>
      <c r="J232" s="234"/>
      <c r="K232" s="234"/>
      <c r="L232" s="237"/>
      <c r="M232" s="237"/>
      <c r="N232" s="234"/>
      <c r="O232" s="239"/>
      <c r="P232" s="239"/>
    </row>
    <row r="233" spans="2:16" s="272" customFormat="1">
      <c r="B233" s="238"/>
      <c r="C233" s="238"/>
      <c r="D233" s="237"/>
      <c r="E233" s="237"/>
      <c r="F233" s="237"/>
      <c r="G233" s="234"/>
      <c r="H233" s="234"/>
      <c r="I233" s="234"/>
      <c r="J233" s="234"/>
      <c r="K233" s="234"/>
      <c r="L233" s="237"/>
      <c r="M233" s="237"/>
      <c r="N233" s="234"/>
      <c r="O233" s="239"/>
      <c r="P233" s="239"/>
    </row>
    <row r="234" spans="2:16" s="272" customFormat="1">
      <c r="B234" s="238"/>
      <c r="C234" s="238"/>
      <c r="D234" s="237"/>
      <c r="E234" s="237"/>
      <c r="F234" s="237"/>
      <c r="G234" s="234"/>
      <c r="H234" s="234"/>
      <c r="I234" s="234"/>
      <c r="J234" s="234"/>
      <c r="K234" s="234"/>
      <c r="L234" s="237"/>
      <c r="M234" s="237"/>
      <c r="N234" s="234"/>
      <c r="O234" s="239"/>
      <c r="P234" s="239"/>
    </row>
    <row r="235" spans="2:16" s="272" customFormat="1">
      <c r="B235" s="238"/>
      <c r="C235" s="238"/>
      <c r="D235" s="237"/>
      <c r="E235" s="237"/>
      <c r="F235" s="237"/>
      <c r="G235" s="234"/>
      <c r="H235" s="234"/>
      <c r="I235" s="234"/>
      <c r="J235" s="234"/>
      <c r="K235" s="234"/>
      <c r="L235" s="237"/>
      <c r="M235" s="237"/>
      <c r="N235" s="234"/>
      <c r="O235" s="239"/>
      <c r="P235" s="239"/>
    </row>
    <row r="236" spans="2:16" s="272" customFormat="1">
      <c r="B236" s="238"/>
      <c r="C236" s="238"/>
      <c r="D236" s="237"/>
      <c r="E236" s="237"/>
      <c r="F236" s="237"/>
      <c r="G236" s="234"/>
      <c r="H236" s="234"/>
      <c r="I236" s="234"/>
      <c r="J236" s="234"/>
      <c r="K236" s="234"/>
      <c r="L236" s="237"/>
      <c r="M236" s="237"/>
      <c r="N236" s="234"/>
      <c r="O236" s="239"/>
      <c r="P236" s="239"/>
    </row>
    <row r="237" spans="2:16" s="272" customFormat="1">
      <c r="B237" s="238"/>
      <c r="C237" s="238"/>
      <c r="D237" s="237"/>
      <c r="E237" s="237"/>
      <c r="F237" s="237"/>
      <c r="G237" s="234"/>
      <c r="H237" s="234"/>
      <c r="I237" s="234"/>
      <c r="J237" s="234"/>
      <c r="K237" s="234"/>
      <c r="L237" s="237"/>
      <c r="M237" s="237"/>
      <c r="N237" s="234"/>
      <c r="O237" s="239"/>
      <c r="P237" s="239"/>
    </row>
    <row r="238" spans="2:16" s="272" customFormat="1">
      <c r="B238" s="238"/>
      <c r="C238" s="238"/>
      <c r="D238" s="237"/>
      <c r="E238" s="237"/>
      <c r="F238" s="237"/>
      <c r="G238" s="234"/>
      <c r="H238" s="234"/>
      <c r="I238" s="234"/>
      <c r="J238" s="234"/>
      <c r="K238" s="234"/>
      <c r="L238" s="237"/>
      <c r="M238" s="237"/>
      <c r="N238" s="234"/>
      <c r="O238" s="239"/>
      <c r="P238" s="239"/>
    </row>
    <row r="239" spans="2:16" s="272" customFormat="1">
      <c r="B239" s="238"/>
      <c r="C239" s="238"/>
      <c r="D239" s="237"/>
      <c r="E239" s="237"/>
      <c r="F239" s="237"/>
      <c r="G239" s="234"/>
      <c r="H239" s="234"/>
      <c r="I239" s="234"/>
      <c r="J239" s="234"/>
      <c r="K239" s="234"/>
      <c r="L239" s="237"/>
      <c r="M239" s="237"/>
      <c r="N239" s="234"/>
      <c r="O239" s="239"/>
      <c r="P239" s="239"/>
    </row>
    <row r="240" spans="2:16" s="272" customFormat="1">
      <c r="B240" s="238"/>
      <c r="C240" s="238"/>
      <c r="D240" s="237"/>
      <c r="E240" s="237"/>
      <c r="F240" s="237"/>
      <c r="G240" s="234"/>
      <c r="H240" s="234"/>
      <c r="I240" s="234"/>
      <c r="J240" s="234"/>
      <c r="K240" s="234"/>
      <c r="L240" s="237"/>
      <c r="M240" s="237"/>
      <c r="N240" s="234"/>
      <c r="O240" s="239"/>
      <c r="P240" s="239"/>
    </row>
    <row r="241" spans="2:16" s="272" customFormat="1">
      <c r="B241" s="238"/>
      <c r="C241" s="238"/>
      <c r="D241" s="237"/>
      <c r="E241" s="237"/>
      <c r="F241" s="237"/>
      <c r="G241" s="234"/>
      <c r="H241" s="234"/>
      <c r="I241" s="234"/>
      <c r="J241" s="234"/>
      <c r="K241" s="234"/>
      <c r="L241" s="237"/>
      <c r="M241" s="237"/>
      <c r="N241" s="234"/>
      <c r="O241" s="239"/>
      <c r="P241" s="239"/>
    </row>
    <row r="242" spans="2:16" s="272" customFormat="1">
      <c r="B242" s="238"/>
      <c r="C242" s="238"/>
      <c r="D242" s="237"/>
      <c r="E242" s="237"/>
      <c r="F242" s="237"/>
      <c r="G242" s="234"/>
      <c r="H242" s="234"/>
      <c r="I242" s="234"/>
      <c r="J242" s="234"/>
      <c r="K242" s="234"/>
      <c r="L242" s="237"/>
      <c r="M242" s="237"/>
      <c r="N242" s="234"/>
      <c r="O242" s="239"/>
      <c r="P242" s="239"/>
    </row>
    <row r="243" spans="2:16" s="272" customFormat="1">
      <c r="B243" s="238"/>
      <c r="C243" s="238"/>
      <c r="D243" s="237"/>
      <c r="E243" s="237"/>
      <c r="F243" s="237"/>
      <c r="G243" s="234"/>
      <c r="H243" s="234"/>
      <c r="I243" s="234"/>
      <c r="J243" s="234"/>
      <c r="K243" s="234"/>
      <c r="L243" s="237"/>
      <c r="M243" s="237"/>
      <c r="N243" s="234"/>
      <c r="O243" s="239"/>
      <c r="P243" s="239"/>
    </row>
    <row r="244" spans="2:16" s="272" customFormat="1">
      <c r="B244" s="238"/>
      <c r="C244" s="238"/>
      <c r="D244" s="237"/>
      <c r="E244" s="237"/>
      <c r="F244" s="237"/>
      <c r="G244" s="234"/>
      <c r="H244" s="234"/>
      <c r="I244" s="234"/>
      <c r="J244" s="234"/>
      <c r="K244" s="234"/>
      <c r="L244" s="237"/>
      <c r="M244" s="237"/>
      <c r="N244" s="234"/>
      <c r="O244" s="239"/>
      <c r="P244" s="239"/>
    </row>
    <row r="245" spans="2:16" s="272" customFormat="1">
      <c r="B245" s="238"/>
      <c r="C245" s="238"/>
      <c r="D245" s="237"/>
      <c r="E245" s="237"/>
      <c r="F245" s="237"/>
      <c r="G245" s="234"/>
      <c r="H245" s="234"/>
      <c r="I245" s="234"/>
      <c r="J245" s="234"/>
      <c r="K245" s="234"/>
      <c r="L245" s="237"/>
      <c r="M245" s="237"/>
      <c r="N245" s="234"/>
      <c r="O245" s="239"/>
      <c r="P245" s="239"/>
    </row>
    <row r="246" spans="2:16" s="272" customFormat="1">
      <c r="B246" s="238"/>
      <c r="C246" s="238"/>
      <c r="D246" s="237"/>
      <c r="E246" s="237"/>
      <c r="F246" s="237"/>
      <c r="G246" s="234"/>
      <c r="H246" s="234"/>
      <c r="I246" s="234"/>
      <c r="J246" s="234"/>
      <c r="K246" s="234"/>
      <c r="L246" s="237"/>
      <c r="M246" s="237"/>
      <c r="N246" s="234"/>
      <c r="O246" s="239"/>
      <c r="P246" s="239"/>
    </row>
    <row r="247" spans="2:16" s="272" customFormat="1">
      <c r="B247" s="238"/>
      <c r="C247" s="238"/>
      <c r="D247" s="237"/>
      <c r="E247" s="237"/>
      <c r="F247" s="237"/>
      <c r="G247" s="234"/>
      <c r="H247" s="234"/>
      <c r="I247" s="234"/>
      <c r="J247" s="234"/>
      <c r="K247" s="234"/>
      <c r="L247" s="237"/>
      <c r="M247" s="237"/>
      <c r="N247" s="234"/>
      <c r="O247" s="239"/>
      <c r="P247" s="239"/>
    </row>
    <row r="248" spans="2:16" s="272" customFormat="1">
      <c r="B248" s="238"/>
      <c r="C248" s="238"/>
      <c r="D248" s="237"/>
      <c r="E248" s="237"/>
      <c r="F248" s="237"/>
      <c r="G248" s="234"/>
      <c r="H248" s="234"/>
      <c r="I248" s="234"/>
      <c r="J248" s="234"/>
      <c r="K248" s="234"/>
      <c r="L248" s="237"/>
      <c r="M248" s="237"/>
      <c r="N248" s="234"/>
      <c r="O248" s="239"/>
      <c r="P248" s="239"/>
    </row>
    <row r="249" spans="2:16" s="272" customFormat="1">
      <c r="B249" s="238"/>
      <c r="C249" s="238"/>
      <c r="D249" s="237"/>
      <c r="E249" s="237"/>
      <c r="F249" s="237"/>
      <c r="G249" s="234"/>
      <c r="H249" s="234"/>
      <c r="I249" s="234"/>
      <c r="J249" s="234"/>
      <c r="K249" s="234"/>
      <c r="L249" s="237"/>
      <c r="M249" s="237"/>
      <c r="N249" s="234"/>
      <c r="O249" s="239"/>
      <c r="P249" s="239"/>
    </row>
    <row r="250" spans="2:16" s="272" customFormat="1">
      <c r="B250" s="238"/>
      <c r="C250" s="238"/>
      <c r="D250" s="237"/>
      <c r="E250" s="237"/>
      <c r="F250" s="237"/>
      <c r="G250" s="234"/>
      <c r="H250" s="234"/>
      <c r="I250" s="234"/>
      <c r="J250" s="234"/>
      <c r="K250" s="234"/>
      <c r="L250" s="237"/>
      <c r="M250" s="237"/>
      <c r="N250" s="234"/>
      <c r="O250" s="239"/>
      <c r="P250" s="239"/>
    </row>
    <row r="251" spans="2:16" s="272" customFormat="1">
      <c r="B251" s="238"/>
      <c r="C251" s="238"/>
      <c r="D251" s="237"/>
      <c r="E251" s="237"/>
      <c r="F251" s="237"/>
      <c r="G251" s="234"/>
      <c r="H251" s="234"/>
      <c r="I251" s="234"/>
      <c r="J251" s="234"/>
      <c r="K251" s="234"/>
      <c r="L251" s="237"/>
      <c r="M251" s="237"/>
      <c r="N251" s="234"/>
      <c r="O251" s="239"/>
      <c r="P251" s="239"/>
    </row>
    <row r="252" spans="2:16" s="272" customFormat="1">
      <c r="B252" s="238"/>
      <c r="C252" s="238"/>
      <c r="D252" s="237"/>
      <c r="E252" s="237"/>
      <c r="F252" s="237"/>
      <c r="G252" s="234"/>
      <c r="H252" s="234"/>
      <c r="I252" s="234"/>
      <c r="J252" s="234"/>
      <c r="K252" s="234"/>
      <c r="L252" s="237"/>
      <c r="M252" s="237"/>
      <c r="N252" s="234"/>
      <c r="O252" s="239"/>
      <c r="P252" s="239"/>
    </row>
    <row r="253" spans="2:16" s="272" customFormat="1">
      <c r="B253" s="238"/>
      <c r="C253" s="238"/>
      <c r="D253" s="237"/>
      <c r="E253" s="237"/>
      <c r="F253" s="237"/>
      <c r="G253" s="234"/>
      <c r="H253" s="234"/>
      <c r="I253" s="234"/>
      <c r="J253" s="234"/>
      <c r="K253" s="234"/>
      <c r="L253" s="237"/>
      <c r="M253" s="237"/>
      <c r="N253" s="234"/>
      <c r="O253" s="239"/>
      <c r="P253" s="239"/>
    </row>
    <row r="254" spans="2:16" s="272" customFormat="1">
      <c r="B254" s="238"/>
      <c r="C254" s="238"/>
      <c r="D254" s="237"/>
      <c r="E254" s="237"/>
      <c r="F254" s="237"/>
      <c r="G254" s="234"/>
      <c r="H254" s="234"/>
      <c r="I254" s="234"/>
      <c r="J254" s="234"/>
      <c r="K254" s="234"/>
      <c r="L254" s="237"/>
      <c r="M254" s="237"/>
      <c r="N254" s="234"/>
      <c r="O254" s="239"/>
      <c r="P254" s="239"/>
    </row>
    <row r="255" spans="2:16" s="272" customFormat="1">
      <c r="B255" s="238"/>
      <c r="C255" s="238"/>
      <c r="D255" s="237"/>
      <c r="E255" s="237"/>
      <c r="F255" s="237"/>
      <c r="G255" s="234"/>
      <c r="H255" s="234"/>
      <c r="I255" s="234"/>
      <c r="J255" s="234"/>
      <c r="K255" s="234"/>
      <c r="L255" s="237"/>
      <c r="M255" s="237"/>
      <c r="N255" s="234"/>
      <c r="O255" s="239"/>
      <c r="P255" s="239"/>
    </row>
    <row r="256" spans="2:16" s="272" customFormat="1">
      <c r="B256" s="238"/>
      <c r="C256" s="238"/>
      <c r="D256" s="237"/>
      <c r="E256" s="237"/>
      <c r="F256" s="237"/>
      <c r="G256" s="234"/>
      <c r="H256" s="234"/>
      <c r="I256" s="234"/>
      <c r="J256" s="234"/>
      <c r="K256" s="234"/>
      <c r="L256" s="237"/>
      <c r="M256" s="237"/>
      <c r="N256" s="234"/>
      <c r="O256" s="239"/>
      <c r="P256" s="239"/>
    </row>
    <row r="257" spans="2:16" s="272" customFormat="1">
      <c r="B257" s="238"/>
      <c r="C257" s="238"/>
      <c r="D257" s="237"/>
      <c r="E257" s="237"/>
      <c r="F257" s="237"/>
      <c r="G257" s="234"/>
      <c r="H257" s="234"/>
      <c r="I257" s="234"/>
      <c r="J257" s="234"/>
      <c r="K257" s="234"/>
      <c r="L257" s="237"/>
      <c r="M257" s="237"/>
      <c r="N257" s="234"/>
      <c r="O257" s="239"/>
      <c r="P257" s="239"/>
    </row>
    <row r="258" spans="2:16" s="272" customFormat="1">
      <c r="B258" s="238"/>
      <c r="C258" s="238"/>
      <c r="D258" s="237"/>
      <c r="E258" s="237"/>
      <c r="F258" s="237"/>
      <c r="G258" s="234"/>
      <c r="H258" s="234"/>
      <c r="I258" s="234"/>
      <c r="J258" s="234"/>
      <c r="K258" s="234"/>
      <c r="L258" s="237"/>
      <c r="M258" s="237"/>
      <c r="N258" s="234"/>
      <c r="O258" s="239"/>
      <c r="P258" s="239"/>
    </row>
    <row r="259" spans="2:16" s="272" customFormat="1">
      <c r="B259" s="238"/>
      <c r="C259" s="238"/>
      <c r="D259" s="237"/>
      <c r="E259" s="237"/>
      <c r="F259" s="237"/>
      <c r="G259" s="234"/>
      <c r="H259" s="234"/>
      <c r="I259" s="234"/>
      <c r="J259" s="234"/>
      <c r="K259" s="234"/>
      <c r="L259" s="237"/>
      <c r="M259" s="237"/>
      <c r="N259" s="234"/>
      <c r="O259" s="239"/>
      <c r="P259" s="239"/>
    </row>
    <row r="260" spans="2:16" s="272" customFormat="1">
      <c r="B260" s="238"/>
      <c r="C260" s="238"/>
      <c r="D260" s="237"/>
      <c r="E260" s="237"/>
      <c r="F260" s="237"/>
      <c r="G260" s="234"/>
      <c r="H260" s="234"/>
      <c r="I260" s="234"/>
      <c r="J260" s="234"/>
      <c r="K260" s="234"/>
      <c r="L260" s="237"/>
      <c r="M260" s="237"/>
      <c r="N260" s="234"/>
      <c r="O260" s="239"/>
      <c r="P260" s="239"/>
    </row>
    <row r="261" spans="2:16" s="272" customFormat="1">
      <c r="B261" s="238"/>
      <c r="C261" s="238"/>
      <c r="D261" s="237"/>
      <c r="E261" s="237"/>
      <c r="F261" s="237"/>
      <c r="G261" s="234"/>
      <c r="H261" s="234"/>
      <c r="I261" s="234"/>
      <c r="J261" s="234"/>
      <c r="K261" s="234"/>
      <c r="L261" s="237"/>
      <c r="M261" s="237"/>
      <c r="N261" s="234"/>
      <c r="O261" s="239"/>
      <c r="P261" s="239"/>
    </row>
    <row r="262" spans="2:16" s="272" customFormat="1">
      <c r="B262" s="238"/>
      <c r="C262" s="238"/>
      <c r="D262" s="237"/>
      <c r="E262" s="237"/>
      <c r="F262" s="237"/>
      <c r="G262" s="234"/>
      <c r="H262" s="234"/>
      <c r="I262" s="234"/>
      <c r="J262" s="234"/>
      <c r="K262" s="234"/>
      <c r="L262" s="237"/>
      <c r="M262" s="237"/>
      <c r="N262" s="234"/>
      <c r="O262" s="239"/>
      <c r="P262" s="239"/>
    </row>
    <row r="263" spans="2:16" s="272" customFormat="1">
      <c r="B263" s="238"/>
      <c r="C263" s="238"/>
      <c r="D263" s="237"/>
      <c r="E263" s="237"/>
      <c r="F263" s="237"/>
      <c r="G263" s="234"/>
      <c r="H263" s="234"/>
      <c r="I263" s="234"/>
      <c r="J263" s="234"/>
      <c r="K263" s="234"/>
      <c r="L263" s="237"/>
      <c r="M263" s="237"/>
      <c r="N263" s="234"/>
      <c r="O263" s="239"/>
      <c r="P263" s="239"/>
    </row>
    <row r="264" spans="2:16" s="272" customFormat="1">
      <c r="B264" s="238"/>
      <c r="C264" s="238"/>
      <c r="D264" s="237"/>
      <c r="E264" s="237"/>
      <c r="F264" s="237"/>
      <c r="G264" s="234"/>
      <c r="H264" s="234"/>
      <c r="I264" s="234"/>
      <c r="J264" s="234"/>
      <c r="K264" s="234"/>
      <c r="L264" s="237"/>
      <c r="M264" s="237"/>
      <c r="N264" s="234"/>
      <c r="O264" s="239"/>
      <c r="P264" s="239"/>
    </row>
    <row r="265" spans="2:16" s="272" customFormat="1">
      <c r="B265" s="238"/>
      <c r="C265" s="238"/>
      <c r="D265" s="237"/>
      <c r="E265" s="237"/>
      <c r="F265" s="237"/>
      <c r="G265" s="234"/>
      <c r="H265" s="234"/>
      <c r="I265" s="234"/>
      <c r="J265" s="234"/>
      <c r="K265" s="234"/>
      <c r="L265" s="237"/>
      <c r="M265" s="237"/>
      <c r="N265" s="234"/>
      <c r="O265" s="239"/>
      <c r="P265" s="239"/>
    </row>
    <row r="266" spans="2:16" s="272" customFormat="1">
      <c r="B266" s="238"/>
      <c r="C266" s="238"/>
      <c r="D266" s="237"/>
      <c r="E266" s="237"/>
      <c r="F266" s="237"/>
      <c r="G266" s="234"/>
      <c r="H266" s="234"/>
      <c r="I266" s="234"/>
      <c r="J266" s="234"/>
      <c r="K266" s="234"/>
      <c r="L266" s="237"/>
      <c r="M266" s="237"/>
      <c r="N266" s="234"/>
      <c r="O266" s="239"/>
      <c r="P266" s="239"/>
    </row>
    <row r="267" spans="2:16" s="272" customFormat="1">
      <c r="B267" s="238"/>
      <c r="C267" s="238"/>
      <c r="D267" s="237"/>
      <c r="E267" s="237"/>
      <c r="F267" s="237"/>
      <c r="G267" s="234"/>
      <c r="H267" s="234"/>
      <c r="I267" s="234"/>
      <c r="J267" s="234"/>
      <c r="K267" s="234"/>
      <c r="L267" s="237"/>
      <c r="M267" s="237"/>
      <c r="N267" s="234"/>
      <c r="O267" s="239"/>
      <c r="P267" s="239"/>
    </row>
    <row r="268" spans="2:16" s="272" customFormat="1">
      <c r="B268" s="238"/>
      <c r="C268" s="238"/>
      <c r="D268" s="237"/>
      <c r="E268" s="237"/>
      <c r="F268" s="237"/>
      <c r="G268" s="234"/>
      <c r="H268" s="234"/>
      <c r="I268" s="234"/>
      <c r="J268" s="234"/>
      <c r="K268" s="234"/>
      <c r="L268" s="237"/>
      <c r="M268" s="237"/>
      <c r="N268" s="234"/>
      <c r="O268" s="239"/>
      <c r="P268" s="239"/>
    </row>
    <row r="269" spans="2:16" s="272" customFormat="1">
      <c r="B269" s="238"/>
      <c r="C269" s="238"/>
      <c r="D269" s="237"/>
      <c r="E269" s="237"/>
      <c r="F269" s="237"/>
      <c r="G269" s="234"/>
      <c r="H269" s="234"/>
      <c r="I269" s="234"/>
      <c r="J269" s="234"/>
      <c r="K269" s="234"/>
      <c r="L269" s="237"/>
      <c r="M269" s="237"/>
      <c r="N269" s="234"/>
      <c r="O269" s="239"/>
      <c r="P269" s="239"/>
    </row>
    <row r="270" spans="2:16" s="272" customFormat="1">
      <c r="B270" s="238"/>
      <c r="C270" s="238"/>
      <c r="D270" s="237"/>
      <c r="E270" s="237"/>
      <c r="F270" s="237"/>
      <c r="G270" s="234"/>
      <c r="H270" s="234"/>
      <c r="I270" s="234"/>
      <c r="J270" s="234"/>
      <c r="K270" s="234"/>
      <c r="L270" s="237"/>
      <c r="M270" s="237"/>
      <c r="N270" s="234"/>
      <c r="O270" s="239"/>
      <c r="P270" s="239"/>
    </row>
    <row r="271" spans="2:16" s="272" customFormat="1">
      <c r="B271" s="238"/>
      <c r="C271" s="238"/>
      <c r="D271" s="237"/>
      <c r="E271" s="237"/>
      <c r="F271" s="237"/>
      <c r="G271" s="234"/>
      <c r="H271" s="234"/>
      <c r="I271" s="234"/>
      <c r="J271" s="234"/>
      <c r="K271" s="234"/>
      <c r="L271" s="237"/>
      <c r="M271" s="237"/>
      <c r="N271" s="234"/>
      <c r="O271" s="239"/>
      <c r="P271" s="239"/>
    </row>
    <row r="272" spans="2:16" s="272" customFormat="1">
      <c r="B272" s="238"/>
      <c r="C272" s="238"/>
      <c r="D272" s="237"/>
      <c r="E272" s="237"/>
      <c r="F272" s="237"/>
      <c r="G272" s="234"/>
      <c r="H272" s="234"/>
      <c r="I272" s="234"/>
      <c r="J272" s="234"/>
      <c r="K272" s="234"/>
      <c r="L272" s="237"/>
      <c r="M272" s="237"/>
      <c r="N272" s="234"/>
      <c r="O272" s="239"/>
      <c r="P272" s="239"/>
    </row>
    <row r="273" spans="2:16" s="272" customFormat="1">
      <c r="B273" s="238"/>
      <c r="C273" s="238"/>
      <c r="D273" s="237"/>
      <c r="E273" s="237"/>
      <c r="F273" s="237"/>
      <c r="G273" s="234"/>
      <c r="H273" s="234"/>
      <c r="I273" s="234"/>
      <c r="J273" s="234"/>
      <c r="K273" s="234"/>
      <c r="L273" s="237"/>
      <c r="M273" s="237"/>
      <c r="N273" s="234"/>
      <c r="O273" s="239"/>
      <c r="P273" s="239"/>
    </row>
    <row r="274" spans="2:16" s="272" customFormat="1">
      <c r="B274" s="238"/>
      <c r="C274" s="238"/>
      <c r="D274" s="237"/>
      <c r="E274" s="237"/>
      <c r="F274" s="237"/>
      <c r="G274" s="234"/>
      <c r="H274" s="234"/>
      <c r="I274" s="234"/>
      <c r="J274" s="234"/>
      <c r="K274" s="234"/>
      <c r="L274" s="237"/>
      <c r="M274" s="237"/>
      <c r="N274" s="234"/>
      <c r="O274" s="239"/>
      <c r="P274" s="239"/>
    </row>
    <row r="275" spans="2:16" s="272" customFormat="1">
      <c r="B275" s="238"/>
      <c r="C275" s="238"/>
      <c r="D275" s="237"/>
      <c r="E275" s="237"/>
      <c r="F275" s="237"/>
      <c r="G275" s="234"/>
      <c r="H275" s="234"/>
      <c r="I275" s="234"/>
      <c r="J275" s="234"/>
      <c r="K275" s="234"/>
      <c r="L275" s="237"/>
      <c r="M275" s="237"/>
      <c r="N275" s="234"/>
      <c r="O275" s="239"/>
      <c r="P275" s="239"/>
    </row>
    <row r="276" spans="2:16" s="272" customFormat="1">
      <c r="B276" s="238"/>
      <c r="C276" s="238"/>
      <c r="D276" s="237"/>
      <c r="E276" s="237"/>
      <c r="F276" s="237"/>
      <c r="G276" s="234"/>
      <c r="H276" s="234"/>
      <c r="I276" s="234"/>
      <c r="J276" s="234"/>
      <c r="K276" s="234"/>
      <c r="L276" s="237"/>
      <c r="M276" s="237"/>
      <c r="N276" s="234"/>
      <c r="O276" s="239"/>
      <c r="P276" s="239"/>
    </row>
    <row r="277" spans="2:16" s="272" customFormat="1">
      <c r="B277" s="238"/>
      <c r="C277" s="238"/>
      <c r="D277" s="237"/>
      <c r="E277" s="237"/>
      <c r="F277" s="237"/>
      <c r="G277" s="234"/>
      <c r="H277" s="234"/>
      <c r="I277" s="234"/>
      <c r="J277" s="234"/>
      <c r="K277" s="234"/>
      <c r="L277" s="237"/>
      <c r="M277" s="237"/>
      <c r="N277" s="234"/>
      <c r="O277" s="239"/>
      <c r="P277" s="239"/>
    </row>
    <row r="278" spans="2:16" s="272" customFormat="1">
      <c r="B278" s="238"/>
      <c r="C278" s="238"/>
      <c r="D278" s="237"/>
      <c r="E278" s="237"/>
      <c r="F278" s="237"/>
      <c r="G278" s="234"/>
      <c r="H278" s="234"/>
      <c r="I278" s="234"/>
      <c r="J278" s="234"/>
      <c r="K278" s="234"/>
      <c r="L278" s="237"/>
      <c r="M278" s="237"/>
      <c r="N278" s="234"/>
      <c r="O278" s="239"/>
      <c r="P278" s="239"/>
    </row>
    <row r="279" spans="2:16" s="272" customFormat="1">
      <c r="B279" s="238"/>
      <c r="C279" s="238"/>
      <c r="D279" s="237"/>
      <c r="E279" s="237"/>
      <c r="F279" s="237"/>
      <c r="G279" s="234"/>
      <c r="H279" s="234"/>
      <c r="I279" s="234"/>
      <c r="J279" s="234"/>
      <c r="K279" s="234"/>
      <c r="L279" s="237"/>
      <c r="M279" s="237"/>
      <c r="N279" s="234"/>
      <c r="O279" s="239"/>
      <c r="P279" s="239"/>
    </row>
    <row r="280" spans="2:16" s="272" customFormat="1">
      <c r="B280" s="238"/>
      <c r="C280" s="238"/>
      <c r="D280" s="237"/>
      <c r="E280" s="237"/>
      <c r="F280" s="237"/>
      <c r="G280" s="234"/>
      <c r="H280" s="234"/>
      <c r="I280" s="234"/>
      <c r="J280" s="234"/>
      <c r="K280" s="234"/>
      <c r="L280" s="237"/>
      <c r="M280" s="237"/>
      <c r="N280" s="234"/>
      <c r="O280" s="239"/>
      <c r="P280" s="239"/>
    </row>
    <row r="281" spans="2:16" s="272" customFormat="1">
      <c r="B281" s="238"/>
      <c r="C281" s="238"/>
      <c r="D281" s="237"/>
      <c r="E281" s="237"/>
      <c r="F281" s="237"/>
      <c r="G281" s="234"/>
      <c r="H281" s="234"/>
      <c r="I281" s="234"/>
      <c r="J281" s="234"/>
      <c r="K281" s="234"/>
      <c r="L281" s="237"/>
      <c r="M281" s="237"/>
      <c r="N281" s="234"/>
      <c r="O281" s="239"/>
      <c r="P281" s="239"/>
    </row>
    <row r="282" spans="2:16" s="272" customFormat="1">
      <c r="B282" s="238"/>
      <c r="C282" s="238"/>
      <c r="D282" s="237"/>
      <c r="E282" s="237"/>
      <c r="F282" s="237"/>
      <c r="G282" s="234"/>
      <c r="H282" s="234"/>
      <c r="I282" s="234"/>
      <c r="J282" s="234"/>
      <c r="K282" s="234"/>
      <c r="L282" s="237"/>
      <c r="M282" s="237"/>
      <c r="N282" s="234"/>
      <c r="O282" s="239"/>
      <c r="P282" s="239"/>
    </row>
    <row r="283" spans="2:16" s="272" customFormat="1">
      <c r="B283" s="238"/>
      <c r="C283" s="238"/>
      <c r="D283" s="237"/>
      <c r="E283" s="237"/>
      <c r="F283" s="237"/>
      <c r="G283" s="234"/>
      <c r="H283" s="234"/>
      <c r="I283" s="234"/>
      <c r="J283" s="234"/>
      <c r="K283" s="234"/>
      <c r="L283" s="237"/>
      <c r="M283" s="237"/>
      <c r="N283" s="234"/>
      <c r="O283" s="239"/>
      <c r="P283" s="239"/>
    </row>
    <row r="284" spans="2:16" s="272" customFormat="1">
      <c r="B284" s="238"/>
      <c r="C284" s="238"/>
      <c r="D284" s="237"/>
      <c r="E284" s="237"/>
      <c r="F284" s="237"/>
      <c r="G284" s="234"/>
      <c r="H284" s="234"/>
      <c r="I284" s="234"/>
      <c r="J284" s="234"/>
      <c r="K284" s="234"/>
      <c r="L284" s="237"/>
      <c r="M284" s="237"/>
      <c r="N284" s="234"/>
      <c r="O284" s="239"/>
      <c r="P284" s="239"/>
    </row>
    <row r="285" spans="2:16" s="272" customFormat="1">
      <c r="B285" s="238"/>
      <c r="C285" s="238"/>
      <c r="D285" s="237"/>
      <c r="E285" s="237"/>
      <c r="F285" s="237"/>
      <c r="G285" s="234"/>
      <c r="H285" s="234"/>
      <c r="I285" s="234"/>
      <c r="J285" s="234"/>
      <c r="K285" s="234"/>
      <c r="L285" s="237"/>
      <c r="M285" s="237"/>
      <c r="N285" s="234"/>
      <c r="O285" s="239"/>
      <c r="P285" s="239"/>
    </row>
    <row r="286" spans="2:16" s="272" customFormat="1">
      <c r="B286" s="238"/>
      <c r="C286" s="238"/>
      <c r="D286" s="237"/>
      <c r="E286" s="237"/>
      <c r="F286" s="237"/>
      <c r="G286" s="234"/>
      <c r="H286" s="234"/>
      <c r="I286" s="234"/>
      <c r="J286" s="234"/>
      <c r="K286" s="234"/>
      <c r="L286" s="237"/>
      <c r="M286" s="237"/>
      <c r="N286" s="234"/>
      <c r="O286" s="239"/>
      <c r="P286" s="239"/>
    </row>
    <row r="287" spans="2:16" s="272" customFormat="1">
      <c r="B287" s="238"/>
      <c r="C287" s="238"/>
      <c r="D287" s="237"/>
      <c r="E287" s="237"/>
      <c r="F287" s="237"/>
      <c r="G287" s="234"/>
      <c r="H287" s="234"/>
      <c r="I287" s="234"/>
      <c r="J287" s="234"/>
      <c r="K287" s="234"/>
      <c r="L287" s="237"/>
      <c r="M287" s="237"/>
      <c r="N287" s="234"/>
      <c r="O287" s="239"/>
      <c r="P287" s="239"/>
    </row>
    <row r="288" spans="2:16" s="272" customFormat="1">
      <c r="B288" s="238"/>
      <c r="C288" s="238"/>
      <c r="D288" s="237"/>
      <c r="E288" s="237"/>
      <c r="F288" s="237"/>
      <c r="G288" s="234"/>
      <c r="H288" s="234"/>
      <c r="I288" s="234"/>
      <c r="J288" s="234"/>
      <c r="K288" s="234"/>
      <c r="L288" s="237"/>
      <c r="M288" s="237"/>
      <c r="N288" s="234"/>
      <c r="O288" s="239"/>
      <c r="P288" s="239"/>
    </row>
    <row r="289" spans="2:16" s="272" customFormat="1">
      <c r="B289" s="238"/>
      <c r="C289" s="238"/>
      <c r="D289" s="237"/>
      <c r="E289" s="237"/>
      <c r="F289" s="237"/>
      <c r="G289" s="234"/>
      <c r="H289" s="234"/>
      <c r="I289" s="234"/>
      <c r="J289" s="234"/>
      <c r="K289" s="234"/>
      <c r="L289" s="237"/>
      <c r="M289" s="237"/>
      <c r="N289" s="234"/>
      <c r="O289" s="239"/>
      <c r="P289" s="239"/>
    </row>
    <row r="290" spans="2:16" s="272" customFormat="1">
      <c r="B290" s="238"/>
      <c r="C290" s="238"/>
      <c r="D290" s="237"/>
      <c r="E290" s="237"/>
      <c r="F290" s="237"/>
      <c r="G290" s="234"/>
      <c r="H290" s="234"/>
      <c r="I290" s="234"/>
      <c r="J290" s="234"/>
      <c r="K290" s="234"/>
      <c r="L290" s="237"/>
      <c r="M290" s="237"/>
      <c r="N290" s="234"/>
      <c r="O290" s="239"/>
      <c r="P290" s="239"/>
    </row>
    <row r="291" spans="2:16" s="272" customFormat="1">
      <c r="B291" s="238"/>
      <c r="C291" s="238"/>
      <c r="D291" s="237"/>
      <c r="E291" s="237"/>
      <c r="F291" s="237"/>
      <c r="G291" s="234"/>
      <c r="H291" s="234"/>
      <c r="I291" s="234"/>
      <c r="J291" s="234"/>
      <c r="K291" s="234"/>
      <c r="L291" s="237"/>
      <c r="M291" s="237"/>
      <c r="N291" s="234"/>
      <c r="O291" s="239"/>
      <c r="P291" s="239"/>
    </row>
    <row r="292" spans="2:16" s="272" customFormat="1">
      <c r="B292" s="238"/>
      <c r="C292" s="238"/>
      <c r="D292" s="237"/>
      <c r="E292" s="237"/>
      <c r="F292" s="237"/>
      <c r="G292" s="234"/>
      <c r="H292" s="234"/>
      <c r="I292" s="234"/>
      <c r="J292" s="234"/>
      <c r="K292" s="234"/>
      <c r="L292" s="237"/>
      <c r="M292" s="237"/>
      <c r="N292" s="234"/>
      <c r="O292" s="239"/>
      <c r="P292" s="239"/>
    </row>
    <row r="293" spans="2:16" s="272" customFormat="1">
      <c r="B293" s="238"/>
      <c r="C293" s="238"/>
      <c r="D293" s="237"/>
      <c r="E293" s="237"/>
      <c r="F293" s="237"/>
      <c r="G293" s="234"/>
      <c r="H293" s="234"/>
      <c r="I293" s="234"/>
      <c r="J293" s="234"/>
      <c r="K293" s="234"/>
      <c r="L293" s="237"/>
      <c r="M293" s="237"/>
      <c r="N293" s="234"/>
      <c r="O293" s="239"/>
      <c r="P293" s="239"/>
    </row>
    <row r="294" spans="2:16" s="272" customFormat="1">
      <c r="B294" s="238"/>
      <c r="C294" s="238"/>
      <c r="D294" s="237"/>
      <c r="E294" s="237"/>
      <c r="F294" s="237"/>
      <c r="G294" s="234"/>
      <c r="H294" s="234"/>
      <c r="I294" s="234"/>
      <c r="J294" s="234"/>
      <c r="K294" s="234"/>
      <c r="L294" s="237"/>
      <c r="M294" s="237"/>
      <c r="N294" s="234"/>
      <c r="O294" s="239"/>
      <c r="P294" s="239"/>
    </row>
    <row r="295" spans="2:16" s="272" customFormat="1">
      <c r="B295" s="238"/>
      <c r="C295" s="238"/>
      <c r="D295" s="237"/>
      <c r="E295" s="237"/>
      <c r="F295" s="237"/>
      <c r="G295" s="234"/>
      <c r="H295" s="234"/>
      <c r="I295" s="234"/>
      <c r="J295" s="234"/>
      <c r="K295" s="234"/>
      <c r="L295" s="237"/>
      <c r="M295" s="237"/>
      <c r="N295" s="234"/>
      <c r="O295" s="239"/>
      <c r="P295" s="239"/>
    </row>
    <row r="296" spans="2:16" s="272" customFormat="1">
      <c r="B296" s="238"/>
      <c r="C296" s="238"/>
      <c r="D296" s="237"/>
      <c r="E296" s="237"/>
      <c r="F296" s="237"/>
      <c r="G296" s="234"/>
      <c r="H296" s="234"/>
      <c r="I296" s="234"/>
      <c r="J296" s="234"/>
      <c r="K296" s="234"/>
      <c r="L296" s="237"/>
      <c r="M296" s="237"/>
      <c r="N296" s="234"/>
      <c r="O296" s="239"/>
      <c r="P296" s="239"/>
    </row>
    <row r="297" spans="2:16" s="272" customFormat="1">
      <c r="B297" s="238"/>
      <c r="C297" s="238"/>
      <c r="D297" s="237"/>
      <c r="E297" s="237"/>
      <c r="F297" s="237"/>
      <c r="G297" s="234"/>
      <c r="H297" s="234"/>
      <c r="I297" s="234"/>
      <c r="J297" s="234"/>
      <c r="K297" s="234"/>
      <c r="L297" s="237"/>
      <c r="M297" s="237"/>
      <c r="N297" s="234"/>
      <c r="O297" s="239"/>
      <c r="P297" s="239"/>
    </row>
    <row r="298" spans="2:16" s="272" customFormat="1">
      <c r="B298" s="238"/>
      <c r="C298" s="238"/>
      <c r="D298" s="237"/>
      <c r="E298" s="237"/>
      <c r="F298" s="237"/>
      <c r="G298" s="234"/>
      <c r="H298" s="234"/>
      <c r="I298" s="234"/>
      <c r="J298" s="234"/>
      <c r="K298" s="234"/>
      <c r="L298" s="237"/>
      <c r="M298" s="237"/>
      <c r="N298" s="234"/>
      <c r="O298" s="239"/>
      <c r="P298" s="239"/>
    </row>
    <row r="299" spans="2:16" s="272" customFormat="1">
      <c r="B299" s="238"/>
      <c r="C299" s="238"/>
      <c r="D299" s="237"/>
      <c r="E299" s="237"/>
      <c r="F299" s="237"/>
      <c r="G299" s="234"/>
      <c r="H299" s="234"/>
      <c r="I299" s="234"/>
      <c r="J299" s="234"/>
      <c r="K299" s="234"/>
      <c r="L299" s="237"/>
      <c r="M299" s="237"/>
      <c r="N299" s="234"/>
      <c r="O299" s="239"/>
      <c r="P299" s="239"/>
    </row>
    <row r="300" spans="2:16" s="272" customFormat="1">
      <c r="B300" s="238"/>
      <c r="C300" s="238"/>
      <c r="D300" s="237"/>
      <c r="E300" s="237"/>
      <c r="F300" s="237"/>
      <c r="G300" s="234"/>
      <c r="H300" s="234"/>
      <c r="I300" s="234"/>
      <c r="J300" s="234"/>
      <c r="K300" s="234"/>
      <c r="L300" s="237"/>
      <c r="M300" s="237"/>
      <c r="N300" s="234"/>
      <c r="O300" s="239"/>
      <c r="P300" s="239"/>
    </row>
    <row r="301" spans="2:16" s="272" customFormat="1">
      <c r="B301" s="238"/>
      <c r="C301" s="238"/>
      <c r="D301" s="237"/>
      <c r="E301" s="237"/>
      <c r="F301" s="237"/>
      <c r="G301" s="234"/>
      <c r="H301" s="234"/>
      <c r="I301" s="234"/>
      <c r="J301" s="234"/>
      <c r="K301" s="234"/>
      <c r="L301" s="237"/>
      <c r="M301" s="237"/>
      <c r="N301" s="234"/>
      <c r="O301" s="239"/>
      <c r="P301" s="239"/>
    </row>
    <row r="302" spans="2:16" s="272" customFormat="1">
      <c r="B302" s="238"/>
      <c r="C302" s="238"/>
      <c r="D302" s="237"/>
      <c r="E302" s="237"/>
      <c r="F302" s="237"/>
      <c r="G302" s="234"/>
      <c r="H302" s="234"/>
      <c r="I302" s="234"/>
      <c r="J302" s="234"/>
      <c r="K302" s="234"/>
      <c r="L302" s="237"/>
      <c r="M302" s="237"/>
      <c r="N302" s="234"/>
      <c r="O302" s="239"/>
      <c r="P302" s="239"/>
    </row>
    <row r="303" spans="2:16" s="272" customFormat="1">
      <c r="B303" s="238"/>
      <c r="C303" s="238"/>
      <c r="D303" s="237"/>
      <c r="E303" s="237"/>
      <c r="F303" s="237"/>
      <c r="G303" s="234"/>
      <c r="H303" s="234"/>
      <c r="I303" s="234"/>
      <c r="J303" s="234"/>
      <c r="K303" s="234"/>
      <c r="L303" s="237"/>
      <c r="M303" s="237"/>
      <c r="N303" s="234"/>
      <c r="O303" s="239"/>
      <c r="P303" s="239"/>
    </row>
    <row r="304" spans="2:16" s="272" customFormat="1">
      <c r="B304" s="238"/>
      <c r="C304" s="238"/>
      <c r="D304" s="237"/>
      <c r="E304" s="237"/>
      <c r="F304" s="237"/>
      <c r="G304" s="234"/>
      <c r="H304" s="234"/>
      <c r="I304" s="234"/>
      <c r="J304" s="234"/>
      <c r="K304" s="234"/>
      <c r="L304" s="237"/>
      <c r="M304" s="237"/>
      <c r="N304" s="234"/>
      <c r="O304" s="239"/>
      <c r="P304" s="239"/>
    </row>
    <row r="305" spans="2:16" s="272" customFormat="1">
      <c r="B305" s="238"/>
      <c r="C305" s="238"/>
      <c r="D305" s="237"/>
      <c r="E305" s="237"/>
      <c r="F305" s="237"/>
      <c r="G305" s="234"/>
      <c r="H305" s="234"/>
      <c r="I305" s="234"/>
      <c r="J305" s="234"/>
      <c r="K305" s="234"/>
      <c r="L305" s="237"/>
      <c r="M305" s="237"/>
      <c r="N305" s="234"/>
      <c r="O305" s="239"/>
      <c r="P305" s="239"/>
    </row>
    <row r="306" spans="2:16" s="272" customFormat="1">
      <c r="B306" s="238"/>
      <c r="C306" s="238"/>
      <c r="D306" s="237"/>
      <c r="E306" s="237"/>
      <c r="F306" s="237"/>
      <c r="G306" s="234"/>
      <c r="H306" s="234"/>
      <c r="I306" s="234"/>
      <c r="J306" s="234"/>
      <c r="K306" s="234"/>
      <c r="L306" s="237"/>
      <c r="M306" s="237"/>
      <c r="N306" s="234"/>
      <c r="O306" s="239"/>
      <c r="P306" s="239"/>
    </row>
    <row r="307" spans="2:16" s="272" customFormat="1">
      <c r="B307" s="238"/>
      <c r="C307" s="238"/>
      <c r="D307" s="237"/>
      <c r="E307" s="237"/>
      <c r="F307" s="237"/>
      <c r="G307" s="234"/>
      <c r="H307" s="234"/>
      <c r="I307" s="234"/>
      <c r="J307" s="234"/>
      <c r="K307" s="234"/>
      <c r="L307" s="237"/>
      <c r="M307" s="237"/>
      <c r="N307" s="234"/>
      <c r="O307" s="239"/>
      <c r="P307" s="239"/>
    </row>
    <row r="308" spans="2:16" s="272" customFormat="1">
      <c r="B308" s="238"/>
      <c r="C308" s="238"/>
      <c r="D308" s="237"/>
      <c r="E308" s="237"/>
      <c r="F308" s="237"/>
      <c r="G308" s="234"/>
      <c r="H308" s="234"/>
      <c r="I308" s="234"/>
      <c r="J308" s="234"/>
      <c r="K308" s="234"/>
      <c r="L308" s="237"/>
      <c r="M308" s="237"/>
      <c r="N308" s="234"/>
      <c r="O308" s="239"/>
      <c r="P308" s="239"/>
    </row>
    <row r="309" spans="2:16" s="272" customFormat="1">
      <c r="B309" s="238"/>
      <c r="C309" s="238"/>
      <c r="D309" s="237"/>
      <c r="E309" s="237"/>
      <c r="F309" s="237"/>
      <c r="G309" s="234"/>
      <c r="H309" s="234"/>
      <c r="I309" s="234"/>
      <c r="J309" s="234"/>
      <c r="K309" s="234"/>
      <c r="L309" s="237"/>
      <c r="M309" s="237"/>
      <c r="N309" s="234"/>
      <c r="O309" s="239"/>
      <c r="P309" s="239"/>
    </row>
    <row r="310" spans="2:16" s="272" customFormat="1">
      <c r="B310" s="238"/>
      <c r="C310" s="238"/>
      <c r="D310" s="237"/>
      <c r="E310" s="237"/>
      <c r="F310" s="237"/>
      <c r="G310" s="234"/>
      <c r="H310" s="234"/>
      <c r="I310" s="234"/>
      <c r="J310" s="234"/>
      <c r="K310" s="234"/>
      <c r="L310" s="237"/>
      <c r="M310" s="237"/>
      <c r="N310" s="234"/>
      <c r="O310" s="239"/>
      <c r="P310" s="239"/>
    </row>
    <row r="311" spans="2:16" s="272" customFormat="1">
      <c r="B311" s="238"/>
      <c r="C311" s="238"/>
      <c r="D311" s="237"/>
      <c r="E311" s="237"/>
      <c r="F311" s="237"/>
      <c r="G311" s="234"/>
      <c r="H311" s="234"/>
      <c r="I311" s="234"/>
      <c r="J311" s="234"/>
      <c r="K311" s="234"/>
      <c r="L311" s="237"/>
      <c r="M311" s="237"/>
      <c r="N311" s="234"/>
      <c r="O311" s="239"/>
      <c r="P311" s="239"/>
    </row>
    <row r="312" spans="2:16" s="272" customFormat="1">
      <c r="B312" s="238"/>
      <c r="C312" s="238"/>
      <c r="D312" s="237"/>
      <c r="E312" s="237"/>
      <c r="F312" s="237"/>
      <c r="G312" s="234"/>
      <c r="H312" s="234"/>
      <c r="I312" s="234"/>
      <c r="J312" s="234"/>
      <c r="K312" s="234"/>
      <c r="L312" s="237"/>
      <c r="M312" s="237"/>
      <c r="N312" s="234"/>
      <c r="O312" s="239"/>
      <c r="P312" s="239"/>
    </row>
    <row r="313" spans="2:16" s="272" customFormat="1">
      <c r="B313" s="238"/>
      <c r="C313" s="238"/>
      <c r="D313" s="237"/>
      <c r="E313" s="237"/>
      <c r="F313" s="237"/>
      <c r="G313" s="234"/>
      <c r="H313" s="234"/>
      <c r="I313" s="234"/>
      <c r="J313" s="234"/>
      <c r="K313" s="234"/>
      <c r="L313" s="237"/>
      <c r="M313" s="237"/>
      <c r="N313" s="234"/>
      <c r="O313" s="239"/>
      <c r="P313" s="239"/>
    </row>
    <row r="314" spans="2:16" s="272" customFormat="1">
      <c r="B314" s="238"/>
      <c r="C314" s="238"/>
      <c r="D314" s="237"/>
      <c r="E314" s="237"/>
      <c r="F314" s="237"/>
      <c r="G314" s="234"/>
      <c r="H314" s="234"/>
      <c r="I314" s="234"/>
      <c r="J314" s="234"/>
      <c r="K314" s="234"/>
      <c r="L314" s="237"/>
      <c r="M314" s="237"/>
      <c r="N314" s="234"/>
      <c r="O314" s="239"/>
      <c r="P314" s="239"/>
    </row>
    <row r="315" spans="2:16" s="272" customFormat="1">
      <c r="B315" s="238"/>
      <c r="C315" s="238"/>
      <c r="D315" s="237"/>
      <c r="E315" s="237"/>
      <c r="F315" s="237"/>
      <c r="G315" s="234"/>
      <c r="H315" s="234"/>
      <c r="I315" s="234"/>
      <c r="J315" s="234"/>
      <c r="K315" s="234"/>
      <c r="L315" s="237"/>
      <c r="M315" s="237"/>
      <c r="N315" s="234"/>
      <c r="O315" s="239"/>
      <c r="P315" s="239"/>
    </row>
    <row r="316" spans="2:16" s="272" customFormat="1">
      <c r="B316" s="238"/>
      <c r="C316" s="238"/>
      <c r="D316" s="237"/>
      <c r="E316" s="237"/>
      <c r="F316" s="237"/>
      <c r="G316" s="234"/>
      <c r="H316" s="234"/>
      <c r="I316" s="234"/>
      <c r="J316" s="234"/>
      <c r="K316" s="234"/>
      <c r="L316" s="237"/>
      <c r="M316" s="237"/>
      <c r="N316" s="234"/>
      <c r="O316" s="239"/>
      <c r="P316" s="239"/>
    </row>
    <row r="317" spans="2:16" s="272" customFormat="1">
      <c r="B317" s="238"/>
      <c r="C317" s="238"/>
      <c r="D317" s="237"/>
      <c r="E317" s="237"/>
      <c r="F317" s="237"/>
      <c r="G317" s="234"/>
      <c r="H317" s="234"/>
      <c r="I317" s="234"/>
      <c r="J317" s="234"/>
      <c r="K317" s="234"/>
      <c r="L317" s="237"/>
      <c r="M317" s="237"/>
      <c r="N317" s="234"/>
      <c r="O317" s="239"/>
      <c r="P317" s="239"/>
    </row>
    <row r="318" spans="2:16" s="272" customFormat="1">
      <c r="B318" s="238"/>
      <c r="C318" s="238"/>
      <c r="D318" s="237"/>
      <c r="E318" s="237"/>
      <c r="F318" s="237"/>
      <c r="G318" s="234"/>
      <c r="H318" s="234"/>
      <c r="I318" s="234"/>
      <c r="J318" s="234"/>
      <c r="K318" s="234"/>
      <c r="L318" s="237"/>
      <c r="M318" s="237"/>
      <c r="N318" s="234"/>
      <c r="O318" s="239"/>
      <c r="P318" s="239"/>
    </row>
    <row r="319" spans="2:16" s="272" customFormat="1">
      <c r="B319" s="238"/>
      <c r="C319" s="238"/>
      <c r="D319" s="237"/>
      <c r="E319" s="237"/>
      <c r="F319" s="237"/>
      <c r="G319" s="234"/>
      <c r="H319" s="234"/>
      <c r="I319" s="234"/>
      <c r="J319" s="234"/>
      <c r="K319" s="234"/>
      <c r="L319" s="237"/>
      <c r="M319" s="237"/>
      <c r="N319" s="234"/>
      <c r="O319" s="239"/>
      <c r="P319" s="239"/>
    </row>
    <row r="320" spans="2:16" s="272" customFormat="1">
      <c r="B320" s="238"/>
      <c r="C320" s="238"/>
      <c r="D320" s="237"/>
      <c r="E320" s="237"/>
      <c r="F320" s="237"/>
      <c r="G320" s="234"/>
      <c r="H320" s="234"/>
      <c r="I320" s="234"/>
      <c r="J320" s="234"/>
      <c r="K320" s="234"/>
      <c r="L320" s="237"/>
      <c r="M320" s="237"/>
      <c r="N320" s="234"/>
      <c r="O320" s="239"/>
      <c r="P320" s="239"/>
    </row>
    <row r="321" spans="2:16" s="272" customFormat="1">
      <c r="B321" s="238"/>
      <c r="C321" s="238"/>
      <c r="D321" s="237"/>
      <c r="E321" s="237"/>
      <c r="F321" s="237"/>
      <c r="G321" s="234"/>
      <c r="H321" s="234"/>
      <c r="I321" s="234"/>
      <c r="J321" s="234"/>
      <c r="K321" s="234"/>
      <c r="L321" s="237"/>
      <c r="M321" s="237"/>
      <c r="N321" s="234"/>
      <c r="O321" s="239"/>
      <c r="P321" s="239"/>
    </row>
    <row r="322" spans="2:16" s="272" customFormat="1">
      <c r="B322" s="238"/>
      <c r="C322" s="238"/>
      <c r="D322" s="237"/>
      <c r="E322" s="237"/>
      <c r="F322" s="237"/>
      <c r="G322" s="234"/>
      <c r="H322" s="234"/>
      <c r="I322" s="234"/>
      <c r="J322" s="234"/>
      <c r="K322" s="234"/>
      <c r="L322" s="237"/>
      <c r="M322" s="237"/>
      <c r="N322" s="234"/>
      <c r="O322" s="239"/>
      <c r="P322" s="239"/>
    </row>
    <row r="323" spans="2:16" s="272" customFormat="1">
      <c r="B323" s="238"/>
      <c r="C323" s="238"/>
      <c r="D323" s="237"/>
      <c r="E323" s="237"/>
      <c r="F323" s="237"/>
      <c r="G323" s="234"/>
      <c r="H323" s="234"/>
      <c r="I323" s="234"/>
      <c r="J323" s="234"/>
      <c r="K323" s="234"/>
      <c r="L323" s="237"/>
      <c r="M323" s="237"/>
      <c r="N323" s="234"/>
      <c r="O323" s="239"/>
      <c r="P323" s="239"/>
    </row>
    <row r="324" spans="2:16" s="272" customFormat="1">
      <c r="B324" s="238"/>
      <c r="C324" s="238"/>
      <c r="D324" s="237"/>
      <c r="E324" s="237"/>
      <c r="F324" s="237"/>
      <c r="G324" s="234"/>
      <c r="H324" s="234"/>
      <c r="I324" s="234"/>
      <c r="J324" s="234"/>
      <c r="K324" s="234"/>
      <c r="L324" s="237"/>
      <c r="M324" s="237"/>
      <c r="N324" s="234"/>
      <c r="O324" s="239"/>
      <c r="P324" s="239"/>
    </row>
    <row r="325" spans="2:16" s="272" customFormat="1">
      <c r="B325" s="238"/>
      <c r="C325" s="238"/>
      <c r="D325" s="237"/>
      <c r="E325" s="237"/>
      <c r="F325" s="237"/>
      <c r="G325" s="234"/>
      <c r="H325" s="234"/>
      <c r="I325" s="234"/>
      <c r="J325" s="234"/>
      <c r="K325" s="234"/>
      <c r="L325" s="237"/>
      <c r="M325" s="237"/>
      <c r="N325" s="234"/>
      <c r="O325" s="239"/>
      <c r="P325" s="239"/>
    </row>
    <row r="326" spans="2:16" s="272" customFormat="1">
      <c r="B326" s="238"/>
      <c r="C326" s="238"/>
      <c r="D326" s="237"/>
      <c r="E326" s="237"/>
      <c r="F326" s="237"/>
      <c r="G326" s="234"/>
      <c r="H326" s="234"/>
      <c r="I326" s="234"/>
      <c r="J326" s="234"/>
      <c r="K326" s="234"/>
      <c r="L326" s="237"/>
      <c r="M326" s="237"/>
      <c r="N326" s="234"/>
      <c r="O326" s="239"/>
      <c r="P326" s="239"/>
    </row>
    <row r="327" spans="2:16" s="272" customFormat="1">
      <c r="B327" s="238"/>
      <c r="C327" s="238"/>
      <c r="D327" s="237"/>
      <c r="E327" s="237"/>
      <c r="F327" s="237"/>
      <c r="G327" s="234"/>
      <c r="H327" s="234"/>
      <c r="I327" s="234"/>
      <c r="J327" s="234"/>
      <c r="K327" s="234"/>
      <c r="L327" s="237"/>
      <c r="M327" s="237"/>
      <c r="N327" s="234"/>
      <c r="O327" s="239"/>
      <c r="P327" s="239"/>
    </row>
    <row r="328" spans="2:16" s="272" customFormat="1">
      <c r="B328" s="238"/>
      <c r="C328" s="238"/>
      <c r="D328" s="237"/>
      <c r="E328" s="237"/>
      <c r="F328" s="237"/>
      <c r="G328" s="234"/>
      <c r="H328" s="234"/>
      <c r="I328" s="234"/>
      <c r="J328" s="234"/>
      <c r="K328" s="234"/>
      <c r="L328" s="237"/>
      <c r="M328" s="237"/>
      <c r="N328" s="234"/>
      <c r="O328" s="239"/>
      <c r="P328" s="239"/>
    </row>
    <row r="329" spans="2:16" s="272" customFormat="1">
      <c r="B329" s="238"/>
      <c r="C329" s="238"/>
      <c r="D329" s="237"/>
      <c r="E329" s="237"/>
      <c r="F329" s="237"/>
      <c r="G329" s="234"/>
      <c r="H329" s="234"/>
      <c r="I329" s="234"/>
      <c r="J329" s="234"/>
      <c r="K329" s="234"/>
      <c r="L329" s="237"/>
      <c r="M329" s="237"/>
      <c r="N329" s="234"/>
      <c r="O329" s="239"/>
      <c r="P329" s="239"/>
    </row>
    <row r="330" spans="2:16" s="272" customFormat="1">
      <c r="B330" s="238"/>
      <c r="C330" s="238"/>
      <c r="D330" s="237"/>
      <c r="E330" s="237"/>
      <c r="F330" s="237"/>
      <c r="G330" s="234"/>
      <c r="H330" s="234"/>
      <c r="I330" s="234"/>
      <c r="J330" s="234"/>
      <c r="K330" s="234"/>
      <c r="L330" s="237"/>
      <c r="M330" s="237"/>
      <c r="N330" s="234"/>
      <c r="O330" s="239"/>
      <c r="P330" s="239"/>
    </row>
    <row r="331" spans="2:16" s="272" customFormat="1">
      <c r="B331" s="238"/>
      <c r="C331" s="238"/>
      <c r="D331" s="237"/>
      <c r="E331" s="237"/>
      <c r="F331" s="237"/>
      <c r="G331" s="234"/>
      <c r="H331" s="234"/>
      <c r="I331" s="234"/>
      <c r="J331" s="234"/>
      <c r="K331" s="234"/>
      <c r="L331" s="237"/>
      <c r="M331" s="237"/>
      <c r="N331" s="234"/>
      <c r="O331" s="239"/>
      <c r="P331" s="239"/>
    </row>
    <row r="332" spans="2:16" s="272" customFormat="1">
      <c r="B332" s="238"/>
      <c r="C332" s="238"/>
      <c r="D332" s="237"/>
      <c r="E332" s="237"/>
      <c r="F332" s="237"/>
      <c r="G332" s="234"/>
      <c r="H332" s="234"/>
      <c r="I332" s="234"/>
      <c r="J332" s="234"/>
      <c r="K332" s="234"/>
      <c r="L332" s="237"/>
      <c r="M332" s="237"/>
      <c r="N332" s="234"/>
      <c r="O332" s="239"/>
      <c r="P332" s="239"/>
    </row>
    <row r="333" spans="2:16" s="272" customFormat="1">
      <c r="B333" s="238"/>
      <c r="C333" s="238"/>
      <c r="D333" s="237"/>
      <c r="E333" s="237"/>
      <c r="F333" s="237"/>
      <c r="G333" s="234"/>
      <c r="H333" s="234"/>
      <c r="I333" s="234"/>
      <c r="J333" s="234"/>
      <c r="K333" s="234"/>
      <c r="L333" s="237"/>
      <c r="M333" s="237"/>
      <c r="N333" s="234"/>
      <c r="O333" s="239"/>
      <c r="P333" s="239"/>
    </row>
    <row r="334" spans="2:16" s="272" customFormat="1">
      <c r="B334" s="238"/>
      <c r="C334" s="238"/>
      <c r="D334" s="237"/>
      <c r="E334" s="237"/>
      <c r="F334" s="237"/>
      <c r="G334" s="234"/>
      <c r="H334" s="234"/>
      <c r="I334" s="234"/>
      <c r="J334" s="234"/>
      <c r="K334" s="234"/>
      <c r="L334" s="237"/>
      <c r="M334" s="237"/>
      <c r="N334" s="234"/>
      <c r="O334" s="239"/>
      <c r="P334" s="239"/>
    </row>
    <row r="335" spans="2:16" s="272" customFormat="1">
      <c r="B335" s="238"/>
      <c r="C335" s="238"/>
      <c r="D335" s="237"/>
      <c r="E335" s="237"/>
      <c r="F335" s="237"/>
      <c r="G335" s="234"/>
      <c r="H335" s="234"/>
      <c r="I335" s="234"/>
      <c r="J335" s="234"/>
      <c r="K335" s="234"/>
      <c r="L335" s="237"/>
      <c r="M335" s="237"/>
      <c r="N335" s="234"/>
      <c r="O335" s="239"/>
      <c r="P335" s="239"/>
    </row>
    <row r="336" spans="2:16" s="272" customFormat="1">
      <c r="B336" s="238"/>
      <c r="C336" s="238"/>
      <c r="D336" s="237"/>
      <c r="E336" s="237"/>
      <c r="F336" s="237"/>
      <c r="G336" s="234"/>
      <c r="H336" s="234"/>
      <c r="I336" s="234"/>
      <c r="J336" s="234"/>
      <c r="K336" s="234"/>
      <c r="L336" s="237"/>
      <c r="M336" s="237"/>
      <c r="N336" s="234"/>
      <c r="O336" s="239"/>
      <c r="P336" s="239"/>
    </row>
    <row r="337" spans="2:16" s="272" customFormat="1">
      <c r="B337" s="238"/>
      <c r="C337" s="238"/>
      <c r="D337" s="237"/>
      <c r="E337" s="237"/>
      <c r="F337" s="237"/>
      <c r="G337" s="234"/>
      <c r="H337" s="234"/>
      <c r="I337" s="234"/>
      <c r="J337" s="234"/>
      <c r="K337" s="234"/>
      <c r="L337" s="237"/>
      <c r="M337" s="237"/>
      <c r="N337" s="234"/>
      <c r="O337" s="239"/>
      <c r="P337" s="239"/>
    </row>
    <row r="338" spans="2:16" s="272" customFormat="1">
      <c r="B338" s="238"/>
      <c r="C338" s="238"/>
      <c r="D338" s="237"/>
      <c r="E338" s="237"/>
      <c r="F338" s="237"/>
      <c r="G338" s="234"/>
      <c r="H338" s="234"/>
      <c r="I338" s="234"/>
      <c r="J338" s="234"/>
      <c r="K338" s="234"/>
      <c r="L338" s="237"/>
      <c r="M338" s="237"/>
      <c r="N338" s="234"/>
      <c r="O338" s="239"/>
      <c r="P338" s="239"/>
    </row>
    <row r="339" spans="2:16" s="272" customFormat="1">
      <c r="B339" s="238"/>
      <c r="C339" s="238"/>
      <c r="D339" s="237"/>
      <c r="E339" s="237"/>
      <c r="F339" s="237"/>
      <c r="G339" s="234"/>
      <c r="H339" s="234"/>
      <c r="I339" s="234"/>
      <c r="J339" s="234"/>
      <c r="K339" s="234"/>
      <c r="L339" s="237"/>
      <c r="M339" s="237"/>
      <c r="N339" s="234"/>
      <c r="O339" s="239"/>
      <c r="P339" s="239"/>
    </row>
    <row r="340" spans="2:16" s="272" customFormat="1">
      <c r="B340" s="238"/>
      <c r="C340" s="238"/>
      <c r="D340" s="237"/>
      <c r="E340" s="237"/>
      <c r="F340" s="237"/>
      <c r="G340" s="234"/>
      <c r="H340" s="234"/>
      <c r="I340" s="234"/>
      <c r="J340" s="234"/>
      <c r="K340" s="234"/>
      <c r="L340" s="237"/>
      <c r="M340" s="237"/>
      <c r="N340" s="234"/>
      <c r="O340" s="239"/>
      <c r="P340" s="239"/>
    </row>
    <row r="341" spans="2:16" s="272" customFormat="1">
      <c r="B341" s="238"/>
      <c r="C341" s="238"/>
      <c r="D341" s="237"/>
      <c r="E341" s="237"/>
      <c r="F341" s="237"/>
      <c r="G341" s="234"/>
      <c r="H341" s="234"/>
      <c r="I341" s="234"/>
      <c r="J341" s="234"/>
      <c r="K341" s="234"/>
      <c r="L341" s="237"/>
      <c r="M341" s="237"/>
      <c r="N341" s="234"/>
      <c r="O341" s="239"/>
      <c r="P341" s="239"/>
    </row>
    <row r="342" spans="2:16" s="272" customFormat="1">
      <c r="B342" s="238"/>
      <c r="C342" s="238"/>
      <c r="D342" s="237"/>
      <c r="E342" s="237"/>
      <c r="F342" s="237"/>
      <c r="G342" s="234"/>
      <c r="H342" s="234"/>
      <c r="I342" s="234"/>
      <c r="J342" s="234"/>
      <c r="K342" s="234"/>
      <c r="L342" s="237"/>
      <c r="M342" s="237"/>
      <c r="N342" s="234"/>
      <c r="O342" s="239"/>
      <c r="P342" s="239"/>
    </row>
    <row r="343" spans="2:16" s="272" customFormat="1">
      <c r="B343" s="238"/>
      <c r="C343" s="238"/>
      <c r="D343" s="237"/>
      <c r="E343" s="237"/>
      <c r="F343" s="237"/>
      <c r="G343" s="234"/>
      <c r="H343" s="234"/>
      <c r="I343" s="234"/>
      <c r="J343" s="234"/>
      <c r="K343" s="234"/>
      <c r="L343" s="237"/>
      <c r="M343" s="237"/>
      <c r="N343" s="234"/>
      <c r="O343" s="239"/>
      <c r="P343" s="239"/>
    </row>
    <row r="344" spans="2:16" s="272" customFormat="1">
      <c r="B344" s="238"/>
      <c r="C344" s="238"/>
      <c r="D344" s="237"/>
      <c r="E344" s="237"/>
      <c r="F344" s="237"/>
      <c r="G344" s="234"/>
      <c r="H344" s="234"/>
      <c r="I344" s="234"/>
      <c r="J344" s="234"/>
      <c r="K344" s="234"/>
      <c r="L344" s="237"/>
      <c r="M344" s="237"/>
      <c r="N344" s="234"/>
      <c r="O344" s="239"/>
      <c r="P344" s="239"/>
    </row>
    <row r="345" spans="2:16" s="272" customFormat="1">
      <c r="B345" s="238"/>
      <c r="C345" s="238"/>
      <c r="D345" s="237"/>
      <c r="E345" s="237"/>
      <c r="F345" s="237"/>
      <c r="G345" s="234"/>
      <c r="H345" s="234"/>
      <c r="I345" s="234"/>
      <c r="J345" s="234"/>
      <c r="K345" s="234"/>
      <c r="L345" s="237"/>
      <c r="M345" s="237"/>
      <c r="N345" s="234"/>
      <c r="O345" s="239"/>
      <c r="P345" s="239"/>
    </row>
    <row r="346" spans="2:16" s="272" customFormat="1">
      <c r="B346" s="238"/>
      <c r="C346" s="238"/>
      <c r="D346" s="237"/>
      <c r="E346" s="237"/>
      <c r="F346" s="237"/>
      <c r="G346" s="234"/>
      <c r="H346" s="234"/>
      <c r="I346" s="234"/>
      <c r="J346" s="234"/>
      <c r="K346" s="234"/>
      <c r="L346" s="237"/>
      <c r="M346" s="237"/>
      <c r="N346" s="234"/>
      <c r="O346" s="239"/>
      <c r="P346" s="239"/>
    </row>
    <row r="347" spans="2:16" s="272" customFormat="1">
      <c r="B347" s="238"/>
      <c r="C347" s="238"/>
      <c r="D347" s="237"/>
      <c r="E347" s="237"/>
      <c r="F347" s="237"/>
      <c r="G347" s="234"/>
      <c r="H347" s="234"/>
      <c r="I347" s="234"/>
      <c r="J347" s="234"/>
      <c r="K347" s="234"/>
      <c r="L347" s="237"/>
      <c r="M347" s="237"/>
      <c r="N347" s="234"/>
      <c r="O347" s="239"/>
      <c r="P347" s="239"/>
    </row>
    <row r="348" spans="2:16" s="272" customFormat="1">
      <c r="B348" s="238"/>
      <c r="C348" s="238"/>
      <c r="D348" s="237"/>
      <c r="E348" s="237"/>
      <c r="F348" s="237"/>
      <c r="G348" s="234"/>
      <c r="H348" s="234"/>
      <c r="I348" s="234"/>
      <c r="J348" s="234"/>
      <c r="K348" s="234"/>
      <c r="L348" s="237"/>
      <c r="M348" s="237"/>
      <c r="N348" s="234"/>
      <c r="O348" s="239"/>
      <c r="P348" s="239"/>
    </row>
    <row r="349" spans="2:16" s="272" customFormat="1">
      <c r="B349" s="238"/>
      <c r="C349" s="238"/>
      <c r="D349" s="237"/>
      <c r="E349" s="237"/>
      <c r="F349" s="237"/>
      <c r="G349" s="234"/>
      <c r="H349" s="234"/>
      <c r="I349" s="234"/>
      <c r="J349" s="234"/>
      <c r="K349" s="234"/>
      <c r="L349" s="237"/>
      <c r="M349" s="237"/>
      <c r="N349" s="234"/>
      <c r="O349" s="239"/>
      <c r="P349" s="239"/>
    </row>
    <row r="350" spans="2:16" s="272" customFormat="1">
      <c r="B350" s="238"/>
      <c r="C350" s="238"/>
      <c r="D350" s="237"/>
      <c r="E350" s="237"/>
      <c r="F350" s="237"/>
      <c r="G350" s="234"/>
      <c r="H350" s="234"/>
      <c r="I350" s="234"/>
      <c r="J350" s="234"/>
      <c r="K350" s="234"/>
      <c r="L350" s="237"/>
      <c r="M350" s="237"/>
      <c r="N350" s="234"/>
      <c r="O350" s="239"/>
      <c r="P350" s="239"/>
    </row>
    <row r="351" spans="2:16" s="272" customFormat="1">
      <c r="B351" s="238"/>
      <c r="C351" s="238"/>
      <c r="D351" s="237"/>
      <c r="E351" s="237"/>
      <c r="F351" s="237"/>
      <c r="G351" s="234"/>
      <c r="H351" s="234"/>
      <c r="I351" s="234"/>
      <c r="J351" s="234"/>
      <c r="K351" s="234"/>
      <c r="L351" s="237"/>
      <c r="M351" s="237"/>
      <c r="N351" s="234"/>
      <c r="O351" s="239"/>
      <c r="P351" s="239"/>
    </row>
    <row r="352" spans="2:16" s="272" customFormat="1">
      <c r="B352" s="238"/>
      <c r="C352" s="238"/>
      <c r="D352" s="237"/>
      <c r="E352" s="237"/>
      <c r="F352" s="237"/>
      <c r="G352" s="234"/>
      <c r="H352" s="234"/>
      <c r="I352" s="234"/>
      <c r="J352" s="234"/>
      <c r="K352" s="234"/>
      <c r="L352" s="237"/>
      <c r="M352" s="237"/>
      <c r="N352" s="234"/>
      <c r="O352" s="239"/>
      <c r="P352" s="239"/>
    </row>
    <row r="353" spans="2:16" s="272" customFormat="1">
      <c r="B353" s="238"/>
      <c r="C353" s="238"/>
      <c r="D353" s="237"/>
      <c r="E353" s="237"/>
      <c r="F353" s="237"/>
      <c r="G353" s="234"/>
      <c r="H353" s="234"/>
      <c r="I353" s="234"/>
      <c r="J353" s="234"/>
      <c r="K353" s="234"/>
      <c r="L353" s="237"/>
      <c r="M353" s="237"/>
      <c r="N353" s="234"/>
      <c r="O353" s="239"/>
      <c r="P353" s="239"/>
    </row>
    <row r="354" spans="2:16" s="272" customFormat="1">
      <c r="B354" s="238"/>
      <c r="C354" s="238"/>
      <c r="D354" s="237"/>
      <c r="E354" s="237"/>
      <c r="F354" s="237"/>
      <c r="G354" s="234"/>
      <c r="H354" s="234"/>
      <c r="I354" s="234"/>
      <c r="J354" s="234"/>
      <c r="K354" s="234"/>
      <c r="L354" s="237"/>
      <c r="M354" s="237"/>
      <c r="N354" s="234"/>
      <c r="O354" s="239"/>
      <c r="P354" s="239"/>
    </row>
    <row r="355" spans="2:16" s="272" customFormat="1">
      <c r="B355" s="238"/>
      <c r="C355" s="238"/>
      <c r="D355" s="237"/>
      <c r="E355" s="237"/>
      <c r="F355" s="237"/>
      <c r="G355" s="234"/>
      <c r="H355" s="234"/>
      <c r="I355" s="234"/>
      <c r="J355" s="234"/>
      <c r="K355" s="234"/>
      <c r="L355" s="237"/>
      <c r="M355" s="237"/>
      <c r="N355" s="234"/>
      <c r="O355" s="239"/>
      <c r="P355" s="239"/>
    </row>
    <row r="356" spans="2:16" s="272" customFormat="1">
      <c r="B356" s="238"/>
      <c r="C356" s="238"/>
      <c r="D356" s="237"/>
      <c r="E356" s="237"/>
      <c r="F356" s="237"/>
      <c r="G356" s="234"/>
      <c r="H356" s="234"/>
      <c r="I356" s="234"/>
      <c r="J356" s="234"/>
      <c r="K356" s="234"/>
      <c r="L356" s="237"/>
      <c r="M356" s="237"/>
      <c r="N356" s="234"/>
      <c r="O356" s="239"/>
      <c r="P356" s="239"/>
    </row>
    <row r="357" spans="2:16" s="272" customFormat="1">
      <c r="B357" s="238"/>
      <c r="C357" s="238"/>
      <c r="D357" s="237"/>
      <c r="E357" s="237"/>
      <c r="F357" s="237"/>
      <c r="G357" s="234"/>
      <c r="H357" s="234"/>
      <c r="I357" s="234"/>
      <c r="J357" s="234"/>
      <c r="K357" s="234"/>
      <c r="L357" s="237"/>
      <c r="M357" s="237"/>
      <c r="N357" s="234"/>
      <c r="O357" s="239"/>
      <c r="P357" s="239"/>
    </row>
    <row r="358" spans="2:16" s="272" customFormat="1">
      <c r="B358" s="238"/>
      <c r="C358" s="238"/>
      <c r="D358" s="237"/>
      <c r="E358" s="237"/>
      <c r="F358" s="237"/>
      <c r="G358" s="234"/>
      <c r="H358" s="234"/>
      <c r="I358" s="234"/>
      <c r="J358" s="234"/>
      <c r="K358" s="234"/>
      <c r="L358" s="237"/>
      <c r="M358" s="237"/>
      <c r="N358" s="234"/>
      <c r="O358" s="239"/>
      <c r="P358" s="239"/>
    </row>
    <row r="359" spans="2:16" s="272" customFormat="1">
      <c r="B359" s="238"/>
      <c r="C359" s="238"/>
      <c r="D359" s="237"/>
      <c r="E359" s="237"/>
      <c r="F359" s="237"/>
      <c r="G359" s="234"/>
      <c r="H359" s="234"/>
      <c r="I359" s="234"/>
      <c r="J359" s="234"/>
      <c r="K359" s="234"/>
      <c r="L359" s="237"/>
      <c r="M359" s="237"/>
      <c r="N359" s="234"/>
      <c r="O359" s="239"/>
      <c r="P359" s="239"/>
    </row>
    <row r="360" spans="2:16" s="272" customFormat="1">
      <c r="B360" s="238"/>
      <c r="C360" s="238"/>
      <c r="D360" s="237"/>
      <c r="E360" s="237"/>
      <c r="F360" s="237"/>
      <c r="G360" s="234"/>
      <c r="H360" s="234"/>
      <c r="I360" s="234"/>
      <c r="J360" s="234"/>
      <c r="K360" s="234"/>
      <c r="L360" s="237"/>
      <c r="M360" s="237"/>
      <c r="N360" s="234"/>
      <c r="O360" s="239"/>
      <c r="P360" s="239"/>
    </row>
    <row r="361" spans="2:16" s="272" customFormat="1">
      <c r="B361" s="238"/>
      <c r="C361" s="238"/>
      <c r="D361" s="237"/>
      <c r="E361" s="237"/>
      <c r="F361" s="237"/>
      <c r="G361" s="234"/>
      <c r="H361" s="234"/>
      <c r="I361" s="234"/>
      <c r="J361" s="234"/>
      <c r="K361" s="234"/>
      <c r="L361" s="237"/>
      <c r="M361" s="237"/>
      <c r="N361" s="234"/>
      <c r="O361" s="239"/>
      <c r="P361" s="239"/>
    </row>
    <row r="362" spans="2:16" s="272" customFormat="1">
      <c r="B362" s="238"/>
      <c r="C362" s="238"/>
      <c r="D362" s="237"/>
      <c r="E362" s="237"/>
      <c r="F362" s="237"/>
      <c r="G362" s="234"/>
      <c r="H362" s="234"/>
      <c r="I362" s="234"/>
      <c r="J362" s="234"/>
      <c r="K362" s="234"/>
      <c r="L362" s="237"/>
      <c r="M362" s="237"/>
      <c r="N362" s="234"/>
      <c r="O362" s="239"/>
      <c r="P362" s="239"/>
    </row>
    <row r="363" spans="2:16" s="272" customFormat="1">
      <c r="B363" s="238"/>
      <c r="C363" s="238"/>
      <c r="D363" s="237"/>
      <c r="E363" s="237"/>
      <c r="F363" s="237"/>
      <c r="G363" s="234"/>
      <c r="H363" s="234"/>
      <c r="I363" s="234"/>
      <c r="J363" s="234"/>
      <c r="K363" s="234"/>
      <c r="L363" s="237"/>
      <c r="M363" s="237"/>
      <c r="N363" s="234"/>
      <c r="O363" s="239"/>
      <c r="P363" s="239"/>
    </row>
    <row r="364" spans="2:16" s="272" customFormat="1">
      <c r="B364" s="238"/>
      <c r="C364" s="238"/>
      <c r="D364" s="237"/>
      <c r="E364" s="237"/>
      <c r="F364" s="237"/>
      <c r="G364" s="234"/>
      <c r="H364" s="234"/>
      <c r="I364" s="234"/>
      <c r="J364" s="234"/>
      <c r="K364" s="234"/>
      <c r="L364" s="237"/>
      <c r="M364" s="237"/>
      <c r="N364" s="234"/>
      <c r="O364" s="239"/>
      <c r="P364" s="239"/>
    </row>
    <row r="365" spans="2:16" s="272" customFormat="1">
      <c r="B365" s="238"/>
      <c r="C365" s="238"/>
      <c r="D365" s="237"/>
      <c r="E365" s="237"/>
      <c r="F365" s="237"/>
      <c r="G365" s="234"/>
      <c r="H365" s="234"/>
      <c r="I365" s="234"/>
      <c r="J365" s="234"/>
      <c r="K365" s="234"/>
      <c r="L365" s="237"/>
      <c r="M365" s="237"/>
      <c r="N365" s="234"/>
      <c r="O365" s="239"/>
      <c r="P365" s="239"/>
    </row>
    <row r="366" spans="2:16" s="272" customFormat="1">
      <c r="B366" s="238"/>
      <c r="C366" s="238"/>
      <c r="D366" s="237"/>
      <c r="E366" s="237"/>
      <c r="F366" s="237"/>
      <c r="G366" s="234"/>
      <c r="H366" s="234"/>
      <c r="I366" s="234"/>
      <c r="J366" s="234"/>
      <c r="K366" s="234"/>
      <c r="L366" s="237"/>
      <c r="M366" s="237"/>
      <c r="N366" s="234"/>
      <c r="O366" s="239"/>
      <c r="P366" s="239"/>
    </row>
    <row r="367" spans="2:16" s="272" customFormat="1">
      <c r="B367" s="238"/>
      <c r="C367" s="238"/>
      <c r="D367" s="237"/>
      <c r="E367" s="237"/>
      <c r="F367" s="237"/>
      <c r="G367" s="234"/>
      <c r="H367" s="234"/>
      <c r="I367" s="234"/>
      <c r="J367" s="234"/>
      <c r="K367" s="234"/>
      <c r="L367" s="237"/>
      <c r="M367" s="237"/>
      <c r="N367" s="234"/>
      <c r="O367" s="239"/>
      <c r="P367" s="239"/>
    </row>
    <row r="368" spans="2:16" s="272" customFormat="1">
      <c r="B368" s="238"/>
      <c r="C368" s="238"/>
      <c r="D368" s="237"/>
      <c r="E368" s="237"/>
      <c r="F368" s="237"/>
      <c r="G368" s="234"/>
      <c r="H368" s="234"/>
      <c r="I368" s="234"/>
      <c r="J368" s="234"/>
      <c r="K368" s="234"/>
      <c r="L368" s="237"/>
      <c r="M368" s="237"/>
      <c r="N368" s="234"/>
      <c r="O368" s="239"/>
      <c r="P368" s="239"/>
    </row>
    <row r="369" spans="2:16" s="272" customFormat="1">
      <c r="B369" s="238"/>
      <c r="C369" s="238"/>
      <c r="D369" s="237"/>
      <c r="E369" s="237"/>
      <c r="F369" s="237"/>
      <c r="G369" s="234"/>
      <c r="H369" s="234"/>
      <c r="I369" s="234"/>
      <c r="J369" s="234"/>
      <c r="K369" s="234"/>
      <c r="L369" s="237"/>
      <c r="M369" s="237"/>
      <c r="N369" s="234"/>
      <c r="O369" s="239"/>
      <c r="P369" s="239"/>
    </row>
    <row r="370" spans="2:16" s="272" customFormat="1">
      <c r="B370" s="238"/>
      <c r="C370" s="238"/>
      <c r="D370" s="237"/>
      <c r="E370" s="237"/>
      <c r="F370" s="237"/>
      <c r="G370" s="234"/>
      <c r="H370" s="234"/>
      <c r="I370" s="234"/>
      <c r="J370" s="234"/>
      <c r="K370" s="234"/>
      <c r="L370" s="237"/>
      <c r="M370" s="237"/>
      <c r="N370" s="234"/>
      <c r="O370" s="239"/>
      <c r="P370" s="239"/>
    </row>
    <row r="371" spans="2:16" s="272" customFormat="1">
      <c r="B371" s="238"/>
      <c r="C371" s="238"/>
      <c r="D371" s="237"/>
      <c r="E371" s="237"/>
      <c r="F371" s="237"/>
      <c r="G371" s="234"/>
      <c r="H371" s="234"/>
      <c r="I371" s="234"/>
      <c r="J371" s="234"/>
      <c r="K371" s="234"/>
      <c r="L371" s="237"/>
      <c r="M371" s="237"/>
      <c r="N371" s="234"/>
      <c r="O371" s="239"/>
      <c r="P371" s="239"/>
    </row>
    <row r="372" spans="2:16" s="272" customFormat="1">
      <c r="B372" s="238"/>
      <c r="C372" s="238"/>
      <c r="D372" s="237"/>
      <c r="E372" s="237"/>
      <c r="F372" s="237"/>
      <c r="G372" s="234"/>
      <c r="H372" s="234"/>
      <c r="I372" s="234"/>
      <c r="J372" s="234"/>
      <c r="K372" s="234"/>
      <c r="L372" s="237"/>
      <c r="M372" s="237"/>
      <c r="N372" s="234"/>
      <c r="O372" s="239"/>
      <c r="P372" s="239"/>
    </row>
    <row r="373" spans="2:16" s="272" customFormat="1">
      <c r="B373" s="238"/>
      <c r="C373" s="238"/>
      <c r="D373" s="237"/>
      <c r="E373" s="237"/>
      <c r="F373" s="237"/>
      <c r="G373" s="234"/>
      <c r="H373" s="234"/>
      <c r="I373" s="234"/>
      <c r="J373" s="234"/>
      <c r="K373" s="234"/>
      <c r="L373" s="237"/>
      <c r="M373" s="237"/>
      <c r="N373" s="234"/>
      <c r="O373" s="239"/>
      <c r="P373" s="239"/>
    </row>
    <row r="374" spans="2:16" s="272" customFormat="1">
      <c r="B374" s="238"/>
      <c r="C374" s="238"/>
      <c r="D374" s="237"/>
      <c r="E374" s="237"/>
      <c r="F374" s="237"/>
      <c r="G374" s="234"/>
      <c r="H374" s="234"/>
      <c r="I374" s="234"/>
      <c r="J374" s="234"/>
      <c r="K374" s="234"/>
      <c r="L374" s="237"/>
      <c r="M374" s="237"/>
      <c r="N374" s="234"/>
      <c r="O374" s="239"/>
      <c r="P374" s="239"/>
    </row>
    <row r="375" spans="2:16" s="272" customFormat="1">
      <c r="B375" s="238"/>
      <c r="C375" s="238"/>
      <c r="D375" s="237"/>
      <c r="E375" s="237"/>
      <c r="F375" s="237"/>
      <c r="G375" s="234"/>
      <c r="H375" s="234"/>
      <c r="I375" s="234"/>
      <c r="J375" s="234"/>
      <c r="K375" s="234"/>
      <c r="L375" s="237"/>
      <c r="M375" s="237"/>
      <c r="N375" s="234"/>
      <c r="O375" s="239"/>
      <c r="P375" s="239"/>
    </row>
    <row r="376" spans="2:16" s="272" customFormat="1">
      <c r="B376" s="238"/>
      <c r="C376" s="238"/>
      <c r="D376" s="237"/>
      <c r="E376" s="237"/>
      <c r="F376" s="237"/>
      <c r="G376" s="234"/>
      <c r="H376" s="234"/>
      <c r="I376" s="234"/>
      <c r="J376" s="234"/>
      <c r="K376" s="234"/>
      <c r="L376" s="237"/>
      <c r="M376" s="237"/>
      <c r="N376" s="234"/>
      <c r="O376" s="239"/>
      <c r="P376" s="239"/>
    </row>
    <row r="377" spans="2:16" s="272" customFormat="1">
      <c r="B377" s="238"/>
      <c r="C377" s="238"/>
      <c r="D377" s="237"/>
      <c r="E377" s="237"/>
      <c r="F377" s="237"/>
      <c r="G377" s="234"/>
      <c r="H377" s="234"/>
      <c r="I377" s="234"/>
      <c r="J377" s="234"/>
      <c r="K377" s="234"/>
      <c r="L377" s="237"/>
      <c r="M377" s="237"/>
      <c r="N377" s="234"/>
      <c r="O377" s="239"/>
      <c r="P377" s="239"/>
    </row>
    <row r="378" spans="2:16" s="272" customFormat="1">
      <c r="B378" s="238"/>
      <c r="C378" s="238"/>
      <c r="D378" s="237"/>
      <c r="E378" s="237"/>
      <c r="F378" s="237"/>
      <c r="G378" s="234"/>
      <c r="H378" s="234"/>
      <c r="I378" s="234"/>
      <c r="J378" s="234"/>
      <c r="K378" s="234"/>
      <c r="L378" s="237"/>
      <c r="M378" s="237"/>
      <c r="N378" s="234"/>
      <c r="O378" s="239"/>
      <c r="P378" s="239"/>
    </row>
    <row r="379" spans="2:16" s="272" customFormat="1">
      <c r="B379" s="238"/>
      <c r="C379" s="238"/>
      <c r="D379" s="237"/>
      <c r="E379" s="237"/>
      <c r="F379" s="237"/>
      <c r="G379" s="234"/>
      <c r="H379" s="234"/>
      <c r="I379" s="234"/>
      <c r="J379" s="234"/>
      <c r="K379" s="234"/>
      <c r="L379" s="237"/>
      <c r="M379" s="237"/>
      <c r="N379" s="234"/>
      <c r="O379" s="239"/>
      <c r="P379" s="239"/>
    </row>
    <row r="380" spans="2:16" s="272" customFormat="1">
      <c r="B380" s="238"/>
      <c r="C380" s="238"/>
      <c r="D380" s="237"/>
      <c r="E380" s="237"/>
      <c r="F380" s="237"/>
      <c r="G380" s="234"/>
      <c r="H380" s="234"/>
      <c r="I380" s="234"/>
      <c r="J380" s="234"/>
      <c r="K380" s="234"/>
      <c r="L380" s="237"/>
      <c r="M380" s="237"/>
      <c r="N380" s="234"/>
      <c r="O380" s="239"/>
      <c r="P380" s="239"/>
    </row>
    <row r="381" spans="2:16" s="272" customFormat="1">
      <c r="B381" s="238"/>
      <c r="C381" s="238"/>
      <c r="D381" s="237"/>
      <c r="E381" s="237"/>
      <c r="F381" s="237"/>
      <c r="G381" s="234"/>
      <c r="H381" s="234"/>
      <c r="I381" s="234"/>
      <c r="J381" s="234"/>
      <c r="K381" s="234"/>
      <c r="L381" s="237"/>
      <c r="M381" s="237"/>
      <c r="N381" s="234"/>
      <c r="O381" s="239"/>
      <c r="P381" s="239"/>
    </row>
  </sheetData>
  <mergeCells count="18">
    <mergeCell ref="G2:H2"/>
    <mergeCell ref="I2:M2"/>
    <mergeCell ref="B9:C9"/>
    <mergeCell ref="S7:S8"/>
    <mergeCell ref="N2:O2"/>
    <mergeCell ref="G3:H3"/>
    <mergeCell ref="I3:M3"/>
    <mergeCell ref="N3:O3"/>
    <mergeCell ref="G4:H4"/>
    <mergeCell ref="I4:M4"/>
    <mergeCell ref="N4:O4"/>
    <mergeCell ref="G5:H5"/>
    <mergeCell ref="I5:M5"/>
    <mergeCell ref="N5:O5"/>
    <mergeCell ref="G6:H6"/>
    <mergeCell ref="I6:M6"/>
    <mergeCell ref="N6:O6"/>
    <mergeCell ref="B2:E2"/>
  </mergeCells>
  <phoneticPr fontId="8" type="noConversion"/>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500F-F9B7-304B-B194-4905C992F55C}">
  <dimension ref="A1:AP381"/>
  <sheetViews>
    <sheetView zoomScale="140" zoomScaleNormal="140" workbookViewId="0">
      <pane ySplit="7" topLeftCell="A20" activePane="bottomLeft" state="frozen"/>
      <selection sqref="A1:XFD1048576"/>
      <selection pane="bottomLeft" activeCell="L28" sqref="L28:M28"/>
    </sheetView>
  </sheetViews>
  <sheetFormatPr baseColWidth="10" defaultColWidth="10.83203125" defaultRowHeight="15"/>
  <cols>
    <col min="1" max="1" width="1.5" style="272" customWidth="1"/>
    <col min="2" max="3" width="5.6640625" style="449" customWidth="1"/>
    <col min="4" max="5" width="10.83203125" style="450"/>
    <col min="6" max="6" width="4.5" style="450" customWidth="1"/>
    <col min="7" max="7" width="4.33203125" style="267" customWidth="1"/>
    <col min="8" max="8" width="10.83203125" style="267" customWidth="1"/>
    <col min="9" max="9" width="10.83203125" style="267"/>
    <col min="10" max="10" width="4.5" style="267" customWidth="1"/>
    <col min="11" max="11" width="4" style="267" customWidth="1"/>
    <col min="12" max="12" width="10.83203125" style="450"/>
    <col min="13" max="13" width="14" style="450" bestFit="1" customWidth="1"/>
    <col min="14" max="14" width="4" style="267" bestFit="1" customWidth="1"/>
    <col min="15" max="16" width="16.83203125" style="451" customWidth="1"/>
    <col min="17" max="17" width="48" style="273" customWidth="1"/>
    <col min="18" max="18" width="3.1640625" style="272" customWidth="1"/>
    <col min="19" max="19" width="8.83203125" style="272" customWidth="1"/>
    <col min="20" max="20" width="10.83203125" style="272"/>
    <col min="21" max="23" width="12.5" style="272" customWidth="1"/>
    <col min="24"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row>
    <row r="2" spans="1:42" s="232" customFormat="1" ht="20" customHeight="1">
      <c r="B2" s="938" t="s">
        <v>283</v>
      </c>
      <c r="C2" s="939"/>
      <c r="D2" s="939"/>
      <c r="E2" s="939"/>
      <c r="F2" s="407"/>
      <c r="G2" s="934">
        <f>SUM(O10:O39)+(SUM(O44:O47)/2)</f>
        <v>123264.41999999998</v>
      </c>
      <c r="H2" s="935"/>
      <c r="I2" s="931" t="s">
        <v>1543</v>
      </c>
      <c r="J2" s="932"/>
      <c r="K2" s="932"/>
      <c r="L2" s="932"/>
      <c r="M2" s="933"/>
      <c r="N2" s="934">
        <f>SUM(D10:E39)/(G5)</f>
        <v>447.67241379310343</v>
      </c>
      <c r="O2" s="935"/>
      <c r="P2" s="408" t="s">
        <v>284</v>
      </c>
      <c r="Q2" s="409">
        <f>MAR!Q2+SUM(P10:P40)+P48-SUM(M10:M40)-SUM(I10:I40)-SUM(E10:E40)-Q3-M48</f>
        <v>46885.479999999996</v>
      </c>
      <c r="S2" s="274"/>
      <c r="T2" s="409"/>
    </row>
    <row r="3" spans="1:42" s="232" customFormat="1" ht="20" customHeight="1">
      <c r="B3" s="412" t="s">
        <v>285</v>
      </c>
      <c r="C3" s="413"/>
      <c r="D3" s="413"/>
      <c r="E3" s="413"/>
      <c r="F3" s="414"/>
      <c r="G3" s="934">
        <f>SUM(P10:P39)+SUM(P44:P47)</f>
        <v>82728.03</v>
      </c>
      <c r="H3" s="935"/>
      <c r="I3" s="931" t="s">
        <v>1544</v>
      </c>
      <c r="J3" s="932"/>
      <c r="K3" s="932"/>
      <c r="L3" s="932"/>
      <c r="M3" s="933"/>
      <c r="N3" s="934">
        <f>SUM(H10:I39)/G5</f>
        <v>818.96206896551735</v>
      </c>
      <c r="O3" s="935"/>
      <c r="P3" s="408" t="s">
        <v>1545</v>
      </c>
      <c r="Q3" s="409">
        <f>SUMIFS(BANCA!$E:$E,BANCA!$B:$B,"&gt;=01/04/2025",BANCA!$B:$B,"&lt;=30/04/2025",BANCA!$D:$D,"Versamento contanti")</f>
        <v>26000</v>
      </c>
      <c r="S3" s="274"/>
      <c r="T3" s="409"/>
    </row>
    <row r="4" spans="1:42" s="232" customFormat="1" ht="20" customHeight="1">
      <c r="B4" s="412" t="s">
        <v>287</v>
      </c>
      <c r="C4" s="413"/>
      <c r="D4" s="413"/>
      <c r="E4" s="413"/>
      <c r="F4" s="414"/>
      <c r="G4" s="929">
        <f>G3/G2</f>
        <v>0.67114281639421991</v>
      </c>
      <c r="H4" s="930"/>
      <c r="I4" s="931" t="s">
        <v>1546</v>
      </c>
      <c r="J4" s="932"/>
      <c r="K4" s="932"/>
      <c r="L4" s="932"/>
      <c r="M4" s="933"/>
      <c r="N4" s="934">
        <f>SUM(L10:M39)/G5</f>
        <v>2488.9299999999998</v>
      </c>
      <c r="O4" s="935"/>
      <c r="P4" s="243"/>
      <c r="S4" s="274"/>
      <c r="T4" s="409"/>
    </row>
    <row r="5" spans="1:42" s="232" customFormat="1" ht="20" customHeight="1">
      <c r="B5" s="412" t="s">
        <v>288</v>
      </c>
      <c r="C5" s="413"/>
      <c r="D5" s="413"/>
      <c r="E5" s="413"/>
      <c r="F5" s="414"/>
      <c r="G5" s="936">
        <f>COUNTA(O10:O40)</f>
        <v>29</v>
      </c>
      <c r="H5" s="937"/>
      <c r="I5" s="931" t="s">
        <v>290</v>
      </c>
      <c r="J5" s="932"/>
      <c r="K5" s="932"/>
      <c r="L5" s="932"/>
      <c r="M5" s="933"/>
      <c r="N5" s="934">
        <f>SUM(E10:E39,M10:M39,I10:I39)</f>
        <v>50928.899999999994</v>
      </c>
      <c r="O5" s="930"/>
      <c r="P5" s="243"/>
      <c r="S5" s="274"/>
      <c r="T5" s="409"/>
    </row>
    <row r="6" spans="1:42" s="232" customFormat="1" ht="20" customHeight="1">
      <c r="B6" s="415" t="s">
        <v>289</v>
      </c>
      <c r="C6" s="416"/>
      <c r="D6" s="416"/>
      <c r="E6" s="416"/>
      <c r="F6" s="417"/>
      <c r="G6" s="934">
        <f>G2/G5</f>
        <v>4250.4972413793093</v>
      </c>
      <c r="H6" s="935"/>
      <c r="I6" s="931" t="s">
        <v>1547</v>
      </c>
      <c r="J6" s="932"/>
      <c r="K6" s="932"/>
      <c r="L6" s="932"/>
      <c r="M6" s="933"/>
      <c r="N6" s="934"/>
      <c r="O6" s="935"/>
      <c r="P6" s="243"/>
      <c r="S6" s="274"/>
      <c r="T6" s="409"/>
    </row>
    <row r="7" spans="1:42" s="272" customFormat="1" ht="7" customHeight="1">
      <c r="B7" s="418"/>
      <c r="C7" s="418"/>
      <c r="D7" s="418"/>
      <c r="E7" s="408"/>
      <c r="F7" s="408"/>
      <c r="G7" s="408"/>
      <c r="H7" s="408"/>
      <c r="I7" s="408"/>
      <c r="J7" s="408"/>
      <c r="K7" s="408"/>
      <c r="L7" s="418"/>
      <c r="M7" s="418"/>
      <c r="N7" s="418"/>
      <c r="O7" s="239"/>
      <c r="P7" s="239"/>
      <c r="S7" s="1001"/>
      <c r="T7" s="409"/>
    </row>
    <row r="8" spans="1:42" s="272" customFormat="1" ht="7" customHeight="1" thickBot="1">
      <c r="B8" s="238"/>
      <c r="C8" s="238"/>
      <c r="D8" s="237"/>
      <c r="E8" s="237"/>
      <c r="F8" s="237"/>
      <c r="G8" s="234"/>
      <c r="H8" s="234"/>
      <c r="I8" s="234"/>
      <c r="J8" s="234"/>
      <c r="K8" s="234"/>
      <c r="L8" s="237"/>
      <c r="M8" s="237"/>
      <c r="N8" s="234"/>
      <c r="O8" s="239"/>
      <c r="P8" s="239"/>
      <c r="S8" s="1001"/>
      <c r="T8" s="409"/>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52">
        <v>1</v>
      </c>
      <c r="C10" s="424" t="s">
        <v>294</v>
      </c>
      <c r="D10" s="425">
        <f>188-E10</f>
        <v>147.19999999999999</v>
      </c>
      <c r="E10" s="425">
        <v>40.799999999999997</v>
      </c>
      <c r="F10" s="426">
        <v>56</v>
      </c>
      <c r="G10" s="427" t="s">
        <v>1564</v>
      </c>
      <c r="H10" s="425">
        <f>608.2-D10-E10-I10</f>
        <v>261.30000000000007</v>
      </c>
      <c r="I10" s="425">
        <v>158.9</v>
      </c>
      <c r="J10" s="426">
        <v>7</v>
      </c>
      <c r="K10" s="427" t="s">
        <v>1564</v>
      </c>
      <c r="L10" s="425">
        <f>1137.2-M10-I10-H10-E10-D10</f>
        <v>423.50000000000006</v>
      </c>
      <c r="M10" s="425">
        <f>305.2-I10-E10</f>
        <v>105.49999999999999</v>
      </c>
      <c r="N10" s="427" t="s">
        <v>1564</v>
      </c>
      <c r="O10" s="428">
        <f>SUM(D10:E10,H10:I10,L10:M10)</f>
        <v>1137.2</v>
      </c>
      <c r="P10" s="429">
        <v>605.9</v>
      </c>
      <c r="Q10" s="430"/>
      <c r="S10" s="368" t="s">
        <v>1567</v>
      </c>
      <c r="T10" s="313">
        <f t="shared" ref="T10:T16" si="0">(SUMIF($C$10:$C$40,S10,$D$10:$D$40)+SUMIF($C$10:$C$40,S10,$E$10:$E$40))/COUNTIF($C$10:$C$40,S10)</f>
        <v>268.17500000000001</v>
      </c>
      <c r="U10" s="313">
        <f t="shared" ref="U10:U15" si="1">(SUMIF($C$10:$C$40,S10,$H$10:$H$40)+SUMIF($C$10:$C$40,S10,$I$10:$I$40)+SUMIF($C$10:$C$40,S10,$L$10:$L$40)+SUMIF($C$10:$C$40,S10,$M$10:$M$40))/COUNTIF($C$10:$C$40,S10)</f>
        <v>685.47499999999991</v>
      </c>
      <c r="V10" s="313">
        <f>(SUMIF($C$10:$C$40,S10,$H$10:$H$40)+SUMIF($C$10:$C$40,S10,$I$10:$I$40))/COUNTIF($C$10:$C$40,S10)</f>
        <v>412.7</v>
      </c>
      <c r="W10" s="313">
        <f t="shared" ref="W10:W15" si="2">(SUMIF($C$10:$C$40,S10,$L$10:$L$40)+SUMIF($C$10:$C$40,S10,$M$10:$M$40))/COUNTIF($C$10:$C$40,S10)</f>
        <v>272.77499999999992</v>
      </c>
    </row>
    <row r="11" spans="1:42" s="368" customFormat="1" ht="16" customHeight="1">
      <c r="B11" s="427">
        <v>2</v>
      </c>
      <c r="C11" s="424" t="s">
        <v>1557</v>
      </c>
      <c r="D11" s="425">
        <f>156.9-E11</f>
        <v>134.9</v>
      </c>
      <c r="E11" s="425">
        <v>22</v>
      </c>
      <c r="F11" s="426">
        <v>65</v>
      </c>
      <c r="G11" s="427" t="s">
        <v>295</v>
      </c>
      <c r="H11" s="425">
        <f>811.5-D11-E11-I11</f>
        <v>244</v>
      </c>
      <c r="I11" s="425">
        <v>410.6</v>
      </c>
      <c r="J11" s="426">
        <v>17</v>
      </c>
      <c r="K11" s="427" t="s">
        <v>295</v>
      </c>
      <c r="L11" s="425">
        <f>1511.5-M11-I11-H11-E11-D11</f>
        <v>123.49999999999997</v>
      </c>
      <c r="M11" s="425">
        <f>1009.1-I11-E11</f>
        <v>576.5</v>
      </c>
      <c r="N11" s="427" t="s">
        <v>295</v>
      </c>
      <c r="O11" s="428">
        <f t="shared" ref="O11:O39" si="3">SUM(D11:E11,H11:I11,L11:M11)</f>
        <v>1511.5</v>
      </c>
      <c r="P11" s="429">
        <v>1356.9</v>
      </c>
      <c r="Q11" s="430"/>
      <c r="S11" s="368" t="s">
        <v>294</v>
      </c>
      <c r="T11" s="313">
        <f t="shared" si="0"/>
        <v>238</v>
      </c>
      <c r="U11" s="313">
        <f t="shared" si="1"/>
        <v>1039.72</v>
      </c>
      <c r="V11" s="313">
        <f t="shared" ref="V11:V15" si="4">(SUMIF($C$10:$C$40,S11,$H$10:$H$40)+SUMIF($C$10:$C$40,S11,$I$10:$I$40))/COUNTIF($C$10:$C$40,S11)</f>
        <v>532.24</v>
      </c>
      <c r="W11" s="313">
        <f t="shared" si="2"/>
        <v>507.48</v>
      </c>
      <c r="X11" s="351"/>
    </row>
    <row r="12" spans="1:42" s="368" customFormat="1" ht="16" customHeight="1">
      <c r="B12" s="427">
        <v>3</v>
      </c>
      <c r="C12" s="424" t="s">
        <v>1558</v>
      </c>
      <c r="D12" s="425">
        <f>504-E12</f>
        <v>382.3</v>
      </c>
      <c r="E12" s="425">
        <v>121.7</v>
      </c>
      <c r="F12" s="426">
        <v>107</v>
      </c>
      <c r="G12" s="427" t="s">
        <v>295</v>
      </c>
      <c r="H12" s="425">
        <f>1495-D12-E12-I12</f>
        <v>487.7</v>
      </c>
      <c r="I12" s="425">
        <v>503.3</v>
      </c>
      <c r="J12" s="426">
        <v>17</v>
      </c>
      <c r="K12" s="427" t="s">
        <v>295</v>
      </c>
      <c r="L12" s="425">
        <f>2776.2-M12-I12-H12-E12-D12</f>
        <v>247.19999999999976</v>
      </c>
      <c r="M12" s="425">
        <f>1659-I12-E12</f>
        <v>1034</v>
      </c>
      <c r="N12" s="427" t="s">
        <v>295</v>
      </c>
      <c r="O12" s="428">
        <f t="shared" si="3"/>
        <v>2776.2</v>
      </c>
      <c r="P12" s="429">
        <v>2282.1999999999998</v>
      </c>
      <c r="Q12" s="454" t="s">
        <v>1647</v>
      </c>
      <c r="S12" s="368" t="s">
        <v>1557</v>
      </c>
      <c r="T12" s="313">
        <f t="shared" si="0"/>
        <v>151.84</v>
      </c>
      <c r="U12" s="313">
        <f t="shared" si="1"/>
        <v>1724.3199999999997</v>
      </c>
      <c r="V12" s="313">
        <f t="shared" si="4"/>
        <v>560.66000000000008</v>
      </c>
      <c r="W12" s="313">
        <f t="shared" si="2"/>
        <v>1163.6599999999999</v>
      </c>
    </row>
    <row r="13" spans="1:42" s="368" customFormat="1" ht="16" customHeight="1">
      <c r="B13" s="427">
        <v>4</v>
      </c>
      <c r="C13" s="424" t="s">
        <v>175</v>
      </c>
      <c r="D13" s="425">
        <f>343.1-E13</f>
        <v>232.8</v>
      </c>
      <c r="E13" s="425">
        <v>110.3</v>
      </c>
      <c r="F13" s="426">
        <v>66</v>
      </c>
      <c r="G13" s="427" t="s">
        <v>295</v>
      </c>
      <c r="H13" s="425">
        <f>1392.5-D13-E13-I13</f>
        <v>425.80000000000007</v>
      </c>
      <c r="I13" s="425">
        <v>623.6</v>
      </c>
      <c r="J13" s="426">
        <v>12</v>
      </c>
      <c r="K13" s="427" t="s">
        <v>295</v>
      </c>
      <c r="L13" s="425">
        <f>3523.7-M13-I13-H13-E13-D13</f>
        <v>1003.1999999999998</v>
      </c>
      <c r="M13" s="425">
        <f>1861.9-I13-E13</f>
        <v>1128.0000000000002</v>
      </c>
      <c r="N13" s="427" t="s">
        <v>295</v>
      </c>
      <c r="O13" s="428">
        <f t="shared" si="3"/>
        <v>3523.7</v>
      </c>
      <c r="P13" s="429">
        <v>2908.5</v>
      </c>
      <c r="Q13" s="430" t="s">
        <v>1648</v>
      </c>
      <c r="S13" s="368" t="s">
        <v>1558</v>
      </c>
      <c r="T13" s="313">
        <f t="shared" si="0"/>
        <v>394.59999999999997</v>
      </c>
      <c r="U13" s="313">
        <f t="shared" si="1"/>
        <v>3964.7175000000007</v>
      </c>
      <c r="V13" s="313">
        <f t="shared" si="4"/>
        <v>501.3</v>
      </c>
      <c r="W13" s="313">
        <f t="shared" si="2"/>
        <v>3463.4175000000005</v>
      </c>
    </row>
    <row r="14" spans="1:42" s="368" customFormat="1" ht="16" customHeight="1">
      <c r="B14" s="427">
        <v>5</v>
      </c>
      <c r="C14" s="424" t="s">
        <v>176</v>
      </c>
      <c r="D14" s="425">
        <f>544-E14</f>
        <v>431.5</v>
      </c>
      <c r="E14" s="425">
        <v>112.5</v>
      </c>
      <c r="F14" s="426">
        <v>95</v>
      </c>
      <c r="G14" s="427" t="s">
        <v>295</v>
      </c>
      <c r="H14" s="425">
        <f>2055.1-D14-E14-I14</f>
        <v>842.99999999999989</v>
      </c>
      <c r="I14" s="425">
        <v>668.1</v>
      </c>
      <c r="J14" s="426">
        <v>21</v>
      </c>
      <c r="K14" s="427" t="s">
        <v>295</v>
      </c>
      <c r="L14" s="425">
        <f>4656.9-M14-I14-H14-E14-D14</f>
        <v>1481.7999999999997</v>
      </c>
      <c r="M14" s="425">
        <f>1900.6-I14-E14</f>
        <v>1120</v>
      </c>
      <c r="N14" s="427" t="s">
        <v>295</v>
      </c>
      <c r="O14" s="428">
        <f t="shared" si="3"/>
        <v>4656.8999999999996</v>
      </c>
      <c r="P14" s="429">
        <v>4072.8</v>
      </c>
      <c r="Q14" s="430" t="s">
        <v>1587</v>
      </c>
      <c r="S14" s="368" t="s">
        <v>175</v>
      </c>
      <c r="T14" s="313">
        <f t="shared" si="0"/>
        <v>348.27499999999998</v>
      </c>
      <c r="U14" s="313">
        <f t="shared" si="1"/>
        <v>3510.4250000000002</v>
      </c>
      <c r="V14" s="313">
        <f t="shared" si="4"/>
        <v>934.85</v>
      </c>
      <c r="W14" s="313">
        <f t="shared" si="2"/>
        <v>2575.5749999999998</v>
      </c>
    </row>
    <row r="15" spans="1:42" s="368" customFormat="1" ht="16" customHeight="1">
      <c r="B15" s="427">
        <v>6</v>
      </c>
      <c r="C15" s="424" t="s">
        <v>177</v>
      </c>
      <c r="D15" s="425">
        <f>847-E15</f>
        <v>823</v>
      </c>
      <c r="E15" s="425">
        <v>24</v>
      </c>
      <c r="F15" s="426">
        <v>113</v>
      </c>
      <c r="G15" s="427" t="s">
        <v>295</v>
      </c>
      <c r="H15" s="425">
        <f>2142-D15-E15-I15</f>
        <v>737.5</v>
      </c>
      <c r="I15" s="425">
        <v>557.5</v>
      </c>
      <c r="J15" s="426">
        <v>10</v>
      </c>
      <c r="K15" s="427" t="s">
        <v>295</v>
      </c>
      <c r="L15" s="425">
        <f>9109-M15-I15-H15-E15-D15</f>
        <v>3811.5</v>
      </c>
      <c r="M15" s="425">
        <f>3737-I15-E15</f>
        <v>3155.5</v>
      </c>
      <c r="N15" s="427" t="s">
        <v>295</v>
      </c>
      <c r="O15" s="428">
        <f t="shared" si="3"/>
        <v>9109</v>
      </c>
      <c r="P15" s="429">
        <v>6685.7</v>
      </c>
      <c r="Q15" s="431" t="s">
        <v>1649</v>
      </c>
      <c r="S15" s="368" t="s">
        <v>176</v>
      </c>
      <c r="T15" s="313">
        <f t="shared" si="0"/>
        <v>658.52499999999998</v>
      </c>
      <c r="U15" s="313">
        <f t="shared" si="1"/>
        <v>7242.6</v>
      </c>
      <c r="V15" s="313">
        <f t="shared" si="4"/>
        <v>1415.25</v>
      </c>
      <c r="W15" s="313">
        <f t="shared" si="2"/>
        <v>5827.35</v>
      </c>
    </row>
    <row r="16" spans="1:42" s="368" customFormat="1" ht="16" customHeight="1">
      <c r="B16" s="427">
        <v>7</v>
      </c>
      <c r="C16" s="424" t="s">
        <v>1567</v>
      </c>
      <c r="D16" s="425"/>
      <c r="E16" s="425"/>
      <c r="F16" s="426"/>
      <c r="G16" s="453"/>
      <c r="H16" s="425">
        <f>157-D16-E16-I16</f>
        <v>107.1</v>
      </c>
      <c r="I16" s="425">
        <v>49.9</v>
      </c>
      <c r="J16" s="426">
        <v>24</v>
      </c>
      <c r="K16" s="427" t="s">
        <v>295</v>
      </c>
      <c r="L16" s="425">
        <f>414.4-M16-I16-H16-E16-D16</f>
        <v>204.9</v>
      </c>
      <c r="M16" s="425">
        <f>102.4-I16-E16</f>
        <v>52.500000000000007</v>
      </c>
      <c r="N16" s="427" t="s">
        <v>295</v>
      </c>
      <c r="O16" s="428">
        <f t="shared" si="3"/>
        <v>414.4</v>
      </c>
      <c r="P16" s="429">
        <v>286.89999999999998</v>
      </c>
      <c r="Q16" s="454" t="s">
        <v>1650</v>
      </c>
      <c r="S16" s="368" t="s">
        <v>177</v>
      </c>
      <c r="T16" s="313">
        <f t="shared" si="0"/>
        <v>1088.75</v>
      </c>
      <c r="U16" s="313">
        <f>(SUMIF($C$10:$C$40,S16,$H$10:$H$40)+SUMIF($C$10:$C$40,S16,$I$10:$I$40)+SUMIF($C$10:$C$40,S16,$L$10:$L$40)+SUMIF($C$10:$C$40,S16,$M$10:$M$40))/COUNTIF($C$10:$C$40,S16)</f>
        <v>5123.95</v>
      </c>
      <c r="V16" s="313">
        <f>(SUMIF($C$10:$C$40,S16,$H$10:$H$40)+SUMIF($C$10:$C$40,S16,$I$10:$I$40))/(COUNTIF($C$10:$C$40,S16)-2)</f>
        <v>2614.5</v>
      </c>
      <c r="W16" s="313">
        <f>(SUMIF($C$10:$C$40,S16,$L$10:$L$40)+SUMIF($C$10:$C$40,S16,$M$10:$M$40))/COUNTIF($C$10:$C$40,S16)</f>
        <v>3816.7</v>
      </c>
      <c r="Y16" s="432"/>
      <c r="Z16" s="432"/>
      <c r="AA16" s="432"/>
      <c r="AB16" s="432"/>
      <c r="AC16" s="432"/>
    </row>
    <row r="17" spans="2:24" s="368" customFormat="1" ht="16" customHeight="1">
      <c r="B17" s="427">
        <v>8</v>
      </c>
      <c r="C17" s="424" t="s">
        <v>294</v>
      </c>
      <c r="D17" s="425">
        <f>155-E17</f>
        <v>107.5</v>
      </c>
      <c r="E17" s="425">
        <v>47.5</v>
      </c>
      <c r="F17" s="426">
        <v>60</v>
      </c>
      <c r="G17" s="427" t="s">
        <v>295</v>
      </c>
      <c r="H17" s="425">
        <f>586-D17-E17-I17</f>
        <v>261.8</v>
      </c>
      <c r="I17" s="425">
        <v>169.2</v>
      </c>
      <c r="J17" s="426">
        <v>22</v>
      </c>
      <c r="K17" s="427" t="s">
        <v>295</v>
      </c>
      <c r="L17" s="425">
        <f>871.4-M17-I17-H17-E17-D17</f>
        <v>120.69999999999999</v>
      </c>
      <c r="M17" s="425">
        <f>381.4-I17-E17</f>
        <v>164.7</v>
      </c>
      <c r="N17" s="427" t="s">
        <v>295</v>
      </c>
      <c r="O17" s="428">
        <f t="shared" si="3"/>
        <v>871.40000000000009</v>
      </c>
      <c r="P17" s="429">
        <v>609.79999999999995</v>
      </c>
      <c r="Q17" s="454" t="s">
        <v>1650</v>
      </c>
      <c r="T17" s="313"/>
      <c r="U17" s="313"/>
      <c r="V17" s="313"/>
      <c r="W17" s="313"/>
      <c r="X17" s="432"/>
    </row>
    <row r="18" spans="2:24" s="368" customFormat="1" ht="16" customHeight="1">
      <c r="B18" s="427">
        <v>9</v>
      </c>
      <c r="C18" s="424" t="s">
        <v>1557</v>
      </c>
      <c r="D18" s="425">
        <f>238-E18</f>
        <v>178.2</v>
      </c>
      <c r="E18" s="425">
        <v>59.8</v>
      </c>
      <c r="F18" s="426">
        <v>63</v>
      </c>
      <c r="G18" s="465" t="s">
        <v>295</v>
      </c>
      <c r="H18" s="425">
        <f>717-D18-E18-I18</f>
        <v>279.99999999999994</v>
      </c>
      <c r="I18" s="425">
        <v>199</v>
      </c>
      <c r="J18" s="426">
        <v>11</v>
      </c>
      <c r="K18" s="465" t="s">
        <v>295</v>
      </c>
      <c r="L18" s="425">
        <f>1027.8-M18-I18-H18-E18-D18</f>
        <v>106.80000000000001</v>
      </c>
      <c r="M18" s="425">
        <f>462.8-I18-E18</f>
        <v>204</v>
      </c>
      <c r="N18" s="465" t="s">
        <v>295</v>
      </c>
      <c r="O18" s="428">
        <f t="shared" si="3"/>
        <v>1027.8</v>
      </c>
      <c r="P18" s="429">
        <v>864.1</v>
      </c>
      <c r="Q18" s="454"/>
      <c r="T18" s="313"/>
      <c r="U18" s="422" t="s">
        <v>1651</v>
      </c>
      <c r="V18" s="422" t="s">
        <v>1652</v>
      </c>
      <c r="W18" s="422" t="s">
        <v>1653</v>
      </c>
    </row>
    <row r="19" spans="2:24" s="368" customFormat="1" ht="16" customHeight="1">
      <c r="B19" s="427">
        <v>10</v>
      </c>
      <c r="C19" s="424" t="s">
        <v>1558</v>
      </c>
      <c r="D19" s="425">
        <f>368-E19</f>
        <v>315.8</v>
      </c>
      <c r="E19" s="425">
        <v>52.2</v>
      </c>
      <c r="F19" s="426">
        <v>107</v>
      </c>
      <c r="G19" s="465" t="s">
        <v>295</v>
      </c>
      <c r="H19" s="425">
        <f>777.6-D19-E19-I19</f>
        <v>204.20000000000002</v>
      </c>
      <c r="I19" s="425">
        <v>205.4</v>
      </c>
      <c r="J19" s="426">
        <v>12</v>
      </c>
      <c r="K19" s="465" t="s">
        <v>295</v>
      </c>
      <c r="L19" s="425">
        <f>1117.6-M19-I19-H19-E19-D19</f>
        <v>62.999999999999886</v>
      </c>
      <c r="M19" s="425">
        <f>534.6-I19-E19</f>
        <v>277.00000000000006</v>
      </c>
      <c r="N19" s="465" t="s">
        <v>295</v>
      </c>
      <c r="O19" s="428">
        <f t="shared" si="3"/>
        <v>1117.5999999999999</v>
      </c>
      <c r="P19" s="429">
        <v>878.3</v>
      </c>
      <c r="Q19" s="430"/>
      <c r="S19" s="433" t="s">
        <v>1573</v>
      </c>
      <c r="T19" s="434"/>
      <c r="U19" s="435"/>
      <c r="V19" s="435"/>
      <c r="W19" s="435"/>
    </row>
    <row r="20" spans="2:24" s="368" customFormat="1" ht="16" customHeight="1">
      <c r="B20" s="427">
        <v>11</v>
      </c>
      <c r="C20" s="424" t="s">
        <v>175</v>
      </c>
      <c r="D20" s="425">
        <f>385-E20</f>
        <v>273.7</v>
      </c>
      <c r="E20" s="425">
        <v>111.3</v>
      </c>
      <c r="F20" s="426">
        <v>72</v>
      </c>
      <c r="G20" s="465" t="s">
        <v>295</v>
      </c>
      <c r="H20" s="425">
        <f>1183-D20-E20-I20</f>
        <v>370.9</v>
      </c>
      <c r="I20" s="425">
        <v>427.1</v>
      </c>
      <c r="J20" s="426">
        <v>20</v>
      </c>
      <c r="K20" s="465" t="s">
        <v>295</v>
      </c>
      <c r="L20" s="425">
        <f>3778.4+80-M20-I20-H20-E20-D20</f>
        <v>1494.8999999999996</v>
      </c>
      <c r="M20" s="425">
        <f>1718.9-I20-E20</f>
        <v>1180.5000000000002</v>
      </c>
      <c r="N20" s="465" t="s">
        <v>295</v>
      </c>
      <c r="O20" s="428">
        <f t="shared" si="3"/>
        <v>3858.3999999999996</v>
      </c>
      <c r="P20" s="429">
        <v>2546.1</v>
      </c>
      <c r="Q20" s="430" t="s">
        <v>1613</v>
      </c>
      <c r="S20" s="433"/>
      <c r="T20" s="434"/>
      <c r="U20" s="435"/>
      <c r="V20" s="435"/>
      <c r="W20" s="435"/>
    </row>
    <row r="21" spans="2:24" s="368" customFormat="1" ht="16" customHeight="1">
      <c r="B21" s="427">
        <v>12</v>
      </c>
      <c r="C21" s="424" t="s">
        <v>176</v>
      </c>
      <c r="D21" s="425">
        <f>611-E21</f>
        <v>343.3</v>
      </c>
      <c r="E21" s="425">
        <v>267.7</v>
      </c>
      <c r="F21" s="426">
        <v>59</v>
      </c>
      <c r="G21" s="465" t="s">
        <v>295</v>
      </c>
      <c r="H21" s="425">
        <f>2295-D21-E21-I21</f>
        <v>986.9</v>
      </c>
      <c r="I21" s="425">
        <v>697.1</v>
      </c>
      <c r="J21" s="426">
        <v>24</v>
      </c>
      <c r="K21" s="465" t="s">
        <v>295</v>
      </c>
      <c r="L21" s="425">
        <f>5387.8-M21-I21-H21-E21-D21</f>
        <v>1288.3000000000002</v>
      </c>
      <c r="M21" s="425">
        <f>2769.3-I21-E21</f>
        <v>1804.5000000000002</v>
      </c>
      <c r="N21" s="465" t="s">
        <v>295</v>
      </c>
      <c r="O21" s="428">
        <f t="shared" si="3"/>
        <v>5387.8</v>
      </c>
      <c r="P21" s="429">
        <v>3781</v>
      </c>
      <c r="Q21" s="430" t="s">
        <v>1587</v>
      </c>
      <c r="S21" s="433"/>
      <c r="T21" s="434"/>
      <c r="U21" s="435"/>
      <c r="V21" s="435"/>
      <c r="W21" s="435"/>
    </row>
    <row r="22" spans="2:24" s="368" customFormat="1" ht="16" customHeight="1">
      <c r="B22" s="427">
        <v>13</v>
      </c>
      <c r="C22" s="424" t="s">
        <v>177</v>
      </c>
      <c r="D22" s="425">
        <f>622.5-E22</f>
        <v>455.8</v>
      </c>
      <c r="E22" s="425">
        <v>166.7</v>
      </c>
      <c r="F22" s="426">
        <v>84</v>
      </c>
      <c r="G22" s="427" t="s">
        <v>1596</v>
      </c>
      <c r="H22" s="425">
        <f>2038-D22-E22-I22</f>
        <v>880.7</v>
      </c>
      <c r="I22" s="425">
        <v>534.79999999999995</v>
      </c>
      <c r="J22" s="426">
        <v>16</v>
      </c>
      <c r="K22" s="427" t="s">
        <v>1564</v>
      </c>
      <c r="L22" s="425">
        <f>8423.6-M22-I22-H22-E22-D22</f>
        <v>3465.1000000000004</v>
      </c>
      <c r="M22" s="425">
        <f>3622-I22-E22</f>
        <v>2920.5</v>
      </c>
      <c r="N22" s="427" t="s">
        <v>1564</v>
      </c>
      <c r="O22" s="428">
        <f t="shared" si="3"/>
        <v>8423.6</v>
      </c>
      <c r="P22" s="429">
        <f>2916.2+2151</f>
        <v>5067.2</v>
      </c>
      <c r="Q22" s="431" t="s">
        <v>1654</v>
      </c>
      <c r="S22" s="436" t="s">
        <v>952</v>
      </c>
      <c r="T22" s="437"/>
      <c r="U22" s="438"/>
      <c r="V22" s="438"/>
      <c r="W22" s="438"/>
    </row>
    <row r="23" spans="2:24" s="368" customFormat="1" ht="16" customHeight="1">
      <c r="B23" s="427">
        <v>14</v>
      </c>
      <c r="C23" s="424" t="s">
        <v>1567</v>
      </c>
      <c r="D23" s="425"/>
      <c r="E23" s="425"/>
      <c r="F23" s="426"/>
      <c r="G23" s="453"/>
      <c r="H23" s="425">
        <f>104.5-D23-E23-I23</f>
        <v>66</v>
      </c>
      <c r="I23" s="425">
        <v>38.5</v>
      </c>
      <c r="J23" s="426">
        <v>14</v>
      </c>
      <c r="K23" s="427" t="s">
        <v>1596</v>
      </c>
      <c r="L23" s="425">
        <f>180.5-M23-I23-H23-E23-D23</f>
        <v>40</v>
      </c>
      <c r="M23" s="425">
        <f>74.5-I23-E23</f>
        <v>36</v>
      </c>
      <c r="N23" s="427" t="s">
        <v>1596</v>
      </c>
      <c r="O23" s="428">
        <f t="shared" si="3"/>
        <v>180.5</v>
      </c>
      <c r="P23" s="429">
        <v>367.2</v>
      </c>
      <c r="Q23" s="430"/>
      <c r="S23" s="436" t="s">
        <v>1584</v>
      </c>
      <c r="T23" s="437"/>
      <c r="U23" s="438"/>
      <c r="V23" s="438"/>
      <c r="W23" s="438"/>
    </row>
    <row r="24" spans="2:24" s="368" customFormat="1" ht="16" customHeight="1">
      <c r="B24" s="427">
        <v>15</v>
      </c>
      <c r="C24" s="424" t="s">
        <v>294</v>
      </c>
      <c r="D24" s="425">
        <f>161-E24</f>
        <v>159.6</v>
      </c>
      <c r="E24" s="425">
        <v>1.4</v>
      </c>
      <c r="F24" s="426">
        <v>50</v>
      </c>
      <c r="G24" s="427" t="s">
        <v>1596</v>
      </c>
      <c r="H24" s="425">
        <f>455-D24-E24-I24</f>
        <v>172.6</v>
      </c>
      <c r="I24" s="425">
        <v>121.4</v>
      </c>
      <c r="J24" s="426">
        <v>14</v>
      </c>
      <c r="K24" s="427" t="s">
        <v>1596</v>
      </c>
      <c r="L24" s="425">
        <f>1297.8-M24-I24-H24-E24-D24</f>
        <v>187.29999999999998</v>
      </c>
      <c r="M24" s="425">
        <f>778.3-I24-E24</f>
        <v>655.5</v>
      </c>
      <c r="N24" s="427" t="s">
        <v>1564</v>
      </c>
      <c r="O24" s="428">
        <f t="shared" si="3"/>
        <v>1297.8</v>
      </c>
      <c r="P24" s="429">
        <v>1201.5</v>
      </c>
      <c r="Q24" s="430"/>
      <c r="S24" s="436" t="s">
        <v>1588</v>
      </c>
      <c r="T24" s="437"/>
      <c r="U24" s="438"/>
      <c r="V24" s="438"/>
      <c r="W24" s="438"/>
    </row>
    <row r="25" spans="2:24" s="368" customFormat="1" ht="16" customHeight="1">
      <c r="B25" s="427">
        <v>16</v>
      </c>
      <c r="C25" s="424" t="s">
        <v>1557</v>
      </c>
      <c r="D25" s="425">
        <f>147.3-E25</f>
        <v>124.80000000000001</v>
      </c>
      <c r="E25" s="425">
        <v>22.5</v>
      </c>
      <c r="F25" s="426">
        <v>54</v>
      </c>
      <c r="G25" s="427" t="s">
        <v>1596</v>
      </c>
      <c r="H25" s="425">
        <f>327-D25-E25-I25</f>
        <v>134.69999999999999</v>
      </c>
      <c r="I25" s="425">
        <v>45</v>
      </c>
      <c r="J25" s="426">
        <v>19</v>
      </c>
      <c r="K25" s="427" t="s">
        <v>1596</v>
      </c>
      <c r="L25" s="425">
        <f>1070.6-M25-I25-H25-E25-D25</f>
        <v>225.99999999999989</v>
      </c>
      <c r="M25" s="425">
        <f>585.1-I25-E25</f>
        <v>517.6</v>
      </c>
      <c r="N25" s="427" t="s">
        <v>1596</v>
      </c>
      <c r="O25" s="428">
        <f t="shared" si="3"/>
        <v>1070.5999999999999</v>
      </c>
      <c r="P25" s="429">
        <v>638.4</v>
      </c>
      <c r="Q25" s="430" t="s">
        <v>1655</v>
      </c>
      <c r="S25" s="436" t="s">
        <v>1656</v>
      </c>
      <c r="T25" s="437"/>
      <c r="U25" s="438"/>
      <c r="V25" s="438"/>
      <c r="W25" s="438"/>
    </row>
    <row r="26" spans="2:24" s="368" customFormat="1" ht="16" customHeight="1">
      <c r="B26" s="427">
        <v>17</v>
      </c>
      <c r="C26" s="424" t="s">
        <v>1558</v>
      </c>
      <c r="D26" s="425">
        <f>287.4-E26</f>
        <v>263.79999999999995</v>
      </c>
      <c r="E26" s="425">
        <v>23.6</v>
      </c>
      <c r="F26" s="426">
        <f>281-207</f>
        <v>74</v>
      </c>
      <c r="G26" s="427" t="s">
        <v>1596</v>
      </c>
      <c r="H26" s="425">
        <f>444-D26-E26-I26</f>
        <v>45.400000000000048</v>
      </c>
      <c r="I26" s="425">
        <v>111.2</v>
      </c>
      <c r="J26" s="426">
        <v>9</v>
      </c>
      <c r="K26" s="427" t="s">
        <v>1596</v>
      </c>
      <c r="L26" s="425">
        <f>1053.27-M26-I26-H26-E26-D26</f>
        <v>242.46999999999991</v>
      </c>
      <c r="M26" s="425">
        <v>366.8</v>
      </c>
      <c r="N26" s="427" t="s">
        <v>1596</v>
      </c>
      <c r="O26" s="428">
        <f t="shared" si="3"/>
        <v>1053.27</v>
      </c>
      <c r="P26" s="429">
        <v>617.29999999999995</v>
      </c>
      <c r="Q26" s="430"/>
      <c r="S26" s="436" t="s">
        <v>144</v>
      </c>
      <c r="T26" s="437"/>
      <c r="U26" s="438"/>
      <c r="V26" s="438"/>
      <c r="W26" s="438"/>
    </row>
    <row r="27" spans="2:24" s="368" customFormat="1" ht="16" customHeight="1">
      <c r="B27" s="427">
        <v>18</v>
      </c>
      <c r="C27" s="424" t="s">
        <v>175</v>
      </c>
      <c r="D27" s="425">
        <f>360-E27</f>
        <v>250.6</v>
      </c>
      <c r="E27" s="425">
        <v>109.4</v>
      </c>
      <c r="F27" s="426">
        <v>61</v>
      </c>
      <c r="G27" s="465" t="s">
        <v>295</v>
      </c>
      <c r="H27" s="425">
        <f>1210-D27-E27-I27</f>
        <v>560.5</v>
      </c>
      <c r="I27" s="425">
        <v>289.5</v>
      </c>
      <c r="J27" s="426">
        <v>14</v>
      </c>
      <c r="K27" s="427" t="s">
        <v>1589</v>
      </c>
      <c r="L27" s="425">
        <f>4938.7-M27-I27-H27-E27-D27</f>
        <v>868.29999999999961</v>
      </c>
      <c r="M27" s="425">
        <f>3259.3-I27-E27</f>
        <v>2860.4</v>
      </c>
      <c r="N27" s="427" t="s">
        <v>1564</v>
      </c>
      <c r="O27" s="428">
        <f t="shared" si="3"/>
        <v>4938.7</v>
      </c>
      <c r="P27" s="429">
        <v>4123.1000000000004</v>
      </c>
      <c r="Q27" s="430" t="s">
        <v>1657</v>
      </c>
      <c r="S27" s="436" t="s">
        <v>1658</v>
      </c>
      <c r="T27" s="437"/>
      <c r="U27" s="438"/>
      <c r="V27" s="438"/>
      <c r="W27" s="438"/>
    </row>
    <row r="28" spans="2:24" s="368" customFormat="1" ht="16" customHeight="1">
      <c r="B28" s="427">
        <v>19</v>
      </c>
      <c r="C28" s="424" t="s">
        <v>176</v>
      </c>
      <c r="D28" s="425">
        <f>658-E28</f>
        <v>565.9</v>
      </c>
      <c r="E28" s="425">
        <v>92.1</v>
      </c>
      <c r="F28" s="426">
        <v>97</v>
      </c>
      <c r="G28" s="465" t="s">
        <v>295</v>
      </c>
      <c r="H28" s="425">
        <f>1810-D28-E28-I28</f>
        <v>679.1</v>
      </c>
      <c r="I28" s="425">
        <v>472.9</v>
      </c>
      <c r="J28" s="426">
        <v>26</v>
      </c>
      <c r="K28" s="427" t="s">
        <v>1596</v>
      </c>
      <c r="L28" s="425">
        <f>15816-M28-I28-H28-E28-D28</f>
        <v>7023</v>
      </c>
      <c r="M28" s="425">
        <f>7548-I28-E28</f>
        <v>6983</v>
      </c>
      <c r="N28" s="465" t="s">
        <v>295</v>
      </c>
      <c r="O28" s="428">
        <f t="shared" si="3"/>
        <v>15816</v>
      </c>
      <c r="P28" s="429">
        <v>11094</v>
      </c>
      <c r="Q28" s="431" t="s">
        <v>54</v>
      </c>
      <c r="S28" s="439" t="s">
        <v>1659</v>
      </c>
      <c r="T28" s="440"/>
      <c r="U28" s="441"/>
      <c r="V28" s="441"/>
      <c r="W28" s="441"/>
    </row>
    <row r="29" spans="2:24" s="368" customFormat="1" ht="16" customHeight="1">
      <c r="B29" s="427">
        <v>20</v>
      </c>
      <c r="C29" s="424" t="s">
        <v>177</v>
      </c>
      <c r="D29" s="425">
        <f>908.5-E29</f>
        <v>677</v>
      </c>
      <c r="E29" s="425">
        <v>231.5</v>
      </c>
      <c r="F29" s="426">
        <v>81</v>
      </c>
      <c r="G29" s="465" t="s">
        <v>295</v>
      </c>
      <c r="H29" s="425">
        <f>2220-D29-E29-I29</f>
        <v>600.79999999999995</v>
      </c>
      <c r="I29" s="425">
        <v>710.7</v>
      </c>
      <c r="J29" s="426">
        <v>31</v>
      </c>
      <c r="K29" s="427" t="s">
        <v>1564</v>
      </c>
      <c r="L29" s="425">
        <f>2752.7-M29-I29-H29-E29-D29</f>
        <v>182.89999999999964</v>
      </c>
      <c r="M29" s="425">
        <f>1292-I29-E29</f>
        <v>349.79999999999995</v>
      </c>
      <c r="N29" s="427" t="s">
        <v>1589</v>
      </c>
      <c r="O29" s="428">
        <f t="shared" si="3"/>
        <v>2752.7</v>
      </c>
      <c r="P29" s="429">
        <v>2370.6</v>
      </c>
      <c r="Q29" s="548" t="s">
        <v>1492</v>
      </c>
      <c r="S29" s="439" t="s">
        <v>1592</v>
      </c>
      <c r="T29" s="440"/>
      <c r="U29" s="441"/>
      <c r="V29" s="441"/>
      <c r="W29" s="441"/>
    </row>
    <row r="30" spans="2:24" s="368" customFormat="1" ht="16" customHeight="1">
      <c r="B30" s="427">
        <v>21</v>
      </c>
      <c r="C30" s="424" t="s">
        <v>1567</v>
      </c>
      <c r="D30" s="425">
        <f>1072.7-E30</f>
        <v>887.40000000000009</v>
      </c>
      <c r="E30" s="425">
        <v>185.3</v>
      </c>
      <c r="F30" s="426">
        <v>95</v>
      </c>
      <c r="G30" s="465" t="s">
        <v>295</v>
      </c>
      <c r="H30" s="425">
        <f>2462-D30-E30-I30</f>
        <v>841.4</v>
      </c>
      <c r="I30" s="425">
        <v>547.9</v>
      </c>
      <c r="J30" s="426">
        <v>23</v>
      </c>
      <c r="K30" s="465" t="s">
        <v>295</v>
      </c>
      <c r="L30" s="425">
        <f>3219.7-M30-I30-H30-E30-D30</f>
        <v>441.19999999999959</v>
      </c>
      <c r="M30" s="425">
        <f>1049.7-I30-E30</f>
        <v>316.50000000000006</v>
      </c>
      <c r="N30" s="465" t="s">
        <v>295</v>
      </c>
      <c r="O30" s="428">
        <f t="shared" si="3"/>
        <v>3219.7</v>
      </c>
      <c r="P30" s="429">
        <v>2704.2</v>
      </c>
      <c r="Q30" s="548" t="s">
        <v>1503</v>
      </c>
      <c r="S30" s="439" t="s">
        <v>1327</v>
      </c>
      <c r="T30" s="440"/>
      <c r="U30" s="441"/>
      <c r="V30" s="441"/>
      <c r="W30" s="441"/>
    </row>
    <row r="31" spans="2:24" s="368" customFormat="1" ht="16" customHeight="1">
      <c r="B31" s="427">
        <v>22</v>
      </c>
      <c r="C31" s="424" t="s">
        <v>294</v>
      </c>
      <c r="D31" s="425">
        <f>323-E31</f>
        <v>249.3</v>
      </c>
      <c r="E31" s="425">
        <v>73.7</v>
      </c>
      <c r="F31" s="426">
        <v>74</v>
      </c>
      <c r="G31" s="465" t="s">
        <v>295</v>
      </c>
      <c r="H31" s="425">
        <f>1282-D31-E31-I31</f>
        <v>567.70000000000005</v>
      </c>
      <c r="I31" s="425">
        <v>391.3</v>
      </c>
      <c r="J31" s="426">
        <v>17</v>
      </c>
      <c r="K31" s="465" t="s">
        <v>295</v>
      </c>
      <c r="L31" s="425">
        <f>1627.8-M31-I31-H31-E31-D31</f>
        <v>243.59999999999991</v>
      </c>
      <c r="M31" s="425">
        <f>567.2-I31-E31</f>
        <v>102.20000000000003</v>
      </c>
      <c r="N31" s="465" t="s">
        <v>295</v>
      </c>
      <c r="O31" s="428">
        <f t="shared" si="3"/>
        <v>1627.8</v>
      </c>
      <c r="P31" s="429">
        <v>1140.0999999999999</v>
      </c>
      <c r="Q31" s="430"/>
      <c r="S31" s="439" t="s">
        <v>1336</v>
      </c>
      <c r="T31" s="440"/>
      <c r="U31" s="441"/>
      <c r="V31" s="441"/>
      <c r="W31" s="441"/>
    </row>
    <row r="32" spans="2:24" s="368" customFormat="1" ht="16" customHeight="1">
      <c r="B32" s="427">
        <v>23</v>
      </c>
      <c r="C32" s="424" t="s">
        <v>1557</v>
      </c>
      <c r="D32" s="425"/>
      <c r="E32" s="425"/>
      <c r="F32" s="426"/>
      <c r="G32" s="453"/>
      <c r="H32" s="425">
        <f>858-D32-E32-I32</f>
        <v>432.5</v>
      </c>
      <c r="I32" s="425">
        <v>425.5</v>
      </c>
      <c r="J32" s="426">
        <v>22</v>
      </c>
      <c r="K32" s="465" t="s">
        <v>295</v>
      </c>
      <c r="L32" s="425">
        <f>2257.7-M32-I32-H32-E32-D32</f>
        <v>1121.1999999999998</v>
      </c>
      <c r="M32" s="425">
        <f>704-I32-E32</f>
        <v>278.5</v>
      </c>
      <c r="N32" s="465" t="s">
        <v>295</v>
      </c>
      <c r="O32" s="428">
        <f t="shared" si="3"/>
        <v>2257.6999999999998</v>
      </c>
      <c r="P32" s="429">
        <v>1180</v>
      </c>
      <c r="Q32" s="430" t="s">
        <v>1660</v>
      </c>
      <c r="S32" s="439" t="s">
        <v>1661</v>
      </c>
      <c r="T32" s="440"/>
      <c r="U32" s="441"/>
      <c r="V32" s="441"/>
      <c r="W32" s="441"/>
    </row>
    <row r="33" spans="2:24" s="368" customFormat="1" ht="16" customHeight="1">
      <c r="B33" s="427">
        <v>24</v>
      </c>
      <c r="C33" s="424" t="s">
        <v>1558</v>
      </c>
      <c r="D33" s="425">
        <f>419-E33</f>
        <v>264.7</v>
      </c>
      <c r="E33" s="425">
        <v>154.30000000000001</v>
      </c>
      <c r="F33" s="426">
        <v>92</v>
      </c>
      <c r="G33" s="465" t="s">
        <v>295</v>
      </c>
      <c r="H33" s="425">
        <f>867-D33-E33-I33</f>
        <v>136.99999999999994</v>
      </c>
      <c r="I33" s="425">
        <v>311</v>
      </c>
      <c r="J33" s="426">
        <v>12</v>
      </c>
      <c r="K33" s="427" t="s">
        <v>1596</v>
      </c>
      <c r="L33" s="425">
        <f>12490.2-M33-I33-H33-E33-D33</f>
        <v>6872.2000000000007</v>
      </c>
      <c r="M33" s="425">
        <f>5216.3-I33-E33</f>
        <v>4751</v>
      </c>
      <c r="N33" s="465" t="s">
        <v>295</v>
      </c>
      <c r="O33" s="428">
        <f t="shared" si="3"/>
        <v>12490.2</v>
      </c>
      <c r="P33" s="429">
        <v>7282.4</v>
      </c>
      <c r="Q33" s="590" t="s">
        <v>1662</v>
      </c>
      <c r="S33" s="439" t="s">
        <v>1663</v>
      </c>
      <c r="T33" s="440"/>
      <c r="U33" s="441"/>
      <c r="V33" s="441"/>
      <c r="W33" s="441"/>
    </row>
    <row r="34" spans="2:24" s="368" customFormat="1" ht="16" customHeight="1">
      <c r="B34" s="427">
        <v>25</v>
      </c>
      <c r="C34" s="424" t="s">
        <v>175</v>
      </c>
      <c r="D34" s="425">
        <f>305-E34</f>
        <v>209.6</v>
      </c>
      <c r="E34" s="425">
        <v>95.4</v>
      </c>
      <c r="F34" s="426">
        <v>87</v>
      </c>
      <c r="G34" s="427" t="s">
        <v>1596</v>
      </c>
      <c r="H34" s="425">
        <f>1347-D34-E34-I34</f>
        <v>462.79999999999995</v>
      </c>
      <c r="I34" s="425">
        <v>579.20000000000005</v>
      </c>
      <c r="J34" s="426">
        <v>21</v>
      </c>
      <c r="K34" s="427" t="s">
        <v>1596</v>
      </c>
      <c r="L34" s="425">
        <f>3114-M34-I34-H34-E34-D34</f>
        <v>471.00000000000023</v>
      </c>
      <c r="M34" s="425">
        <f>1970.6-I34-E34</f>
        <v>1295.9999999999998</v>
      </c>
      <c r="N34" s="427" t="s">
        <v>1564</v>
      </c>
      <c r="O34" s="428">
        <f>SUM(D34:E34,H34:I34,L34:M34)</f>
        <v>3114</v>
      </c>
      <c r="P34" s="429">
        <v>2768.3</v>
      </c>
      <c r="Q34" s="548" t="s">
        <v>1664</v>
      </c>
      <c r="S34" s="439" t="s">
        <v>1665</v>
      </c>
      <c r="T34" s="440"/>
      <c r="U34" s="441"/>
      <c r="V34" s="441"/>
      <c r="W34" s="441"/>
    </row>
    <row r="35" spans="2:24" s="368" customFormat="1" ht="16" customHeight="1">
      <c r="B35" s="427">
        <v>26</v>
      </c>
      <c r="C35" s="424" t="s">
        <v>176</v>
      </c>
      <c r="D35" s="425">
        <v>718</v>
      </c>
      <c r="E35" s="425">
        <v>103.1</v>
      </c>
      <c r="F35" s="426">
        <v>109</v>
      </c>
      <c r="G35" s="465" t="s">
        <v>295</v>
      </c>
      <c r="H35" s="425">
        <f>2135-D35-E35-I35</f>
        <v>679.2</v>
      </c>
      <c r="I35" s="425">
        <v>634.70000000000005</v>
      </c>
      <c r="J35" s="426">
        <v>27</v>
      </c>
      <c r="K35" s="427" t="s">
        <v>1589</v>
      </c>
      <c r="L35" s="425">
        <f>5743.8-M35-I35-H35-E35-D35</f>
        <v>2079.8000000000006</v>
      </c>
      <c r="M35" s="425">
        <f>2266.8-I35-E35</f>
        <v>1529.0000000000002</v>
      </c>
      <c r="N35" s="427" t="s">
        <v>1589</v>
      </c>
      <c r="O35" s="428">
        <f t="shared" si="3"/>
        <v>5743.8000000000011</v>
      </c>
      <c r="P35" s="429">
        <v>3927.2</v>
      </c>
      <c r="Q35" s="548" t="s">
        <v>1666</v>
      </c>
      <c r="S35" s="439" t="s">
        <v>1667</v>
      </c>
      <c r="T35" s="440"/>
      <c r="U35" s="441"/>
      <c r="V35" s="441"/>
      <c r="W35" s="441"/>
    </row>
    <row r="36" spans="2:24" s="368" customFormat="1" ht="16" customHeight="1">
      <c r="B36" s="427">
        <v>27</v>
      </c>
      <c r="C36" s="424" t="s">
        <v>177</v>
      </c>
      <c r="D36" s="425">
        <f>1977-E36</f>
        <v>1376.8</v>
      </c>
      <c r="E36" s="425">
        <v>600.20000000000005</v>
      </c>
      <c r="F36" s="426">
        <v>204</v>
      </c>
      <c r="G36" s="465" t="s">
        <v>295</v>
      </c>
      <c r="H36" s="425">
        <f>3184-D36-E36-I36</f>
        <v>613.20000000000005</v>
      </c>
      <c r="I36" s="425">
        <v>593.79999999999995</v>
      </c>
      <c r="J36" s="426">
        <v>29</v>
      </c>
      <c r="K36" s="465" t="s">
        <v>295</v>
      </c>
      <c r="L36" s="425">
        <f>4565.5-M36-I36-H36-E36-D36</f>
        <v>569</v>
      </c>
      <c r="M36" s="425">
        <f>2006.5-I36-E36</f>
        <v>812.5</v>
      </c>
      <c r="N36" s="465" t="s">
        <v>295</v>
      </c>
      <c r="O36" s="428">
        <f t="shared" si="3"/>
        <v>4565.5</v>
      </c>
      <c r="P36" s="429">
        <v>3777</v>
      </c>
      <c r="Q36" s="548" t="s">
        <v>1668</v>
      </c>
      <c r="S36" s="439" t="s">
        <v>1669</v>
      </c>
      <c r="T36" s="440"/>
      <c r="U36" s="441"/>
      <c r="V36" s="441"/>
      <c r="W36" s="441"/>
    </row>
    <row r="37" spans="2:24" s="368" customFormat="1" ht="16" customHeight="1">
      <c r="B37" s="427">
        <v>28</v>
      </c>
      <c r="C37" s="424" t="s">
        <v>1567</v>
      </c>
      <c r="D37" s="425"/>
      <c r="E37" s="425"/>
      <c r="F37" s="426"/>
      <c r="G37" s="453"/>
      <c r="H37" s="425"/>
      <c r="I37" s="425"/>
      <c r="J37" s="426"/>
      <c r="K37" s="453"/>
      <c r="L37" s="425"/>
      <c r="M37" s="425"/>
      <c r="N37" s="453"/>
      <c r="O37" s="428"/>
      <c r="P37" s="429"/>
      <c r="Q37" s="430"/>
      <c r="S37" s="439" t="s">
        <v>1670</v>
      </c>
      <c r="T37" s="440"/>
      <c r="U37" s="441"/>
      <c r="V37" s="441"/>
      <c r="W37" s="441"/>
    </row>
    <row r="38" spans="2:24" s="368" customFormat="1" ht="17" customHeight="1">
      <c r="B38" s="427">
        <v>29</v>
      </c>
      <c r="C38" s="424" t="s">
        <v>294</v>
      </c>
      <c r="D38" s="425">
        <f>363-E38</f>
        <v>244</v>
      </c>
      <c r="E38" s="425">
        <v>119</v>
      </c>
      <c r="F38" s="426">
        <v>64</v>
      </c>
      <c r="G38" s="465" t="s">
        <v>295</v>
      </c>
      <c r="H38" s="425">
        <f>920-D38-E38-I38</f>
        <v>184.3</v>
      </c>
      <c r="I38" s="425">
        <v>372.7</v>
      </c>
      <c r="J38" s="426">
        <v>19</v>
      </c>
      <c r="K38" s="465" t="s">
        <v>295</v>
      </c>
      <c r="L38" s="425">
        <f>1454.4-M38-I38-H38-E38-D38</f>
        <v>240.90000000000009</v>
      </c>
      <c r="M38" s="425">
        <f>785.2-I38-E38</f>
        <v>293.50000000000006</v>
      </c>
      <c r="N38" s="465" t="s">
        <v>295</v>
      </c>
      <c r="O38" s="428">
        <f t="shared" si="3"/>
        <v>1454.4</v>
      </c>
      <c r="P38" s="429">
        <v>1103.7</v>
      </c>
      <c r="Q38" s="430"/>
      <c r="S38" s="439" t="s">
        <v>1671</v>
      </c>
      <c r="T38" s="440"/>
      <c r="U38" s="441"/>
      <c r="V38" s="441"/>
      <c r="W38" s="441"/>
    </row>
    <row r="39" spans="2:24" s="272" customFormat="1">
      <c r="B39" s="427">
        <v>30</v>
      </c>
      <c r="C39" s="424" t="s">
        <v>1557</v>
      </c>
      <c r="D39" s="425">
        <f>217-E39</f>
        <v>203.8</v>
      </c>
      <c r="E39" s="425">
        <v>13.2</v>
      </c>
      <c r="F39" s="426">
        <v>55</v>
      </c>
      <c r="G39" s="465" t="s">
        <v>295</v>
      </c>
      <c r="H39" s="425">
        <f>849-D39-E39-I39</f>
        <v>405.2</v>
      </c>
      <c r="I39" s="425">
        <v>226.8</v>
      </c>
      <c r="J39" s="426">
        <v>15</v>
      </c>
      <c r="K39" s="465" t="s">
        <v>295</v>
      </c>
      <c r="L39" s="425">
        <f>2813.2+700-M39-I39-H39-E39-D39</f>
        <v>644.59999999999991</v>
      </c>
      <c r="M39" s="425">
        <f>2259.6-I39-E39</f>
        <v>2019.6</v>
      </c>
      <c r="N39" s="465" t="s">
        <v>295</v>
      </c>
      <c r="O39" s="428">
        <f t="shared" si="3"/>
        <v>3513.2</v>
      </c>
      <c r="P39" s="429">
        <v>2219</v>
      </c>
      <c r="Q39" s="430" t="s">
        <v>1672</v>
      </c>
      <c r="S39" s="439"/>
      <c r="T39" s="440"/>
      <c r="U39" s="441"/>
      <c r="V39" s="459"/>
      <c r="W39" s="459"/>
      <c r="X39" s="368"/>
    </row>
    <row r="40" spans="2:24" s="272" customFormat="1">
      <c r="B40" s="238"/>
      <c r="C40" s="238"/>
      <c r="D40" s="237"/>
      <c r="E40" s="237"/>
      <c r="F40" s="237"/>
      <c r="G40" s="234"/>
      <c r="H40" s="234"/>
      <c r="I40" s="234"/>
      <c r="J40" s="234"/>
      <c r="K40" s="234"/>
      <c r="L40" s="237"/>
      <c r="M40" s="237"/>
      <c r="N40" s="234"/>
      <c r="O40" s="239"/>
      <c r="P40" s="239"/>
      <c r="S40" s="439" t="s">
        <v>1673</v>
      </c>
      <c r="T40" s="440"/>
      <c r="U40" s="459"/>
      <c r="V40" s="441"/>
      <c r="W40" s="441"/>
    </row>
    <row r="41" spans="2:24" s="272" customFormat="1">
      <c r="B41" s="238"/>
      <c r="C41" s="238"/>
      <c r="D41" s="237"/>
      <c r="E41" s="237"/>
      <c r="F41" s="237"/>
      <c r="G41" s="234"/>
      <c r="H41" s="234"/>
      <c r="I41" s="234"/>
      <c r="J41" s="234"/>
      <c r="K41" s="234"/>
      <c r="L41" s="237"/>
      <c r="M41" s="237"/>
      <c r="N41" s="234"/>
      <c r="O41" s="239"/>
      <c r="P41" s="239"/>
      <c r="S41" s="442" t="s">
        <v>1674</v>
      </c>
      <c r="T41" s="443"/>
      <c r="U41" s="444"/>
      <c r="V41" s="444"/>
      <c r="W41" s="444"/>
    </row>
    <row r="42" spans="2:24" s="272" customFormat="1">
      <c r="B42" s="1002" t="s">
        <v>1675</v>
      </c>
      <c r="C42" s="1002"/>
      <c r="D42" s="1002"/>
      <c r="E42" s="1002"/>
      <c r="F42" s="1002"/>
      <c r="G42" s="1002"/>
      <c r="H42" s="1002"/>
      <c r="I42" s="1002"/>
      <c r="J42" s="1002"/>
      <c r="K42" s="1002"/>
      <c r="L42" s="1002"/>
      <c r="M42" s="1002"/>
      <c r="N42" s="1002"/>
      <c r="O42" s="1002"/>
      <c r="P42" s="1002"/>
      <c r="Q42" s="1002"/>
      <c r="S42" s="455" t="s">
        <v>130</v>
      </c>
      <c r="T42" s="456"/>
      <c r="U42" s="448">
        <f>SUM(U19:U41)</f>
        <v>0</v>
      </c>
      <c r="V42" s="448">
        <f>SUM(V19:V41)</f>
        <v>0</v>
      </c>
      <c r="W42" s="448">
        <f>SUM(W19:W41)</f>
        <v>0</v>
      </c>
    </row>
    <row r="43" spans="2:24" s="272" customFormat="1">
      <c r="B43" s="1003"/>
      <c r="C43" s="1003"/>
      <c r="D43" s="1003"/>
      <c r="E43" s="1003"/>
      <c r="F43" s="1003"/>
      <c r="G43" s="1003"/>
      <c r="H43" s="1003"/>
      <c r="I43" s="1003"/>
      <c r="J43" s="1003"/>
      <c r="K43" s="1003"/>
      <c r="L43" s="1003"/>
      <c r="M43" s="1003"/>
      <c r="N43" s="1003"/>
      <c r="O43" s="1003"/>
      <c r="P43" s="1003"/>
      <c r="Q43" s="1003"/>
    </row>
    <row r="44" spans="2:24" s="272" customFormat="1">
      <c r="B44" s="460">
        <v>24</v>
      </c>
      <c r="C44" s="461" t="s">
        <v>1558</v>
      </c>
      <c r="D44" s="425"/>
      <c r="E44" s="425"/>
      <c r="F44" s="426"/>
      <c r="G44" s="453"/>
      <c r="H44" s="425"/>
      <c r="I44" s="425"/>
      <c r="J44" s="426"/>
      <c r="K44" s="453"/>
      <c r="L44" s="425">
        <f>77.5-M44-I44-H44-E44-D44</f>
        <v>77.5</v>
      </c>
      <c r="M44" s="425">
        <f t="shared" ref="M44" si="5">-I44-E44</f>
        <v>0</v>
      </c>
      <c r="N44" s="427" t="s">
        <v>1596</v>
      </c>
      <c r="O44" s="428">
        <f>627.5-550</f>
        <v>77.5</v>
      </c>
      <c r="P44" s="462">
        <v>0</v>
      </c>
      <c r="Q44" s="463"/>
    </row>
    <row r="45" spans="2:24" s="272" customFormat="1">
      <c r="B45" s="460">
        <v>25</v>
      </c>
      <c r="C45" s="461" t="s">
        <v>175</v>
      </c>
      <c r="D45" s="425">
        <f t="shared" ref="D45:D46" si="6">-E45</f>
        <v>0</v>
      </c>
      <c r="E45" s="425"/>
      <c r="F45" s="426"/>
      <c r="G45" s="427" t="s">
        <v>1596</v>
      </c>
      <c r="H45" s="425">
        <f t="shared" ref="H45:H46" si="7">-D45-E45-I45</f>
        <v>0</v>
      </c>
      <c r="I45" s="425"/>
      <c r="J45" s="426"/>
      <c r="K45" s="427" t="s">
        <v>1564</v>
      </c>
      <c r="L45" s="425">
        <f t="shared" ref="L45:L46" si="8">-M45-I45-H45-E45-D45</f>
        <v>0</v>
      </c>
      <c r="M45" s="425">
        <f t="shared" ref="M45:M46" si="9">-I45-E45</f>
        <v>0</v>
      </c>
      <c r="N45" s="427" t="s">
        <v>1564</v>
      </c>
      <c r="O45" s="428">
        <v>1160.5</v>
      </c>
      <c r="P45" s="462">
        <v>0</v>
      </c>
      <c r="Q45" s="463"/>
    </row>
    <row r="46" spans="2:24" s="272" customFormat="1">
      <c r="B46" s="460">
        <v>26</v>
      </c>
      <c r="C46" s="461" t="s">
        <v>176</v>
      </c>
      <c r="D46" s="425">
        <f t="shared" si="6"/>
        <v>0</v>
      </c>
      <c r="E46" s="425"/>
      <c r="F46" s="426"/>
      <c r="G46" s="427" t="s">
        <v>1564</v>
      </c>
      <c r="H46" s="425">
        <f t="shared" si="7"/>
        <v>0</v>
      </c>
      <c r="I46" s="425"/>
      <c r="J46" s="426"/>
      <c r="K46" s="427" t="s">
        <v>1564</v>
      </c>
      <c r="L46" s="425">
        <f t="shared" si="8"/>
        <v>0</v>
      </c>
      <c r="M46" s="425">
        <f t="shared" si="9"/>
        <v>0</v>
      </c>
      <c r="N46" s="427" t="s">
        <v>1564</v>
      </c>
      <c r="O46" s="428">
        <v>8481</v>
      </c>
      <c r="P46" s="462">
        <v>1286.5</v>
      </c>
      <c r="Q46" s="463"/>
    </row>
    <row r="47" spans="2:24" s="272" customFormat="1">
      <c r="B47" s="460">
        <v>27</v>
      </c>
      <c r="C47" s="461" t="s">
        <v>177</v>
      </c>
      <c r="D47" s="425">
        <f>9630-E47</f>
        <v>6093</v>
      </c>
      <c r="E47" s="425">
        <v>3537</v>
      </c>
      <c r="F47" s="426" t="s">
        <v>117</v>
      </c>
      <c r="G47" s="465" t="s">
        <v>295</v>
      </c>
      <c r="H47" s="425">
        <f>18987.1-D47-E47-I47</f>
        <v>6713.5999999999985</v>
      </c>
      <c r="I47" s="425">
        <f>6180.5-E47</f>
        <v>2643.5</v>
      </c>
      <c r="J47" s="426" t="s">
        <v>117</v>
      </c>
      <c r="K47" s="465" t="s">
        <v>295</v>
      </c>
      <c r="L47" s="425"/>
      <c r="M47" s="425"/>
      <c r="N47" s="453"/>
      <c r="O47" s="428">
        <v>18987.099999999999</v>
      </c>
      <c r="P47" s="462">
        <v>2982.13</v>
      </c>
      <c r="Q47" s="464"/>
    </row>
    <row r="48" spans="2:24" s="595" customFormat="1" ht="20" customHeight="1">
      <c r="B48" s="591"/>
      <c r="C48" s="591"/>
      <c r="D48" s="592"/>
      <c r="E48" s="592"/>
      <c r="F48" s="592"/>
      <c r="G48" s="593"/>
      <c r="H48" s="593"/>
      <c r="I48" s="593"/>
      <c r="J48" s="593"/>
      <c r="K48" s="593"/>
      <c r="L48" s="601" t="s">
        <v>1676</v>
      </c>
      <c r="M48" s="601">
        <f>3912+1393</f>
        <v>5305</v>
      </c>
      <c r="N48" s="593"/>
      <c r="O48" s="594">
        <f>SUM(O44:O47)</f>
        <v>28706.1</v>
      </c>
      <c r="P48" s="603">
        <f>SUM(P44:P47)</f>
        <v>4268.63</v>
      </c>
      <c r="Q48" s="602" t="s">
        <v>1677</v>
      </c>
    </row>
    <row r="49" spans="2:16" s="272" customFormat="1">
      <c r="B49" s="238"/>
      <c r="C49" s="238"/>
      <c r="D49" s="237"/>
      <c r="E49" s="237"/>
      <c r="F49" s="237"/>
      <c r="G49" s="234"/>
      <c r="H49" s="234"/>
      <c r="I49" s="234"/>
      <c r="J49" s="234"/>
      <c r="K49" s="234"/>
      <c r="L49" s="237"/>
      <c r="M49" s="237"/>
      <c r="N49" s="234"/>
      <c r="O49" s="239"/>
      <c r="P49" s="239"/>
    </row>
    <row r="50" spans="2:16" s="272" customFormat="1">
      <c r="B50" s="238"/>
      <c r="C50" s="238"/>
      <c r="D50" s="237"/>
      <c r="E50" s="237"/>
      <c r="F50" s="237"/>
      <c r="G50" s="234"/>
      <c r="H50" s="234"/>
      <c r="I50" s="234"/>
      <c r="J50" s="234"/>
      <c r="K50" s="234"/>
      <c r="L50" s="237"/>
      <c r="M50" s="237"/>
      <c r="N50" s="234"/>
      <c r="O50" s="239"/>
      <c r="P50" s="239"/>
    </row>
    <row r="51" spans="2:16" s="272" customFormat="1">
      <c r="B51" s="238"/>
      <c r="C51" s="238"/>
      <c r="D51" s="237"/>
      <c r="E51" s="237"/>
      <c r="F51" s="237"/>
      <c r="G51" s="234"/>
      <c r="H51" s="234"/>
      <c r="I51" s="234"/>
      <c r="J51" s="234"/>
      <c r="K51" s="234"/>
      <c r="L51" s="237"/>
      <c r="M51" s="237"/>
      <c r="N51" s="234"/>
      <c r="O51" s="239"/>
      <c r="P51" s="239"/>
    </row>
    <row r="52" spans="2:16" s="272" customFormat="1">
      <c r="B52" s="238"/>
      <c r="C52" s="238"/>
      <c r="D52" s="237"/>
      <c r="E52" s="237"/>
      <c r="F52" s="237"/>
      <c r="G52" s="234"/>
      <c r="H52" s="234"/>
      <c r="I52" s="234"/>
      <c r="J52" s="234"/>
      <c r="K52" s="234"/>
      <c r="L52" s="237"/>
      <c r="M52" s="237"/>
      <c r="N52" s="234"/>
      <c r="O52" s="239"/>
      <c r="P52" s="239"/>
    </row>
    <row r="53" spans="2:16" s="272" customFormat="1">
      <c r="B53" s="238"/>
      <c r="C53" s="238"/>
      <c r="D53" s="237"/>
      <c r="E53" s="237"/>
      <c r="F53" s="237"/>
      <c r="G53" s="234"/>
      <c r="H53" s="234"/>
      <c r="I53" s="234"/>
      <c r="J53" s="234"/>
      <c r="K53" s="234"/>
      <c r="L53" s="237"/>
      <c r="M53" s="237"/>
      <c r="N53" s="234"/>
      <c r="O53" s="239"/>
      <c r="P53" s="239"/>
    </row>
    <row r="54" spans="2:16" s="272" customFormat="1">
      <c r="B54" s="238"/>
      <c r="C54" s="238"/>
      <c r="D54" s="237"/>
      <c r="E54" s="237"/>
      <c r="F54" s="237"/>
      <c r="G54" s="234"/>
      <c r="H54" s="234"/>
      <c r="I54" s="234"/>
      <c r="J54" s="234"/>
      <c r="K54" s="234"/>
      <c r="L54" s="237"/>
      <c r="M54" s="237"/>
      <c r="N54" s="234"/>
      <c r="O54" s="239"/>
      <c r="P54" s="239"/>
    </row>
    <row r="55" spans="2:16" s="272" customFormat="1">
      <c r="B55" s="238"/>
      <c r="C55" s="238"/>
      <c r="D55" s="237"/>
      <c r="E55" s="237"/>
      <c r="F55" s="237"/>
      <c r="G55" s="234"/>
      <c r="H55" s="234"/>
      <c r="I55" s="234"/>
      <c r="J55" s="234"/>
      <c r="K55" s="234"/>
      <c r="L55" s="237"/>
      <c r="M55" s="237"/>
      <c r="N55" s="234"/>
      <c r="O55" s="239"/>
      <c r="P55" s="239"/>
    </row>
    <row r="56" spans="2:16" s="272" customFormat="1">
      <c r="B56" s="238"/>
      <c r="C56" s="238"/>
      <c r="D56" s="237"/>
      <c r="E56" s="237"/>
      <c r="F56" s="237"/>
      <c r="G56" s="234"/>
      <c r="H56" s="234"/>
      <c r="I56" s="234"/>
      <c r="J56" s="234"/>
      <c r="K56" s="234"/>
      <c r="L56" s="237"/>
      <c r="M56" s="237"/>
      <c r="N56" s="234"/>
      <c r="O56" s="239"/>
      <c r="P56" s="239"/>
    </row>
    <row r="57" spans="2:16" s="272" customFormat="1">
      <c r="B57" s="238"/>
      <c r="C57" s="238"/>
      <c r="D57" s="237"/>
      <c r="E57" s="237"/>
      <c r="F57" s="237"/>
      <c r="G57" s="234"/>
      <c r="H57" s="234"/>
      <c r="I57" s="234"/>
      <c r="J57" s="234"/>
      <c r="K57" s="234"/>
      <c r="L57" s="237"/>
      <c r="M57" s="237"/>
      <c r="N57" s="234"/>
      <c r="O57" s="239"/>
      <c r="P57" s="239"/>
    </row>
    <row r="58" spans="2:16" s="272" customFormat="1">
      <c r="B58" s="238"/>
      <c r="C58" s="238"/>
      <c r="D58" s="237"/>
      <c r="E58" s="237"/>
      <c r="F58" s="237"/>
      <c r="G58" s="234"/>
      <c r="H58" s="234"/>
      <c r="I58" s="234"/>
      <c r="J58" s="234"/>
      <c r="K58" s="234"/>
      <c r="L58" s="237"/>
      <c r="M58" s="237"/>
      <c r="N58" s="234"/>
      <c r="O58" s="239"/>
      <c r="P58" s="239"/>
    </row>
    <row r="59" spans="2:16" s="272" customFormat="1">
      <c r="B59" s="238"/>
      <c r="C59" s="238"/>
      <c r="D59" s="237"/>
      <c r="E59" s="237"/>
      <c r="F59" s="237"/>
      <c r="G59" s="234"/>
      <c r="H59" s="234"/>
      <c r="I59" s="234"/>
      <c r="J59" s="234"/>
      <c r="K59" s="234"/>
      <c r="L59" s="237"/>
      <c r="M59" s="237"/>
      <c r="N59" s="234"/>
      <c r="O59" s="239"/>
      <c r="P59" s="239"/>
    </row>
    <row r="60" spans="2:16" s="272" customFormat="1">
      <c r="B60" s="238"/>
      <c r="C60" s="238"/>
      <c r="D60" s="237"/>
      <c r="E60" s="237"/>
      <c r="F60" s="237"/>
      <c r="G60" s="234"/>
      <c r="H60" s="234"/>
      <c r="I60" s="234"/>
      <c r="J60" s="234"/>
      <c r="K60" s="234"/>
      <c r="L60" s="237"/>
      <c r="M60" s="237"/>
      <c r="N60" s="234"/>
      <c r="O60" s="239"/>
      <c r="P60" s="239"/>
    </row>
    <row r="61" spans="2:16" s="272" customFormat="1">
      <c r="B61" s="238"/>
      <c r="C61" s="238"/>
      <c r="D61" s="237"/>
      <c r="E61" s="237"/>
      <c r="F61" s="237"/>
      <c r="G61" s="234"/>
      <c r="H61" s="234"/>
      <c r="I61" s="234"/>
      <c r="J61" s="234"/>
      <c r="K61" s="234"/>
      <c r="L61" s="237"/>
      <c r="M61" s="237"/>
      <c r="N61" s="234"/>
      <c r="O61" s="239"/>
      <c r="P61" s="239"/>
    </row>
    <row r="62" spans="2:16" s="272" customFormat="1">
      <c r="B62" s="238"/>
      <c r="C62" s="238"/>
      <c r="D62" s="237"/>
      <c r="E62" s="237"/>
      <c r="F62" s="237"/>
      <c r="G62" s="234"/>
      <c r="H62" s="234"/>
      <c r="I62" s="234"/>
      <c r="J62" s="234"/>
      <c r="K62" s="234"/>
      <c r="L62" s="237"/>
      <c r="M62" s="237"/>
      <c r="N62" s="234"/>
      <c r="O62" s="239"/>
      <c r="P62" s="239"/>
    </row>
    <row r="63" spans="2:16" s="272" customFormat="1">
      <c r="B63" s="238"/>
      <c r="C63" s="238"/>
      <c r="D63" s="237"/>
      <c r="E63" s="237"/>
      <c r="F63" s="237"/>
      <c r="G63" s="234"/>
      <c r="H63" s="234"/>
      <c r="I63" s="234"/>
      <c r="J63" s="234"/>
      <c r="K63" s="234"/>
      <c r="L63" s="237"/>
      <c r="M63" s="237"/>
      <c r="N63" s="234"/>
      <c r="O63" s="239"/>
      <c r="P63" s="239"/>
    </row>
    <row r="64" spans="2:16" s="272" customFormat="1">
      <c r="B64" s="238"/>
      <c r="C64" s="238"/>
      <c r="D64" s="237"/>
      <c r="E64" s="237"/>
      <c r="F64" s="237"/>
      <c r="G64" s="234"/>
      <c r="H64" s="234"/>
      <c r="I64" s="234"/>
      <c r="J64" s="234"/>
      <c r="K64" s="234"/>
      <c r="L64" s="237"/>
      <c r="M64" s="237"/>
      <c r="N64" s="234"/>
      <c r="O64" s="239"/>
      <c r="P64" s="239"/>
    </row>
    <row r="65" spans="2:16" s="272" customFormat="1">
      <c r="B65" s="238"/>
      <c r="C65" s="238"/>
      <c r="D65" s="237"/>
      <c r="E65" s="237"/>
      <c r="F65" s="237"/>
      <c r="G65" s="234"/>
      <c r="H65" s="234"/>
      <c r="I65" s="234"/>
      <c r="J65" s="234"/>
      <c r="K65" s="234"/>
      <c r="L65" s="237"/>
      <c r="M65" s="237"/>
      <c r="N65" s="234"/>
      <c r="O65" s="239"/>
      <c r="P65" s="239"/>
    </row>
    <row r="66" spans="2:16" s="272" customFormat="1">
      <c r="B66" s="238"/>
      <c r="C66" s="238"/>
      <c r="D66" s="237"/>
      <c r="E66" s="237"/>
      <c r="F66" s="237"/>
      <c r="G66" s="234"/>
      <c r="H66" s="234"/>
      <c r="I66" s="234"/>
      <c r="J66" s="234"/>
      <c r="K66" s="234"/>
      <c r="L66" s="237"/>
      <c r="M66" s="237"/>
      <c r="N66" s="234"/>
      <c r="O66" s="239"/>
      <c r="P66" s="239"/>
    </row>
    <row r="67" spans="2:16" s="272" customFormat="1">
      <c r="B67" s="238"/>
      <c r="C67" s="238"/>
      <c r="D67" s="237"/>
      <c r="E67" s="237"/>
      <c r="F67" s="237"/>
      <c r="G67" s="234"/>
      <c r="H67" s="234"/>
      <c r="I67" s="234"/>
      <c r="J67" s="234"/>
      <c r="K67" s="234"/>
      <c r="L67" s="237"/>
      <c r="M67" s="237"/>
      <c r="N67" s="234"/>
      <c r="O67" s="239"/>
      <c r="P67" s="239"/>
    </row>
    <row r="68" spans="2:16" s="272" customFormat="1">
      <c r="B68" s="238"/>
      <c r="C68" s="238"/>
      <c r="D68" s="237"/>
      <c r="E68" s="237"/>
      <c r="F68" s="237"/>
      <c r="G68" s="234"/>
      <c r="H68" s="234"/>
      <c r="I68" s="234"/>
      <c r="J68" s="234"/>
      <c r="K68" s="234"/>
      <c r="L68" s="237"/>
      <c r="M68" s="237"/>
      <c r="N68" s="234"/>
      <c r="O68" s="239"/>
      <c r="P68" s="239"/>
    </row>
    <row r="69" spans="2:16" s="272" customFormat="1">
      <c r="B69" s="238"/>
      <c r="C69" s="238"/>
      <c r="D69" s="237"/>
      <c r="E69" s="237"/>
      <c r="F69" s="237"/>
      <c r="G69" s="234"/>
      <c r="H69" s="234"/>
      <c r="I69" s="234"/>
      <c r="J69" s="234"/>
      <c r="K69" s="234"/>
      <c r="L69" s="237"/>
      <c r="M69" s="237"/>
      <c r="N69" s="234"/>
      <c r="O69" s="239"/>
      <c r="P69" s="239"/>
    </row>
    <row r="70" spans="2:16" s="272" customFormat="1">
      <c r="B70" s="238"/>
      <c r="C70" s="238"/>
      <c r="D70" s="237"/>
      <c r="E70" s="237"/>
      <c r="F70" s="237"/>
      <c r="G70" s="234"/>
      <c r="H70" s="234"/>
      <c r="I70" s="234"/>
      <c r="J70" s="234"/>
      <c r="K70" s="234"/>
      <c r="L70" s="237"/>
      <c r="M70" s="237"/>
      <c r="N70" s="234"/>
      <c r="O70" s="239"/>
      <c r="P70" s="239"/>
    </row>
    <row r="71" spans="2:16" s="272" customFormat="1">
      <c r="B71" s="238"/>
      <c r="C71" s="238"/>
      <c r="D71" s="237"/>
      <c r="E71" s="237"/>
      <c r="F71" s="237"/>
      <c r="G71" s="234"/>
      <c r="H71" s="234"/>
      <c r="I71" s="234"/>
      <c r="J71" s="234"/>
      <c r="K71" s="234"/>
      <c r="L71" s="237"/>
      <c r="M71" s="237"/>
      <c r="N71" s="234"/>
      <c r="O71" s="239"/>
      <c r="P71" s="239"/>
    </row>
    <row r="72" spans="2:16" s="272" customFormat="1">
      <c r="B72" s="238"/>
      <c r="C72" s="238"/>
      <c r="D72" s="237"/>
      <c r="E72" s="237"/>
      <c r="F72" s="237"/>
      <c r="G72" s="234"/>
      <c r="H72" s="234"/>
      <c r="I72" s="234"/>
      <c r="J72" s="234"/>
      <c r="K72" s="234"/>
      <c r="L72" s="237"/>
      <c r="M72" s="237"/>
      <c r="N72" s="234"/>
      <c r="O72" s="239"/>
      <c r="P72" s="239"/>
    </row>
    <row r="73" spans="2:16" s="272" customFormat="1">
      <c r="B73" s="238"/>
      <c r="C73" s="238"/>
      <c r="D73" s="237"/>
      <c r="E73" s="237"/>
      <c r="F73" s="237"/>
      <c r="G73" s="234"/>
      <c r="H73" s="234"/>
      <c r="I73" s="234"/>
      <c r="J73" s="234"/>
      <c r="K73" s="234"/>
      <c r="L73" s="237"/>
      <c r="M73" s="237"/>
      <c r="N73" s="234"/>
      <c r="O73" s="239"/>
      <c r="P73" s="239"/>
    </row>
    <row r="74" spans="2:16" s="272" customFormat="1">
      <c r="B74" s="238"/>
      <c r="C74" s="238"/>
      <c r="D74" s="237"/>
      <c r="E74" s="237"/>
      <c r="F74" s="237"/>
      <c r="G74" s="234"/>
      <c r="H74" s="234"/>
      <c r="I74" s="234"/>
      <c r="J74" s="234"/>
      <c r="K74" s="234"/>
      <c r="L74" s="237"/>
      <c r="M74" s="237"/>
      <c r="N74" s="234"/>
      <c r="O74" s="239"/>
      <c r="P74" s="239"/>
    </row>
    <row r="75" spans="2:16" s="272" customFormat="1">
      <c r="B75" s="238"/>
      <c r="C75" s="238"/>
      <c r="D75" s="237"/>
      <c r="E75" s="237"/>
      <c r="F75" s="237"/>
      <c r="G75" s="234"/>
      <c r="H75" s="234"/>
      <c r="I75" s="234"/>
      <c r="J75" s="234"/>
      <c r="K75" s="234"/>
      <c r="L75" s="237"/>
      <c r="M75" s="237"/>
      <c r="N75" s="234"/>
      <c r="O75" s="239"/>
      <c r="P75" s="239"/>
    </row>
    <row r="76" spans="2:16" s="272" customFormat="1">
      <c r="B76" s="238"/>
      <c r="C76" s="238"/>
      <c r="D76" s="237"/>
      <c r="E76" s="237"/>
      <c r="F76" s="237"/>
      <c r="G76" s="234"/>
      <c r="H76" s="234"/>
      <c r="I76" s="234"/>
      <c r="J76" s="234"/>
      <c r="K76" s="234"/>
      <c r="L76" s="237"/>
      <c r="M76" s="237"/>
      <c r="N76" s="234"/>
      <c r="O76" s="239"/>
      <c r="P76" s="239"/>
    </row>
    <row r="77" spans="2:16" s="272" customFormat="1">
      <c r="B77" s="238"/>
      <c r="C77" s="238"/>
      <c r="D77" s="237"/>
      <c r="E77" s="237"/>
      <c r="F77" s="237"/>
      <c r="G77" s="234"/>
      <c r="H77" s="234"/>
      <c r="I77" s="234"/>
      <c r="J77" s="234"/>
      <c r="K77" s="234"/>
      <c r="L77" s="237"/>
      <c r="M77" s="237"/>
      <c r="N77" s="234"/>
      <c r="O77" s="239"/>
      <c r="P77" s="239"/>
    </row>
    <row r="78" spans="2:16" s="272" customFormat="1">
      <c r="B78" s="238"/>
      <c r="C78" s="238"/>
      <c r="D78" s="237"/>
      <c r="E78" s="237"/>
      <c r="F78" s="237"/>
      <c r="G78" s="234"/>
      <c r="H78" s="234"/>
      <c r="I78" s="234"/>
      <c r="J78" s="234"/>
      <c r="K78" s="234"/>
      <c r="L78" s="237"/>
      <c r="M78" s="237"/>
      <c r="N78" s="234"/>
      <c r="O78" s="239"/>
      <c r="P78" s="239"/>
    </row>
    <row r="79" spans="2:16" s="272" customFormat="1">
      <c r="B79" s="238"/>
      <c r="C79" s="238"/>
      <c r="D79" s="237"/>
      <c r="E79" s="237"/>
      <c r="F79" s="237"/>
      <c r="G79" s="234"/>
      <c r="H79" s="234"/>
      <c r="I79" s="234"/>
      <c r="J79" s="234"/>
      <c r="K79" s="234"/>
      <c r="L79" s="237"/>
      <c r="M79" s="237"/>
      <c r="N79" s="234"/>
      <c r="O79" s="239"/>
      <c r="P79" s="239"/>
    </row>
    <row r="80" spans="2:16" s="272" customFormat="1">
      <c r="B80" s="238"/>
      <c r="C80" s="238"/>
      <c r="D80" s="237"/>
      <c r="E80" s="237"/>
      <c r="F80" s="237"/>
      <c r="G80" s="234"/>
      <c r="H80" s="234"/>
      <c r="I80" s="234"/>
      <c r="J80" s="234"/>
      <c r="K80" s="234"/>
      <c r="L80" s="237"/>
      <c r="M80" s="237"/>
      <c r="N80" s="234"/>
      <c r="O80" s="239"/>
      <c r="P80" s="239"/>
    </row>
    <row r="81" spans="2:16" s="272" customFormat="1">
      <c r="B81" s="238"/>
      <c r="C81" s="238"/>
      <c r="D81" s="237"/>
      <c r="E81" s="237"/>
      <c r="F81" s="237"/>
      <c r="G81" s="234"/>
      <c r="H81" s="234"/>
      <c r="I81" s="234"/>
      <c r="J81" s="234"/>
      <c r="K81" s="234"/>
      <c r="L81" s="237"/>
      <c r="M81" s="237"/>
      <c r="N81" s="234"/>
      <c r="O81" s="239"/>
      <c r="P81" s="239"/>
    </row>
    <row r="82" spans="2:16" s="272" customFormat="1">
      <c r="B82" s="238"/>
      <c r="C82" s="238"/>
      <c r="D82" s="237"/>
      <c r="E82" s="237"/>
      <c r="F82" s="237"/>
      <c r="G82" s="234"/>
      <c r="H82" s="234"/>
      <c r="I82" s="234"/>
      <c r="J82" s="234"/>
      <c r="K82" s="234"/>
      <c r="L82" s="237"/>
      <c r="M82" s="237"/>
      <c r="N82" s="234"/>
      <c r="O82" s="239"/>
      <c r="P82" s="239"/>
    </row>
    <row r="83" spans="2:16" s="272" customFormat="1">
      <c r="B83" s="238"/>
      <c r="C83" s="238"/>
      <c r="D83" s="237"/>
      <c r="E83" s="237"/>
      <c r="F83" s="237"/>
      <c r="G83" s="234"/>
      <c r="H83" s="234"/>
      <c r="I83" s="234"/>
      <c r="J83" s="234"/>
      <c r="K83" s="234"/>
      <c r="L83" s="237"/>
      <c r="M83" s="237"/>
      <c r="N83" s="234"/>
      <c r="O83" s="239"/>
      <c r="P83" s="239"/>
    </row>
    <row r="84" spans="2:16" s="272" customFormat="1">
      <c r="B84" s="238"/>
      <c r="C84" s="238"/>
      <c r="D84" s="237"/>
      <c r="E84" s="237"/>
      <c r="F84" s="237"/>
      <c r="G84" s="234"/>
      <c r="H84" s="234"/>
      <c r="I84" s="234"/>
      <c r="J84" s="234"/>
      <c r="K84" s="234"/>
      <c r="L84" s="237"/>
      <c r="M84" s="237"/>
      <c r="N84" s="234"/>
      <c r="O84" s="239"/>
      <c r="P84" s="239"/>
    </row>
    <row r="85" spans="2:16" s="272" customFormat="1">
      <c r="B85" s="238"/>
      <c r="C85" s="238"/>
      <c r="D85" s="237"/>
      <c r="E85" s="237"/>
      <c r="F85" s="237"/>
      <c r="G85" s="234"/>
      <c r="H85" s="234"/>
      <c r="I85" s="234"/>
      <c r="J85" s="234"/>
      <c r="K85" s="234"/>
      <c r="L85" s="237"/>
      <c r="M85" s="237"/>
      <c r="N85" s="234"/>
      <c r="O85" s="239"/>
      <c r="P85" s="239"/>
    </row>
    <row r="86" spans="2:16" s="272" customFormat="1">
      <c r="B86" s="238"/>
      <c r="C86" s="238"/>
      <c r="D86" s="237"/>
      <c r="E86" s="237"/>
      <c r="F86" s="237"/>
      <c r="G86" s="234"/>
      <c r="H86" s="234"/>
      <c r="I86" s="234"/>
      <c r="J86" s="234"/>
      <c r="K86" s="234"/>
      <c r="L86" s="237"/>
      <c r="M86" s="237"/>
      <c r="N86" s="234"/>
      <c r="O86" s="239"/>
      <c r="P86" s="239"/>
    </row>
    <row r="87" spans="2:16" s="272" customFormat="1">
      <c r="B87" s="238"/>
      <c r="C87" s="238"/>
      <c r="D87" s="237"/>
      <c r="E87" s="237"/>
      <c r="F87" s="237"/>
      <c r="G87" s="234"/>
      <c r="H87" s="234"/>
      <c r="I87" s="234"/>
      <c r="J87" s="234"/>
      <c r="K87" s="234"/>
      <c r="L87" s="237"/>
      <c r="M87" s="237"/>
      <c r="N87" s="234"/>
      <c r="O87" s="239"/>
      <c r="P87" s="239"/>
    </row>
    <row r="88" spans="2:16" s="272" customFormat="1">
      <c r="B88" s="238"/>
      <c r="C88" s="238"/>
      <c r="D88" s="237"/>
      <c r="E88" s="237"/>
      <c r="F88" s="237"/>
      <c r="G88" s="234"/>
      <c r="H88" s="234"/>
      <c r="I88" s="234"/>
      <c r="J88" s="234"/>
      <c r="K88" s="234"/>
      <c r="L88" s="237"/>
      <c r="M88" s="237"/>
      <c r="N88" s="234"/>
      <c r="O88" s="239"/>
      <c r="P88" s="239"/>
    </row>
    <row r="89" spans="2:16" s="272" customFormat="1">
      <c r="B89" s="238"/>
      <c r="C89" s="238"/>
      <c r="D89" s="237"/>
      <c r="E89" s="237"/>
      <c r="F89" s="237"/>
      <c r="G89" s="234"/>
      <c r="H89" s="234"/>
      <c r="I89" s="234"/>
      <c r="J89" s="234"/>
      <c r="K89" s="234"/>
      <c r="L89" s="237"/>
      <c r="M89" s="237"/>
      <c r="N89" s="234"/>
      <c r="O89" s="239"/>
      <c r="P89" s="239"/>
    </row>
    <row r="90" spans="2:16" s="272" customFormat="1">
      <c r="B90" s="238"/>
      <c r="C90" s="238"/>
      <c r="D90" s="237"/>
      <c r="E90" s="237"/>
      <c r="F90" s="237"/>
      <c r="G90" s="234"/>
      <c r="H90" s="234"/>
      <c r="I90" s="234"/>
      <c r="J90" s="234"/>
      <c r="K90" s="234"/>
      <c r="L90" s="237"/>
      <c r="M90" s="237"/>
      <c r="N90" s="234"/>
      <c r="O90" s="239"/>
      <c r="P90" s="239"/>
    </row>
    <row r="91" spans="2:16" s="272" customFormat="1">
      <c r="B91" s="238"/>
      <c r="C91" s="238"/>
      <c r="D91" s="237"/>
      <c r="E91" s="237"/>
      <c r="F91" s="237"/>
      <c r="G91" s="234"/>
      <c r="H91" s="234"/>
      <c r="I91" s="234"/>
      <c r="J91" s="234"/>
      <c r="K91" s="234"/>
      <c r="L91" s="237"/>
      <c r="M91" s="237"/>
      <c r="N91" s="234"/>
      <c r="O91" s="239"/>
      <c r="P91" s="239"/>
    </row>
    <row r="92" spans="2:16" s="272" customFormat="1">
      <c r="B92" s="238"/>
      <c r="C92" s="238"/>
      <c r="D92" s="237"/>
      <c r="E92" s="237"/>
      <c r="F92" s="237"/>
      <c r="G92" s="234"/>
      <c r="H92" s="234"/>
      <c r="I92" s="234"/>
      <c r="J92" s="234"/>
      <c r="K92" s="234"/>
      <c r="L92" s="237"/>
      <c r="M92" s="237"/>
      <c r="N92" s="234"/>
      <c r="O92" s="239"/>
      <c r="P92" s="239"/>
    </row>
    <row r="93" spans="2:16" s="272" customFormat="1">
      <c r="B93" s="238"/>
      <c r="C93" s="238"/>
      <c r="D93" s="237"/>
      <c r="E93" s="237"/>
      <c r="F93" s="237"/>
      <c r="G93" s="234"/>
      <c r="H93" s="234"/>
      <c r="I93" s="234"/>
      <c r="J93" s="234"/>
      <c r="K93" s="234"/>
      <c r="L93" s="237"/>
      <c r="M93" s="237"/>
      <c r="N93" s="234"/>
      <c r="O93" s="239"/>
      <c r="P93" s="239"/>
    </row>
    <row r="94" spans="2:16" s="272" customFormat="1">
      <c r="B94" s="238"/>
      <c r="C94" s="238"/>
      <c r="D94" s="237"/>
      <c r="E94" s="237"/>
      <c r="F94" s="237"/>
      <c r="G94" s="234"/>
      <c r="H94" s="234"/>
      <c r="I94" s="234"/>
      <c r="J94" s="234"/>
      <c r="K94" s="234"/>
      <c r="L94" s="237"/>
      <c r="M94" s="237"/>
      <c r="N94" s="234"/>
      <c r="O94" s="239"/>
      <c r="P94" s="239"/>
    </row>
    <row r="95" spans="2:16" s="272" customFormat="1">
      <c r="B95" s="238"/>
      <c r="C95" s="238"/>
      <c r="D95" s="237"/>
      <c r="E95" s="237"/>
      <c r="F95" s="237"/>
      <c r="G95" s="234"/>
      <c r="H95" s="234"/>
      <c r="I95" s="234"/>
      <c r="J95" s="234"/>
      <c r="K95" s="234"/>
      <c r="L95" s="237"/>
      <c r="M95" s="237"/>
      <c r="N95" s="234"/>
      <c r="O95" s="239"/>
      <c r="P95" s="239"/>
    </row>
    <row r="96" spans="2:16" s="272" customFormat="1">
      <c r="B96" s="238"/>
      <c r="C96" s="238"/>
      <c r="D96" s="237"/>
      <c r="E96" s="237"/>
      <c r="F96" s="237"/>
      <c r="G96" s="234"/>
      <c r="H96" s="234"/>
      <c r="I96" s="234"/>
      <c r="J96" s="234"/>
      <c r="K96" s="234"/>
      <c r="L96" s="237"/>
      <c r="M96" s="237"/>
      <c r="N96" s="234"/>
      <c r="O96" s="239"/>
      <c r="P96" s="239"/>
    </row>
    <row r="97" spans="2:16" s="272" customFormat="1">
      <c r="B97" s="238"/>
      <c r="C97" s="238"/>
      <c r="D97" s="237"/>
      <c r="E97" s="237"/>
      <c r="F97" s="237"/>
      <c r="G97" s="234"/>
      <c r="H97" s="234"/>
      <c r="I97" s="234"/>
      <c r="J97" s="234"/>
      <c r="K97" s="234"/>
      <c r="L97" s="237"/>
      <c r="M97" s="237"/>
      <c r="N97" s="234"/>
      <c r="O97" s="239"/>
      <c r="P97" s="239"/>
    </row>
    <row r="98" spans="2:16" s="272" customFormat="1">
      <c r="B98" s="238"/>
      <c r="C98" s="238"/>
      <c r="D98" s="237"/>
      <c r="E98" s="237"/>
      <c r="F98" s="237"/>
      <c r="G98" s="234"/>
      <c r="H98" s="234"/>
      <c r="I98" s="234"/>
      <c r="J98" s="234"/>
      <c r="K98" s="234"/>
      <c r="L98" s="237"/>
      <c r="M98" s="237"/>
      <c r="N98" s="234"/>
      <c r="O98" s="239"/>
      <c r="P98" s="239"/>
    </row>
    <row r="99" spans="2:16" s="272" customFormat="1">
      <c r="B99" s="238"/>
      <c r="C99" s="238"/>
      <c r="D99" s="237"/>
      <c r="E99" s="237"/>
      <c r="F99" s="237"/>
      <c r="G99" s="234"/>
      <c r="H99" s="234"/>
      <c r="I99" s="234"/>
      <c r="J99" s="234"/>
      <c r="K99" s="234"/>
      <c r="L99" s="237"/>
      <c r="M99" s="237"/>
      <c r="N99" s="234"/>
      <c r="O99" s="239"/>
      <c r="P99" s="239"/>
    </row>
    <row r="100" spans="2:16" s="272" customFormat="1">
      <c r="B100" s="238"/>
      <c r="C100" s="238"/>
      <c r="D100" s="237"/>
      <c r="E100" s="237"/>
      <c r="F100" s="237"/>
      <c r="G100" s="234"/>
      <c r="H100" s="234"/>
      <c r="I100" s="234"/>
      <c r="J100" s="234"/>
      <c r="K100" s="234"/>
      <c r="L100" s="237"/>
      <c r="M100" s="237"/>
      <c r="N100" s="234"/>
      <c r="O100" s="239"/>
      <c r="P100" s="239"/>
    </row>
    <row r="101" spans="2:16" s="272" customFormat="1">
      <c r="B101" s="238"/>
      <c r="C101" s="238"/>
      <c r="D101" s="237"/>
      <c r="E101" s="237"/>
      <c r="F101" s="237"/>
      <c r="G101" s="234"/>
      <c r="H101" s="234"/>
      <c r="I101" s="234"/>
      <c r="J101" s="234"/>
      <c r="K101" s="234"/>
      <c r="L101" s="237"/>
      <c r="M101" s="237"/>
      <c r="N101" s="234"/>
      <c r="O101" s="239"/>
      <c r="P101" s="239"/>
    </row>
    <row r="102" spans="2:16" s="272" customFormat="1">
      <c r="B102" s="238"/>
      <c r="C102" s="238"/>
      <c r="D102" s="237"/>
      <c r="E102" s="237"/>
      <c r="F102" s="237"/>
      <c r="G102" s="234"/>
      <c r="H102" s="234"/>
      <c r="I102" s="234"/>
      <c r="J102" s="234"/>
      <c r="K102" s="234"/>
      <c r="L102" s="237"/>
      <c r="M102" s="237"/>
      <c r="N102" s="234"/>
      <c r="O102" s="239"/>
      <c r="P102" s="239"/>
    </row>
    <row r="103" spans="2:16" s="272" customFormat="1">
      <c r="B103" s="238"/>
      <c r="C103" s="238"/>
      <c r="D103" s="237"/>
      <c r="E103" s="237"/>
      <c r="F103" s="237"/>
      <c r="G103" s="234"/>
      <c r="H103" s="234"/>
      <c r="I103" s="234"/>
      <c r="J103" s="234"/>
      <c r="K103" s="234"/>
      <c r="L103" s="237"/>
      <c r="M103" s="237"/>
      <c r="N103" s="234"/>
      <c r="O103" s="239"/>
      <c r="P103" s="239"/>
    </row>
    <row r="104" spans="2:16" s="272" customFormat="1">
      <c r="B104" s="238"/>
      <c r="C104" s="238"/>
      <c r="D104" s="237"/>
      <c r="E104" s="237"/>
      <c r="F104" s="237"/>
      <c r="G104" s="234"/>
      <c r="H104" s="234"/>
      <c r="I104" s="234"/>
      <c r="J104" s="234"/>
      <c r="K104" s="234"/>
      <c r="L104" s="237"/>
      <c r="M104" s="237"/>
      <c r="N104" s="234"/>
      <c r="O104" s="239"/>
      <c r="P104" s="239"/>
    </row>
    <row r="105" spans="2:16" s="272" customFormat="1">
      <c r="B105" s="238"/>
      <c r="C105" s="238"/>
      <c r="D105" s="237"/>
      <c r="E105" s="237"/>
      <c r="F105" s="237"/>
      <c r="G105" s="234"/>
      <c r="H105" s="234"/>
      <c r="I105" s="234"/>
      <c r="J105" s="234"/>
      <c r="K105" s="234"/>
      <c r="L105" s="237"/>
      <c r="M105" s="237"/>
      <c r="N105" s="234"/>
      <c r="O105" s="239"/>
      <c r="P105" s="239"/>
    </row>
    <row r="106" spans="2:16" s="272" customFormat="1">
      <c r="B106" s="238"/>
      <c r="C106" s="238"/>
      <c r="D106" s="237"/>
      <c r="E106" s="237"/>
      <c r="F106" s="237"/>
      <c r="G106" s="234"/>
      <c r="H106" s="234"/>
      <c r="I106" s="234"/>
      <c r="J106" s="234"/>
      <c r="K106" s="234"/>
      <c r="L106" s="237"/>
      <c r="M106" s="237"/>
      <c r="N106" s="234"/>
      <c r="O106" s="239"/>
      <c r="P106" s="239"/>
    </row>
    <row r="107" spans="2:16" s="272" customFormat="1">
      <c r="B107" s="238"/>
      <c r="C107" s="238"/>
      <c r="D107" s="237"/>
      <c r="E107" s="237"/>
      <c r="F107" s="237"/>
      <c r="G107" s="234"/>
      <c r="H107" s="234"/>
      <c r="I107" s="234"/>
      <c r="J107" s="234"/>
      <c r="K107" s="234"/>
      <c r="L107" s="237"/>
      <c r="M107" s="237"/>
      <c r="N107" s="234"/>
      <c r="O107" s="239"/>
      <c r="P107" s="239"/>
    </row>
    <row r="108" spans="2:16" s="272" customFormat="1">
      <c r="B108" s="238"/>
      <c r="C108" s="238"/>
      <c r="D108" s="237"/>
      <c r="E108" s="237"/>
      <c r="F108" s="237"/>
      <c r="G108" s="234"/>
      <c r="H108" s="234"/>
      <c r="I108" s="234"/>
      <c r="J108" s="234"/>
      <c r="K108" s="234"/>
      <c r="L108" s="237"/>
      <c r="M108" s="237"/>
      <c r="N108" s="234"/>
      <c r="O108" s="239"/>
      <c r="P108" s="239"/>
    </row>
    <row r="109" spans="2:16" s="272" customFormat="1">
      <c r="B109" s="238"/>
      <c r="C109" s="238"/>
      <c r="D109" s="237"/>
      <c r="E109" s="237"/>
      <c r="F109" s="237"/>
      <c r="G109" s="234"/>
      <c r="H109" s="234"/>
      <c r="I109" s="234"/>
      <c r="J109" s="234"/>
      <c r="K109" s="234"/>
      <c r="L109" s="237"/>
      <c r="M109" s="237"/>
      <c r="N109" s="234"/>
      <c r="O109" s="239"/>
      <c r="P109" s="239"/>
    </row>
    <row r="110" spans="2:16" s="272" customFormat="1">
      <c r="B110" s="238"/>
      <c r="C110" s="238"/>
      <c r="D110" s="237"/>
      <c r="E110" s="237"/>
      <c r="F110" s="237"/>
      <c r="G110" s="234"/>
      <c r="H110" s="234"/>
      <c r="I110" s="234"/>
      <c r="J110" s="234"/>
      <c r="K110" s="234"/>
      <c r="L110" s="237"/>
      <c r="M110" s="237"/>
      <c r="N110" s="234"/>
      <c r="O110" s="239"/>
      <c r="P110" s="239"/>
    </row>
    <row r="111" spans="2:16" s="272" customFormat="1">
      <c r="B111" s="238"/>
      <c r="C111" s="238"/>
      <c r="D111" s="237"/>
      <c r="E111" s="237"/>
      <c r="F111" s="237"/>
      <c r="G111" s="234"/>
      <c r="H111" s="234"/>
      <c r="I111" s="234"/>
      <c r="J111" s="234"/>
      <c r="K111" s="234"/>
      <c r="L111" s="237"/>
      <c r="M111" s="237"/>
      <c r="N111" s="234"/>
      <c r="O111" s="239"/>
      <c r="P111" s="239"/>
    </row>
    <row r="112" spans="2:16" s="272" customFormat="1">
      <c r="B112" s="238"/>
      <c r="C112" s="238"/>
      <c r="D112" s="237"/>
      <c r="E112" s="237"/>
      <c r="F112" s="237"/>
      <c r="G112" s="234"/>
      <c r="H112" s="234"/>
      <c r="I112" s="234"/>
      <c r="J112" s="234"/>
      <c r="K112" s="234"/>
      <c r="L112" s="237"/>
      <c r="M112" s="237"/>
      <c r="N112" s="234"/>
      <c r="O112" s="239"/>
      <c r="P112" s="239"/>
    </row>
    <row r="113" spans="2:16" s="272" customFormat="1">
      <c r="B113" s="238"/>
      <c r="C113" s="238"/>
      <c r="D113" s="237"/>
      <c r="E113" s="237"/>
      <c r="F113" s="237"/>
      <c r="G113" s="234"/>
      <c r="H113" s="234"/>
      <c r="I113" s="234"/>
      <c r="J113" s="234"/>
      <c r="K113" s="234"/>
      <c r="L113" s="237"/>
      <c r="M113" s="237"/>
      <c r="N113" s="234"/>
      <c r="O113" s="239"/>
      <c r="P113" s="239"/>
    </row>
    <row r="114" spans="2:16" s="272" customFormat="1">
      <c r="B114" s="238"/>
      <c r="C114" s="238"/>
      <c r="D114" s="237"/>
      <c r="E114" s="237"/>
      <c r="F114" s="237"/>
      <c r="G114" s="234"/>
      <c r="H114" s="234"/>
      <c r="I114" s="234"/>
      <c r="J114" s="234"/>
      <c r="K114" s="234"/>
      <c r="L114" s="237"/>
      <c r="M114" s="237"/>
      <c r="N114" s="234"/>
      <c r="O114" s="239"/>
      <c r="P114" s="239"/>
    </row>
    <row r="115" spans="2:16" s="272" customFormat="1">
      <c r="B115" s="238"/>
      <c r="C115" s="238"/>
      <c r="D115" s="237"/>
      <c r="E115" s="237"/>
      <c r="F115" s="237"/>
      <c r="G115" s="234"/>
      <c r="H115" s="234"/>
      <c r="I115" s="234"/>
      <c r="J115" s="234"/>
      <c r="K115" s="234"/>
      <c r="L115" s="237"/>
      <c r="M115" s="237"/>
      <c r="N115" s="234"/>
      <c r="O115" s="239"/>
      <c r="P115" s="239"/>
    </row>
    <row r="116" spans="2:16" s="272" customFormat="1">
      <c r="B116" s="238"/>
      <c r="C116" s="238"/>
      <c r="D116" s="237"/>
      <c r="E116" s="237"/>
      <c r="F116" s="237"/>
      <c r="G116" s="234"/>
      <c r="H116" s="234"/>
      <c r="I116" s="234"/>
      <c r="J116" s="234"/>
      <c r="K116" s="234"/>
      <c r="L116" s="237"/>
      <c r="M116" s="237"/>
      <c r="N116" s="234"/>
      <c r="O116" s="239"/>
      <c r="P116" s="239"/>
    </row>
    <row r="117" spans="2:16" s="272" customFormat="1">
      <c r="B117" s="238"/>
      <c r="C117" s="238"/>
      <c r="D117" s="237"/>
      <c r="E117" s="237"/>
      <c r="F117" s="237"/>
      <c r="G117" s="234"/>
      <c r="H117" s="234"/>
      <c r="I117" s="234"/>
      <c r="J117" s="234"/>
      <c r="K117" s="234"/>
      <c r="L117" s="237"/>
      <c r="M117" s="237"/>
      <c r="N117" s="234"/>
      <c r="O117" s="239"/>
      <c r="P117" s="239"/>
    </row>
    <row r="118" spans="2:16" s="272" customFormat="1">
      <c r="B118" s="238"/>
      <c r="C118" s="238"/>
      <c r="D118" s="237"/>
      <c r="E118" s="237"/>
      <c r="F118" s="237"/>
      <c r="G118" s="234"/>
      <c r="H118" s="234"/>
      <c r="I118" s="234"/>
      <c r="J118" s="234"/>
      <c r="K118" s="234"/>
      <c r="L118" s="237"/>
      <c r="M118" s="237"/>
      <c r="N118" s="234"/>
      <c r="O118" s="239"/>
      <c r="P118" s="239"/>
    </row>
    <row r="119" spans="2:16" s="272" customFormat="1">
      <c r="B119" s="238"/>
      <c r="C119" s="238"/>
      <c r="D119" s="237"/>
      <c r="E119" s="237"/>
      <c r="F119" s="237"/>
      <c r="G119" s="234"/>
      <c r="H119" s="234"/>
      <c r="I119" s="234"/>
      <c r="J119" s="234"/>
      <c r="K119" s="234"/>
      <c r="L119" s="237"/>
      <c r="M119" s="237"/>
      <c r="N119" s="234"/>
      <c r="O119" s="239"/>
      <c r="P119" s="239"/>
    </row>
    <row r="120" spans="2:16" s="272" customFormat="1">
      <c r="B120" s="238"/>
      <c r="C120" s="238"/>
      <c r="D120" s="237"/>
      <c r="E120" s="237"/>
      <c r="F120" s="237"/>
      <c r="G120" s="234"/>
      <c r="H120" s="234"/>
      <c r="I120" s="234"/>
      <c r="J120" s="234"/>
      <c r="K120" s="234"/>
      <c r="L120" s="237"/>
      <c r="M120" s="237"/>
      <c r="N120" s="234"/>
      <c r="O120" s="239"/>
      <c r="P120" s="239"/>
    </row>
    <row r="121" spans="2:16" s="272" customFormat="1">
      <c r="B121" s="238"/>
      <c r="C121" s="238"/>
      <c r="D121" s="237"/>
      <c r="E121" s="237"/>
      <c r="F121" s="237"/>
      <c r="G121" s="234"/>
      <c r="H121" s="234"/>
      <c r="I121" s="234"/>
      <c r="J121" s="234"/>
      <c r="K121" s="234"/>
      <c r="L121" s="237"/>
      <c r="M121" s="237"/>
      <c r="N121" s="234"/>
      <c r="O121" s="239"/>
      <c r="P121" s="239"/>
    </row>
    <row r="122" spans="2:16" s="272" customFormat="1">
      <c r="B122" s="238"/>
      <c r="C122" s="238"/>
      <c r="D122" s="237"/>
      <c r="E122" s="237"/>
      <c r="F122" s="237"/>
      <c r="G122" s="234"/>
      <c r="H122" s="234"/>
      <c r="I122" s="234"/>
      <c r="J122" s="234"/>
      <c r="K122" s="234"/>
      <c r="L122" s="237"/>
      <c r="M122" s="237"/>
      <c r="N122" s="234"/>
      <c r="O122" s="239"/>
      <c r="P122" s="239"/>
    </row>
    <row r="123" spans="2:16" s="272" customFormat="1">
      <c r="B123" s="238"/>
      <c r="C123" s="238"/>
      <c r="D123" s="237"/>
      <c r="E123" s="237"/>
      <c r="F123" s="237"/>
      <c r="G123" s="234"/>
      <c r="H123" s="234"/>
      <c r="I123" s="234"/>
      <c r="J123" s="234"/>
      <c r="K123" s="234"/>
      <c r="L123" s="237"/>
      <c r="M123" s="237"/>
      <c r="N123" s="234"/>
      <c r="O123" s="239"/>
      <c r="P123" s="239"/>
    </row>
    <row r="124" spans="2:16" s="272" customFormat="1">
      <c r="B124" s="238"/>
      <c r="C124" s="238"/>
      <c r="D124" s="237"/>
      <c r="E124" s="237"/>
      <c r="F124" s="237"/>
      <c r="G124" s="234"/>
      <c r="H124" s="234"/>
      <c r="I124" s="234"/>
      <c r="J124" s="234"/>
      <c r="K124" s="234"/>
      <c r="L124" s="237"/>
      <c r="M124" s="237"/>
      <c r="N124" s="234"/>
      <c r="O124" s="239"/>
      <c r="P124" s="239"/>
    </row>
    <row r="125" spans="2:16" s="272" customFormat="1">
      <c r="B125" s="238"/>
      <c r="C125" s="238"/>
      <c r="D125" s="237"/>
      <c r="E125" s="237"/>
      <c r="F125" s="237"/>
      <c r="G125" s="234"/>
      <c r="H125" s="234"/>
      <c r="I125" s="234"/>
      <c r="J125" s="234"/>
      <c r="K125" s="234"/>
      <c r="L125" s="237"/>
      <c r="M125" s="237"/>
      <c r="N125" s="234"/>
      <c r="O125" s="239"/>
      <c r="P125" s="239"/>
    </row>
    <row r="126" spans="2:16" s="272" customFormat="1">
      <c r="B126" s="238"/>
      <c r="C126" s="238"/>
      <c r="D126" s="237"/>
      <c r="E126" s="237"/>
      <c r="F126" s="237"/>
      <c r="G126" s="234"/>
      <c r="H126" s="234"/>
      <c r="I126" s="234"/>
      <c r="J126" s="234"/>
      <c r="K126" s="234"/>
      <c r="L126" s="237"/>
      <c r="M126" s="237"/>
      <c r="N126" s="234"/>
      <c r="O126" s="239"/>
      <c r="P126" s="239"/>
    </row>
    <row r="127" spans="2:16" s="272" customFormat="1">
      <c r="B127" s="238"/>
      <c r="C127" s="238"/>
      <c r="D127" s="237"/>
      <c r="E127" s="237"/>
      <c r="F127" s="237"/>
      <c r="G127" s="234"/>
      <c r="H127" s="234"/>
      <c r="I127" s="234"/>
      <c r="J127" s="234"/>
      <c r="K127" s="234"/>
      <c r="L127" s="237"/>
      <c r="M127" s="237"/>
      <c r="N127" s="234"/>
      <c r="O127" s="239"/>
      <c r="P127" s="239"/>
    </row>
    <row r="128" spans="2:16" s="272" customFormat="1">
      <c r="B128" s="238"/>
      <c r="C128" s="238"/>
      <c r="D128" s="237"/>
      <c r="E128" s="237"/>
      <c r="F128" s="237"/>
      <c r="G128" s="234"/>
      <c r="H128" s="234"/>
      <c r="I128" s="234"/>
      <c r="J128" s="234"/>
      <c r="K128" s="234"/>
      <c r="L128" s="237"/>
      <c r="M128" s="237"/>
      <c r="N128" s="234"/>
      <c r="O128" s="239"/>
      <c r="P128" s="239"/>
    </row>
    <row r="129" spans="2:16" s="272" customFormat="1">
      <c r="B129" s="238"/>
      <c r="C129" s="238"/>
      <c r="D129" s="237"/>
      <c r="E129" s="237"/>
      <c r="F129" s="237"/>
      <c r="G129" s="234"/>
      <c r="H129" s="234"/>
      <c r="I129" s="234"/>
      <c r="J129" s="234"/>
      <c r="K129" s="234"/>
      <c r="L129" s="237"/>
      <c r="M129" s="237"/>
      <c r="N129" s="234"/>
      <c r="O129" s="239"/>
      <c r="P129" s="239"/>
    </row>
    <row r="130" spans="2:16" s="272" customFormat="1">
      <c r="B130" s="238"/>
      <c r="C130" s="238"/>
      <c r="D130" s="237"/>
      <c r="E130" s="237"/>
      <c r="F130" s="237"/>
      <c r="G130" s="234"/>
      <c r="H130" s="234"/>
      <c r="I130" s="234"/>
      <c r="J130" s="234"/>
      <c r="K130" s="234"/>
      <c r="L130" s="237"/>
      <c r="M130" s="237"/>
      <c r="N130" s="234"/>
      <c r="O130" s="239"/>
      <c r="P130" s="239"/>
    </row>
    <row r="131" spans="2:16" s="272" customFormat="1">
      <c r="B131" s="238"/>
      <c r="C131" s="238"/>
      <c r="D131" s="237"/>
      <c r="E131" s="237"/>
      <c r="F131" s="237"/>
      <c r="G131" s="234"/>
      <c r="H131" s="234"/>
      <c r="I131" s="234"/>
      <c r="J131" s="234"/>
      <c r="K131" s="234"/>
      <c r="L131" s="237"/>
      <c r="M131" s="237"/>
      <c r="N131" s="234"/>
      <c r="O131" s="239"/>
      <c r="P131" s="239"/>
    </row>
    <row r="132" spans="2:16" s="272" customFormat="1">
      <c r="B132" s="238"/>
      <c r="C132" s="238"/>
      <c r="D132" s="237"/>
      <c r="E132" s="237"/>
      <c r="F132" s="237"/>
      <c r="G132" s="234"/>
      <c r="H132" s="234"/>
      <c r="I132" s="234"/>
      <c r="J132" s="234"/>
      <c r="K132" s="234"/>
      <c r="L132" s="237"/>
      <c r="M132" s="237"/>
      <c r="N132" s="234"/>
      <c r="O132" s="239"/>
      <c r="P132" s="239"/>
    </row>
    <row r="133" spans="2:16" s="272" customFormat="1">
      <c r="B133" s="238"/>
      <c r="C133" s="238"/>
      <c r="D133" s="237"/>
      <c r="E133" s="237"/>
      <c r="F133" s="237"/>
      <c r="G133" s="234"/>
      <c r="H133" s="234"/>
      <c r="I133" s="234"/>
      <c r="J133" s="234"/>
      <c r="K133" s="234"/>
      <c r="L133" s="237"/>
      <c r="M133" s="237"/>
      <c r="N133" s="234"/>
      <c r="O133" s="239"/>
      <c r="P133" s="239"/>
    </row>
    <row r="134" spans="2:16" s="272" customFormat="1">
      <c r="B134" s="238"/>
      <c r="C134" s="238"/>
      <c r="D134" s="237"/>
      <c r="E134" s="237"/>
      <c r="F134" s="237"/>
      <c r="G134" s="234"/>
      <c r="H134" s="234"/>
      <c r="I134" s="234"/>
      <c r="J134" s="234"/>
      <c r="K134" s="234"/>
      <c r="L134" s="237"/>
      <c r="M134" s="237"/>
      <c r="N134" s="234"/>
      <c r="O134" s="239"/>
      <c r="P134" s="239"/>
    </row>
    <row r="135" spans="2:16" s="272" customFormat="1">
      <c r="B135" s="238"/>
      <c r="C135" s="238"/>
      <c r="D135" s="237"/>
      <c r="E135" s="237"/>
      <c r="F135" s="237"/>
      <c r="G135" s="234"/>
      <c r="H135" s="234"/>
      <c r="I135" s="234"/>
      <c r="J135" s="234"/>
      <c r="K135" s="234"/>
      <c r="L135" s="237"/>
      <c r="M135" s="237"/>
      <c r="N135" s="234"/>
      <c r="O135" s="239"/>
      <c r="P135" s="239"/>
    </row>
    <row r="136" spans="2:16" s="272" customFormat="1">
      <c r="B136" s="238"/>
      <c r="C136" s="238"/>
      <c r="D136" s="237"/>
      <c r="E136" s="237"/>
      <c r="F136" s="237"/>
      <c r="G136" s="234"/>
      <c r="H136" s="234"/>
      <c r="I136" s="234"/>
      <c r="J136" s="234"/>
      <c r="K136" s="234"/>
      <c r="L136" s="237"/>
      <c r="M136" s="237"/>
      <c r="N136" s="234"/>
      <c r="O136" s="239"/>
      <c r="P136" s="239"/>
    </row>
    <row r="137" spans="2:16" s="272" customFormat="1">
      <c r="B137" s="238"/>
      <c r="C137" s="238"/>
      <c r="D137" s="237"/>
      <c r="E137" s="237"/>
      <c r="F137" s="237"/>
      <c r="G137" s="234"/>
      <c r="H137" s="234"/>
      <c r="I137" s="234"/>
      <c r="J137" s="234"/>
      <c r="K137" s="234"/>
      <c r="L137" s="237"/>
      <c r="M137" s="237"/>
      <c r="N137" s="234"/>
      <c r="O137" s="239"/>
      <c r="P137" s="239"/>
    </row>
    <row r="138" spans="2:16" s="272" customFormat="1">
      <c r="B138" s="238"/>
      <c r="C138" s="238"/>
      <c r="D138" s="237"/>
      <c r="E138" s="237"/>
      <c r="F138" s="237"/>
      <c r="G138" s="234"/>
      <c r="H138" s="234"/>
      <c r="I138" s="234"/>
      <c r="J138" s="234"/>
      <c r="K138" s="234"/>
      <c r="L138" s="237"/>
      <c r="M138" s="237"/>
      <c r="N138" s="234"/>
      <c r="O138" s="239"/>
      <c r="P138" s="239"/>
    </row>
    <row r="139" spans="2:16" s="272" customFormat="1">
      <c r="B139" s="238"/>
      <c r="C139" s="238"/>
      <c r="D139" s="237"/>
      <c r="E139" s="237"/>
      <c r="F139" s="237"/>
      <c r="G139" s="234"/>
      <c r="H139" s="234"/>
      <c r="I139" s="234"/>
      <c r="J139" s="234"/>
      <c r="K139" s="234"/>
      <c r="L139" s="237"/>
      <c r="M139" s="237"/>
      <c r="N139" s="234"/>
      <c r="O139" s="239"/>
      <c r="P139" s="239"/>
    </row>
    <row r="140" spans="2:16" s="272" customFormat="1">
      <c r="B140" s="238"/>
      <c r="C140" s="238"/>
      <c r="D140" s="237"/>
      <c r="E140" s="237"/>
      <c r="F140" s="237"/>
      <c r="G140" s="234"/>
      <c r="H140" s="234"/>
      <c r="I140" s="234"/>
      <c r="J140" s="234"/>
      <c r="K140" s="234"/>
      <c r="L140" s="237"/>
      <c r="M140" s="237"/>
      <c r="N140" s="234"/>
      <c r="O140" s="239"/>
      <c r="P140" s="239"/>
    </row>
    <row r="141" spans="2:16" s="272" customFormat="1">
      <c r="B141" s="238"/>
      <c r="C141" s="238"/>
      <c r="D141" s="237"/>
      <c r="E141" s="237"/>
      <c r="F141" s="237"/>
      <c r="G141" s="234"/>
      <c r="H141" s="234"/>
      <c r="I141" s="234"/>
      <c r="J141" s="234"/>
      <c r="K141" s="234"/>
      <c r="L141" s="237"/>
      <c r="M141" s="237"/>
      <c r="N141" s="234"/>
      <c r="O141" s="239"/>
      <c r="P141" s="239"/>
    </row>
    <row r="142" spans="2:16" s="272" customFormat="1">
      <c r="B142" s="238"/>
      <c r="C142" s="238"/>
      <c r="D142" s="237"/>
      <c r="E142" s="237"/>
      <c r="F142" s="237"/>
      <c r="G142" s="234"/>
      <c r="H142" s="234"/>
      <c r="I142" s="234"/>
      <c r="J142" s="234"/>
      <c r="K142" s="234"/>
      <c r="L142" s="237"/>
      <c r="M142" s="237"/>
      <c r="N142" s="234"/>
      <c r="O142" s="239"/>
      <c r="P142" s="239"/>
    </row>
    <row r="143" spans="2:16" s="272" customFormat="1">
      <c r="B143" s="238"/>
      <c r="C143" s="238"/>
      <c r="D143" s="237"/>
      <c r="E143" s="237"/>
      <c r="F143" s="237"/>
      <c r="G143" s="234"/>
      <c r="H143" s="234"/>
      <c r="I143" s="234"/>
      <c r="J143" s="234"/>
      <c r="K143" s="234"/>
      <c r="L143" s="237"/>
      <c r="M143" s="237"/>
      <c r="N143" s="234"/>
      <c r="O143" s="239"/>
      <c r="P143" s="239"/>
    </row>
    <row r="144" spans="2:16" s="272" customFormat="1">
      <c r="B144" s="238"/>
      <c r="C144" s="238"/>
      <c r="D144" s="237"/>
      <c r="E144" s="237"/>
      <c r="F144" s="237"/>
      <c r="G144" s="234"/>
      <c r="H144" s="234"/>
      <c r="I144" s="234"/>
      <c r="J144" s="234"/>
      <c r="K144" s="234"/>
      <c r="L144" s="237"/>
      <c r="M144" s="237"/>
      <c r="N144" s="234"/>
      <c r="O144" s="239"/>
      <c r="P144" s="239"/>
    </row>
    <row r="145" spans="2:16" s="272" customFormat="1">
      <c r="B145" s="238"/>
      <c r="C145" s="238"/>
      <c r="D145" s="237"/>
      <c r="E145" s="237"/>
      <c r="F145" s="237"/>
      <c r="G145" s="234"/>
      <c r="H145" s="234"/>
      <c r="I145" s="234"/>
      <c r="J145" s="234"/>
      <c r="K145" s="234"/>
      <c r="L145" s="237"/>
      <c r="M145" s="237"/>
      <c r="N145" s="234"/>
      <c r="O145" s="239"/>
      <c r="P145" s="239"/>
    </row>
    <row r="146" spans="2:16" s="272" customFormat="1">
      <c r="B146" s="238"/>
      <c r="C146" s="238"/>
      <c r="D146" s="237"/>
      <c r="E146" s="237"/>
      <c r="F146" s="237"/>
      <c r="G146" s="234"/>
      <c r="H146" s="234"/>
      <c r="I146" s="234"/>
      <c r="J146" s="234"/>
      <c r="K146" s="234"/>
      <c r="L146" s="237"/>
      <c r="M146" s="237"/>
      <c r="N146" s="234"/>
      <c r="O146" s="239"/>
      <c r="P146" s="239"/>
    </row>
    <row r="147" spans="2:16" s="272" customFormat="1">
      <c r="B147" s="238"/>
      <c r="C147" s="238"/>
      <c r="D147" s="237"/>
      <c r="E147" s="237"/>
      <c r="F147" s="237"/>
      <c r="G147" s="234"/>
      <c r="H147" s="234"/>
      <c r="I147" s="234"/>
      <c r="J147" s="234"/>
      <c r="K147" s="234"/>
      <c r="L147" s="237"/>
      <c r="M147" s="237"/>
      <c r="N147" s="234"/>
      <c r="O147" s="239"/>
      <c r="P147" s="239"/>
    </row>
    <row r="148" spans="2:16" s="272" customFormat="1">
      <c r="B148" s="238"/>
      <c r="C148" s="238"/>
      <c r="D148" s="237"/>
      <c r="E148" s="237"/>
      <c r="F148" s="237"/>
      <c r="G148" s="234"/>
      <c r="H148" s="234"/>
      <c r="I148" s="234"/>
      <c r="J148" s="234"/>
      <c r="K148" s="234"/>
      <c r="L148" s="237"/>
      <c r="M148" s="237"/>
      <c r="N148" s="234"/>
      <c r="O148" s="239"/>
      <c r="P148" s="239"/>
    </row>
    <row r="149" spans="2:16" s="272" customFormat="1">
      <c r="B149" s="238"/>
      <c r="C149" s="238"/>
      <c r="D149" s="237"/>
      <c r="E149" s="237"/>
      <c r="F149" s="237"/>
      <c r="G149" s="234"/>
      <c r="H149" s="234"/>
      <c r="I149" s="234"/>
      <c r="J149" s="234"/>
      <c r="K149" s="234"/>
      <c r="L149" s="237"/>
      <c r="M149" s="237"/>
      <c r="N149" s="234"/>
      <c r="O149" s="239"/>
      <c r="P149" s="239"/>
    </row>
    <row r="150" spans="2:16" s="272" customFormat="1">
      <c r="B150" s="238"/>
      <c r="C150" s="238"/>
      <c r="D150" s="237"/>
      <c r="E150" s="237"/>
      <c r="F150" s="237"/>
      <c r="G150" s="234"/>
      <c r="H150" s="234"/>
      <c r="I150" s="234"/>
      <c r="J150" s="234"/>
      <c r="K150" s="234"/>
      <c r="L150" s="237"/>
      <c r="M150" s="237"/>
      <c r="N150" s="234"/>
      <c r="O150" s="239"/>
      <c r="P150" s="239"/>
    </row>
    <row r="151" spans="2:16" s="272" customFormat="1">
      <c r="B151" s="238"/>
      <c r="C151" s="238"/>
      <c r="D151" s="237"/>
      <c r="E151" s="237"/>
      <c r="F151" s="237"/>
      <c r="G151" s="234"/>
      <c r="H151" s="234"/>
      <c r="I151" s="234"/>
      <c r="J151" s="234"/>
      <c r="K151" s="234"/>
      <c r="L151" s="237"/>
      <c r="M151" s="237"/>
      <c r="N151" s="234"/>
      <c r="O151" s="239"/>
      <c r="P151" s="239"/>
    </row>
    <row r="152" spans="2:16" s="272" customFormat="1">
      <c r="B152" s="238"/>
      <c r="C152" s="238"/>
      <c r="D152" s="237"/>
      <c r="E152" s="237"/>
      <c r="F152" s="237"/>
      <c r="G152" s="234"/>
      <c r="H152" s="234"/>
      <c r="I152" s="234"/>
      <c r="J152" s="234"/>
      <c r="K152" s="234"/>
      <c r="L152" s="237"/>
      <c r="M152" s="237"/>
      <c r="N152" s="234"/>
      <c r="O152" s="239"/>
      <c r="P152" s="239"/>
    </row>
    <row r="153" spans="2:16" s="272" customFormat="1">
      <c r="B153" s="238"/>
      <c r="C153" s="238"/>
      <c r="D153" s="237"/>
      <c r="E153" s="237"/>
      <c r="F153" s="237"/>
      <c r="G153" s="234"/>
      <c r="H153" s="234"/>
      <c r="I153" s="234"/>
      <c r="J153" s="234"/>
      <c r="K153" s="234"/>
      <c r="L153" s="237"/>
      <c r="M153" s="237"/>
      <c r="N153" s="234"/>
      <c r="O153" s="239"/>
      <c r="P153" s="239"/>
    </row>
    <row r="154" spans="2:16" s="272" customFormat="1">
      <c r="B154" s="238"/>
      <c r="C154" s="238"/>
      <c r="D154" s="237"/>
      <c r="E154" s="237"/>
      <c r="F154" s="237"/>
      <c r="G154" s="234"/>
      <c r="H154" s="234"/>
      <c r="I154" s="234"/>
      <c r="J154" s="234"/>
      <c r="K154" s="234"/>
      <c r="L154" s="237"/>
      <c r="M154" s="237"/>
      <c r="N154" s="234"/>
      <c r="O154" s="239"/>
      <c r="P154" s="239"/>
    </row>
    <row r="155" spans="2:16" s="272" customFormat="1">
      <c r="B155" s="238"/>
      <c r="C155" s="238"/>
      <c r="D155" s="237"/>
      <c r="E155" s="237"/>
      <c r="F155" s="237"/>
      <c r="G155" s="234"/>
      <c r="H155" s="234"/>
      <c r="I155" s="234"/>
      <c r="J155" s="234"/>
      <c r="K155" s="234"/>
      <c r="L155" s="237"/>
      <c r="M155" s="237"/>
      <c r="N155" s="234"/>
      <c r="O155" s="239"/>
      <c r="P155" s="239"/>
    </row>
    <row r="156" spans="2:16" s="272" customFormat="1">
      <c r="B156" s="238"/>
      <c r="C156" s="238"/>
      <c r="D156" s="237"/>
      <c r="E156" s="237"/>
      <c r="F156" s="237"/>
      <c r="G156" s="234"/>
      <c r="H156" s="234"/>
      <c r="I156" s="234"/>
      <c r="J156" s="234"/>
      <c r="K156" s="234"/>
      <c r="L156" s="237"/>
      <c r="M156" s="237"/>
      <c r="N156" s="234"/>
      <c r="O156" s="239"/>
      <c r="P156" s="239"/>
    </row>
    <row r="157" spans="2:16" s="272" customFormat="1">
      <c r="B157" s="238"/>
      <c r="C157" s="238"/>
      <c r="D157" s="237"/>
      <c r="E157" s="237"/>
      <c r="F157" s="237"/>
      <c r="G157" s="234"/>
      <c r="H157" s="234"/>
      <c r="I157" s="234"/>
      <c r="J157" s="234"/>
      <c r="K157" s="234"/>
      <c r="L157" s="237"/>
      <c r="M157" s="237"/>
      <c r="N157" s="234"/>
      <c r="O157" s="239"/>
      <c r="P157" s="239"/>
    </row>
    <row r="158" spans="2:16" s="272" customFormat="1">
      <c r="B158" s="238"/>
      <c r="C158" s="238"/>
      <c r="D158" s="237"/>
      <c r="E158" s="237"/>
      <c r="F158" s="237"/>
      <c r="G158" s="234"/>
      <c r="H158" s="234"/>
      <c r="I158" s="234"/>
      <c r="J158" s="234"/>
      <c r="K158" s="234"/>
      <c r="L158" s="237"/>
      <c r="M158" s="237"/>
      <c r="N158" s="234"/>
      <c r="O158" s="239"/>
      <c r="P158" s="239"/>
    </row>
    <row r="159" spans="2:16" s="272" customFormat="1">
      <c r="B159" s="238"/>
      <c r="C159" s="238"/>
      <c r="D159" s="237"/>
      <c r="E159" s="237"/>
      <c r="F159" s="237"/>
      <c r="G159" s="234"/>
      <c r="H159" s="234"/>
      <c r="I159" s="234"/>
      <c r="J159" s="234"/>
      <c r="K159" s="234"/>
      <c r="L159" s="237"/>
      <c r="M159" s="237"/>
      <c r="N159" s="234"/>
      <c r="O159" s="239"/>
      <c r="P159" s="239"/>
    </row>
    <row r="160" spans="2:16" s="272" customFormat="1">
      <c r="B160" s="238"/>
      <c r="C160" s="238"/>
      <c r="D160" s="237"/>
      <c r="E160" s="237"/>
      <c r="F160" s="237"/>
      <c r="G160" s="234"/>
      <c r="H160" s="234"/>
      <c r="I160" s="234"/>
      <c r="J160" s="234"/>
      <c r="K160" s="234"/>
      <c r="L160" s="237"/>
      <c r="M160" s="237"/>
      <c r="N160" s="234"/>
      <c r="O160" s="239"/>
      <c r="P160" s="239"/>
    </row>
    <row r="161" spans="2:16" s="272" customFormat="1">
      <c r="B161" s="238"/>
      <c r="C161" s="238"/>
      <c r="D161" s="237"/>
      <c r="E161" s="237"/>
      <c r="F161" s="237"/>
      <c r="G161" s="234"/>
      <c r="H161" s="234"/>
      <c r="I161" s="234"/>
      <c r="J161" s="234"/>
      <c r="K161" s="234"/>
      <c r="L161" s="237"/>
      <c r="M161" s="237"/>
      <c r="N161" s="234"/>
      <c r="O161" s="239"/>
      <c r="P161" s="239"/>
    </row>
    <row r="162" spans="2:16" s="272" customFormat="1">
      <c r="B162" s="238"/>
      <c r="C162" s="238"/>
      <c r="D162" s="237"/>
      <c r="E162" s="237"/>
      <c r="F162" s="237"/>
      <c r="G162" s="234"/>
      <c r="H162" s="234"/>
      <c r="I162" s="234"/>
      <c r="J162" s="234"/>
      <c r="K162" s="234"/>
      <c r="L162" s="237"/>
      <c r="M162" s="237"/>
      <c r="N162" s="234"/>
      <c r="O162" s="239"/>
      <c r="P162" s="239"/>
    </row>
    <row r="163" spans="2:16" s="272" customFormat="1">
      <c r="B163" s="238"/>
      <c r="C163" s="238"/>
      <c r="D163" s="237"/>
      <c r="E163" s="237"/>
      <c r="F163" s="237"/>
      <c r="G163" s="234"/>
      <c r="H163" s="234"/>
      <c r="I163" s="234"/>
      <c r="J163" s="234"/>
      <c r="K163" s="234"/>
      <c r="L163" s="237"/>
      <c r="M163" s="237"/>
      <c r="N163" s="234"/>
      <c r="O163" s="239"/>
      <c r="P163" s="239"/>
    </row>
    <row r="164" spans="2:16" s="272" customFormat="1">
      <c r="B164" s="238"/>
      <c r="C164" s="238"/>
      <c r="D164" s="237"/>
      <c r="E164" s="237"/>
      <c r="F164" s="237"/>
      <c r="G164" s="234"/>
      <c r="H164" s="234"/>
      <c r="I164" s="234"/>
      <c r="J164" s="234"/>
      <c r="K164" s="234"/>
      <c r="L164" s="237"/>
      <c r="M164" s="237"/>
      <c r="N164" s="234"/>
      <c r="O164" s="239"/>
      <c r="P164" s="239"/>
    </row>
    <row r="165" spans="2:16" s="272" customFormat="1">
      <c r="B165" s="238"/>
      <c r="C165" s="238"/>
      <c r="D165" s="237"/>
      <c r="E165" s="237"/>
      <c r="F165" s="237"/>
      <c r="G165" s="234"/>
      <c r="H165" s="234"/>
      <c r="I165" s="234"/>
      <c r="J165" s="234"/>
      <c r="K165" s="234"/>
      <c r="L165" s="237"/>
      <c r="M165" s="237"/>
      <c r="N165" s="234"/>
      <c r="O165" s="239"/>
      <c r="P165" s="239"/>
    </row>
    <row r="166" spans="2:16" s="272" customFormat="1">
      <c r="B166" s="238"/>
      <c r="C166" s="238"/>
      <c r="D166" s="237"/>
      <c r="E166" s="237"/>
      <c r="F166" s="237"/>
      <c r="G166" s="234"/>
      <c r="H166" s="234"/>
      <c r="I166" s="234"/>
      <c r="J166" s="234"/>
      <c r="K166" s="234"/>
      <c r="L166" s="237"/>
      <c r="M166" s="237"/>
      <c r="N166" s="234"/>
      <c r="O166" s="239"/>
      <c r="P166" s="239"/>
    </row>
    <row r="167" spans="2:16" s="272" customFormat="1">
      <c r="B167" s="238"/>
      <c r="C167" s="238"/>
      <c r="D167" s="237"/>
      <c r="E167" s="237"/>
      <c r="F167" s="237"/>
      <c r="G167" s="234"/>
      <c r="H167" s="234"/>
      <c r="I167" s="234"/>
      <c r="J167" s="234"/>
      <c r="K167" s="234"/>
      <c r="L167" s="237"/>
      <c r="M167" s="237"/>
      <c r="N167" s="234"/>
      <c r="O167" s="239"/>
      <c r="P167" s="239"/>
    </row>
    <row r="168" spans="2:16" s="272" customFormat="1">
      <c r="B168" s="238"/>
      <c r="C168" s="238"/>
      <c r="D168" s="237"/>
      <c r="E168" s="237"/>
      <c r="F168" s="237"/>
      <c r="G168" s="234"/>
      <c r="H168" s="234"/>
      <c r="I168" s="234"/>
      <c r="J168" s="234"/>
      <c r="K168" s="234"/>
      <c r="L168" s="237"/>
      <c r="M168" s="237"/>
      <c r="N168" s="234"/>
      <c r="O168" s="239"/>
      <c r="P168" s="239"/>
    </row>
    <row r="169" spans="2:16" s="272" customFormat="1">
      <c r="B169" s="238"/>
      <c r="C169" s="238"/>
      <c r="D169" s="237"/>
      <c r="E169" s="237"/>
      <c r="F169" s="237"/>
      <c r="G169" s="234"/>
      <c r="H169" s="234"/>
      <c r="I169" s="234"/>
      <c r="J169" s="234"/>
      <c r="K169" s="234"/>
      <c r="L169" s="237"/>
      <c r="M169" s="237"/>
      <c r="N169" s="234"/>
      <c r="O169" s="239"/>
      <c r="P169" s="239"/>
    </row>
    <row r="170" spans="2:16" s="272" customFormat="1">
      <c r="B170" s="238"/>
      <c r="C170" s="238"/>
      <c r="D170" s="237"/>
      <c r="E170" s="237"/>
      <c r="F170" s="237"/>
      <c r="G170" s="234"/>
      <c r="H170" s="234"/>
      <c r="I170" s="234"/>
      <c r="J170" s="234"/>
      <c r="K170" s="234"/>
      <c r="L170" s="237"/>
      <c r="M170" s="237"/>
      <c r="N170" s="234"/>
      <c r="O170" s="239"/>
      <c r="P170" s="239"/>
    </row>
    <row r="171" spans="2:16" s="272" customFormat="1">
      <c r="B171" s="238"/>
      <c r="C171" s="238"/>
      <c r="D171" s="237"/>
      <c r="E171" s="237"/>
      <c r="F171" s="237"/>
      <c r="G171" s="234"/>
      <c r="H171" s="234"/>
      <c r="I171" s="234"/>
      <c r="J171" s="234"/>
      <c r="K171" s="234"/>
      <c r="L171" s="237"/>
      <c r="M171" s="237"/>
      <c r="N171" s="234"/>
      <c r="O171" s="239"/>
      <c r="P171" s="239"/>
    </row>
    <row r="172" spans="2:16" s="272" customFormat="1">
      <c r="B172" s="238"/>
      <c r="C172" s="238"/>
      <c r="D172" s="237"/>
      <c r="E172" s="237"/>
      <c r="F172" s="237"/>
      <c r="G172" s="234"/>
      <c r="H172" s="234"/>
      <c r="I172" s="234"/>
      <c r="J172" s="234"/>
      <c r="K172" s="234"/>
      <c r="L172" s="237"/>
      <c r="M172" s="237"/>
      <c r="N172" s="234"/>
      <c r="O172" s="239"/>
      <c r="P172" s="239"/>
    </row>
    <row r="173" spans="2:16" s="272" customFormat="1">
      <c r="B173" s="238"/>
      <c r="C173" s="238"/>
      <c r="D173" s="237"/>
      <c r="E173" s="237"/>
      <c r="F173" s="237"/>
      <c r="G173" s="234"/>
      <c r="H173" s="234"/>
      <c r="I173" s="234"/>
      <c r="J173" s="234"/>
      <c r="K173" s="234"/>
      <c r="L173" s="237"/>
      <c r="M173" s="237"/>
      <c r="N173" s="234"/>
      <c r="O173" s="239"/>
      <c r="P173" s="239"/>
    </row>
    <row r="174" spans="2:16" s="272" customFormat="1">
      <c r="B174" s="238"/>
      <c r="C174" s="238"/>
      <c r="D174" s="237"/>
      <c r="E174" s="237"/>
      <c r="F174" s="237"/>
      <c r="G174" s="234"/>
      <c r="H174" s="234"/>
      <c r="I174" s="234"/>
      <c r="J174" s="234"/>
      <c r="K174" s="234"/>
      <c r="L174" s="237"/>
      <c r="M174" s="237"/>
      <c r="N174" s="234"/>
      <c r="O174" s="239"/>
      <c r="P174" s="239"/>
    </row>
    <row r="175" spans="2:16" s="272" customFormat="1">
      <c r="B175" s="238"/>
      <c r="C175" s="238"/>
      <c r="D175" s="237"/>
      <c r="E175" s="237"/>
      <c r="F175" s="237"/>
      <c r="G175" s="234"/>
      <c r="H175" s="234"/>
      <c r="I175" s="234"/>
      <c r="J175" s="234"/>
      <c r="K175" s="234"/>
      <c r="L175" s="237"/>
      <c r="M175" s="237"/>
      <c r="N175" s="234"/>
      <c r="O175" s="239"/>
      <c r="P175" s="239"/>
    </row>
    <row r="176" spans="2:16" s="272" customFormat="1">
      <c r="B176" s="238"/>
      <c r="C176" s="238"/>
      <c r="D176" s="237"/>
      <c r="E176" s="237"/>
      <c r="F176" s="237"/>
      <c r="G176" s="234"/>
      <c r="H176" s="234"/>
      <c r="I176" s="234"/>
      <c r="J176" s="234"/>
      <c r="K176" s="234"/>
      <c r="L176" s="237"/>
      <c r="M176" s="237"/>
      <c r="N176" s="234"/>
      <c r="O176" s="239"/>
      <c r="P176" s="239"/>
    </row>
    <row r="177" spans="2:16" s="272" customFormat="1">
      <c r="B177" s="238"/>
      <c r="C177" s="238"/>
      <c r="D177" s="237"/>
      <c r="E177" s="237"/>
      <c r="F177" s="237"/>
      <c r="G177" s="234"/>
      <c r="H177" s="234"/>
      <c r="I177" s="234"/>
      <c r="J177" s="234"/>
      <c r="K177" s="234"/>
      <c r="L177" s="237"/>
      <c r="M177" s="237"/>
      <c r="N177" s="234"/>
      <c r="O177" s="239"/>
      <c r="P177" s="239"/>
    </row>
    <row r="178" spans="2:16" s="272" customFormat="1">
      <c r="B178" s="238"/>
      <c r="C178" s="238"/>
      <c r="D178" s="237"/>
      <c r="E178" s="237"/>
      <c r="F178" s="237"/>
      <c r="G178" s="234"/>
      <c r="H178" s="234"/>
      <c r="I178" s="234"/>
      <c r="J178" s="234"/>
      <c r="K178" s="234"/>
      <c r="L178" s="237"/>
      <c r="M178" s="237"/>
      <c r="N178" s="234"/>
      <c r="O178" s="239"/>
      <c r="P178" s="239"/>
    </row>
    <row r="179" spans="2:16" s="272" customFormat="1">
      <c r="B179" s="238"/>
      <c r="C179" s="238"/>
      <c r="D179" s="237"/>
      <c r="E179" s="237"/>
      <c r="F179" s="237"/>
      <c r="G179" s="234"/>
      <c r="H179" s="234"/>
      <c r="I179" s="234"/>
      <c r="J179" s="234"/>
      <c r="K179" s="234"/>
      <c r="L179" s="237"/>
      <c r="M179" s="237"/>
      <c r="N179" s="234"/>
      <c r="O179" s="239"/>
      <c r="P179" s="239"/>
    </row>
    <row r="180" spans="2:16" s="272" customFormat="1">
      <c r="B180" s="238"/>
      <c r="C180" s="238"/>
      <c r="D180" s="237"/>
      <c r="E180" s="237"/>
      <c r="F180" s="237"/>
      <c r="G180" s="234"/>
      <c r="H180" s="234"/>
      <c r="I180" s="234"/>
      <c r="J180" s="234"/>
      <c r="K180" s="234"/>
      <c r="L180" s="237"/>
      <c r="M180" s="237"/>
      <c r="N180" s="234"/>
      <c r="O180" s="239"/>
      <c r="P180" s="239"/>
    </row>
    <row r="181" spans="2:16" s="272" customFormat="1">
      <c r="B181" s="238"/>
      <c r="C181" s="238"/>
      <c r="D181" s="237"/>
      <c r="E181" s="237"/>
      <c r="F181" s="237"/>
      <c r="G181" s="234"/>
      <c r="H181" s="234"/>
      <c r="I181" s="234"/>
      <c r="J181" s="234"/>
      <c r="K181" s="234"/>
      <c r="L181" s="237"/>
      <c r="M181" s="237"/>
      <c r="N181" s="234"/>
      <c r="O181" s="239"/>
      <c r="P181" s="239"/>
    </row>
    <row r="182" spans="2:16" s="272" customFormat="1">
      <c r="B182" s="238"/>
      <c r="C182" s="238"/>
      <c r="D182" s="237"/>
      <c r="E182" s="237"/>
      <c r="F182" s="237"/>
      <c r="G182" s="234"/>
      <c r="H182" s="234"/>
      <c r="I182" s="234"/>
      <c r="J182" s="234"/>
      <c r="K182" s="234"/>
      <c r="L182" s="237"/>
      <c r="M182" s="237"/>
      <c r="N182" s="234"/>
      <c r="O182" s="239"/>
      <c r="P182" s="239"/>
    </row>
    <row r="183" spans="2:16" s="272" customFormat="1">
      <c r="B183" s="238"/>
      <c r="C183" s="238"/>
      <c r="D183" s="237"/>
      <c r="E183" s="237"/>
      <c r="F183" s="237"/>
      <c r="G183" s="234"/>
      <c r="H183" s="234"/>
      <c r="I183" s="234"/>
      <c r="J183" s="234"/>
      <c r="K183" s="234"/>
      <c r="L183" s="237"/>
      <c r="M183" s="237"/>
      <c r="N183" s="234"/>
      <c r="O183" s="239"/>
      <c r="P183" s="239"/>
    </row>
    <row r="184" spans="2:16" s="272" customFormat="1">
      <c r="B184" s="238"/>
      <c r="C184" s="238"/>
      <c r="D184" s="237"/>
      <c r="E184" s="237"/>
      <c r="F184" s="237"/>
      <c r="G184" s="234"/>
      <c r="H184" s="234"/>
      <c r="I184" s="234"/>
      <c r="J184" s="234"/>
      <c r="K184" s="234"/>
      <c r="L184" s="237"/>
      <c r="M184" s="237"/>
      <c r="N184" s="234"/>
      <c r="O184" s="239"/>
      <c r="P184" s="239"/>
    </row>
    <row r="185" spans="2:16" s="272" customFormat="1">
      <c r="B185" s="238"/>
      <c r="C185" s="238"/>
      <c r="D185" s="237"/>
      <c r="E185" s="237"/>
      <c r="F185" s="237"/>
      <c r="G185" s="234"/>
      <c r="H185" s="234"/>
      <c r="I185" s="234"/>
      <c r="J185" s="234"/>
      <c r="K185" s="234"/>
      <c r="L185" s="237"/>
      <c r="M185" s="237"/>
      <c r="N185" s="234"/>
      <c r="O185" s="239"/>
      <c r="P185" s="239"/>
    </row>
    <row r="186" spans="2:16" s="272" customFormat="1">
      <c r="B186" s="238"/>
      <c r="C186" s="238"/>
      <c r="D186" s="237"/>
      <c r="E186" s="237"/>
      <c r="F186" s="237"/>
      <c r="G186" s="234"/>
      <c r="H186" s="234"/>
      <c r="I186" s="234"/>
      <c r="J186" s="234"/>
      <c r="K186" s="234"/>
      <c r="L186" s="237"/>
      <c r="M186" s="237"/>
      <c r="N186" s="234"/>
      <c r="O186" s="239"/>
      <c r="P186" s="239"/>
    </row>
    <row r="187" spans="2:16" s="272" customFormat="1">
      <c r="B187" s="238"/>
      <c r="C187" s="238"/>
      <c r="D187" s="237"/>
      <c r="E187" s="237"/>
      <c r="F187" s="237"/>
      <c r="G187" s="234"/>
      <c r="H187" s="234"/>
      <c r="I187" s="234"/>
      <c r="J187" s="234"/>
      <c r="K187" s="234"/>
      <c r="L187" s="237"/>
      <c r="M187" s="237"/>
      <c r="N187" s="234"/>
      <c r="O187" s="239"/>
      <c r="P187" s="239"/>
    </row>
    <row r="188" spans="2:16" s="272" customFormat="1">
      <c r="B188" s="238"/>
      <c r="C188" s="238"/>
      <c r="D188" s="237"/>
      <c r="E188" s="237"/>
      <c r="F188" s="237"/>
      <c r="G188" s="234"/>
      <c r="H188" s="234"/>
      <c r="I188" s="234"/>
      <c r="J188" s="234"/>
      <c r="K188" s="234"/>
      <c r="L188" s="237"/>
      <c r="M188" s="237"/>
      <c r="N188" s="234"/>
      <c r="O188" s="239"/>
      <c r="P188" s="239"/>
    </row>
    <row r="189" spans="2:16" s="272" customFormat="1">
      <c r="B189" s="238"/>
      <c r="C189" s="238"/>
      <c r="D189" s="237"/>
      <c r="E189" s="237"/>
      <c r="F189" s="237"/>
      <c r="G189" s="234"/>
      <c r="H189" s="234"/>
      <c r="I189" s="234"/>
      <c r="J189" s="234"/>
      <c r="K189" s="234"/>
      <c r="L189" s="237"/>
      <c r="M189" s="237"/>
      <c r="N189" s="234"/>
      <c r="O189" s="239"/>
      <c r="P189" s="239"/>
    </row>
    <row r="190" spans="2:16" s="272" customFormat="1">
      <c r="B190" s="238"/>
      <c r="C190" s="238"/>
      <c r="D190" s="237"/>
      <c r="E190" s="237"/>
      <c r="F190" s="237"/>
      <c r="G190" s="234"/>
      <c r="H190" s="234"/>
      <c r="I190" s="234"/>
      <c r="J190" s="234"/>
      <c r="K190" s="234"/>
      <c r="L190" s="237"/>
      <c r="M190" s="237"/>
      <c r="N190" s="234"/>
      <c r="O190" s="239"/>
      <c r="P190" s="239"/>
    </row>
    <row r="191" spans="2:16" s="272" customFormat="1">
      <c r="B191" s="238"/>
      <c r="C191" s="238"/>
      <c r="D191" s="237"/>
      <c r="E191" s="237"/>
      <c r="F191" s="237"/>
      <c r="G191" s="234"/>
      <c r="H191" s="234"/>
      <c r="I191" s="234"/>
      <c r="J191" s="234"/>
      <c r="K191" s="234"/>
      <c r="L191" s="237"/>
      <c r="M191" s="237"/>
      <c r="N191" s="234"/>
      <c r="O191" s="239"/>
      <c r="P191" s="239"/>
    </row>
    <row r="192" spans="2:16" s="272" customFormat="1">
      <c r="B192" s="238"/>
      <c r="C192" s="238"/>
      <c r="D192" s="237"/>
      <c r="E192" s="237"/>
      <c r="F192" s="237"/>
      <c r="G192" s="234"/>
      <c r="H192" s="234"/>
      <c r="I192" s="234"/>
      <c r="J192" s="234"/>
      <c r="K192" s="234"/>
      <c r="L192" s="237"/>
      <c r="M192" s="237"/>
      <c r="N192" s="234"/>
      <c r="O192" s="239"/>
      <c r="P192" s="239"/>
    </row>
    <row r="193" spans="2:16" s="272" customFormat="1">
      <c r="B193" s="238"/>
      <c r="C193" s="238"/>
      <c r="D193" s="237"/>
      <c r="E193" s="237"/>
      <c r="F193" s="237"/>
      <c r="G193" s="234"/>
      <c r="H193" s="234"/>
      <c r="I193" s="234"/>
      <c r="J193" s="234"/>
      <c r="K193" s="234"/>
      <c r="L193" s="237"/>
      <c r="M193" s="237"/>
      <c r="N193" s="234"/>
      <c r="O193" s="239"/>
      <c r="P193" s="239"/>
    </row>
    <row r="194" spans="2:16" s="272" customFormat="1">
      <c r="B194" s="238"/>
      <c r="C194" s="238"/>
      <c r="D194" s="237"/>
      <c r="E194" s="237"/>
      <c r="F194" s="237"/>
      <c r="G194" s="234"/>
      <c r="H194" s="234"/>
      <c r="I194" s="234"/>
      <c r="J194" s="234"/>
      <c r="K194" s="234"/>
      <c r="L194" s="237"/>
      <c r="M194" s="237"/>
      <c r="N194" s="234"/>
      <c r="O194" s="239"/>
      <c r="P194" s="239"/>
    </row>
    <row r="195" spans="2:16" s="272" customFormat="1">
      <c r="B195" s="238"/>
      <c r="C195" s="238"/>
      <c r="D195" s="237"/>
      <c r="E195" s="237"/>
      <c r="F195" s="237"/>
      <c r="G195" s="234"/>
      <c r="H195" s="234"/>
      <c r="I195" s="234"/>
      <c r="J195" s="234"/>
      <c r="K195" s="234"/>
      <c r="L195" s="237"/>
      <c r="M195" s="237"/>
      <c r="N195" s="234"/>
      <c r="O195" s="239"/>
      <c r="P195" s="239"/>
    </row>
    <row r="196" spans="2:16" s="272" customFormat="1">
      <c r="B196" s="238"/>
      <c r="C196" s="238"/>
      <c r="D196" s="237"/>
      <c r="E196" s="237"/>
      <c r="F196" s="237"/>
      <c r="G196" s="234"/>
      <c r="H196" s="234"/>
      <c r="I196" s="234"/>
      <c r="J196" s="234"/>
      <c r="K196" s="234"/>
      <c r="L196" s="237"/>
      <c r="M196" s="237"/>
      <c r="N196" s="234"/>
      <c r="O196" s="239"/>
      <c r="P196" s="239"/>
    </row>
    <row r="197" spans="2:16" s="272" customFormat="1">
      <c r="B197" s="238"/>
      <c r="C197" s="238"/>
      <c r="D197" s="237"/>
      <c r="E197" s="237"/>
      <c r="F197" s="237"/>
      <c r="G197" s="234"/>
      <c r="H197" s="234"/>
      <c r="I197" s="234"/>
      <c r="J197" s="234"/>
      <c r="K197" s="234"/>
      <c r="L197" s="237"/>
      <c r="M197" s="237"/>
      <c r="N197" s="234"/>
      <c r="O197" s="239"/>
      <c r="P197" s="239"/>
    </row>
    <row r="198" spans="2:16" s="272" customFormat="1">
      <c r="B198" s="238"/>
      <c r="C198" s="238"/>
      <c r="D198" s="237"/>
      <c r="E198" s="237"/>
      <c r="F198" s="237"/>
      <c r="G198" s="234"/>
      <c r="H198" s="234"/>
      <c r="I198" s="234"/>
      <c r="J198" s="234"/>
      <c r="K198" s="234"/>
      <c r="L198" s="237"/>
      <c r="M198" s="237"/>
      <c r="N198" s="234"/>
      <c r="O198" s="239"/>
      <c r="P198" s="239"/>
    </row>
    <row r="199" spans="2:16" s="272" customFormat="1">
      <c r="B199" s="238"/>
      <c r="C199" s="238"/>
      <c r="D199" s="237"/>
      <c r="E199" s="237"/>
      <c r="F199" s="237"/>
      <c r="G199" s="234"/>
      <c r="H199" s="234"/>
      <c r="I199" s="234"/>
      <c r="J199" s="234"/>
      <c r="K199" s="234"/>
      <c r="L199" s="237"/>
      <c r="M199" s="237"/>
      <c r="N199" s="234"/>
      <c r="O199" s="239"/>
      <c r="P199" s="239"/>
    </row>
    <row r="200" spans="2:16" s="272" customFormat="1">
      <c r="B200" s="238"/>
      <c r="C200" s="238"/>
      <c r="D200" s="237"/>
      <c r="E200" s="237"/>
      <c r="F200" s="237"/>
      <c r="G200" s="234"/>
      <c r="H200" s="234"/>
      <c r="I200" s="234"/>
      <c r="J200" s="234"/>
      <c r="K200" s="234"/>
      <c r="L200" s="237"/>
      <c r="M200" s="237"/>
      <c r="N200" s="234"/>
      <c r="O200" s="239"/>
      <c r="P200" s="239"/>
    </row>
    <row r="201" spans="2:16" s="272" customFormat="1">
      <c r="B201" s="238"/>
      <c r="C201" s="238"/>
      <c r="D201" s="237"/>
      <c r="E201" s="237"/>
      <c r="F201" s="237"/>
      <c r="G201" s="234"/>
      <c r="H201" s="234"/>
      <c r="I201" s="234"/>
      <c r="J201" s="234"/>
      <c r="K201" s="234"/>
      <c r="L201" s="237"/>
      <c r="M201" s="237"/>
      <c r="N201" s="234"/>
      <c r="O201" s="239"/>
      <c r="P201" s="239"/>
    </row>
    <row r="202" spans="2:16" s="272" customFormat="1">
      <c r="B202" s="238"/>
      <c r="C202" s="238"/>
      <c r="D202" s="237"/>
      <c r="E202" s="237"/>
      <c r="F202" s="237"/>
      <c r="G202" s="234"/>
      <c r="H202" s="234"/>
      <c r="I202" s="234"/>
      <c r="J202" s="234"/>
      <c r="K202" s="234"/>
      <c r="L202" s="237"/>
      <c r="M202" s="237"/>
      <c r="N202" s="234"/>
      <c r="O202" s="239"/>
      <c r="P202" s="239"/>
    </row>
    <row r="203" spans="2:16" s="272" customFormat="1">
      <c r="B203" s="238"/>
      <c r="C203" s="238"/>
      <c r="D203" s="237"/>
      <c r="E203" s="237"/>
      <c r="F203" s="237"/>
      <c r="G203" s="234"/>
      <c r="H203" s="234"/>
      <c r="I203" s="234"/>
      <c r="J203" s="234"/>
      <c r="K203" s="234"/>
      <c r="L203" s="237"/>
      <c r="M203" s="237"/>
      <c r="N203" s="234"/>
      <c r="O203" s="239"/>
      <c r="P203" s="239"/>
    </row>
    <row r="204" spans="2:16" s="272" customFormat="1">
      <c r="B204" s="238"/>
      <c r="C204" s="238"/>
      <c r="D204" s="237"/>
      <c r="E204" s="237"/>
      <c r="F204" s="237"/>
      <c r="G204" s="234"/>
      <c r="H204" s="234"/>
      <c r="I204" s="234"/>
      <c r="J204" s="234"/>
      <c r="K204" s="234"/>
      <c r="L204" s="237"/>
      <c r="M204" s="237"/>
      <c r="N204" s="234"/>
      <c r="O204" s="239"/>
      <c r="P204" s="239"/>
    </row>
    <row r="205" spans="2:16" s="272" customFormat="1">
      <c r="B205" s="238"/>
      <c r="C205" s="238"/>
      <c r="D205" s="237"/>
      <c r="E205" s="237"/>
      <c r="F205" s="237"/>
      <c r="G205" s="234"/>
      <c r="H205" s="234"/>
      <c r="I205" s="234"/>
      <c r="J205" s="234"/>
      <c r="K205" s="234"/>
      <c r="L205" s="237"/>
      <c r="M205" s="237"/>
      <c r="N205" s="234"/>
      <c r="O205" s="239"/>
      <c r="P205" s="239"/>
    </row>
    <row r="206" spans="2:16" s="272" customFormat="1">
      <c r="B206" s="238"/>
      <c r="C206" s="238"/>
      <c r="D206" s="237"/>
      <c r="E206" s="237"/>
      <c r="F206" s="237"/>
      <c r="G206" s="234"/>
      <c r="H206" s="234"/>
      <c r="I206" s="234"/>
      <c r="J206" s="234"/>
      <c r="K206" s="234"/>
      <c r="L206" s="237"/>
      <c r="M206" s="237"/>
      <c r="N206" s="234"/>
      <c r="O206" s="239"/>
      <c r="P206" s="239"/>
    </row>
    <row r="207" spans="2:16" s="272" customFormat="1">
      <c r="B207" s="238"/>
      <c r="C207" s="238"/>
      <c r="D207" s="237"/>
      <c r="E207" s="237"/>
      <c r="F207" s="237"/>
      <c r="G207" s="234"/>
      <c r="H207" s="234"/>
      <c r="I207" s="234"/>
      <c r="J207" s="234"/>
      <c r="K207" s="234"/>
      <c r="L207" s="237"/>
      <c r="M207" s="237"/>
      <c r="N207" s="234"/>
      <c r="O207" s="239"/>
      <c r="P207" s="239"/>
    </row>
    <row r="208" spans="2:16" s="272" customFormat="1">
      <c r="B208" s="238"/>
      <c r="C208" s="238"/>
      <c r="D208" s="237"/>
      <c r="E208" s="237"/>
      <c r="F208" s="237"/>
      <c r="G208" s="234"/>
      <c r="H208" s="234"/>
      <c r="I208" s="234"/>
      <c r="J208" s="234"/>
      <c r="K208" s="234"/>
      <c r="L208" s="237"/>
      <c r="M208" s="237"/>
      <c r="N208" s="234"/>
      <c r="O208" s="239"/>
      <c r="P208" s="239"/>
    </row>
    <row r="209" spans="2:16" s="272" customFormat="1">
      <c r="B209" s="238"/>
      <c r="C209" s="238"/>
      <c r="D209" s="237"/>
      <c r="E209" s="237"/>
      <c r="F209" s="237"/>
      <c r="G209" s="234"/>
      <c r="H209" s="234"/>
      <c r="I209" s="234"/>
      <c r="J209" s="234"/>
      <c r="K209" s="234"/>
      <c r="L209" s="237"/>
      <c r="M209" s="237"/>
      <c r="N209" s="234"/>
      <c r="O209" s="239"/>
      <c r="P209" s="239"/>
    </row>
    <row r="210" spans="2:16" s="272" customFormat="1">
      <c r="B210" s="238"/>
      <c r="C210" s="238"/>
      <c r="D210" s="237"/>
      <c r="E210" s="237"/>
      <c r="F210" s="237"/>
      <c r="G210" s="234"/>
      <c r="H210" s="234"/>
      <c r="I210" s="234"/>
      <c r="J210" s="234"/>
      <c r="K210" s="234"/>
      <c r="L210" s="237"/>
      <c r="M210" s="237"/>
      <c r="N210" s="234"/>
      <c r="O210" s="239"/>
      <c r="P210" s="239"/>
    </row>
    <row r="211" spans="2:16" s="272" customFormat="1">
      <c r="B211" s="238"/>
      <c r="C211" s="238"/>
      <c r="D211" s="237"/>
      <c r="E211" s="237"/>
      <c r="F211" s="237"/>
      <c r="G211" s="234"/>
      <c r="H211" s="234"/>
      <c r="I211" s="234"/>
      <c r="J211" s="234"/>
      <c r="K211" s="234"/>
      <c r="L211" s="237"/>
      <c r="M211" s="237"/>
      <c r="N211" s="234"/>
      <c r="O211" s="239"/>
      <c r="P211" s="239"/>
    </row>
    <row r="212" spans="2:16" s="272" customFormat="1">
      <c r="B212" s="238"/>
      <c r="C212" s="238"/>
      <c r="D212" s="237"/>
      <c r="E212" s="237"/>
      <c r="F212" s="237"/>
      <c r="G212" s="234"/>
      <c r="H212" s="234"/>
      <c r="I212" s="234"/>
      <c r="J212" s="234"/>
      <c r="K212" s="234"/>
      <c r="L212" s="237"/>
      <c r="M212" s="237"/>
      <c r="N212" s="234"/>
      <c r="O212" s="239"/>
      <c r="P212" s="239"/>
    </row>
    <row r="213" spans="2:16" s="272" customFormat="1">
      <c r="B213" s="238"/>
      <c r="C213" s="238"/>
      <c r="D213" s="237"/>
      <c r="E213" s="237"/>
      <c r="F213" s="237"/>
      <c r="G213" s="234"/>
      <c r="H213" s="234"/>
      <c r="I213" s="234"/>
      <c r="J213" s="234"/>
      <c r="K213" s="234"/>
      <c r="L213" s="237"/>
      <c r="M213" s="237"/>
      <c r="N213" s="234"/>
      <c r="O213" s="239"/>
      <c r="P213" s="239"/>
    </row>
    <row r="214" spans="2:16" s="272" customFormat="1">
      <c r="B214" s="238"/>
      <c r="C214" s="238"/>
      <c r="D214" s="237"/>
      <c r="E214" s="237"/>
      <c r="F214" s="237"/>
      <c r="G214" s="234"/>
      <c r="H214" s="234"/>
      <c r="I214" s="234"/>
      <c r="J214" s="234"/>
      <c r="K214" s="234"/>
      <c r="L214" s="237"/>
      <c r="M214" s="237"/>
      <c r="N214" s="234"/>
      <c r="O214" s="239"/>
      <c r="P214" s="239"/>
    </row>
    <row r="215" spans="2:16" s="272" customFormat="1">
      <c r="B215" s="238"/>
      <c r="C215" s="238"/>
      <c r="D215" s="237"/>
      <c r="E215" s="237"/>
      <c r="F215" s="237"/>
      <c r="G215" s="234"/>
      <c r="H215" s="234"/>
      <c r="I215" s="234"/>
      <c r="J215" s="234"/>
      <c r="K215" s="234"/>
      <c r="L215" s="237"/>
      <c r="M215" s="237"/>
      <c r="N215" s="234"/>
      <c r="O215" s="239"/>
      <c r="P215" s="239"/>
    </row>
    <row r="216" spans="2:16" s="272" customFormat="1">
      <c r="B216" s="238"/>
      <c r="C216" s="238"/>
      <c r="D216" s="237"/>
      <c r="E216" s="237"/>
      <c r="F216" s="237"/>
      <c r="G216" s="234"/>
      <c r="H216" s="234"/>
      <c r="I216" s="234"/>
      <c r="J216" s="234"/>
      <c r="K216" s="234"/>
      <c r="L216" s="237"/>
      <c r="M216" s="237"/>
      <c r="N216" s="234"/>
      <c r="O216" s="239"/>
      <c r="P216" s="239"/>
    </row>
    <row r="217" spans="2:16" s="272" customFormat="1">
      <c r="B217" s="238"/>
      <c r="C217" s="238"/>
      <c r="D217" s="237"/>
      <c r="E217" s="237"/>
      <c r="F217" s="237"/>
      <c r="G217" s="234"/>
      <c r="H217" s="234"/>
      <c r="I217" s="234"/>
      <c r="J217" s="234"/>
      <c r="K217" s="234"/>
      <c r="L217" s="237"/>
      <c r="M217" s="237"/>
      <c r="N217" s="234"/>
      <c r="O217" s="239"/>
      <c r="P217" s="239"/>
    </row>
    <row r="218" spans="2:16" s="272" customFormat="1">
      <c r="B218" s="238"/>
      <c r="C218" s="238"/>
      <c r="D218" s="237"/>
      <c r="E218" s="237"/>
      <c r="F218" s="237"/>
      <c r="G218" s="234"/>
      <c r="H218" s="234"/>
      <c r="I218" s="234"/>
      <c r="J218" s="234"/>
      <c r="K218" s="234"/>
      <c r="L218" s="237"/>
      <c r="M218" s="237"/>
      <c r="N218" s="234"/>
      <c r="O218" s="239"/>
      <c r="P218" s="239"/>
    </row>
    <row r="219" spans="2:16" s="272" customFormat="1">
      <c r="B219" s="238"/>
      <c r="C219" s="238"/>
      <c r="D219" s="237"/>
      <c r="E219" s="237"/>
      <c r="F219" s="237"/>
      <c r="G219" s="234"/>
      <c r="H219" s="234"/>
      <c r="I219" s="234"/>
      <c r="J219" s="234"/>
      <c r="K219" s="234"/>
      <c r="L219" s="237"/>
      <c r="M219" s="237"/>
      <c r="N219" s="234"/>
      <c r="O219" s="239"/>
      <c r="P219" s="239"/>
    </row>
    <row r="220" spans="2:16" s="272" customFormat="1">
      <c r="B220" s="238"/>
      <c r="C220" s="238"/>
      <c r="D220" s="237"/>
      <c r="E220" s="237"/>
      <c r="F220" s="237"/>
      <c r="G220" s="234"/>
      <c r="H220" s="234"/>
      <c r="I220" s="234"/>
      <c r="J220" s="234"/>
      <c r="K220" s="234"/>
      <c r="L220" s="237"/>
      <c r="M220" s="237"/>
      <c r="N220" s="234"/>
      <c r="O220" s="239"/>
      <c r="P220" s="239"/>
    </row>
    <row r="221" spans="2:16" s="272" customFormat="1">
      <c r="B221" s="238"/>
      <c r="C221" s="238"/>
      <c r="D221" s="237"/>
      <c r="E221" s="237"/>
      <c r="F221" s="237"/>
      <c r="G221" s="234"/>
      <c r="H221" s="234"/>
      <c r="I221" s="234"/>
      <c r="J221" s="234"/>
      <c r="K221" s="234"/>
      <c r="L221" s="237"/>
      <c r="M221" s="237"/>
      <c r="N221" s="234"/>
      <c r="O221" s="239"/>
      <c r="P221" s="239"/>
    </row>
    <row r="222" spans="2:16" s="272" customFormat="1">
      <c r="B222" s="238"/>
      <c r="C222" s="238"/>
      <c r="D222" s="237"/>
      <c r="E222" s="237"/>
      <c r="F222" s="237"/>
      <c r="G222" s="234"/>
      <c r="H222" s="234"/>
      <c r="I222" s="234"/>
      <c r="J222" s="234"/>
      <c r="K222" s="234"/>
      <c r="L222" s="237"/>
      <c r="M222" s="237"/>
      <c r="N222" s="234"/>
      <c r="O222" s="239"/>
      <c r="P222" s="239"/>
    </row>
    <row r="223" spans="2:16" s="272" customFormat="1">
      <c r="B223" s="238"/>
      <c r="C223" s="238"/>
      <c r="D223" s="237"/>
      <c r="E223" s="237"/>
      <c r="F223" s="237"/>
      <c r="G223" s="234"/>
      <c r="H223" s="234"/>
      <c r="I223" s="234"/>
      <c r="J223" s="234"/>
      <c r="K223" s="234"/>
      <c r="L223" s="237"/>
      <c r="M223" s="237"/>
      <c r="N223" s="234"/>
      <c r="O223" s="239"/>
      <c r="P223" s="239"/>
    </row>
    <row r="224" spans="2:16" s="272" customFormat="1">
      <c r="B224" s="238"/>
      <c r="C224" s="238"/>
      <c r="D224" s="237"/>
      <c r="E224" s="237"/>
      <c r="F224" s="237"/>
      <c r="G224" s="234"/>
      <c r="H224" s="234"/>
      <c r="I224" s="234"/>
      <c r="J224" s="234"/>
      <c r="K224" s="234"/>
      <c r="L224" s="237"/>
      <c r="M224" s="237"/>
      <c r="N224" s="234"/>
      <c r="O224" s="239"/>
      <c r="P224" s="239"/>
    </row>
    <row r="225" spans="2:16" s="272" customFormat="1">
      <c r="B225" s="238"/>
      <c r="C225" s="238"/>
      <c r="D225" s="237"/>
      <c r="E225" s="237"/>
      <c r="F225" s="237"/>
      <c r="G225" s="234"/>
      <c r="H225" s="234"/>
      <c r="I225" s="234"/>
      <c r="J225" s="234"/>
      <c r="K225" s="234"/>
      <c r="L225" s="237"/>
      <c r="M225" s="237"/>
      <c r="N225" s="234"/>
      <c r="O225" s="239"/>
      <c r="P225" s="239"/>
    </row>
    <row r="226" spans="2:16" s="272" customFormat="1">
      <c r="B226" s="238"/>
      <c r="C226" s="238"/>
      <c r="D226" s="237"/>
      <c r="E226" s="237"/>
      <c r="F226" s="237"/>
      <c r="G226" s="234"/>
      <c r="H226" s="234"/>
      <c r="I226" s="234"/>
      <c r="J226" s="234"/>
      <c r="K226" s="234"/>
      <c r="L226" s="237"/>
      <c r="M226" s="237"/>
      <c r="N226" s="234"/>
      <c r="O226" s="239"/>
      <c r="P226" s="239"/>
    </row>
    <row r="227" spans="2:16" s="272" customFormat="1">
      <c r="B227" s="238"/>
      <c r="C227" s="238"/>
      <c r="D227" s="237"/>
      <c r="E227" s="237"/>
      <c r="F227" s="237"/>
      <c r="G227" s="234"/>
      <c r="H227" s="234"/>
      <c r="I227" s="234"/>
      <c r="J227" s="234"/>
      <c r="K227" s="234"/>
      <c r="L227" s="237"/>
      <c r="M227" s="237"/>
      <c r="N227" s="234"/>
      <c r="O227" s="239"/>
      <c r="P227" s="239"/>
    </row>
    <row r="228" spans="2:16" s="272" customFormat="1">
      <c r="B228" s="238"/>
      <c r="C228" s="238"/>
      <c r="D228" s="237"/>
      <c r="E228" s="237"/>
      <c r="F228" s="237"/>
      <c r="G228" s="234"/>
      <c r="H228" s="234"/>
      <c r="I228" s="234"/>
      <c r="J228" s="234"/>
      <c r="K228" s="234"/>
      <c r="L228" s="237"/>
      <c r="M228" s="237"/>
      <c r="N228" s="234"/>
      <c r="O228" s="239"/>
      <c r="P228" s="239"/>
    </row>
    <row r="229" spans="2:16" s="272" customFormat="1">
      <c r="B229" s="238"/>
      <c r="C229" s="238"/>
      <c r="D229" s="237"/>
      <c r="E229" s="237"/>
      <c r="F229" s="237"/>
      <c r="G229" s="234"/>
      <c r="H229" s="234"/>
      <c r="I229" s="234"/>
      <c r="J229" s="234"/>
      <c r="K229" s="234"/>
      <c r="L229" s="237"/>
      <c r="M229" s="237"/>
      <c r="N229" s="234"/>
      <c r="O229" s="239"/>
      <c r="P229" s="239"/>
    </row>
    <row r="230" spans="2:16" s="272" customFormat="1">
      <c r="B230" s="238"/>
      <c r="C230" s="238"/>
      <c r="D230" s="237"/>
      <c r="E230" s="237"/>
      <c r="F230" s="237"/>
      <c r="G230" s="234"/>
      <c r="H230" s="234"/>
      <c r="I230" s="234"/>
      <c r="J230" s="234"/>
      <c r="K230" s="234"/>
      <c r="L230" s="237"/>
      <c r="M230" s="237"/>
      <c r="N230" s="234"/>
      <c r="O230" s="239"/>
      <c r="P230" s="239"/>
    </row>
    <row r="231" spans="2:16" s="272" customFormat="1">
      <c r="B231" s="238"/>
      <c r="C231" s="238"/>
      <c r="D231" s="237"/>
      <c r="E231" s="237"/>
      <c r="F231" s="237"/>
      <c r="G231" s="234"/>
      <c r="H231" s="234"/>
      <c r="I231" s="234"/>
      <c r="J231" s="234"/>
      <c r="K231" s="234"/>
      <c r="L231" s="237"/>
      <c r="M231" s="237"/>
      <c r="N231" s="234"/>
      <c r="O231" s="239"/>
      <c r="P231" s="239"/>
    </row>
    <row r="232" spans="2:16" s="272" customFormat="1">
      <c r="B232" s="238"/>
      <c r="C232" s="238"/>
      <c r="D232" s="237"/>
      <c r="E232" s="237"/>
      <c r="F232" s="237"/>
      <c r="G232" s="234"/>
      <c r="H232" s="234"/>
      <c r="I232" s="234"/>
      <c r="J232" s="234"/>
      <c r="K232" s="234"/>
      <c r="L232" s="237"/>
      <c r="M232" s="237"/>
      <c r="N232" s="234"/>
      <c r="O232" s="239"/>
      <c r="P232" s="239"/>
    </row>
    <row r="233" spans="2:16" s="272" customFormat="1">
      <c r="B233" s="238"/>
      <c r="C233" s="238"/>
      <c r="D233" s="237"/>
      <c r="E233" s="237"/>
      <c r="F233" s="237"/>
      <c r="G233" s="234"/>
      <c r="H233" s="234"/>
      <c r="I233" s="234"/>
      <c r="J233" s="234"/>
      <c r="K233" s="234"/>
      <c r="L233" s="237"/>
      <c r="M233" s="237"/>
      <c r="N233" s="234"/>
      <c r="O233" s="239"/>
      <c r="P233" s="239"/>
    </row>
    <row r="234" spans="2:16" s="272" customFormat="1">
      <c r="B234" s="238"/>
      <c r="C234" s="238"/>
      <c r="D234" s="237"/>
      <c r="E234" s="237"/>
      <c r="F234" s="237"/>
      <c r="G234" s="234"/>
      <c r="H234" s="234"/>
      <c r="I234" s="234"/>
      <c r="J234" s="234"/>
      <c r="K234" s="234"/>
      <c r="L234" s="237"/>
      <c r="M234" s="237"/>
      <c r="N234" s="234"/>
      <c r="O234" s="239"/>
      <c r="P234" s="239"/>
    </row>
    <row r="235" spans="2:16" s="272" customFormat="1">
      <c r="B235" s="238"/>
      <c r="C235" s="238"/>
      <c r="D235" s="237"/>
      <c r="E235" s="237"/>
      <c r="F235" s="237"/>
      <c r="G235" s="234"/>
      <c r="H235" s="234"/>
      <c r="I235" s="234"/>
      <c r="J235" s="234"/>
      <c r="K235" s="234"/>
      <c r="L235" s="237"/>
      <c r="M235" s="237"/>
      <c r="N235" s="234"/>
      <c r="O235" s="239"/>
      <c r="P235" s="239"/>
    </row>
    <row r="236" spans="2:16" s="272" customFormat="1">
      <c r="B236" s="238"/>
      <c r="C236" s="238"/>
      <c r="D236" s="237"/>
      <c r="E236" s="237"/>
      <c r="F236" s="237"/>
      <c r="G236" s="234"/>
      <c r="H236" s="234"/>
      <c r="I236" s="234"/>
      <c r="J236" s="234"/>
      <c r="K236" s="234"/>
      <c r="L236" s="237"/>
      <c r="M236" s="237"/>
      <c r="N236" s="234"/>
      <c r="O236" s="239"/>
      <c r="P236" s="239"/>
    </row>
    <row r="237" spans="2:16" s="272" customFormat="1">
      <c r="B237" s="238"/>
      <c r="C237" s="238"/>
      <c r="D237" s="237"/>
      <c r="E237" s="237"/>
      <c r="F237" s="237"/>
      <c r="G237" s="234"/>
      <c r="H237" s="234"/>
      <c r="I237" s="234"/>
      <c r="J237" s="234"/>
      <c r="K237" s="234"/>
      <c r="L237" s="237"/>
      <c r="M237" s="237"/>
      <c r="N237" s="234"/>
      <c r="O237" s="239"/>
      <c r="P237" s="239"/>
    </row>
    <row r="238" spans="2:16" s="272" customFormat="1">
      <c r="B238" s="238"/>
      <c r="C238" s="238"/>
      <c r="D238" s="237"/>
      <c r="E238" s="237"/>
      <c r="F238" s="237"/>
      <c r="G238" s="234"/>
      <c r="H238" s="234"/>
      <c r="I238" s="234"/>
      <c r="J238" s="234"/>
      <c r="K238" s="234"/>
      <c r="L238" s="237"/>
      <c r="M238" s="237"/>
      <c r="N238" s="234"/>
      <c r="O238" s="239"/>
      <c r="P238" s="239"/>
    </row>
    <row r="239" spans="2:16" s="272" customFormat="1">
      <c r="B239" s="238"/>
      <c r="C239" s="238"/>
      <c r="D239" s="237"/>
      <c r="E239" s="237"/>
      <c r="F239" s="237"/>
      <c r="G239" s="234"/>
      <c r="H239" s="234"/>
      <c r="I239" s="234"/>
      <c r="J239" s="234"/>
      <c r="K239" s="234"/>
      <c r="L239" s="237"/>
      <c r="M239" s="237"/>
      <c r="N239" s="234"/>
      <c r="O239" s="239"/>
      <c r="P239" s="239"/>
    </row>
    <row r="240" spans="2:16" s="272" customFormat="1">
      <c r="B240" s="238"/>
      <c r="C240" s="238"/>
      <c r="D240" s="237"/>
      <c r="E240" s="237"/>
      <c r="F240" s="237"/>
      <c r="G240" s="234"/>
      <c r="H240" s="234"/>
      <c r="I240" s="234"/>
      <c r="J240" s="234"/>
      <c r="K240" s="234"/>
      <c r="L240" s="237"/>
      <c r="M240" s="237"/>
      <c r="N240" s="234"/>
      <c r="O240" s="239"/>
      <c r="P240" s="239"/>
    </row>
    <row r="241" spans="2:16" s="272" customFormat="1">
      <c r="B241" s="238"/>
      <c r="C241" s="238"/>
      <c r="D241" s="237"/>
      <c r="E241" s="237"/>
      <c r="F241" s="237"/>
      <c r="G241" s="234"/>
      <c r="H241" s="234"/>
      <c r="I241" s="234"/>
      <c r="J241" s="234"/>
      <c r="K241" s="234"/>
      <c r="L241" s="237"/>
      <c r="M241" s="237"/>
      <c r="N241" s="234"/>
      <c r="O241" s="239"/>
      <c r="P241" s="239"/>
    </row>
    <row r="242" spans="2:16" s="272" customFormat="1">
      <c r="B242" s="238"/>
      <c r="C242" s="238"/>
      <c r="D242" s="237"/>
      <c r="E242" s="237"/>
      <c r="F242" s="237"/>
      <c r="G242" s="234"/>
      <c r="H242" s="234"/>
      <c r="I242" s="234"/>
      <c r="J242" s="234"/>
      <c r="K242" s="234"/>
      <c r="L242" s="237"/>
      <c r="M242" s="237"/>
      <c r="N242" s="234"/>
      <c r="O242" s="239"/>
      <c r="P242" s="239"/>
    </row>
    <row r="243" spans="2:16" s="272" customFormat="1">
      <c r="B243" s="238"/>
      <c r="C243" s="238"/>
      <c r="D243" s="237"/>
      <c r="E243" s="237"/>
      <c r="F243" s="237"/>
      <c r="G243" s="234"/>
      <c r="H243" s="234"/>
      <c r="I243" s="234"/>
      <c r="J243" s="234"/>
      <c r="K243" s="234"/>
      <c r="L243" s="237"/>
      <c r="M243" s="237"/>
      <c r="N243" s="234"/>
      <c r="O243" s="239"/>
      <c r="P243" s="239"/>
    </row>
    <row r="244" spans="2:16" s="272" customFormat="1">
      <c r="B244" s="238"/>
      <c r="C244" s="238"/>
      <c r="D244" s="237"/>
      <c r="E244" s="237"/>
      <c r="F244" s="237"/>
      <c r="G244" s="234"/>
      <c r="H244" s="234"/>
      <c r="I244" s="234"/>
      <c r="J244" s="234"/>
      <c r="K244" s="234"/>
      <c r="L244" s="237"/>
      <c r="M244" s="237"/>
      <c r="N244" s="234"/>
      <c r="O244" s="239"/>
      <c r="P244" s="239"/>
    </row>
    <row r="245" spans="2:16" s="272" customFormat="1">
      <c r="B245" s="238"/>
      <c r="C245" s="238"/>
      <c r="D245" s="237"/>
      <c r="E245" s="237"/>
      <c r="F245" s="237"/>
      <c r="G245" s="234"/>
      <c r="H245" s="234"/>
      <c r="I245" s="234"/>
      <c r="J245" s="234"/>
      <c r="K245" s="234"/>
      <c r="L245" s="237"/>
      <c r="M245" s="237"/>
      <c r="N245" s="234"/>
      <c r="O245" s="239"/>
      <c r="P245" s="239"/>
    </row>
    <row r="246" spans="2:16" s="272" customFormat="1">
      <c r="B246" s="238"/>
      <c r="C246" s="238"/>
      <c r="D246" s="237"/>
      <c r="E246" s="237"/>
      <c r="F246" s="237"/>
      <c r="G246" s="234"/>
      <c r="H246" s="234"/>
      <c r="I246" s="234"/>
      <c r="J246" s="234"/>
      <c r="K246" s="234"/>
      <c r="L246" s="237"/>
      <c r="M246" s="237"/>
      <c r="N246" s="234"/>
      <c r="O246" s="239"/>
      <c r="P246" s="239"/>
    </row>
    <row r="247" spans="2:16" s="272" customFormat="1">
      <c r="B247" s="238"/>
      <c r="C247" s="238"/>
      <c r="D247" s="237"/>
      <c r="E247" s="237"/>
      <c r="F247" s="237"/>
      <c r="G247" s="234"/>
      <c r="H247" s="234"/>
      <c r="I247" s="234"/>
      <c r="J247" s="234"/>
      <c r="K247" s="234"/>
      <c r="L247" s="237"/>
      <c r="M247" s="237"/>
      <c r="N247" s="234"/>
      <c r="O247" s="239"/>
      <c r="P247" s="239"/>
    </row>
    <row r="248" spans="2:16" s="272" customFormat="1">
      <c r="B248" s="238"/>
      <c r="C248" s="238"/>
      <c r="D248" s="237"/>
      <c r="E248" s="237"/>
      <c r="F248" s="237"/>
      <c r="G248" s="234"/>
      <c r="H248" s="234"/>
      <c r="I248" s="234"/>
      <c r="J248" s="234"/>
      <c r="K248" s="234"/>
      <c r="L248" s="237"/>
      <c r="M248" s="237"/>
      <c r="N248" s="234"/>
      <c r="O248" s="239"/>
      <c r="P248" s="239"/>
    </row>
    <row r="249" spans="2:16" s="272" customFormat="1">
      <c r="B249" s="238"/>
      <c r="C249" s="238"/>
      <c r="D249" s="237"/>
      <c r="E249" s="237"/>
      <c r="F249" s="237"/>
      <c r="G249" s="234"/>
      <c r="H249" s="234"/>
      <c r="I249" s="234"/>
      <c r="J249" s="234"/>
      <c r="K249" s="234"/>
      <c r="L249" s="237"/>
      <c r="M249" s="237"/>
      <c r="N249" s="234"/>
      <c r="O249" s="239"/>
      <c r="P249" s="239"/>
    </row>
    <row r="250" spans="2:16" s="272" customFormat="1">
      <c r="B250" s="238"/>
      <c r="C250" s="238"/>
      <c r="D250" s="237"/>
      <c r="E250" s="237"/>
      <c r="F250" s="237"/>
      <c r="G250" s="234"/>
      <c r="H250" s="234"/>
      <c r="I250" s="234"/>
      <c r="J250" s="234"/>
      <c r="K250" s="234"/>
      <c r="L250" s="237"/>
      <c r="M250" s="237"/>
      <c r="N250" s="234"/>
      <c r="O250" s="239"/>
      <c r="P250" s="239"/>
    </row>
    <row r="251" spans="2:16" s="272" customFormat="1">
      <c r="B251" s="238"/>
      <c r="C251" s="238"/>
      <c r="D251" s="237"/>
      <c r="E251" s="237"/>
      <c r="F251" s="237"/>
      <c r="G251" s="234"/>
      <c r="H251" s="234"/>
      <c r="I251" s="234"/>
      <c r="J251" s="234"/>
      <c r="K251" s="234"/>
      <c r="L251" s="237"/>
      <c r="M251" s="237"/>
      <c r="N251" s="234"/>
      <c r="O251" s="239"/>
      <c r="P251" s="239"/>
    </row>
    <row r="252" spans="2:16" s="272" customFormat="1">
      <c r="B252" s="238"/>
      <c r="C252" s="238"/>
      <c r="D252" s="237"/>
      <c r="E252" s="237"/>
      <c r="F252" s="237"/>
      <c r="G252" s="234"/>
      <c r="H252" s="234"/>
      <c r="I252" s="234"/>
      <c r="J252" s="234"/>
      <c r="K252" s="234"/>
      <c r="L252" s="237"/>
      <c r="M252" s="237"/>
      <c r="N252" s="234"/>
      <c r="O252" s="239"/>
      <c r="P252" s="239"/>
    </row>
    <row r="253" spans="2:16" s="272" customFormat="1">
      <c r="B253" s="238"/>
      <c r="C253" s="238"/>
      <c r="D253" s="237"/>
      <c r="E253" s="237"/>
      <c r="F253" s="237"/>
      <c r="G253" s="234"/>
      <c r="H253" s="234"/>
      <c r="I253" s="234"/>
      <c r="J253" s="234"/>
      <c r="K253" s="234"/>
      <c r="L253" s="237"/>
      <c r="M253" s="237"/>
      <c r="N253" s="234"/>
      <c r="O253" s="239"/>
      <c r="P253" s="239"/>
    </row>
    <row r="254" spans="2:16" s="272" customFormat="1">
      <c r="B254" s="238"/>
      <c r="C254" s="238"/>
      <c r="D254" s="237"/>
      <c r="E254" s="237"/>
      <c r="F254" s="237"/>
      <c r="G254" s="234"/>
      <c r="H254" s="234"/>
      <c r="I254" s="234"/>
      <c r="J254" s="234"/>
      <c r="K254" s="234"/>
      <c r="L254" s="237"/>
      <c r="M254" s="237"/>
      <c r="N254" s="234"/>
      <c r="O254" s="239"/>
      <c r="P254" s="239"/>
    </row>
    <row r="255" spans="2:16" s="272" customFormat="1">
      <c r="B255" s="238"/>
      <c r="C255" s="238"/>
      <c r="D255" s="237"/>
      <c r="E255" s="237"/>
      <c r="F255" s="237"/>
      <c r="G255" s="234"/>
      <c r="H255" s="234"/>
      <c r="I255" s="234"/>
      <c r="J255" s="234"/>
      <c r="K255" s="234"/>
      <c r="L255" s="237"/>
      <c r="M255" s="237"/>
      <c r="N255" s="234"/>
      <c r="O255" s="239"/>
      <c r="P255" s="239"/>
    </row>
    <row r="256" spans="2:16" s="272" customFormat="1">
      <c r="B256" s="238"/>
      <c r="C256" s="238"/>
      <c r="D256" s="237"/>
      <c r="E256" s="237"/>
      <c r="F256" s="237"/>
      <c r="G256" s="234"/>
      <c r="H256" s="234"/>
      <c r="I256" s="234"/>
      <c r="J256" s="234"/>
      <c r="K256" s="234"/>
      <c r="L256" s="237"/>
      <c r="M256" s="237"/>
      <c r="N256" s="234"/>
      <c r="O256" s="239"/>
      <c r="P256" s="239"/>
    </row>
    <row r="257" spans="2:16" s="272" customFormat="1">
      <c r="B257" s="238"/>
      <c r="C257" s="238"/>
      <c r="D257" s="237"/>
      <c r="E257" s="237"/>
      <c r="F257" s="237"/>
      <c r="G257" s="234"/>
      <c r="H257" s="234"/>
      <c r="I257" s="234"/>
      <c r="J257" s="234"/>
      <c r="K257" s="234"/>
      <c r="L257" s="237"/>
      <c r="M257" s="237"/>
      <c r="N257" s="234"/>
      <c r="O257" s="239"/>
      <c r="P257" s="239"/>
    </row>
    <row r="258" spans="2:16" s="272" customFormat="1">
      <c r="B258" s="238"/>
      <c r="C258" s="238"/>
      <c r="D258" s="237"/>
      <c r="E258" s="237"/>
      <c r="F258" s="237"/>
      <c r="G258" s="234"/>
      <c r="H258" s="234"/>
      <c r="I258" s="234"/>
      <c r="J258" s="234"/>
      <c r="K258" s="234"/>
      <c r="L258" s="237"/>
      <c r="M258" s="237"/>
      <c r="N258" s="234"/>
      <c r="O258" s="239"/>
      <c r="P258" s="239"/>
    </row>
    <row r="259" spans="2:16" s="272" customFormat="1">
      <c r="B259" s="238"/>
      <c r="C259" s="238"/>
      <c r="D259" s="237"/>
      <c r="E259" s="237"/>
      <c r="F259" s="237"/>
      <c r="G259" s="234"/>
      <c r="H259" s="234"/>
      <c r="I259" s="234"/>
      <c r="J259" s="234"/>
      <c r="K259" s="234"/>
      <c r="L259" s="237"/>
      <c r="M259" s="237"/>
      <c r="N259" s="234"/>
      <c r="O259" s="239"/>
      <c r="P259" s="239"/>
    </row>
    <row r="260" spans="2:16" s="272" customFormat="1">
      <c r="B260" s="238"/>
      <c r="C260" s="238"/>
      <c r="D260" s="237"/>
      <c r="E260" s="237"/>
      <c r="F260" s="237"/>
      <c r="G260" s="234"/>
      <c r="H260" s="234"/>
      <c r="I260" s="234"/>
      <c r="J260" s="234"/>
      <c r="K260" s="234"/>
      <c r="L260" s="237"/>
      <c r="M260" s="237"/>
      <c r="N260" s="234"/>
      <c r="O260" s="239"/>
      <c r="P260" s="239"/>
    </row>
    <row r="261" spans="2:16" s="272" customFormat="1">
      <c r="B261" s="238"/>
      <c r="C261" s="238"/>
      <c r="D261" s="237"/>
      <c r="E261" s="237"/>
      <c r="F261" s="237"/>
      <c r="G261" s="234"/>
      <c r="H261" s="234"/>
      <c r="I261" s="234"/>
      <c r="J261" s="234"/>
      <c r="K261" s="234"/>
      <c r="L261" s="237"/>
      <c r="M261" s="237"/>
      <c r="N261" s="234"/>
      <c r="O261" s="239"/>
      <c r="P261" s="239"/>
    </row>
    <row r="262" spans="2:16" s="272" customFormat="1">
      <c r="B262" s="238"/>
      <c r="C262" s="238"/>
      <c r="D262" s="237"/>
      <c r="E262" s="237"/>
      <c r="F262" s="237"/>
      <c r="G262" s="234"/>
      <c r="H262" s="234"/>
      <c r="I262" s="234"/>
      <c r="J262" s="234"/>
      <c r="K262" s="234"/>
      <c r="L262" s="237"/>
      <c r="M262" s="237"/>
      <c r="N262" s="234"/>
      <c r="O262" s="239"/>
      <c r="P262" s="239"/>
    </row>
    <row r="263" spans="2:16" s="272" customFormat="1">
      <c r="B263" s="238"/>
      <c r="C263" s="238"/>
      <c r="D263" s="237"/>
      <c r="E263" s="237"/>
      <c r="F263" s="237"/>
      <c r="G263" s="234"/>
      <c r="H263" s="234"/>
      <c r="I263" s="234"/>
      <c r="J263" s="234"/>
      <c r="K263" s="234"/>
      <c r="L263" s="237"/>
      <c r="M263" s="237"/>
      <c r="N263" s="234"/>
      <c r="O263" s="239"/>
      <c r="P263" s="239"/>
    </row>
    <row r="264" spans="2:16" s="272" customFormat="1">
      <c r="B264" s="238"/>
      <c r="C264" s="238"/>
      <c r="D264" s="237"/>
      <c r="E264" s="237"/>
      <c r="F264" s="237"/>
      <c r="G264" s="234"/>
      <c r="H264" s="234"/>
      <c r="I264" s="234"/>
      <c r="J264" s="234"/>
      <c r="K264" s="234"/>
      <c r="L264" s="237"/>
      <c r="M264" s="237"/>
      <c r="N264" s="234"/>
      <c r="O264" s="239"/>
      <c r="P264" s="239"/>
    </row>
    <row r="265" spans="2:16" s="272" customFormat="1">
      <c r="B265" s="238"/>
      <c r="C265" s="238"/>
      <c r="D265" s="237"/>
      <c r="E265" s="237"/>
      <c r="F265" s="237"/>
      <c r="G265" s="234"/>
      <c r="H265" s="234"/>
      <c r="I265" s="234"/>
      <c r="J265" s="234"/>
      <c r="K265" s="234"/>
      <c r="L265" s="237"/>
      <c r="M265" s="237"/>
      <c r="N265" s="234"/>
      <c r="O265" s="239"/>
      <c r="P265" s="239"/>
    </row>
    <row r="266" spans="2:16" s="272" customFormat="1">
      <c r="B266" s="238"/>
      <c r="C266" s="238"/>
      <c r="D266" s="237"/>
      <c r="E266" s="237"/>
      <c r="F266" s="237"/>
      <c r="G266" s="234"/>
      <c r="H266" s="234"/>
      <c r="I266" s="234"/>
      <c r="J266" s="234"/>
      <c r="K266" s="234"/>
      <c r="L266" s="237"/>
      <c r="M266" s="237"/>
      <c r="N266" s="234"/>
      <c r="O266" s="239"/>
      <c r="P266" s="239"/>
    </row>
    <row r="267" spans="2:16" s="272" customFormat="1">
      <c r="B267" s="238"/>
      <c r="C267" s="238"/>
      <c r="D267" s="237"/>
      <c r="E267" s="237"/>
      <c r="F267" s="237"/>
      <c r="G267" s="234"/>
      <c r="H267" s="234"/>
      <c r="I267" s="234"/>
      <c r="J267" s="234"/>
      <c r="K267" s="234"/>
      <c r="L267" s="237"/>
      <c r="M267" s="237"/>
      <c r="N267" s="234"/>
      <c r="O267" s="239"/>
      <c r="P267" s="239"/>
    </row>
    <row r="268" spans="2:16" s="272" customFormat="1">
      <c r="B268" s="238"/>
      <c r="C268" s="238"/>
      <c r="D268" s="237"/>
      <c r="E268" s="237"/>
      <c r="F268" s="237"/>
      <c r="G268" s="234"/>
      <c r="H268" s="234"/>
      <c r="I268" s="234"/>
      <c r="J268" s="234"/>
      <c r="K268" s="234"/>
      <c r="L268" s="237"/>
      <c r="M268" s="237"/>
      <c r="N268" s="234"/>
      <c r="O268" s="239"/>
      <c r="P268" s="239"/>
    </row>
    <row r="269" spans="2:16" s="272" customFormat="1">
      <c r="B269" s="238"/>
      <c r="C269" s="238"/>
      <c r="D269" s="237"/>
      <c r="E269" s="237"/>
      <c r="F269" s="237"/>
      <c r="G269" s="234"/>
      <c r="H269" s="234"/>
      <c r="I269" s="234"/>
      <c r="J269" s="234"/>
      <c r="K269" s="234"/>
      <c r="L269" s="237"/>
      <c r="M269" s="237"/>
      <c r="N269" s="234"/>
      <c r="O269" s="239"/>
      <c r="P269" s="239"/>
    </row>
    <row r="270" spans="2:16" s="272" customFormat="1">
      <c r="B270" s="238"/>
      <c r="C270" s="238"/>
      <c r="D270" s="237"/>
      <c r="E270" s="237"/>
      <c r="F270" s="237"/>
      <c r="G270" s="234"/>
      <c r="H270" s="234"/>
      <c r="I270" s="234"/>
      <c r="J270" s="234"/>
      <c r="K270" s="234"/>
      <c r="L270" s="237"/>
      <c r="M270" s="237"/>
      <c r="N270" s="234"/>
      <c r="O270" s="239"/>
      <c r="P270" s="239"/>
    </row>
    <row r="271" spans="2:16" s="272" customFormat="1">
      <c r="B271" s="238"/>
      <c r="C271" s="238"/>
      <c r="D271" s="237"/>
      <c r="E271" s="237"/>
      <c r="F271" s="237"/>
      <c r="G271" s="234"/>
      <c r="H271" s="234"/>
      <c r="I271" s="234"/>
      <c r="J271" s="234"/>
      <c r="K271" s="234"/>
      <c r="L271" s="237"/>
      <c r="M271" s="237"/>
      <c r="N271" s="234"/>
      <c r="O271" s="239"/>
      <c r="P271" s="239"/>
    </row>
    <row r="272" spans="2:16" s="272" customFormat="1">
      <c r="B272" s="238"/>
      <c r="C272" s="238"/>
      <c r="D272" s="237"/>
      <c r="E272" s="237"/>
      <c r="F272" s="237"/>
      <c r="G272" s="234"/>
      <c r="H272" s="234"/>
      <c r="I272" s="234"/>
      <c r="J272" s="234"/>
      <c r="K272" s="234"/>
      <c r="L272" s="237"/>
      <c r="M272" s="237"/>
      <c r="N272" s="234"/>
      <c r="O272" s="239"/>
      <c r="P272" s="239"/>
    </row>
    <row r="273" spans="2:16" s="272" customFormat="1">
      <c r="B273" s="238"/>
      <c r="C273" s="238"/>
      <c r="D273" s="237"/>
      <c r="E273" s="237"/>
      <c r="F273" s="237"/>
      <c r="G273" s="234"/>
      <c r="H273" s="234"/>
      <c r="I273" s="234"/>
      <c r="J273" s="234"/>
      <c r="K273" s="234"/>
      <c r="L273" s="237"/>
      <c r="M273" s="237"/>
      <c r="N273" s="234"/>
      <c r="O273" s="239"/>
      <c r="P273" s="239"/>
    </row>
    <row r="274" spans="2:16" s="272" customFormat="1">
      <c r="B274" s="238"/>
      <c r="C274" s="238"/>
      <c r="D274" s="237"/>
      <c r="E274" s="237"/>
      <c r="F274" s="237"/>
      <c r="G274" s="234"/>
      <c r="H274" s="234"/>
      <c r="I274" s="234"/>
      <c r="J274" s="234"/>
      <c r="K274" s="234"/>
      <c r="L274" s="237"/>
      <c r="M274" s="237"/>
      <c r="N274" s="234"/>
      <c r="O274" s="239"/>
      <c r="P274" s="239"/>
    </row>
    <row r="275" spans="2:16" s="272" customFormat="1">
      <c r="B275" s="238"/>
      <c r="C275" s="238"/>
      <c r="D275" s="237"/>
      <c r="E275" s="237"/>
      <c r="F275" s="237"/>
      <c r="G275" s="234"/>
      <c r="H275" s="234"/>
      <c r="I275" s="234"/>
      <c r="J275" s="234"/>
      <c r="K275" s="234"/>
      <c r="L275" s="237"/>
      <c r="M275" s="237"/>
      <c r="N275" s="234"/>
      <c r="O275" s="239"/>
      <c r="P275" s="239"/>
    </row>
    <row r="276" spans="2:16" s="272" customFormat="1">
      <c r="B276" s="238"/>
      <c r="C276" s="238"/>
      <c r="D276" s="237"/>
      <c r="E276" s="237"/>
      <c r="F276" s="237"/>
      <c r="G276" s="234"/>
      <c r="H276" s="234"/>
      <c r="I276" s="234"/>
      <c r="J276" s="234"/>
      <c r="K276" s="234"/>
      <c r="L276" s="237"/>
      <c r="M276" s="237"/>
      <c r="N276" s="234"/>
      <c r="O276" s="239"/>
      <c r="P276" s="239"/>
    </row>
    <row r="277" spans="2:16" s="272" customFormat="1">
      <c r="B277" s="238"/>
      <c r="C277" s="238"/>
      <c r="D277" s="237"/>
      <c r="E277" s="237"/>
      <c r="F277" s="237"/>
      <c r="G277" s="234"/>
      <c r="H277" s="234"/>
      <c r="I277" s="234"/>
      <c r="J277" s="234"/>
      <c r="K277" s="234"/>
      <c r="L277" s="237"/>
      <c r="M277" s="237"/>
      <c r="N277" s="234"/>
      <c r="O277" s="239"/>
      <c r="P277" s="239"/>
    </row>
    <row r="278" spans="2:16" s="272" customFormat="1">
      <c r="B278" s="238"/>
      <c r="C278" s="238"/>
      <c r="D278" s="237"/>
      <c r="E278" s="237"/>
      <c r="F278" s="237"/>
      <c r="G278" s="234"/>
      <c r="H278" s="234"/>
      <c r="I278" s="234"/>
      <c r="J278" s="234"/>
      <c r="K278" s="234"/>
      <c r="L278" s="237"/>
      <c r="M278" s="237"/>
      <c r="N278" s="234"/>
      <c r="O278" s="239"/>
      <c r="P278" s="239"/>
    </row>
    <row r="279" spans="2:16" s="272" customFormat="1">
      <c r="B279" s="238"/>
      <c r="C279" s="238"/>
      <c r="D279" s="237"/>
      <c r="E279" s="237"/>
      <c r="F279" s="237"/>
      <c r="G279" s="234"/>
      <c r="H279" s="234"/>
      <c r="I279" s="234"/>
      <c r="J279" s="234"/>
      <c r="K279" s="234"/>
      <c r="L279" s="237"/>
      <c r="M279" s="237"/>
      <c r="N279" s="234"/>
      <c r="O279" s="239"/>
      <c r="P279" s="239"/>
    </row>
    <row r="280" spans="2:16" s="272" customFormat="1">
      <c r="B280" s="238"/>
      <c r="C280" s="238"/>
      <c r="D280" s="237"/>
      <c r="E280" s="237"/>
      <c r="F280" s="237"/>
      <c r="G280" s="234"/>
      <c r="H280" s="234"/>
      <c r="I280" s="234"/>
      <c r="J280" s="234"/>
      <c r="K280" s="234"/>
      <c r="L280" s="237"/>
      <c r="M280" s="237"/>
      <c r="N280" s="234"/>
      <c r="O280" s="239"/>
      <c r="P280" s="239"/>
    </row>
    <row r="281" spans="2:16" s="272" customFormat="1">
      <c r="B281" s="238"/>
      <c r="C281" s="238"/>
      <c r="D281" s="237"/>
      <c r="E281" s="237"/>
      <c r="F281" s="237"/>
      <c r="G281" s="234"/>
      <c r="H281" s="234"/>
      <c r="I281" s="234"/>
      <c r="J281" s="234"/>
      <c r="K281" s="234"/>
      <c r="L281" s="237"/>
      <c r="M281" s="237"/>
      <c r="N281" s="234"/>
      <c r="O281" s="239"/>
      <c r="P281" s="239"/>
    </row>
    <row r="282" spans="2:16" s="272" customFormat="1">
      <c r="B282" s="238"/>
      <c r="C282" s="238"/>
      <c r="D282" s="237"/>
      <c r="E282" s="237"/>
      <c r="F282" s="237"/>
      <c r="G282" s="234"/>
      <c r="H282" s="234"/>
      <c r="I282" s="234"/>
      <c r="J282" s="234"/>
      <c r="K282" s="234"/>
      <c r="L282" s="237"/>
      <c r="M282" s="237"/>
      <c r="N282" s="234"/>
      <c r="O282" s="239"/>
      <c r="P282" s="239"/>
    </row>
    <row r="283" spans="2:16" s="272" customFormat="1">
      <c r="B283" s="238"/>
      <c r="C283" s="238"/>
      <c r="D283" s="237"/>
      <c r="E283" s="237"/>
      <c r="F283" s="237"/>
      <c r="G283" s="234"/>
      <c r="H283" s="234"/>
      <c r="I283" s="234"/>
      <c r="J283" s="234"/>
      <c r="K283" s="234"/>
      <c r="L283" s="237"/>
      <c r="M283" s="237"/>
      <c r="N283" s="234"/>
      <c r="O283" s="239"/>
      <c r="P283" s="239"/>
    </row>
    <row r="284" spans="2:16" s="272" customFormat="1">
      <c r="B284" s="238"/>
      <c r="C284" s="238"/>
      <c r="D284" s="237"/>
      <c r="E284" s="237"/>
      <c r="F284" s="237"/>
      <c r="G284" s="234"/>
      <c r="H284" s="234"/>
      <c r="I284" s="234"/>
      <c r="J284" s="234"/>
      <c r="K284" s="234"/>
      <c r="L284" s="237"/>
      <c r="M284" s="237"/>
      <c r="N284" s="234"/>
      <c r="O284" s="239"/>
      <c r="P284" s="239"/>
    </row>
    <row r="285" spans="2:16" s="272" customFormat="1">
      <c r="B285" s="238"/>
      <c r="C285" s="238"/>
      <c r="D285" s="237"/>
      <c r="E285" s="237"/>
      <c r="F285" s="237"/>
      <c r="G285" s="234"/>
      <c r="H285" s="234"/>
      <c r="I285" s="234"/>
      <c r="J285" s="234"/>
      <c r="K285" s="234"/>
      <c r="L285" s="237"/>
      <c r="M285" s="237"/>
      <c r="N285" s="234"/>
      <c r="O285" s="239"/>
      <c r="P285" s="239"/>
    </row>
    <row r="286" spans="2:16" s="272" customFormat="1">
      <c r="B286" s="238"/>
      <c r="C286" s="238"/>
      <c r="D286" s="237"/>
      <c r="E286" s="237"/>
      <c r="F286" s="237"/>
      <c r="G286" s="234"/>
      <c r="H286" s="234"/>
      <c r="I286" s="234"/>
      <c r="J286" s="234"/>
      <c r="K286" s="234"/>
      <c r="L286" s="237"/>
      <c r="M286" s="237"/>
      <c r="N286" s="234"/>
      <c r="O286" s="239"/>
      <c r="P286" s="239"/>
    </row>
    <row r="287" spans="2:16" s="272" customFormat="1">
      <c r="B287" s="238"/>
      <c r="C287" s="238"/>
      <c r="D287" s="237"/>
      <c r="E287" s="237"/>
      <c r="F287" s="237"/>
      <c r="G287" s="234"/>
      <c r="H287" s="234"/>
      <c r="I287" s="234"/>
      <c r="J287" s="234"/>
      <c r="K287" s="234"/>
      <c r="L287" s="237"/>
      <c r="M287" s="237"/>
      <c r="N287" s="234"/>
      <c r="O287" s="239"/>
      <c r="P287" s="239"/>
    </row>
    <row r="288" spans="2:16" s="272" customFormat="1">
      <c r="B288" s="238"/>
      <c r="C288" s="238"/>
      <c r="D288" s="237"/>
      <c r="E288" s="237"/>
      <c r="F288" s="237"/>
      <c r="G288" s="234"/>
      <c r="H288" s="234"/>
      <c r="I288" s="234"/>
      <c r="J288" s="234"/>
      <c r="K288" s="234"/>
      <c r="L288" s="237"/>
      <c r="M288" s="237"/>
      <c r="N288" s="234"/>
      <c r="O288" s="239"/>
      <c r="P288" s="239"/>
    </row>
    <row r="289" spans="2:16" s="272" customFormat="1">
      <c r="B289" s="238"/>
      <c r="C289" s="238"/>
      <c r="D289" s="237"/>
      <c r="E289" s="237"/>
      <c r="F289" s="237"/>
      <c r="G289" s="234"/>
      <c r="H289" s="234"/>
      <c r="I289" s="234"/>
      <c r="J289" s="234"/>
      <c r="K289" s="234"/>
      <c r="L289" s="237"/>
      <c r="M289" s="237"/>
      <c r="N289" s="234"/>
      <c r="O289" s="239"/>
      <c r="P289" s="239"/>
    </row>
    <row r="290" spans="2:16" s="272" customFormat="1">
      <c r="B290" s="238"/>
      <c r="C290" s="238"/>
      <c r="D290" s="237"/>
      <c r="E290" s="237"/>
      <c r="F290" s="237"/>
      <c r="G290" s="234"/>
      <c r="H290" s="234"/>
      <c r="I290" s="234"/>
      <c r="J290" s="234"/>
      <c r="K290" s="234"/>
      <c r="L290" s="237"/>
      <c r="M290" s="237"/>
      <c r="N290" s="234"/>
      <c r="O290" s="239"/>
      <c r="P290" s="239"/>
    </row>
    <row r="291" spans="2:16" s="272" customFormat="1">
      <c r="B291" s="238"/>
      <c r="C291" s="238"/>
      <c r="D291" s="237"/>
      <c r="E291" s="237"/>
      <c r="F291" s="237"/>
      <c r="G291" s="234"/>
      <c r="H291" s="234"/>
      <c r="I291" s="234"/>
      <c r="J291" s="234"/>
      <c r="K291" s="234"/>
      <c r="L291" s="237"/>
      <c r="M291" s="237"/>
      <c r="N291" s="234"/>
      <c r="O291" s="239"/>
      <c r="P291" s="239"/>
    </row>
    <row r="292" spans="2:16" s="272" customFormat="1">
      <c r="B292" s="238"/>
      <c r="C292" s="238"/>
      <c r="D292" s="237"/>
      <c r="E292" s="237"/>
      <c r="F292" s="237"/>
      <c r="G292" s="234"/>
      <c r="H292" s="234"/>
      <c r="I292" s="234"/>
      <c r="J292" s="234"/>
      <c r="K292" s="234"/>
      <c r="L292" s="237"/>
      <c r="M292" s="237"/>
      <c r="N292" s="234"/>
      <c r="O292" s="239"/>
      <c r="P292" s="239"/>
    </row>
    <row r="293" spans="2:16" s="272" customFormat="1">
      <c r="B293" s="238"/>
      <c r="C293" s="238"/>
      <c r="D293" s="237"/>
      <c r="E293" s="237"/>
      <c r="F293" s="237"/>
      <c r="G293" s="234"/>
      <c r="H293" s="234"/>
      <c r="I293" s="234"/>
      <c r="J293" s="234"/>
      <c r="K293" s="234"/>
      <c r="L293" s="237"/>
      <c r="M293" s="237"/>
      <c r="N293" s="234"/>
      <c r="O293" s="239"/>
      <c r="P293" s="239"/>
    </row>
    <row r="294" spans="2:16" s="272" customFormat="1">
      <c r="B294" s="238"/>
      <c r="C294" s="238"/>
      <c r="D294" s="237"/>
      <c r="E294" s="237"/>
      <c r="F294" s="237"/>
      <c r="G294" s="234"/>
      <c r="H294" s="234"/>
      <c r="I294" s="234"/>
      <c r="J294" s="234"/>
      <c r="K294" s="234"/>
      <c r="L294" s="237"/>
      <c r="M294" s="237"/>
      <c r="N294" s="234"/>
      <c r="O294" s="239"/>
      <c r="P294" s="239"/>
    </row>
    <row r="295" spans="2:16" s="272" customFormat="1">
      <c r="B295" s="238"/>
      <c r="C295" s="238"/>
      <c r="D295" s="237"/>
      <c r="E295" s="237"/>
      <c r="F295" s="237"/>
      <c r="G295" s="234"/>
      <c r="H295" s="234"/>
      <c r="I295" s="234"/>
      <c r="J295" s="234"/>
      <c r="K295" s="234"/>
      <c r="L295" s="237"/>
      <c r="M295" s="237"/>
      <c r="N295" s="234"/>
      <c r="O295" s="239"/>
      <c r="P295" s="239"/>
    </row>
    <row r="296" spans="2:16" s="272" customFormat="1">
      <c r="B296" s="238"/>
      <c r="C296" s="238"/>
      <c r="D296" s="237"/>
      <c r="E296" s="237"/>
      <c r="F296" s="237"/>
      <c r="G296" s="234"/>
      <c r="H296" s="234"/>
      <c r="I296" s="234"/>
      <c r="J296" s="234"/>
      <c r="K296" s="234"/>
      <c r="L296" s="237"/>
      <c r="M296" s="237"/>
      <c r="N296" s="234"/>
      <c r="O296" s="239"/>
      <c r="P296" s="239"/>
    </row>
    <row r="297" spans="2:16" s="272" customFormat="1">
      <c r="B297" s="238"/>
      <c r="C297" s="238"/>
      <c r="D297" s="237"/>
      <c r="E297" s="237"/>
      <c r="F297" s="237"/>
      <c r="G297" s="234"/>
      <c r="H297" s="234"/>
      <c r="I297" s="234"/>
      <c r="J297" s="234"/>
      <c r="K297" s="234"/>
      <c r="L297" s="237"/>
      <c r="M297" s="237"/>
      <c r="N297" s="234"/>
      <c r="O297" s="239"/>
      <c r="P297" s="239"/>
    </row>
    <row r="298" spans="2:16" s="272" customFormat="1">
      <c r="B298" s="238"/>
      <c r="C298" s="238"/>
      <c r="D298" s="237"/>
      <c r="E298" s="237"/>
      <c r="F298" s="237"/>
      <c r="G298" s="234"/>
      <c r="H298" s="234"/>
      <c r="I298" s="234"/>
      <c r="J298" s="234"/>
      <c r="K298" s="234"/>
      <c r="L298" s="237"/>
      <c r="M298" s="237"/>
      <c r="N298" s="234"/>
      <c r="O298" s="239"/>
      <c r="P298" s="239"/>
    </row>
    <row r="299" spans="2:16" s="272" customFormat="1">
      <c r="B299" s="238"/>
      <c r="C299" s="238"/>
      <c r="D299" s="237"/>
      <c r="E299" s="237"/>
      <c r="F299" s="237"/>
      <c r="G299" s="234"/>
      <c r="H299" s="234"/>
      <c r="I299" s="234"/>
      <c r="J299" s="234"/>
      <c r="K299" s="234"/>
      <c r="L299" s="237"/>
      <c r="M299" s="237"/>
      <c r="N299" s="234"/>
      <c r="O299" s="239"/>
      <c r="P299" s="239"/>
    </row>
    <row r="300" spans="2:16" s="272" customFormat="1">
      <c r="B300" s="238"/>
      <c r="C300" s="238"/>
      <c r="D300" s="237"/>
      <c r="E300" s="237"/>
      <c r="F300" s="237"/>
      <c r="G300" s="234"/>
      <c r="H300" s="234"/>
      <c r="I300" s="234"/>
      <c r="J300" s="234"/>
      <c r="K300" s="234"/>
      <c r="L300" s="237"/>
      <c r="M300" s="237"/>
      <c r="N300" s="234"/>
      <c r="O300" s="239"/>
      <c r="P300" s="239"/>
    </row>
    <row r="301" spans="2:16" s="272" customFormat="1">
      <c r="B301" s="238"/>
      <c r="C301" s="238"/>
      <c r="D301" s="237"/>
      <c r="E301" s="237"/>
      <c r="F301" s="237"/>
      <c r="G301" s="234"/>
      <c r="H301" s="234"/>
      <c r="I301" s="234"/>
      <c r="J301" s="234"/>
      <c r="K301" s="234"/>
      <c r="L301" s="237"/>
      <c r="M301" s="237"/>
      <c r="N301" s="234"/>
      <c r="O301" s="239"/>
      <c r="P301" s="239"/>
    </row>
    <row r="302" spans="2:16" s="272" customFormat="1">
      <c r="B302" s="238"/>
      <c r="C302" s="238"/>
      <c r="D302" s="237"/>
      <c r="E302" s="237"/>
      <c r="F302" s="237"/>
      <c r="G302" s="234"/>
      <c r="H302" s="234"/>
      <c r="I302" s="234"/>
      <c r="J302" s="234"/>
      <c r="K302" s="234"/>
      <c r="L302" s="237"/>
      <c r="M302" s="237"/>
      <c r="N302" s="234"/>
      <c r="O302" s="239"/>
      <c r="P302" s="239"/>
    </row>
    <row r="303" spans="2:16" s="272" customFormat="1">
      <c r="B303" s="238"/>
      <c r="C303" s="238"/>
      <c r="D303" s="237"/>
      <c r="E303" s="237"/>
      <c r="F303" s="237"/>
      <c r="G303" s="234"/>
      <c r="H303" s="234"/>
      <c r="I303" s="234"/>
      <c r="J303" s="234"/>
      <c r="K303" s="234"/>
      <c r="L303" s="237"/>
      <c r="M303" s="237"/>
      <c r="N303" s="234"/>
      <c r="O303" s="239"/>
      <c r="P303" s="239"/>
    </row>
    <row r="304" spans="2:16" s="272" customFormat="1">
      <c r="B304" s="238"/>
      <c r="C304" s="238"/>
      <c r="D304" s="237"/>
      <c r="E304" s="237"/>
      <c r="F304" s="237"/>
      <c r="G304" s="234"/>
      <c r="H304" s="234"/>
      <c r="I304" s="234"/>
      <c r="J304" s="234"/>
      <c r="K304" s="234"/>
      <c r="L304" s="237"/>
      <c r="M304" s="237"/>
      <c r="N304" s="234"/>
      <c r="O304" s="239"/>
      <c r="P304" s="239"/>
    </row>
    <row r="305" spans="2:16" s="272" customFormat="1">
      <c r="B305" s="238"/>
      <c r="C305" s="238"/>
      <c r="D305" s="237"/>
      <c r="E305" s="237"/>
      <c r="F305" s="237"/>
      <c r="G305" s="234"/>
      <c r="H305" s="234"/>
      <c r="I305" s="234"/>
      <c r="J305" s="234"/>
      <c r="K305" s="234"/>
      <c r="L305" s="237"/>
      <c r="M305" s="237"/>
      <c r="N305" s="234"/>
      <c r="O305" s="239"/>
      <c r="P305" s="239"/>
    </row>
    <row r="306" spans="2:16" s="272" customFormat="1">
      <c r="B306" s="238"/>
      <c r="C306" s="238"/>
      <c r="D306" s="237"/>
      <c r="E306" s="237"/>
      <c r="F306" s="237"/>
      <c r="G306" s="234"/>
      <c r="H306" s="234"/>
      <c r="I306" s="234"/>
      <c r="J306" s="234"/>
      <c r="K306" s="234"/>
      <c r="L306" s="237"/>
      <c r="M306" s="237"/>
      <c r="N306" s="234"/>
      <c r="O306" s="239"/>
      <c r="P306" s="239"/>
    </row>
    <row r="307" spans="2:16" s="272" customFormat="1">
      <c r="B307" s="238"/>
      <c r="C307" s="238"/>
      <c r="D307" s="237"/>
      <c r="E307" s="237"/>
      <c r="F307" s="237"/>
      <c r="G307" s="234"/>
      <c r="H307" s="234"/>
      <c r="I307" s="234"/>
      <c r="J307" s="234"/>
      <c r="K307" s="234"/>
      <c r="L307" s="237"/>
      <c r="M307" s="237"/>
      <c r="N307" s="234"/>
      <c r="O307" s="239"/>
      <c r="P307" s="239"/>
    </row>
    <row r="308" spans="2:16" s="272" customFormat="1">
      <c r="B308" s="238"/>
      <c r="C308" s="238"/>
      <c r="D308" s="237"/>
      <c r="E308" s="237"/>
      <c r="F308" s="237"/>
      <c r="G308" s="234"/>
      <c r="H308" s="234"/>
      <c r="I308" s="234"/>
      <c r="J308" s="234"/>
      <c r="K308" s="234"/>
      <c r="L308" s="237"/>
      <c r="M308" s="237"/>
      <c r="N308" s="234"/>
      <c r="O308" s="239"/>
      <c r="P308" s="239"/>
    </row>
    <row r="309" spans="2:16" s="272" customFormat="1">
      <c r="B309" s="238"/>
      <c r="C309" s="238"/>
      <c r="D309" s="237"/>
      <c r="E309" s="237"/>
      <c r="F309" s="237"/>
      <c r="G309" s="234"/>
      <c r="H309" s="234"/>
      <c r="I309" s="234"/>
      <c r="J309" s="234"/>
      <c r="K309" s="234"/>
      <c r="L309" s="237"/>
      <c r="M309" s="237"/>
      <c r="N309" s="234"/>
      <c r="O309" s="239"/>
      <c r="P309" s="239"/>
    </row>
    <row r="310" spans="2:16" s="272" customFormat="1">
      <c r="B310" s="238"/>
      <c r="C310" s="238"/>
      <c r="D310" s="237"/>
      <c r="E310" s="237"/>
      <c r="F310" s="237"/>
      <c r="G310" s="234"/>
      <c r="H310" s="234"/>
      <c r="I310" s="234"/>
      <c r="J310" s="234"/>
      <c r="K310" s="234"/>
      <c r="L310" s="237"/>
      <c r="M310" s="237"/>
      <c r="N310" s="234"/>
      <c r="O310" s="239"/>
      <c r="P310" s="239"/>
    </row>
    <row r="311" spans="2:16" s="272" customFormat="1">
      <c r="B311" s="238"/>
      <c r="C311" s="238"/>
      <c r="D311" s="237"/>
      <c r="E311" s="237"/>
      <c r="F311" s="237"/>
      <c r="G311" s="234"/>
      <c r="H311" s="234"/>
      <c r="I311" s="234"/>
      <c r="J311" s="234"/>
      <c r="K311" s="234"/>
      <c r="L311" s="237"/>
      <c r="M311" s="237"/>
      <c r="N311" s="234"/>
      <c r="O311" s="239"/>
      <c r="P311" s="239"/>
    </row>
    <row r="312" spans="2:16" s="272" customFormat="1">
      <c r="B312" s="238"/>
      <c r="C312" s="238"/>
      <c r="D312" s="237"/>
      <c r="E312" s="237"/>
      <c r="F312" s="237"/>
      <c r="G312" s="234"/>
      <c r="H312" s="234"/>
      <c r="I312" s="234"/>
      <c r="J312" s="234"/>
      <c r="K312" s="234"/>
      <c r="L312" s="237"/>
      <c r="M312" s="237"/>
      <c r="N312" s="234"/>
      <c r="O312" s="239"/>
      <c r="P312" s="239"/>
    </row>
    <row r="313" spans="2:16" s="272" customFormat="1">
      <c r="B313" s="238"/>
      <c r="C313" s="238"/>
      <c r="D313" s="237"/>
      <c r="E313" s="237"/>
      <c r="F313" s="237"/>
      <c r="G313" s="234"/>
      <c r="H313" s="234"/>
      <c r="I313" s="234"/>
      <c r="J313" s="234"/>
      <c r="K313" s="234"/>
      <c r="L313" s="237"/>
      <c r="M313" s="237"/>
      <c r="N313" s="234"/>
      <c r="O313" s="239"/>
      <c r="P313" s="239"/>
    </row>
    <row r="314" spans="2:16" s="272" customFormat="1">
      <c r="B314" s="238"/>
      <c r="C314" s="238"/>
      <c r="D314" s="237"/>
      <c r="E314" s="237"/>
      <c r="F314" s="237"/>
      <c r="G314" s="234"/>
      <c r="H314" s="234"/>
      <c r="I314" s="234"/>
      <c r="J314" s="234"/>
      <c r="K314" s="234"/>
      <c r="L314" s="237"/>
      <c r="M314" s="237"/>
      <c r="N314" s="234"/>
      <c r="O314" s="239"/>
      <c r="P314" s="239"/>
    </row>
    <row r="315" spans="2:16" s="272" customFormat="1">
      <c r="B315" s="238"/>
      <c r="C315" s="238"/>
      <c r="D315" s="237"/>
      <c r="E315" s="237"/>
      <c r="F315" s="237"/>
      <c r="G315" s="234"/>
      <c r="H315" s="234"/>
      <c r="I315" s="234"/>
      <c r="J315" s="234"/>
      <c r="K315" s="234"/>
      <c r="L315" s="237"/>
      <c r="M315" s="237"/>
      <c r="N315" s="234"/>
      <c r="O315" s="239"/>
      <c r="P315" s="239"/>
    </row>
    <row r="316" spans="2:16" s="272" customFormat="1">
      <c r="B316" s="238"/>
      <c r="C316" s="238"/>
      <c r="D316" s="237"/>
      <c r="E316" s="237"/>
      <c r="F316" s="237"/>
      <c r="G316" s="234"/>
      <c r="H316" s="234"/>
      <c r="I316" s="234"/>
      <c r="J316" s="234"/>
      <c r="K316" s="234"/>
      <c r="L316" s="237"/>
      <c r="M316" s="237"/>
      <c r="N316" s="234"/>
      <c r="O316" s="239"/>
      <c r="P316" s="239"/>
    </row>
    <row r="317" spans="2:16" s="272" customFormat="1">
      <c r="B317" s="238"/>
      <c r="C317" s="238"/>
      <c r="D317" s="237"/>
      <c r="E317" s="237"/>
      <c r="F317" s="237"/>
      <c r="G317" s="234"/>
      <c r="H317" s="234"/>
      <c r="I317" s="234"/>
      <c r="J317" s="234"/>
      <c r="K317" s="234"/>
      <c r="L317" s="237"/>
      <c r="M317" s="237"/>
      <c r="N317" s="234"/>
      <c r="O317" s="239"/>
      <c r="P317" s="239"/>
    </row>
    <row r="318" spans="2:16" s="272" customFormat="1">
      <c r="B318" s="238"/>
      <c r="C318" s="238"/>
      <c r="D318" s="237"/>
      <c r="E318" s="237"/>
      <c r="F318" s="237"/>
      <c r="G318" s="234"/>
      <c r="H318" s="234"/>
      <c r="I318" s="234"/>
      <c r="J318" s="234"/>
      <c r="K318" s="234"/>
      <c r="L318" s="237"/>
      <c r="M318" s="237"/>
      <c r="N318" s="234"/>
      <c r="O318" s="239"/>
      <c r="P318" s="239"/>
    </row>
    <row r="319" spans="2:16" s="272" customFormat="1">
      <c r="B319" s="238"/>
      <c r="C319" s="238"/>
      <c r="D319" s="237"/>
      <c r="E319" s="237"/>
      <c r="F319" s="237"/>
      <c r="G319" s="234"/>
      <c r="H319" s="234"/>
      <c r="I319" s="234"/>
      <c r="J319" s="234"/>
      <c r="K319" s="234"/>
      <c r="L319" s="237"/>
      <c r="M319" s="237"/>
      <c r="N319" s="234"/>
      <c r="O319" s="239"/>
      <c r="P319" s="239"/>
    </row>
    <row r="320" spans="2:16" s="272" customFormat="1">
      <c r="B320" s="238"/>
      <c r="C320" s="238"/>
      <c r="D320" s="237"/>
      <c r="E320" s="237"/>
      <c r="F320" s="237"/>
      <c r="G320" s="234"/>
      <c r="H320" s="234"/>
      <c r="I320" s="234"/>
      <c r="J320" s="234"/>
      <c r="K320" s="234"/>
      <c r="L320" s="237"/>
      <c r="M320" s="237"/>
      <c r="N320" s="234"/>
      <c r="O320" s="239"/>
      <c r="P320" s="239"/>
    </row>
    <row r="321" spans="2:16" s="272" customFormat="1">
      <c r="B321" s="238"/>
      <c r="C321" s="238"/>
      <c r="D321" s="237"/>
      <c r="E321" s="237"/>
      <c r="F321" s="237"/>
      <c r="G321" s="234"/>
      <c r="H321" s="234"/>
      <c r="I321" s="234"/>
      <c r="J321" s="234"/>
      <c r="K321" s="234"/>
      <c r="L321" s="237"/>
      <c r="M321" s="237"/>
      <c r="N321" s="234"/>
      <c r="O321" s="239"/>
      <c r="P321" s="239"/>
    </row>
    <row r="322" spans="2:16" s="272" customFormat="1">
      <c r="B322" s="238"/>
      <c r="C322" s="238"/>
      <c r="D322" s="237"/>
      <c r="E322" s="237"/>
      <c r="F322" s="237"/>
      <c r="G322" s="234"/>
      <c r="H322" s="234"/>
      <c r="I322" s="234"/>
      <c r="J322" s="234"/>
      <c r="K322" s="234"/>
      <c r="L322" s="237"/>
      <c r="M322" s="237"/>
      <c r="N322" s="234"/>
      <c r="O322" s="239"/>
      <c r="P322" s="239"/>
    </row>
    <row r="323" spans="2:16" s="272" customFormat="1">
      <c r="B323" s="238"/>
      <c r="C323" s="238"/>
      <c r="D323" s="237"/>
      <c r="E323" s="237"/>
      <c r="F323" s="237"/>
      <c r="G323" s="234"/>
      <c r="H323" s="234"/>
      <c r="I323" s="234"/>
      <c r="J323" s="234"/>
      <c r="K323" s="234"/>
      <c r="L323" s="237"/>
      <c r="M323" s="237"/>
      <c r="N323" s="234"/>
      <c r="O323" s="239"/>
      <c r="P323" s="239"/>
    </row>
    <row r="324" spans="2:16" s="272" customFormat="1">
      <c r="B324" s="238"/>
      <c r="C324" s="238"/>
      <c r="D324" s="237"/>
      <c r="E324" s="237"/>
      <c r="F324" s="237"/>
      <c r="G324" s="234"/>
      <c r="H324" s="234"/>
      <c r="I324" s="234"/>
      <c r="J324" s="234"/>
      <c r="K324" s="234"/>
      <c r="L324" s="237"/>
      <c r="M324" s="237"/>
      <c r="N324" s="234"/>
      <c r="O324" s="239"/>
      <c r="P324" s="239"/>
    </row>
    <row r="325" spans="2:16" s="272" customFormat="1">
      <c r="B325" s="238"/>
      <c r="C325" s="238"/>
      <c r="D325" s="237"/>
      <c r="E325" s="237"/>
      <c r="F325" s="237"/>
      <c r="G325" s="234"/>
      <c r="H325" s="234"/>
      <c r="I325" s="234"/>
      <c r="J325" s="234"/>
      <c r="K325" s="234"/>
      <c r="L325" s="237"/>
      <c r="M325" s="237"/>
      <c r="N325" s="234"/>
      <c r="O325" s="239"/>
      <c r="P325" s="239"/>
    </row>
    <row r="326" spans="2:16" s="272" customFormat="1">
      <c r="B326" s="238"/>
      <c r="C326" s="238"/>
      <c r="D326" s="237"/>
      <c r="E326" s="237"/>
      <c r="F326" s="237"/>
      <c r="G326" s="234"/>
      <c r="H326" s="234"/>
      <c r="I326" s="234"/>
      <c r="J326" s="234"/>
      <c r="K326" s="234"/>
      <c r="L326" s="237"/>
      <c r="M326" s="237"/>
      <c r="N326" s="234"/>
      <c r="O326" s="239"/>
      <c r="P326" s="239"/>
    </row>
    <row r="327" spans="2:16" s="272" customFormat="1">
      <c r="B327" s="238"/>
      <c r="C327" s="238"/>
      <c r="D327" s="237"/>
      <c r="E327" s="237"/>
      <c r="F327" s="237"/>
      <c r="G327" s="234"/>
      <c r="H327" s="234"/>
      <c r="I327" s="234"/>
      <c r="J327" s="234"/>
      <c r="K327" s="234"/>
      <c r="L327" s="237"/>
      <c r="M327" s="237"/>
      <c r="N327" s="234"/>
      <c r="O327" s="239"/>
      <c r="P327" s="239"/>
    </row>
    <row r="328" spans="2:16" s="272" customFormat="1">
      <c r="B328" s="238"/>
      <c r="C328" s="238"/>
      <c r="D328" s="237"/>
      <c r="E328" s="237"/>
      <c r="F328" s="237"/>
      <c r="G328" s="234"/>
      <c r="H328" s="234"/>
      <c r="I328" s="234"/>
      <c r="J328" s="234"/>
      <c r="K328" s="234"/>
      <c r="L328" s="237"/>
      <c r="M328" s="237"/>
      <c r="N328" s="234"/>
      <c r="O328" s="239"/>
      <c r="P328" s="239"/>
    </row>
    <row r="329" spans="2:16" s="272" customFormat="1">
      <c r="B329" s="238"/>
      <c r="C329" s="238"/>
      <c r="D329" s="237"/>
      <c r="E329" s="237"/>
      <c r="F329" s="237"/>
      <c r="G329" s="234"/>
      <c r="H329" s="234"/>
      <c r="I329" s="234"/>
      <c r="J329" s="234"/>
      <c r="K329" s="234"/>
      <c r="L329" s="237"/>
      <c r="M329" s="237"/>
      <c r="N329" s="234"/>
      <c r="O329" s="239"/>
      <c r="P329" s="239"/>
    </row>
    <row r="330" spans="2:16" s="272" customFormat="1">
      <c r="B330" s="238"/>
      <c r="C330" s="238"/>
      <c r="D330" s="237"/>
      <c r="E330" s="237"/>
      <c r="F330" s="237"/>
      <c r="G330" s="234"/>
      <c r="H330" s="234"/>
      <c r="I330" s="234"/>
      <c r="J330" s="234"/>
      <c r="K330" s="234"/>
      <c r="L330" s="237"/>
      <c r="M330" s="237"/>
      <c r="N330" s="234"/>
      <c r="O330" s="239"/>
      <c r="P330" s="239"/>
    </row>
    <row r="331" spans="2:16" s="272" customFormat="1">
      <c r="B331" s="238"/>
      <c r="C331" s="238"/>
      <c r="D331" s="237"/>
      <c r="E331" s="237"/>
      <c r="F331" s="237"/>
      <c r="G331" s="234"/>
      <c r="H331" s="234"/>
      <c r="I331" s="234"/>
      <c r="J331" s="234"/>
      <c r="K331" s="234"/>
      <c r="L331" s="237"/>
      <c r="M331" s="237"/>
      <c r="N331" s="234"/>
      <c r="O331" s="239"/>
      <c r="P331" s="239"/>
    </row>
    <row r="332" spans="2:16" s="272" customFormat="1">
      <c r="B332" s="238"/>
      <c r="C332" s="238"/>
      <c r="D332" s="237"/>
      <c r="E332" s="237"/>
      <c r="F332" s="237"/>
      <c r="G332" s="234"/>
      <c r="H332" s="234"/>
      <c r="I332" s="234"/>
      <c r="J332" s="234"/>
      <c r="K332" s="234"/>
      <c r="L332" s="237"/>
      <c r="M332" s="237"/>
      <c r="N332" s="234"/>
      <c r="O332" s="239"/>
      <c r="P332" s="239"/>
    </row>
    <row r="333" spans="2:16" s="272" customFormat="1">
      <c r="B333" s="238"/>
      <c r="C333" s="238"/>
      <c r="D333" s="237"/>
      <c r="E333" s="237"/>
      <c r="F333" s="237"/>
      <c r="G333" s="234"/>
      <c r="H333" s="234"/>
      <c r="I333" s="234"/>
      <c r="J333" s="234"/>
      <c r="K333" s="234"/>
      <c r="L333" s="237"/>
      <c r="M333" s="237"/>
      <c r="N333" s="234"/>
      <c r="O333" s="239"/>
      <c r="P333" s="239"/>
    </row>
    <row r="334" spans="2:16" s="272" customFormat="1">
      <c r="B334" s="238"/>
      <c r="C334" s="238"/>
      <c r="D334" s="237"/>
      <c r="E334" s="237"/>
      <c r="F334" s="237"/>
      <c r="G334" s="234"/>
      <c r="H334" s="234"/>
      <c r="I334" s="234"/>
      <c r="J334" s="234"/>
      <c r="K334" s="234"/>
      <c r="L334" s="237"/>
      <c r="M334" s="237"/>
      <c r="N334" s="234"/>
      <c r="O334" s="239"/>
      <c r="P334" s="239"/>
    </row>
    <row r="335" spans="2:16" s="272" customFormat="1">
      <c r="B335" s="238"/>
      <c r="C335" s="238"/>
      <c r="D335" s="237"/>
      <c r="E335" s="237"/>
      <c r="F335" s="237"/>
      <c r="G335" s="234"/>
      <c r="H335" s="234"/>
      <c r="I335" s="234"/>
      <c r="J335" s="234"/>
      <c r="K335" s="234"/>
      <c r="L335" s="237"/>
      <c r="M335" s="237"/>
      <c r="N335" s="234"/>
      <c r="O335" s="239"/>
      <c r="P335" s="239"/>
    </row>
    <row r="336" spans="2:16" s="272" customFormat="1">
      <c r="B336" s="238"/>
      <c r="C336" s="238"/>
      <c r="D336" s="237"/>
      <c r="E336" s="237"/>
      <c r="F336" s="237"/>
      <c r="G336" s="234"/>
      <c r="H336" s="234"/>
      <c r="I336" s="234"/>
      <c r="J336" s="234"/>
      <c r="K336" s="234"/>
      <c r="L336" s="237"/>
      <c r="M336" s="237"/>
      <c r="N336" s="234"/>
      <c r="O336" s="239"/>
      <c r="P336" s="239"/>
    </row>
    <row r="337" spans="2:16" s="272" customFormat="1">
      <c r="B337" s="238"/>
      <c r="C337" s="238"/>
      <c r="D337" s="237"/>
      <c r="E337" s="237"/>
      <c r="F337" s="237"/>
      <c r="G337" s="234"/>
      <c r="H337" s="234"/>
      <c r="I337" s="234"/>
      <c r="J337" s="234"/>
      <c r="K337" s="234"/>
      <c r="L337" s="237"/>
      <c r="M337" s="237"/>
      <c r="N337" s="234"/>
      <c r="O337" s="239"/>
      <c r="P337" s="239"/>
    </row>
    <row r="338" spans="2:16" s="272" customFormat="1">
      <c r="B338" s="238"/>
      <c r="C338" s="238"/>
      <c r="D338" s="237"/>
      <c r="E338" s="237"/>
      <c r="F338" s="237"/>
      <c r="G338" s="234"/>
      <c r="H338" s="234"/>
      <c r="I338" s="234"/>
      <c r="J338" s="234"/>
      <c r="K338" s="234"/>
      <c r="L338" s="237"/>
      <c r="M338" s="237"/>
      <c r="N338" s="234"/>
      <c r="O338" s="239"/>
      <c r="P338" s="239"/>
    </row>
    <row r="339" spans="2:16" s="272" customFormat="1">
      <c r="B339" s="238"/>
      <c r="C339" s="238"/>
      <c r="D339" s="237"/>
      <c r="E339" s="237"/>
      <c r="F339" s="237"/>
      <c r="G339" s="234"/>
      <c r="H339" s="234"/>
      <c r="I339" s="234"/>
      <c r="J339" s="234"/>
      <c r="K339" s="234"/>
      <c r="L339" s="237"/>
      <c r="M339" s="237"/>
      <c r="N339" s="234"/>
      <c r="O339" s="239"/>
      <c r="P339" s="239"/>
    </row>
    <row r="340" spans="2:16" s="272" customFormat="1">
      <c r="B340" s="238"/>
      <c r="C340" s="238"/>
      <c r="D340" s="237"/>
      <c r="E340" s="237"/>
      <c r="F340" s="237"/>
      <c r="G340" s="234"/>
      <c r="H340" s="234"/>
      <c r="I340" s="234"/>
      <c r="J340" s="234"/>
      <c r="K340" s="234"/>
      <c r="L340" s="237"/>
      <c r="M340" s="237"/>
      <c r="N340" s="234"/>
      <c r="O340" s="239"/>
      <c r="P340" s="239"/>
    </row>
    <row r="341" spans="2:16" s="272" customFormat="1">
      <c r="B341" s="238"/>
      <c r="C341" s="238"/>
      <c r="D341" s="237"/>
      <c r="E341" s="237"/>
      <c r="F341" s="237"/>
      <c r="G341" s="234"/>
      <c r="H341" s="234"/>
      <c r="I341" s="234"/>
      <c r="J341" s="234"/>
      <c r="K341" s="234"/>
      <c r="L341" s="237"/>
      <c r="M341" s="237"/>
      <c r="N341" s="234"/>
      <c r="O341" s="239"/>
      <c r="P341" s="239"/>
    </row>
    <row r="342" spans="2:16" s="272" customFormat="1">
      <c r="B342" s="238"/>
      <c r="C342" s="238"/>
      <c r="D342" s="237"/>
      <c r="E342" s="237"/>
      <c r="F342" s="237"/>
      <c r="G342" s="234"/>
      <c r="H342" s="234"/>
      <c r="I342" s="234"/>
      <c r="J342" s="234"/>
      <c r="K342" s="234"/>
      <c r="L342" s="237"/>
      <c r="M342" s="237"/>
      <c r="N342" s="234"/>
      <c r="O342" s="239"/>
      <c r="P342" s="239"/>
    </row>
    <row r="343" spans="2:16" s="272" customFormat="1">
      <c r="B343" s="238"/>
      <c r="C343" s="238"/>
      <c r="D343" s="237"/>
      <c r="E343" s="237"/>
      <c r="F343" s="237"/>
      <c r="G343" s="234"/>
      <c r="H343" s="234"/>
      <c r="I343" s="234"/>
      <c r="J343" s="234"/>
      <c r="K343" s="234"/>
      <c r="L343" s="237"/>
      <c r="M343" s="237"/>
      <c r="N343" s="234"/>
      <c r="O343" s="239"/>
      <c r="P343" s="239"/>
    </row>
    <row r="344" spans="2:16" s="272" customFormat="1">
      <c r="B344" s="238"/>
      <c r="C344" s="238"/>
      <c r="D344" s="237"/>
      <c r="E344" s="237"/>
      <c r="F344" s="237"/>
      <c r="G344" s="234"/>
      <c r="H344" s="234"/>
      <c r="I344" s="234"/>
      <c r="J344" s="234"/>
      <c r="K344" s="234"/>
      <c r="L344" s="237"/>
      <c r="M344" s="237"/>
      <c r="N344" s="234"/>
      <c r="O344" s="239"/>
      <c r="P344" s="239"/>
    </row>
    <row r="345" spans="2:16" s="272" customFormat="1">
      <c r="B345" s="238"/>
      <c r="C345" s="238"/>
      <c r="D345" s="237"/>
      <c r="E345" s="237"/>
      <c r="F345" s="237"/>
      <c r="G345" s="234"/>
      <c r="H345" s="234"/>
      <c r="I345" s="234"/>
      <c r="J345" s="234"/>
      <c r="K345" s="234"/>
      <c r="L345" s="237"/>
      <c r="M345" s="237"/>
      <c r="N345" s="234"/>
      <c r="O345" s="239"/>
      <c r="P345" s="239"/>
    </row>
    <row r="346" spans="2:16" s="272" customFormat="1">
      <c r="B346" s="238"/>
      <c r="C346" s="238"/>
      <c r="D346" s="237"/>
      <c r="E346" s="237"/>
      <c r="F346" s="237"/>
      <c r="G346" s="234"/>
      <c r="H346" s="234"/>
      <c r="I346" s="234"/>
      <c r="J346" s="234"/>
      <c r="K346" s="234"/>
      <c r="L346" s="237"/>
      <c r="M346" s="237"/>
      <c r="N346" s="234"/>
      <c r="O346" s="239"/>
      <c r="P346" s="239"/>
    </row>
    <row r="347" spans="2:16" s="272" customFormat="1">
      <c r="B347" s="238"/>
      <c r="C347" s="238"/>
      <c r="D347" s="237"/>
      <c r="E347" s="237"/>
      <c r="F347" s="237"/>
      <c r="G347" s="234"/>
      <c r="H347" s="234"/>
      <c r="I347" s="234"/>
      <c r="J347" s="234"/>
      <c r="K347" s="234"/>
      <c r="L347" s="237"/>
      <c r="M347" s="237"/>
      <c r="N347" s="234"/>
      <c r="O347" s="239"/>
      <c r="P347" s="239"/>
    </row>
    <row r="348" spans="2:16" s="272" customFormat="1">
      <c r="B348" s="238"/>
      <c r="C348" s="238"/>
      <c r="D348" s="237"/>
      <c r="E348" s="237"/>
      <c r="F348" s="237"/>
      <c r="G348" s="234"/>
      <c r="H348" s="234"/>
      <c r="I348" s="234"/>
      <c r="J348" s="234"/>
      <c r="K348" s="234"/>
      <c r="L348" s="237"/>
      <c r="M348" s="237"/>
      <c r="N348" s="234"/>
      <c r="O348" s="239"/>
      <c r="P348" s="239"/>
    </row>
    <row r="349" spans="2:16" s="272" customFormat="1">
      <c r="B349" s="238"/>
      <c r="C349" s="238"/>
      <c r="D349" s="237"/>
      <c r="E349" s="237"/>
      <c r="F349" s="237"/>
      <c r="G349" s="234"/>
      <c r="H349" s="234"/>
      <c r="I349" s="234"/>
      <c r="J349" s="234"/>
      <c r="K349" s="234"/>
      <c r="L349" s="237"/>
      <c r="M349" s="237"/>
      <c r="N349" s="234"/>
      <c r="O349" s="239"/>
      <c r="P349" s="239"/>
    </row>
    <row r="350" spans="2:16" s="272" customFormat="1">
      <c r="B350" s="238"/>
      <c r="C350" s="238"/>
      <c r="D350" s="237"/>
      <c r="E350" s="237"/>
      <c r="F350" s="237"/>
      <c r="G350" s="234"/>
      <c r="H350" s="234"/>
      <c r="I350" s="234"/>
      <c r="J350" s="234"/>
      <c r="K350" s="234"/>
      <c r="L350" s="237"/>
      <c r="M350" s="237"/>
      <c r="N350" s="234"/>
      <c r="O350" s="239"/>
      <c r="P350" s="239"/>
    </row>
    <row r="351" spans="2:16" s="272" customFormat="1">
      <c r="B351" s="238"/>
      <c r="C351" s="238"/>
      <c r="D351" s="237"/>
      <c r="E351" s="237"/>
      <c r="F351" s="237"/>
      <c r="G351" s="234"/>
      <c r="H351" s="234"/>
      <c r="I351" s="234"/>
      <c r="J351" s="234"/>
      <c r="K351" s="234"/>
      <c r="L351" s="237"/>
      <c r="M351" s="237"/>
      <c r="N351" s="234"/>
      <c r="O351" s="239"/>
      <c r="P351" s="239"/>
    </row>
    <row r="352" spans="2:16" s="272" customFormat="1">
      <c r="B352" s="238"/>
      <c r="C352" s="238"/>
      <c r="D352" s="237"/>
      <c r="E352" s="237"/>
      <c r="F352" s="237"/>
      <c r="G352" s="234"/>
      <c r="H352" s="234"/>
      <c r="I352" s="234"/>
      <c r="J352" s="234"/>
      <c r="K352" s="234"/>
      <c r="L352" s="237"/>
      <c r="M352" s="237"/>
      <c r="N352" s="234"/>
      <c r="O352" s="239"/>
      <c r="P352" s="239"/>
    </row>
    <row r="353" spans="2:16" s="272" customFormat="1">
      <c r="B353" s="238"/>
      <c r="C353" s="238"/>
      <c r="D353" s="237"/>
      <c r="E353" s="237"/>
      <c r="F353" s="237"/>
      <c r="G353" s="234"/>
      <c r="H353" s="234"/>
      <c r="I353" s="234"/>
      <c r="J353" s="234"/>
      <c r="K353" s="234"/>
      <c r="L353" s="237"/>
      <c r="M353" s="237"/>
      <c r="N353" s="234"/>
      <c r="O353" s="239"/>
      <c r="P353" s="239"/>
    </row>
    <row r="354" spans="2:16" s="272" customFormat="1">
      <c r="B354" s="238"/>
      <c r="C354" s="238"/>
      <c r="D354" s="237"/>
      <c r="E354" s="237"/>
      <c r="F354" s="237"/>
      <c r="G354" s="234"/>
      <c r="H354" s="234"/>
      <c r="I354" s="234"/>
      <c r="J354" s="234"/>
      <c r="K354" s="234"/>
      <c r="L354" s="237"/>
      <c r="M354" s="237"/>
      <c r="N354" s="234"/>
      <c r="O354" s="239"/>
      <c r="P354" s="239"/>
    </row>
    <row r="355" spans="2:16" s="272" customFormat="1">
      <c r="B355" s="238"/>
      <c r="C355" s="238"/>
      <c r="D355" s="237"/>
      <c r="E355" s="237"/>
      <c r="F355" s="237"/>
      <c r="G355" s="234"/>
      <c r="H355" s="234"/>
      <c r="I355" s="234"/>
      <c r="J355" s="234"/>
      <c r="K355" s="234"/>
      <c r="L355" s="237"/>
      <c r="M355" s="237"/>
      <c r="N355" s="234"/>
      <c r="O355" s="239"/>
      <c r="P355" s="239"/>
    </row>
    <row r="356" spans="2:16" s="272" customFormat="1">
      <c r="B356" s="238"/>
      <c r="C356" s="238"/>
      <c r="D356" s="237"/>
      <c r="E356" s="237"/>
      <c r="F356" s="237"/>
      <c r="G356" s="234"/>
      <c r="H356" s="234"/>
      <c r="I356" s="234"/>
      <c r="J356" s="234"/>
      <c r="K356" s="234"/>
      <c r="L356" s="237"/>
      <c r="M356" s="237"/>
      <c r="N356" s="234"/>
      <c r="O356" s="239"/>
      <c r="P356" s="239"/>
    </row>
    <row r="357" spans="2:16" s="272" customFormat="1">
      <c r="B357" s="238"/>
      <c r="C357" s="238"/>
      <c r="D357" s="237"/>
      <c r="E357" s="237"/>
      <c r="F357" s="237"/>
      <c r="G357" s="234"/>
      <c r="H357" s="234"/>
      <c r="I357" s="234"/>
      <c r="J357" s="234"/>
      <c r="K357" s="234"/>
      <c r="L357" s="237"/>
      <c r="M357" s="237"/>
      <c r="N357" s="234"/>
      <c r="O357" s="239"/>
      <c r="P357" s="239"/>
    </row>
    <row r="358" spans="2:16" s="272" customFormat="1">
      <c r="B358" s="238"/>
      <c r="C358" s="238"/>
      <c r="D358" s="237"/>
      <c r="E358" s="237"/>
      <c r="F358" s="237"/>
      <c r="G358" s="234"/>
      <c r="H358" s="234"/>
      <c r="I358" s="234"/>
      <c r="J358" s="234"/>
      <c r="K358" s="234"/>
      <c r="L358" s="237"/>
      <c r="M358" s="237"/>
      <c r="N358" s="234"/>
      <c r="O358" s="239"/>
      <c r="P358" s="239"/>
    </row>
    <row r="359" spans="2:16" s="272" customFormat="1">
      <c r="B359" s="238"/>
      <c r="C359" s="238"/>
      <c r="D359" s="237"/>
      <c r="E359" s="237"/>
      <c r="F359" s="237"/>
      <c r="G359" s="234"/>
      <c r="H359" s="234"/>
      <c r="I359" s="234"/>
      <c r="J359" s="234"/>
      <c r="K359" s="234"/>
      <c r="L359" s="237"/>
      <c r="M359" s="237"/>
      <c r="N359" s="234"/>
      <c r="O359" s="239"/>
      <c r="P359" s="239"/>
    </row>
    <row r="360" spans="2:16" s="272" customFormat="1">
      <c r="B360" s="238"/>
      <c r="C360" s="238"/>
      <c r="D360" s="237"/>
      <c r="E360" s="237"/>
      <c r="F360" s="237"/>
      <c r="G360" s="234"/>
      <c r="H360" s="234"/>
      <c r="I360" s="234"/>
      <c r="J360" s="234"/>
      <c r="K360" s="234"/>
      <c r="L360" s="237"/>
      <c r="M360" s="237"/>
      <c r="N360" s="234"/>
      <c r="O360" s="239"/>
      <c r="P360" s="239"/>
    </row>
    <row r="361" spans="2:16" s="272" customFormat="1">
      <c r="B361" s="238"/>
      <c r="C361" s="238"/>
      <c r="D361" s="237"/>
      <c r="E361" s="237"/>
      <c r="F361" s="237"/>
      <c r="G361" s="234"/>
      <c r="H361" s="234"/>
      <c r="I361" s="234"/>
      <c r="J361" s="234"/>
      <c r="K361" s="234"/>
      <c r="L361" s="237"/>
      <c r="M361" s="237"/>
      <c r="N361" s="234"/>
      <c r="O361" s="239"/>
      <c r="P361" s="239"/>
    </row>
    <row r="362" spans="2:16" s="272" customFormat="1">
      <c r="B362" s="238"/>
      <c r="C362" s="238"/>
      <c r="D362" s="237"/>
      <c r="E362" s="237"/>
      <c r="F362" s="237"/>
      <c r="G362" s="234"/>
      <c r="H362" s="234"/>
      <c r="I362" s="234"/>
      <c r="J362" s="234"/>
      <c r="K362" s="234"/>
      <c r="L362" s="237"/>
      <c r="M362" s="237"/>
      <c r="N362" s="234"/>
      <c r="O362" s="239"/>
      <c r="P362" s="239"/>
    </row>
    <row r="363" spans="2:16" s="272" customFormat="1">
      <c r="B363" s="238"/>
      <c r="C363" s="238"/>
      <c r="D363" s="237"/>
      <c r="E363" s="237"/>
      <c r="F363" s="237"/>
      <c r="G363" s="234"/>
      <c r="H363" s="234"/>
      <c r="I363" s="234"/>
      <c r="J363" s="234"/>
      <c r="K363" s="234"/>
      <c r="L363" s="237"/>
      <c r="M363" s="237"/>
      <c r="N363" s="234"/>
      <c r="O363" s="239"/>
      <c r="P363" s="239"/>
    </row>
    <row r="364" spans="2:16" s="272" customFormat="1">
      <c r="B364" s="238"/>
      <c r="C364" s="238"/>
      <c r="D364" s="237"/>
      <c r="E364" s="237"/>
      <c r="F364" s="237"/>
      <c r="G364" s="234"/>
      <c r="H364" s="234"/>
      <c r="I364" s="234"/>
      <c r="J364" s="234"/>
      <c r="K364" s="234"/>
      <c r="L364" s="237"/>
      <c r="M364" s="237"/>
      <c r="N364" s="234"/>
      <c r="O364" s="239"/>
      <c r="P364" s="239"/>
    </row>
    <row r="365" spans="2:16" s="272" customFormat="1">
      <c r="B365" s="238"/>
      <c r="C365" s="238"/>
      <c r="D365" s="237"/>
      <c r="E365" s="237"/>
      <c r="F365" s="237"/>
      <c r="G365" s="234"/>
      <c r="H365" s="234"/>
      <c r="I365" s="234"/>
      <c r="J365" s="234"/>
      <c r="K365" s="234"/>
      <c r="L365" s="237"/>
      <c r="M365" s="237"/>
      <c r="N365" s="234"/>
      <c r="O365" s="239"/>
      <c r="P365" s="239"/>
    </row>
    <row r="366" spans="2:16" s="272" customFormat="1">
      <c r="B366" s="238"/>
      <c r="C366" s="238"/>
      <c r="D366" s="237"/>
      <c r="E366" s="237"/>
      <c r="F366" s="237"/>
      <c r="G366" s="234"/>
      <c r="H366" s="234"/>
      <c r="I366" s="234"/>
      <c r="J366" s="234"/>
      <c r="K366" s="234"/>
      <c r="L366" s="237"/>
      <c r="M366" s="237"/>
      <c r="N366" s="234"/>
      <c r="O366" s="239"/>
      <c r="P366" s="239"/>
    </row>
    <row r="367" spans="2:16" s="272" customFormat="1">
      <c r="B367" s="238"/>
      <c r="C367" s="238"/>
      <c r="D367" s="237"/>
      <c r="E367" s="237"/>
      <c r="F367" s="237"/>
      <c r="G367" s="234"/>
      <c r="H367" s="234"/>
      <c r="I367" s="234"/>
      <c r="J367" s="234"/>
      <c r="K367" s="234"/>
      <c r="L367" s="237"/>
      <c r="M367" s="237"/>
      <c r="N367" s="234"/>
      <c r="O367" s="239"/>
      <c r="P367" s="239"/>
    </row>
    <row r="368" spans="2:16" s="272" customFormat="1">
      <c r="B368" s="238"/>
      <c r="C368" s="238"/>
      <c r="D368" s="237"/>
      <c r="E368" s="237"/>
      <c r="F368" s="237"/>
      <c r="G368" s="234"/>
      <c r="H368" s="234"/>
      <c r="I368" s="234"/>
      <c r="J368" s="234"/>
      <c r="K368" s="234"/>
      <c r="L368" s="237"/>
      <c r="M368" s="237"/>
      <c r="N368" s="234"/>
      <c r="O368" s="239"/>
      <c r="P368" s="239"/>
    </row>
    <row r="369" spans="2:16" s="272" customFormat="1">
      <c r="B369" s="238"/>
      <c r="C369" s="238"/>
      <c r="D369" s="237"/>
      <c r="E369" s="237"/>
      <c r="F369" s="237"/>
      <c r="G369" s="234"/>
      <c r="H369" s="234"/>
      <c r="I369" s="234"/>
      <c r="J369" s="234"/>
      <c r="K369" s="234"/>
      <c r="L369" s="237"/>
      <c r="M369" s="237"/>
      <c r="N369" s="234"/>
      <c r="O369" s="239"/>
      <c r="P369" s="239"/>
    </row>
    <row r="370" spans="2:16" s="272" customFormat="1">
      <c r="B370" s="238"/>
      <c r="C370" s="238"/>
      <c r="D370" s="237"/>
      <c r="E370" s="237"/>
      <c r="F370" s="237"/>
      <c r="G370" s="234"/>
      <c r="H370" s="234"/>
      <c r="I370" s="234"/>
      <c r="J370" s="234"/>
      <c r="K370" s="234"/>
      <c r="L370" s="237"/>
      <c r="M370" s="237"/>
      <c r="N370" s="234"/>
      <c r="O370" s="239"/>
      <c r="P370" s="239"/>
    </row>
    <row r="371" spans="2:16" s="272" customFormat="1">
      <c r="B371" s="238"/>
      <c r="C371" s="238"/>
      <c r="D371" s="237"/>
      <c r="E371" s="237"/>
      <c r="F371" s="237"/>
      <c r="G371" s="234"/>
      <c r="H371" s="234"/>
      <c r="I371" s="234"/>
      <c r="J371" s="234"/>
      <c r="K371" s="234"/>
      <c r="L371" s="237"/>
      <c r="M371" s="237"/>
      <c r="N371" s="234"/>
      <c r="O371" s="239"/>
      <c r="P371" s="239"/>
    </row>
    <row r="372" spans="2:16" s="272" customFormat="1">
      <c r="B372" s="238"/>
      <c r="C372" s="238"/>
      <c r="D372" s="237"/>
      <c r="E372" s="237"/>
      <c r="F372" s="237"/>
      <c r="G372" s="234"/>
      <c r="H372" s="234"/>
      <c r="I372" s="234"/>
      <c r="J372" s="234"/>
      <c r="K372" s="234"/>
      <c r="L372" s="237"/>
      <c r="M372" s="237"/>
      <c r="N372" s="234"/>
      <c r="O372" s="239"/>
      <c r="P372" s="239"/>
    </row>
    <row r="373" spans="2:16" s="272" customFormat="1">
      <c r="B373" s="238"/>
      <c r="C373" s="238"/>
      <c r="D373" s="237"/>
      <c r="E373" s="237"/>
      <c r="F373" s="237"/>
      <c r="G373" s="234"/>
      <c r="H373" s="234"/>
      <c r="I373" s="234"/>
      <c r="J373" s="234"/>
      <c r="K373" s="234"/>
      <c r="L373" s="237"/>
      <c r="M373" s="237"/>
      <c r="N373" s="234"/>
      <c r="O373" s="239"/>
      <c r="P373" s="239"/>
    </row>
    <row r="374" spans="2:16" s="272" customFormat="1">
      <c r="B374" s="238"/>
      <c r="C374" s="238"/>
      <c r="D374" s="237"/>
      <c r="E374" s="237"/>
      <c r="F374" s="237"/>
      <c r="G374" s="234"/>
      <c r="H374" s="234"/>
      <c r="I374" s="234"/>
      <c r="J374" s="234"/>
      <c r="K374" s="234"/>
      <c r="L374" s="237"/>
      <c r="M374" s="237"/>
      <c r="N374" s="234"/>
      <c r="O374" s="239"/>
      <c r="P374" s="239"/>
    </row>
    <row r="375" spans="2:16" s="272" customFormat="1">
      <c r="B375" s="238"/>
      <c r="C375" s="238"/>
      <c r="D375" s="237"/>
      <c r="E375" s="237"/>
      <c r="F375" s="237"/>
      <c r="G375" s="234"/>
      <c r="H375" s="234"/>
      <c r="I375" s="234"/>
      <c r="J375" s="234"/>
      <c r="K375" s="234"/>
      <c r="L375" s="237"/>
      <c r="M375" s="237"/>
      <c r="N375" s="234"/>
      <c r="O375" s="239"/>
      <c r="P375" s="239"/>
    </row>
    <row r="376" spans="2:16" s="272" customFormat="1">
      <c r="B376" s="238"/>
      <c r="C376" s="238"/>
      <c r="D376" s="237"/>
      <c r="E376" s="237"/>
      <c r="F376" s="237"/>
      <c r="G376" s="234"/>
      <c r="H376" s="234"/>
      <c r="I376" s="234"/>
      <c r="J376" s="234"/>
      <c r="K376" s="234"/>
      <c r="L376" s="237"/>
      <c r="M376" s="237"/>
      <c r="N376" s="234"/>
      <c r="O376" s="239"/>
      <c r="P376" s="239"/>
    </row>
    <row r="377" spans="2:16" s="272" customFormat="1">
      <c r="B377" s="238"/>
      <c r="C377" s="238"/>
      <c r="D377" s="237"/>
      <c r="E377" s="237"/>
      <c r="F377" s="237"/>
      <c r="G377" s="234"/>
      <c r="H377" s="234"/>
      <c r="I377" s="234"/>
      <c r="J377" s="234"/>
      <c r="K377" s="234"/>
      <c r="L377" s="237"/>
      <c r="M377" s="237"/>
      <c r="N377" s="234"/>
      <c r="O377" s="239"/>
      <c r="P377" s="239"/>
    </row>
    <row r="378" spans="2:16" s="272" customFormat="1">
      <c r="B378" s="238"/>
      <c r="C378" s="238"/>
      <c r="D378" s="237"/>
      <c r="E378" s="237"/>
      <c r="F378" s="237"/>
      <c r="G378" s="234"/>
      <c r="H378" s="234"/>
      <c r="I378" s="234"/>
      <c r="J378" s="234"/>
      <c r="K378" s="234"/>
      <c r="L378" s="237"/>
      <c r="M378" s="237"/>
      <c r="N378" s="234"/>
      <c r="O378" s="239"/>
      <c r="P378" s="239"/>
    </row>
    <row r="379" spans="2:16" s="272" customFormat="1">
      <c r="B379" s="238"/>
      <c r="C379" s="238"/>
      <c r="D379" s="237"/>
      <c r="E379" s="237"/>
      <c r="F379" s="237"/>
      <c r="G379" s="234"/>
      <c r="H379" s="234"/>
      <c r="I379" s="234"/>
      <c r="J379" s="234"/>
      <c r="K379" s="234"/>
      <c r="L379" s="237"/>
      <c r="M379" s="237"/>
      <c r="N379" s="234"/>
      <c r="O379" s="239"/>
      <c r="P379" s="239"/>
    </row>
    <row r="380" spans="2:16" s="272" customFormat="1">
      <c r="B380" s="238"/>
      <c r="C380" s="238"/>
      <c r="D380" s="237"/>
      <c r="E380" s="237"/>
      <c r="F380" s="237"/>
      <c r="G380" s="234"/>
      <c r="H380" s="234"/>
      <c r="I380" s="234"/>
      <c r="J380" s="234"/>
      <c r="K380" s="234"/>
      <c r="L380" s="237"/>
      <c r="M380" s="237"/>
      <c r="N380" s="234"/>
      <c r="O380" s="239"/>
      <c r="P380" s="239"/>
    </row>
    <row r="381" spans="2:16" s="272" customFormat="1">
      <c r="B381" s="238"/>
      <c r="C381" s="238"/>
      <c r="D381" s="237"/>
      <c r="E381" s="237"/>
      <c r="F381" s="237"/>
      <c r="G381" s="234"/>
      <c r="H381" s="234"/>
      <c r="I381" s="234"/>
      <c r="J381" s="234"/>
      <c r="K381" s="234"/>
      <c r="L381" s="237"/>
      <c r="M381" s="237"/>
      <c r="N381" s="234"/>
      <c r="O381" s="239"/>
      <c r="P381" s="239"/>
    </row>
  </sheetData>
  <mergeCells count="19">
    <mergeCell ref="B42:Q43"/>
    <mergeCell ref="B9:C9"/>
    <mergeCell ref="I5:M5"/>
    <mergeCell ref="N5:O5"/>
    <mergeCell ref="G6:H6"/>
    <mergeCell ref="I6:M6"/>
    <mergeCell ref="N6:O6"/>
    <mergeCell ref="S7:S8"/>
    <mergeCell ref="B2:E2"/>
    <mergeCell ref="G2:H2"/>
    <mergeCell ref="I2:M2"/>
    <mergeCell ref="N2:O2"/>
    <mergeCell ref="G3:H3"/>
    <mergeCell ref="I3:M3"/>
    <mergeCell ref="N3:O3"/>
    <mergeCell ref="G4:H4"/>
    <mergeCell ref="I4:M4"/>
    <mergeCell ref="N4:O4"/>
    <mergeCell ref="G5:H5"/>
  </mergeCells>
  <phoneticPr fontId="8" type="noConversion"/>
  <pageMargins left="0.7" right="0.7" top="0.75" bottom="0.75" header="0.3" footer="0.3"/>
  <pageSetup paperSize="9" orientation="landscape"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0EBB-BF50-4A4F-9D59-7157970B67EA}">
  <dimension ref="A1:AP381"/>
  <sheetViews>
    <sheetView zoomScale="130" zoomScaleNormal="130" workbookViewId="0">
      <pane ySplit="7" topLeftCell="A9" activePane="bottomLeft" state="frozen"/>
      <selection sqref="A1:XFD1048576"/>
      <selection pane="bottomLeft" activeCell="P25" sqref="P25"/>
    </sheetView>
  </sheetViews>
  <sheetFormatPr baseColWidth="10" defaultColWidth="10.83203125" defaultRowHeight="15"/>
  <cols>
    <col min="1" max="1" width="1.5" style="272" customWidth="1"/>
    <col min="2" max="3" width="5.6640625" style="449" customWidth="1"/>
    <col min="4" max="5" width="10.83203125" style="450"/>
    <col min="6" max="6" width="4.5" style="450" customWidth="1"/>
    <col min="7" max="7" width="4.33203125" style="267" customWidth="1"/>
    <col min="8" max="8" width="10.83203125" style="267" customWidth="1"/>
    <col min="9" max="9" width="10.83203125" style="267"/>
    <col min="10" max="10" width="4.5" style="267" customWidth="1"/>
    <col min="11" max="11" width="4" style="267" customWidth="1"/>
    <col min="12" max="13" width="10.83203125" style="450"/>
    <col min="14" max="14" width="4" style="267" bestFit="1" customWidth="1"/>
    <col min="15" max="16" width="16.83203125" style="451" customWidth="1"/>
    <col min="17" max="17" width="48" style="273" customWidth="1"/>
    <col min="18" max="18" width="3.1640625" style="272" customWidth="1"/>
    <col min="19" max="19" width="12.6640625" style="406" customWidth="1"/>
    <col min="20" max="20" width="10.83203125" style="406"/>
    <col min="21"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c r="S1" s="406"/>
      <c r="T1" s="406"/>
    </row>
    <row r="2" spans="1:42" s="232" customFormat="1" ht="20" customHeight="1">
      <c r="B2" s="938" t="s">
        <v>283</v>
      </c>
      <c r="C2" s="939"/>
      <c r="D2" s="939"/>
      <c r="E2" s="939"/>
      <c r="F2" s="407"/>
      <c r="G2" s="934">
        <f>SUM(O10:O40)</f>
        <v>84317.249999999985</v>
      </c>
      <c r="H2" s="935"/>
      <c r="I2" s="931" t="s">
        <v>1543</v>
      </c>
      <c r="J2" s="932"/>
      <c r="K2" s="932"/>
      <c r="L2" s="932"/>
      <c r="M2" s="933"/>
      <c r="N2" s="934">
        <f>SUM(D10:E40)/(G5)</f>
        <v>485.15</v>
      </c>
      <c r="O2" s="935"/>
      <c r="P2" s="408" t="s">
        <v>284</v>
      </c>
      <c r="Q2" s="409">
        <f>SUM(P10:P40)-SUM(M10:M40)-SUM(I10:I40)-SUM(E10:E40)-Q3+APR!Q2</f>
        <v>66990.080000000002</v>
      </c>
      <c r="S2" s="410"/>
      <c r="T2" s="411"/>
    </row>
    <row r="3" spans="1:42" s="232" customFormat="1" ht="20" customHeight="1">
      <c r="B3" s="412" t="s">
        <v>285</v>
      </c>
      <c r="C3" s="413"/>
      <c r="D3" s="413"/>
      <c r="E3" s="413"/>
      <c r="F3" s="414"/>
      <c r="G3" s="934">
        <f>SUM(P10:P40)</f>
        <v>58778.3</v>
      </c>
      <c r="H3" s="935"/>
      <c r="I3" s="931" t="s">
        <v>1544</v>
      </c>
      <c r="J3" s="932"/>
      <c r="K3" s="932"/>
      <c r="L3" s="932"/>
      <c r="M3" s="933"/>
      <c r="N3" s="934">
        <f>SUM(H10:I40)/25</f>
        <v>901.89800000000002</v>
      </c>
      <c r="O3" s="935"/>
      <c r="P3" s="408" t="s">
        <v>1545</v>
      </c>
      <c r="Q3" s="409">
        <f>SUMIFS(BANCA!$E:$E,BANCA!$B:$B,"&gt;=01/05/2023",BANCA!$B:$B,"&lt;=31/05/2023",BANCA!$D:$D,"Versamento contanti")</f>
        <v>0</v>
      </c>
      <c r="S3" s="410"/>
      <c r="T3" s="411"/>
    </row>
    <row r="4" spans="1:42" s="232" customFormat="1" ht="20" customHeight="1">
      <c r="B4" s="412" t="s">
        <v>287</v>
      </c>
      <c r="C4" s="413"/>
      <c r="D4" s="413"/>
      <c r="E4" s="413"/>
      <c r="F4" s="414"/>
      <c r="G4" s="929">
        <f>G3/G2</f>
        <v>0.69710883597365914</v>
      </c>
      <c r="H4" s="930"/>
      <c r="I4" s="931" t="s">
        <v>1546</v>
      </c>
      <c r="J4" s="932"/>
      <c r="K4" s="932"/>
      <c r="L4" s="932"/>
      <c r="M4" s="933"/>
      <c r="N4" s="934">
        <f>SUM(L10:M40)/25</f>
        <v>1869.2060000000004</v>
      </c>
      <c r="O4" s="935"/>
      <c r="P4" s="243"/>
      <c r="S4" s="410"/>
      <c r="T4" s="411"/>
    </row>
    <row r="5" spans="1:42" s="232" customFormat="1" ht="20" customHeight="1">
      <c r="B5" s="412" t="s">
        <v>288</v>
      </c>
      <c r="C5" s="413"/>
      <c r="D5" s="413"/>
      <c r="E5" s="413"/>
      <c r="F5" s="414"/>
      <c r="G5" s="936">
        <f>COUNTA(O10:O40)</f>
        <v>31</v>
      </c>
      <c r="H5" s="937"/>
      <c r="I5" s="931" t="s">
        <v>290</v>
      </c>
      <c r="J5" s="932"/>
      <c r="K5" s="932"/>
      <c r="L5" s="932"/>
      <c r="M5" s="933"/>
      <c r="N5" s="934">
        <f>SUM(E10:E40,M10:M40,I10:I40)</f>
        <v>38673.700000000012</v>
      </c>
      <c r="O5" s="930"/>
      <c r="P5" s="243"/>
      <c r="S5" s="410"/>
      <c r="T5" s="411"/>
    </row>
    <row r="6" spans="1:42" s="232" customFormat="1" ht="20" customHeight="1">
      <c r="B6" s="415" t="s">
        <v>289</v>
      </c>
      <c r="C6" s="416"/>
      <c r="D6" s="416"/>
      <c r="E6" s="416"/>
      <c r="F6" s="417"/>
      <c r="G6" s="934">
        <f>G2/G5</f>
        <v>2719.91129032258</v>
      </c>
      <c r="H6" s="935"/>
      <c r="I6" s="931" t="s">
        <v>1547</v>
      </c>
      <c r="J6" s="932"/>
      <c r="K6" s="932"/>
      <c r="L6" s="932"/>
      <c r="M6" s="933"/>
      <c r="N6" s="934">
        <v>2185</v>
      </c>
      <c r="O6" s="935"/>
      <c r="P6" s="243"/>
      <c r="S6" s="410"/>
      <c r="T6" s="411"/>
    </row>
    <row r="7" spans="1:42" s="272" customFormat="1" ht="7" customHeight="1">
      <c r="B7" s="418"/>
      <c r="C7" s="418"/>
      <c r="D7" s="418"/>
      <c r="E7" s="408"/>
      <c r="F7" s="408"/>
      <c r="G7" s="408"/>
      <c r="H7" s="408"/>
      <c r="I7" s="408"/>
      <c r="J7" s="408"/>
      <c r="K7" s="408"/>
      <c r="L7" s="418"/>
      <c r="M7" s="418"/>
      <c r="N7" s="418"/>
      <c r="O7" s="239"/>
      <c r="P7" s="239"/>
      <c r="S7" s="926"/>
      <c r="T7" s="411"/>
    </row>
    <row r="8" spans="1:42" s="272" customFormat="1" ht="7" customHeight="1" thickBot="1">
      <c r="B8" s="238"/>
      <c r="C8" s="238"/>
      <c r="D8" s="237"/>
      <c r="E8" s="237"/>
      <c r="F8" s="237"/>
      <c r="G8" s="234"/>
      <c r="H8" s="234"/>
      <c r="I8" s="234"/>
      <c r="J8" s="234"/>
      <c r="K8" s="234"/>
      <c r="L8" s="237"/>
      <c r="M8" s="237"/>
      <c r="N8" s="234"/>
      <c r="O8" s="239"/>
      <c r="P8" s="239"/>
      <c r="S8" s="926"/>
      <c r="T8" s="411"/>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23" t="s">
        <v>22</v>
      </c>
      <c r="C10" s="424" t="s">
        <v>1558</v>
      </c>
      <c r="D10" s="425">
        <f>1124-E10</f>
        <v>676</v>
      </c>
      <c r="E10" s="425">
        <v>448</v>
      </c>
      <c r="F10" s="426">
        <v>139</v>
      </c>
      <c r="G10" s="465" t="s">
        <v>295</v>
      </c>
      <c r="H10" s="425">
        <f>2506.7-D10-E10-I10</f>
        <v>934.99999999999977</v>
      </c>
      <c r="I10" s="425">
        <v>447.7</v>
      </c>
      <c r="J10" s="426">
        <v>18</v>
      </c>
      <c r="K10" s="465" t="s">
        <v>295</v>
      </c>
      <c r="L10" s="425">
        <f>3340.7-M10-I10-H10-E10-D10</f>
        <v>322.00000000000023</v>
      </c>
      <c r="M10" s="425">
        <f>1407.7-I10-E10</f>
        <v>512</v>
      </c>
      <c r="N10" s="465" t="s">
        <v>295</v>
      </c>
      <c r="O10" s="428">
        <f t="shared" ref="O10" si="0">SUM(D10:E10,H10:I10,L10:M10)</f>
        <v>3340.7</v>
      </c>
      <c r="P10" s="429">
        <v>3013.8</v>
      </c>
      <c r="Q10" s="430"/>
      <c r="S10" s="368" t="s">
        <v>1567</v>
      </c>
      <c r="T10" s="313">
        <f>(SUMIF($C$10:$C$40,S10,$D$10:$D$40)+SUMIF($C$10:$C$40,S10,$E$10:$E$40))/1</f>
        <v>0</v>
      </c>
      <c r="U10" s="313">
        <f>(SUMIF($C$10:$C$40,S10,$H$10:$H$40)+SUMIF($C$10:$C$40,S10,$I$10:$I$40)+SUMIF($C$10:$C$40,S10,$L$10:$L$40)+SUMIF($C$10:$C$40,S10,$M$10:$M$40))/COUNTIF($C$10:$C$40,S10)</f>
        <v>721.42499999999995</v>
      </c>
      <c r="V10" s="313">
        <f t="shared" ref="V10:V16" si="1">(SUMIF($C$10:$C$40,S10,$H$10:$H$40)+SUMIF($C$10:$C$40,S10,$I$10:$I$40))/COUNTIF($C$10:$C$40,S10)</f>
        <v>277.77499999999998</v>
      </c>
      <c r="W10" s="313">
        <f t="shared" ref="W10:W16" si="2">(SUMIF($C$10:$C$40,S10,$L$10:$L$40)+SUMIF($C$10:$C$40,S10,$M$10:$M$40))/COUNTIF($C$10:$C$40,S10)</f>
        <v>443.65</v>
      </c>
    </row>
    <row r="11" spans="1:42" s="368" customFormat="1" ht="16" customHeight="1">
      <c r="B11" s="424" t="s">
        <v>23</v>
      </c>
      <c r="C11" s="424" t="s">
        <v>175</v>
      </c>
      <c r="D11" s="425">
        <f>546-E11</f>
        <v>390.1</v>
      </c>
      <c r="E11" s="425">
        <v>155.9</v>
      </c>
      <c r="F11" s="426">
        <v>48</v>
      </c>
      <c r="G11" s="465" t="s">
        <v>295</v>
      </c>
      <c r="H11" s="425">
        <f>1617-D11-E11-I11</f>
        <v>818.8</v>
      </c>
      <c r="I11" s="425">
        <v>252.2</v>
      </c>
      <c r="J11" s="426">
        <v>16</v>
      </c>
      <c r="K11" s="465" t="s">
        <v>295</v>
      </c>
      <c r="L11" s="425">
        <f>4154.1-M11-I11-H11-E11-D11</f>
        <v>683.90000000000066</v>
      </c>
      <c r="M11" s="425">
        <f>2261.3-I11-E11</f>
        <v>1853.2</v>
      </c>
      <c r="N11" s="465" t="s">
        <v>295</v>
      </c>
      <c r="O11" s="428">
        <f t="shared" ref="O11:O40" si="3">SUM(D11:E11,H11:I11,L11:M11)</f>
        <v>4154.1000000000004</v>
      </c>
      <c r="P11" s="429">
        <v>3344.9</v>
      </c>
      <c r="Q11" s="430"/>
      <c r="S11" s="368" t="s">
        <v>294</v>
      </c>
      <c r="T11" s="313">
        <f>(SUMIF($C$10:$C$40,S11,$D$10:$D$40)+SUMIF($C$10:$C$40,S11,$E$10:$E$40))/(COUNTIF($C$10:$C$40,S11)-1)</f>
        <v>282.16666666666669</v>
      </c>
      <c r="U11" s="313">
        <f t="shared" ref="U11:U16" si="4">(SUMIF($C$10:$C$40,S11,$H$10:$H$40)+SUMIF($C$10:$C$40,S11,$I$10:$I$40)+SUMIF($C$10:$C$40,S11,$L$10:$L$40)+SUMIF($C$10:$C$40,S11,$M$10:$M$40))/COUNTIF($C$10:$C$40,S11)</f>
        <v>910.47500000000002</v>
      </c>
      <c r="V11" s="313">
        <f>(SUMIF($C$10:$C$40,S11,$H$10:$H$40)+SUMIF($C$10:$C$40,S11,$I$10:$I$40))/COUNTIF($C$10:$C$40,S11)</f>
        <v>369.32499999999999</v>
      </c>
      <c r="W11" s="313">
        <f t="shared" si="2"/>
        <v>541.15</v>
      </c>
    </row>
    <row r="12" spans="1:42" s="368" customFormat="1" ht="16" customHeight="1">
      <c r="B12" s="424" t="s">
        <v>1559</v>
      </c>
      <c r="C12" s="424" t="s">
        <v>176</v>
      </c>
      <c r="D12" s="425">
        <f>796-E12</f>
        <v>614</v>
      </c>
      <c r="E12" s="425">
        <v>182</v>
      </c>
      <c r="F12" s="426">
        <v>104</v>
      </c>
      <c r="G12" s="465" t="s">
        <v>295</v>
      </c>
      <c r="H12" s="425">
        <f>2347-D12-E12-I12</f>
        <v>917.4</v>
      </c>
      <c r="I12" s="425">
        <v>633.6</v>
      </c>
      <c r="J12" s="426">
        <v>21</v>
      </c>
      <c r="K12" s="465" t="s">
        <v>295</v>
      </c>
      <c r="L12" s="425">
        <f>4908.3-M12-I12-H12-E12-D12</f>
        <v>1435.6000000000004</v>
      </c>
      <c r="M12" s="425">
        <f>1941.3-I12-E12</f>
        <v>1125.6999999999998</v>
      </c>
      <c r="N12" s="465" t="s">
        <v>295</v>
      </c>
      <c r="O12" s="428">
        <f t="shared" si="3"/>
        <v>4908.3</v>
      </c>
      <c r="P12" s="429">
        <v>3715.2</v>
      </c>
      <c r="Q12" s="430" t="s">
        <v>1678</v>
      </c>
      <c r="S12" s="368" t="s">
        <v>1557</v>
      </c>
      <c r="T12" s="313">
        <f>(SUMIF($C$10:$C$40,S12,$D$10:$D$40)+SUMIF($C$10:$C$40,S12,$E$10:$E$40))/COUNTIF($C$10:$C$40,S12)</f>
        <v>217</v>
      </c>
      <c r="U12" s="313">
        <f t="shared" si="4"/>
        <v>1055.9749999999999</v>
      </c>
      <c r="V12" s="313">
        <f t="shared" si="1"/>
        <v>515.42499999999995</v>
      </c>
      <c r="W12" s="313">
        <f t="shared" si="2"/>
        <v>540.54999999999995</v>
      </c>
    </row>
    <row r="13" spans="1:42" s="368" customFormat="1" ht="16" customHeight="1">
      <c r="B13" s="424" t="s">
        <v>1561</v>
      </c>
      <c r="C13" s="424" t="s">
        <v>177</v>
      </c>
      <c r="D13" s="425">
        <f>999-E13</f>
        <v>672.1</v>
      </c>
      <c r="E13" s="425">
        <v>326.89999999999998</v>
      </c>
      <c r="F13" s="426">
        <v>110</v>
      </c>
      <c r="G13" s="465" t="s">
        <v>295</v>
      </c>
      <c r="H13" s="425">
        <f>1878-D13-E13-I13</f>
        <v>392.2000000000001</v>
      </c>
      <c r="I13" s="425">
        <v>486.8</v>
      </c>
      <c r="J13" s="426">
        <v>10</v>
      </c>
      <c r="K13" s="427" t="s">
        <v>1564</v>
      </c>
      <c r="L13" s="425">
        <f>2839-M13-I13-H13-E13-D13</f>
        <v>625.29999999999961</v>
      </c>
      <c r="M13" s="425">
        <f>1149.4-I13-E13</f>
        <v>335.70000000000016</v>
      </c>
      <c r="N13" s="427" t="s">
        <v>1596</v>
      </c>
      <c r="O13" s="428">
        <f t="shared" si="3"/>
        <v>2839</v>
      </c>
      <c r="P13" s="429">
        <v>2169.1999999999998</v>
      </c>
      <c r="Q13" s="430" t="s">
        <v>1679</v>
      </c>
      <c r="S13" s="368" t="s">
        <v>1558</v>
      </c>
      <c r="T13" s="313">
        <f t="shared" ref="T13:T15" si="5">(SUMIF($C$10:$C$40,S13,$D$10:$D$40)+SUMIF($C$10:$C$40,S13,$E$10:$E$40))/COUNTIF($C$10:$C$40,S13)</f>
        <v>453.84000000000003</v>
      </c>
      <c r="U13" s="313">
        <f t="shared" si="4"/>
        <v>1166.6399999999999</v>
      </c>
      <c r="V13" s="313">
        <f t="shared" si="1"/>
        <v>542.11999999999989</v>
      </c>
      <c r="W13" s="313">
        <f t="shared" si="2"/>
        <v>624.5200000000001</v>
      </c>
    </row>
    <row r="14" spans="1:42" s="368" customFormat="1" ht="16" customHeight="1">
      <c r="B14" s="424" t="s">
        <v>1563</v>
      </c>
      <c r="C14" s="424" t="s">
        <v>1567</v>
      </c>
      <c r="D14" s="425"/>
      <c r="E14" s="425"/>
      <c r="F14" s="426"/>
      <c r="G14" s="453"/>
      <c r="H14" s="425">
        <f>70-D14-E14-I14</f>
        <v>54</v>
      </c>
      <c r="I14" s="425">
        <v>16</v>
      </c>
      <c r="J14" s="426">
        <v>18</v>
      </c>
      <c r="K14" s="427" t="s">
        <v>1596</v>
      </c>
      <c r="L14" s="425">
        <f>182.5-M14-I14-H14-E14-D14</f>
        <v>56</v>
      </c>
      <c r="M14" s="425">
        <f>72.5-I14-E14</f>
        <v>56.5</v>
      </c>
      <c r="N14" s="427" t="s">
        <v>1596</v>
      </c>
      <c r="O14" s="428">
        <f t="shared" si="3"/>
        <v>182.5</v>
      </c>
      <c r="P14" s="429">
        <v>346.8</v>
      </c>
      <c r="Q14" s="430"/>
      <c r="S14" s="368" t="s">
        <v>175</v>
      </c>
      <c r="T14" s="313">
        <f t="shared" si="5"/>
        <v>346.9</v>
      </c>
      <c r="U14" s="313">
        <f t="shared" si="4"/>
        <v>3241.13</v>
      </c>
      <c r="V14" s="313">
        <f t="shared" si="1"/>
        <v>731.45</v>
      </c>
      <c r="W14" s="313">
        <f t="shared" si="2"/>
        <v>2509.6799999999998</v>
      </c>
    </row>
    <row r="15" spans="1:42" s="368" customFormat="1" ht="16" customHeight="1">
      <c r="B15" s="424" t="s">
        <v>1566</v>
      </c>
      <c r="C15" s="424" t="s">
        <v>294</v>
      </c>
      <c r="D15" s="425">
        <f>237.5-E15</f>
        <v>217.3</v>
      </c>
      <c r="E15" s="425">
        <v>20.2</v>
      </c>
      <c r="F15" s="426">
        <v>56</v>
      </c>
      <c r="G15" s="427" t="s">
        <v>1596</v>
      </c>
      <c r="H15" s="425">
        <f>575.8-D15-E15-I15</f>
        <v>183.39999999999995</v>
      </c>
      <c r="I15" s="425">
        <v>154.9</v>
      </c>
      <c r="J15" s="426">
        <v>22</v>
      </c>
      <c r="K15" s="427" t="s">
        <v>1564</v>
      </c>
      <c r="L15" s="425">
        <f>974.1-M15-I15-H15-E15-D15</f>
        <v>204.80000000000007</v>
      </c>
      <c r="M15" s="425">
        <f>368.6-I15-E15</f>
        <v>193.50000000000003</v>
      </c>
      <c r="N15" s="427" t="s">
        <v>1564</v>
      </c>
      <c r="O15" s="428">
        <f t="shared" si="3"/>
        <v>974.1</v>
      </c>
      <c r="P15" s="429">
        <v>744.4</v>
      </c>
      <c r="Q15" s="430" t="s">
        <v>1680</v>
      </c>
      <c r="S15" s="368" t="s">
        <v>176</v>
      </c>
      <c r="T15" s="313">
        <f t="shared" si="5"/>
        <v>910.93000000000006</v>
      </c>
      <c r="U15" s="313">
        <f t="shared" si="4"/>
        <v>5548.5700000000006</v>
      </c>
      <c r="V15" s="313">
        <f t="shared" si="1"/>
        <v>1445.3799999999999</v>
      </c>
      <c r="W15" s="313">
        <f t="shared" si="2"/>
        <v>4103.1900000000005</v>
      </c>
    </row>
    <row r="16" spans="1:42" s="368" customFormat="1" ht="16" customHeight="1">
      <c r="B16" s="424" t="s">
        <v>1569</v>
      </c>
      <c r="C16" s="424" t="s">
        <v>1557</v>
      </c>
      <c r="D16" s="425">
        <f>171-E16</f>
        <v>153.5</v>
      </c>
      <c r="E16" s="425">
        <v>17.5</v>
      </c>
      <c r="F16" s="426">
        <v>56</v>
      </c>
      <c r="G16" s="427" t="s">
        <v>1596</v>
      </c>
      <c r="H16" s="425">
        <f>453-D16-E16-I16</f>
        <v>155.9</v>
      </c>
      <c r="I16" s="425">
        <v>126.1</v>
      </c>
      <c r="J16" s="426">
        <v>17</v>
      </c>
      <c r="K16" s="427" t="s">
        <v>1596</v>
      </c>
      <c r="L16" s="425">
        <f>720.2-M16-I16-H16-E16-D16</f>
        <v>175.5</v>
      </c>
      <c r="M16" s="425">
        <f>235.3-I16-E16</f>
        <v>91.700000000000017</v>
      </c>
      <c r="N16" s="427" t="s">
        <v>1596</v>
      </c>
      <c r="O16" s="428">
        <f t="shared" si="3"/>
        <v>720.2</v>
      </c>
      <c r="P16" s="429">
        <v>536.4</v>
      </c>
      <c r="Q16" s="430"/>
      <c r="S16" s="368" t="s">
        <v>177</v>
      </c>
      <c r="T16" s="313">
        <f>(SUMIF($C$10:$C$40,S16,$D$10:$D$40)+SUMIF($C$10:$C$40,S16,$E$10:$E$40))/COUNTIF($C$10:$C$40,S16)</f>
        <v>1191.7</v>
      </c>
      <c r="U16" s="313">
        <f t="shared" si="4"/>
        <v>2186.1</v>
      </c>
      <c r="V16" s="313">
        <f t="shared" si="1"/>
        <v>1075.6500000000001</v>
      </c>
      <c r="W16" s="313">
        <f t="shared" si="2"/>
        <v>1110.4499999999998</v>
      </c>
      <c r="X16" s="432"/>
      <c r="Y16" s="432"/>
      <c r="Z16" s="432"/>
      <c r="AA16" s="432"/>
      <c r="AB16" s="432"/>
      <c r="AC16" s="432"/>
    </row>
    <row r="17" spans="2:21" s="368" customFormat="1" ht="16" customHeight="1">
      <c r="B17" s="424" t="s">
        <v>297</v>
      </c>
      <c r="C17" s="424" t="s">
        <v>1558</v>
      </c>
      <c r="D17" s="425">
        <f>241-E17</f>
        <v>180.8</v>
      </c>
      <c r="E17" s="425">
        <v>60.2</v>
      </c>
      <c r="F17" s="426">
        <v>77</v>
      </c>
      <c r="G17" s="427" t="s">
        <v>1564</v>
      </c>
      <c r="H17" s="425">
        <f>596-D17-E17-I17</f>
        <v>233</v>
      </c>
      <c r="I17" s="425">
        <v>122</v>
      </c>
      <c r="J17" s="426">
        <v>19</v>
      </c>
      <c r="K17" s="427" t="s">
        <v>1564</v>
      </c>
      <c r="L17" s="425">
        <f>1097.6-M17-I17-H17-E17-D17</f>
        <v>79.599999999999909</v>
      </c>
      <c r="M17" s="425">
        <f>604.2-I17-E17</f>
        <v>422.00000000000006</v>
      </c>
      <c r="N17" s="427" t="s">
        <v>1596</v>
      </c>
      <c r="O17" s="428">
        <f t="shared" si="3"/>
        <v>1097.5999999999999</v>
      </c>
      <c r="P17" s="429">
        <v>779.6</v>
      </c>
      <c r="Q17" s="430"/>
      <c r="T17" s="313"/>
      <c r="U17" s="422"/>
    </row>
    <row r="18" spans="2:21" s="368" customFormat="1" ht="16" customHeight="1">
      <c r="B18" s="424" t="s">
        <v>1572</v>
      </c>
      <c r="C18" s="424" t="s">
        <v>175</v>
      </c>
      <c r="D18" s="425">
        <f>262-E18</f>
        <v>226.4</v>
      </c>
      <c r="E18" s="425">
        <v>35.6</v>
      </c>
      <c r="F18" s="426">
        <v>56</v>
      </c>
      <c r="G18" s="465" t="s">
        <v>295</v>
      </c>
      <c r="H18" s="425">
        <f>1003.5-D18-E18-I18</f>
        <v>531.6</v>
      </c>
      <c r="I18" s="425">
        <v>209.9</v>
      </c>
      <c r="J18" s="426">
        <v>12</v>
      </c>
      <c r="K18" s="427" t="s">
        <v>1564</v>
      </c>
      <c r="L18" s="425">
        <f>2909.6-M18-I18-H18-E18-D18</f>
        <v>785.09999999999991</v>
      </c>
      <c r="M18" s="425">
        <f>1366.5-I18-E18</f>
        <v>1121</v>
      </c>
      <c r="N18" s="427" t="s">
        <v>1596</v>
      </c>
      <c r="O18" s="428">
        <f t="shared" si="3"/>
        <v>2909.6</v>
      </c>
      <c r="P18" s="429">
        <v>1982.3</v>
      </c>
      <c r="Q18" s="430"/>
      <c r="T18" s="313"/>
      <c r="U18" s="422"/>
    </row>
    <row r="19" spans="2:21" s="368" customFormat="1" ht="16" customHeight="1">
      <c r="B19" s="424" t="s">
        <v>1574</v>
      </c>
      <c r="C19" s="424" t="s">
        <v>176</v>
      </c>
      <c r="D19" s="425">
        <f>725-E19</f>
        <v>523.9</v>
      </c>
      <c r="E19" s="425">
        <v>201.1</v>
      </c>
      <c r="F19" s="426">
        <v>98</v>
      </c>
      <c r="G19" s="465" t="s">
        <v>295</v>
      </c>
      <c r="H19" s="425">
        <f>2604-D19-E19-I19</f>
        <v>1317</v>
      </c>
      <c r="I19" s="425">
        <v>562</v>
      </c>
      <c r="J19" s="426">
        <v>34</v>
      </c>
      <c r="K19" s="465" t="s">
        <v>295</v>
      </c>
      <c r="L19" s="425">
        <f>6943.1-M19-I19-H19-E19-D19</f>
        <v>1561.1000000000004</v>
      </c>
      <c r="M19" s="425">
        <f>3541.1-I19-E19</f>
        <v>2778</v>
      </c>
      <c r="N19" s="465" t="s">
        <v>295</v>
      </c>
      <c r="O19" s="428">
        <f t="shared" si="3"/>
        <v>6943.1</v>
      </c>
      <c r="P19" s="429">
        <v>5469.3</v>
      </c>
      <c r="Q19" s="430"/>
      <c r="T19" s="313"/>
      <c r="U19" s="422"/>
    </row>
    <row r="20" spans="2:21" s="368" customFormat="1" ht="16" customHeight="1">
      <c r="B20" s="424" t="s">
        <v>1577</v>
      </c>
      <c r="C20" s="424" t="s">
        <v>177</v>
      </c>
      <c r="D20" s="425">
        <f>1149-E20</f>
        <v>820.6</v>
      </c>
      <c r="E20" s="425">
        <v>328.4</v>
      </c>
      <c r="F20" s="426">
        <v>170</v>
      </c>
      <c r="G20" s="465" t="s">
        <v>295</v>
      </c>
      <c r="H20" s="425">
        <f>1923.8-D20-E20-I20</f>
        <v>289.79999999999984</v>
      </c>
      <c r="I20" s="425">
        <v>485</v>
      </c>
      <c r="J20" s="426">
        <v>13</v>
      </c>
      <c r="K20" s="465" t="s">
        <v>295</v>
      </c>
      <c r="L20" s="425">
        <f>3432.8-M20-I20-H20-E20-D20</f>
        <v>383.10000000000025</v>
      </c>
      <c r="M20" s="425">
        <f>1939.3-I20-E20</f>
        <v>1125.9000000000001</v>
      </c>
      <c r="N20" s="465" t="s">
        <v>295</v>
      </c>
      <c r="O20" s="428">
        <f t="shared" si="3"/>
        <v>3432.8</v>
      </c>
      <c r="P20" s="429">
        <v>2418.3000000000002</v>
      </c>
      <c r="Q20" s="430"/>
      <c r="T20" s="313"/>
      <c r="U20" s="422"/>
    </row>
    <row r="21" spans="2:21" s="368" customFormat="1" ht="16" customHeight="1">
      <c r="B21" s="424" t="s">
        <v>977</v>
      </c>
      <c r="C21" s="424" t="s">
        <v>1567</v>
      </c>
      <c r="D21" s="425"/>
      <c r="E21" s="425"/>
      <c r="F21" s="426"/>
      <c r="G21" s="453"/>
      <c r="H21" s="425">
        <f>140.1-D21-E21-I21</f>
        <v>99.6</v>
      </c>
      <c r="I21" s="425">
        <v>40.5</v>
      </c>
      <c r="J21" s="426">
        <v>10</v>
      </c>
      <c r="K21" s="465" t="s">
        <v>295</v>
      </c>
      <c r="L21" s="425">
        <f>661.7-M21-I21-H21-E21-D21</f>
        <v>240.60000000000005</v>
      </c>
      <c r="M21" s="425">
        <f>321.5-I21-E21</f>
        <v>281</v>
      </c>
      <c r="N21" s="427" t="s">
        <v>1564</v>
      </c>
      <c r="O21" s="428">
        <f t="shared" si="3"/>
        <v>661.7</v>
      </c>
      <c r="P21" s="429">
        <v>395.5</v>
      </c>
      <c r="Q21" s="430"/>
      <c r="T21" s="313"/>
      <c r="U21" s="422"/>
    </row>
    <row r="22" spans="2:21" s="368" customFormat="1" ht="16" customHeight="1">
      <c r="B22" s="424" t="s">
        <v>1581</v>
      </c>
      <c r="C22" s="424" t="s">
        <v>294</v>
      </c>
      <c r="D22" s="425">
        <f>230-E22</f>
        <v>222.4</v>
      </c>
      <c r="E22" s="425">
        <v>7.6</v>
      </c>
      <c r="F22" s="426">
        <v>71</v>
      </c>
      <c r="G22" s="465" t="s">
        <v>295</v>
      </c>
      <c r="H22" s="425">
        <f>730-D22-E22-I22</f>
        <v>243.7</v>
      </c>
      <c r="I22" s="425">
        <v>256.3</v>
      </c>
      <c r="J22" s="426">
        <v>17</v>
      </c>
      <c r="K22" s="465" t="s">
        <v>295</v>
      </c>
      <c r="L22" s="425">
        <f>1541.5-M22-I22-H22-E22-D22</f>
        <v>259.5</v>
      </c>
      <c r="M22" s="425">
        <f>815.9-I22-E22</f>
        <v>551.99999999999989</v>
      </c>
      <c r="N22" s="465" t="s">
        <v>295</v>
      </c>
      <c r="O22" s="428">
        <f t="shared" si="3"/>
        <v>1541.5</v>
      </c>
      <c r="P22" s="429">
        <v>943.8</v>
      </c>
      <c r="Q22" s="430"/>
      <c r="T22" s="313"/>
      <c r="U22" s="422"/>
    </row>
    <row r="23" spans="2:21" s="368" customFormat="1" ht="16" customHeight="1">
      <c r="B23" s="424" t="s">
        <v>1583</v>
      </c>
      <c r="C23" s="424" t="s">
        <v>1557</v>
      </c>
      <c r="D23" s="425">
        <f>133-E23</f>
        <v>130.69999999999999</v>
      </c>
      <c r="E23" s="425">
        <v>2.2999999999999998</v>
      </c>
      <c r="F23" s="426">
        <v>71</v>
      </c>
      <c r="G23" s="465" t="s">
        <v>295</v>
      </c>
      <c r="H23" s="425">
        <f>805-D23-E23-I23</f>
        <v>315.8</v>
      </c>
      <c r="I23" s="425">
        <v>356.2</v>
      </c>
      <c r="J23" s="426">
        <v>11</v>
      </c>
      <c r="K23" s="465" t="s">
        <v>295</v>
      </c>
      <c r="L23" s="425">
        <f>1347.1-M23-I23-H23-E23-D23</f>
        <v>256.09999999999985</v>
      </c>
      <c r="M23" s="425">
        <f>644.5-I23-E23</f>
        <v>286</v>
      </c>
      <c r="N23" s="465" t="s">
        <v>295</v>
      </c>
      <c r="O23" s="428">
        <f t="shared" si="3"/>
        <v>1347.1</v>
      </c>
      <c r="P23" s="429">
        <v>930.4</v>
      </c>
      <c r="Q23" s="430" t="s">
        <v>1681</v>
      </c>
      <c r="T23" s="313"/>
      <c r="U23" s="422"/>
    </row>
    <row r="24" spans="2:21" s="368" customFormat="1" ht="16" customHeight="1">
      <c r="B24" s="424" t="s">
        <v>298</v>
      </c>
      <c r="C24" s="424" t="s">
        <v>1558</v>
      </c>
      <c r="D24" s="425">
        <f>390-E24</f>
        <v>278.10000000000002</v>
      </c>
      <c r="E24" s="425">
        <v>111.9</v>
      </c>
      <c r="F24" s="426">
        <v>94</v>
      </c>
      <c r="G24" s="465" t="s">
        <v>295</v>
      </c>
      <c r="H24" s="425">
        <f>695-D24-E24-I24</f>
        <v>191.5</v>
      </c>
      <c r="I24" s="425">
        <v>113.5</v>
      </c>
      <c r="J24" s="426">
        <v>18</v>
      </c>
      <c r="K24" s="427" t="s">
        <v>1596</v>
      </c>
      <c r="L24" s="425">
        <f>1033.1-M24-I24-H24-E24-D24</f>
        <v>132.59999999999991</v>
      </c>
      <c r="M24" s="425">
        <f>430.9-I24-E24</f>
        <v>205.49999999999997</v>
      </c>
      <c r="N24" s="427" t="s">
        <v>1596</v>
      </c>
      <c r="O24" s="428">
        <f t="shared" si="3"/>
        <v>1033.0999999999999</v>
      </c>
      <c r="P24" s="429">
        <v>795.3</v>
      </c>
      <c r="Q24" s="430"/>
      <c r="T24" s="313"/>
      <c r="U24" s="422"/>
    </row>
    <row r="25" spans="2:21" s="368" customFormat="1" ht="16" customHeight="1">
      <c r="B25" s="424" t="s">
        <v>996</v>
      </c>
      <c r="C25" s="424" t="s">
        <v>175</v>
      </c>
      <c r="D25" s="425">
        <f>315-E25</f>
        <v>49</v>
      </c>
      <c r="E25" s="425">
        <v>266</v>
      </c>
      <c r="F25" s="426">
        <v>84</v>
      </c>
      <c r="G25" s="465" t="s">
        <v>295</v>
      </c>
      <c r="H25" s="425">
        <f>899-D25-E25-I25</f>
        <v>297.5</v>
      </c>
      <c r="I25" s="425">
        <v>286.5</v>
      </c>
      <c r="J25" s="426">
        <v>13</v>
      </c>
      <c r="K25" s="465" t="s">
        <v>295</v>
      </c>
      <c r="L25" s="425">
        <f>2821.3-M25-I25-H25-E25-D25</f>
        <v>806.80000000000018</v>
      </c>
      <c r="M25" s="425">
        <f>1668-I25-E25</f>
        <v>1115.5</v>
      </c>
      <c r="N25" s="465" t="s">
        <v>295</v>
      </c>
      <c r="O25" s="428">
        <f t="shared" si="3"/>
        <v>2821.3</v>
      </c>
      <c r="P25" s="429">
        <v>1996.4</v>
      </c>
      <c r="Q25" s="430" t="s">
        <v>1682</v>
      </c>
      <c r="T25" s="313"/>
      <c r="U25" s="422"/>
    </row>
    <row r="26" spans="2:21" s="368" customFormat="1" ht="16" customHeight="1">
      <c r="B26" s="424" t="s">
        <v>293</v>
      </c>
      <c r="C26" s="424" t="s">
        <v>176</v>
      </c>
      <c r="D26" s="425">
        <f>681-E26</f>
        <v>352.2</v>
      </c>
      <c r="E26" s="425">
        <v>328.8</v>
      </c>
      <c r="F26" s="426">
        <v>83</v>
      </c>
      <c r="G26" s="465" t="s">
        <v>295</v>
      </c>
      <c r="H26" s="425">
        <f>1445-D26-E26-I26</f>
        <v>228</v>
      </c>
      <c r="I26" s="425">
        <v>536</v>
      </c>
      <c r="J26" s="426">
        <v>21</v>
      </c>
      <c r="K26" s="427" t="s">
        <v>1596</v>
      </c>
      <c r="L26" s="425">
        <f>3775.8-M26-I26-H26-E26-D26</f>
        <v>1377.6999999999998</v>
      </c>
      <c r="M26" s="425">
        <f>1817.9-I26-E26</f>
        <v>953.10000000000014</v>
      </c>
      <c r="N26" s="427" t="s">
        <v>1589</v>
      </c>
      <c r="O26" s="428">
        <f t="shared" si="3"/>
        <v>3775.8</v>
      </c>
      <c r="P26" s="429">
        <v>2751.8</v>
      </c>
      <c r="Q26" s="430" t="s">
        <v>1683</v>
      </c>
      <c r="T26" s="313"/>
      <c r="U26" s="422"/>
    </row>
    <row r="27" spans="2:21" s="368" customFormat="1" ht="16" customHeight="1">
      <c r="B27" s="424" t="s">
        <v>420</v>
      </c>
      <c r="C27" s="424" t="s">
        <v>177</v>
      </c>
      <c r="D27" s="425">
        <f>1394-E27</f>
        <v>963.8</v>
      </c>
      <c r="E27" s="425">
        <v>430.2</v>
      </c>
      <c r="F27" s="426">
        <v>168</v>
      </c>
      <c r="G27" s="465" t="s">
        <v>295</v>
      </c>
      <c r="H27" s="425">
        <f>2705-D27-E27-I27</f>
        <v>867</v>
      </c>
      <c r="I27" s="425">
        <v>444</v>
      </c>
      <c r="J27" s="426">
        <v>14</v>
      </c>
      <c r="K27" s="465" t="s">
        <v>295</v>
      </c>
      <c r="L27" s="425">
        <f>3646.1-M27-I27-H27-E27-D27</f>
        <v>700.59999999999991</v>
      </c>
      <c r="M27" s="425">
        <f>1114.7-I27-E27</f>
        <v>240.50000000000006</v>
      </c>
      <c r="N27" s="465" t="s">
        <v>295</v>
      </c>
      <c r="O27" s="428">
        <f t="shared" si="3"/>
        <v>3646.1</v>
      </c>
      <c r="P27" s="429">
        <v>3484.8</v>
      </c>
      <c r="Q27" s="430"/>
      <c r="T27" s="313"/>
      <c r="U27" s="422"/>
    </row>
    <row r="28" spans="2:21" s="368" customFormat="1" ht="16" customHeight="1">
      <c r="B28" s="424" t="s">
        <v>719</v>
      </c>
      <c r="C28" s="424" t="s">
        <v>1567</v>
      </c>
      <c r="D28" s="425"/>
      <c r="E28" s="425"/>
      <c r="F28" s="426"/>
      <c r="G28" s="453"/>
      <c r="H28" s="425">
        <f>477-D28-E28-I28</f>
        <v>292.5</v>
      </c>
      <c r="I28" s="425">
        <v>184.5</v>
      </c>
      <c r="J28" s="426">
        <v>33</v>
      </c>
      <c r="K28" s="465" t="s">
        <v>295</v>
      </c>
      <c r="L28" s="425">
        <f>1242.6-M28-I28-H28-E28-D28</f>
        <v>352.59999999999991</v>
      </c>
      <c r="M28" s="425">
        <f>597.5-I28-E28</f>
        <v>413</v>
      </c>
      <c r="N28" s="465" t="s">
        <v>295</v>
      </c>
      <c r="O28" s="428">
        <f t="shared" si="3"/>
        <v>1242.5999999999999</v>
      </c>
      <c r="P28" s="429">
        <v>727.2</v>
      </c>
      <c r="Q28" s="430"/>
      <c r="T28" s="313"/>
      <c r="U28" s="422"/>
    </row>
    <row r="29" spans="2:21" s="368" customFormat="1" ht="16" customHeight="1">
      <c r="B29" s="424" t="s">
        <v>1591</v>
      </c>
      <c r="C29" s="424" t="s">
        <v>294</v>
      </c>
      <c r="D29" s="425">
        <f>111-E29</f>
        <v>93.8</v>
      </c>
      <c r="E29" s="425">
        <v>17.2</v>
      </c>
      <c r="F29" s="426">
        <v>52</v>
      </c>
      <c r="G29" s="427" t="s">
        <v>1596</v>
      </c>
      <c r="H29" s="425">
        <f>282-D29-E29-I29</f>
        <v>98</v>
      </c>
      <c r="I29" s="425">
        <v>73</v>
      </c>
      <c r="J29" s="426">
        <v>6</v>
      </c>
      <c r="K29" s="427" t="s">
        <v>1596</v>
      </c>
      <c r="L29" s="425">
        <f>732.2-M29-I29-H29-E29-D29</f>
        <v>272.70000000000005</v>
      </c>
      <c r="M29" s="425">
        <f>267.7-I29-E29</f>
        <v>177.5</v>
      </c>
      <c r="N29" s="427" t="s">
        <v>1596</v>
      </c>
      <c r="O29" s="428">
        <f t="shared" si="3"/>
        <v>732.2</v>
      </c>
      <c r="P29" s="429">
        <v>471.3</v>
      </c>
      <c r="Q29" s="430"/>
      <c r="T29" s="313"/>
      <c r="U29" s="422"/>
    </row>
    <row r="30" spans="2:21" s="368" customFormat="1" ht="16" customHeight="1">
      <c r="B30" s="424" t="s">
        <v>1593</v>
      </c>
      <c r="C30" s="424" t="s">
        <v>1557</v>
      </c>
      <c r="D30" s="425">
        <f>189-E30</f>
        <v>178.6</v>
      </c>
      <c r="E30" s="425">
        <v>10.4</v>
      </c>
      <c r="F30" s="426">
        <v>34</v>
      </c>
      <c r="G30" s="427" t="s">
        <v>1564</v>
      </c>
      <c r="H30" s="425">
        <f>930-D30-E30-I30</f>
        <v>515</v>
      </c>
      <c r="I30" s="425">
        <v>226</v>
      </c>
      <c r="J30" s="426">
        <v>13</v>
      </c>
      <c r="K30" s="465" t="s">
        <v>295</v>
      </c>
      <c r="L30" s="425">
        <f>1793.9-M30-I30-H30-E30-D30</f>
        <v>236.40000000000012</v>
      </c>
      <c r="M30" s="425">
        <f>863.9-I30-E30</f>
        <v>627.5</v>
      </c>
      <c r="N30" s="465" t="s">
        <v>295</v>
      </c>
      <c r="O30" s="428">
        <f t="shared" si="3"/>
        <v>1793.9</v>
      </c>
      <c r="P30" s="429">
        <v>1324.4</v>
      </c>
      <c r="Q30" s="430"/>
      <c r="T30" s="313"/>
      <c r="U30" s="422"/>
    </row>
    <row r="31" spans="2:21" s="368" customFormat="1" ht="16" customHeight="1">
      <c r="B31" s="424" t="s">
        <v>299</v>
      </c>
      <c r="C31" s="424" t="s">
        <v>1558</v>
      </c>
      <c r="D31" s="425">
        <f>176.2-E31</f>
        <v>141.19999999999999</v>
      </c>
      <c r="E31" s="425">
        <v>35</v>
      </c>
      <c r="F31" s="426">
        <v>59</v>
      </c>
      <c r="G31" s="427" t="s">
        <v>1596</v>
      </c>
      <c r="H31" s="425">
        <f>354.1-D31-E31-I31</f>
        <v>104.50000000000003</v>
      </c>
      <c r="I31" s="425">
        <v>73.400000000000006</v>
      </c>
      <c r="J31" s="426">
        <v>6</v>
      </c>
      <c r="K31" s="427" t="s">
        <v>1596</v>
      </c>
      <c r="L31" s="425">
        <f>1135.1-M31-I31-H31-E31-D31</f>
        <v>270.99999999999994</v>
      </c>
      <c r="M31" s="425">
        <f>618.4-I31-E31</f>
        <v>510</v>
      </c>
      <c r="N31" s="427" t="s">
        <v>1596</v>
      </c>
      <c r="O31" s="428">
        <f t="shared" si="3"/>
        <v>1135.0999999999999</v>
      </c>
      <c r="P31" s="429">
        <v>863.6</v>
      </c>
      <c r="Q31" s="430"/>
      <c r="T31" s="313"/>
      <c r="U31" s="422"/>
    </row>
    <row r="32" spans="2:21" s="368" customFormat="1" ht="16" customHeight="1">
      <c r="B32" s="424" t="s">
        <v>461</v>
      </c>
      <c r="C32" s="424" t="s">
        <v>175</v>
      </c>
      <c r="D32" s="425">
        <f>238.5-E32</f>
        <v>99.4</v>
      </c>
      <c r="E32" s="425">
        <v>139.1</v>
      </c>
      <c r="F32" s="426">
        <v>67</v>
      </c>
      <c r="G32" s="427" t="s">
        <v>1564</v>
      </c>
      <c r="H32" s="425">
        <f>690.25-D32-E32-I32</f>
        <v>293.95</v>
      </c>
      <c r="I32" s="425">
        <v>157.80000000000001</v>
      </c>
      <c r="J32" s="426">
        <v>14</v>
      </c>
      <c r="K32" s="427" t="s">
        <v>1564</v>
      </c>
      <c r="L32" s="425">
        <f>2861.95-M32-I32-H32-E32-D32</f>
        <v>954.49999999999989</v>
      </c>
      <c r="M32" s="425">
        <f>1514.1-I32-E32</f>
        <v>1217.2</v>
      </c>
      <c r="N32" s="427" t="s">
        <v>1564</v>
      </c>
      <c r="O32" s="428">
        <f t="shared" si="3"/>
        <v>2861.95</v>
      </c>
      <c r="P32" s="429">
        <v>1875.2</v>
      </c>
      <c r="Q32" s="430" t="s">
        <v>1684</v>
      </c>
      <c r="T32" s="313"/>
      <c r="U32" s="422"/>
    </row>
    <row r="33" spans="2:21" s="368" customFormat="1" ht="16" customHeight="1">
      <c r="B33" s="424" t="s">
        <v>296</v>
      </c>
      <c r="C33" s="424" t="s">
        <v>176</v>
      </c>
      <c r="D33" s="425">
        <f>1488.65-E33</f>
        <v>1258.75</v>
      </c>
      <c r="E33" s="425">
        <v>229.9</v>
      </c>
      <c r="F33" s="426">
        <v>189</v>
      </c>
      <c r="G33" s="465" t="s">
        <v>295</v>
      </c>
      <c r="H33" s="425">
        <f>2437.55-D33-E33-I33</f>
        <v>434.10000000000025</v>
      </c>
      <c r="I33" s="425">
        <v>514.79999999999995</v>
      </c>
      <c r="J33" s="426">
        <v>25</v>
      </c>
      <c r="K33" s="465" t="s">
        <v>295</v>
      </c>
      <c r="L33" s="425">
        <f>5169.35-M33-I33-H33-E33-D33</f>
        <v>1570.9</v>
      </c>
      <c r="M33" s="425">
        <f>1905.6-I33-E33</f>
        <v>1160.8999999999999</v>
      </c>
      <c r="N33" s="465" t="s">
        <v>295</v>
      </c>
      <c r="O33" s="428">
        <f t="shared" si="3"/>
        <v>5169.3500000000004</v>
      </c>
      <c r="P33" s="429">
        <v>3653.3</v>
      </c>
      <c r="Q33" s="430" t="s">
        <v>1685</v>
      </c>
      <c r="T33" s="313"/>
      <c r="U33" s="422"/>
    </row>
    <row r="34" spans="2:21" s="368" customFormat="1" ht="16" customHeight="1">
      <c r="B34" s="424" t="s">
        <v>1601</v>
      </c>
      <c r="C34" s="424" t="s">
        <v>177</v>
      </c>
      <c r="D34" s="425">
        <f>1224.8-E34</f>
        <v>837</v>
      </c>
      <c r="E34" s="425">
        <v>387.8</v>
      </c>
      <c r="F34" s="426">
        <v>118</v>
      </c>
      <c r="G34" s="465" t="s">
        <v>295</v>
      </c>
      <c r="H34" s="425">
        <f>2562.6-D34-E34-I34</f>
        <v>491.5</v>
      </c>
      <c r="I34" s="425">
        <v>846.3</v>
      </c>
      <c r="J34" s="426">
        <v>12</v>
      </c>
      <c r="K34" s="465" t="s">
        <v>295</v>
      </c>
      <c r="L34" s="425">
        <f>3593.3-M34-I34-H34-E34-D34</f>
        <v>2264.7999999999993</v>
      </c>
      <c r="M34" s="425">
        <f t="shared" ref="M34" si="6">-I34-E34</f>
        <v>-1234.0999999999999</v>
      </c>
      <c r="N34" s="465" t="s">
        <v>295</v>
      </c>
      <c r="O34" s="428">
        <f t="shared" si="3"/>
        <v>3593.2999999999997</v>
      </c>
      <c r="P34" s="429">
        <v>2786.4</v>
      </c>
      <c r="Q34" s="430"/>
      <c r="T34" s="313"/>
      <c r="U34" s="422"/>
    </row>
    <row r="35" spans="2:21" s="368" customFormat="1" ht="16" customHeight="1">
      <c r="B35" s="424" t="s">
        <v>1604</v>
      </c>
      <c r="C35" s="424" t="s">
        <v>1567</v>
      </c>
      <c r="D35" s="425"/>
      <c r="E35" s="425"/>
      <c r="F35" s="426"/>
      <c r="G35" s="453"/>
      <c r="H35" s="425">
        <f>424-D35-E35-I35</f>
        <v>251.1</v>
      </c>
      <c r="I35" s="425">
        <v>172.9</v>
      </c>
      <c r="J35" s="426">
        <v>36</v>
      </c>
      <c r="K35" s="465" t="s">
        <v>295</v>
      </c>
      <c r="L35" s="425">
        <f>798.9-M35-I35-H35-E35-D35</f>
        <v>218.9</v>
      </c>
      <c r="M35" s="425">
        <f>328.9-I35-E35</f>
        <v>155.99999999999997</v>
      </c>
      <c r="N35" s="427" t="s">
        <v>1589</v>
      </c>
      <c r="O35" s="428">
        <f t="shared" si="3"/>
        <v>798.9</v>
      </c>
      <c r="P35" s="429">
        <v>661.9</v>
      </c>
      <c r="Q35" s="430"/>
      <c r="T35" s="313"/>
      <c r="U35" s="422"/>
    </row>
    <row r="36" spans="2:21" s="368" customFormat="1" ht="16" customHeight="1">
      <c r="B36" s="424" t="s">
        <v>1607</v>
      </c>
      <c r="C36" s="424" t="s">
        <v>294</v>
      </c>
      <c r="D36" s="425">
        <f>268-E36</f>
        <v>164</v>
      </c>
      <c r="E36" s="425">
        <v>104</v>
      </c>
      <c r="F36" s="426">
        <v>62</v>
      </c>
      <c r="G36" s="465" t="s">
        <v>295</v>
      </c>
      <c r="H36" s="425">
        <f>736-D36-E36-I36</f>
        <v>288.10000000000002</v>
      </c>
      <c r="I36" s="425">
        <v>179.9</v>
      </c>
      <c r="J36" s="426">
        <v>15</v>
      </c>
      <c r="K36" s="465" t="s">
        <v>295</v>
      </c>
      <c r="L36" s="425">
        <f>1240.6-M36-I36-H36-E36-D36</f>
        <v>118.09999999999991</v>
      </c>
      <c r="M36" s="425">
        <f>670.4-I36-E36</f>
        <v>386.5</v>
      </c>
      <c r="N36" s="465" t="s">
        <v>295</v>
      </c>
      <c r="O36" s="428">
        <f t="shared" si="3"/>
        <v>1240.5999999999999</v>
      </c>
      <c r="P36" s="429">
        <v>1083.2</v>
      </c>
      <c r="Q36" s="430"/>
      <c r="T36" s="313"/>
      <c r="U36" s="422"/>
    </row>
    <row r="37" spans="2:21" s="368" customFormat="1" ht="16" customHeight="1">
      <c r="B37" s="424" t="s">
        <v>1028</v>
      </c>
      <c r="C37" s="424" t="s">
        <v>1557</v>
      </c>
      <c r="D37" s="425">
        <f>375-E37</f>
        <v>276.39999999999998</v>
      </c>
      <c r="E37" s="425">
        <v>98.6</v>
      </c>
      <c r="F37" s="426">
        <v>60</v>
      </c>
      <c r="G37" s="427" t="s">
        <v>1564</v>
      </c>
      <c r="H37" s="425">
        <f>741.7-D37-E37-I37</f>
        <v>240.00000000000006</v>
      </c>
      <c r="I37" s="425">
        <v>126.7</v>
      </c>
      <c r="J37" s="426">
        <v>22</v>
      </c>
      <c r="K37" s="427" t="s">
        <v>1589</v>
      </c>
      <c r="L37" s="425">
        <f>1230.7-M37-I37-H37-E37-D37</f>
        <v>107.69999999999993</v>
      </c>
      <c r="M37" s="425">
        <f>606.6-I37-E37</f>
        <v>381.30000000000007</v>
      </c>
      <c r="N37" s="427" t="s">
        <v>1596</v>
      </c>
      <c r="O37" s="428">
        <f t="shared" si="3"/>
        <v>1230.7</v>
      </c>
      <c r="P37" s="429">
        <v>945.5</v>
      </c>
      <c r="Q37" s="430"/>
      <c r="T37" s="313"/>
      <c r="U37" s="422"/>
    </row>
    <row r="38" spans="2:21" s="368" customFormat="1" ht="13">
      <c r="B38" s="424" t="s">
        <v>300</v>
      </c>
      <c r="C38" s="424" t="s">
        <v>1558</v>
      </c>
      <c r="D38" s="425">
        <f>338-E38</f>
        <v>205.5</v>
      </c>
      <c r="E38" s="425">
        <v>132.5</v>
      </c>
      <c r="F38" s="426">
        <v>84</v>
      </c>
      <c r="G38" s="465" t="s">
        <v>295</v>
      </c>
      <c r="H38" s="425">
        <f>828-D38-E38-I38</f>
        <v>323.39999999999998</v>
      </c>
      <c r="I38" s="425">
        <v>166.6</v>
      </c>
      <c r="J38" s="426">
        <v>11</v>
      </c>
      <c r="K38" s="427" t="s">
        <v>1589</v>
      </c>
      <c r="L38" s="425">
        <f>1495.9-M38-I38-H38-E38-D38</f>
        <v>197.30000000000018</v>
      </c>
      <c r="M38" s="425">
        <f>769.7-I38-E38</f>
        <v>470.6</v>
      </c>
      <c r="N38" s="465" t="s">
        <v>295</v>
      </c>
      <c r="O38" s="428">
        <f t="shared" si="3"/>
        <v>1495.9</v>
      </c>
      <c r="P38" s="429">
        <v>998</v>
      </c>
      <c r="Q38" s="430" t="s">
        <v>1686</v>
      </c>
      <c r="T38" s="313"/>
      <c r="U38" s="422"/>
    </row>
    <row r="39" spans="2:21" s="272" customFormat="1">
      <c r="B39" s="424" t="s">
        <v>1040</v>
      </c>
      <c r="C39" s="424" t="s">
        <v>175</v>
      </c>
      <c r="D39" s="425">
        <f>373-E39</f>
        <v>221</v>
      </c>
      <c r="E39" s="425">
        <v>152</v>
      </c>
      <c r="F39" s="426">
        <v>72</v>
      </c>
      <c r="G39" s="465" t="s">
        <v>295</v>
      </c>
      <c r="H39" s="425">
        <f>1182-D39-E39-I39</f>
        <v>577.70000000000005</v>
      </c>
      <c r="I39" s="425">
        <v>231.3</v>
      </c>
      <c r="J39" s="426">
        <v>28</v>
      </c>
      <c r="K39" s="465" t="s">
        <v>295</v>
      </c>
      <c r="L39" s="425">
        <f>5193.2-M39-I39-H39-E39-D39</f>
        <v>1697.3000000000002</v>
      </c>
      <c r="M39" s="425">
        <f>2697.2-I39-E39</f>
        <v>2313.8999999999996</v>
      </c>
      <c r="N39" s="465" t="s">
        <v>295</v>
      </c>
      <c r="O39" s="428">
        <f t="shared" si="3"/>
        <v>5193.2</v>
      </c>
      <c r="P39" s="429">
        <v>3628.6</v>
      </c>
      <c r="Q39" s="430" t="s">
        <v>1687</v>
      </c>
      <c r="S39" s="368"/>
      <c r="T39" s="313"/>
      <c r="U39" s="422"/>
    </row>
    <row r="40" spans="2:21" s="272" customFormat="1">
      <c r="B40" s="424" t="s">
        <v>1611</v>
      </c>
      <c r="C40" s="424" t="s">
        <v>176</v>
      </c>
      <c r="D40" s="425">
        <f>864-E40</f>
        <v>595.9</v>
      </c>
      <c r="E40" s="425">
        <v>268.10000000000002</v>
      </c>
      <c r="F40" s="426">
        <v>98</v>
      </c>
      <c r="G40" s="465" t="s">
        <v>295</v>
      </c>
      <c r="H40" s="425">
        <f>2948-D40-E40-I40</f>
        <v>1411.5</v>
      </c>
      <c r="I40" s="425">
        <v>672.5</v>
      </c>
      <c r="J40" s="426">
        <v>18</v>
      </c>
      <c r="K40" s="465" t="s">
        <v>295</v>
      </c>
      <c r="L40" s="425">
        <f>11500.95-M40-I40-H40-E40-D40</f>
        <v>3360.4500000000007</v>
      </c>
      <c r="M40" s="425">
        <f>6133.1-I40-E40</f>
        <v>5192.5</v>
      </c>
      <c r="N40" s="465" t="s">
        <v>295</v>
      </c>
      <c r="O40" s="428">
        <f t="shared" si="3"/>
        <v>11500.95</v>
      </c>
      <c r="P40" s="429">
        <v>3941.5</v>
      </c>
      <c r="Q40" s="430" t="s">
        <v>1688</v>
      </c>
      <c r="S40" s="368"/>
      <c r="T40" s="313"/>
      <c r="U40" s="422"/>
    </row>
    <row r="41" spans="2:21" s="272" customFormat="1">
      <c r="B41" s="238"/>
      <c r="C41" s="238"/>
      <c r="D41" s="237"/>
      <c r="E41" s="237"/>
      <c r="F41" s="237"/>
      <c r="G41" s="234"/>
      <c r="H41" s="234"/>
      <c r="I41" s="234"/>
      <c r="J41" s="234"/>
      <c r="K41" s="234"/>
      <c r="L41" s="237"/>
      <c r="M41" s="237"/>
      <c r="N41" s="234"/>
      <c r="O41" s="239"/>
      <c r="P41" s="239"/>
      <c r="U41" s="368"/>
    </row>
    <row r="42" spans="2:21" s="272" customFormat="1">
      <c r="B42" s="238"/>
      <c r="C42" s="238"/>
      <c r="D42" s="237"/>
      <c r="E42" s="237"/>
      <c r="F42" s="237"/>
      <c r="G42" s="234"/>
      <c r="H42" s="234"/>
      <c r="I42" s="234"/>
      <c r="J42" s="234"/>
      <c r="K42" s="234"/>
      <c r="L42" s="237"/>
      <c r="M42" s="237"/>
      <c r="N42" s="234"/>
      <c r="O42" s="239"/>
      <c r="P42" s="239"/>
      <c r="S42" s="406"/>
      <c r="T42" s="406"/>
    </row>
    <row r="43" spans="2:21" s="272" customFormat="1">
      <c r="B43" s="238"/>
      <c r="C43" s="238"/>
      <c r="D43" s="237"/>
      <c r="E43" s="237"/>
      <c r="F43" s="237"/>
      <c r="G43" s="234"/>
      <c r="H43" s="234"/>
      <c r="I43" s="234"/>
      <c r="J43" s="234"/>
      <c r="K43" s="234"/>
      <c r="L43" s="237"/>
      <c r="M43" s="237"/>
      <c r="N43" s="234"/>
      <c r="O43" s="239"/>
      <c r="P43" s="239"/>
      <c r="S43" s="406"/>
      <c r="T43" s="406"/>
    </row>
    <row r="44" spans="2:21" s="272" customFormat="1">
      <c r="B44" s="238"/>
      <c r="C44" s="238"/>
      <c r="D44" s="237"/>
      <c r="E44" s="237"/>
      <c r="F44" s="237"/>
      <c r="G44" s="234"/>
      <c r="H44" s="234"/>
      <c r="I44" s="234"/>
      <c r="J44" s="234"/>
      <c r="K44" s="234"/>
      <c r="L44" s="237"/>
      <c r="M44" s="237"/>
      <c r="N44" s="234"/>
      <c r="O44" s="239"/>
      <c r="P44" s="239"/>
      <c r="S44" s="406"/>
      <c r="T44" s="406"/>
    </row>
    <row r="45" spans="2:21" s="272" customFormat="1">
      <c r="B45" s="238"/>
      <c r="C45" s="238"/>
      <c r="D45" s="237"/>
      <c r="E45" s="237"/>
      <c r="F45" s="237"/>
      <c r="G45" s="234"/>
      <c r="H45" s="234"/>
      <c r="I45" s="234"/>
      <c r="J45" s="234"/>
      <c r="K45" s="234"/>
      <c r="L45" s="237"/>
      <c r="M45" s="237"/>
      <c r="N45" s="234"/>
      <c r="O45" s="239"/>
      <c r="P45" s="239"/>
      <c r="S45" s="406"/>
      <c r="T45" s="406"/>
    </row>
    <row r="46" spans="2:21" s="272" customFormat="1">
      <c r="B46" s="238"/>
      <c r="C46" s="238"/>
      <c r="D46" s="237"/>
      <c r="E46" s="237"/>
      <c r="F46" s="237"/>
      <c r="G46" s="234"/>
      <c r="H46" s="234"/>
      <c r="I46" s="234"/>
      <c r="J46" s="234"/>
      <c r="K46" s="234"/>
      <c r="L46" s="237"/>
      <c r="M46" s="237"/>
      <c r="N46" s="234"/>
      <c r="O46" s="239"/>
      <c r="P46" s="239"/>
      <c r="S46" s="406"/>
      <c r="T46" s="406"/>
    </row>
    <row r="47" spans="2:21" s="272" customFormat="1">
      <c r="B47" s="238"/>
      <c r="C47" s="238"/>
      <c r="D47" s="237"/>
      <c r="E47" s="237"/>
      <c r="F47" s="237"/>
      <c r="G47" s="234"/>
      <c r="H47" s="234"/>
      <c r="I47" s="234"/>
      <c r="J47" s="234"/>
      <c r="K47" s="234"/>
      <c r="L47" s="237"/>
      <c r="M47" s="237"/>
      <c r="N47" s="234"/>
      <c r="O47" s="239"/>
      <c r="P47" s="239"/>
      <c r="S47" s="406"/>
      <c r="T47" s="406"/>
    </row>
    <row r="48" spans="2:21" s="272" customFormat="1">
      <c r="B48" s="238"/>
      <c r="C48" s="238"/>
      <c r="D48" s="237"/>
      <c r="E48" s="237"/>
      <c r="F48" s="237"/>
      <c r="G48" s="234"/>
      <c r="H48" s="234"/>
      <c r="I48" s="234"/>
      <c r="J48" s="234"/>
      <c r="K48" s="234"/>
      <c r="L48" s="237"/>
      <c r="M48" s="237"/>
      <c r="N48" s="234"/>
      <c r="O48" s="239"/>
      <c r="P48" s="239"/>
      <c r="S48" s="406"/>
      <c r="T48" s="406"/>
    </row>
    <row r="49" spans="2:20" s="272" customFormat="1">
      <c r="B49" s="238"/>
      <c r="C49" s="238"/>
      <c r="D49" s="237"/>
      <c r="E49" s="237"/>
      <c r="F49" s="237"/>
      <c r="G49" s="234"/>
      <c r="H49" s="234"/>
      <c r="I49" s="234"/>
      <c r="J49" s="234"/>
      <c r="K49" s="234"/>
      <c r="L49" s="237"/>
      <c r="M49" s="237"/>
      <c r="N49" s="234"/>
      <c r="O49" s="239"/>
      <c r="P49" s="239"/>
      <c r="S49" s="406"/>
      <c r="T49" s="406"/>
    </row>
    <row r="50" spans="2:20" s="272" customFormat="1">
      <c r="B50" s="238"/>
      <c r="C50" s="238"/>
      <c r="D50" s="237"/>
      <c r="E50" s="237"/>
      <c r="F50" s="237"/>
      <c r="G50" s="234"/>
      <c r="H50" s="234"/>
      <c r="I50" s="234"/>
      <c r="J50" s="234"/>
      <c r="K50" s="234"/>
      <c r="L50" s="237"/>
      <c r="M50" s="237"/>
      <c r="N50" s="234"/>
      <c r="O50" s="239"/>
      <c r="P50" s="239"/>
      <c r="S50" s="406"/>
      <c r="T50" s="406"/>
    </row>
    <row r="51" spans="2:20" s="272" customFormat="1">
      <c r="B51" s="238"/>
      <c r="C51" s="238"/>
      <c r="D51" s="237"/>
      <c r="E51" s="237"/>
      <c r="F51" s="237"/>
      <c r="G51" s="234"/>
      <c r="H51" s="234"/>
      <c r="I51" s="234"/>
      <c r="J51" s="234"/>
      <c r="K51" s="234"/>
      <c r="L51" s="237"/>
      <c r="M51" s="237"/>
      <c r="N51" s="234"/>
      <c r="O51" s="239"/>
      <c r="P51" s="239"/>
      <c r="S51" s="406"/>
      <c r="T51" s="406"/>
    </row>
    <row r="52" spans="2:20" s="272" customFormat="1">
      <c r="B52" s="238"/>
      <c r="C52" s="238"/>
      <c r="D52" s="237"/>
      <c r="E52" s="237"/>
      <c r="F52" s="237"/>
      <c r="G52" s="234"/>
      <c r="H52" s="234"/>
      <c r="I52" s="234"/>
      <c r="J52" s="234"/>
      <c r="K52" s="234"/>
      <c r="L52" s="237"/>
      <c r="M52" s="237"/>
      <c r="N52" s="234"/>
      <c r="O52" s="239"/>
      <c r="P52" s="239"/>
      <c r="S52" s="406"/>
      <c r="T52" s="406"/>
    </row>
    <row r="53" spans="2:20" s="272" customFormat="1">
      <c r="B53" s="238"/>
      <c r="C53" s="238"/>
      <c r="D53" s="237"/>
      <c r="E53" s="237"/>
      <c r="F53" s="237"/>
      <c r="G53" s="234"/>
      <c r="H53" s="234"/>
      <c r="I53" s="234"/>
      <c r="J53" s="234"/>
      <c r="K53" s="234"/>
      <c r="L53" s="237"/>
      <c r="M53" s="237"/>
      <c r="N53" s="234"/>
      <c r="O53" s="239"/>
      <c r="P53" s="239"/>
      <c r="S53" s="406"/>
      <c r="T53" s="406"/>
    </row>
    <row r="54" spans="2:20" s="272" customFormat="1">
      <c r="B54" s="238"/>
      <c r="C54" s="238"/>
      <c r="D54" s="237"/>
      <c r="E54" s="237"/>
      <c r="F54" s="237"/>
      <c r="G54" s="234"/>
      <c r="H54" s="234"/>
      <c r="I54" s="234"/>
      <c r="J54" s="234"/>
      <c r="K54" s="234"/>
      <c r="L54" s="237"/>
      <c r="M54" s="237"/>
      <c r="N54" s="234"/>
      <c r="O54" s="239"/>
      <c r="P54" s="239"/>
      <c r="S54" s="406"/>
      <c r="T54" s="406"/>
    </row>
    <row r="55" spans="2:20" s="272" customFormat="1">
      <c r="B55" s="238"/>
      <c r="C55" s="238"/>
      <c r="D55" s="237"/>
      <c r="E55" s="237"/>
      <c r="F55" s="237"/>
      <c r="G55" s="234"/>
      <c r="H55" s="234"/>
      <c r="I55" s="234"/>
      <c r="J55" s="234"/>
      <c r="K55" s="234"/>
      <c r="L55" s="237"/>
      <c r="M55" s="237"/>
      <c r="N55" s="234"/>
      <c r="O55" s="239"/>
      <c r="P55" s="239"/>
      <c r="S55" s="406"/>
      <c r="T55" s="406"/>
    </row>
    <row r="56" spans="2:20" s="272" customFormat="1">
      <c r="B56" s="238"/>
      <c r="C56" s="238"/>
      <c r="D56" s="237"/>
      <c r="E56" s="237"/>
      <c r="F56" s="237"/>
      <c r="G56" s="234"/>
      <c r="H56" s="234"/>
      <c r="I56" s="234"/>
      <c r="J56" s="234"/>
      <c r="K56" s="234"/>
      <c r="L56" s="237"/>
      <c r="M56" s="237"/>
      <c r="N56" s="234"/>
      <c r="O56" s="239"/>
      <c r="P56" s="239"/>
      <c r="S56" s="406"/>
      <c r="T56" s="406"/>
    </row>
    <row r="57" spans="2:20" s="272" customFormat="1">
      <c r="B57" s="238"/>
      <c r="C57" s="238"/>
      <c r="D57" s="237"/>
      <c r="E57" s="237"/>
      <c r="F57" s="237"/>
      <c r="G57" s="234"/>
      <c r="H57" s="234"/>
      <c r="I57" s="234"/>
      <c r="J57" s="234"/>
      <c r="K57" s="234"/>
      <c r="L57" s="237"/>
      <c r="M57" s="237"/>
      <c r="N57" s="234"/>
      <c r="O57" s="239"/>
      <c r="P57" s="239"/>
      <c r="S57" s="406"/>
      <c r="T57" s="406"/>
    </row>
    <row r="58" spans="2:20" s="272" customFormat="1">
      <c r="B58" s="238"/>
      <c r="C58" s="238"/>
      <c r="D58" s="237"/>
      <c r="E58" s="237"/>
      <c r="F58" s="237"/>
      <c r="G58" s="234"/>
      <c r="H58" s="234"/>
      <c r="I58" s="234"/>
      <c r="J58" s="234"/>
      <c r="K58" s="234"/>
      <c r="L58" s="237"/>
      <c r="M58" s="237"/>
      <c r="N58" s="234"/>
      <c r="O58" s="239"/>
      <c r="P58" s="239"/>
      <c r="S58" s="406"/>
      <c r="T58" s="406"/>
    </row>
    <row r="59" spans="2:20" s="272" customFormat="1">
      <c r="B59" s="238"/>
      <c r="C59" s="238"/>
      <c r="D59" s="237"/>
      <c r="E59" s="237"/>
      <c r="F59" s="237"/>
      <c r="G59" s="234"/>
      <c r="H59" s="234"/>
      <c r="I59" s="234"/>
      <c r="J59" s="234"/>
      <c r="K59" s="234"/>
      <c r="L59" s="237"/>
      <c r="M59" s="237"/>
      <c r="N59" s="234"/>
      <c r="O59" s="239"/>
      <c r="P59" s="239"/>
      <c r="S59" s="406"/>
      <c r="T59" s="406"/>
    </row>
    <row r="60" spans="2:20" s="272" customFormat="1">
      <c r="B60" s="238"/>
      <c r="C60" s="238"/>
      <c r="D60" s="237"/>
      <c r="E60" s="237"/>
      <c r="F60" s="237"/>
      <c r="G60" s="234"/>
      <c r="H60" s="234"/>
      <c r="I60" s="234"/>
      <c r="J60" s="234"/>
      <c r="K60" s="234"/>
      <c r="L60" s="237"/>
      <c r="M60" s="237"/>
      <c r="N60" s="234"/>
      <c r="O60" s="239"/>
      <c r="P60" s="239"/>
      <c r="S60" s="406"/>
      <c r="T60" s="406"/>
    </row>
    <row r="61" spans="2:20" s="272" customFormat="1">
      <c r="B61" s="238"/>
      <c r="C61" s="238"/>
      <c r="D61" s="237"/>
      <c r="E61" s="237"/>
      <c r="F61" s="237"/>
      <c r="G61" s="234"/>
      <c r="H61" s="234"/>
      <c r="I61" s="234"/>
      <c r="J61" s="234"/>
      <c r="K61" s="234"/>
      <c r="L61" s="237"/>
      <c r="M61" s="237"/>
      <c r="N61" s="234"/>
      <c r="O61" s="239"/>
      <c r="P61" s="239"/>
      <c r="S61" s="406"/>
      <c r="T61" s="406"/>
    </row>
    <row r="62" spans="2:20" s="272" customFormat="1">
      <c r="B62" s="238"/>
      <c r="C62" s="238"/>
      <c r="D62" s="237"/>
      <c r="E62" s="237"/>
      <c r="F62" s="237"/>
      <c r="G62" s="234"/>
      <c r="H62" s="234"/>
      <c r="I62" s="234"/>
      <c r="J62" s="234"/>
      <c r="K62" s="234"/>
      <c r="L62" s="237"/>
      <c r="M62" s="237"/>
      <c r="N62" s="234"/>
      <c r="O62" s="239"/>
      <c r="P62" s="239"/>
      <c r="S62" s="406"/>
      <c r="T62" s="406"/>
    </row>
    <row r="63" spans="2:20" s="272" customFormat="1">
      <c r="B63" s="238"/>
      <c r="C63" s="238"/>
      <c r="D63" s="237"/>
      <c r="E63" s="237"/>
      <c r="F63" s="237"/>
      <c r="G63" s="234"/>
      <c r="H63" s="234"/>
      <c r="I63" s="234"/>
      <c r="J63" s="234"/>
      <c r="K63" s="234"/>
      <c r="L63" s="237"/>
      <c r="M63" s="237"/>
      <c r="N63" s="234"/>
      <c r="O63" s="239"/>
      <c r="P63" s="239"/>
      <c r="S63" s="406"/>
      <c r="T63" s="406"/>
    </row>
    <row r="64" spans="2:20" s="272" customFormat="1">
      <c r="B64" s="238"/>
      <c r="C64" s="238"/>
      <c r="D64" s="237"/>
      <c r="E64" s="237"/>
      <c r="F64" s="237"/>
      <c r="G64" s="234"/>
      <c r="H64" s="234"/>
      <c r="I64" s="234"/>
      <c r="J64" s="234"/>
      <c r="K64" s="234"/>
      <c r="L64" s="237"/>
      <c r="M64" s="237"/>
      <c r="N64" s="234"/>
      <c r="O64" s="239"/>
      <c r="P64" s="239"/>
      <c r="S64" s="406"/>
      <c r="T64" s="406"/>
    </row>
    <row r="65" spans="2:20" s="272" customFormat="1">
      <c r="B65" s="238"/>
      <c r="C65" s="238"/>
      <c r="D65" s="237"/>
      <c r="E65" s="237"/>
      <c r="F65" s="237"/>
      <c r="G65" s="234"/>
      <c r="H65" s="234"/>
      <c r="I65" s="234"/>
      <c r="J65" s="234"/>
      <c r="K65" s="234"/>
      <c r="L65" s="237"/>
      <c r="M65" s="237"/>
      <c r="N65" s="234"/>
      <c r="O65" s="239"/>
      <c r="P65" s="239"/>
      <c r="S65" s="406"/>
      <c r="T65" s="406"/>
    </row>
    <row r="66" spans="2:20" s="272" customFormat="1">
      <c r="B66" s="238"/>
      <c r="C66" s="238"/>
      <c r="D66" s="237"/>
      <c r="E66" s="237"/>
      <c r="F66" s="237"/>
      <c r="G66" s="234"/>
      <c r="H66" s="234"/>
      <c r="I66" s="234"/>
      <c r="J66" s="234"/>
      <c r="K66" s="234"/>
      <c r="L66" s="237"/>
      <c r="M66" s="237"/>
      <c r="N66" s="234"/>
      <c r="O66" s="239"/>
      <c r="P66" s="239"/>
      <c r="S66" s="406"/>
      <c r="T66" s="406"/>
    </row>
    <row r="67" spans="2:20" s="272" customFormat="1">
      <c r="B67" s="238"/>
      <c r="C67" s="238"/>
      <c r="D67" s="237"/>
      <c r="E67" s="237"/>
      <c r="F67" s="237"/>
      <c r="G67" s="234"/>
      <c r="H67" s="234"/>
      <c r="I67" s="234"/>
      <c r="J67" s="234"/>
      <c r="K67" s="234"/>
      <c r="L67" s="237"/>
      <c r="M67" s="237"/>
      <c r="N67" s="234"/>
      <c r="O67" s="239"/>
      <c r="P67" s="239"/>
      <c r="S67" s="406"/>
      <c r="T67" s="406"/>
    </row>
    <row r="68" spans="2:20" s="272" customFormat="1">
      <c r="B68" s="238"/>
      <c r="C68" s="238"/>
      <c r="D68" s="237"/>
      <c r="E68" s="237"/>
      <c r="F68" s="237"/>
      <c r="G68" s="234"/>
      <c r="H68" s="234"/>
      <c r="I68" s="234"/>
      <c r="J68" s="234"/>
      <c r="K68" s="234"/>
      <c r="L68" s="237"/>
      <c r="M68" s="237"/>
      <c r="N68" s="234"/>
      <c r="O68" s="239"/>
      <c r="P68" s="239"/>
      <c r="S68" s="406"/>
      <c r="T68" s="406"/>
    </row>
    <row r="69" spans="2:20" s="272" customFormat="1">
      <c r="B69" s="238"/>
      <c r="C69" s="238"/>
      <c r="D69" s="237"/>
      <c r="E69" s="237"/>
      <c r="F69" s="237"/>
      <c r="G69" s="234"/>
      <c r="H69" s="234"/>
      <c r="I69" s="234"/>
      <c r="J69" s="234"/>
      <c r="K69" s="234"/>
      <c r="L69" s="237"/>
      <c r="M69" s="237"/>
      <c r="N69" s="234"/>
      <c r="O69" s="239"/>
      <c r="P69" s="239"/>
      <c r="S69" s="406"/>
      <c r="T69" s="406"/>
    </row>
    <row r="70" spans="2:20" s="272" customFormat="1">
      <c r="B70" s="238"/>
      <c r="C70" s="238"/>
      <c r="D70" s="237"/>
      <c r="E70" s="237"/>
      <c r="F70" s="237"/>
      <c r="G70" s="234"/>
      <c r="H70" s="234"/>
      <c r="I70" s="234"/>
      <c r="J70" s="234"/>
      <c r="K70" s="234"/>
      <c r="L70" s="237"/>
      <c r="M70" s="237"/>
      <c r="N70" s="234"/>
      <c r="O70" s="239"/>
      <c r="P70" s="239"/>
      <c r="S70" s="406"/>
      <c r="T70" s="406"/>
    </row>
    <row r="71" spans="2:20" s="272" customFormat="1">
      <c r="B71" s="238"/>
      <c r="C71" s="238"/>
      <c r="D71" s="237"/>
      <c r="E71" s="237"/>
      <c r="F71" s="237"/>
      <c r="G71" s="234"/>
      <c r="H71" s="234"/>
      <c r="I71" s="234"/>
      <c r="J71" s="234"/>
      <c r="K71" s="234"/>
      <c r="L71" s="237"/>
      <c r="M71" s="237"/>
      <c r="N71" s="234"/>
      <c r="O71" s="239"/>
      <c r="P71" s="239"/>
      <c r="S71" s="406"/>
      <c r="T71" s="406"/>
    </row>
    <row r="72" spans="2:20" s="272" customFormat="1">
      <c r="B72" s="238"/>
      <c r="C72" s="238"/>
      <c r="D72" s="237"/>
      <c r="E72" s="237"/>
      <c r="F72" s="237"/>
      <c r="G72" s="234"/>
      <c r="H72" s="234"/>
      <c r="I72" s="234"/>
      <c r="J72" s="234"/>
      <c r="K72" s="234"/>
      <c r="L72" s="237"/>
      <c r="M72" s="237"/>
      <c r="N72" s="234"/>
      <c r="O72" s="239"/>
      <c r="P72" s="239"/>
      <c r="S72" s="406"/>
      <c r="T72" s="406"/>
    </row>
    <row r="73" spans="2:20" s="272" customFormat="1">
      <c r="B73" s="238"/>
      <c r="C73" s="238"/>
      <c r="D73" s="237"/>
      <c r="E73" s="237"/>
      <c r="F73" s="237"/>
      <c r="G73" s="234"/>
      <c r="H73" s="234"/>
      <c r="I73" s="234"/>
      <c r="J73" s="234"/>
      <c r="K73" s="234"/>
      <c r="L73" s="237"/>
      <c r="M73" s="237"/>
      <c r="N73" s="234"/>
      <c r="O73" s="239"/>
      <c r="P73" s="239"/>
      <c r="S73" s="406"/>
      <c r="T73" s="406"/>
    </row>
    <row r="74" spans="2:20" s="272" customFormat="1">
      <c r="B74" s="238"/>
      <c r="C74" s="238"/>
      <c r="D74" s="237"/>
      <c r="E74" s="237"/>
      <c r="F74" s="237"/>
      <c r="G74" s="234"/>
      <c r="H74" s="234"/>
      <c r="I74" s="234"/>
      <c r="J74" s="234"/>
      <c r="K74" s="234"/>
      <c r="L74" s="237"/>
      <c r="M74" s="237"/>
      <c r="N74" s="234"/>
      <c r="O74" s="239"/>
      <c r="P74" s="239"/>
      <c r="S74" s="406"/>
      <c r="T74" s="406"/>
    </row>
    <row r="75" spans="2:20" s="272" customFormat="1">
      <c r="B75" s="238"/>
      <c r="C75" s="238"/>
      <c r="D75" s="237"/>
      <c r="E75" s="237"/>
      <c r="F75" s="237"/>
      <c r="G75" s="234"/>
      <c r="H75" s="234"/>
      <c r="I75" s="234"/>
      <c r="J75" s="234"/>
      <c r="K75" s="234"/>
      <c r="L75" s="237"/>
      <c r="M75" s="237"/>
      <c r="N75" s="234"/>
      <c r="O75" s="239"/>
      <c r="P75" s="239"/>
      <c r="S75" s="406"/>
      <c r="T75" s="406"/>
    </row>
    <row r="76" spans="2:20" s="272" customFormat="1">
      <c r="B76" s="238"/>
      <c r="C76" s="238"/>
      <c r="D76" s="237"/>
      <c r="E76" s="237"/>
      <c r="F76" s="237"/>
      <c r="G76" s="234"/>
      <c r="H76" s="234"/>
      <c r="I76" s="234"/>
      <c r="J76" s="234"/>
      <c r="K76" s="234"/>
      <c r="L76" s="237"/>
      <c r="M76" s="237"/>
      <c r="N76" s="234"/>
      <c r="O76" s="239"/>
      <c r="P76" s="239"/>
      <c r="S76" s="406"/>
      <c r="T76" s="406"/>
    </row>
    <row r="77" spans="2:20" s="272" customFormat="1">
      <c r="B77" s="238"/>
      <c r="C77" s="238"/>
      <c r="D77" s="237"/>
      <c r="E77" s="237"/>
      <c r="F77" s="237"/>
      <c r="G77" s="234"/>
      <c r="H77" s="234"/>
      <c r="I77" s="234"/>
      <c r="J77" s="234"/>
      <c r="K77" s="234"/>
      <c r="L77" s="237"/>
      <c r="M77" s="237"/>
      <c r="N77" s="234"/>
      <c r="O77" s="239"/>
      <c r="P77" s="239"/>
      <c r="S77" s="406"/>
      <c r="T77" s="406"/>
    </row>
    <row r="78" spans="2:20" s="272" customFormat="1">
      <c r="B78" s="238"/>
      <c r="C78" s="238"/>
      <c r="D78" s="237"/>
      <c r="E78" s="237"/>
      <c r="F78" s="237"/>
      <c r="G78" s="234"/>
      <c r="H78" s="234"/>
      <c r="I78" s="234"/>
      <c r="J78" s="234"/>
      <c r="K78" s="234"/>
      <c r="L78" s="237"/>
      <c r="M78" s="237"/>
      <c r="N78" s="234"/>
      <c r="O78" s="239"/>
      <c r="P78" s="239"/>
      <c r="S78" s="406"/>
      <c r="T78" s="406"/>
    </row>
    <row r="79" spans="2:20" s="272" customFormat="1">
      <c r="B79" s="238"/>
      <c r="C79" s="238"/>
      <c r="D79" s="237"/>
      <c r="E79" s="237"/>
      <c r="F79" s="237"/>
      <c r="G79" s="234"/>
      <c r="H79" s="234"/>
      <c r="I79" s="234"/>
      <c r="J79" s="234"/>
      <c r="K79" s="234"/>
      <c r="L79" s="237"/>
      <c r="M79" s="237"/>
      <c r="N79" s="234"/>
      <c r="O79" s="239"/>
      <c r="P79" s="239"/>
      <c r="S79" s="406"/>
      <c r="T79" s="406"/>
    </row>
    <row r="80" spans="2:20" s="272" customFormat="1">
      <c r="B80" s="238"/>
      <c r="C80" s="238"/>
      <c r="D80" s="237"/>
      <c r="E80" s="237"/>
      <c r="F80" s="237"/>
      <c r="G80" s="234"/>
      <c r="H80" s="234"/>
      <c r="I80" s="234"/>
      <c r="J80" s="234"/>
      <c r="K80" s="234"/>
      <c r="L80" s="237"/>
      <c r="M80" s="237"/>
      <c r="N80" s="234"/>
      <c r="O80" s="239"/>
      <c r="P80" s="239"/>
      <c r="S80" s="406"/>
      <c r="T80" s="406"/>
    </row>
    <row r="81" spans="2:20" s="272" customFormat="1">
      <c r="B81" s="238"/>
      <c r="C81" s="238"/>
      <c r="D81" s="237"/>
      <c r="E81" s="237"/>
      <c r="F81" s="237"/>
      <c r="G81" s="234"/>
      <c r="H81" s="234"/>
      <c r="I81" s="234"/>
      <c r="J81" s="234"/>
      <c r="K81" s="234"/>
      <c r="L81" s="237"/>
      <c r="M81" s="237"/>
      <c r="N81" s="234"/>
      <c r="O81" s="239"/>
      <c r="P81" s="239"/>
      <c r="S81" s="406"/>
      <c r="T81" s="406"/>
    </row>
    <row r="82" spans="2:20" s="272" customFormat="1">
      <c r="B82" s="238"/>
      <c r="C82" s="238"/>
      <c r="D82" s="237"/>
      <c r="E82" s="237"/>
      <c r="F82" s="237"/>
      <c r="G82" s="234"/>
      <c r="H82" s="234"/>
      <c r="I82" s="234"/>
      <c r="J82" s="234"/>
      <c r="K82" s="234"/>
      <c r="L82" s="237"/>
      <c r="M82" s="237"/>
      <c r="N82" s="234"/>
      <c r="O82" s="239"/>
      <c r="P82" s="239"/>
      <c r="S82" s="406"/>
      <c r="T82" s="406"/>
    </row>
    <row r="83" spans="2:20" s="272" customFormat="1">
      <c r="B83" s="238"/>
      <c r="C83" s="238"/>
      <c r="D83" s="237"/>
      <c r="E83" s="237"/>
      <c r="F83" s="237"/>
      <c r="G83" s="234"/>
      <c r="H83" s="234"/>
      <c r="I83" s="234"/>
      <c r="J83" s="234"/>
      <c r="K83" s="234"/>
      <c r="L83" s="237"/>
      <c r="M83" s="237"/>
      <c r="N83" s="234"/>
      <c r="O83" s="239"/>
      <c r="P83" s="239"/>
      <c r="S83" s="406"/>
      <c r="T83" s="406"/>
    </row>
    <row r="84" spans="2:20" s="272" customFormat="1">
      <c r="B84" s="238"/>
      <c r="C84" s="238"/>
      <c r="D84" s="237"/>
      <c r="E84" s="237"/>
      <c r="F84" s="237"/>
      <c r="G84" s="234"/>
      <c r="H84" s="234"/>
      <c r="I84" s="234"/>
      <c r="J84" s="234"/>
      <c r="K84" s="234"/>
      <c r="L84" s="237"/>
      <c r="M84" s="237"/>
      <c r="N84" s="234"/>
      <c r="O84" s="239"/>
      <c r="P84" s="239"/>
      <c r="S84" s="406"/>
      <c r="T84" s="406"/>
    </row>
    <row r="85" spans="2:20" s="272" customFormat="1">
      <c r="B85" s="238"/>
      <c r="C85" s="238"/>
      <c r="D85" s="237"/>
      <c r="E85" s="237"/>
      <c r="F85" s="237"/>
      <c r="G85" s="234"/>
      <c r="H85" s="234"/>
      <c r="I85" s="234"/>
      <c r="J85" s="234"/>
      <c r="K85" s="234"/>
      <c r="L85" s="237"/>
      <c r="M85" s="237"/>
      <c r="N85" s="234"/>
      <c r="O85" s="239"/>
      <c r="P85" s="239"/>
      <c r="S85" s="406"/>
      <c r="T85" s="406"/>
    </row>
    <row r="86" spans="2:20" s="272" customFormat="1">
      <c r="B86" s="238"/>
      <c r="C86" s="238"/>
      <c r="D86" s="237"/>
      <c r="E86" s="237"/>
      <c r="F86" s="237"/>
      <c r="G86" s="234"/>
      <c r="H86" s="234"/>
      <c r="I86" s="234"/>
      <c r="J86" s="234"/>
      <c r="K86" s="234"/>
      <c r="L86" s="237"/>
      <c r="M86" s="237"/>
      <c r="N86" s="234"/>
      <c r="O86" s="239"/>
      <c r="P86" s="239"/>
      <c r="S86" s="406"/>
      <c r="T86" s="406"/>
    </row>
    <row r="87" spans="2:20" s="272" customFormat="1">
      <c r="B87" s="238"/>
      <c r="C87" s="238"/>
      <c r="D87" s="237"/>
      <c r="E87" s="237"/>
      <c r="F87" s="237"/>
      <c r="G87" s="234"/>
      <c r="H87" s="234"/>
      <c r="I87" s="234"/>
      <c r="J87" s="234"/>
      <c r="K87" s="234"/>
      <c r="L87" s="237"/>
      <c r="M87" s="237"/>
      <c r="N87" s="234"/>
      <c r="O87" s="239"/>
      <c r="P87" s="239"/>
      <c r="S87" s="406"/>
      <c r="T87" s="406"/>
    </row>
    <row r="88" spans="2:20" s="272" customFormat="1">
      <c r="B88" s="238"/>
      <c r="C88" s="238"/>
      <c r="D88" s="237"/>
      <c r="E88" s="237"/>
      <c r="F88" s="237"/>
      <c r="G88" s="234"/>
      <c r="H88" s="234"/>
      <c r="I88" s="234"/>
      <c r="J88" s="234"/>
      <c r="K88" s="234"/>
      <c r="L88" s="237"/>
      <c r="M88" s="237"/>
      <c r="N88" s="234"/>
      <c r="O88" s="239"/>
      <c r="P88" s="239"/>
      <c r="S88" s="406"/>
      <c r="T88" s="406"/>
    </row>
    <row r="89" spans="2:20" s="272" customFormat="1">
      <c r="B89" s="238"/>
      <c r="C89" s="238"/>
      <c r="D89" s="237"/>
      <c r="E89" s="237"/>
      <c r="F89" s="237"/>
      <c r="G89" s="234"/>
      <c r="H89" s="234"/>
      <c r="I89" s="234"/>
      <c r="J89" s="234"/>
      <c r="K89" s="234"/>
      <c r="L89" s="237"/>
      <c r="M89" s="237"/>
      <c r="N89" s="234"/>
      <c r="O89" s="239"/>
      <c r="P89" s="239"/>
      <c r="S89" s="406"/>
      <c r="T89" s="406"/>
    </row>
    <row r="90" spans="2:20" s="272" customFormat="1">
      <c r="B90" s="238"/>
      <c r="C90" s="238"/>
      <c r="D90" s="237"/>
      <c r="E90" s="237"/>
      <c r="F90" s="237"/>
      <c r="G90" s="234"/>
      <c r="H90" s="234"/>
      <c r="I90" s="234"/>
      <c r="J90" s="234"/>
      <c r="K90" s="234"/>
      <c r="L90" s="237"/>
      <c r="M90" s="237"/>
      <c r="N90" s="234"/>
      <c r="O90" s="239"/>
      <c r="P90" s="239"/>
      <c r="S90" s="406"/>
      <c r="T90" s="406"/>
    </row>
    <row r="91" spans="2:20" s="272" customFormat="1">
      <c r="B91" s="238"/>
      <c r="C91" s="238"/>
      <c r="D91" s="237"/>
      <c r="E91" s="237"/>
      <c r="F91" s="237"/>
      <c r="G91" s="234"/>
      <c r="H91" s="234"/>
      <c r="I91" s="234"/>
      <c r="J91" s="234"/>
      <c r="K91" s="234"/>
      <c r="L91" s="237"/>
      <c r="M91" s="237"/>
      <c r="N91" s="234"/>
      <c r="O91" s="239"/>
      <c r="P91" s="239"/>
      <c r="S91" s="406"/>
      <c r="T91" s="406"/>
    </row>
    <row r="92" spans="2:20" s="272" customFormat="1">
      <c r="B92" s="238"/>
      <c r="C92" s="238"/>
      <c r="D92" s="237"/>
      <c r="E92" s="237"/>
      <c r="F92" s="237"/>
      <c r="G92" s="234"/>
      <c r="H92" s="234"/>
      <c r="I92" s="234"/>
      <c r="J92" s="234"/>
      <c r="K92" s="234"/>
      <c r="L92" s="237"/>
      <c r="M92" s="237"/>
      <c r="N92" s="234"/>
      <c r="O92" s="239"/>
      <c r="P92" s="239"/>
      <c r="S92" s="406"/>
      <c r="T92" s="406"/>
    </row>
    <row r="93" spans="2:20" s="272" customFormat="1">
      <c r="B93" s="238"/>
      <c r="C93" s="238"/>
      <c r="D93" s="237"/>
      <c r="E93" s="237"/>
      <c r="F93" s="237"/>
      <c r="G93" s="234"/>
      <c r="H93" s="234"/>
      <c r="I93" s="234"/>
      <c r="J93" s="234"/>
      <c r="K93" s="234"/>
      <c r="L93" s="237"/>
      <c r="M93" s="237"/>
      <c r="N93" s="234"/>
      <c r="O93" s="239"/>
      <c r="P93" s="239"/>
      <c r="S93" s="406"/>
      <c r="T93" s="406"/>
    </row>
    <row r="94" spans="2:20" s="272" customFormat="1">
      <c r="B94" s="238"/>
      <c r="C94" s="238"/>
      <c r="D94" s="237"/>
      <c r="E94" s="237"/>
      <c r="F94" s="237"/>
      <c r="G94" s="234"/>
      <c r="H94" s="234"/>
      <c r="I94" s="234"/>
      <c r="J94" s="234"/>
      <c r="K94" s="234"/>
      <c r="L94" s="237"/>
      <c r="M94" s="237"/>
      <c r="N94" s="234"/>
      <c r="O94" s="239"/>
      <c r="P94" s="239"/>
      <c r="S94" s="406"/>
      <c r="T94" s="406"/>
    </row>
    <row r="95" spans="2:20" s="272" customFormat="1">
      <c r="B95" s="238"/>
      <c r="C95" s="238"/>
      <c r="D95" s="237"/>
      <c r="E95" s="237"/>
      <c r="F95" s="237"/>
      <c r="G95" s="234"/>
      <c r="H95" s="234"/>
      <c r="I95" s="234"/>
      <c r="J95" s="234"/>
      <c r="K95" s="234"/>
      <c r="L95" s="237"/>
      <c r="M95" s="237"/>
      <c r="N95" s="234"/>
      <c r="O95" s="239"/>
      <c r="P95" s="239"/>
      <c r="S95" s="406"/>
      <c r="T95" s="406"/>
    </row>
    <row r="96" spans="2:20" s="272" customFormat="1">
      <c r="B96" s="238"/>
      <c r="C96" s="238"/>
      <c r="D96" s="237"/>
      <c r="E96" s="237"/>
      <c r="F96" s="237"/>
      <c r="G96" s="234"/>
      <c r="H96" s="234"/>
      <c r="I96" s="234"/>
      <c r="J96" s="234"/>
      <c r="K96" s="234"/>
      <c r="L96" s="237"/>
      <c r="M96" s="237"/>
      <c r="N96" s="234"/>
      <c r="O96" s="239"/>
      <c r="P96" s="239"/>
      <c r="S96" s="406"/>
      <c r="T96" s="406"/>
    </row>
    <row r="97" spans="2:20" s="272" customFormat="1">
      <c r="B97" s="238"/>
      <c r="C97" s="238"/>
      <c r="D97" s="237"/>
      <c r="E97" s="237"/>
      <c r="F97" s="237"/>
      <c r="G97" s="234"/>
      <c r="H97" s="234"/>
      <c r="I97" s="234"/>
      <c r="J97" s="234"/>
      <c r="K97" s="234"/>
      <c r="L97" s="237"/>
      <c r="M97" s="237"/>
      <c r="N97" s="234"/>
      <c r="O97" s="239"/>
      <c r="P97" s="239"/>
      <c r="S97" s="406"/>
      <c r="T97" s="406"/>
    </row>
    <row r="98" spans="2:20" s="272" customFormat="1">
      <c r="B98" s="238"/>
      <c r="C98" s="238"/>
      <c r="D98" s="237"/>
      <c r="E98" s="237"/>
      <c r="F98" s="237"/>
      <c r="G98" s="234"/>
      <c r="H98" s="234"/>
      <c r="I98" s="234"/>
      <c r="J98" s="234"/>
      <c r="K98" s="234"/>
      <c r="L98" s="237"/>
      <c r="M98" s="237"/>
      <c r="N98" s="234"/>
      <c r="O98" s="239"/>
      <c r="P98" s="239"/>
      <c r="S98" s="406"/>
      <c r="T98" s="406"/>
    </row>
    <row r="99" spans="2:20" s="272" customFormat="1">
      <c r="B99" s="238"/>
      <c r="C99" s="238"/>
      <c r="D99" s="237"/>
      <c r="E99" s="237"/>
      <c r="F99" s="237"/>
      <c r="G99" s="234"/>
      <c r="H99" s="234"/>
      <c r="I99" s="234"/>
      <c r="J99" s="234"/>
      <c r="K99" s="234"/>
      <c r="L99" s="237"/>
      <c r="M99" s="237"/>
      <c r="N99" s="234"/>
      <c r="O99" s="239"/>
      <c r="P99" s="239"/>
      <c r="S99" s="406"/>
      <c r="T99" s="406"/>
    </row>
    <row r="100" spans="2:20" s="272" customFormat="1">
      <c r="B100" s="238"/>
      <c r="C100" s="238"/>
      <c r="D100" s="237"/>
      <c r="E100" s="237"/>
      <c r="F100" s="237"/>
      <c r="G100" s="234"/>
      <c r="H100" s="234"/>
      <c r="I100" s="234"/>
      <c r="J100" s="234"/>
      <c r="K100" s="234"/>
      <c r="L100" s="237"/>
      <c r="M100" s="237"/>
      <c r="N100" s="234"/>
      <c r="O100" s="239"/>
      <c r="P100" s="239"/>
      <c r="S100" s="406"/>
      <c r="T100" s="406"/>
    </row>
    <row r="101" spans="2:20" s="272" customFormat="1">
      <c r="B101" s="238"/>
      <c r="C101" s="238"/>
      <c r="D101" s="237"/>
      <c r="E101" s="237"/>
      <c r="F101" s="237"/>
      <c r="G101" s="234"/>
      <c r="H101" s="234"/>
      <c r="I101" s="234"/>
      <c r="J101" s="234"/>
      <c r="K101" s="234"/>
      <c r="L101" s="237"/>
      <c r="M101" s="237"/>
      <c r="N101" s="234"/>
      <c r="O101" s="239"/>
      <c r="P101" s="239"/>
      <c r="S101" s="406"/>
      <c r="T101" s="406"/>
    </row>
    <row r="102" spans="2:20" s="272" customFormat="1">
      <c r="B102" s="238"/>
      <c r="C102" s="238"/>
      <c r="D102" s="237"/>
      <c r="E102" s="237"/>
      <c r="F102" s="237"/>
      <c r="G102" s="234"/>
      <c r="H102" s="234"/>
      <c r="I102" s="234"/>
      <c r="J102" s="234"/>
      <c r="K102" s="234"/>
      <c r="L102" s="237"/>
      <c r="M102" s="237"/>
      <c r="N102" s="234"/>
      <c r="O102" s="239"/>
      <c r="P102" s="239"/>
      <c r="S102" s="406"/>
      <c r="T102" s="406"/>
    </row>
    <row r="103" spans="2:20" s="272" customFormat="1">
      <c r="B103" s="238"/>
      <c r="C103" s="238"/>
      <c r="D103" s="237"/>
      <c r="E103" s="237"/>
      <c r="F103" s="237"/>
      <c r="G103" s="234"/>
      <c r="H103" s="234"/>
      <c r="I103" s="234"/>
      <c r="J103" s="234"/>
      <c r="K103" s="234"/>
      <c r="L103" s="237"/>
      <c r="M103" s="237"/>
      <c r="N103" s="234"/>
      <c r="O103" s="239"/>
      <c r="P103" s="239"/>
      <c r="S103" s="406"/>
      <c r="T103" s="406"/>
    </row>
    <row r="104" spans="2:20" s="272" customFormat="1">
      <c r="B104" s="238"/>
      <c r="C104" s="238"/>
      <c r="D104" s="237"/>
      <c r="E104" s="237"/>
      <c r="F104" s="237"/>
      <c r="G104" s="234"/>
      <c r="H104" s="234"/>
      <c r="I104" s="234"/>
      <c r="J104" s="234"/>
      <c r="K104" s="234"/>
      <c r="L104" s="237"/>
      <c r="M104" s="237"/>
      <c r="N104" s="234"/>
      <c r="O104" s="239"/>
      <c r="P104" s="239"/>
      <c r="S104" s="406"/>
      <c r="T104" s="406"/>
    </row>
    <row r="105" spans="2:20" s="272" customFormat="1">
      <c r="B105" s="238"/>
      <c r="C105" s="238"/>
      <c r="D105" s="237"/>
      <c r="E105" s="237"/>
      <c r="F105" s="237"/>
      <c r="G105" s="234"/>
      <c r="H105" s="234"/>
      <c r="I105" s="234"/>
      <c r="J105" s="234"/>
      <c r="K105" s="234"/>
      <c r="L105" s="237"/>
      <c r="M105" s="237"/>
      <c r="N105" s="234"/>
      <c r="O105" s="239"/>
      <c r="P105" s="239"/>
      <c r="S105" s="406"/>
      <c r="T105" s="406"/>
    </row>
    <row r="106" spans="2:20" s="272" customFormat="1">
      <c r="B106" s="238"/>
      <c r="C106" s="238"/>
      <c r="D106" s="237"/>
      <c r="E106" s="237"/>
      <c r="F106" s="237"/>
      <c r="G106" s="234"/>
      <c r="H106" s="234"/>
      <c r="I106" s="234"/>
      <c r="J106" s="234"/>
      <c r="K106" s="234"/>
      <c r="L106" s="237"/>
      <c r="M106" s="237"/>
      <c r="N106" s="234"/>
      <c r="O106" s="239"/>
      <c r="P106" s="239"/>
      <c r="S106" s="406"/>
      <c r="T106" s="406"/>
    </row>
    <row r="107" spans="2:20" s="272" customFormat="1">
      <c r="B107" s="238"/>
      <c r="C107" s="238"/>
      <c r="D107" s="237"/>
      <c r="E107" s="237"/>
      <c r="F107" s="237"/>
      <c r="G107" s="234"/>
      <c r="H107" s="234"/>
      <c r="I107" s="234"/>
      <c r="J107" s="234"/>
      <c r="K107" s="234"/>
      <c r="L107" s="237"/>
      <c r="M107" s="237"/>
      <c r="N107" s="234"/>
      <c r="O107" s="239"/>
      <c r="P107" s="239"/>
      <c r="S107" s="406"/>
      <c r="T107" s="406"/>
    </row>
    <row r="108" spans="2:20" s="272" customFormat="1">
      <c r="B108" s="238"/>
      <c r="C108" s="238"/>
      <c r="D108" s="237"/>
      <c r="E108" s="237"/>
      <c r="F108" s="237"/>
      <c r="G108" s="234"/>
      <c r="H108" s="234"/>
      <c r="I108" s="234"/>
      <c r="J108" s="234"/>
      <c r="K108" s="234"/>
      <c r="L108" s="237"/>
      <c r="M108" s="237"/>
      <c r="N108" s="234"/>
      <c r="O108" s="239"/>
      <c r="P108" s="239"/>
      <c r="S108" s="406"/>
      <c r="T108" s="406"/>
    </row>
    <row r="109" spans="2:20" s="272" customFormat="1">
      <c r="B109" s="238"/>
      <c r="C109" s="238"/>
      <c r="D109" s="237"/>
      <c r="E109" s="237"/>
      <c r="F109" s="237"/>
      <c r="G109" s="234"/>
      <c r="H109" s="234"/>
      <c r="I109" s="234"/>
      <c r="J109" s="234"/>
      <c r="K109" s="234"/>
      <c r="L109" s="237"/>
      <c r="M109" s="237"/>
      <c r="N109" s="234"/>
      <c r="O109" s="239"/>
      <c r="P109" s="239"/>
      <c r="S109" s="406"/>
      <c r="T109" s="406"/>
    </row>
    <row r="110" spans="2:20" s="272" customFormat="1">
      <c r="B110" s="238"/>
      <c r="C110" s="238"/>
      <c r="D110" s="237"/>
      <c r="E110" s="237"/>
      <c r="F110" s="237"/>
      <c r="G110" s="234"/>
      <c r="H110" s="234"/>
      <c r="I110" s="234"/>
      <c r="J110" s="234"/>
      <c r="K110" s="234"/>
      <c r="L110" s="237"/>
      <c r="M110" s="237"/>
      <c r="N110" s="234"/>
      <c r="O110" s="239"/>
      <c r="P110" s="239"/>
      <c r="S110" s="406"/>
      <c r="T110" s="406"/>
    </row>
    <row r="111" spans="2:20" s="272" customFormat="1">
      <c r="B111" s="238"/>
      <c r="C111" s="238"/>
      <c r="D111" s="237"/>
      <c r="E111" s="237"/>
      <c r="F111" s="237"/>
      <c r="G111" s="234"/>
      <c r="H111" s="234"/>
      <c r="I111" s="234"/>
      <c r="J111" s="234"/>
      <c r="K111" s="234"/>
      <c r="L111" s="237"/>
      <c r="M111" s="237"/>
      <c r="N111" s="234"/>
      <c r="O111" s="239"/>
      <c r="P111" s="239"/>
      <c r="S111" s="406"/>
      <c r="T111" s="406"/>
    </row>
    <row r="112" spans="2:20" s="272" customFormat="1">
      <c r="B112" s="238"/>
      <c r="C112" s="238"/>
      <c r="D112" s="237"/>
      <c r="E112" s="237"/>
      <c r="F112" s="237"/>
      <c r="G112" s="234"/>
      <c r="H112" s="234"/>
      <c r="I112" s="234"/>
      <c r="J112" s="234"/>
      <c r="K112" s="234"/>
      <c r="L112" s="237"/>
      <c r="M112" s="237"/>
      <c r="N112" s="234"/>
      <c r="O112" s="239"/>
      <c r="P112" s="239"/>
      <c r="S112" s="406"/>
      <c r="T112" s="406"/>
    </row>
    <row r="113" spans="2:20" s="272" customFormat="1">
      <c r="B113" s="238"/>
      <c r="C113" s="238"/>
      <c r="D113" s="237"/>
      <c r="E113" s="237"/>
      <c r="F113" s="237"/>
      <c r="G113" s="234"/>
      <c r="H113" s="234"/>
      <c r="I113" s="234"/>
      <c r="J113" s="234"/>
      <c r="K113" s="234"/>
      <c r="L113" s="237"/>
      <c r="M113" s="237"/>
      <c r="N113" s="234"/>
      <c r="O113" s="239"/>
      <c r="P113" s="239"/>
      <c r="S113" s="406"/>
      <c r="T113" s="406"/>
    </row>
    <row r="114" spans="2:20" s="272" customFormat="1">
      <c r="B114" s="238"/>
      <c r="C114" s="238"/>
      <c r="D114" s="237"/>
      <c r="E114" s="237"/>
      <c r="F114" s="237"/>
      <c r="G114" s="234"/>
      <c r="H114" s="234"/>
      <c r="I114" s="234"/>
      <c r="J114" s="234"/>
      <c r="K114" s="234"/>
      <c r="L114" s="237"/>
      <c r="M114" s="237"/>
      <c r="N114" s="234"/>
      <c r="O114" s="239"/>
      <c r="P114" s="239"/>
      <c r="S114" s="406"/>
      <c r="T114" s="406"/>
    </row>
    <row r="115" spans="2:20" s="272" customFormat="1">
      <c r="B115" s="238"/>
      <c r="C115" s="238"/>
      <c r="D115" s="237"/>
      <c r="E115" s="237"/>
      <c r="F115" s="237"/>
      <c r="G115" s="234"/>
      <c r="H115" s="234"/>
      <c r="I115" s="234"/>
      <c r="J115" s="234"/>
      <c r="K115" s="234"/>
      <c r="L115" s="237"/>
      <c r="M115" s="237"/>
      <c r="N115" s="234"/>
      <c r="O115" s="239"/>
      <c r="P115" s="239"/>
      <c r="S115" s="406"/>
      <c r="T115" s="406"/>
    </row>
    <row r="116" spans="2:20" s="272" customFormat="1">
      <c r="B116" s="238"/>
      <c r="C116" s="238"/>
      <c r="D116" s="237"/>
      <c r="E116" s="237"/>
      <c r="F116" s="237"/>
      <c r="G116" s="234"/>
      <c r="H116" s="234"/>
      <c r="I116" s="234"/>
      <c r="J116" s="234"/>
      <c r="K116" s="234"/>
      <c r="L116" s="237"/>
      <c r="M116" s="237"/>
      <c r="N116" s="234"/>
      <c r="O116" s="239"/>
      <c r="P116" s="239"/>
      <c r="S116" s="406"/>
      <c r="T116" s="406"/>
    </row>
    <row r="117" spans="2:20" s="272" customFormat="1">
      <c r="B117" s="238"/>
      <c r="C117" s="238"/>
      <c r="D117" s="237"/>
      <c r="E117" s="237"/>
      <c r="F117" s="237"/>
      <c r="G117" s="234"/>
      <c r="H117" s="234"/>
      <c r="I117" s="234"/>
      <c r="J117" s="234"/>
      <c r="K117" s="234"/>
      <c r="L117" s="237"/>
      <c r="M117" s="237"/>
      <c r="N117" s="234"/>
      <c r="O117" s="239"/>
      <c r="P117" s="239"/>
      <c r="S117" s="406"/>
      <c r="T117" s="406"/>
    </row>
    <row r="118" spans="2:20" s="272" customFormat="1">
      <c r="B118" s="238"/>
      <c r="C118" s="238"/>
      <c r="D118" s="237"/>
      <c r="E118" s="237"/>
      <c r="F118" s="237"/>
      <c r="G118" s="234"/>
      <c r="H118" s="234"/>
      <c r="I118" s="234"/>
      <c r="J118" s="234"/>
      <c r="K118" s="234"/>
      <c r="L118" s="237"/>
      <c r="M118" s="237"/>
      <c r="N118" s="234"/>
      <c r="O118" s="239"/>
      <c r="P118" s="239"/>
      <c r="S118" s="406"/>
      <c r="T118" s="406"/>
    </row>
    <row r="119" spans="2:20" s="272" customFormat="1">
      <c r="B119" s="238"/>
      <c r="C119" s="238"/>
      <c r="D119" s="237"/>
      <c r="E119" s="237"/>
      <c r="F119" s="237"/>
      <c r="G119" s="234"/>
      <c r="H119" s="234"/>
      <c r="I119" s="234"/>
      <c r="J119" s="234"/>
      <c r="K119" s="234"/>
      <c r="L119" s="237"/>
      <c r="M119" s="237"/>
      <c r="N119" s="234"/>
      <c r="O119" s="239"/>
      <c r="P119" s="239"/>
      <c r="S119" s="406"/>
      <c r="T119" s="406"/>
    </row>
    <row r="120" spans="2:20" s="272" customFormat="1">
      <c r="B120" s="238"/>
      <c r="C120" s="238"/>
      <c r="D120" s="237"/>
      <c r="E120" s="237"/>
      <c r="F120" s="237"/>
      <c r="G120" s="234"/>
      <c r="H120" s="234"/>
      <c r="I120" s="234"/>
      <c r="J120" s="234"/>
      <c r="K120" s="234"/>
      <c r="L120" s="237"/>
      <c r="M120" s="237"/>
      <c r="N120" s="234"/>
      <c r="O120" s="239"/>
      <c r="P120" s="239"/>
      <c r="S120" s="406"/>
      <c r="T120" s="406"/>
    </row>
    <row r="121" spans="2:20" s="272" customFormat="1">
      <c r="B121" s="238"/>
      <c r="C121" s="238"/>
      <c r="D121" s="237"/>
      <c r="E121" s="237"/>
      <c r="F121" s="237"/>
      <c r="G121" s="234"/>
      <c r="H121" s="234"/>
      <c r="I121" s="234"/>
      <c r="J121" s="234"/>
      <c r="K121" s="234"/>
      <c r="L121" s="237"/>
      <c r="M121" s="237"/>
      <c r="N121" s="234"/>
      <c r="O121" s="239"/>
      <c r="P121" s="239"/>
      <c r="S121" s="406"/>
      <c r="T121" s="406"/>
    </row>
    <row r="122" spans="2:20" s="272" customFormat="1">
      <c r="B122" s="238"/>
      <c r="C122" s="238"/>
      <c r="D122" s="237"/>
      <c r="E122" s="237"/>
      <c r="F122" s="237"/>
      <c r="G122" s="234"/>
      <c r="H122" s="234"/>
      <c r="I122" s="234"/>
      <c r="J122" s="234"/>
      <c r="K122" s="234"/>
      <c r="L122" s="237"/>
      <c r="M122" s="237"/>
      <c r="N122" s="234"/>
      <c r="O122" s="239"/>
      <c r="P122" s="239"/>
      <c r="S122" s="406"/>
      <c r="T122" s="406"/>
    </row>
    <row r="123" spans="2:20" s="272" customFormat="1">
      <c r="B123" s="238"/>
      <c r="C123" s="238"/>
      <c r="D123" s="237"/>
      <c r="E123" s="237"/>
      <c r="F123" s="237"/>
      <c r="G123" s="234"/>
      <c r="H123" s="234"/>
      <c r="I123" s="234"/>
      <c r="J123" s="234"/>
      <c r="K123" s="234"/>
      <c r="L123" s="237"/>
      <c r="M123" s="237"/>
      <c r="N123" s="234"/>
      <c r="O123" s="239"/>
      <c r="P123" s="239"/>
      <c r="S123" s="406"/>
      <c r="T123" s="406"/>
    </row>
    <row r="124" spans="2:20" s="272" customFormat="1">
      <c r="B124" s="238"/>
      <c r="C124" s="238"/>
      <c r="D124" s="237"/>
      <c r="E124" s="237"/>
      <c r="F124" s="237"/>
      <c r="G124" s="234"/>
      <c r="H124" s="234"/>
      <c r="I124" s="234"/>
      <c r="J124" s="234"/>
      <c r="K124" s="234"/>
      <c r="L124" s="237"/>
      <c r="M124" s="237"/>
      <c r="N124" s="234"/>
      <c r="O124" s="239"/>
      <c r="P124" s="239"/>
      <c r="S124" s="406"/>
      <c r="T124" s="406"/>
    </row>
    <row r="125" spans="2:20" s="272" customFormat="1">
      <c r="B125" s="238"/>
      <c r="C125" s="238"/>
      <c r="D125" s="237"/>
      <c r="E125" s="237"/>
      <c r="F125" s="237"/>
      <c r="G125" s="234"/>
      <c r="H125" s="234"/>
      <c r="I125" s="234"/>
      <c r="J125" s="234"/>
      <c r="K125" s="234"/>
      <c r="L125" s="237"/>
      <c r="M125" s="237"/>
      <c r="N125" s="234"/>
      <c r="O125" s="239"/>
      <c r="P125" s="239"/>
      <c r="S125" s="406"/>
      <c r="T125" s="406"/>
    </row>
    <row r="126" spans="2:20" s="272" customFormat="1">
      <c r="B126" s="238"/>
      <c r="C126" s="238"/>
      <c r="D126" s="237"/>
      <c r="E126" s="237"/>
      <c r="F126" s="237"/>
      <c r="G126" s="234"/>
      <c r="H126" s="234"/>
      <c r="I126" s="234"/>
      <c r="J126" s="234"/>
      <c r="K126" s="234"/>
      <c r="L126" s="237"/>
      <c r="M126" s="237"/>
      <c r="N126" s="234"/>
      <c r="O126" s="239"/>
      <c r="P126" s="239"/>
      <c r="S126" s="406"/>
      <c r="T126" s="406"/>
    </row>
    <row r="127" spans="2:20" s="272" customFormat="1">
      <c r="B127" s="238"/>
      <c r="C127" s="238"/>
      <c r="D127" s="237"/>
      <c r="E127" s="237"/>
      <c r="F127" s="237"/>
      <c r="G127" s="234"/>
      <c r="H127" s="234"/>
      <c r="I127" s="234"/>
      <c r="J127" s="234"/>
      <c r="K127" s="234"/>
      <c r="L127" s="237"/>
      <c r="M127" s="237"/>
      <c r="N127" s="234"/>
      <c r="O127" s="239"/>
      <c r="P127" s="239"/>
      <c r="S127" s="406"/>
      <c r="T127" s="406"/>
    </row>
    <row r="128" spans="2:20" s="272" customFormat="1">
      <c r="B128" s="238"/>
      <c r="C128" s="238"/>
      <c r="D128" s="237"/>
      <c r="E128" s="237"/>
      <c r="F128" s="237"/>
      <c r="G128" s="234"/>
      <c r="H128" s="234"/>
      <c r="I128" s="234"/>
      <c r="J128" s="234"/>
      <c r="K128" s="234"/>
      <c r="L128" s="237"/>
      <c r="M128" s="237"/>
      <c r="N128" s="234"/>
      <c r="O128" s="239"/>
      <c r="P128" s="239"/>
      <c r="S128" s="406"/>
      <c r="T128" s="406"/>
    </row>
    <row r="129" spans="2:20" s="272" customFormat="1">
      <c r="B129" s="238"/>
      <c r="C129" s="238"/>
      <c r="D129" s="237"/>
      <c r="E129" s="237"/>
      <c r="F129" s="237"/>
      <c r="G129" s="234"/>
      <c r="H129" s="234"/>
      <c r="I129" s="234"/>
      <c r="J129" s="234"/>
      <c r="K129" s="234"/>
      <c r="L129" s="237"/>
      <c r="M129" s="237"/>
      <c r="N129" s="234"/>
      <c r="O129" s="239"/>
      <c r="P129" s="239"/>
      <c r="S129" s="406"/>
      <c r="T129" s="406"/>
    </row>
    <row r="130" spans="2:20" s="272" customFormat="1">
      <c r="B130" s="238"/>
      <c r="C130" s="238"/>
      <c r="D130" s="237"/>
      <c r="E130" s="237"/>
      <c r="F130" s="237"/>
      <c r="G130" s="234"/>
      <c r="H130" s="234"/>
      <c r="I130" s="234"/>
      <c r="J130" s="234"/>
      <c r="K130" s="234"/>
      <c r="L130" s="237"/>
      <c r="M130" s="237"/>
      <c r="N130" s="234"/>
      <c r="O130" s="239"/>
      <c r="P130" s="239"/>
      <c r="S130" s="406"/>
      <c r="T130" s="406"/>
    </row>
    <row r="131" spans="2:20" s="272" customFormat="1">
      <c r="B131" s="238"/>
      <c r="C131" s="238"/>
      <c r="D131" s="237"/>
      <c r="E131" s="237"/>
      <c r="F131" s="237"/>
      <c r="G131" s="234"/>
      <c r="H131" s="234"/>
      <c r="I131" s="234"/>
      <c r="J131" s="234"/>
      <c r="K131" s="234"/>
      <c r="L131" s="237"/>
      <c r="M131" s="237"/>
      <c r="N131" s="234"/>
      <c r="O131" s="239"/>
      <c r="P131" s="239"/>
      <c r="S131" s="406"/>
      <c r="T131" s="406"/>
    </row>
    <row r="132" spans="2:20" s="272" customFormat="1">
      <c r="B132" s="238"/>
      <c r="C132" s="238"/>
      <c r="D132" s="237"/>
      <c r="E132" s="237"/>
      <c r="F132" s="237"/>
      <c r="G132" s="234"/>
      <c r="H132" s="234"/>
      <c r="I132" s="234"/>
      <c r="J132" s="234"/>
      <c r="K132" s="234"/>
      <c r="L132" s="237"/>
      <c r="M132" s="237"/>
      <c r="N132" s="234"/>
      <c r="O132" s="239"/>
      <c r="P132" s="239"/>
      <c r="S132" s="406"/>
      <c r="T132" s="406"/>
    </row>
    <row r="133" spans="2:20" s="272" customFormat="1">
      <c r="B133" s="238"/>
      <c r="C133" s="238"/>
      <c r="D133" s="237"/>
      <c r="E133" s="237"/>
      <c r="F133" s="237"/>
      <c r="G133" s="234"/>
      <c r="H133" s="234"/>
      <c r="I133" s="234"/>
      <c r="J133" s="234"/>
      <c r="K133" s="234"/>
      <c r="L133" s="237"/>
      <c r="M133" s="237"/>
      <c r="N133" s="234"/>
      <c r="O133" s="239"/>
      <c r="P133" s="239"/>
      <c r="S133" s="406"/>
      <c r="T133" s="406"/>
    </row>
    <row r="134" spans="2:20" s="272" customFormat="1">
      <c r="B134" s="238"/>
      <c r="C134" s="238"/>
      <c r="D134" s="237"/>
      <c r="E134" s="237"/>
      <c r="F134" s="237"/>
      <c r="G134" s="234"/>
      <c r="H134" s="234"/>
      <c r="I134" s="234"/>
      <c r="J134" s="234"/>
      <c r="K134" s="234"/>
      <c r="L134" s="237"/>
      <c r="M134" s="237"/>
      <c r="N134" s="234"/>
      <c r="O134" s="239"/>
      <c r="P134" s="239"/>
      <c r="S134" s="406"/>
      <c r="T134" s="406"/>
    </row>
    <row r="135" spans="2:20" s="272" customFormat="1">
      <c r="B135" s="238"/>
      <c r="C135" s="238"/>
      <c r="D135" s="237"/>
      <c r="E135" s="237"/>
      <c r="F135" s="237"/>
      <c r="G135" s="234"/>
      <c r="H135" s="234"/>
      <c r="I135" s="234"/>
      <c r="J135" s="234"/>
      <c r="K135" s="234"/>
      <c r="L135" s="237"/>
      <c r="M135" s="237"/>
      <c r="N135" s="234"/>
      <c r="O135" s="239"/>
      <c r="P135" s="239"/>
      <c r="S135" s="406"/>
      <c r="T135" s="406"/>
    </row>
    <row r="136" spans="2:20" s="272" customFormat="1">
      <c r="B136" s="238"/>
      <c r="C136" s="238"/>
      <c r="D136" s="237"/>
      <c r="E136" s="237"/>
      <c r="F136" s="237"/>
      <c r="G136" s="234"/>
      <c r="H136" s="234"/>
      <c r="I136" s="234"/>
      <c r="J136" s="234"/>
      <c r="K136" s="234"/>
      <c r="L136" s="237"/>
      <c r="M136" s="237"/>
      <c r="N136" s="234"/>
      <c r="O136" s="239"/>
      <c r="P136" s="239"/>
      <c r="S136" s="406"/>
      <c r="T136" s="406"/>
    </row>
    <row r="137" spans="2:20" s="272" customFormat="1">
      <c r="B137" s="238"/>
      <c r="C137" s="238"/>
      <c r="D137" s="237"/>
      <c r="E137" s="237"/>
      <c r="F137" s="237"/>
      <c r="G137" s="234"/>
      <c r="H137" s="234"/>
      <c r="I137" s="234"/>
      <c r="J137" s="234"/>
      <c r="K137" s="234"/>
      <c r="L137" s="237"/>
      <c r="M137" s="237"/>
      <c r="N137" s="234"/>
      <c r="O137" s="239"/>
      <c r="P137" s="239"/>
      <c r="S137" s="406"/>
      <c r="T137" s="406"/>
    </row>
    <row r="138" spans="2:20" s="272" customFormat="1">
      <c r="B138" s="238"/>
      <c r="C138" s="238"/>
      <c r="D138" s="237"/>
      <c r="E138" s="237"/>
      <c r="F138" s="237"/>
      <c r="G138" s="234"/>
      <c r="H138" s="234"/>
      <c r="I138" s="234"/>
      <c r="J138" s="234"/>
      <c r="K138" s="234"/>
      <c r="L138" s="237"/>
      <c r="M138" s="237"/>
      <c r="N138" s="234"/>
      <c r="O138" s="239"/>
      <c r="P138" s="239"/>
      <c r="S138" s="406"/>
      <c r="T138" s="406"/>
    </row>
    <row r="139" spans="2:20" s="272" customFormat="1">
      <c r="B139" s="238"/>
      <c r="C139" s="238"/>
      <c r="D139" s="237"/>
      <c r="E139" s="237"/>
      <c r="F139" s="237"/>
      <c r="G139" s="234"/>
      <c r="H139" s="234"/>
      <c r="I139" s="234"/>
      <c r="J139" s="234"/>
      <c r="K139" s="234"/>
      <c r="L139" s="237"/>
      <c r="M139" s="237"/>
      <c r="N139" s="234"/>
      <c r="O139" s="239"/>
      <c r="P139" s="239"/>
      <c r="S139" s="406"/>
      <c r="T139" s="406"/>
    </row>
    <row r="140" spans="2:20" s="272" customFormat="1">
      <c r="B140" s="238"/>
      <c r="C140" s="238"/>
      <c r="D140" s="237"/>
      <c r="E140" s="237"/>
      <c r="F140" s="237"/>
      <c r="G140" s="234"/>
      <c r="H140" s="234"/>
      <c r="I140" s="234"/>
      <c r="J140" s="234"/>
      <c r="K140" s="234"/>
      <c r="L140" s="237"/>
      <c r="M140" s="237"/>
      <c r="N140" s="234"/>
      <c r="O140" s="239"/>
      <c r="P140" s="239"/>
      <c r="S140" s="406"/>
      <c r="T140" s="406"/>
    </row>
    <row r="141" spans="2:20" s="272" customFormat="1">
      <c r="B141" s="238"/>
      <c r="C141" s="238"/>
      <c r="D141" s="237"/>
      <c r="E141" s="237"/>
      <c r="F141" s="237"/>
      <c r="G141" s="234"/>
      <c r="H141" s="234"/>
      <c r="I141" s="234"/>
      <c r="J141" s="234"/>
      <c r="K141" s="234"/>
      <c r="L141" s="237"/>
      <c r="M141" s="237"/>
      <c r="N141" s="234"/>
      <c r="O141" s="239"/>
      <c r="P141" s="239"/>
      <c r="S141" s="406"/>
      <c r="T141" s="406"/>
    </row>
    <row r="142" spans="2:20" s="272" customFormat="1">
      <c r="B142" s="238"/>
      <c r="C142" s="238"/>
      <c r="D142" s="237"/>
      <c r="E142" s="237"/>
      <c r="F142" s="237"/>
      <c r="G142" s="234"/>
      <c r="H142" s="234"/>
      <c r="I142" s="234"/>
      <c r="J142" s="234"/>
      <c r="K142" s="234"/>
      <c r="L142" s="237"/>
      <c r="M142" s="237"/>
      <c r="N142" s="234"/>
      <c r="O142" s="239"/>
      <c r="P142" s="239"/>
      <c r="S142" s="406"/>
      <c r="T142" s="406"/>
    </row>
    <row r="143" spans="2:20" s="272" customFormat="1">
      <c r="B143" s="238"/>
      <c r="C143" s="238"/>
      <c r="D143" s="237"/>
      <c r="E143" s="237"/>
      <c r="F143" s="237"/>
      <c r="G143" s="234"/>
      <c r="H143" s="234"/>
      <c r="I143" s="234"/>
      <c r="J143" s="234"/>
      <c r="K143" s="234"/>
      <c r="L143" s="237"/>
      <c r="M143" s="237"/>
      <c r="N143" s="234"/>
      <c r="O143" s="239"/>
      <c r="P143" s="239"/>
      <c r="S143" s="406"/>
      <c r="T143" s="406"/>
    </row>
    <row r="144" spans="2:20" s="272" customFormat="1">
      <c r="B144" s="238"/>
      <c r="C144" s="238"/>
      <c r="D144" s="237"/>
      <c r="E144" s="237"/>
      <c r="F144" s="237"/>
      <c r="G144" s="234"/>
      <c r="H144" s="234"/>
      <c r="I144" s="234"/>
      <c r="J144" s="234"/>
      <c r="K144" s="234"/>
      <c r="L144" s="237"/>
      <c r="M144" s="237"/>
      <c r="N144" s="234"/>
      <c r="O144" s="239"/>
      <c r="P144" s="239"/>
      <c r="S144" s="406"/>
      <c r="T144" s="406"/>
    </row>
    <row r="145" spans="2:20" s="272" customFormat="1">
      <c r="B145" s="238"/>
      <c r="C145" s="238"/>
      <c r="D145" s="237"/>
      <c r="E145" s="237"/>
      <c r="F145" s="237"/>
      <c r="G145" s="234"/>
      <c r="H145" s="234"/>
      <c r="I145" s="234"/>
      <c r="J145" s="234"/>
      <c r="K145" s="234"/>
      <c r="L145" s="237"/>
      <c r="M145" s="237"/>
      <c r="N145" s="234"/>
      <c r="O145" s="239"/>
      <c r="P145" s="239"/>
      <c r="S145" s="406"/>
      <c r="T145" s="406"/>
    </row>
    <row r="146" spans="2:20" s="272" customFormat="1">
      <c r="B146" s="238"/>
      <c r="C146" s="238"/>
      <c r="D146" s="237"/>
      <c r="E146" s="237"/>
      <c r="F146" s="237"/>
      <c r="G146" s="234"/>
      <c r="H146" s="234"/>
      <c r="I146" s="234"/>
      <c r="J146" s="234"/>
      <c r="K146" s="234"/>
      <c r="L146" s="237"/>
      <c r="M146" s="237"/>
      <c r="N146" s="234"/>
      <c r="O146" s="239"/>
      <c r="P146" s="239"/>
      <c r="S146" s="406"/>
      <c r="T146" s="406"/>
    </row>
    <row r="147" spans="2:20" s="272" customFormat="1">
      <c r="B147" s="238"/>
      <c r="C147" s="238"/>
      <c r="D147" s="237"/>
      <c r="E147" s="237"/>
      <c r="F147" s="237"/>
      <c r="G147" s="234"/>
      <c r="H147" s="234"/>
      <c r="I147" s="234"/>
      <c r="J147" s="234"/>
      <c r="K147" s="234"/>
      <c r="L147" s="237"/>
      <c r="M147" s="237"/>
      <c r="N147" s="234"/>
      <c r="O147" s="239"/>
      <c r="P147" s="239"/>
      <c r="S147" s="406"/>
      <c r="T147" s="406"/>
    </row>
    <row r="148" spans="2:20" s="272" customFormat="1">
      <c r="B148" s="238"/>
      <c r="C148" s="238"/>
      <c r="D148" s="237"/>
      <c r="E148" s="237"/>
      <c r="F148" s="237"/>
      <c r="G148" s="234"/>
      <c r="H148" s="234"/>
      <c r="I148" s="234"/>
      <c r="J148" s="234"/>
      <c r="K148" s="234"/>
      <c r="L148" s="237"/>
      <c r="M148" s="237"/>
      <c r="N148" s="234"/>
      <c r="O148" s="239"/>
      <c r="P148" s="239"/>
      <c r="S148" s="406"/>
      <c r="T148" s="406"/>
    </row>
    <row r="149" spans="2:20" s="272" customFormat="1">
      <c r="B149" s="238"/>
      <c r="C149" s="238"/>
      <c r="D149" s="237"/>
      <c r="E149" s="237"/>
      <c r="F149" s="237"/>
      <c r="G149" s="234"/>
      <c r="H149" s="234"/>
      <c r="I149" s="234"/>
      <c r="J149" s="234"/>
      <c r="K149" s="234"/>
      <c r="L149" s="237"/>
      <c r="M149" s="237"/>
      <c r="N149" s="234"/>
      <c r="O149" s="239"/>
      <c r="P149" s="239"/>
      <c r="S149" s="406"/>
      <c r="T149" s="406"/>
    </row>
    <row r="150" spans="2:20" s="272" customFormat="1">
      <c r="B150" s="238"/>
      <c r="C150" s="238"/>
      <c r="D150" s="237"/>
      <c r="E150" s="237"/>
      <c r="F150" s="237"/>
      <c r="G150" s="234"/>
      <c r="H150" s="234"/>
      <c r="I150" s="234"/>
      <c r="J150" s="234"/>
      <c r="K150" s="234"/>
      <c r="L150" s="237"/>
      <c r="M150" s="237"/>
      <c r="N150" s="234"/>
      <c r="O150" s="239"/>
      <c r="P150" s="239"/>
      <c r="S150" s="406"/>
      <c r="T150" s="406"/>
    </row>
    <row r="151" spans="2:20" s="272" customFormat="1">
      <c r="B151" s="238"/>
      <c r="C151" s="238"/>
      <c r="D151" s="237"/>
      <c r="E151" s="237"/>
      <c r="F151" s="237"/>
      <c r="G151" s="234"/>
      <c r="H151" s="234"/>
      <c r="I151" s="234"/>
      <c r="J151" s="234"/>
      <c r="K151" s="234"/>
      <c r="L151" s="237"/>
      <c r="M151" s="237"/>
      <c r="N151" s="234"/>
      <c r="O151" s="239"/>
      <c r="P151" s="239"/>
      <c r="S151" s="406"/>
      <c r="T151" s="406"/>
    </row>
    <row r="152" spans="2:20" s="272" customFormat="1">
      <c r="B152" s="238"/>
      <c r="C152" s="238"/>
      <c r="D152" s="237"/>
      <c r="E152" s="237"/>
      <c r="F152" s="237"/>
      <c r="G152" s="234"/>
      <c r="H152" s="234"/>
      <c r="I152" s="234"/>
      <c r="J152" s="234"/>
      <c r="K152" s="234"/>
      <c r="L152" s="237"/>
      <c r="M152" s="237"/>
      <c r="N152" s="234"/>
      <c r="O152" s="239"/>
      <c r="P152" s="239"/>
      <c r="S152" s="406"/>
      <c r="T152" s="406"/>
    </row>
    <row r="153" spans="2:20" s="272" customFormat="1">
      <c r="B153" s="238"/>
      <c r="C153" s="238"/>
      <c r="D153" s="237"/>
      <c r="E153" s="237"/>
      <c r="F153" s="237"/>
      <c r="G153" s="234"/>
      <c r="H153" s="234"/>
      <c r="I153" s="234"/>
      <c r="J153" s="234"/>
      <c r="K153" s="234"/>
      <c r="L153" s="237"/>
      <c r="M153" s="237"/>
      <c r="N153" s="234"/>
      <c r="O153" s="239"/>
      <c r="P153" s="239"/>
      <c r="S153" s="406"/>
      <c r="T153" s="406"/>
    </row>
    <row r="154" spans="2:20" s="272" customFormat="1">
      <c r="B154" s="238"/>
      <c r="C154" s="238"/>
      <c r="D154" s="237"/>
      <c r="E154" s="237"/>
      <c r="F154" s="237"/>
      <c r="G154" s="234"/>
      <c r="H154" s="234"/>
      <c r="I154" s="234"/>
      <c r="J154" s="234"/>
      <c r="K154" s="234"/>
      <c r="L154" s="237"/>
      <c r="M154" s="237"/>
      <c r="N154" s="234"/>
      <c r="O154" s="239"/>
      <c r="P154" s="239"/>
      <c r="S154" s="406"/>
      <c r="T154" s="406"/>
    </row>
    <row r="155" spans="2:20" s="272" customFormat="1">
      <c r="B155" s="238"/>
      <c r="C155" s="238"/>
      <c r="D155" s="237"/>
      <c r="E155" s="237"/>
      <c r="F155" s="237"/>
      <c r="G155" s="234"/>
      <c r="H155" s="234"/>
      <c r="I155" s="234"/>
      <c r="J155" s="234"/>
      <c r="K155" s="234"/>
      <c r="L155" s="237"/>
      <c r="M155" s="237"/>
      <c r="N155" s="234"/>
      <c r="O155" s="239"/>
      <c r="P155" s="239"/>
      <c r="S155" s="406"/>
      <c r="T155" s="406"/>
    </row>
    <row r="156" spans="2:20" s="272" customFormat="1">
      <c r="B156" s="238"/>
      <c r="C156" s="238"/>
      <c r="D156" s="237"/>
      <c r="E156" s="237"/>
      <c r="F156" s="237"/>
      <c r="G156" s="234"/>
      <c r="H156" s="234"/>
      <c r="I156" s="234"/>
      <c r="J156" s="234"/>
      <c r="K156" s="234"/>
      <c r="L156" s="237"/>
      <c r="M156" s="237"/>
      <c r="N156" s="234"/>
      <c r="O156" s="239"/>
      <c r="P156" s="239"/>
      <c r="S156" s="406"/>
      <c r="T156" s="406"/>
    </row>
    <row r="157" spans="2:20" s="272" customFormat="1">
      <c r="B157" s="238"/>
      <c r="C157" s="238"/>
      <c r="D157" s="237"/>
      <c r="E157" s="237"/>
      <c r="F157" s="237"/>
      <c r="G157" s="234"/>
      <c r="H157" s="234"/>
      <c r="I157" s="234"/>
      <c r="J157" s="234"/>
      <c r="K157" s="234"/>
      <c r="L157" s="237"/>
      <c r="M157" s="237"/>
      <c r="N157" s="234"/>
      <c r="O157" s="239"/>
      <c r="P157" s="239"/>
      <c r="S157" s="406"/>
      <c r="T157" s="406"/>
    </row>
    <row r="158" spans="2:20" s="272" customFormat="1">
      <c r="B158" s="238"/>
      <c r="C158" s="238"/>
      <c r="D158" s="237"/>
      <c r="E158" s="237"/>
      <c r="F158" s="237"/>
      <c r="G158" s="234"/>
      <c r="H158" s="234"/>
      <c r="I158" s="234"/>
      <c r="J158" s="234"/>
      <c r="K158" s="234"/>
      <c r="L158" s="237"/>
      <c r="M158" s="237"/>
      <c r="N158" s="234"/>
      <c r="O158" s="239"/>
      <c r="P158" s="239"/>
      <c r="S158" s="406"/>
      <c r="T158" s="406"/>
    </row>
    <row r="159" spans="2:20" s="272" customFormat="1">
      <c r="B159" s="238"/>
      <c r="C159" s="238"/>
      <c r="D159" s="237"/>
      <c r="E159" s="237"/>
      <c r="F159" s="237"/>
      <c r="G159" s="234"/>
      <c r="H159" s="234"/>
      <c r="I159" s="234"/>
      <c r="J159" s="234"/>
      <c r="K159" s="234"/>
      <c r="L159" s="237"/>
      <c r="M159" s="237"/>
      <c r="N159" s="234"/>
      <c r="O159" s="239"/>
      <c r="P159" s="239"/>
      <c r="S159" s="406"/>
      <c r="T159" s="406"/>
    </row>
    <row r="160" spans="2:20" s="272" customFormat="1">
      <c r="B160" s="238"/>
      <c r="C160" s="238"/>
      <c r="D160" s="237"/>
      <c r="E160" s="237"/>
      <c r="F160" s="237"/>
      <c r="G160" s="234"/>
      <c r="H160" s="234"/>
      <c r="I160" s="234"/>
      <c r="J160" s="234"/>
      <c r="K160" s="234"/>
      <c r="L160" s="237"/>
      <c r="M160" s="237"/>
      <c r="N160" s="234"/>
      <c r="O160" s="239"/>
      <c r="P160" s="239"/>
      <c r="S160" s="406"/>
      <c r="T160" s="406"/>
    </row>
    <row r="161" spans="2:20" s="272" customFormat="1">
      <c r="B161" s="238"/>
      <c r="C161" s="238"/>
      <c r="D161" s="237"/>
      <c r="E161" s="237"/>
      <c r="F161" s="237"/>
      <c r="G161" s="234"/>
      <c r="H161" s="234"/>
      <c r="I161" s="234"/>
      <c r="J161" s="234"/>
      <c r="K161" s="234"/>
      <c r="L161" s="237"/>
      <c r="M161" s="237"/>
      <c r="N161" s="234"/>
      <c r="O161" s="239"/>
      <c r="P161" s="239"/>
      <c r="S161" s="406"/>
      <c r="T161" s="406"/>
    </row>
    <row r="162" spans="2:20" s="272" customFormat="1">
      <c r="B162" s="238"/>
      <c r="C162" s="238"/>
      <c r="D162" s="237"/>
      <c r="E162" s="237"/>
      <c r="F162" s="237"/>
      <c r="G162" s="234"/>
      <c r="H162" s="234"/>
      <c r="I162" s="234"/>
      <c r="J162" s="234"/>
      <c r="K162" s="234"/>
      <c r="L162" s="237"/>
      <c r="M162" s="237"/>
      <c r="N162" s="234"/>
      <c r="O162" s="239"/>
      <c r="P162" s="239"/>
      <c r="S162" s="406"/>
      <c r="T162" s="406"/>
    </row>
    <row r="163" spans="2:20" s="272" customFormat="1">
      <c r="B163" s="238"/>
      <c r="C163" s="238"/>
      <c r="D163" s="237"/>
      <c r="E163" s="237"/>
      <c r="F163" s="237"/>
      <c r="G163" s="234"/>
      <c r="H163" s="234"/>
      <c r="I163" s="234"/>
      <c r="J163" s="234"/>
      <c r="K163" s="234"/>
      <c r="L163" s="237"/>
      <c r="M163" s="237"/>
      <c r="N163" s="234"/>
      <c r="O163" s="239"/>
      <c r="P163" s="239"/>
      <c r="S163" s="406"/>
      <c r="T163" s="406"/>
    </row>
    <row r="164" spans="2:20" s="272" customFormat="1">
      <c r="B164" s="238"/>
      <c r="C164" s="238"/>
      <c r="D164" s="237"/>
      <c r="E164" s="237"/>
      <c r="F164" s="237"/>
      <c r="G164" s="234"/>
      <c r="H164" s="234"/>
      <c r="I164" s="234"/>
      <c r="J164" s="234"/>
      <c r="K164" s="234"/>
      <c r="L164" s="237"/>
      <c r="M164" s="237"/>
      <c r="N164" s="234"/>
      <c r="O164" s="239"/>
      <c r="P164" s="239"/>
      <c r="S164" s="406"/>
      <c r="T164" s="406"/>
    </row>
    <row r="165" spans="2:20" s="272" customFormat="1">
      <c r="B165" s="238"/>
      <c r="C165" s="238"/>
      <c r="D165" s="237"/>
      <c r="E165" s="237"/>
      <c r="F165" s="237"/>
      <c r="G165" s="234"/>
      <c r="H165" s="234"/>
      <c r="I165" s="234"/>
      <c r="J165" s="234"/>
      <c r="K165" s="234"/>
      <c r="L165" s="237"/>
      <c r="M165" s="237"/>
      <c r="N165" s="234"/>
      <c r="O165" s="239"/>
      <c r="P165" s="239"/>
      <c r="S165" s="406"/>
      <c r="T165" s="406"/>
    </row>
    <row r="166" spans="2:20" s="272" customFormat="1">
      <c r="B166" s="238"/>
      <c r="C166" s="238"/>
      <c r="D166" s="237"/>
      <c r="E166" s="237"/>
      <c r="F166" s="237"/>
      <c r="G166" s="234"/>
      <c r="H166" s="234"/>
      <c r="I166" s="234"/>
      <c r="J166" s="234"/>
      <c r="K166" s="234"/>
      <c r="L166" s="237"/>
      <c r="M166" s="237"/>
      <c r="N166" s="234"/>
      <c r="O166" s="239"/>
      <c r="P166" s="239"/>
      <c r="S166" s="406"/>
      <c r="T166" s="406"/>
    </row>
    <row r="167" spans="2:20" s="272" customFormat="1">
      <c r="B167" s="238"/>
      <c r="C167" s="238"/>
      <c r="D167" s="237"/>
      <c r="E167" s="237"/>
      <c r="F167" s="237"/>
      <c r="G167" s="234"/>
      <c r="H167" s="234"/>
      <c r="I167" s="234"/>
      <c r="J167" s="234"/>
      <c r="K167" s="234"/>
      <c r="L167" s="237"/>
      <c r="M167" s="237"/>
      <c r="N167" s="234"/>
      <c r="O167" s="239"/>
      <c r="P167" s="239"/>
      <c r="S167" s="406"/>
      <c r="T167" s="406"/>
    </row>
    <row r="168" spans="2:20" s="272" customFormat="1">
      <c r="B168" s="238"/>
      <c r="C168" s="238"/>
      <c r="D168" s="237"/>
      <c r="E168" s="237"/>
      <c r="F168" s="237"/>
      <c r="G168" s="234"/>
      <c r="H168" s="234"/>
      <c r="I168" s="234"/>
      <c r="J168" s="234"/>
      <c r="K168" s="234"/>
      <c r="L168" s="237"/>
      <c r="M168" s="237"/>
      <c r="N168" s="234"/>
      <c r="O168" s="239"/>
      <c r="P168" s="239"/>
      <c r="S168" s="406"/>
      <c r="T168" s="406"/>
    </row>
    <row r="169" spans="2:20" s="272" customFormat="1">
      <c r="B169" s="238"/>
      <c r="C169" s="238"/>
      <c r="D169" s="237"/>
      <c r="E169" s="237"/>
      <c r="F169" s="237"/>
      <c r="G169" s="234"/>
      <c r="H169" s="234"/>
      <c r="I169" s="234"/>
      <c r="J169" s="234"/>
      <c r="K169" s="234"/>
      <c r="L169" s="237"/>
      <c r="M169" s="237"/>
      <c r="N169" s="234"/>
      <c r="O169" s="239"/>
      <c r="P169" s="239"/>
      <c r="S169" s="406"/>
      <c r="T169" s="406"/>
    </row>
    <row r="170" spans="2:20" s="272" customFormat="1">
      <c r="B170" s="238"/>
      <c r="C170" s="238"/>
      <c r="D170" s="237"/>
      <c r="E170" s="237"/>
      <c r="F170" s="237"/>
      <c r="G170" s="234"/>
      <c r="H170" s="234"/>
      <c r="I170" s="234"/>
      <c r="J170" s="234"/>
      <c r="K170" s="234"/>
      <c r="L170" s="237"/>
      <c r="M170" s="237"/>
      <c r="N170" s="234"/>
      <c r="O170" s="239"/>
      <c r="P170" s="239"/>
      <c r="S170" s="406"/>
      <c r="T170" s="406"/>
    </row>
    <row r="171" spans="2:20" s="272" customFormat="1">
      <c r="B171" s="238"/>
      <c r="C171" s="238"/>
      <c r="D171" s="237"/>
      <c r="E171" s="237"/>
      <c r="F171" s="237"/>
      <c r="G171" s="234"/>
      <c r="H171" s="234"/>
      <c r="I171" s="234"/>
      <c r="J171" s="234"/>
      <c r="K171" s="234"/>
      <c r="L171" s="237"/>
      <c r="M171" s="237"/>
      <c r="N171" s="234"/>
      <c r="O171" s="239"/>
      <c r="P171" s="239"/>
      <c r="S171" s="406"/>
      <c r="T171" s="406"/>
    </row>
    <row r="172" spans="2:20" s="272" customFormat="1">
      <c r="B172" s="238"/>
      <c r="C172" s="238"/>
      <c r="D172" s="237"/>
      <c r="E172" s="237"/>
      <c r="F172" s="237"/>
      <c r="G172" s="234"/>
      <c r="H172" s="234"/>
      <c r="I172" s="234"/>
      <c r="J172" s="234"/>
      <c r="K172" s="234"/>
      <c r="L172" s="237"/>
      <c r="M172" s="237"/>
      <c r="N172" s="234"/>
      <c r="O172" s="239"/>
      <c r="P172" s="239"/>
      <c r="S172" s="406"/>
      <c r="T172" s="406"/>
    </row>
    <row r="173" spans="2:20" s="272" customFormat="1">
      <c r="B173" s="238"/>
      <c r="C173" s="238"/>
      <c r="D173" s="237"/>
      <c r="E173" s="237"/>
      <c r="F173" s="237"/>
      <c r="G173" s="234"/>
      <c r="H173" s="234"/>
      <c r="I173" s="234"/>
      <c r="J173" s="234"/>
      <c r="K173" s="234"/>
      <c r="L173" s="237"/>
      <c r="M173" s="237"/>
      <c r="N173" s="234"/>
      <c r="O173" s="239"/>
      <c r="P173" s="239"/>
      <c r="S173" s="406"/>
      <c r="T173" s="406"/>
    </row>
    <row r="174" spans="2:20" s="272" customFormat="1">
      <c r="B174" s="238"/>
      <c r="C174" s="238"/>
      <c r="D174" s="237"/>
      <c r="E174" s="237"/>
      <c r="F174" s="237"/>
      <c r="G174" s="234"/>
      <c r="H174" s="234"/>
      <c r="I174" s="234"/>
      <c r="J174" s="234"/>
      <c r="K174" s="234"/>
      <c r="L174" s="237"/>
      <c r="M174" s="237"/>
      <c r="N174" s="234"/>
      <c r="O174" s="239"/>
      <c r="P174" s="239"/>
      <c r="S174" s="406"/>
      <c r="T174" s="406"/>
    </row>
    <row r="175" spans="2:20" s="272" customFormat="1">
      <c r="B175" s="238"/>
      <c r="C175" s="238"/>
      <c r="D175" s="237"/>
      <c r="E175" s="237"/>
      <c r="F175" s="237"/>
      <c r="G175" s="234"/>
      <c r="H175" s="234"/>
      <c r="I175" s="234"/>
      <c r="J175" s="234"/>
      <c r="K175" s="234"/>
      <c r="L175" s="237"/>
      <c r="M175" s="237"/>
      <c r="N175" s="234"/>
      <c r="O175" s="239"/>
      <c r="P175" s="239"/>
      <c r="S175" s="406"/>
      <c r="T175" s="406"/>
    </row>
    <row r="176" spans="2:20" s="272" customFormat="1">
      <c r="B176" s="238"/>
      <c r="C176" s="238"/>
      <c r="D176" s="237"/>
      <c r="E176" s="237"/>
      <c r="F176" s="237"/>
      <c r="G176" s="234"/>
      <c r="H176" s="234"/>
      <c r="I176" s="234"/>
      <c r="J176" s="234"/>
      <c r="K176" s="234"/>
      <c r="L176" s="237"/>
      <c r="M176" s="237"/>
      <c r="N176" s="234"/>
      <c r="O176" s="239"/>
      <c r="P176" s="239"/>
      <c r="S176" s="406"/>
      <c r="T176" s="406"/>
    </row>
    <row r="177" spans="2:20" s="272" customFormat="1">
      <c r="B177" s="238"/>
      <c r="C177" s="238"/>
      <c r="D177" s="237"/>
      <c r="E177" s="237"/>
      <c r="F177" s="237"/>
      <c r="G177" s="234"/>
      <c r="H177" s="234"/>
      <c r="I177" s="234"/>
      <c r="J177" s="234"/>
      <c r="K177" s="234"/>
      <c r="L177" s="237"/>
      <c r="M177" s="237"/>
      <c r="N177" s="234"/>
      <c r="O177" s="239"/>
      <c r="P177" s="239"/>
      <c r="S177" s="406"/>
      <c r="T177" s="406"/>
    </row>
    <row r="178" spans="2:20" s="272" customFormat="1">
      <c r="B178" s="238"/>
      <c r="C178" s="238"/>
      <c r="D178" s="237"/>
      <c r="E178" s="237"/>
      <c r="F178" s="237"/>
      <c r="G178" s="234"/>
      <c r="H178" s="234"/>
      <c r="I178" s="234"/>
      <c r="J178" s="234"/>
      <c r="K178" s="234"/>
      <c r="L178" s="237"/>
      <c r="M178" s="237"/>
      <c r="N178" s="234"/>
      <c r="O178" s="239"/>
      <c r="P178" s="239"/>
      <c r="S178" s="406"/>
      <c r="T178" s="406"/>
    </row>
    <row r="179" spans="2:20" s="272" customFormat="1">
      <c r="B179" s="238"/>
      <c r="C179" s="238"/>
      <c r="D179" s="237"/>
      <c r="E179" s="237"/>
      <c r="F179" s="237"/>
      <c r="G179" s="234"/>
      <c r="H179" s="234"/>
      <c r="I179" s="234"/>
      <c r="J179" s="234"/>
      <c r="K179" s="234"/>
      <c r="L179" s="237"/>
      <c r="M179" s="237"/>
      <c r="N179" s="234"/>
      <c r="O179" s="239"/>
      <c r="P179" s="239"/>
      <c r="S179" s="406"/>
      <c r="T179" s="406"/>
    </row>
    <row r="180" spans="2:20" s="272" customFormat="1">
      <c r="B180" s="238"/>
      <c r="C180" s="238"/>
      <c r="D180" s="237"/>
      <c r="E180" s="237"/>
      <c r="F180" s="237"/>
      <c r="G180" s="234"/>
      <c r="H180" s="234"/>
      <c r="I180" s="234"/>
      <c r="J180" s="234"/>
      <c r="K180" s="234"/>
      <c r="L180" s="237"/>
      <c r="M180" s="237"/>
      <c r="N180" s="234"/>
      <c r="O180" s="239"/>
      <c r="P180" s="239"/>
      <c r="S180" s="406"/>
      <c r="T180" s="406"/>
    </row>
    <row r="181" spans="2:20" s="272" customFormat="1">
      <c r="B181" s="238"/>
      <c r="C181" s="238"/>
      <c r="D181" s="237"/>
      <c r="E181" s="237"/>
      <c r="F181" s="237"/>
      <c r="G181" s="234"/>
      <c r="H181" s="234"/>
      <c r="I181" s="234"/>
      <c r="J181" s="234"/>
      <c r="K181" s="234"/>
      <c r="L181" s="237"/>
      <c r="M181" s="237"/>
      <c r="N181" s="234"/>
      <c r="O181" s="239"/>
      <c r="P181" s="239"/>
      <c r="S181" s="406"/>
      <c r="T181" s="406"/>
    </row>
    <row r="182" spans="2:20" s="272" customFormat="1">
      <c r="B182" s="238"/>
      <c r="C182" s="238"/>
      <c r="D182" s="237"/>
      <c r="E182" s="237"/>
      <c r="F182" s="237"/>
      <c r="G182" s="234"/>
      <c r="H182" s="234"/>
      <c r="I182" s="234"/>
      <c r="J182" s="234"/>
      <c r="K182" s="234"/>
      <c r="L182" s="237"/>
      <c r="M182" s="237"/>
      <c r="N182" s="234"/>
      <c r="O182" s="239"/>
      <c r="P182" s="239"/>
      <c r="S182" s="406"/>
      <c r="T182" s="406"/>
    </row>
    <row r="183" spans="2:20" s="272" customFormat="1">
      <c r="B183" s="238"/>
      <c r="C183" s="238"/>
      <c r="D183" s="237"/>
      <c r="E183" s="237"/>
      <c r="F183" s="237"/>
      <c r="G183" s="234"/>
      <c r="H183" s="234"/>
      <c r="I183" s="234"/>
      <c r="J183" s="234"/>
      <c r="K183" s="234"/>
      <c r="L183" s="237"/>
      <c r="M183" s="237"/>
      <c r="N183" s="234"/>
      <c r="O183" s="239"/>
      <c r="P183" s="239"/>
      <c r="S183" s="406"/>
      <c r="T183" s="406"/>
    </row>
    <row r="184" spans="2:20" s="272" customFormat="1">
      <c r="B184" s="238"/>
      <c r="C184" s="238"/>
      <c r="D184" s="237"/>
      <c r="E184" s="237"/>
      <c r="F184" s="237"/>
      <c r="G184" s="234"/>
      <c r="H184" s="234"/>
      <c r="I184" s="234"/>
      <c r="J184" s="234"/>
      <c r="K184" s="234"/>
      <c r="L184" s="237"/>
      <c r="M184" s="237"/>
      <c r="N184" s="234"/>
      <c r="O184" s="239"/>
      <c r="P184" s="239"/>
      <c r="S184" s="406"/>
      <c r="T184" s="406"/>
    </row>
    <row r="185" spans="2:20" s="272" customFormat="1">
      <c r="B185" s="238"/>
      <c r="C185" s="238"/>
      <c r="D185" s="237"/>
      <c r="E185" s="237"/>
      <c r="F185" s="237"/>
      <c r="G185" s="234"/>
      <c r="H185" s="234"/>
      <c r="I185" s="234"/>
      <c r="J185" s="234"/>
      <c r="K185" s="234"/>
      <c r="L185" s="237"/>
      <c r="M185" s="237"/>
      <c r="N185" s="234"/>
      <c r="O185" s="239"/>
      <c r="P185" s="239"/>
      <c r="S185" s="406"/>
      <c r="T185" s="406"/>
    </row>
    <row r="186" spans="2:20" s="272" customFormat="1">
      <c r="B186" s="238"/>
      <c r="C186" s="238"/>
      <c r="D186" s="237"/>
      <c r="E186" s="237"/>
      <c r="F186" s="237"/>
      <c r="G186" s="234"/>
      <c r="H186" s="234"/>
      <c r="I186" s="234"/>
      <c r="J186" s="234"/>
      <c r="K186" s="234"/>
      <c r="L186" s="237"/>
      <c r="M186" s="237"/>
      <c r="N186" s="234"/>
      <c r="O186" s="239"/>
      <c r="P186" s="239"/>
      <c r="S186" s="406"/>
      <c r="T186" s="406"/>
    </row>
    <row r="187" spans="2:20" s="272" customFormat="1">
      <c r="B187" s="238"/>
      <c r="C187" s="238"/>
      <c r="D187" s="237"/>
      <c r="E187" s="237"/>
      <c r="F187" s="237"/>
      <c r="G187" s="234"/>
      <c r="H187" s="234"/>
      <c r="I187" s="234"/>
      <c r="J187" s="234"/>
      <c r="K187" s="234"/>
      <c r="L187" s="237"/>
      <c r="M187" s="237"/>
      <c r="N187" s="234"/>
      <c r="O187" s="239"/>
      <c r="P187" s="239"/>
      <c r="S187" s="406"/>
      <c r="T187" s="406"/>
    </row>
    <row r="188" spans="2:20" s="272" customFormat="1">
      <c r="B188" s="238"/>
      <c r="C188" s="238"/>
      <c r="D188" s="237"/>
      <c r="E188" s="237"/>
      <c r="F188" s="237"/>
      <c r="G188" s="234"/>
      <c r="H188" s="234"/>
      <c r="I188" s="234"/>
      <c r="J188" s="234"/>
      <c r="K188" s="234"/>
      <c r="L188" s="237"/>
      <c r="M188" s="237"/>
      <c r="N188" s="234"/>
      <c r="O188" s="239"/>
      <c r="P188" s="239"/>
      <c r="S188" s="406"/>
      <c r="T188" s="406"/>
    </row>
    <row r="189" spans="2:20" s="272" customFormat="1">
      <c r="B189" s="238"/>
      <c r="C189" s="238"/>
      <c r="D189" s="237"/>
      <c r="E189" s="237"/>
      <c r="F189" s="237"/>
      <c r="G189" s="234"/>
      <c r="H189" s="234"/>
      <c r="I189" s="234"/>
      <c r="J189" s="234"/>
      <c r="K189" s="234"/>
      <c r="L189" s="237"/>
      <c r="M189" s="237"/>
      <c r="N189" s="234"/>
      <c r="O189" s="239"/>
      <c r="P189" s="239"/>
      <c r="S189" s="406"/>
      <c r="T189" s="406"/>
    </row>
    <row r="190" spans="2:20" s="272" customFormat="1">
      <c r="B190" s="238"/>
      <c r="C190" s="238"/>
      <c r="D190" s="237"/>
      <c r="E190" s="237"/>
      <c r="F190" s="237"/>
      <c r="G190" s="234"/>
      <c r="H190" s="234"/>
      <c r="I190" s="234"/>
      <c r="J190" s="234"/>
      <c r="K190" s="234"/>
      <c r="L190" s="237"/>
      <c r="M190" s="237"/>
      <c r="N190" s="234"/>
      <c r="O190" s="239"/>
      <c r="P190" s="239"/>
      <c r="S190" s="406"/>
      <c r="T190" s="406"/>
    </row>
    <row r="191" spans="2:20" s="272" customFormat="1">
      <c r="B191" s="238"/>
      <c r="C191" s="238"/>
      <c r="D191" s="237"/>
      <c r="E191" s="237"/>
      <c r="F191" s="237"/>
      <c r="G191" s="234"/>
      <c r="H191" s="234"/>
      <c r="I191" s="234"/>
      <c r="J191" s="234"/>
      <c r="K191" s="234"/>
      <c r="L191" s="237"/>
      <c r="M191" s="237"/>
      <c r="N191" s="234"/>
      <c r="O191" s="239"/>
      <c r="P191" s="239"/>
      <c r="S191" s="406"/>
      <c r="T191" s="406"/>
    </row>
    <row r="192" spans="2:20" s="272" customFormat="1">
      <c r="B192" s="238"/>
      <c r="C192" s="238"/>
      <c r="D192" s="237"/>
      <c r="E192" s="237"/>
      <c r="F192" s="237"/>
      <c r="G192" s="234"/>
      <c r="H192" s="234"/>
      <c r="I192" s="234"/>
      <c r="J192" s="234"/>
      <c r="K192" s="234"/>
      <c r="L192" s="237"/>
      <c r="M192" s="237"/>
      <c r="N192" s="234"/>
      <c r="O192" s="239"/>
      <c r="P192" s="239"/>
      <c r="S192" s="406"/>
      <c r="T192" s="406"/>
    </row>
    <row r="193" spans="2:20" s="272" customFormat="1">
      <c r="B193" s="238"/>
      <c r="C193" s="238"/>
      <c r="D193" s="237"/>
      <c r="E193" s="237"/>
      <c r="F193" s="237"/>
      <c r="G193" s="234"/>
      <c r="H193" s="234"/>
      <c r="I193" s="234"/>
      <c r="J193" s="234"/>
      <c r="K193" s="234"/>
      <c r="L193" s="237"/>
      <c r="M193" s="237"/>
      <c r="N193" s="234"/>
      <c r="O193" s="239"/>
      <c r="P193" s="239"/>
      <c r="S193" s="406"/>
      <c r="T193" s="406"/>
    </row>
    <row r="194" spans="2:20" s="272" customFormat="1">
      <c r="B194" s="238"/>
      <c r="C194" s="238"/>
      <c r="D194" s="237"/>
      <c r="E194" s="237"/>
      <c r="F194" s="237"/>
      <c r="G194" s="234"/>
      <c r="H194" s="234"/>
      <c r="I194" s="234"/>
      <c r="J194" s="234"/>
      <c r="K194" s="234"/>
      <c r="L194" s="237"/>
      <c r="M194" s="237"/>
      <c r="N194" s="234"/>
      <c r="O194" s="239"/>
      <c r="P194" s="239"/>
      <c r="S194" s="406"/>
      <c r="T194" s="406"/>
    </row>
    <row r="195" spans="2:20" s="272" customFormat="1">
      <c r="B195" s="238"/>
      <c r="C195" s="238"/>
      <c r="D195" s="237"/>
      <c r="E195" s="237"/>
      <c r="F195" s="237"/>
      <c r="G195" s="234"/>
      <c r="H195" s="234"/>
      <c r="I195" s="234"/>
      <c r="J195" s="234"/>
      <c r="K195" s="234"/>
      <c r="L195" s="237"/>
      <c r="M195" s="237"/>
      <c r="N195" s="234"/>
      <c r="O195" s="239"/>
      <c r="P195" s="239"/>
      <c r="S195" s="406"/>
      <c r="T195" s="406"/>
    </row>
    <row r="196" spans="2:20" s="272" customFormat="1">
      <c r="B196" s="238"/>
      <c r="C196" s="238"/>
      <c r="D196" s="237"/>
      <c r="E196" s="237"/>
      <c r="F196" s="237"/>
      <c r="G196" s="234"/>
      <c r="H196" s="234"/>
      <c r="I196" s="234"/>
      <c r="J196" s="234"/>
      <c r="K196" s="234"/>
      <c r="L196" s="237"/>
      <c r="M196" s="237"/>
      <c r="N196" s="234"/>
      <c r="O196" s="239"/>
      <c r="P196" s="239"/>
      <c r="S196" s="406"/>
      <c r="T196" s="406"/>
    </row>
    <row r="197" spans="2:20" s="272" customFormat="1">
      <c r="B197" s="238"/>
      <c r="C197" s="238"/>
      <c r="D197" s="237"/>
      <c r="E197" s="237"/>
      <c r="F197" s="237"/>
      <c r="G197" s="234"/>
      <c r="H197" s="234"/>
      <c r="I197" s="234"/>
      <c r="J197" s="234"/>
      <c r="K197" s="234"/>
      <c r="L197" s="237"/>
      <c r="M197" s="237"/>
      <c r="N197" s="234"/>
      <c r="O197" s="239"/>
      <c r="P197" s="239"/>
      <c r="S197" s="406"/>
      <c r="T197" s="406"/>
    </row>
    <row r="198" spans="2:20" s="272" customFormat="1">
      <c r="B198" s="238"/>
      <c r="C198" s="238"/>
      <c r="D198" s="237"/>
      <c r="E198" s="237"/>
      <c r="F198" s="237"/>
      <c r="G198" s="234"/>
      <c r="H198" s="234"/>
      <c r="I198" s="234"/>
      <c r="J198" s="234"/>
      <c r="K198" s="234"/>
      <c r="L198" s="237"/>
      <c r="M198" s="237"/>
      <c r="N198" s="234"/>
      <c r="O198" s="239"/>
      <c r="P198" s="239"/>
      <c r="S198" s="406"/>
      <c r="T198" s="406"/>
    </row>
    <row r="199" spans="2:20" s="272" customFormat="1">
      <c r="B199" s="238"/>
      <c r="C199" s="238"/>
      <c r="D199" s="237"/>
      <c r="E199" s="237"/>
      <c r="F199" s="237"/>
      <c r="G199" s="234"/>
      <c r="H199" s="234"/>
      <c r="I199" s="234"/>
      <c r="J199" s="234"/>
      <c r="K199" s="234"/>
      <c r="L199" s="237"/>
      <c r="M199" s="237"/>
      <c r="N199" s="234"/>
      <c r="O199" s="239"/>
      <c r="P199" s="239"/>
      <c r="S199" s="406"/>
      <c r="T199" s="406"/>
    </row>
    <row r="200" spans="2:20" s="272" customFormat="1">
      <c r="B200" s="238"/>
      <c r="C200" s="238"/>
      <c r="D200" s="237"/>
      <c r="E200" s="237"/>
      <c r="F200" s="237"/>
      <c r="G200" s="234"/>
      <c r="H200" s="234"/>
      <c r="I200" s="234"/>
      <c r="J200" s="234"/>
      <c r="K200" s="234"/>
      <c r="L200" s="237"/>
      <c r="M200" s="237"/>
      <c r="N200" s="234"/>
      <c r="O200" s="239"/>
      <c r="P200" s="239"/>
      <c r="S200" s="406"/>
      <c r="T200" s="406"/>
    </row>
    <row r="201" spans="2:20" s="272" customFormat="1">
      <c r="B201" s="238"/>
      <c r="C201" s="238"/>
      <c r="D201" s="237"/>
      <c r="E201" s="237"/>
      <c r="F201" s="237"/>
      <c r="G201" s="234"/>
      <c r="H201" s="234"/>
      <c r="I201" s="234"/>
      <c r="J201" s="234"/>
      <c r="K201" s="234"/>
      <c r="L201" s="237"/>
      <c r="M201" s="237"/>
      <c r="N201" s="234"/>
      <c r="O201" s="239"/>
      <c r="P201" s="239"/>
      <c r="S201" s="406"/>
      <c r="T201" s="406"/>
    </row>
    <row r="202" spans="2:20" s="272" customFormat="1">
      <c r="B202" s="238"/>
      <c r="C202" s="238"/>
      <c r="D202" s="237"/>
      <c r="E202" s="237"/>
      <c r="F202" s="237"/>
      <c r="G202" s="234"/>
      <c r="H202" s="234"/>
      <c r="I202" s="234"/>
      <c r="J202" s="234"/>
      <c r="K202" s="234"/>
      <c r="L202" s="237"/>
      <c r="M202" s="237"/>
      <c r="N202" s="234"/>
      <c r="O202" s="239"/>
      <c r="P202" s="239"/>
      <c r="S202" s="406"/>
      <c r="T202" s="406"/>
    </row>
    <row r="203" spans="2:20" s="272" customFormat="1">
      <c r="B203" s="238"/>
      <c r="C203" s="238"/>
      <c r="D203" s="237"/>
      <c r="E203" s="237"/>
      <c r="F203" s="237"/>
      <c r="G203" s="234"/>
      <c r="H203" s="234"/>
      <c r="I203" s="234"/>
      <c r="J203" s="234"/>
      <c r="K203" s="234"/>
      <c r="L203" s="237"/>
      <c r="M203" s="237"/>
      <c r="N203" s="234"/>
      <c r="O203" s="239"/>
      <c r="P203" s="239"/>
      <c r="S203" s="406"/>
      <c r="T203" s="406"/>
    </row>
    <row r="204" spans="2:20" s="272" customFormat="1">
      <c r="B204" s="238"/>
      <c r="C204" s="238"/>
      <c r="D204" s="237"/>
      <c r="E204" s="237"/>
      <c r="F204" s="237"/>
      <c r="G204" s="234"/>
      <c r="H204" s="234"/>
      <c r="I204" s="234"/>
      <c r="J204" s="234"/>
      <c r="K204" s="234"/>
      <c r="L204" s="237"/>
      <c r="M204" s="237"/>
      <c r="N204" s="234"/>
      <c r="O204" s="239"/>
      <c r="P204" s="239"/>
      <c r="S204" s="406"/>
      <c r="T204" s="406"/>
    </row>
    <row r="205" spans="2:20" s="272" customFormat="1">
      <c r="B205" s="238"/>
      <c r="C205" s="238"/>
      <c r="D205" s="237"/>
      <c r="E205" s="237"/>
      <c r="F205" s="237"/>
      <c r="G205" s="234"/>
      <c r="H205" s="234"/>
      <c r="I205" s="234"/>
      <c r="J205" s="234"/>
      <c r="K205" s="234"/>
      <c r="L205" s="237"/>
      <c r="M205" s="237"/>
      <c r="N205" s="234"/>
      <c r="O205" s="239"/>
      <c r="P205" s="239"/>
      <c r="S205" s="406"/>
      <c r="T205" s="406"/>
    </row>
    <row r="206" spans="2:20" s="272" customFormat="1">
      <c r="B206" s="238"/>
      <c r="C206" s="238"/>
      <c r="D206" s="237"/>
      <c r="E206" s="237"/>
      <c r="F206" s="237"/>
      <c r="G206" s="234"/>
      <c r="H206" s="234"/>
      <c r="I206" s="234"/>
      <c r="J206" s="234"/>
      <c r="K206" s="234"/>
      <c r="L206" s="237"/>
      <c r="M206" s="237"/>
      <c r="N206" s="234"/>
      <c r="O206" s="239"/>
      <c r="P206" s="239"/>
      <c r="S206" s="406"/>
      <c r="T206" s="406"/>
    </row>
    <row r="207" spans="2:20" s="272" customFormat="1">
      <c r="B207" s="238"/>
      <c r="C207" s="238"/>
      <c r="D207" s="237"/>
      <c r="E207" s="237"/>
      <c r="F207" s="237"/>
      <c r="G207" s="234"/>
      <c r="H207" s="234"/>
      <c r="I207" s="234"/>
      <c r="J207" s="234"/>
      <c r="K207" s="234"/>
      <c r="L207" s="237"/>
      <c r="M207" s="237"/>
      <c r="N207" s="234"/>
      <c r="O207" s="239"/>
      <c r="P207" s="239"/>
      <c r="S207" s="406"/>
      <c r="T207" s="406"/>
    </row>
    <row r="208" spans="2:20" s="272" customFormat="1">
      <c r="B208" s="238"/>
      <c r="C208" s="238"/>
      <c r="D208" s="237"/>
      <c r="E208" s="237"/>
      <c r="F208" s="237"/>
      <c r="G208" s="234"/>
      <c r="H208" s="234"/>
      <c r="I208" s="234"/>
      <c r="J208" s="234"/>
      <c r="K208" s="234"/>
      <c r="L208" s="237"/>
      <c r="M208" s="237"/>
      <c r="N208" s="234"/>
      <c r="O208" s="239"/>
      <c r="P208" s="239"/>
      <c r="S208" s="406"/>
      <c r="T208" s="406"/>
    </row>
    <row r="209" spans="2:20" s="272" customFormat="1">
      <c r="B209" s="238"/>
      <c r="C209" s="238"/>
      <c r="D209" s="237"/>
      <c r="E209" s="237"/>
      <c r="F209" s="237"/>
      <c r="G209" s="234"/>
      <c r="H209" s="234"/>
      <c r="I209" s="234"/>
      <c r="J209" s="234"/>
      <c r="K209" s="234"/>
      <c r="L209" s="237"/>
      <c r="M209" s="237"/>
      <c r="N209" s="234"/>
      <c r="O209" s="239"/>
      <c r="P209" s="239"/>
      <c r="S209" s="406"/>
      <c r="T209" s="406"/>
    </row>
    <row r="210" spans="2:20" s="272" customFormat="1">
      <c r="B210" s="238"/>
      <c r="C210" s="238"/>
      <c r="D210" s="237"/>
      <c r="E210" s="237"/>
      <c r="F210" s="237"/>
      <c r="G210" s="234"/>
      <c r="H210" s="234"/>
      <c r="I210" s="234"/>
      <c r="J210" s="234"/>
      <c r="K210" s="234"/>
      <c r="L210" s="237"/>
      <c r="M210" s="237"/>
      <c r="N210" s="234"/>
      <c r="O210" s="239"/>
      <c r="P210" s="239"/>
      <c r="S210" s="406"/>
      <c r="T210" s="406"/>
    </row>
    <row r="211" spans="2:20" s="272" customFormat="1">
      <c r="B211" s="238"/>
      <c r="C211" s="238"/>
      <c r="D211" s="237"/>
      <c r="E211" s="237"/>
      <c r="F211" s="237"/>
      <c r="G211" s="234"/>
      <c r="H211" s="234"/>
      <c r="I211" s="234"/>
      <c r="J211" s="234"/>
      <c r="K211" s="234"/>
      <c r="L211" s="237"/>
      <c r="M211" s="237"/>
      <c r="N211" s="234"/>
      <c r="O211" s="239"/>
      <c r="P211" s="239"/>
      <c r="S211" s="406"/>
      <c r="T211" s="406"/>
    </row>
    <row r="212" spans="2:20" s="272" customFormat="1">
      <c r="B212" s="238"/>
      <c r="C212" s="238"/>
      <c r="D212" s="237"/>
      <c r="E212" s="237"/>
      <c r="F212" s="237"/>
      <c r="G212" s="234"/>
      <c r="H212" s="234"/>
      <c r="I212" s="234"/>
      <c r="J212" s="234"/>
      <c r="K212" s="234"/>
      <c r="L212" s="237"/>
      <c r="M212" s="237"/>
      <c r="N212" s="234"/>
      <c r="O212" s="239"/>
      <c r="P212" s="239"/>
      <c r="S212" s="406"/>
      <c r="T212" s="406"/>
    </row>
    <row r="213" spans="2:20" s="272" customFormat="1">
      <c r="B213" s="238"/>
      <c r="C213" s="238"/>
      <c r="D213" s="237"/>
      <c r="E213" s="237"/>
      <c r="F213" s="237"/>
      <c r="G213" s="234"/>
      <c r="H213" s="234"/>
      <c r="I213" s="234"/>
      <c r="J213" s="234"/>
      <c r="K213" s="234"/>
      <c r="L213" s="237"/>
      <c r="M213" s="237"/>
      <c r="N213" s="234"/>
      <c r="O213" s="239"/>
      <c r="P213" s="239"/>
      <c r="S213" s="406"/>
      <c r="T213" s="406"/>
    </row>
    <row r="214" spans="2:20" s="272" customFormat="1">
      <c r="B214" s="238"/>
      <c r="C214" s="238"/>
      <c r="D214" s="237"/>
      <c r="E214" s="237"/>
      <c r="F214" s="237"/>
      <c r="G214" s="234"/>
      <c r="H214" s="234"/>
      <c r="I214" s="234"/>
      <c r="J214" s="234"/>
      <c r="K214" s="234"/>
      <c r="L214" s="237"/>
      <c r="M214" s="237"/>
      <c r="N214" s="234"/>
      <c r="O214" s="239"/>
      <c r="P214" s="239"/>
      <c r="S214" s="406"/>
      <c r="T214" s="406"/>
    </row>
    <row r="215" spans="2:20" s="272" customFormat="1">
      <c r="B215" s="238"/>
      <c r="C215" s="238"/>
      <c r="D215" s="237"/>
      <c r="E215" s="237"/>
      <c r="F215" s="237"/>
      <c r="G215" s="234"/>
      <c r="H215" s="234"/>
      <c r="I215" s="234"/>
      <c r="J215" s="234"/>
      <c r="K215" s="234"/>
      <c r="L215" s="237"/>
      <c r="M215" s="237"/>
      <c r="N215" s="234"/>
      <c r="O215" s="239"/>
      <c r="P215" s="239"/>
      <c r="S215" s="406"/>
      <c r="T215" s="406"/>
    </row>
    <row r="216" spans="2:20" s="272" customFormat="1">
      <c r="B216" s="238"/>
      <c r="C216" s="238"/>
      <c r="D216" s="237"/>
      <c r="E216" s="237"/>
      <c r="F216" s="237"/>
      <c r="G216" s="234"/>
      <c r="H216" s="234"/>
      <c r="I216" s="234"/>
      <c r="J216" s="234"/>
      <c r="K216" s="234"/>
      <c r="L216" s="237"/>
      <c r="M216" s="237"/>
      <c r="N216" s="234"/>
      <c r="O216" s="239"/>
      <c r="P216" s="239"/>
      <c r="S216" s="406"/>
      <c r="T216" s="406"/>
    </row>
    <row r="217" spans="2:20" s="272" customFormat="1">
      <c r="B217" s="238"/>
      <c r="C217" s="238"/>
      <c r="D217" s="237"/>
      <c r="E217" s="237"/>
      <c r="F217" s="237"/>
      <c r="G217" s="234"/>
      <c r="H217" s="234"/>
      <c r="I217" s="234"/>
      <c r="J217" s="234"/>
      <c r="K217" s="234"/>
      <c r="L217" s="237"/>
      <c r="M217" s="237"/>
      <c r="N217" s="234"/>
      <c r="O217" s="239"/>
      <c r="P217" s="239"/>
      <c r="S217" s="406"/>
      <c r="T217" s="406"/>
    </row>
    <row r="218" spans="2:20" s="272" customFormat="1">
      <c r="B218" s="238"/>
      <c r="C218" s="238"/>
      <c r="D218" s="237"/>
      <c r="E218" s="237"/>
      <c r="F218" s="237"/>
      <c r="G218" s="234"/>
      <c r="H218" s="234"/>
      <c r="I218" s="234"/>
      <c r="J218" s="234"/>
      <c r="K218" s="234"/>
      <c r="L218" s="237"/>
      <c r="M218" s="237"/>
      <c r="N218" s="234"/>
      <c r="O218" s="239"/>
      <c r="P218" s="239"/>
      <c r="S218" s="406"/>
      <c r="T218" s="406"/>
    </row>
    <row r="219" spans="2:20" s="272" customFormat="1">
      <c r="B219" s="238"/>
      <c r="C219" s="238"/>
      <c r="D219" s="237"/>
      <c r="E219" s="237"/>
      <c r="F219" s="237"/>
      <c r="G219" s="234"/>
      <c r="H219" s="234"/>
      <c r="I219" s="234"/>
      <c r="J219" s="234"/>
      <c r="K219" s="234"/>
      <c r="L219" s="237"/>
      <c r="M219" s="237"/>
      <c r="N219" s="234"/>
      <c r="O219" s="239"/>
      <c r="P219" s="239"/>
      <c r="S219" s="406"/>
      <c r="T219" s="406"/>
    </row>
    <row r="220" spans="2:20" s="272" customFormat="1">
      <c r="B220" s="238"/>
      <c r="C220" s="238"/>
      <c r="D220" s="237"/>
      <c r="E220" s="237"/>
      <c r="F220" s="237"/>
      <c r="G220" s="234"/>
      <c r="H220" s="234"/>
      <c r="I220" s="234"/>
      <c r="J220" s="234"/>
      <c r="K220" s="234"/>
      <c r="L220" s="237"/>
      <c r="M220" s="237"/>
      <c r="N220" s="234"/>
      <c r="O220" s="239"/>
      <c r="P220" s="239"/>
      <c r="S220" s="406"/>
      <c r="T220" s="406"/>
    </row>
    <row r="221" spans="2:20" s="272" customFormat="1">
      <c r="B221" s="238"/>
      <c r="C221" s="238"/>
      <c r="D221" s="237"/>
      <c r="E221" s="237"/>
      <c r="F221" s="237"/>
      <c r="G221" s="234"/>
      <c r="H221" s="234"/>
      <c r="I221" s="234"/>
      <c r="J221" s="234"/>
      <c r="K221" s="234"/>
      <c r="L221" s="237"/>
      <c r="M221" s="237"/>
      <c r="N221" s="234"/>
      <c r="O221" s="239"/>
      <c r="P221" s="239"/>
      <c r="S221" s="406"/>
      <c r="T221" s="406"/>
    </row>
    <row r="222" spans="2:20" s="272" customFormat="1">
      <c r="B222" s="238"/>
      <c r="C222" s="238"/>
      <c r="D222" s="237"/>
      <c r="E222" s="237"/>
      <c r="F222" s="237"/>
      <c r="G222" s="234"/>
      <c r="H222" s="234"/>
      <c r="I222" s="234"/>
      <c r="J222" s="234"/>
      <c r="K222" s="234"/>
      <c r="L222" s="237"/>
      <c r="M222" s="237"/>
      <c r="N222" s="234"/>
      <c r="O222" s="239"/>
      <c r="P222" s="239"/>
      <c r="S222" s="406"/>
      <c r="T222" s="406"/>
    </row>
    <row r="223" spans="2:20" s="272" customFormat="1">
      <c r="B223" s="238"/>
      <c r="C223" s="238"/>
      <c r="D223" s="237"/>
      <c r="E223" s="237"/>
      <c r="F223" s="237"/>
      <c r="G223" s="234"/>
      <c r="H223" s="234"/>
      <c r="I223" s="234"/>
      <c r="J223" s="234"/>
      <c r="K223" s="234"/>
      <c r="L223" s="237"/>
      <c r="M223" s="237"/>
      <c r="N223" s="234"/>
      <c r="O223" s="239"/>
      <c r="P223" s="239"/>
      <c r="S223" s="406"/>
      <c r="T223" s="406"/>
    </row>
    <row r="224" spans="2:20" s="272" customFormat="1">
      <c r="B224" s="238"/>
      <c r="C224" s="238"/>
      <c r="D224" s="237"/>
      <c r="E224" s="237"/>
      <c r="F224" s="237"/>
      <c r="G224" s="234"/>
      <c r="H224" s="234"/>
      <c r="I224" s="234"/>
      <c r="J224" s="234"/>
      <c r="K224" s="234"/>
      <c r="L224" s="237"/>
      <c r="M224" s="237"/>
      <c r="N224" s="234"/>
      <c r="O224" s="239"/>
      <c r="P224" s="239"/>
      <c r="S224" s="406"/>
      <c r="T224" s="406"/>
    </row>
    <row r="225" spans="2:20" s="272" customFormat="1">
      <c r="B225" s="238"/>
      <c r="C225" s="238"/>
      <c r="D225" s="237"/>
      <c r="E225" s="237"/>
      <c r="F225" s="237"/>
      <c r="G225" s="234"/>
      <c r="H225" s="234"/>
      <c r="I225" s="234"/>
      <c r="J225" s="234"/>
      <c r="K225" s="234"/>
      <c r="L225" s="237"/>
      <c r="M225" s="237"/>
      <c r="N225" s="234"/>
      <c r="O225" s="239"/>
      <c r="P225" s="239"/>
      <c r="S225" s="406"/>
      <c r="T225" s="406"/>
    </row>
    <row r="226" spans="2:20" s="272" customFormat="1">
      <c r="B226" s="238"/>
      <c r="C226" s="238"/>
      <c r="D226" s="237"/>
      <c r="E226" s="237"/>
      <c r="F226" s="237"/>
      <c r="G226" s="234"/>
      <c r="H226" s="234"/>
      <c r="I226" s="234"/>
      <c r="J226" s="234"/>
      <c r="K226" s="234"/>
      <c r="L226" s="237"/>
      <c r="M226" s="237"/>
      <c r="N226" s="234"/>
      <c r="O226" s="239"/>
      <c r="P226" s="239"/>
      <c r="S226" s="406"/>
      <c r="T226" s="406"/>
    </row>
    <row r="227" spans="2:20" s="272" customFormat="1">
      <c r="B227" s="238"/>
      <c r="C227" s="238"/>
      <c r="D227" s="237"/>
      <c r="E227" s="237"/>
      <c r="F227" s="237"/>
      <c r="G227" s="234"/>
      <c r="H227" s="234"/>
      <c r="I227" s="234"/>
      <c r="J227" s="234"/>
      <c r="K227" s="234"/>
      <c r="L227" s="237"/>
      <c r="M227" s="237"/>
      <c r="N227" s="234"/>
      <c r="O227" s="239"/>
      <c r="P227" s="239"/>
      <c r="S227" s="406"/>
      <c r="T227" s="406"/>
    </row>
    <row r="228" spans="2:20" s="272" customFormat="1">
      <c r="B228" s="238"/>
      <c r="C228" s="238"/>
      <c r="D228" s="237"/>
      <c r="E228" s="237"/>
      <c r="F228" s="237"/>
      <c r="G228" s="234"/>
      <c r="H228" s="234"/>
      <c r="I228" s="234"/>
      <c r="J228" s="234"/>
      <c r="K228" s="234"/>
      <c r="L228" s="237"/>
      <c r="M228" s="237"/>
      <c r="N228" s="234"/>
      <c r="O228" s="239"/>
      <c r="P228" s="239"/>
      <c r="S228" s="406"/>
      <c r="T228" s="406"/>
    </row>
    <row r="229" spans="2:20" s="272" customFormat="1">
      <c r="B229" s="238"/>
      <c r="C229" s="238"/>
      <c r="D229" s="237"/>
      <c r="E229" s="237"/>
      <c r="F229" s="237"/>
      <c r="G229" s="234"/>
      <c r="H229" s="234"/>
      <c r="I229" s="234"/>
      <c r="J229" s="234"/>
      <c r="K229" s="234"/>
      <c r="L229" s="237"/>
      <c r="M229" s="237"/>
      <c r="N229" s="234"/>
      <c r="O229" s="239"/>
      <c r="P229" s="239"/>
      <c r="S229" s="406"/>
      <c r="T229" s="406"/>
    </row>
    <row r="230" spans="2:20" s="272" customFormat="1">
      <c r="B230" s="238"/>
      <c r="C230" s="238"/>
      <c r="D230" s="237"/>
      <c r="E230" s="237"/>
      <c r="F230" s="237"/>
      <c r="G230" s="234"/>
      <c r="H230" s="234"/>
      <c r="I230" s="234"/>
      <c r="J230" s="234"/>
      <c r="K230" s="234"/>
      <c r="L230" s="237"/>
      <c r="M230" s="237"/>
      <c r="N230" s="234"/>
      <c r="O230" s="239"/>
      <c r="P230" s="239"/>
      <c r="S230" s="406"/>
      <c r="T230" s="406"/>
    </row>
    <row r="231" spans="2:20" s="272" customFormat="1">
      <c r="B231" s="238"/>
      <c r="C231" s="238"/>
      <c r="D231" s="237"/>
      <c r="E231" s="237"/>
      <c r="F231" s="237"/>
      <c r="G231" s="234"/>
      <c r="H231" s="234"/>
      <c r="I231" s="234"/>
      <c r="J231" s="234"/>
      <c r="K231" s="234"/>
      <c r="L231" s="237"/>
      <c r="M231" s="237"/>
      <c r="N231" s="234"/>
      <c r="O231" s="239"/>
      <c r="P231" s="239"/>
      <c r="S231" s="406"/>
      <c r="T231" s="406"/>
    </row>
    <row r="232" spans="2:20" s="272" customFormat="1">
      <c r="B232" s="238"/>
      <c r="C232" s="238"/>
      <c r="D232" s="237"/>
      <c r="E232" s="237"/>
      <c r="F232" s="237"/>
      <c r="G232" s="234"/>
      <c r="H232" s="234"/>
      <c r="I232" s="234"/>
      <c r="J232" s="234"/>
      <c r="K232" s="234"/>
      <c r="L232" s="237"/>
      <c r="M232" s="237"/>
      <c r="N232" s="234"/>
      <c r="O232" s="239"/>
      <c r="P232" s="239"/>
      <c r="S232" s="406"/>
      <c r="T232" s="406"/>
    </row>
    <row r="233" spans="2:20" s="272" customFormat="1">
      <c r="B233" s="238"/>
      <c r="C233" s="238"/>
      <c r="D233" s="237"/>
      <c r="E233" s="237"/>
      <c r="F233" s="237"/>
      <c r="G233" s="234"/>
      <c r="H233" s="234"/>
      <c r="I233" s="234"/>
      <c r="J233" s="234"/>
      <c r="K233" s="234"/>
      <c r="L233" s="237"/>
      <c r="M233" s="237"/>
      <c r="N233" s="234"/>
      <c r="O233" s="239"/>
      <c r="P233" s="239"/>
      <c r="S233" s="406"/>
      <c r="T233" s="406"/>
    </row>
    <row r="234" spans="2:20" s="272" customFormat="1">
      <c r="B234" s="238"/>
      <c r="C234" s="238"/>
      <c r="D234" s="237"/>
      <c r="E234" s="237"/>
      <c r="F234" s="237"/>
      <c r="G234" s="234"/>
      <c r="H234" s="234"/>
      <c r="I234" s="234"/>
      <c r="J234" s="234"/>
      <c r="K234" s="234"/>
      <c r="L234" s="237"/>
      <c r="M234" s="237"/>
      <c r="N234" s="234"/>
      <c r="O234" s="239"/>
      <c r="P234" s="239"/>
      <c r="S234" s="406"/>
      <c r="T234" s="406"/>
    </row>
    <row r="235" spans="2:20" s="272" customFormat="1">
      <c r="B235" s="238"/>
      <c r="C235" s="238"/>
      <c r="D235" s="237"/>
      <c r="E235" s="237"/>
      <c r="F235" s="237"/>
      <c r="G235" s="234"/>
      <c r="H235" s="234"/>
      <c r="I235" s="234"/>
      <c r="J235" s="234"/>
      <c r="K235" s="234"/>
      <c r="L235" s="237"/>
      <c r="M235" s="237"/>
      <c r="N235" s="234"/>
      <c r="O235" s="239"/>
      <c r="P235" s="239"/>
      <c r="S235" s="406"/>
      <c r="T235" s="406"/>
    </row>
    <row r="236" spans="2:20" s="272" customFormat="1">
      <c r="B236" s="238"/>
      <c r="C236" s="238"/>
      <c r="D236" s="237"/>
      <c r="E236" s="237"/>
      <c r="F236" s="237"/>
      <c r="G236" s="234"/>
      <c r="H236" s="234"/>
      <c r="I236" s="234"/>
      <c r="J236" s="234"/>
      <c r="K236" s="234"/>
      <c r="L236" s="237"/>
      <c r="M236" s="237"/>
      <c r="N236" s="234"/>
      <c r="O236" s="239"/>
      <c r="P236" s="239"/>
      <c r="S236" s="406"/>
      <c r="T236" s="406"/>
    </row>
    <row r="237" spans="2:20" s="272" customFormat="1">
      <c r="B237" s="238"/>
      <c r="C237" s="238"/>
      <c r="D237" s="237"/>
      <c r="E237" s="237"/>
      <c r="F237" s="237"/>
      <c r="G237" s="234"/>
      <c r="H237" s="234"/>
      <c r="I237" s="234"/>
      <c r="J237" s="234"/>
      <c r="K237" s="234"/>
      <c r="L237" s="237"/>
      <c r="M237" s="237"/>
      <c r="N237" s="234"/>
      <c r="O237" s="239"/>
      <c r="P237" s="239"/>
      <c r="S237" s="406"/>
      <c r="T237" s="406"/>
    </row>
    <row r="238" spans="2:20" s="272" customFormat="1">
      <c r="B238" s="238"/>
      <c r="C238" s="238"/>
      <c r="D238" s="237"/>
      <c r="E238" s="237"/>
      <c r="F238" s="237"/>
      <c r="G238" s="234"/>
      <c r="H238" s="234"/>
      <c r="I238" s="234"/>
      <c r="J238" s="234"/>
      <c r="K238" s="234"/>
      <c r="L238" s="237"/>
      <c r="M238" s="237"/>
      <c r="N238" s="234"/>
      <c r="O238" s="239"/>
      <c r="P238" s="239"/>
      <c r="S238" s="406"/>
      <c r="T238" s="406"/>
    </row>
    <row r="239" spans="2:20" s="272" customFormat="1">
      <c r="B239" s="238"/>
      <c r="C239" s="238"/>
      <c r="D239" s="237"/>
      <c r="E239" s="237"/>
      <c r="F239" s="237"/>
      <c r="G239" s="234"/>
      <c r="H239" s="234"/>
      <c r="I239" s="234"/>
      <c r="J239" s="234"/>
      <c r="K239" s="234"/>
      <c r="L239" s="237"/>
      <c r="M239" s="237"/>
      <c r="N239" s="234"/>
      <c r="O239" s="239"/>
      <c r="P239" s="239"/>
      <c r="S239" s="406"/>
      <c r="T239" s="406"/>
    </row>
    <row r="240" spans="2:20" s="272" customFormat="1">
      <c r="B240" s="238"/>
      <c r="C240" s="238"/>
      <c r="D240" s="237"/>
      <c r="E240" s="237"/>
      <c r="F240" s="237"/>
      <c r="G240" s="234"/>
      <c r="H240" s="234"/>
      <c r="I240" s="234"/>
      <c r="J240" s="234"/>
      <c r="K240" s="234"/>
      <c r="L240" s="237"/>
      <c r="M240" s="237"/>
      <c r="N240" s="234"/>
      <c r="O240" s="239"/>
      <c r="P240" s="239"/>
      <c r="S240" s="406"/>
      <c r="T240" s="406"/>
    </row>
    <row r="241" spans="2:20" s="272" customFormat="1">
      <c r="B241" s="238"/>
      <c r="C241" s="238"/>
      <c r="D241" s="237"/>
      <c r="E241" s="237"/>
      <c r="F241" s="237"/>
      <c r="G241" s="234"/>
      <c r="H241" s="234"/>
      <c r="I241" s="234"/>
      <c r="J241" s="234"/>
      <c r="K241" s="234"/>
      <c r="L241" s="237"/>
      <c r="M241" s="237"/>
      <c r="N241" s="234"/>
      <c r="O241" s="239"/>
      <c r="P241" s="239"/>
      <c r="S241" s="406"/>
      <c r="T241" s="406"/>
    </row>
    <row r="242" spans="2:20" s="272" customFormat="1">
      <c r="B242" s="238"/>
      <c r="C242" s="238"/>
      <c r="D242" s="237"/>
      <c r="E242" s="237"/>
      <c r="F242" s="237"/>
      <c r="G242" s="234"/>
      <c r="H242" s="234"/>
      <c r="I242" s="234"/>
      <c r="J242" s="234"/>
      <c r="K242" s="234"/>
      <c r="L242" s="237"/>
      <c r="M242" s="237"/>
      <c r="N242" s="234"/>
      <c r="O242" s="239"/>
      <c r="P242" s="239"/>
      <c r="S242" s="406"/>
      <c r="T242" s="406"/>
    </row>
    <row r="243" spans="2:20" s="272" customFormat="1">
      <c r="B243" s="238"/>
      <c r="C243" s="238"/>
      <c r="D243" s="237"/>
      <c r="E243" s="237"/>
      <c r="F243" s="237"/>
      <c r="G243" s="234"/>
      <c r="H243" s="234"/>
      <c r="I243" s="234"/>
      <c r="J243" s="234"/>
      <c r="K243" s="234"/>
      <c r="L243" s="237"/>
      <c r="M243" s="237"/>
      <c r="N243" s="234"/>
      <c r="O243" s="239"/>
      <c r="P243" s="239"/>
      <c r="S243" s="406"/>
      <c r="T243" s="406"/>
    </row>
    <row r="244" spans="2:20" s="272" customFormat="1">
      <c r="B244" s="238"/>
      <c r="C244" s="238"/>
      <c r="D244" s="237"/>
      <c r="E244" s="237"/>
      <c r="F244" s="237"/>
      <c r="G244" s="234"/>
      <c r="H244" s="234"/>
      <c r="I244" s="234"/>
      <c r="J244" s="234"/>
      <c r="K244" s="234"/>
      <c r="L244" s="237"/>
      <c r="M244" s="237"/>
      <c r="N244" s="234"/>
      <c r="O244" s="239"/>
      <c r="P244" s="239"/>
      <c r="S244" s="406"/>
      <c r="T244" s="406"/>
    </row>
    <row r="245" spans="2:20" s="272" customFormat="1">
      <c r="B245" s="238"/>
      <c r="C245" s="238"/>
      <c r="D245" s="237"/>
      <c r="E245" s="237"/>
      <c r="F245" s="237"/>
      <c r="G245" s="234"/>
      <c r="H245" s="234"/>
      <c r="I245" s="234"/>
      <c r="J245" s="234"/>
      <c r="K245" s="234"/>
      <c r="L245" s="237"/>
      <c r="M245" s="237"/>
      <c r="N245" s="234"/>
      <c r="O245" s="239"/>
      <c r="P245" s="239"/>
      <c r="S245" s="406"/>
      <c r="T245" s="406"/>
    </row>
    <row r="246" spans="2:20" s="272" customFormat="1">
      <c r="B246" s="238"/>
      <c r="C246" s="238"/>
      <c r="D246" s="237"/>
      <c r="E246" s="237"/>
      <c r="F246" s="237"/>
      <c r="G246" s="234"/>
      <c r="H246" s="234"/>
      <c r="I246" s="234"/>
      <c r="J246" s="234"/>
      <c r="K246" s="234"/>
      <c r="L246" s="237"/>
      <c r="M246" s="237"/>
      <c r="N246" s="234"/>
      <c r="O246" s="239"/>
      <c r="P246" s="239"/>
      <c r="S246" s="406"/>
      <c r="T246" s="406"/>
    </row>
    <row r="247" spans="2:20" s="272" customFormat="1">
      <c r="B247" s="238"/>
      <c r="C247" s="238"/>
      <c r="D247" s="237"/>
      <c r="E247" s="237"/>
      <c r="F247" s="237"/>
      <c r="G247" s="234"/>
      <c r="H247" s="234"/>
      <c r="I247" s="234"/>
      <c r="J247" s="234"/>
      <c r="K247" s="234"/>
      <c r="L247" s="237"/>
      <c r="M247" s="237"/>
      <c r="N247" s="234"/>
      <c r="O247" s="239"/>
      <c r="P247" s="239"/>
      <c r="S247" s="406"/>
      <c r="T247" s="406"/>
    </row>
    <row r="248" spans="2:20" s="272" customFormat="1">
      <c r="B248" s="238"/>
      <c r="C248" s="238"/>
      <c r="D248" s="237"/>
      <c r="E248" s="237"/>
      <c r="F248" s="237"/>
      <c r="G248" s="234"/>
      <c r="H248" s="234"/>
      <c r="I248" s="234"/>
      <c r="J248" s="234"/>
      <c r="K248" s="234"/>
      <c r="L248" s="237"/>
      <c r="M248" s="237"/>
      <c r="N248" s="234"/>
      <c r="O248" s="239"/>
      <c r="P248" s="239"/>
      <c r="S248" s="406"/>
      <c r="T248" s="406"/>
    </row>
    <row r="249" spans="2:20" s="272" customFormat="1">
      <c r="B249" s="238"/>
      <c r="C249" s="238"/>
      <c r="D249" s="237"/>
      <c r="E249" s="237"/>
      <c r="F249" s="237"/>
      <c r="G249" s="234"/>
      <c r="H249" s="234"/>
      <c r="I249" s="234"/>
      <c r="J249" s="234"/>
      <c r="K249" s="234"/>
      <c r="L249" s="237"/>
      <c r="M249" s="237"/>
      <c r="N249" s="234"/>
      <c r="O249" s="239"/>
      <c r="P249" s="239"/>
      <c r="S249" s="406"/>
      <c r="T249" s="406"/>
    </row>
    <row r="250" spans="2:20" s="272" customFormat="1">
      <c r="B250" s="238"/>
      <c r="C250" s="238"/>
      <c r="D250" s="237"/>
      <c r="E250" s="237"/>
      <c r="F250" s="237"/>
      <c r="G250" s="234"/>
      <c r="H250" s="234"/>
      <c r="I250" s="234"/>
      <c r="J250" s="234"/>
      <c r="K250" s="234"/>
      <c r="L250" s="237"/>
      <c r="M250" s="237"/>
      <c r="N250" s="234"/>
      <c r="O250" s="239"/>
      <c r="P250" s="239"/>
      <c r="S250" s="406"/>
      <c r="T250" s="406"/>
    </row>
    <row r="251" spans="2:20" s="272" customFormat="1">
      <c r="B251" s="238"/>
      <c r="C251" s="238"/>
      <c r="D251" s="237"/>
      <c r="E251" s="237"/>
      <c r="F251" s="237"/>
      <c r="G251" s="234"/>
      <c r="H251" s="234"/>
      <c r="I251" s="234"/>
      <c r="J251" s="234"/>
      <c r="K251" s="234"/>
      <c r="L251" s="237"/>
      <c r="M251" s="237"/>
      <c r="N251" s="234"/>
      <c r="O251" s="239"/>
      <c r="P251" s="239"/>
      <c r="S251" s="406"/>
      <c r="T251" s="406"/>
    </row>
    <row r="252" spans="2:20" s="272" customFormat="1">
      <c r="B252" s="238"/>
      <c r="C252" s="238"/>
      <c r="D252" s="237"/>
      <c r="E252" s="237"/>
      <c r="F252" s="237"/>
      <c r="G252" s="234"/>
      <c r="H252" s="234"/>
      <c r="I252" s="234"/>
      <c r="J252" s="234"/>
      <c r="K252" s="234"/>
      <c r="L252" s="237"/>
      <c r="M252" s="237"/>
      <c r="N252" s="234"/>
      <c r="O252" s="239"/>
      <c r="P252" s="239"/>
      <c r="S252" s="406"/>
      <c r="T252" s="406"/>
    </row>
    <row r="253" spans="2:20" s="272" customFormat="1">
      <c r="B253" s="238"/>
      <c r="C253" s="238"/>
      <c r="D253" s="237"/>
      <c r="E253" s="237"/>
      <c r="F253" s="237"/>
      <c r="G253" s="234"/>
      <c r="H253" s="234"/>
      <c r="I253" s="234"/>
      <c r="J253" s="234"/>
      <c r="K253" s="234"/>
      <c r="L253" s="237"/>
      <c r="M253" s="237"/>
      <c r="N253" s="234"/>
      <c r="O253" s="239"/>
      <c r="P253" s="239"/>
      <c r="S253" s="406"/>
      <c r="T253" s="406"/>
    </row>
    <row r="254" spans="2:20" s="272" customFormat="1">
      <c r="B254" s="238"/>
      <c r="C254" s="238"/>
      <c r="D254" s="237"/>
      <c r="E254" s="237"/>
      <c r="F254" s="237"/>
      <c r="G254" s="234"/>
      <c r="H254" s="234"/>
      <c r="I254" s="234"/>
      <c r="J254" s="234"/>
      <c r="K254" s="234"/>
      <c r="L254" s="237"/>
      <c r="M254" s="237"/>
      <c r="N254" s="234"/>
      <c r="O254" s="239"/>
      <c r="P254" s="239"/>
      <c r="S254" s="406"/>
      <c r="T254" s="406"/>
    </row>
    <row r="255" spans="2:20" s="272" customFormat="1">
      <c r="B255" s="238"/>
      <c r="C255" s="238"/>
      <c r="D255" s="237"/>
      <c r="E255" s="237"/>
      <c r="F255" s="237"/>
      <c r="G255" s="234"/>
      <c r="H255" s="234"/>
      <c r="I255" s="234"/>
      <c r="J255" s="234"/>
      <c r="K255" s="234"/>
      <c r="L255" s="237"/>
      <c r="M255" s="237"/>
      <c r="N255" s="234"/>
      <c r="O255" s="239"/>
      <c r="P255" s="239"/>
      <c r="S255" s="406"/>
      <c r="T255" s="406"/>
    </row>
    <row r="256" spans="2:20" s="272" customFormat="1">
      <c r="B256" s="238"/>
      <c r="C256" s="238"/>
      <c r="D256" s="237"/>
      <c r="E256" s="237"/>
      <c r="F256" s="237"/>
      <c r="G256" s="234"/>
      <c r="H256" s="234"/>
      <c r="I256" s="234"/>
      <c r="J256" s="234"/>
      <c r="K256" s="234"/>
      <c r="L256" s="237"/>
      <c r="M256" s="237"/>
      <c r="N256" s="234"/>
      <c r="O256" s="239"/>
      <c r="P256" s="239"/>
      <c r="S256" s="406"/>
      <c r="T256" s="406"/>
    </row>
    <row r="257" spans="2:20" s="272" customFormat="1">
      <c r="B257" s="238"/>
      <c r="C257" s="238"/>
      <c r="D257" s="237"/>
      <c r="E257" s="237"/>
      <c r="F257" s="237"/>
      <c r="G257" s="234"/>
      <c r="H257" s="234"/>
      <c r="I257" s="234"/>
      <c r="J257" s="234"/>
      <c r="K257" s="234"/>
      <c r="L257" s="237"/>
      <c r="M257" s="237"/>
      <c r="N257" s="234"/>
      <c r="O257" s="239"/>
      <c r="P257" s="239"/>
      <c r="S257" s="406"/>
      <c r="T257" s="406"/>
    </row>
    <row r="258" spans="2:20" s="272" customFormat="1">
      <c r="B258" s="238"/>
      <c r="C258" s="238"/>
      <c r="D258" s="237"/>
      <c r="E258" s="237"/>
      <c r="F258" s="237"/>
      <c r="G258" s="234"/>
      <c r="H258" s="234"/>
      <c r="I258" s="234"/>
      <c r="J258" s="234"/>
      <c r="K258" s="234"/>
      <c r="L258" s="237"/>
      <c r="M258" s="237"/>
      <c r="N258" s="234"/>
      <c r="O258" s="239"/>
      <c r="P258" s="239"/>
      <c r="S258" s="406"/>
      <c r="T258" s="406"/>
    </row>
    <row r="259" spans="2:20" s="272" customFormat="1">
      <c r="B259" s="238"/>
      <c r="C259" s="238"/>
      <c r="D259" s="237"/>
      <c r="E259" s="237"/>
      <c r="F259" s="237"/>
      <c r="G259" s="234"/>
      <c r="H259" s="234"/>
      <c r="I259" s="234"/>
      <c r="J259" s="234"/>
      <c r="K259" s="234"/>
      <c r="L259" s="237"/>
      <c r="M259" s="237"/>
      <c r="N259" s="234"/>
      <c r="O259" s="239"/>
      <c r="P259" s="239"/>
      <c r="S259" s="406"/>
      <c r="T259" s="406"/>
    </row>
    <row r="260" spans="2:20" s="272" customFormat="1">
      <c r="B260" s="238"/>
      <c r="C260" s="238"/>
      <c r="D260" s="237"/>
      <c r="E260" s="237"/>
      <c r="F260" s="237"/>
      <c r="G260" s="234"/>
      <c r="H260" s="234"/>
      <c r="I260" s="234"/>
      <c r="J260" s="234"/>
      <c r="K260" s="234"/>
      <c r="L260" s="237"/>
      <c r="M260" s="237"/>
      <c r="N260" s="234"/>
      <c r="O260" s="239"/>
      <c r="P260" s="239"/>
      <c r="S260" s="406"/>
      <c r="T260" s="406"/>
    </row>
    <row r="261" spans="2:20" s="272" customFormat="1">
      <c r="B261" s="238"/>
      <c r="C261" s="238"/>
      <c r="D261" s="237"/>
      <c r="E261" s="237"/>
      <c r="F261" s="237"/>
      <c r="G261" s="234"/>
      <c r="H261" s="234"/>
      <c r="I261" s="234"/>
      <c r="J261" s="234"/>
      <c r="K261" s="234"/>
      <c r="L261" s="237"/>
      <c r="M261" s="237"/>
      <c r="N261" s="234"/>
      <c r="O261" s="239"/>
      <c r="P261" s="239"/>
      <c r="S261" s="406"/>
      <c r="T261" s="406"/>
    </row>
    <row r="262" spans="2:20" s="272" customFormat="1">
      <c r="B262" s="238"/>
      <c r="C262" s="238"/>
      <c r="D262" s="237"/>
      <c r="E262" s="237"/>
      <c r="F262" s="237"/>
      <c r="G262" s="234"/>
      <c r="H262" s="234"/>
      <c r="I262" s="234"/>
      <c r="J262" s="234"/>
      <c r="K262" s="234"/>
      <c r="L262" s="237"/>
      <c r="M262" s="237"/>
      <c r="N262" s="234"/>
      <c r="O262" s="239"/>
      <c r="P262" s="239"/>
      <c r="S262" s="406"/>
      <c r="T262" s="406"/>
    </row>
    <row r="263" spans="2:20" s="272" customFormat="1">
      <c r="B263" s="238"/>
      <c r="C263" s="238"/>
      <c r="D263" s="237"/>
      <c r="E263" s="237"/>
      <c r="F263" s="237"/>
      <c r="G263" s="234"/>
      <c r="H263" s="234"/>
      <c r="I263" s="234"/>
      <c r="J263" s="234"/>
      <c r="K263" s="234"/>
      <c r="L263" s="237"/>
      <c r="M263" s="237"/>
      <c r="N263" s="234"/>
      <c r="O263" s="239"/>
      <c r="P263" s="239"/>
      <c r="S263" s="406"/>
      <c r="T263" s="406"/>
    </row>
    <row r="264" spans="2:20" s="272" customFormat="1">
      <c r="B264" s="238"/>
      <c r="C264" s="238"/>
      <c r="D264" s="237"/>
      <c r="E264" s="237"/>
      <c r="F264" s="237"/>
      <c r="G264" s="234"/>
      <c r="H264" s="234"/>
      <c r="I264" s="234"/>
      <c r="J264" s="234"/>
      <c r="K264" s="234"/>
      <c r="L264" s="237"/>
      <c r="M264" s="237"/>
      <c r="N264" s="234"/>
      <c r="O264" s="239"/>
      <c r="P264" s="239"/>
      <c r="S264" s="406"/>
      <c r="T264" s="406"/>
    </row>
    <row r="265" spans="2:20" s="272" customFormat="1">
      <c r="B265" s="238"/>
      <c r="C265" s="238"/>
      <c r="D265" s="237"/>
      <c r="E265" s="237"/>
      <c r="F265" s="237"/>
      <c r="G265" s="234"/>
      <c r="H265" s="234"/>
      <c r="I265" s="234"/>
      <c r="J265" s="234"/>
      <c r="K265" s="234"/>
      <c r="L265" s="237"/>
      <c r="M265" s="237"/>
      <c r="N265" s="234"/>
      <c r="O265" s="239"/>
      <c r="P265" s="239"/>
      <c r="S265" s="406"/>
      <c r="T265" s="406"/>
    </row>
    <row r="266" spans="2:20" s="272" customFormat="1">
      <c r="B266" s="238"/>
      <c r="C266" s="238"/>
      <c r="D266" s="237"/>
      <c r="E266" s="237"/>
      <c r="F266" s="237"/>
      <c r="G266" s="234"/>
      <c r="H266" s="234"/>
      <c r="I266" s="234"/>
      <c r="J266" s="234"/>
      <c r="K266" s="234"/>
      <c r="L266" s="237"/>
      <c r="M266" s="237"/>
      <c r="N266" s="234"/>
      <c r="O266" s="239"/>
      <c r="P266" s="239"/>
      <c r="S266" s="406"/>
      <c r="T266" s="406"/>
    </row>
    <row r="267" spans="2:20" s="272" customFormat="1">
      <c r="B267" s="238"/>
      <c r="C267" s="238"/>
      <c r="D267" s="237"/>
      <c r="E267" s="237"/>
      <c r="F267" s="237"/>
      <c r="G267" s="234"/>
      <c r="H267" s="234"/>
      <c r="I267" s="234"/>
      <c r="J267" s="234"/>
      <c r="K267" s="234"/>
      <c r="L267" s="237"/>
      <c r="M267" s="237"/>
      <c r="N267" s="234"/>
      <c r="O267" s="239"/>
      <c r="P267" s="239"/>
      <c r="S267" s="406"/>
      <c r="T267" s="406"/>
    </row>
    <row r="268" spans="2:20" s="272" customFormat="1">
      <c r="B268" s="238"/>
      <c r="C268" s="238"/>
      <c r="D268" s="237"/>
      <c r="E268" s="237"/>
      <c r="F268" s="237"/>
      <c r="G268" s="234"/>
      <c r="H268" s="234"/>
      <c r="I268" s="234"/>
      <c r="J268" s="234"/>
      <c r="K268" s="234"/>
      <c r="L268" s="237"/>
      <c r="M268" s="237"/>
      <c r="N268" s="234"/>
      <c r="O268" s="239"/>
      <c r="P268" s="239"/>
      <c r="S268" s="406"/>
      <c r="T268" s="406"/>
    </row>
    <row r="269" spans="2:20" s="272" customFormat="1">
      <c r="B269" s="238"/>
      <c r="C269" s="238"/>
      <c r="D269" s="237"/>
      <c r="E269" s="237"/>
      <c r="F269" s="237"/>
      <c r="G269" s="234"/>
      <c r="H269" s="234"/>
      <c r="I269" s="234"/>
      <c r="J269" s="234"/>
      <c r="K269" s="234"/>
      <c r="L269" s="237"/>
      <c r="M269" s="237"/>
      <c r="N269" s="234"/>
      <c r="O269" s="239"/>
      <c r="P269" s="239"/>
      <c r="S269" s="406"/>
      <c r="T269" s="406"/>
    </row>
    <row r="270" spans="2:20" s="272" customFormat="1">
      <c r="B270" s="238"/>
      <c r="C270" s="238"/>
      <c r="D270" s="237"/>
      <c r="E270" s="237"/>
      <c r="F270" s="237"/>
      <c r="G270" s="234"/>
      <c r="H270" s="234"/>
      <c r="I270" s="234"/>
      <c r="J270" s="234"/>
      <c r="K270" s="234"/>
      <c r="L270" s="237"/>
      <c r="M270" s="237"/>
      <c r="N270" s="234"/>
      <c r="O270" s="239"/>
      <c r="P270" s="239"/>
      <c r="S270" s="406"/>
      <c r="T270" s="406"/>
    </row>
    <row r="271" spans="2:20" s="272" customFormat="1">
      <c r="B271" s="238"/>
      <c r="C271" s="238"/>
      <c r="D271" s="237"/>
      <c r="E271" s="237"/>
      <c r="F271" s="237"/>
      <c r="G271" s="234"/>
      <c r="H271" s="234"/>
      <c r="I271" s="234"/>
      <c r="J271" s="234"/>
      <c r="K271" s="234"/>
      <c r="L271" s="237"/>
      <c r="M271" s="237"/>
      <c r="N271" s="234"/>
      <c r="O271" s="239"/>
      <c r="P271" s="239"/>
      <c r="S271" s="406"/>
      <c r="T271" s="406"/>
    </row>
    <row r="272" spans="2:20" s="272" customFormat="1">
      <c r="B272" s="238"/>
      <c r="C272" s="238"/>
      <c r="D272" s="237"/>
      <c r="E272" s="237"/>
      <c r="F272" s="237"/>
      <c r="G272" s="234"/>
      <c r="H272" s="234"/>
      <c r="I272" s="234"/>
      <c r="J272" s="234"/>
      <c r="K272" s="234"/>
      <c r="L272" s="237"/>
      <c r="M272" s="237"/>
      <c r="N272" s="234"/>
      <c r="O272" s="239"/>
      <c r="P272" s="239"/>
      <c r="S272" s="406"/>
      <c r="T272" s="406"/>
    </row>
    <row r="273" spans="2:20" s="272" customFormat="1">
      <c r="B273" s="238"/>
      <c r="C273" s="238"/>
      <c r="D273" s="237"/>
      <c r="E273" s="237"/>
      <c r="F273" s="237"/>
      <c r="G273" s="234"/>
      <c r="H273" s="234"/>
      <c r="I273" s="234"/>
      <c r="J273" s="234"/>
      <c r="K273" s="234"/>
      <c r="L273" s="237"/>
      <c r="M273" s="237"/>
      <c r="N273" s="234"/>
      <c r="O273" s="239"/>
      <c r="P273" s="239"/>
      <c r="S273" s="406"/>
      <c r="T273" s="406"/>
    </row>
    <row r="274" spans="2:20" s="272" customFormat="1">
      <c r="B274" s="238"/>
      <c r="C274" s="238"/>
      <c r="D274" s="237"/>
      <c r="E274" s="237"/>
      <c r="F274" s="237"/>
      <c r="G274" s="234"/>
      <c r="H274" s="234"/>
      <c r="I274" s="234"/>
      <c r="J274" s="234"/>
      <c r="K274" s="234"/>
      <c r="L274" s="237"/>
      <c r="M274" s="237"/>
      <c r="N274" s="234"/>
      <c r="O274" s="239"/>
      <c r="P274" s="239"/>
      <c r="S274" s="406"/>
      <c r="T274" s="406"/>
    </row>
    <row r="275" spans="2:20" s="272" customFormat="1">
      <c r="B275" s="238"/>
      <c r="C275" s="238"/>
      <c r="D275" s="237"/>
      <c r="E275" s="237"/>
      <c r="F275" s="237"/>
      <c r="G275" s="234"/>
      <c r="H275" s="234"/>
      <c r="I275" s="234"/>
      <c r="J275" s="234"/>
      <c r="K275" s="234"/>
      <c r="L275" s="237"/>
      <c r="M275" s="237"/>
      <c r="N275" s="234"/>
      <c r="O275" s="239"/>
      <c r="P275" s="239"/>
      <c r="S275" s="406"/>
      <c r="T275" s="406"/>
    </row>
    <row r="276" spans="2:20" s="272" customFormat="1">
      <c r="B276" s="238"/>
      <c r="C276" s="238"/>
      <c r="D276" s="237"/>
      <c r="E276" s="237"/>
      <c r="F276" s="237"/>
      <c r="G276" s="234"/>
      <c r="H276" s="234"/>
      <c r="I276" s="234"/>
      <c r="J276" s="234"/>
      <c r="K276" s="234"/>
      <c r="L276" s="237"/>
      <c r="M276" s="237"/>
      <c r="N276" s="234"/>
      <c r="O276" s="239"/>
      <c r="P276" s="239"/>
      <c r="S276" s="406"/>
      <c r="T276" s="406"/>
    </row>
    <row r="277" spans="2:20" s="272" customFormat="1">
      <c r="B277" s="238"/>
      <c r="C277" s="238"/>
      <c r="D277" s="237"/>
      <c r="E277" s="237"/>
      <c r="F277" s="237"/>
      <c r="G277" s="234"/>
      <c r="H277" s="234"/>
      <c r="I277" s="234"/>
      <c r="J277" s="234"/>
      <c r="K277" s="234"/>
      <c r="L277" s="237"/>
      <c r="M277" s="237"/>
      <c r="N277" s="234"/>
      <c r="O277" s="239"/>
      <c r="P277" s="239"/>
      <c r="S277" s="406"/>
      <c r="T277" s="406"/>
    </row>
    <row r="278" spans="2:20" s="272" customFormat="1">
      <c r="B278" s="238"/>
      <c r="C278" s="238"/>
      <c r="D278" s="237"/>
      <c r="E278" s="237"/>
      <c r="F278" s="237"/>
      <c r="G278" s="234"/>
      <c r="H278" s="234"/>
      <c r="I278" s="234"/>
      <c r="J278" s="234"/>
      <c r="K278" s="234"/>
      <c r="L278" s="237"/>
      <c r="M278" s="237"/>
      <c r="N278" s="234"/>
      <c r="O278" s="239"/>
      <c r="P278" s="239"/>
      <c r="S278" s="406"/>
      <c r="T278" s="406"/>
    </row>
    <row r="279" spans="2:20" s="272" customFormat="1">
      <c r="B279" s="238"/>
      <c r="C279" s="238"/>
      <c r="D279" s="237"/>
      <c r="E279" s="237"/>
      <c r="F279" s="237"/>
      <c r="G279" s="234"/>
      <c r="H279" s="234"/>
      <c r="I279" s="234"/>
      <c r="J279" s="234"/>
      <c r="K279" s="234"/>
      <c r="L279" s="237"/>
      <c r="M279" s="237"/>
      <c r="N279" s="234"/>
      <c r="O279" s="239"/>
      <c r="P279" s="239"/>
      <c r="S279" s="406"/>
      <c r="T279" s="406"/>
    </row>
    <row r="280" spans="2:20" s="272" customFormat="1">
      <c r="B280" s="238"/>
      <c r="C280" s="238"/>
      <c r="D280" s="237"/>
      <c r="E280" s="237"/>
      <c r="F280" s="237"/>
      <c r="G280" s="234"/>
      <c r="H280" s="234"/>
      <c r="I280" s="234"/>
      <c r="J280" s="234"/>
      <c r="K280" s="234"/>
      <c r="L280" s="237"/>
      <c r="M280" s="237"/>
      <c r="N280" s="234"/>
      <c r="O280" s="239"/>
      <c r="P280" s="239"/>
      <c r="S280" s="406"/>
      <c r="T280" s="406"/>
    </row>
    <row r="281" spans="2:20" s="272" customFormat="1">
      <c r="B281" s="238"/>
      <c r="C281" s="238"/>
      <c r="D281" s="237"/>
      <c r="E281" s="237"/>
      <c r="F281" s="237"/>
      <c r="G281" s="234"/>
      <c r="H281" s="234"/>
      <c r="I281" s="234"/>
      <c r="J281" s="234"/>
      <c r="K281" s="234"/>
      <c r="L281" s="237"/>
      <c r="M281" s="237"/>
      <c r="N281" s="234"/>
      <c r="O281" s="239"/>
      <c r="P281" s="239"/>
      <c r="S281" s="406"/>
      <c r="T281" s="406"/>
    </row>
    <row r="282" spans="2:20" s="272" customFormat="1">
      <c r="B282" s="238"/>
      <c r="C282" s="238"/>
      <c r="D282" s="237"/>
      <c r="E282" s="237"/>
      <c r="F282" s="237"/>
      <c r="G282" s="234"/>
      <c r="H282" s="234"/>
      <c r="I282" s="234"/>
      <c r="J282" s="234"/>
      <c r="K282" s="234"/>
      <c r="L282" s="237"/>
      <c r="M282" s="237"/>
      <c r="N282" s="234"/>
      <c r="O282" s="239"/>
      <c r="P282" s="239"/>
      <c r="S282" s="406"/>
      <c r="T282" s="406"/>
    </row>
    <row r="283" spans="2:20" s="272" customFormat="1">
      <c r="B283" s="238"/>
      <c r="C283" s="238"/>
      <c r="D283" s="237"/>
      <c r="E283" s="237"/>
      <c r="F283" s="237"/>
      <c r="G283" s="234"/>
      <c r="H283" s="234"/>
      <c r="I283" s="234"/>
      <c r="J283" s="234"/>
      <c r="K283" s="234"/>
      <c r="L283" s="237"/>
      <c r="M283" s="237"/>
      <c r="N283" s="234"/>
      <c r="O283" s="239"/>
      <c r="P283" s="239"/>
      <c r="S283" s="406"/>
      <c r="T283" s="406"/>
    </row>
    <row r="284" spans="2:20" s="272" customFormat="1">
      <c r="B284" s="238"/>
      <c r="C284" s="238"/>
      <c r="D284" s="237"/>
      <c r="E284" s="237"/>
      <c r="F284" s="237"/>
      <c r="G284" s="234"/>
      <c r="H284" s="234"/>
      <c r="I284" s="234"/>
      <c r="J284" s="234"/>
      <c r="K284" s="234"/>
      <c r="L284" s="237"/>
      <c r="M284" s="237"/>
      <c r="N284" s="234"/>
      <c r="O284" s="239"/>
      <c r="P284" s="239"/>
      <c r="S284" s="406"/>
      <c r="T284" s="406"/>
    </row>
    <row r="285" spans="2:20" s="272" customFormat="1">
      <c r="B285" s="238"/>
      <c r="C285" s="238"/>
      <c r="D285" s="237"/>
      <c r="E285" s="237"/>
      <c r="F285" s="237"/>
      <c r="G285" s="234"/>
      <c r="H285" s="234"/>
      <c r="I285" s="234"/>
      <c r="J285" s="234"/>
      <c r="K285" s="234"/>
      <c r="L285" s="237"/>
      <c r="M285" s="237"/>
      <c r="N285" s="234"/>
      <c r="O285" s="239"/>
      <c r="P285" s="239"/>
      <c r="S285" s="406"/>
      <c r="T285" s="406"/>
    </row>
    <row r="286" spans="2:20" s="272" customFormat="1">
      <c r="B286" s="238"/>
      <c r="C286" s="238"/>
      <c r="D286" s="237"/>
      <c r="E286" s="237"/>
      <c r="F286" s="237"/>
      <c r="G286" s="234"/>
      <c r="H286" s="234"/>
      <c r="I286" s="234"/>
      <c r="J286" s="234"/>
      <c r="K286" s="234"/>
      <c r="L286" s="237"/>
      <c r="M286" s="237"/>
      <c r="N286" s="234"/>
      <c r="O286" s="239"/>
      <c r="P286" s="239"/>
      <c r="S286" s="406"/>
      <c r="T286" s="406"/>
    </row>
    <row r="287" spans="2:20" s="272" customFormat="1">
      <c r="B287" s="238"/>
      <c r="C287" s="238"/>
      <c r="D287" s="237"/>
      <c r="E287" s="237"/>
      <c r="F287" s="237"/>
      <c r="G287" s="234"/>
      <c r="H287" s="234"/>
      <c r="I287" s="234"/>
      <c r="J287" s="234"/>
      <c r="K287" s="234"/>
      <c r="L287" s="237"/>
      <c r="M287" s="237"/>
      <c r="N287" s="234"/>
      <c r="O287" s="239"/>
      <c r="P287" s="239"/>
      <c r="S287" s="406"/>
      <c r="T287" s="406"/>
    </row>
    <row r="288" spans="2:20" s="272" customFormat="1">
      <c r="B288" s="238"/>
      <c r="C288" s="238"/>
      <c r="D288" s="237"/>
      <c r="E288" s="237"/>
      <c r="F288" s="237"/>
      <c r="G288" s="234"/>
      <c r="H288" s="234"/>
      <c r="I288" s="234"/>
      <c r="J288" s="234"/>
      <c r="K288" s="234"/>
      <c r="L288" s="237"/>
      <c r="M288" s="237"/>
      <c r="N288" s="234"/>
      <c r="O288" s="239"/>
      <c r="P288" s="239"/>
      <c r="S288" s="406"/>
      <c r="T288" s="406"/>
    </row>
    <row r="289" spans="2:20" s="272" customFormat="1">
      <c r="B289" s="238"/>
      <c r="C289" s="238"/>
      <c r="D289" s="237"/>
      <c r="E289" s="237"/>
      <c r="F289" s="237"/>
      <c r="G289" s="234"/>
      <c r="H289" s="234"/>
      <c r="I289" s="234"/>
      <c r="J289" s="234"/>
      <c r="K289" s="234"/>
      <c r="L289" s="237"/>
      <c r="M289" s="237"/>
      <c r="N289" s="234"/>
      <c r="O289" s="239"/>
      <c r="P289" s="239"/>
      <c r="S289" s="406"/>
      <c r="T289" s="406"/>
    </row>
    <row r="290" spans="2:20" s="272" customFormat="1">
      <c r="B290" s="238"/>
      <c r="C290" s="238"/>
      <c r="D290" s="237"/>
      <c r="E290" s="237"/>
      <c r="F290" s="237"/>
      <c r="G290" s="234"/>
      <c r="H290" s="234"/>
      <c r="I290" s="234"/>
      <c r="J290" s="234"/>
      <c r="K290" s="234"/>
      <c r="L290" s="237"/>
      <c r="M290" s="237"/>
      <c r="N290" s="234"/>
      <c r="O290" s="239"/>
      <c r="P290" s="239"/>
      <c r="S290" s="406"/>
      <c r="T290" s="406"/>
    </row>
    <row r="291" spans="2:20" s="272" customFormat="1">
      <c r="B291" s="238"/>
      <c r="C291" s="238"/>
      <c r="D291" s="237"/>
      <c r="E291" s="237"/>
      <c r="F291" s="237"/>
      <c r="G291" s="234"/>
      <c r="H291" s="234"/>
      <c r="I291" s="234"/>
      <c r="J291" s="234"/>
      <c r="K291" s="234"/>
      <c r="L291" s="237"/>
      <c r="M291" s="237"/>
      <c r="N291" s="234"/>
      <c r="O291" s="239"/>
      <c r="P291" s="239"/>
      <c r="S291" s="406"/>
      <c r="T291" s="406"/>
    </row>
    <row r="292" spans="2:20" s="272" customFormat="1">
      <c r="B292" s="238"/>
      <c r="C292" s="238"/>
      <c r="D292" s="237"/>
      <c r="E292" s="237"/>
      <c r="F292" s="237"/>
      <c r="G292" s="234"/>
      <c r="H292" s="234"/>
      <c r="I292" s="234"/>
      <c r="J292" s="234"/>
      <c r="K292" s="234"/>
      <c r="L292" s="237"/>
      <c r="M292" s="237"/>
      <c r="N292" s="234"/>
      <c r="O292" s="239"/>
      <c r="P292" s="239"/>
      <c r="S292" s="406"/>
      <c r="T292" s="406"/>
    </row>
    <row r="293" spans="2:20" s="272" customFormat="1">
      <c r="B293" s="238"/>
      <c r="C293" s="238"/>
      <c r="D293" s="237"/>
      <c r="E293" s="237"/>
      <c r="F293" s="237"/>
      <c r="G293" s="234"/>
      <c r="H293" s="234"/>
      <c r="I293" s="234"/>
      <c r="J293" s="234"/>
      <c r="K293" s="234"/>
      <c r="L293" s="237"/>
      <c r="M293" s="237"/>
      <c r="N293" s="234"/>
      <c r="O293" s="239"/>
      <c r="P293" s="239"/>
      <c r="S293" s="406"/>
      <c r="T293" s="406"/>
    </row>
    <row r="294" spans="2:20" s="272" customFormat="1">
      <c r="B294" s="238"/>
      <c r="C294" s="238"/>
      <c r="D294" s="237"/>
      <c r="E294" s="237"/>
      <c r="F294" s="237"/>
      <c r="G294" s="234"/>
      <c r="H294" s="234"/>
      <c r="I294" s="234"/>
      <c r="J294" s="234"/>
      <c r="K294" s="234"/>
      <c r="L294" s="237"/>
      <c r="M294" s="237"/>
      <c r="N294" s="234"/>
      <c r="O294" s="239"/>
      <c r="P294" s="239"/>
      <c r="S294" s="406"/>
      <c r="T294" s="406"/>
    </row>
    <row r="295" spans="2:20" s="272" customFormat="1">
      <c r="B295" s="238"/>
      <c r="C295" s="238"/>
      <c r="D295" s="237"/>
      <c r="E295" s="237"/>
      <c r="F295" s="237"/>
      <c r="G295" s="234"/>
      <c r="H295" s="234"/>
      <c r="I295" s="234"/>
      <c r="J295" s="234"/>
      <c r="K295" s="234"/>
      <c r="L295" s="237"/>
      <c r="M295" s="237"/>
      <c r="N295" s="234"/>
      <c r="O295" s="239"/>
      <c r="P295" s="239"/>
      <c r="S295" s="406"/>
      <c r="T295" s="406"/>
    </row>
    <row r="296" spans="2:20" s="272" customFormat="1">
      <c r="B296" s="238"/>
      <c r="C296" s="238"/>
      <c r="D296" s="237"/>
      <c r="E296" s="237"/>
      <c r="F296" s="237"/>
      <c r="G296" s="234"/>
      <c r="H296" s="234"/>
      <c r="I296" s="234"/>
      <c r="J296" s="234"/>
      <c r="K296" s="234"/>
      <c r="L296" s="237"/>
      <c r="M296" s="237"/>
      <c r="N296" s="234"/>
      <c r="O296" s="239"/>
      <c r="P296" s="239"/>
      <c r="S296" s="406"/>
      <c r="T296" s="406"/>
    </row>
    <row r="297" spans="2:20" s="272" customFormat="1">
      <c r="B297" s="238"/>
      <c r="C297" s="238"/>
      <c r="D297" s="237"/>
      <c r="E297" s="237"/>
      <c r="F297" s="237"/>
      <c r="G297" s="234"/>
      <c r="H297" s="234"/>
      <c r="I297" s="234"/>
      <c r="J297" s="234"/>
      <c r="K297" s="234"/>
      <c r="L297" s="237"/>
      <c r="M297" s="237"/>
      <c r="N297" s="234"/>
      <c r="O297" s="239"/>
      <c r="P297" s="239"/>
      <c r="S297" s="406"/>
      <c r="T297" s="406"/>
    </row>
    <row r="298" spans="2:20" s="272" customFormat="1">
      <c r="B298" s="238"/>
      <c r="C298" s="238"/>
      <c r="D298" s="237"/>
      <c r="E298" s="237"/>
      <c r="F298" s="237"/>
      <c r="G298" s="234"/>
      <c r="H298" s="234"/>
      <c r="I298" s="234"/>
      <c r="J298" s="234"/>
      <c r="K298" s="234"/>
      <c r="L298" s="237"/>
      <c r="M298" s="237"/>
      <c r="N298" s="234"/>
      <c r="O298" s="239"/>
      <c r="P298" s="239"/>
      <c r="S298" s="406"/>
      <c r="T298" s="406"/>
    </row>
    <row r="299" spans="2:20" s="272" customFormat="1">
      <c r="B299" s="238"/>
      <c r="C299" s="238"/>
      <c r="D299" s="237"/>
      <c r="E299" s="237"/>
      <c r="F299" s="237"/>
      <c r="G299" s="234"/>
      <c r="H299" s="234"/>
      <c r="I299" s="234"/>
      <c r="J299" s="234"/>
      <c r="K299" s="234"/>
      <c r="L299" s="237"/>
      <c r="M299" s="237"/>
      <c r="N299" s="234"/>
      <c r="O299" s="239"/>
      <c r="P299" s="239"/>
      <c r="S299" s="406"/>
      <c r="T299" s="406"/>
    </row>
    <row r="300" spans="2:20" s="272" customFormat="1">
      <c r="B300" s="238"/>
      <c r="C300" s="238"/>
      <c r="D300" s="237"/>
      <c r="E300" s="237"/>
      <c r="F300" s="237"/>
      <c r="G300" s="234"/>
      <c r="H300" s="234"/>
      <c r="I300" s="234"/>
      <c r="J300" s="234"/>
      <c r="K300" s="234"/>
      <c r="L300" s="237"/>
      <c r="M300" s="237"/>
      <c r="N300" s="234"/>
      <c r="O300" s="239"/>
      <c r="P300" s="239"/>
      <c r="S300" s="406"/>
      <c r="T300" s="406"/>
    </row>
    <row r="301" spans="2:20" s="272" customFormat="1">
      <c r="B301" s="238"/>
      <c r="C301" s="238"/>
      <c r="D301" s="237"/>
      <c r="E301" s="237"/>
      <c r="F301" s="237"/>
      <c r="G301" s="234"/>
      <c r="H301" s="234"/>
      <c r="I301" s="234"/>
      <c r="J301" s="234"/>
      <c r="K301" s="234"/>
      <c r="L301" s="237"/>
      <c r="M301" s="237"/>
      <c r="N301" s="234"/>
      <c r="O301" s="239"/>
      <c r="P301" s="239"/>
      <c r="S301" s="406"/>
      <c r="T301" s="406"/>
    </row>
    <row r="302" spans="2:20" s="272" customFormat="1">
      <c r="B302" s="238"/>
      <c r="C302" s="238"/>
      <c r="D302" s="237"/>
      <c r="E302" s="237"/>
      <c r="F302" s="237"/>
      <c r="G302" s="234"/>
      <c r="H302" s="234"/>
      <c r="I302" s="234"/>
      <c r="J302" s="234"/>
      <c r="K302" s="234"/>
      <c r="L302" s="237"/>
      <c r="M302" s="237"/>
      <c r="N302" s="234"/>
      <c r="O302" s="239"/>
      <c r="P302" s="239"/>
      <c r="S302" s="406"/>
      <c r="T302" s="406"/>
    </row>
    <row r="303" spans="2:20" s="272" customFormat="1">
      <c r="B303" s="238"/>
      <c r="C303" s="238"/>
      <c r="D303" s="237"/>
      <c r="E303" s="237"/>
      <c r="F303" s="237"/>
      <c r="G303" s="234"/>
      <c r="H303" s="234"/>
      <c r="I303" s="234"/>
      <c r="J303" s="234"/>
      <c r="K303" s="234"/>
      <c r="L303" s="237"/>
      <c r="M303" s="237"/>
      <c r="N303" s="234"/>
      <c r="O303" s="239"/>
      <c r="P303" s="239"/>
      <c r="S303" s="406"/>
      <c r="T303" s="406"/>
    </row>
    <row r="304" spans="2:20" s="272" customFormat="1">
      <c r="B304" s="238"/>
      <c r="C304" s="238"/>
      <c r="D304" s="237"/>
      <c r="E304" s="237"/>
      <c r="F304" s="237"/>
      <c r="G304" s="234"/>
      <c r="H304" s="234"/>
      <c r="I304" s="234"/>
      <c r="J304" s="234"/>
      <c r="K304" s="234"/>
      <c r="L304" s="237"/>
      <c r="M304" s="237"/>
      <c r="N304" s="234"/>
      <c r="O304" s="239"/>
      <c r="P304" s="239"/>
      <c r="S304" s="406"/>
      <c r="T304" s="406"/>
    </row>
    <row r="305" spans="2:20" s="272" customFormat="1">
      <c r="B305" s="238"/>
      <c r="C305" s="238"/>
      <c r="D305" s="237"/>
      <c r="E305" s="237"/>
      <c r="F305" s="237"/>
      <c r="G305" s="234"/>
      <c r="H305" s="234"/>
      <c r="I305" s="234"/>
      <c r="J305" s="234"/>
      <c r="K305" s="234"/>
      <c r="L305" s="237"/>
      <c r="M305" s="237"/>
      <c r="N305" s="234"/>
      <c r="O305" s="239"/>
      <c r="P305" s="239"/>
      <c r="S305" s="406"/>
      <c r="T305" s="406"/>
    </row>
    <row r="306" spans="2:20" s="272" customFormat="1">
      <c r="B306" s="238"/>
      <c r="C306" s="238"/>
      <c r="D306" s="237"/>
      <c r="E306" s="237"/>
      <c r="F306" s="237"/>
      <c r="G306" s="234"/>
      <c r="H306" s="234"/>
      <c r="I306" s="234"/>
      <c r="J306" s="234"/>
      <c r="K306" s="234"/>
      <c r="L306" s="237"/>
      <c r="M306" s="237"/>
      <c r="N306" s="234"/>
      <c r="O306" s="239"/>
      <c r="P306" s="239"/>
      <c r="S306" s="406"/>
      <c r="T306" s="406"/>
    </row>
    <row r="307" spans="2:20" s="272" customFormat="1">
      <c r="B307" s="238"/>
      <c r="C307" s="238"/>
      <c r="D307" s="237"/>
      <c r="E307" s="237"/>
      <c r="F307" s="237"/>
      <c r="G307" s="234"/>
      <c r="H307" s="234"/>
      <c r="I307" s="234"/>
      <c r="J307" s="234"/>
      <c r="K307" s="234"/>
      <c r="L307" s="237"/>
      <c r="M307" s="237"/>
      <c r="N307" s="234"/>
      <c r="O307" s="239"/>
      <c r="P307" s="239"/>
      <c r="S307" s="406"/>
      <c r="T307" s="406"/>
    </row>
    <row r="308" spans="2:20" s="272" customFormat="1">
      <c r="B308" s="238"/>
      <c r="C308" s="238"/>
      <c r="D308" s="237"/>
      <c r="E308" s="237"/>
      <c r="F308" s="237"/>
      <c r="G308" s="234"/>
      <c r="H308" s="234"/>
      <c r="I308" s="234"/>
      <c r="J308" s="234"/>
      <c r="K308" s="234"/>
      <c r="L308" s="237"/>
      <c r="M308" s="237"/>
      <c r="N308" s="234"/>
      <c r="O308" s="239"/>
      <c r="P308" s="239"/>
      <c r="S308" s="406"/>
      <c r="T308" s="406"/>
    </row>
    <row r="309" spans="2:20" s="272" customFormat="1">
      <c r="B309" s="238"/>
      <c r="C309" s="238"/>
      <c r="D309" s="237"/>
      <c r="E309" s="237"/>
      <c r="F309" s="237"/>
      <c r="G309" s="234"/>
      <c r="H309" s="234"/>
      <c r="I309" s="234"/>
      <c r="J309" s="234"/>
      <c r="K309" s="234"/>
      <c r="L309" s="237"/>
      <c r="M309" s="237"/>
      <c r="N309" s="234"/>
      <c r="O309" s="239"/>
      <c r="P309" s="239"/>
      <c r="S309" s="406"/>
      <c r="T309" s="406"/>
    </row>
    <row r="310" spans="2:20" s="272" customFormat="1">
      <c r="B310" s="238"/>
      <c r="C310" s="238"/>
      <c r="D310" s="237"/>
      <c r="E310" s="237"/>
      <c r="F310" s="237"/>
      <c r="G310" s="234"/>
      <c r="H310" s="234"/>
      <c r="I310" s="234"/>
      <c r="J310" s="234"/>
      <c r="K310" s="234"/>
      <c r="L310" s="237"/>
      <c r="M310" s="237"/>
      <c r="N310" s="234"/>
      <c r="O310" s="239"/>
      <c r="P310" s="239"/>
      <c r="S310" s="406"/>
      <c r="T310" s="406"/>
    </row>
    <row r="311" spans="2:20" s="272" customFormat="1">
      <c r="B311" s="238"/>
      <c r="C311" s="238"/>
      <c r="D311" s="237"/>
      <c r="E311" s="237"/>
      <c r="F311" s="237"/>
      <c r="G311" s="234"/>
      <c r="H311" s="234"/>
      <c r="I311" s="234"/>
      <c r="J311" s="234"/>
      <c r="K311" s="234"/>
      <c r="L311" s="237"/>
      <c r="M311" s="237"/>
      <c r="N311" s="234"/>
      <c r="O311" s="239"/>
      <c r="P311" s="239"/>
      <c r="S311" s="406"/>
      <c r="T311" s="406"/>
    </row>
    <row r="312" spans="2:20" s="272" customFormat="1">
      <c r="B312" s="238"/>
      <c r="C312" s="238"/>
      <c r="D312" s="237"/>
      <c r="E312" s="237"/>
      <c r="F312" s="237"/>
      <c r="G312" s="234"/>
      <c r="H312" s="234"/>
      <c r="I312" s="234"/>
      <c r="J312" s="234"/>
      <c r="K312" s="234"/>
      <c r="L312" s="237"/>
      <c r="M312" s="237"/>
      <c r="N312" s="234"/>
      <c r="O312" s="239"/>
      <c r="P312" s="239"/>
      <c r="S312" s="406"/>
      <c r="T312" s="406"/>
    </row>
    <row r="313" spans="2:20" s="272" customFormat="1">
      <c r="B313" s="238"/>
      <c r="C313" s="238"/>
      <c r="D313" s="237"/>
      <c r="E313" s="237"/>
      <c r="F313" s="237"/>
      <c r="G313" s="234"/>
      <c r="H313" s="234"/>
      <c r="I313" s="234"/>
      <c r="J313" s="234"/>
      <c r="K313" s="234"/>
      <c r="L313" s="237"/>
      <c r="M313" s="237"/>
      <c r="N313" s="234"/>
      <c r="O313" s="239"/>
      <c r="P313" s="239"/>
      <c r="S313" s="406"/>
      <c r="T313" s="406"/>
    </row>
    <row r="314" spans="2:20" s="272" customFormat="1">
      <c r="B314" s="238"/>
      <c r="C314" s="238"/>
      <c r="D314" s="237"/>
      <c r="E314" s="237"/>
      <c r="F314" s="237"/>
      <c r="G314" s="234"/>
      <c r="H314" s="234"/>
      <c r="I314" s="234"/>
      <c r="J314" s="234"/>
      <c r="K314" s="234"/>
      <c r="L314" s="237"/>
      <c r="M314" s="237"/>
      <c r="N314" s="234"/>
      <c r="O314" s="239"/>
      <c r="P314" s="239"/>
      <c r="S314" s="406"/>
      <c r="T314" s="406"/>
    </row>
    <row r="315" spans="2:20" s="272" customFormat="1">
      <c r="B315" s="238"/>
      <c r="C315" s="238"/>
      <c r="D315" s="237"/>
      <c r="E315" s="237"/>
      <c r="F315" s="237"/>
      <c r="G315" s="234"/>
      <c r="H315" s="234"/>
      <c r="I315" s="234"/>
      <c r="J315" s="234"/>
      <c r="K315" s="234"/>
      <c r="L315" s="237"/>
      <c r="M315" s="237"/>
      <c r="N315" s="234"/>
      <c r="O315" s="239"/>
      <c r="P315" s="239"/>
      <c r="S315" s="406"/>
      <c r="T315" s="406"/>
    </row>
    <row r="316" spans="2:20" s="272" customFormat="1">
      <c r="B316" s="238"/>
      <c r="C316" s="238"/>
      <c r="D316" s="237"/>
      <c r="E316" s="237"/>
      <c r="F316" s="237"/>
      <c r="G316" s="234"/>
      <c r="H316" s="234"/>
      <c r="I316" s="234"/>
      <c r="J316" s="234"/>
      <c r="K316" s="234"/>
      <c r="L316" s="237"/>
      <c r="M316" s="237"/>
      <c r="N316" s="234"/>
      <c r="O316" s="239"/>
      <c r="P316" s="239"/>
      <c r="S316" s="406"/>
      <c r="T316" s="406"/>
    </row>
    <row r="317" spans="2:20" s="272" customFormat="1">
      <c r="B317" s="238"/>
      <c r="C317" s="238"/>
      <c r="D317" s="237"/>
      <c r="E317" s="237"/>
      <c r="F317" s="237"/>
      <c r="G317" s="234"/>
      <c r="H317" s="234"/>
      <c r="I317" s="234"/>
      <c r="J317" s="234"/>
      <c r="K317" s="234"/>
      <c r="L317" s="237"/>
      <c r="M317" s="237"/>
      <c r="N317" s="234"/>
      <c r="O317" s="239"/>
      <c r="P317" s="239"/>
      <c r="S317" s="406"/>
      <c r="T317" s="406"/>
    </row>
    <row r="318" spans="2:20" s="272" customFormat="1">
      <c r="B318" s="238"/>
      <c r="C318" s="238"/>
      <c r="D318" s="237"/>
      <c r="E318" s="237"/>
      <c r="F318" s="237"/>
      <c r="G318" s="234"/>
      <c r="H318" s="234"/>
      <c r="I318" s="234"/>
      <c r="J318" s="234"/>
      <c r="K318" s="234"/>
      <c r="L318" s="237"/>
      <c r="M318" s="237"/>
      <c r="N318" s="234"/>
      <c r="O318" s="239"/>
      <c r="P318" s="239"/>
      <c r="S318" s="406"/>
      <c r="T318" s="406"/>
    </row>
    <row r="319" spans="2:20" s="272" customFormat="1">
      <c r="B319" s="238"/>
      <c r="C319" s="238"/>
      <c r="D319" s="237"/>
      <c r="E319" s="237"/>
      <c r="F319" s="237"/>
      <c r="G319" s="234"/>
      <c r="H319" s="234"/>
      <c r="I319" s="234"/>
      <c r="J319" s="234"/>
      <c r="K319" s="234"/>
      <c r="L319" s="237"/>
      <c r="M319" s="237"/>
      <c r="N319" s="234"/>
      <c r="O319" s="239"/>
      <c r="P319" s="239"/>
      <c r="S319" s="406"/>
      <c r="T319" s="406"/>
    </row>
    <row r="320" spans="2:20" s="272" customFormat="1">
      <c r="B320" s="238"/>
      <c r="C320" s="238"/>
      <c r="D320" s="237"/>
      <c r="E320" s="237"/>
      <c r="F320" s="237"/>
      <c r="G320" s="234"/>
      <c r="H320" s="234"/>
      <c r="I320" s="234"/>
      <c r="J320" s="234"/>
      <c r="K320" s="234"/>
      <c r="L320" s="237"/>
      <c r="M320" s="237"/>
      <c r="N320" s="234"/>
      <c r="O320" s="239"/>
      <c r="P320" s="239"/>
      <c r="S320" s="406"/>
      <c r="T320" s="406"/>
    </row>
    <row r="321" spans="2:20" s="272" customFormat="1">
      <c r="B321" s="238"/>
      <c r="C321" s="238"/>
      <c r="D321" s="237"/>
      <c r="E321" s="237"/>
      <c r="F321" s="237"/>
      <c r="G321" s="234"/>
      <c r="H321" s="234"/>
      <c r="I321" s="234"/>
      <c r="J321" s="234"/>
      <c r="K321" s="234"/>
      <c r="L321" s="237"/>
      <c r="M321" s="237"/>
      <c r="N321" s="234"/>
      <c r="O321" s="239"/>
      <c r="P321" s="239"/>
      <c r="S321" s="406"/>
      <c r="T321" s="406"/>
    </row>
    <row r="322" spans="2:20" s="272" customFormat="1">
      <c r="B322" s="238"/>
      <c r="C322" s="238"/>
      <c r="D322" s="237"/>
      <c r="E322" s="237"/>
      <c r="F322" s="237"/>
      <c r="G322" s="234"/>
      <c r="H322" s="234"/>
      <c r="I322" s="234"/>
      <c r="J322" s="234"/>
      <c r="K322" s="234"/>
      <c r="L322" s="237"/>
      <c r="M322" s="237"/>
      <c r="N322" s="234"/>
      <c r="O322" s="239"/>
      <c r="P322" s="239"/>
      <c r="S322" s="406"/>
      <c r="T322" s="406"/>
    </row>
    <row r="323" spans="2:20" s="272" customFormat="1">
      <c r="B323" s="238"/>
      <c r="C323" s="238"/>
      <c r="D323" s="237"/>
      <c r="E323" s="237"/>
      <c r="F323" s="237"/>
      <c r="G323" s="234"/>
      <c r="H323" s="234"/>
      <c r="I323" s="234"/>
      <c r="J323" s="234"/>
      <c r="K323" s="234"/>
      <c r="L323" s="237"/>
      <c r="M323" s="237"/>
      <c r="N323" s="234"/>
      <c r="O323" s="239"/>
      <c r="P323" s="239"/>
      <c r="S323" s="406"/>
      <c r="T323" s="406"/>
    </row>
    <row r="324" spans="2:20" s="272" customFormat="1">
      <c r="B324" s="238"/>
      <c r="C324" s="238"/>
      <c r="D324" s="237"/>
      <c r="E324" s="237"/>
      <c r="F324" s="237"/>
      <c r="G324" s="234"/>
      <c r="H324" s="234"/>
      <c r="I324" s="234"/>
      <c r="J324" s="234"/>
      <c r="K324" s="234"/>
      <c r="L324" s="237"/>
      <c r="M324" s="237"/>
      <c r="N324" s="234"/>
      <c r="O324" s="239"/>
      <c r="P324" s="239"/>
      <c r="S324" s="406"/>
      <c r="T324" s="406"/>
    </row>
    <row r="325" spans="2:20" s="272" customFormat="1">
      <c r="B325" s="238"/>
      <c r="C325" s="238"/>
      <c r="D325" s="237"/>
      <c r="E325" s="237"/>
      <c r="F325" s="237"/>
      <c r="G325" s="234"/>
      <c r="H325" s="234"/>
      <c r="I325" s="234"/>
      <c r="J325" s="234"/>
      <c r="K325" s="234"/>
      <c r="L325" s="237"/>
      <c r="M325" s="237"/>
      <c r="N325" s="234"/>
      <c r="O325" s="239"/>
      <c r="P325" s="239"/>
      <c r="S325" s="406"/>
      <c r="T325" s="406"/>
    </row>
    <row r="326" spans="2:20" s="272" customFormat="1">
      <c r="B326" s="238"/>
      <c r="C326" s="238"/>
      <c r="D326" s="237"/>
      <c r="E326" s="237"/>
      <c r="F326" s="237"/>
      <c r="G326" s="234"/>
      <c r="H326" s="234"/>
      <c r="I326" s="234"/>
      <c r="J326" s="234"/>
      <c r="K326" s="234"/>
      <c r="L326" s="237"/>
      <c r="M326" s="237"/>
      <c r="N326" s="234"/>
      <c r="O326" s="239"/>
      <c r="P326" s="239"/>
      <c r="S326" s="406"/>
      <c r="T326" s="406"/>
    </row>
    <row r="327" spans="2:20" s="272" customFormat="1">
      <c r="B327" s="238"/>
      <c r="C327" s="238"/>
      <c r="D327" s="237"/>
      <c r="E327" s="237"/>
      <c r="F327" s="237"/>
      <c r="G327" s="234"/>
      <c r="H327" s="234"/>
      <c r="I327" s="234"/>
      <c r="J327" s="234"/>
      <c r="K327" s="234"/>
      <c r="L327" s="237"/>
      <c r="M327" s="237"/>
      <c r="N327" s="234"/>
      <c r="O327" s="239"/>
      <c r="P327" s="239"/>
      <c r="S327" s="406"/>
      <c r="T327" s="406"/>
    </row>
    <row r="328" spans="2:20" s="272" customFormat="1">
      <c r="B328" s="238"/>
      <c r="C328" s="238"/>
      <c r="D328" s="237"/>
      <c r="E328" s="237"/>
      <c r="F328" s="237"/>
      <c r="G328" s="234"/>
      <c r="H328" s="234"/>
      <c r="I328" s="234"/>
      <c r="J328" s="234"/>
      <c r="K328" s="234"/>
      <c r="L328" s="237"/>
      <c r="M328" s="237"/>
      <c r="N328" s="234"/>
      <c r="O328" s="239"/>
      <c r="P328" s="239"/>
      <c r="S328" s="406"/>
      <c r="T328" s="406"/>
    </row>
    <row r="329" spans="2:20" s="272" customFormat="1">
      <c r="B329" s="238"/>
      <c r="C329" s="238"/>
      <c r="D329" s="237"/>
      <c r="E329" s="237"/>
      <c r="F329" s="237"/>
      <c r="G329" s="234"/>
      <c r="H329" s="234"/>
      <c r="I329" s="234"/>
      <c r="J329" s="234"/>
      <c r="K329" s="234"/>
      <c r="L329" s="237"/>
      <c r="M329" s="237"/>
      <c r="N329" s="234"/>
      <c r="O329" s="239"/>
      <c r="P329" s="239"/>
      <c r="S329" s="406"/>
      <c r="T329" s="406"/>
    </row>
    <row r="330" spans="2:20" s="272" customFormat="1">
      <c r="B330" s="238"/>
      <c r="C330" s="238"/>
      <c r="D330" s="237"/>
      <c r="E330" s="237"/>
      <c r="F330" s="237"/>
      <c r="G330" s="234"/>
      <c r="H330" s="234"/>
      <c r="I330" s="234"/>
      <c r="J330" s="234"/>
      <c r="K330" s="234"/>
      <c r="L330" s="237"/>
      <c r="M330" s="237"/>
      <c r="N330" s="234"/>
      <c r="O330" s="239"/>
      <c r="P330" s="239"/>
      <c r="S330" s="406"/>
      <c r="T330" s="406"/>
    </row>
    <row r="331" spans="2:20" s="272" customFormat="1">
      <c r="B331" s="238"/>
      <c r="C331" s="238"/>
      <c r="D331" s="237"/>
      <c r="E331" s="237"/>
      <c r="F331" s="237"/>
      <c r="G331" s="234"/>
      <c r="H331" s="234"/>
      <c r="I331" s="234"/>
      <c r="J331" s="234"/>
      <c r="K331" s="234"/>
      <c r="L331" s="237"/>
      <c r="M331" s="237"/>
      <c r="N331" s="234"/>
      <c r="O331" s="239"/>
      <c r="P331" s="239"/>
      <c r="S331" s="406"/>
      <c r="T331" s="406"/>
    </row>
    <row r="332" spans="2:20" s="272" customFormat="1">
      <c r="B332" s="238"/>
      <c r="C332" s="238"/>
      <c r="D332" s="237"/>
      <c r="E332" s="237"/>
      <c r="F332" s="237"/>
      <c r="G332" s="234"/>
      <c r="H332" s="234"/>
      <c r="I332" s="234"/>
      <c r="J332" s="234"/>
      <c r="K332" s="234"/>
      <c r="L332" s="237"/>
      <c r="M332" s="237"/>
      <c r="N332" s="234"/>
      <c r="O332" s="239"/>
      <c r="P332" s="239"/>
      <c r="S332" s="406"/>
      <c r="T332" s="406"/>
    </row>
    <row r="333" spans="2:20" s="272" customFormat="1">
      <c r="B333" s="238"/>
      <c r="C333" s="238"/>
      <c r="D333" s="237"/>
      <c r="E333" s="237"/>
      <c r="F333" s="237"/>
      <c r="G333" s="234"/>
      <c r="H333" s="234"/>
      <c r="I333" s="234"/>
      <c r="J333" s="234"/>
      <c r="K333" s="234"/>
      <c r="L333" s="237"/>
      <c r="M333" s="237"/>
      <c r="N333" s="234"/>
      <c r="O333" s="239"/>
      <c r="P333" s="239"/>
      <c r="S333" s="406"/>
      <c r="T333" s="406"/>
    </row>
    <row r="334" spans="2:20" s="272" customFormat="1">
      <c r="B334" s="238"/>
      <c r="C334" s="238"/>
      <c r="D334" s="237"/>
      <c r="E334" s="237"/>
      <c r="F334" s="237"/>
      <c r="G334" s="234"/>
      <c r="H334" s="234"/>
      <c r="I334" s="234"/>
      <c r="J334" s="234"/>
      <c r="K334" s="234"/>
      <c r="L334" s="237"/>
      <c r="M334" s="237"/>
      <c r="N334" s="234"/>
      <c r="O334" s="239"/>
      <c r="P334" s="239"/>
      <c r="S334" s="406"/>
      <c r="T334" s="406"/>
    </row>
    <row r="335" spans="2:20" s="272" customFormat="1">
      <c r="B335" s="238"/>
      <c r="C335" s="238"/>
      <c r="D335" s="237"/>
      <c r="E335" s="237"/>
      <c r="F335" s="237"/>
      <c r="G335" s="234"/>
      <c r="H335" s="234"/>
      <c r="I335" s="234"/>
      <c r="J335" s="234"/>
      <c r="K335" s="234"/>
      <c r="L335" s="237"/>
      <c r="M335" s="237"/>
      <c r="N335" s="234"/>
      <c r="O335" s="239"/>
      <c r="P335" s="239"/>
      <c r="S335" s="406"/>
      <c r="T335" s="406"/>
    </row>
    <row r="336" spans="2:20" s="272" customFormat="1">
      <c r="B336" s="238"/>
      <c r="C336" s="238"/>
      <c r="D336" s="237"/>
      <c r="E336" s="237"/>
      <c r="F336" s="237"/>
      <c r="G336" s="234"/>
      <c r="H336" s="234"/>
      <c r="I336" s="234"/>
      <c r="J336" s="234"/>
      <c r="K336" s="234"/>
      <c r="L336" s="237"/>
      <c r="M336" s="237"/>
      <c r="N336" s="234"/>
      <c r="O336" s="239"/>
      <c r="P336" s="239"/>
      <c r="S336" s="406"/>
      <c r="T336" s="406"/>
    </row>
    <row r="337" spans="2:20" s="272" customFormat="1">
      <c r="B337" s="238"/>
      <c r="C337" s="238"/>
      <c r="D337" s="237"/>
      <c r="E337" s="237"/>
      <c r="F337" s="237"/>
      <c r="G337" s="234"/>
      <c r="H337" s="234"/>
      <c r="I337" s="234"/>
      <c r="J337" s="234"/>
      <c r="K337" s="234"/>
      <c r="L337" s="237"/>
      <c r="M337" s="237"/>
      <c r="N337" s="234"/>
      <c r="O337" s="239"/>
      <c r="P337" s="239"/>
      <c r="S337" s="406"/>
      <c r="T337" s="406"/>
    </row>
    <row r="338" spans="2:20" s="272" customFormat="1">
      <c r="B338" s="238"/>
      <c r="C338" s="238"/>
      <c r="D338" s="237"/>
      <c r="E338" s="237"/>
      <c r="F338" s="237"/>
      <c r="G338" s="234"/>
      <c r="H338" s="234"/>
      <c r="I338" s="234"/>
      <c r="J338" s="234"/>
      <c r="K338" s="234"/>
      <c r="L338" s="237"/>
      <c r="M338" s="237"/>
      <c r="N338" s="234"/>
      <c r="O338" s="239"/>
      <c r="P338" s="239"/>
      <c r="S338" s="406"/>
      <c r="T338" s="406"/>
    </row>
    <row r="339" spans="2:20" s="272" customFormat="1">
      <c r="B339" s="238"/>
      <c r="C339" s="238"/>
      <c r="D339" s="237"/>
      <c r="E339" s="237"/>
      <c r="F339" s="237"/>
      <c r="G339" s="234"/>
      <c r="H339" s="234"/>
      <c r="I339" s="234"/>
      <c r="J339" s="234"/>
      <c r="K339" s="234"/>
      <c r="L339" s="237"/>
      <c r="M339" s="237"/>
      <c r="N339" s="234"/>
      <c r="O339" s="239"/>
      <c r="P339" s="239"/>
      <c r="S339" s="406"/>
      <c r="T339" s="406"/>
    </row>
    <row r="340" spans="2:20" s="272" customFormat="1">
      <c r="B340" s="238"/>
      <c r="C340" s="238"/>
      <c r="D340" s="237"/>
      <c r="E340" s="237"/>
      <c r="F340" s="237"/>
      <c r="G340" s="234"/>
      <c r="H340" s="234"/>
      <c r="I340" s="234"/>
      <c r="J340" s="234"/>
      <c r="K340" s="234"/>
      <c r="L340" s="237"/>
      <c r="M340" s="237"/>
      <c r="N340" s="234"/>
      <c r="O340" s="239"/>
      <c r="P340" s="239"/>
      <c r="S340" s="406"/>
      <c r="T340" s="406"/>
    </row>
    <row r="341" spans="2:20" s="272" customFormat="1">
      <c r="B341" s="238"/>
      <c r="C341" s="238"/>
      <c r="D341" s="237"/>
      <c r="E341" s="237"/>
      <c r="F341" s="237"/>
      <c r="G341" s="234"/>
      <c r="H341" s="234"/>
      <c r="I341" s="234"/>
      <c r="J341" s="234"/>
      <c r="K341" s="234"/>
      <c r="L341" s="237"/>
      <c r="M341" s="237"/>
      <c r="N341" s="234"/>
      <c r="O341" s="239"/>
      <c r="P341" s="239"/>
      <c r="S341" s="406"/>
      <c r="T341" s="406"/>
    </row>
    <row r="342" spans="2:20" s="272" customFormat="1">
      <c r="B342" s="238"/>
      <c r="C342" s="238"/>
      <c r="D342" s="237"/>
      <c r="E342" s="237"/>
      <c r="F342" s="237"/>
      <c r="G342" s="234"/>
      <c r="H342" s="234"/>
      <c r="I342" s="234"/>
      <c r="J342" s="234"/>
      <c r="K342" s="234"/>
      <c r="L342" s="237"/>
      <c r="M342" s="237"/>
      <c r="N342" s="234"/>
      <c r="O342" s="239"/>
      <c r="P342" s="239"/>
      <c r="S342" s="406"/>
      <c r="T342" s="406"/>
    </row>
    <row r="343" spans="2:20" s="272" customFormat="1">
      <c r="B343" s="238"/>
      <c r="C343" s="238"/>
      <c r="D343" s="237"/>
      <c r="E343" s="237"/>
      <c r="F343" s="237"/>
      <c r="G343" s="234"/>
      <c r="H343" s="234"/>
      <c r="I343" s="234"/>
      <c r="J343" s="234"/>
      <c r="K343" s="234"/>
      <c r="L343" s="237"/>
      <c r="M343" s="237"/>
      <c r="N343" s="234"/>
      <c r="O343" s="239"/>
      <c r="P343" s="239"/>
      <c r="S343" s="406"/>
      <c r="T343" s="406"/>
    </row>
    <row r="344" spans="2:20" s="272" customFormat="1">
      <c r="B344" s="238"/>
      <c r="C344" s="238"/>
      <c r="D344" s="237"/>
      <c r="E344" s="237"/>
      <c r="F344" s="237"/>
      <c r="G344" s="234"/>
      <c r="H344" s="234"/>
      <c r="I344" s="234"/>
      <c r="J344" s="234"/>
      <c r="K344" s="234"/>
      <c r="L344" s="237"/>
      <c r="M344" s="237"/>
      <c r="N344" s="234"/>
      <c r="O344" s="239"/>
      <c r="P344" s="239"/>
      <c r="S344" s="406"/>
      <c r="T344" s="406"/>
    </row>
    <row r="345" spans="2:20" s="272" customFormat="1">
      <c r="B345" s="238"/>
      <c r="C345" s="238"/>
      <c r="D345" s="237"/>
      <c r="E345" s="237"/>
      <c r="F345" s="237"/>
      <c r="G345" s="234"/>
      <c r="H345" s="234"/>
      <c r="I345" s="234"/>
      <c r="J345" s="234"/>
      <c r="K345" s="234"/>
      <c r="L345" s="237"/>
      <c r="M345" s="237"/>
      <c r="N345" s="234"/>
      <c r="O345" s="239"/>
      <c r="P345" s="239"/>
      <c r="S345" s="406"/>
      <c r="T345" s="406"/>
    </row>
    <row r="346" spans="2:20" s="272" customFormat="1">
      <c r="B346" s="238"/>
      <c r="C346" s="238"/>
      <c r="D346" s="237"/>
      <c r="E346" s="237"/>
      <c r="F346" s="237"/>
      <c r="G346" s="234"/>
      <c r="H346" s="234"/>
      <c r="I346" s="234"/>
      <c r="J346" s="234"/>
      <c r="K346" s="234"/>
      <c r="L346" s="237"/>
      <c r="M346" s="237"/>
      <c r="N346" s="234"/>
      <c r="O346" s="239"/>
      <c r="P346" s="239"/>
      <c r="S346" s="406"/>
      <c r="T346" s="406"/>
    </row>
    <row r="347" spans="2:20" s="272" customFormat="1">
      <c r="B347" s="238"/>
      <c r="C347" s="238"/>
      <c r="D347" s="237"/>
      <c r="E347" s="237"/>
      <c r="F347" s="237"/>
      <c r="G347" s="234"/>
      <c r="H347" s="234"/>
      <c r="I347" s="234"/>
      <c r="J347" s="234"/>
      <c r="K347" s="234"/>
      <c r="L347" s="237"/>
      <c r="M347" s="237"/>
      <c r="N347" s="234"/>
      <c r="O347" s="239"/>
      <c r="P347" s="239"/>
      <c r="S347" s="406"/>
      <c r="T347" s="406"/>
    </row>
    <row r="348" spans="2:20" s="272" customFormat="1">
      <c r="B348" s="238"/>
      <c r="C348" s="238"/>
      <c r="D348" s="237"/>
      <c r="E348" s="237"/>
      <c r="F348" s="237"/>
      <c r="G348" s="234"/>
      <c r="H348" s="234"/>
      <c r="I348" s="234"/>
      <c r="J348" s="234"/>
      <c r="K348" s="234"/>
      <c r="L348" s="237"/>
      <c r="M348" s="237"/>
      <c r="N348" s="234"/>
      <c r="O348" s="239"/>
      <c r="P348" s="239"/>
      <c r="S348" s="406"/>
      <c r="T348" s="406"/>
    </row>
    <row r="349" spans="2:20" s="272" customFormat="1">
      <c r="B349" s="238"/>
      <c r="C349" s="238"/>
      <c r="D349" s="237"/>
      <c r="E349" s="237"/>
      <c r="F349" s="237"/>
      <c r="G349" s="234"/>
      <c r="H349" s="234"/>
      <c r="I349" s="234"/>
      <c r="J349" s="234"/>
      <c r="K349" s="234"/>
      <c r="L349" s="237"/>
      <c r="M349" s="237"/>
      <c r="N349" s="234"/>
      <c r="O349" s="239"/>
      <c r="P349" s="239"/>
      <c r="S349" s="406"/>
      <c r="T349" s="406"/>
    </row>
    <row r="350" spans="2:20" s="272" customFormat="1">
      <c r="B350" s="238"/>
      <c r="C350" s="238"/>
      <c r="D350" s="237"/>
      <c r="E350" s="237"/>
      <c r="F350" s="237"/>
      <c r="G350" s="234"/>
      <c r="H350" s="234"/>
      <c r="I350" s="234"/>
      <c r="J350" s="234"/>
      <c r="K350" s="234"/>
      <c r="L350" s="237"/>
      <c r="M350" s="237"/>
      <c r="N350" s="234"/>
      <c r="O350" s="239"/>
      <c r="P350" s="239"/>
      <c r="S350" s="406"/>
      <c r="T350" s="406"/>
    </row>
    <row r="351" spans="2:20" s="272" customFormat="1">
      <c r="B351" s="238"/>
      <c r="C351" s="238"/>
      <c r="D351" s="237"/>
      <c r="E351" s="237"/>
      <c r="F351" s="237"/>
      <c r="G351" s="234"/>
      <c r="H351" s="234"/>
      <c r="I351" s="234"/>
      <c r="J351" s="234"/>
      <c r="K351" s="234"/>
      <c r="L351" s="237"/>
      <c r="M351" s="237"/>
      <c r="N351" s="234"/>
      <c r="O351" s="239"/>
      <c r="P351" s="239"/>
      <c r="S351" s="406"/>
      <c r="T351" s="406"/>
    </row>
    <row r="352" spans="2:20" s="272" customFormat="1">
      <c r="B352" s="238"/>
      <c r="C352" s="238"/>
      <c r="D352" s="237"/>
      <c r="E352" s="237"/>
      <c r="F352" s="237"/>
      <c r="G352" s="234"/>
      <c r="H352" s="234"/>
      <c r="I352" s="234"/>
      <c r="J352" s="234"/>
      <c r="K352" s="234"/>
      <c r="L352" s="237"/>
      <c r="M352" s="237"/>
      <c r="N352" s="234"/>
      <c r="O352" s="239"/>
      <c r="P352" s="239"/>
      <c r="S352" s="406"/>
      <c r="T352" s="406"/>
    </row>
    <row r="353" spans="2:20" s="272" customFormat="1">
      <c r="B353" s="238"/>
      <c r="C353" s="238"/>
      <c r="D353" s="237"/>
      <c r="E353" s="237"/>
      <c r="F353" s="237"/>
      <c r="G353" s="234"/>
      <c r="H353" s="234"/>
      <c r="I353" s="234"/>
      <c r="J353" s="234"/>
      <c r="K353" s="234"/>
      <c r="L353" s="237"/>
      <c r="M353" s="237"/>
      <c r="N353" s="234"/>
      <c r="O353" s="239"/>
      <c r="P353" s="239"/>
      <c r="S353" s="406"/>
      <c r="T353" s="406"/>
    </row>
    <row r="354" spans="2:20" s="272" customFormat="1">
      <c r="B354" s="238"/>
      <c r="C354" s="238"/>
      <c r="D354" s="237"/>
      <c r="E354" s="237"/>
      <c r="F354" s="237"/>
      <c r="G354" s="234"/>
      <c r="H354" s="234"/>
      <c r="I354" s="234"/>
      <c r="J354" s="234"/>
      <c r="K354" s="234"/>
      <c r="L354" s="237"/>
      <c r="M354" s="237"/>
      <c r="N354" s="234"/>
      <c r="O354" s="239"/>
      <c r="P354" s="239"/>
      <c r="S354" s="406"/>
      <c r="T354" s="406"/>
    </row>
    <row r="355" spans="2:20" s="272" customFormat="1">
      <c r="B355" s="238"/>
      <c r="C355" s="238"/>
      <c r="D355" s="237"/>
      <c r="E355" s="237"/>
      <c r="F355" s="237"/>
      <c r="G355" s="234"/>
      <c r="H355" s="234"/>
      <c r="I355" s="234"/>
      <c r="J355" s="234"/>
      <c r="K355" s="234"/>
      <c r="L355" s="237"/>
      <c r="M355" s="237"/>
      <c r="N355" s="234"/>
      <c r="O355" s="239"/>
      <c r="P355" s="239"/>
      <c r="S355" s="406"/>
      <c r="T355" s="406"/>
    </row>
    <row r="356" spans="2:20" s="272" customFormat="1">
      <c r="B356" s="238"/>
      <c r="C356" s="238"/>
      <c r="D356" s="237"/>
      <c r="E356" s="237"/>
      <c r="F356" s="237"/>
      <c r="G356" s="234"/>
      <c r="H356" s="234"/>
      <c r="I356" s="234"/>
      <c r="J356" s="234"/>
      <c r="K356" s="234"/>
      <c r="L356" s="237"/>
      <c r="M356" s="237"/>
      <c r="N356" s="234"/>
      <c r="O356" s="239"/>
      <c r="P356" s="239"/>
      <c r="S356" s="406"/>
      <c r="T356" s="406"/>
    </row>
    <row r="357" spans="2:20" s="272" customFormat="1">
      <c r="B357" s="238"/>
      <c r="C357" s="238"/>
      <c r="D357" s="237"/>
      <c r="E357" s="237"/>
      <c r="F357" s="237"/>
      <c r="G357" s="234"/>
      <c r="H357" s="234"/>
      <c r="I357" s="234"/>
      <c r="J357" s="234"/>
      <c r="K357" s="234"/>
      <c r="L357" s="237"/>
      <c r="M357" s="237"/>
      <c r="N357" s="234"/>
      <c r="O357" s="239"/>
      <c r="P357" s="239"/>
      <c r="S357" s="406"/>
      <c r="T357" s="406"/>
    </row>
    <row r="358" spans="2:20" s="272" customFormat="1">
      <c r="B358" s="238"/>
      <c r="C358" s="238"/>
      <c r="D358" s="237"/>
      <c r="E358" s="237"/>
      <c r="F358" s="237"/>
      <c r="G358" s="234"/>
      <c r="H358" s="234"/>
      <c r="I358" s="234"/>
      <c r="J358" s="234"/>
      <c r="K358" s="234"/>
      <c r="L358" s="237"/>
      <c r="M358" s="237"/>
      <c r="N358" s="234"/>
      <c r="O358" s="239"/>
      <c r="P358" s="239"/>
      <c r="S358" s="406"/>
      <c r="T358" s="406"/>
    </row>
    <row r="359" spans="2:20" s="272" customFormat="1">
      <c r="B359" s="238"/>
      <c r="C359" s="238"/>
      <c r="D359" s="237"/>
      <c r="E359" s="237"/>
      <c r="F359" s="237"/>
      <c r="G359" s="234"/>
      <c r="H359" s="234"/>
      <c r="I359" s="234"/>
      <c r="J359" s="234"/>
      <c r="K359" s="234"/>
      <c r="L359" s="237"/>
      <c r="M359" s="237"/>
      <c r="N359" s="234"/>
      <c r="O359" s="239"/>
      <c r="P359" s="239"/>
      <c r="S359" s="406"/>
      <c r="T359" s="406"/>
    </row>
    <row r="360" spans="2:20" s="272" customFormat="1">
      <c r="B360" s="238"/>
      <c r="C360" s="238"/>
      <c r="D360" s="237"/>
      <c r="E360" s="237"/>
      <c r="F360" s="237"/>
      <c r="G360" s="234"/>
      <c r="H360" s="234"/>
      <c r="I360" s="234"/>
      <c r="J360" s="234"/>
      <c r="K360" s="234"/>
      <c r="L360" s="237"/>
      <c r="M360" s="237"/>
      <c r="N360" s="234"/>
      <c r="O360" s="239"/>
      <c r="P360" s="239"/>
      <c r="S360" s="406"/>
      <c r="T360" s="406"/>
    </row>
    <row r="361" spans="2:20" s="272" customFormat="1">
      <c r="B361" s="238"/>
      <c r="C361" s="238"/>
      <c r="D361" s="237"/>
      <c r="E361" s="237"/>
      <c r="F361" s="237"/>
      <c r="G361" s="234"/>
      <c r="H361" s="234"/>
      <c r="I361" s="234"/>
      <c r="J361" s="234"/>
      <c r="K361" s="234"/>
      <c r="L361" s="237"/>
      <c r="M361" s="237"/>
      <c r="N361" s="234"/>
      <c r="O361" s="239"/>
      <c r="P361" s="239"/>
      <c r="S361" s="406"/>
      <c r="T361" s="406"/>
    </row>
    <row r="362" spans="2:20" s="272" customFormat="1">
      <c r="B362" s="238"/>
      <c r="C362" s="238"/>
      <c r="D362" s="237"/>
      <c r="E362" s="237"/>
      <c r="F362" s="237"/>
      <c r="G362" s="234"/>
      <c r="H362" s="234"/>
      <c r="I362" s="234"/>
      <c r="J362" s="234"/>
      <c r="K362" s="234"/>
      <c r="L362" s="237"/>
      <c r="M362" s="237"/>
      <c r="N362" s="234"/>
      <c r="O362" s="239"/>
      <c r="P362" s="239"/>
      <c r="S362" s="406"/>
      <c r="T362" s="406"/>
    </row>
    <row r="363" spans="2:20" s="272" customFormat="1">
      <c r="B363" s="238"/>
      <c r="C363" s="238"/>
      <c r="D363" s="237"/>
      <c r="E363" s="237"/>
      <c r="F363" s="237"/>
      <c r="G363" s="234"/>
      <c r="H363" s="234"/>
      <c r="I363" s="234"/>
      <c r="J363" s="234"/>
      <c r="K363" s="234"/>
      <c r="L363" s="237"/>
      <c r="M363" s="237"/>
      <c r="N363" s="234"/>
      <c r="O363" s="239"/>
      <c r="P363" s="239"/>
      <c r="S363" s="406"/>
      <c r="T363" s="406"/>
    </row>
    <row r="364" spans="2:20" s="272" customFormat="1">
      <c r="B364" s="238"/>
      <c r="C364" s="238"/>
      <c r="D364" s="237"/>
      <c r="E364" s="237"/>
      <c r="F364" s="237"/>
      <c r="G364" s="234"/>
      <c r="H364" s="234"/>
      <c r="I364" s="234"/>
      <c r="J364" s="234"/>
      <c r="K364" s="234"/>
      <c r="L364" s="237"/>
      <c r="M364" s="237"/>
      <c r="N364" s="234"/>
      <c r="O364" s="239"/>
      <c r="P364" s="239"/>
      <c r="S364" s="406"/>
      <c r="T364" s="406"/>
    </row>
    <row r="365" spans="2:20" s="272" customFormat="1">
      <c r="B365" s="238"/>
      <c r="C365" s="238"/>
      <c r="D365" s="237"/>
      <c r="E365" s="237"/>
      <c r="F365" s="237"/>
      <c r="G365" s="234"/>
      <c r="H365" s="234"/>
      <c r="I365" s="234"/>
      <c r="J365" s="234"/>
      <c r="K365" s="234"/>
      <c r="L365" s="237"/>
      <c r="M365" s="237"/>
      <c r="N365" s="234"/>
      <c r="O365" s="239"/>
      <c r="P365" s="239"/>
      <c r="S365" s="406"/>
      <c r="T365" s="406"/>
    </row>
    <row r="366" spans="2:20" s="272" customFormat="1">
      <c r="B366" s="238"/>
      <c r="C366" s="238"/>
      <c r="D366" s="237"/>
      <c r="E366" s="237"/>
      <c r="F366" s="237"/>
      <c r="G366" s="234"/>
      <c r="H366" s="234"/>
      <c r="I366" s="234"/>
      <c r="J366" s="234"/>
      <c r="K366" s="234"/>
      <c r="L366" s="237"/>
      <c r="M366" s="237"/>
      <c r="N366" s="234"/>
      <c r="O366" s="239"/>
      <c r="P366" s="239"/>
      <c r="S366" s="406"/>
      <c r="T366" s="406"/>
    </row>
    <row r="367" spans="2:20" s="272" customFormat="1">
      <c r="B367" s="238"/>
      <c r="C367" s="238"/>
      <c r="D367" s="237"/>
      <c r="E367" s="237"/>
      <c r="F367" s="237"/>
      <c r="G367" s="234"/>
      <c r="H367" s="234"/>
      <c r="I367" s="234"/>
      <c r="J367" s="234"/>
      <c r="K367" s="234"/>
      <c r="L367" s="237"/>
      <c r="M367" s="237"/>
      <c r="N367" s="234"/>
      <c r="O367" s="239"/>
      <c r="P367" s="239"/>
      <c r="S367" s="406"/>
      <c r="T367" s="406"/>
    </row>
    <row r="368" spans="2:20" s="272" customFormat="1">
      <c r="B368" s="238"/>
      <c r="C368" s="238"/>
      <c r="D368" s="237"/>
      <c r="E368" s="237"/>
      <c r="F368" s="237"/>
      <c r="G368" s="234"/>
      <c r="H368" s="234"/>
      <c r="I368" s="234"/>
      <c r="J368" s="234"/>
      <c r="K368" s="234"/>
      <c r="L368" s="237"/>
      <c r="M368" s="237"/>
      <c r="N368" s="234"/>
      <c r="O368" s="239"/>
      <c r="P368" s="239"/>
      <c r="S368" s="406"/>
      <c r="T368" s="406"/>
    </row>
    <row r="369" spans="2:20" s="272" customFormat="1">
      <c r="B369" s="238"/>
      <c r="C369" s="238"/>
      <c r="D369" s="237"/>
      <c r="E369" s="237"/>
      <c r="F369" s="237"/>
      <c r="G369" s="234"/>
      <c r="H369" s="234"/>
      <c r="I369" s="234"/>
      <c r="J369" s="234"/>
      <c r="K369" s="234"/>
      <c r="L369" s="237"/>
      <c r="M369" s="237"/>
      <c r="N369" s="234"/>
      <c r="O369" s="239"/>
      <c r="P369" s="239"/>
      <c r="S369" s="406"/>
      <c r="T369" s="406"/>
    </row>
    <row r="370" spans="2:20" s="272" customFormat="1">
      <c r="B370" s="238"/>
      <c r="C370" s="238"/>
      <c r="D370" s="237"/>
      <c r="E370" s="237"/>
      <c r="F370" s="237"/>
      <c r="G370" s="234"/>
      <c r="H370" s="234"/>
      <c r="I370" s="234"/>
      <c r="J370" s="234"/>
      <c r="K370" s="234"/>
      <c r="L370" s="237"/>
      <c r="M370" s="237"/>
      <c r="N370" s="234"/>
      <c r="O370" s="239"/>
      <c r="P370" s="239"/>
      <c r="S370" s="406"/>
      <c r="T370" s="406"/>
    </row>
    <row r="371" spans="2:20" s="272" customFormat="1">
      <c r="B371" s="238"/>
      <c r="C371" s="238"/>
      <c r="D371" s="237"/>
      <c r="E371" s="237"/>
      <c r="F371" s="237"/>
      <c r="G371" s="234"/>
      <c r="H371" s="234"/>
      <c r="I371" s="234"/>
      <c r="J371" s="234"/>
      <c r="K371" s="234"/>
      <c r="L371" s="237"/>
      <c r="M371" s="237"/>
      <c r="N371" s="234"/>
      <c r="O371" s="239"/>
      <c r="P371" s="239"/>
      <c r="S371" s="406"/>
      <c r="T371" s="406"/>
    </row>
    <row r="372" spans="2:20" s="272" customFormat="1">
      <c r="B372" s="238"/>
      <c r="C372" s="238"/>
      <c r="D372" s="237"/>
      <c r="E372" s="237"/>
      <c r="F372" s="237"/>
      <c r="G372" s="234"/>
      <c r="H372" s="234"/>
      <c r="I372" s="234"/>
      <c r="J372" s="234"/>
      <c r="K372" s="234"/>
      <c r="L372" s="237"/>
      <c r="M372" s="237"/>
      <c r="N372" s="234"/>
      <c r="O372" s="239"/>
      <c r="P372" s="239"/>
      <c r="S372" s="406"/>
      <c r="T372" s="406"/>
    </row>
    <row r="373" spans="2:20" s="272" customFormat="1">
      <c r="B373" s="238"/>
      <c r="C373" s="238"/>
      <c r="D373" s="237"/>
      <c r="E373" s="237"/>
      <c r="F373" s="237"/>
      <c r="G373" s="234"/>
      <c r="H373" s="234"/>
      <c r="I373" s="234"/>
      <c r="J373" s="234"/>
      <c r="K373" s="234"/>
      <c r="L373" s="237"/>
      <c r="M373" s="237"/>
      <c r="N373" s="234"/>
      <c r="O373" s="239"/>
      <c r="P373" s="239"/>
      <c r="S373" s="406"/>
      <c r="T373" s="406"/>
    </row>
    <row r="374" spans="2:20" s="272" customFormat="1">
      <c r="B374" s="238"/>
      <c r="C374" s="238"/>
      <c r="D374" s="237"/>
      <c r="E374" s="237"/>
      <c r="F374" s="237"/>
      <c r="G374" s="234"/>
      <c r="H374" s="234"/>
      <c r="I374" s="234"/>
      <c r="J374" s="234"/>
      <c r="K374" s="234"/>
      <c r="L374" s="237"/>
      <c r="M374" s="237"/>
      <c r="N374" s="234"/>
      <c r="O374" s="239"/>
      <c r="P374" s="239"/>
      <c r="S374" s="406"/>
      <c r="T374" s="406"/>
    </row>
    <row r="375" spans="2:20" s="272" customFormat="1">
      <c r="B375" s="238"/>
      <c r="C375" s="238"/>
      <c r="D375" s="237"/>
      <c r="E375" s="237"/>
      <c r="F375" s="237"/>
      <c r="G375" s="234"/>
      <c r="H375" s="234"/>
      <c r="I375" s="234"/>
      <c r="J375" s="234"/>
      <c r="K375" s="234"/>
      <c r="L375" s="237"/>
      <c r="M375" s="237"/>
      <c r="N375" s="234"/>
      <c r="O375" s="239"/>
      <c r="P375" s="239"/>
      <c r="S375" s="406"/>
      <c r="T375" s="406"/>
    </row>
    <row r="376" spans="2:20" s="272" customFormat="1">
      <c r="B376" s="238"/>
      <c r="C376" s="238"/>
      <c r="D376" s="237"/>
      <c r="E376" s="237"/>
      <c r="F376" s="237"/>
      <c r="G376" s="234"/>
      <c r="H376" s="234"/>
      <c r="I376" s="234"/>
      <c r="J376" s="234"/>
      <c r="K376" s="234"/>
      <c r="L376" s="237"/>
      <c r="M376" s="237"/>
      <c r="N376" s="234"/>
      <c r="O376" s="239"/>
      <c r="P376" s="239"/>
      <c r="S376" s="406"/>
      <c r="T376" s="406"/>
    </row>
    <row r="377" spans="2:20" s="272" customFormat="1">
      <c r="B377" s="238"/>
      <c r="C377" s="238"/>
      <c r="D377" s="237"/>
      <c r="E377" s="237"/>
      <c r="F377" s="237"/>
      <c r="G377" s="234"/>
      <c r="H377" s="234"/>
      <c r="I377" s="234"/>
      <c r="J377" s="234"/>
      <c r="K377" s="234"/>
      <c r="L377" s="237"/>
      <c r="M377" s="237"/>
      <c r="N377" s="234"/>
      <c r="O377" s="239"/>
      <c r="P377" s="239"/>
      <c r="S377" s="406"/>
      <c r="T377" s="406"/>
    </row>
    <row r="378" spans="2:20" s="272" customFormat="1">
      <c r="B378" s="238"/>
      <c r="C378" s="238"/>
      <c r="D378" s="237"/>
      <c r="E378" s="237"/>
      <c r="F378" s="237"/>
      <c r="G378" s="234"/>
      <c r="H378" s="234"/>
      <c r="I378" s="234"/>
      <c r="J378" s="234"/>
      <c r="K378" s="234"/>
      <c r="L378" s="237"/>
      <c r="M378" s="237"/>
      <c r="N378" s="234"/>
      <c r="O378" s="239"/>
      <c r="P378" s="239"/>
      <c r="S378" s="406"/>
      <c r="T378" s="406"/>
    </row>
    <row r="379" spans="2:20" s="272" customFormat="1">
      <c r="B379" s="238"/>
      <c r="C379" s="238"/>
      <c r="D379" s="237"/>
      <c r="E379" s="237"/>
      <c r="F379" s="237"/>
      <c r="G379" s="234"/>
      <c r="H379" s="234"/>
      <c r="I379" s="234"/>
      <c r="J379" s="234"/>
      <c r="K379" s="234"/>
      <c r="L379" s="237"/>
      <c r="M379" s="237"/>
      <c r="N379" s="234"/>
      <c r="O379" s="239"/>
      <c r="P379" s="239"/>
      <c r="S379" s="406"/>
      <c r="T379" s="406"/>
    </row>
    <row r="380" spans="2:20" s="272" customFormat="1">
      <c r="B380" s="238"/>
      <c r="C380" s="238"/>
      <c r="D380" s="237"/>
      <c r="E380" s="237"/>
      <c r="F380" s="237"/>
      <c r="G380" s="234"/>
      <c r="H380" s="234"/>
      <c r="I380" s="234"/>
      <c r="J380" s="234"/>
      <c r="K380" s="234"/>
      <c r="L380" s="237"/>
      <c r="M380" s="237"/>
      <c r="N380" s="234"/>
      <c r="O380" s="239"/>
      <c r="P380" s="239"/>
      <c r="S380" s="406"/>
      <c r="T380" s="406"/>
    </row>
    <row r="381" spans="2:20" s="272" customFormat="1">
      <c r="B381" s="238"/>
      <c r="C381" s="238"/>
      <c r="D381" s="237"/>
      <c r="E381" s="237"/>
      <c r="F381" s="237"/>
      <c r="G381" s="234"/>
      <c r="H381" s="234"/>
      <c r="I381" s="234"/>
      <c r="J381" s="234"/>
      <c r="K381" s="234"/>
      <c r="L381" s="237"/>
      <c r="M381" s="237"/>
      <c r="N381" s="234"/>
      <c r="O381" s="239"/>
      <c r="P381" s="239"/>
      <c r="S381" s="406"/>
      <c r="T381" s="406"/>
    </row>
  </sheetData>
  <mergeCells count="18">
    <mergeCell ref="B9:C9"/>
    <mergeCell ref="G5:H5"/>
    <mergeCell ref="I5:M5"/>
    <mergeCell ref="B2:E2"/>
    <mergeCell ref="G2:H2"/>
    <mergeCell ref="I2:M2"/>
    <mergeCell ref="N2:O2"/>
    <mergeCell ref="G3:H3"/>
    <mergeCell ref="I3:M3"/>
    <mergeCell ref="N3:O3"/>
    <mergeCell ref="G4:H4"/>
    <mergeCell ref="I4:M4"/>
    <mergeCell ref="N4:O4"/>
    <mergeCell ref="N5:O5"/>
    <mergeCell ref="G6:H6"/>
    <mergeCell ref="I6:M6"/>
    <mergeCell ref="N6:O6"/>
    <mergeCell ref="S7:S8"/>
  </mergeCells>
  <phoneticPr fontId="8" type="noConversion"/>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5CA74-40A1-1144-BDF7-31D07F88BA9A}">
  <dimension ref="A1:AP380"/>
  <sheetViews>
    <sheetView topLeftCell="C1" zoomScale="130" zoomScaleNormal="130" workbookViewId="0">
      <pane ySplit="7" topLeftCell="A22" activePane="bottomLeft" state="frozen"/>
      <selection sqref="A1:XFD1048576"/>
      <selection pane="bottomLeft" activeCell="N39" sqref="N39"/>
    </sheetView>
  </sheetViews>
  <sheetFormatPr baseColWidth="10" defaultColWidth="10.83203125" defaultRowHeight="15"/>
  <cols>
    <col min="1" max="1" width="1.5" style="272" customWidth="1"/>
    <col min="2" max="3" width="5.6640625" style="449" customWidth="1"/>
    <col min="4" max="5" width="10.83203125" style="450"/>
    <col min="6" max="6" width="4.5" style="450" customWidth="1"/>
    <col min="7" max="7" width="4.33203125" style="267" customWidth="1"/>
    <col min="8" max="8" width="10.83203125" style="267" customWidth="1"/>
    <col min="9" max="9" width="10.83203125" style="267"/>
    <col min="10" max="10" width="4.5" style="267" customWidth="1"/>
    <col min="11" max="11" width="4" style="267" customWidth="1"/>
    <col min="12" max="13" width="10.83203125" style="450"/>
    <col min="14" max="14" width="4" style="267" bestFit="1" customWidth="1"/>
    <col min="15" max="16" width="16.83203125" style="451" customWidth="1"/>
    <col min="17" max="17" width="57.6640625" style="273" customWidth="1"/>
    <col min="18" max="18" width="3.1640625" style="272" customWidth="1"/>
    <col min="19" max="19" width="12.6640625" style="406" customWidth="1"/>
    <col min="20" max="20" width="10.83203125" style="406"/>
    <col min="21" max="42" width="10.83203125" style="272"/>
    <col min="43" max="16384" width="10.83203125" style="273"/>
  </cols>
  <sheetData>
    <row r="1" spans="1:42" s="272" customFormat="1" ht="6" customHeight="1">
      <c r="B1" s="238"/>
      <c r="C1" s="238"/>
      <c r="D1" s="237"/>
      <c r="E1" s="237"/>
      <c r="F1" s="237"/>
      <c r="G1" s="234"/>
      <c r="H1" s="234"/>
      <c r="I1" s="234"/>
      <c r="J1" s="234"/>
      <c r="K1" s="234"/>
      <c r="L1" s="237"/>
      <c r="M1" s="237"/>
      <c r="N1" s="234"/>
      <c r="O1" s="239"/>
      <c r="P1" s="239"/>
      <c r="S1" s="406"/>
      <c r="T1" s="406"/>
    </row>
    <row r="2" spans="1:42" s="232" customFormat="1" ht="20" customHeight="1">
      <c r="B2" s="938" t="s">
        <v>283</v>
      </c>
      <c r="C2" s="939"/>
      <c r="D2" s="939"/>
      <c r="E2" s="939"/>
      <c r="F2" s="407"/>
      <c r="G2" s="934">
        <f>SUM(O10:O39)</f>
        <v>85082.1</v>
      </c>
      <c r="H2" s="935"/>
      <c r="I2" s="931" t="s">
        <v>1543</v>
      </c>
      <c r="J2" s="932"/>
      <c r="K2" s="932"/>
      <c r="L2" s="932"/>
      <c r="M2" s="933"/>
      <c r="N2" s="934">
        <f>SUM(D10:E39)/(G5-4)</f>
        <v>473.64799999999997</v>
      </c>
      <c r="O2" s="935"/>
      <c r="P2" s="466" t="s">
        <v>284</v>
      </c>
      <c r="Q2" s="409">
        <f>SUM(P10:P39)-SUM(M10:M39)-SUM(I10:I39)-SUM(E10:E39)-Q3+MAG!Q2</f>
        <v>93752.040000000008</v>
      </c>
      <c r="S2" s="410"/>
      <c r="T2" s="411"/>
    </row>
    <row r="3" spans="1:42" s="232" customFormat="1" ht="20" customHeight="1">
      <c r="B3" s="412" t="s">
        <v>285</v>
      </c>
      <c r="C3" s="413"/>
      <c r="D3" s="413"/>
      <c r="E3" s="413"/>
      <c r="F3" s="414"/>
      <c r="G3" s="934">
        <f>SUM(P10:P39)</f>
        <v>71892.400000000009</v>
      </c>
      <c r="H3" s="935"/>
      <c r="I3" s="931" t="s">
        <v>1544</v>
      </c>
      <c r="J3" s="932"/>
      <c r="K3" s="932"/>
      <c r="L3" s="932"/>
      <c r="M3" s="933"/>
      <c r="N3" s="934">
        <f>SUM(H10:I39)/25</f>
        <v>967.15800000000002</v>
      </c>
      <c r="O3" s="935"/>
      <c r="P3" s="408" t="s">
        <v>1545</v>
      </c>
      <c r="Q3" s="409">
        <f>SUMIFS(BANCA!$E:$E,BANCA!$B:$B,"&gt;=01/06/2023",BANCA!$B:$B,"&lt;=30/06/2023",BANCA!$D:$D,"Versamento contanti")</f>
        <v>0</v>
      </c>
      <c r="S3" s="410"/>
      <c r="T3" s="411"/>
    </row>
    <row r="4" spans="1:42" s="232" customFormat="1" ht="20" customHeight="1">
      <c r="B4" s="412" t="s">
        <v>287</v>
      </c>
      <c r="C4" s="413"/>
      <c r="D4" s="413"/>
      <c r="E4" s="413"/>
      <c r="F4" s="414"/>
      <c r="G4" s="929">
        <f>G3/G2</f>
        <v>0.84497679300346373</v>
      </c>
      <c r="H4" s="930"/>
      <c r="I4" s="931" t="s">
        <v>1546</v>
      </c>
      <c r="J4" s="932"/>
      <c r="K4" s="932"/>
      <c r="L4" s="932"/>
      <c r="M4" s="933"/>
      <c r="N4" s="934">
        <f>SUM(L10:M39)/25</f>
        <v>1962.4779999999994</v>
      </c>
      <c r="O4" s="935"/>
      <c r="P4" s="243"/>
      <c r="S4" s="410"/>
      <c r="T4" s="411"/>
    </row>
    <row r="5" spans="1:42" s="232" customFormat="1" ht="20" customHeight="1">
      <c r="B5" s="412" t="s">
        <v>288</v>
      </c>
      <c r="C5" s="413"/>
      <c r="D5" s="413"/>
      <c r="E5" s="413"/>
      <c r="F5" s="414"/>
      <c r="G5" s="936">
        <f>COUNTA(O10:O39)</f>
        <v>29</v>
      </c>
      <c r="H5" s="937"/>
      <c r="I5" s="931" t="s">
        <v>290</v>
      </c>
      <c r="J5" s="932"/>
      <c r="K5" s="932"/>
      <c r="L5" s="932"/>
      <c r="M5" s="933"/>
      <c r="N5" s="934">
        <f>SUM(E10:E39,M10:M39,I10:I39)</f>
        <v>45130.440000000017</v>
      </c>
      <c r="O5" s="930"/>
      <c r="P5" s="243"/>
      <c r="S5" s="410"/>
      <c r="T5" s="411"/>
    </row>
    <row r="6" spans="1:42" s="232" customFormat="1" ht="20" customHeight="1">
      <c r="B6" s="415" t="s">
        <v>289</v>
      </c>
      <c r="C6" s="416"/>
      <c r="D6" s="416"/>
      <c r="E6" s="416"/>
      <c r="F6" s="417"/>
      <c r="G6" s="934">
        <f>G2/G5</f>
        <v>2933.8655172413796</v>
      </c>
      <c r="H6" s="935"/>
      <c r="I6" s="931" t="s">
        <v>1547</v>
      </c>
      <c r="J6" s="932"/>
      <c r="K6" s="932"/>
      <c r="L6" s="932"/>
      <c r="M6" s="933"/>
      <c r="N6" s="934">
        <v>2185</v>
      </c>
      <c r="O6" s="935"/>
      <c r="P6" s="243"/>
      <c r="S6" s="410"/>
      <c r="T6" s="411"/>
    </row>
    <row r="7" spans="1:42" s="272" customFormat="1" ht="7" customHeight="1">
      <c r="B7" s="418"/>
      <c r="C7" s="418"/>
      <c r="D7" s="418"/>
      <c r="E7" s="408"/>
      <c r="F7" s="408"/>
      <c r="G7" s="408"/>
      <c r="H7" s="408"/>
      <c r="I7" s="408"/>
      <c r="J7" s="408"/>
      <c r="K7" s="408"/>
      <c r="L7" s="418"/>
      <c r="M7" s="418"/>
      <c r="N7" s="418"/>
      <c r="O7" s="239"/>
      <c r="P7" s="239"/>
      <c r="S7" s="926"/>
      <c r="T7" s="411"/>
    </row>
    <row r="8" spans="1:42" s="272" customFormat="1" ht="7" customHeight="1" thickBot="1">
      <c r="B8" s="238"/>
      <c r="C8" s="238"/>
      <c r="D8" s="237"/>
      <c r="E8" s="237"/>
      <c r="F8" s="237"/>
      <c r="G8" s="234"/>
      <c r="H8" s="234"/>
      <c r="I8" s="234"/>
      <c r="J8" s="234"/>
      <c r="K8" s="234"/>
      <c r="L8" s="237"/>
      <c r="M8" s="237"/>
      <c r="N8" s="234"/>
      <c r="O8" s="239"/>
      <c r="P8" s="239"/>
      <c r="S8" s="926"/>
      <c r="T8" s="411"/>
    </row>
    <row r="9" spans="1:42" s="252" customFormat="1" ht="25" customHeight="1" thickBot="1">
      <c r="A9" s="242"/>
      <c r="B9" s="927" t="s">
        <v>291</v>
      </c>
      <c r="C9" s="928"/>
      <c r="D9" s="419" t="s">
        <v>1548</v>
      </c>
      <c r="E9" s="419" t="s">
        <v>1549</v>
      </c>
      <c r="F9" s="282" t="s">
        <v>1550</v>
      </c>
      <c r="G9" s="282"/>
      <c r="H9" s="419" t="s">
        <v>1551</v>
      </c>
      <c r="I9" s="419" t="s">
        <v>1552</v>
      </c>
      <c r="J9" s="420" t="s">
        <v>1550</v>
      </c>
      <c r="K9" s="282"/>
      <c r="L9" s="419" t="s">
        <v>1553</v>
      </c>
      <c r="M9" s="419" t="s">
        <v>1554</v>
      </c>
      <c r="N9" s="282"/>
      <c r="O9" s="419" t="s">
        <v>116</v>
      </c>
      <c r="P9" s="419" t="s">
        <v>102</v>
      </c>
      <c r="Q9" s="421" t="s">
        <v>292</v>
      </c>
      <c r="R9" s="242"/>
      <c r="S9" s="274"/>
      <c r="T9" s="422" t="s">
        <v>119</v>
      </c>
      <c r="U9" s="422" t="s">
        <v>1389</v>
      </c>
      <c r="V9" s="422" t="s">
        <v>1555</v>
      </c>
      <c r="W9" s="422" t="s">
        <v>1556</v>
      </c>
      <c r="X9" s="242"/>
      <c r="Y9" s="242"/>
      <c r="Z9" s="242"/>
      <c r="AA9" s="242"/>
      <c r="AB9" s="242"/>
      <c r="AC9" s="242"/>
      <c r="AD9" s="242"/>
      <c r="AE9" s="242"/>
      <c r="AF9" s="242"/>
      <c r="AG9" s="242"/>
      <c r="AH9" s="242"/>
      <c r="AI9" s="242"/>
      <c r="AJ9" s="242"/>
      <c r="AK9" s="242"/>
      <c r="AL9" s="242"/>
      <c r="AM9" s="242"/>
      <c r="AN9" s="242"/>
      <c r="AO9" s="242"/>
      <c r="AP9" s="242"/>
    </row>
    <row r="10" spans="1:42" s="351" customFormat="1" ht="16" customHeight="1">
      <c r="B10" s="423" t="s">
        <v>22</v>
      </c>
      <c r="C10" s="424" t="s">
        <v>177</v>
      </c>
      <c r="D10" s="425">
        <f>1678.6-E10</f>
        <v>1051.6999999999998</v>
      </c>
      <c r="E10" s="425">
        <v>626.9</v>
      </c>
      <c r="F10" s="426">
        <v>195</v>
      </c>
      <c r="G10" s="465" t="s">
        <v>295</v>
      </c>
      <c r="H10" s="425">
        <f>3899-D10-E10-I10</f>
        <v>582.30000000000018</v>
      </c>
      <c r="I10" s="425">
        <v>1638.1</v>
      </c>
      <c r="J10" s="426">
        <v>18</v>
      </c>
      <c r="K10" s="465" t="s">
        <v>295</v>
      </c>
      <c r="L10" s="425">
        <f>7373.1-M10-I10-H10-E10-D10</f>
        <v>2824.4999999999995</v>
      </c>
      <c r="M10" s="425">
        <f>2914.6-I10-E10</f>
        <v>649.6</v>
      </c>
      <c r="N10" s="465" t="s">
        <v>295</v>
      </c>
      <c r="O10" s="428">
        <f t="shared" ref="O10" si="0">SUM(D10:E10,H10:I10,L10:M10)</f>
        <v>7373.1</v>
      </c>
      <c r="P10" s="608">
        <v>10053.1</v>
      </c>
      <c r="Q10" s="430" t="s">
        <v>1689</v>
      </c>
      <c r="S10" s="351" t="s">
        <v>1567</v>
      </c>
      <c r="T10" s="313">
        <f>(SUMIF($C$10:$C$39,S10,$D$10:$D$39)+SUMIF($C$10:$C$39,S10,$E$10:$E$39))/1</f>
        <v>1266</v>
      </c>
      <c r="U10" s="313">
        <f t="shared" ref="U10:U16" si="1">(SUMIF($C$10:$C$39,S10,$H$10:$H$39)+SUMIF($C$10:$C$39,S10,$I$10:$I$39)+SUMIF($C$10:$C$39,S10,$L$10:$L$39)+SUMIF($C$10:$C$39,S10,$M$10:$M$39))/COUNTIF($C$10:$C$39,S10)</f>
        <v>1957.7400000000002</v>
      </c>
      <c r="V10" s="313">
        <f t="shared" ref="V10:V16" si="2">(SUMIF($C$10:$C$39,S10,$H$10:$H$39)+SUMIF($C$10:$C$39,S10,$I$10:$I$39))/COUNTIF($C$10:$C$39,S10)</f>
        <v>625.4</v>
      </c>
      <c r="W10" s="313">
        <f t="shared" ref="W10:W16" si="3">(SUMIF($C$10:$C$39,S10,$L$10:$L$39)+SUMIF($C$10:$C$39,S10,$M$10:$M$39))/COUNTIF($C$10:$C$39,S10)</f>
        <v>1332.3400000000001</v>
      </c>
    </row>
    <row r="11" spans="1:42" s="351" customFormat="1" ht="16" customHeight="1">
      <c r="B11" s="424" t="s">
        <v>23</v>
      </c>
      <c r="C11" s="424" t="s">
        <v>1567</v>
      </c>
      <c r="D11" s="425">
        <f>1266-E11</f>
        <v>931.8</v>
      </c>
      <c r="E11" s="425">
        <v>334.2</v>
      </c>
      <c r="F11" s="426">
        <v>185</v>
      </c>
      <c r="G11" s="465" t="s">
        <v>295</v>
      </c>
      <c r="H11" s="425">
        <f>2902-D11-E11-I11</f>
        <v>871.7</v>
      </c>
      <c r="I11" s="425">
        <v>764.3</v>
      </c>
      <c r="J11" s="426">
        <v>19</v>
      </c>
      <c r="K11" s="427" t="s">
        <v>1564</v>
      </c>
      <c r="L11" s="425">
        <f>3822.4-M11-I11-H11-E11-D11</f>
        <v>454.90000000000032</v>
      </c>
      <c r="M11" s="425">
        <f>1564-I11-E11</f>
        <v>465.50000000000006</v>
      </c>
      <c r="N11" s="427" t="s">
        <v>1564</v>
      </c>
      <c r="O11" s="428">
        <f t="shared" ref="O11:O18" si="4">SUM(D11:E11,H11:I11,L11:M11)</f>
        <v>3822.4000000000005</v>
      </c>
      <c r="P11" s="608">
        <v>3327.3</v>
      </c>
      <c r="Q11" s="430" t="s">
        <v>1690</v>
      </c>
      <c r="S11" s="351" t="s">
        <v>294</v>
      </c>
      <c r="T11" s="313">
        <f>(SUMIF($C$10:$C$39,S11,$D$10:$D$39)+SUMIF($C$10:$C$39,S11,$E$10:$E$39))/(COUNTIF($C$10:$C$39,S11)-1)</f>
        <v>245.93333333333331</v>
      </c>
      <c r="U11" s="313">
        <f t="shared" si="1"/>
        <v>1531.5749999999998</v>
      </c>
      <c r="V11" s="313">
        <f t="shared" si="2"/>
        <v>590.42499999999995</v>
      </c>
      <c r="W11" s="313">
        <f t="shared" si="3"/>
        <v>941.15</v>
      </c>
    </row>
    <row r="12" spans="1:42" s="351" customFormat="1" ht="16" customHeight="1">
      <c r="B12" s="424" t="s">
        <v>1559</v>
      </c>
      <c r="C12" s="424" t="s">
        <v>294</v>
      </c>
      <c r="D12" s="425"/>
      <c r="E12" s="425"/>
      <c r="F12" s="426"/>
      <c r="G12" s="453"/>
      <c r="H12" s="425"/>
      <c r="I12" s="425"/>
      <c r="J12" s="426"/>
      <c r="K12" s="453"/>
      <c r="L12" s="425"/>
      <c r="M12" s="425"/>
      <c r="N12" s="453"/>
      <c r="O12" s="428"/>
      <c r="P12" s="608"/>
      <c r="Q12" s="430" t="s">
        <v>1387</v>
      </c>
      <c r="S12" s="351" t="s">
        <v>1557</v>
      </c>
      <c r="T12" s="313">
        <f>(SUMIF($C$10:$C$39,S12,$D$10:$D$39)+SUMIF($C$10:$C$39,S12,$E$10:$E$39))/COUNTIF($C$10:$C$39,S12)</f>
        <v>291.3</v>
      </c>
      <c r="U12" s="313">
        <f t="shared" si="1"/>
        <v>1989.7249999999999</v>
      </c>
      <c r="V12" s="313">
        <f t="shared" si="2"/>
        <v>649.4</v>
      </c>
      <c r="W12" s="313">
        <f t="shared" si="3"/>
        <v>1340.3249999999998</v>
      </c>
    </row>
    <row r="13" spans="1:42" s="351" customFormat="1" ht="16" customHeight="1">
      <c r="B13" s="424" t="s">
        <v>1561</v>
      </c>
      <c r="C13" s="424" t="s">
        <v>1557</v>
      </c>
      <c r="D13" s="425">
        <f>198.5-E13</f>
        <v>172.4</v>
      </c>
      <c r="E13" s="425">
        <v>26.1</v>
      </c>
      <c r="F13" s="426">
        <v>52</v>
      </c>
      <c r="G13" s="465" t="s">
        <v>295</v>
      </c>
      <c r="H13" s="425">
        <f>641.7-D13-E13-I13</f>
        <v>283.70000000000005</v>
      </c>
      <c r="I13" s="425">
        <v>159.5</v>
      </c>
      <c r="J13" s="426">
        <v>5</v>
      </c>
      <c r="K13" s="465" t="s">
        <v>295</v>
      </c>
      <c r="L13" s="425">
        <f>1414.1-M13-I13-H13-E13-D13</f>
        <v>205.1999999999999</v>
      </c>
      <c r="M13" s="425">
        <f>752.8-I13-E13</f>
        <v>567.19999999999993</v>
      </c>
      <c r="N13" s="427" t="s">
        <v>1589</v>
      </c>
      <c r="O13" s="428">
        <f t="shared" si="4"/>
        <v>1414.1</v>
      </c>
      <c r="P13" s="608">
        <v>994.7</v>
      </c>
      <c r="Q13" s="430"/>
      <c r="S13" s="351" t="s">
        <v>1558</v>
      </c>
      <c r="T13" s="313">
        <f>(SUMIF($C$10:$C$39,S13,$D$10:$D$39)+SUMIF($C$10:$C$39,S13,$E$10:$E$39))/COUNTIF($C$10:$C$39,S13)</f>
        <v>429.72499999999997</v>
      </c>
      <c r="U13" s="313">
        <f t="shared" si="1"/>
        <v>1461.9749999999999</v>
      </c>
      <c r="V13" s="313">
        <f t="shared" si="2"/>
        <v>625.54999999999995</v>
      </c>
      <c r="W13" s="313">
        <f t="shared" si="3"/>
        <v>836.42499999999995</v>
      </c>
    </row>
    <row r="14" spans="1:42" s="351" customFormat="1" ht="16" customHeight="1">
      <c r="B14" s="424" t="s">
        <v>1563</v>
      </c>
      <c r="C14" s="424" t="s">
        <v>1558</v>
      </c>
      <c r="D14" s="425">
        <f>533-E14</f>
        <v>391.5</v>
      </c>
      <c r="E14" s="425">
        <v>141.5</v>
      </c>
      <c r="F14" s="426">
        <v>98</v>
      </c>
      <c r="G14" s="465" t="s">
        <v>295</v>
      </c>
      <c r="H14" s="425">
        <f>1162.5-D14-E14-I14</f>
        <v>337.5</v>
      </c>
      <c r="I14" s="425">
        <v>292</v>
      </c>
      <c r="J14" s="426">
        <v>12</v>
      </c>
      <c r="K14" s="427" t="s">
        <v>1589</v>
      </c>
      <c r="L14" s="425">
        <f>2115.7-M14-I14-H14-E14-D14</f>
        <v>323.18999999999983</v>
      </c>
      <c r="M14" s="425">
        <f>1063.51-I14-E14</f>
        <v>630.01</v>
      </c>
      <c r="N14" s="427" t="s">
        <v>1596</v>
      </c>
      <c r="O14" s="428">
        <f t="shared" si="4"/>
        <v>2115.6999999999998</v>
      </c>
      <c r="P14" s="608">
        <v>1547.1</v>
      </c>
      <c r="Q14" s="430" t="s">
        <v>1686</v>
      </c>
      <c r="S14" s="351" t="s">
        <v>175</v>
      </c>
      <c r="T14" s="313">
        <f>(SUMIF($C$10:$C$39,S14,$D$10:$D$39)+SUMIF($C$10:$C$39,S14,$E$10:$E$39))/COUNTIF($C$10:$C$39,S14)</f>
        <v>281.5</v>
      </c>
      <c r="U14" s="313">
        <f t="shared" si="1"/>
        <v>4235.0749999999998</v>
      </c>
      <c r="V14" s="313">
        <f t="shared" si="2"/>
        <v>950.1875</v>
      </c>
      <c r="W14" s="313">
        <f t="shared" si="3"/>
        <v>3284.8874999999998</v>
      </c>
    </row>
    <row r="15" spans="1:42" s="351" customFormat="1" ht="16" customHeight="1">
      <c r="B15" s="424" t="s">
        <v>1566</v>
      </c>
      <c r="C15" s="424" t="s">
        <v>175</v>
      </c>
      <c r="D15" s="425">
        <f>247-E15</f>
        <v>217.2</v>
      </c>
      <c r="E15" s="425">
        <v>29.8</v>
      </c>
      <c r="F15" s="426">
        <v>67</v>
      </c>
      <c r="G15" s="465" t="s">
        <v>295</v>
      </c>
      <c r="H15" s="425">
        <f>1085.8-D15-E15-I15</f>
        <v>669.19999999999993</v>
      </c>
      <c r="I15" s="425">
        <v>169.6</v>
      </c>
      <c r="J15" s="426">
        <v>13</v>
      </c>
      <c r="K15" s="465" t="s">
        <v>295</v>
      </c>
      <c r="L15" s="425">
        <f>4476.8-M15-I15-H15-E15-D15</f>
        <v>376.5000000000004</v>
      </c>
      <c r="M15" s="425">
        <f>3213.9-I15-E15</f>
        <v>3014.5</v>
      </c>
      <c r="N15" s="465" t="s">
        <v>295</v>
      </c>
      <c r="O15" s="428">
        <f t="shared" si="4"/>
        <v>4476.8</v>
      </c>
      <c r="P15" s="608">
        <v>3564.4</v>
      </c>
      <c r="Q15" s="430" t="s">
        <v>1691</v>
      </c>
      <c r="S15" s="351" t="s">
        <v>176</v>
      </c>
      <c r="T15" s="313">
        <f>(SUMIF($C$10:$C$39,S15,$D$10:$D$39)+SUMIF($C$10:$C$39,S15,$E$10:$E$39))/COUNTIF($C$10:$C$39,S15)</f>
        <v>523.47500000000002</v>
      </c>
      <c r="U15" s="313">
        <f t="shared" si="1"/>
        <v>3289.7</v>
      </c>
      <c r="V15" s="313">
        <f t="shared" si="2"/>
        <v>968.05</v>
      </c>
      <c r="W15" s="313">
        <f t="shared" si="3"/>
        <v>2321.6499999999996</v>
      </c>
    </row>
    <row r="16" spans="1:42" s="351" customFormat="1" ht="16" customHeight="1">
      <c r="B16" s="424" t="s">
        <v>1569</v>
      </c>
      <c r="C16" s="424" t="s">
        <v>176</v>
      </c>
      <c r="D16" s="425">
        <f>959-E16</f>
        <v>772.5</v>
      </c>
      <c r="E16" s="425">
        <v>186.5</v>
      </c>
      <c r="F16" s="426">
        <v>65</v>
      </c>
      <c r="G16" s="465" t="s">
        <v>295</v>
      </c>
      <c r="H16" s="425">
        <f>2172.1-D16-E16-I16</f>
        <v>623.99999999999989</v>
      </c>
      <c r="I16" s="425">
        <v>589.1</v>
      </c>
      <c r="J16" s="426">
        <v>16</v>
      </c>
      <c r="K16" s="465" t="s">
        <v>295</v>
      </c>
      <c r="L16" s="425">
        <f>5275.6-M16-I16-H16-E16-D16</f>
        <v>918.00000000000045</v>
      </c>
      <c r="M16" s="425">
        <f>2961.1-I16-E16</f>
        <v>2185.5</v>
      </c>
      <c r="N16" s="465" t="s">
        <v>295</v>
      </c>
      <c r="O16" s="428">
        <f t="shared" si="4"/>
        <v>5275.6</v>
      </c>
      <c r="P16" s="608">
        <v>3893.7</v>
      </c>
      <c r="Q16" s="430" t="s">
        <v>1692</v>
      </c>
      <c r="S16" s="351" t="s">
        <v>177</v>
      </c>
      <c r="T16" s="313">
        <f>(SUMIF($C$10:$C$39,S16,$D$10:$D$39)+SUMIF($C$10:$C$39,S16,$E$10:$E$39))/COUNTIF($C$10:$C$39,S16)</f>
        <v>746.68</v>
      </c>
      <c r="U16" s="313">
        <f t="shared" si="1"/>
        <v>2684</v>
      </c>
      <c r="V16" s="313">
        <f t="shared" si="2"/>
        <v>1183.5</v>
      </c>
      <c r="W16" s="313">
        <f t="shared" si="3"/>
        <v>1500.5</v>
      </c>
      <c r="X16" s="432"/>
      <c r="Y16" s="432"/>
      <c r="Z16" s="432"/>
      <c r="AA16" s="432"/>
      <c r="AB16" s="432"/>
      <c r="AC16" s="432"/>
    </row>
    <row r="17" spans="2:21" s="351" customFormat="1" ht="16" customHeight="1">
      <c r="B17" s="424" t="s">
        <v>297</v>
      </c>
      <c r="C17" s="424" t="s">
        <v>177</v>
      </c>
      <c r="D17" s="425">
        <f>544-E17</f>
        <v>429.3</v>
      </c>
      <c r="E17" s="425">
        <v>114.7</v>
      </c>
      <c r="F17" s="426">
        <v>88</v>
      </c>
      <c r="G17" s="465" t="s">
        <v>295</v>
      </c>
      <c r="H17" s="425">
        <f>1524-D17-E17-I17</f>
        <v>735</v>
      </c>
      <c r="I17" s="425">
        <v>245</v>
      </c>
      <c r="J17" s="426">
        <v>11</v>
      </c>
      <c r="K17" s="465" t="s">
        <v>295</v>
      </c>
      <c r="L17" s="425">
        <f>2570.2-M17-I17-H17-E17-D17</f>
        <v>228.89999999999981</v>
      </c>
      <c r="M17" s="425">
        <f>1177-I17-E17</f>
        <v>817.3</v>
      </c>
      <c r="N17" s="465" t="s">
        <v>295</v>
      </c>
      <c r="O17" s="428">
        <f t="shared" si="4"/>
        <v>2570.1999999999998</v>
      </c>
      <c r="P17" s="608">
        <v>1715</v>
      </c>
      <c r="Q17" s="430"/>
      <c r="T17" s="313"/>
      <c r="U17" s="422"/>
    </row>
    <row r="18" spans="2:21" s="351" customFormat="1" ht="16" customHeight="1">
      <c r="B18" s="424" t="s">
        <v>1572</v>
      </c>
      <c r="C18" s="424" t="s">
        <v>1567</v>
      </c>
      <c r="D18" s="425"/>
      <c r="E18" s="425"/>
      <c r="F18" s="426"/>
      <c r="G18" s="453"/>
      <c r="H18" s="425">
        <f>515.6-D18-E18-I18</f>
        <v>359.6</v>
      </c>
      <c r="I18" s="425">
        <v>156</v>
      </c>
      <c r="J18" s="426">
        <v>18</v>
      </c>
      <c r="K18" s="465" t="s">
        <v>295</v>
      </c>
      <c r="L18" s="425">
        <f>1649.3-M18-I18-H18-E18-D18</f>
        <v>436.4</v>
      </c>
      <c r="M18" s="425">
        <f>853.3-I18-E18</f>
        <v>697.3</v>
      </c>
      <c r="N18" s="465" t="s">
        <v>295</v>
      </c>
      <c r="O18" s="428">
        <f t="shared" si="4"/>
        <v>1649.3</v>
      </c>
      <c r="P18" s="608">
        <v>1289.3</v>
      </c>
      <c r="Q18" s="430"/>
      <c r="T18" s="313"/>
      <c r="U18" s="422"/>
    </row>
    <row r="19" spans="2:21" s="351" customFormat="1" ht="16" customHeight="1">
      <c r="B19" s="424" t="s">
        <v>1574</v>
      </c>
      <c r="C19" s="424" t="s">
        <v>294</v>
      </c>
      <c r="D19" s="425">
        <f>264.3-E19</f>
        <v>180</v>
      </c>
      <c r="E19" s="425">
        <v>84.3</v>
      </c>
      <c r="F19" s="426">
        <v>72</v>
      </c>
      <c r="G19" s="465" t="s">
        <v>295</v>
      </c>
      <c r="H19" s="425">
        <f>1288.5-D19-E19-I19</f>
        <v>444.5</v>
      </c>
      <c r="I19" s="425">
        <v>579.70000000000005</v>
      </c>
      <c r="J19" s="426">
        <v>20</v>
      </c>
      <c r="K19" s="465" t="s">
        <v>295</v>
      </c>
      <c r="L19" s="425">
        <f>2235.6-M19-I19-H19-E19-D19</f>
        <v>360.09999999999991</v>
      </c>
      <c r="M19" s="425">
        <f>1251-I19-E19</f>
        <v>587</v>
      </c>
      <c r="N19" s="465" t="s">
        <v>295</v>
      </c>
      <c r="O19" s="428">
        <f>SUM(D19:E19,H19:I19,L19:M19)</f>
        <v>2235.6</v>
      </c>
      <c r="P19" s="608">
        <v>1645</v>
      </c>
      <c r="Q19" s="430"/>
      <c r="T19" s="313"/>
      <c r="U19" s="422"/>
    </row>
    <row r="20" spans="2:21" s="351" customFormat="1" ht="16" customHeight="1">
      <c r="B20" s="424" t="s">
        <v>1577</v>
      </c>
      <c r="C20" s="424" t="s">
        <v>1557</v>
      </c>
      <c r="D20" s="425">
        <f>304.9-E20</f>
        <v>246.99999999999997</v>
      </c>
      <c r="E20" s="425">
        <v>57.9</v>
      </c>
      <c r="F20" s="426">
        <v>60</v>
      </c>
      <c r="G20" s="465" t="s">
        <v>295</v>
      </c>
      <c r="H20" s="467">
        <f>1013.7-D20-E20-I20</f>
        <v>497.00000000000006</v>
      </c>
      <c r="I20" s="425">
        <v>211.8</v>
      </c>
      <c r="J20" s="426">
        <v>14</v>
      </c>
      <c r="K20" s="465" t="s">
        <v>295</v>
      </c>
      <c r="L20" s="425">
        <f>2229.5-M20-I20-H20-E20-D20</f>
        <v>627.4</v>
      </c>
      <c r="M20" s="425">
        <f>858.1-I20-E20</f>
        <v>588.4</v>
      </c>
      <c r="N20" s="465" t="s">
        <v>295</v>
      </c>
      <c r="O20" s="428">
        <f>SUM(D20:E20,H20:I20,L20:M20)</f>
        <v>2229.5</v>
      </c>
      <c r="P20" s="608">
        <v>1461.6</v>
      </c>
      <c r="Q20" s="430"/>
      <c r="T20" s="313"/>
      <c r="U20" s="422"/>
    </row>
    <row r="21" spans="2:21" s="351" customFormat="1" ht="16" customHeight="1">
      <c r="B21" s="424" t="s">
        <v>977</v>
      </c>
      <c r="C21" s="424" t="s">
        <v>1558</v>
      </c>
      <c r="D21" s="425">
        <f>344.2-E21</f>
        <v>314.8</v>
      </c>
      <c r="E21" s="425">
        <v>29.4</v>
      </c>
      <c r="F21" s="426">
        <v>93</v>
      </c>
      <c r="G21" s="465" t="s">
        <v>295</v>
      </c>
      <c r="H21" s="425">
        <f>1139-D21-E21-I21</f>
        <v>540.90000000000009</v>
      </c>
      <c r="I21" s="425">
        <v>253.9</v>
      </c>
      <c r="J21" s="426">
        <v>7</v>
      </c>
      <c r="K21" s="465" t="s">
        <v>295</v>
      </c>
      <c r="L21" s="425">
        <f>2008-M21-I21-H21-E21-D21</f>
        <v>166.99999999999983</v>
      </c>
      <c r="M21" s="425">
        <f>985.3-I21-E21</f>
        <v>702</v>
      </c>
      <c r="N21" s="465" t="s">
        <v>295</v>
      </c>
      <c r="O21" s="428">
        <f>SUM(D21:E21,H21:I21,L21:M21)</f>
        <v>2008</v>
      </c>
      <c r="P21" s="608">
        <v>1601.7</v>
      </c>
      <c r="Q21" s="430" t="s">
        <v>1686</v>
      </c>
      <c r="T21" s="313"/>
      <c r="U21" s="422"/>
    </row>
    <row r="22" spans="2:21" s="351" customFormat="1" ht="16" customHeight="1">
      <c r="B22" s="424" t="s">
        <v>1581</v>
      </c>
      <c r="C22" s="424" t="s">
        <v>175</v>
      </c>
      <c r="D22" s="425">
        <f>346.2-E22</f>
        <v>264.5</v>
      </c>
      <c r="E22" s="425">
        <v>81.7</v>
      </c>
      <c r="F22" s="426">
        <v>44</v>
      </c>
      <c r="G22" s="465" t="s">
        <v>295</v>
      </c>
      <c r="H22" s="425">
        <f>1238.2-D22-E22-I22</f>
        <v>576.6</v>
      </c>
      <c r="I22" s="425">
        <v>315.39999999999998</v>
      </c>
      <c r="J22" s="426">
        <v>14</v>
      </c>
      <c r="K22" s="465" t="s">
        <v>295</v>
      </c>
      <c r="L22" s="425">
        <f>5332.53-M22-I22-H22-E22-D22</f>
        <v>1275.0999999999997</v>
      </c>
      <c r="M22" s="425">
        <f>3216.33-I22-E22</f>
        <v>2819.23</v>
      </c>
      <c r="N22" s="465" t="s">
        <v>295</v>
      </c>
      <c r="O22" s="428">
        <f>SUM(D22:E22,H22:I22,L22:M22)</f>
        <v>5332.5299999999988</v>
      </c>
      <c r="P22" s="608">
        <v>3738.2</v>
      </c>
      <c r="Q22" s="430" t="s">
        <v>1693</v>
      </c>
      <c r="T22" s="313"/>
      <c r="U22" s="422"/>
    </row>
    <row r="23" spans="2:21" s="351" customFormat="1" ht="16" customHeight="1">
      <c r="B23" s="424" t="s">
        <v>1583</v>
      </c>
      <c r="C23" s="424" t="s">
        <v>176</v>
      </c>
      <c r="D23" s="425">
        <f>413.6-E23</f>
        <v>274.20000000000005</v>
      </c>
      <c r="E23" s="425">
        <v>139.4</v>
      </c>
      <c r="F23" s="426">
        <v>39</v>
      </c>
      <c r="G23" s="465" t="s">
        <v>295</v>
      </c>
      <c r="H23" s="425">
        <f>1337-D23-E23-I23</f>
        <v>403</v>
      </c>
      <c r="I23" s="425">
        <v>520.4</v>
      </c>
      <c r="J23" s="426">
        <v>9</v>
      </c>
      <c r="K23" s="427" t="s">
        <v>1589</v>
      </c>
      <c r="L23" s="425">
        <f>3625.7-M23-I23-H23-E23-D23</f>
        <v>622.80000000000007</v>
      </c>
      <c r="M23" s="425">
        <f>2325.7-I23-E23</f>
        <v>1665.8999999999996</v>
      </c>
      <c r="N23" s="465" t="s">
        <v>295</v>
      </c>
      <c r="O23" s="428">
        <f t="shared" ref="O23:O39" si="5">SUM(D23:E23,H23:I23,L23:M23)</f>
        <v>3625.7</v>
      </c>
      <c r="P23" s="608">
        <v>3156.3</v>
      </c>
      <c r="Q23" s="430"/>
      <c r="T23" s="313"/>
      <c r="U23" s="422"/>
    </row>
    <row r="24" spans="2:21" s="351" customFormat="1" ht="16" customHeight="1">
      <c r="B24" s="424" t="s">
        <v>298</v>
      </c>
      <c r="C24" s="424" t="s">
        <v>177</v>
      </c>
      <c r="D24" s="425">
        <f>377.8-E24</f>
        <v>258.3</v>
      </c>
      <c r="E24" s="425">
        <v>119.5</v>
      </c>
      <c r="F24" s="426">
        <v>59</v>
      </c>
      <c r="G24" s="465" t="s">
        <v>295</v>
      </c>
      <c r="H24" s="425">
        <f>1304-D24-E24-I24</f>
        <v>519.40000000000009</v>
      </c>
      <c r="I24" s="425">
        <v>406.8</v>
      </c>
      <c r="J24" s="426">
        <v>13</v>
      </c>
      <c r="K24" s="465" t="s">
        <v>295</v>
      </c>
      <c r="L24" s="425">
        <f>2293-M24-I24-H24-E24-D24</f>
        <v>679.8</v>
      </c>
      <c r="M24" s="425">
        <f>835.5-I24-E24</f>
        <v>309.2</v>
      </c>
      <c r="N24" s="465" t="s">
        <v>295</v>
      </c>
      <c r="O24" s="428">
        <f t="shared" si="5"/>
        <v>2293</v>
      </c>
      <c r="P24" s="608">
        <v>1846.6</v>
      </c>
      <c r="Q24" s="430"/>
      <c r="T24" s="313"/>
      <c r="U24" s="422"/>
    </row>
    <row r="25" spans="2:21" s="351" customFormat="1" ht="16" customHeight="1">
      <c r="B25" s="424" t="s">
        <v>996</v>
      </c>
      <c r="C25" s="424" t="s">
        <v>1567</v>
      </c>
      <c r="D25" s="425"/>
      <c r="E25" s="425"/>
      <c r="F25" s="426"/>
      <c r="G25" s="453"/>
      <c r="H25" s="425">
        <v>200.5</v>
      </c>
      <c r="I25" s="425">
        <v>84.8</v>
      </c>
      <c r="J25" s="426">
        <v>59</v>
      </c>
      <c r="K25" s="427" t="s">
        <v>1596</v>
      </c>
      <c r="L25" s="425">
        <v>226.10000000000002</v>
      </c>
      <c r="M25" s="425">
        <v>472.49999999999994</v>
      </c>
      <c r="N25" s="427" t="s">
        <v>1596</v>
      </c>
      <c r="O25" s="428">
        <f t="shared" si="5"/>
        <v>983.9</v>
      </c>
      <c r="P25" s="608">
        <v>797.3</v>
      </c>
      <c r="Q25" s="430"/>
      <c r="T25" s="313"/>
      <c r="U25" s="422"/>
    </row>
    <row r="26" spans="2:21" s="351" customFormat="1" ht="16" customHeight="1">
      <c r="B26" s="424" t="s">
        <v>293</v>
      </c>
      <c r="C26" s="424" t="s">
        <v>294</v>
      </c>
      <c r="D26" s="425">
        <v>249.3</v>
      </c>
      <c r="E26" s="425">
        <v>1.2</v>
      </c>
      <c r="F26" s="426">
        <v>63</v>
      </c>
      <c r="G26" s="465" t="s">
        <v>295</v>
      </c>
      <c r="H26" s="425">
        <v>534.70000000000005</v>
      </c>
      <c r="I26" s="425">
        <v>180.8</v>
      </c>
      <c r="J26" s="426">
        <v>15</v>
      </c>
      <c r="K26" s="465" t="s">
        <v>295</v>
      </c>
      <c r="L26" s="425">
        <v>336.80000000000013</v>
      </c>
      <c r="M26" s="425">
        <v>1164</v>
      </c>
      <c r="N26" s="465" t="s">
        <v>295</v>
      </c>
      <c r="O26" s="428">
        <f t="shared" si="5"/>
        <v>2466.8000000000002</v>
      </c>
      <c r="P26" s="608">
        <v>2875</v>
      </c>
      <c r="Q26" s="624" t="s">
        <v>1694</v>
      </c>
      <c r="T26" s="313"/>
      <c r="U26" s="422"/>
    </row>
    <row r="27" spans="2:21" s="351" customFormat="1" ht="16" customHeight="1">
      <c r="B27" s="424" t="s">
        <v>420</v>
      </c>
      <c r="C27" s="424" t="s">
        <v>1557</v>
      </c>
      <c r="D27" s="425">
        <v>260.3</v>
      </c>
      <c r="E27" s="425">
        <v>102.5</v>
      </c>
      <c r="F27" s="426">
        <v>45</v>
      </c>
      <c r="G27" s="465" t="s">
        <v>295</v>
      </c>
      <c r="H27" s="425">
        <v>552.4</v>
      </c>
      <c r="I27" s="425">
        <v>202.4</v>
      </c>
      <c r="J27" s="426">
        <v>15</v>
      </c>
      <c r="K27" s="465" t="s">
        <v>295</v>
      </c>
      <c r="L27" s="425">
        <v>484.3</v>
      </c>
      <c r="M27" s="425">
        <v>1573.5</v>
      </c>
      <c r="N27" s="465" t="s">
        <v>295</v>
      </c>
      <c r="O27" s="428">
        <f t="shared" si="5"/>
        <v>3175.4</v>
      </c>
      <c r="P27" s="608">
        <v>2489.8000000000002</v>
      </c>
      <c r="Q27" s="430" t="s">
        <v>1695</v>
      </c>
      <c r="T27" s="313"/>
      <c r="U27" s="422"/>
    </row>
    <row r="28" spans="2:21" s="351" customFormat="1" ht="16" customHeight="1">
      <c r="B28" s="424" t="s">
        <v>719</v>
      </c>
      <c r="C28" s="424" t="s">
        <v>1558</v>
      </c>
      <c r="D28" s="425">
        <f>485.7-E28</f>
        <v>424.2</v>
      </c>
      <c r="E28" s="425">
        <v>61.5</v>
      </c>
      <c r="F28" s="426">
        <v>66</v>
      </c>
      <c r="G28" s="465" t="s">
        <v>295</v>
      </c>
      <c r="H28" s="425">
        <f>1183.6-D28-E28-I28</f>
        <v>311.39999999999986</v>
      </c>
      <c r="I28" s="425">
        <v>386.5</v>
      </c>
      <c r="J28" s="426">
        <v>16</v>
      </c>
      <c r="K28" s="465" t="s">
        <v>295</v>
      </c>
      <c r="L28" s="425">
        <f>1910.1-M28-I28-H28-E28-D28</f>
        <v>205.00000000000006</v>
      </c>
      <c r="M28" s="425">
        <f>969.5-I28-E28</f>
        <v>521.5</v>
      </c>
      <c r="N28" s="465" t="s">
        <v>295</v>
      </c>
      <c r="O28" s="428">
        <f t="shared" si="5"/>
        <v>1910.1</v>
      </c>
      <c r="P28" s="608">
        <v>1487.7</v>
      </c>
      <c r="Q28" s="430"/>
      <c r="T28" s="313"/>
      <c r="U28" s="422"/>
    </row>
    <row r="29" spans="2:21" s="351" customFormat="1" ht="16" customHeight="1">
      <c r="B29" s="424" t="s">
        <v>1591</v>
      </c>
      <c r="C29" s="424" t="s">
        <v>175</v>
      </c>
      <c r="D29" s="425">
        <f>185.5-E29</f>
        <v>140.19999999999999</v>
      </c>
      <c r="E29" s="425">
        <v>45.3</v>
      </c>
      <c r="F29" s="426">
        <v>56</v>
      </c>
      <c r="G29" s="465" t="s">
        <v>295</v>
      </c>
      <c r="H29" s="425">
        <f>1173.95-D29-E29-I29</f>
        <v>787.05000000000007</v>
      </c>
      <c r="I29" s="425">
        <v>201.4</v>
      </c>
      <c r="J29" s="426">
        <v>20</v>
      </c>
      <c r="K29" s="465" t="s">
        <v>295</v>
      </c>
      <c r="L29" s="425">
        <f>3790.17-M29-I29-H29-E29-D29</f>
        <v>1317.2199999999998</v>
      </c>
      <c r="M29" s="425">
        <f>1545.7-I29-E29</f>
        <v>1299</v>
      </c>
      <c r="N29" s="465" t="s">
        <v>295</v>
      </c>
      <c r="O29" s="428">
        <f t="shared" si="5"/>
        <v>3790.17</v>
      </c>
      <c r="P29" s="608">
        <v>2979.9</v>
      </c>
      <c r="Q29" s="430" t="s">
        <v>1696</v>
      </c>
      <c r="T29" s="313"/>
      <c r="U29" s="422"/>
    </row>
    <row r="30" spans="2:21" s="351" customFormat="1" ht="16" customHeight="1">
      <c r="B30" s="424" t="s">
        <v>1593</v>
      </c>
      <c r="C30" s="424" t="s">
        <v>176</v>
      </c>
      <c r="D30" s="425">
        <f>274.2-E30</f>
        <v>242.2</v>
      </c>
      <c r="E30" s="425">
        <v>32</v>
      </c>
      <c r="F30" s="426">
        <v>51</v>
      </c>
      <c r="G30" s="465" t="s">
        <v>295</v>
      </c>
      <c r="H30" s="425">
        <f>1028-D30-E30-I30</f>
        <v>453.79999999999995</v>
      </c>
      <c r="I30" s="425">
        <v>300</v>
      </c>
      <c r="J30" s="426">
        <v>14</v>
      </c>
      <c r="K30" s="465" t="s">
        <v>295</v>
      </c>
      <c r="L30" s="425">
        <f>2756.7-M30-I30-H30-E30-D30</f>
        <v>520.99999999999977</v>
      </c>
      <c r="M30" s="425">
        <f>1539.7-I30-E30</f>
        <v>1207.7</v>
      </c>
      <c r="N30" s="427" t="s">
        <v>1589</v>
      </c>
      <c r="O30" s="428">
        <f t="shared" si="5"/>
        <v>2756.7</v>
      </c>
      <c r="P30" s="608">
        <v>2057.5</v>
      </c>
      <c r="Q30" s="430"/>
      <c r="T30" s="313"/>
      <c r="U30" s="422"/>
    </row>
    <row r="31" spans="2:21" s="351" customFormat="1" ht="16" customHeight="1">
      <c r="B31" s="424" t="s">
        <v>299</v>
      </c>
      <c r="C31" s="424" t="s">
        <v>177</v>
      </c>
      <c r="D31" s="425">
        <f>574-E31</f>
        <v>404</v>
      </c>
      <c r="E31" s="425">
        <v>170</v>
      </c>
      <c r="F31" s="426">
        <v>82</v>
      </c>
      <c r="G31" s="465" t="s">
        <v>295</v>
      </c>
      <c r="H31" s="425">
        <f>1800.9-D31-E31-I31</f>
        <v>947.00000000000011</v>
      </c>
      <c r="I31" s="425">
        <v>279.89999999999998</v>
      </c>
      <c r="J31" s="426">
        <v>15</v>
      </c>
      <c r="K31" s="465" t="s">
        <v>295</v>
      </c>
      <c r="L31" s="425">
        <f>2706.8-M31-I31-H31-E31-D31</f>
        <v>230.30000000000007</v>
      </c>
      <c r="M31" s="425">
        <f>1125.5-I31-E31</f>
        <v>675.6</v>
      </c>
      <c r="N31" s="465" t="s">
        <v>295</v>
      </c>
      <c r="O31" s="428">
        <f t="shared" si="5"/>
        <v>2706.8</v>
      </c>
      <c r="P31" s="608">
        <v>2594</v>
      </c>
      <c r="Q31" s="430"/>
      <c r="T31" s="313"/>
      <c r="U31" s="422"/>
    </row>
    <row r="32" spans="2:21" s="351" customFormat="1" ht="16" customHeight="1">
      <c r="B32" s="424" t="s">
        <v>461</v>
      </c>
      <c r="C32" s="424" t="s">
        <v>1567</v>
      </c>
      <c r="D32" s="425"/>
      <c r="E32" s="425"/>
      <c r="F32" s="426"/>
      <c r="G32" s="453"/>
      <c r="H32" s="425">
        <f>471.6-D32-E32-I32</f>
        <v>211.70000000000005</v>
      </c>
      <c r="I32" s="425">
        <v>259.89999999999998</v>
      </c>
      <c r="J32" s="426">
        <v>24</v>
      </c>
      <c r="K32" s="427" t="s">
        <v>1564</v>
      </c>
      <c r="L32" s="425">
        <f>2014.6-M32-I32-H32-E32-D32</f>
        <v>560.49999999999989</v>
      </c>
      <c r="M32" s="425">
        <f>1242.4-I32-E32</f>
        <v>982.50000000000011</v>
      </c>
      <c r="N32" s="465" t="s">
        <v>295</v>
      </c>
      <c r="O32" s="428">
        <f t="shared" si="5"/>
        <v>2014.6</v>
      </c>
      <c r="P32" s="608">
        <v>1586</v>
      </c>
      <c r="Q32" s="430"/>
      <c r="T32" s="313"/>
      <c r="U32" s="422"/>
    </row>
    <row r="33" spans="2:21" s="351" customFormat="1" ht="16" customHeight="1">
      <c r="B33" s="424" t="s">
        <v>296</v>
      </c>
      <c r="C33" s="424" t="s">
        <v>294</v>
      </c>
      <c r="D33" s="425">
        <f>223-E33</f>
        <v>181.2</v>
      </c>
      <c r="E33" s="425">
        <v>41.8</v>
      </c>
      <c r="F33" s="426">
        <v>63</v>
      </c>
      <c r="G33" s="465" t="s">
        <v>295</v>
      </c>
      <c r="H33" s="425">
        <f>845-D33-E33-I33</f>
        <v>510</v>
      </c>
      <c r="I33" s="425">
        <v>112</v>
      </c>
      <c r="J33" s="426">
        <v>24</v>
      </c>
      <c r="K33" s="465" t="s">
        <v>295</v>
      </c>
      <c r="L33" s="425">
        <f>2161.7-M33-I33-H33-E33-D33</f>
        <v>328.69999999999982</v>
      </c>
      <c r="M33" s="425">
        <f>1141.8-I33-E33</f>
        <v>988</v>
      </c>
      <c r="N33" s="465" t="s">
        <v>295</v>
      </c>
      <c r="O33" s="428">
        <f t="shared" si="5"/>
        <v>2161.6999999999998</v>
      </c>
      <c r="P33" s="608">
        <v>1735.6</v>
      </c>
      <c r="Q33" s="430"/>
      <c r="T33" s="313"/>
      <c r="U33" s="422"/>
    </row>
    <row r="34" spans="2:21" s="351" customFormat="1" ht="16" customHeight="1">
      <c r="B34" s="424" t="s">
        <v>1601</v>
      </c>
      <c r="C34" s="424" t="s">
        <v>1557</v>
      </c>
      <c r="D34" s="425">
        <f>299-E34</f>
        <v>222.1</v>
      </c>
      <c r="E34" s="425">
        <v>76.900000000000006</v>
      </c>
      <c r="F34" s="426">
        <v>50</v>
      </c>
      <c r="G34" s="465" t="s">
        <v>295</v>
      </c>
      <c r="H34" s="425">
        <f>989.8-D34-E34-I34</f>
        <v>381.59999999999997</v>
      </c>
      <c r="I34" s="425">
        <v>309.2</v>
      </c>
      <c r="J34" s="426">
        <v>13</v>
      </c>
      <c r="K34" s="465" t="s">
        <v>295</v>
      </c>
      <c r="L34" s="425">
        <f>2305.1-M34-I34-H34-E34-D34</f>
        <v>489.20000000000005</v>
      </c>
      <c r="M34" s="425">
        <f>1212.2-I34-E34</f>
        <v>826.1</v>
      </c>
      <c r="N34" s="465" t="s">
        <v>295</v>
      </c>
      <c r="O34" s="428">
        <f t="shared" si="5"/>
        <v>2305.1</v>
      </c>
      <c r="P34" s="608">
        <f>1536.7+948</f>
        <v>2484.6999999999998</v>
      </c>
      <c r="Q34" s="624" t="s">
        <v>1697</v>
      </c>
      <c r="T34" s="313"/>
      <c r="U34" s="422"/>
    </row>
    <row r="35" spans="2:21" s="351" customFormat="1" ht="16" customHeight="1">
      <c r="B35" s="424" t="s">
        <v>1604</v>
      </c>
      <c r="C35" s="424" t="s">
        <v>1558</v>
      </c>
      <c r="D35" s="425">
        <f>356-E35</f>
        <v>223.6</v>
      </c>
      <c r="E35" s="425">
        <v>132.4</v>
      </c>
      <c r="F35" s="426">
        <v>91</v>
      </c>
      <c r="G35" s="427" t="s">
        <v>1564</v>
      </c>
      <c r="H35" s="425">
        <f>736-D35-E35-I35</f>
        <v>267</v>
      </c>
      <c r="I35" s="425">
        <v>113</v>
      </c>
      <c r="J35" s="426">
        <v>13</v>
      </c>
      <c r="K35" s="465" t="s">
        <v>295</v>
      </c>
      <c r="L35" s="425">
        <f>1533-M35-I35-H35-E35-D35</f>
        <v>226.00000000000003</v>
      </c>
      <c r="M35" s="425">
        <f>816.4-I35-E35</f>
        <v>571</v>
      </c>
      <c r="N35" s="453" t="s">
        <v>1698</v>
      </c>
      <c r="O35" s="428">
        <f t="shared" si="5"/>
        <v>1533</v>
      </c>
      <c r="P35" s="608">
        <v>1083.8</v>
      </c>
      <c r="Q35" s="625" t="s">
        <v>1699</v>
      </c>
      <c r="T35" s="313"/>
      <c r="U35" s="422"/>
    </row>
    <row r="36" spans="2:21" s="351" customFormat="1" ht="16" customHeight="1">
      <c r="B36" s="424" t="s">
        <v>1607</v>
      </c>
      <c r="C36" s="424" t="s">
        <v>175</v>
      </c>
      <c r="D36" s="425">
        <f>347.3-E36</f>
        <v>279.89999999999998</v>
      </c>
      <c r="E36" s="425">
        <v>67.400000000000006</v>
      </c>
      <c r="F36" s="426">
        <v>51</v>
      </c>
      <c r="G36" s="465" t="s">
        <v>295</v>
      </c>
      <c r="H36" s="425">
        <f>1428.8-D36-E36-I36</f>
        <v>679.7</v>
      </c>
      <c r="I36" s="425">
        <v>401.8</v>
      </c>
      <c r="J36" s="426">
        <v>10</v>
      </c>
      <c r="K36" s="465" t="s">
        <v>295</v>
      </c>
      <c r="L36" s="425">
        <f>4466.8-M36-I36-H36-E36-D36</f>
        <v>689.80000000000041</v>
      </c>
      <c r="M36" s="425">
        <f>2817.4-I36-E36</f>
        <v>2348.1999999999998</v>
      </c>
      <c r="N36" s="465" t="s">
        <v>295</v>
      </c>
      <c r="O36" s="428">
        <f t="shared" si="5"/>
        <v>4466.8</v>
      </c>
      <c r="P36" s="608">
        <v>3432.8</v>
      </c>
      <c r="Q36" s="430" t="s">
        <v>1700</v>
      </c>
      <c r="T36" s="313"/>
      <c r="U36" s="422"/>
    </row>
    <row r="37" spans="2:21" s="351" customFormat="1" ht="16" customHeight="1">
      <c r="B37" s="424" t="s">
        <v>1028</v>
      </c>
      <c r="C37" s="424" t="s">
        <v>176</v>
      </c>
      <c r="D37" s="425">
        <f>447.1-E37</f>
        <v>272.5</v>
      </c>
      <c r="E37" s="425">
        <v>174.6</v>
      </c>
      <c r="F37" s="426">
        <v>61</v>
      </c>
      <c r="G37" s="465" t="s">
        <v>295</v>
      </c>
      <c r="H37" s="425">
        <f>1429-D37-E37-I37</f>
        <v>693.9</v>
      </c>
      <c r="I37" s="425">
        <v>288</v>
      </c>
      <c r="J37" s="426">
        <v>9</v>
      </c>
      <c r="K37" s="465" t="s">
        <v>295</v>
      </c>
      <c r="L37" s="425">
        <f>3594.7-M37-I37-H37-E37-D37</f>
        <v>843.59999999999945</v>
      </c>
      <c r="M37" s="425">
        <f>1784.7-I37-E37</f>
        <v>1322.1000000000001</v>
      </c>
      <c r="N37" s="465" t="s">
        <v>295</v>
      </c>
      <c r="O37" s="428">
        <f t="shared" si="5"/>
        <v>3594.7</v>
      </c>
      <c r="P37" s="608">
        <v>3027.2</v>
      </c>
      <c r="Q37" s="430"/>
      <c r="T37" s="313"/>
      <c r="U37" s="422"/>
    </row>
    <row r="38" spans="2:21" s="351" customFormat="1" ht="16" customHeight="1">
      <c r="B38" s="424" t="s">
        <v>300</v>
      </c>
      <c r="C38" s="424" t="s">
        <v>177</v>
      </c>
      <c r="D38" s="425">
        <f>559-E38</f>
        <v>460.7</v>
      </c>
      <c r="E38" s="425">
        <v>98.3</v>
      </c>
      <c r="F38" s="426">
        <v>76</v>
      </c>
      <c r="G38" s="465" t="s">
        <v>295</v>
      </c>
      <c r="H38" s="425">
        <f>1123-D38-E38-I38</f>
        <v>437.5</v>
      </c>
      <c r="I38" s="425">
        <v>126.5</v>
      </c>
      <c r="J38" s="426">
        <v>10</v>
      </c>
      <c r="K38" s="465" t="s">
        <v>295</v>
      </c>
      <c r="L38" s="425">
        <f>2210.3-M38-I38-H38-E38-D38</f>
        <v>261.80000000000024</v>
      </c>
      <c r="M38" s="425">
        <f>1025.3+25-I38-E38</f>
        <v>825.5</v>
      </c>
      <c r="N38" s="465" t="s">
        <v>295</v>
      </c>
      <c r="O38" s="428">
        <f t="shared" si="5"/>
        <v>2210.3000000000002</v>
      </c>
      <c r="P38" s="608">
        <v>1603.6</v>
      </c>
      <c r="Q38" s="430" t="s">
        <v>1679</v>
      </c>
      <c r="T38" s="313"/>
      <c r="U38" s="422"/>
    </row>
    <row r="39" spans="2:21" s="232" customFormat="1">
      <c r="B39" s="424" t="s">
        <v>1040</v>
      </c>
      <c r="C39" s="424" t="s">
        <v>1567</v>
      </c>
      <c r="D39" s="425"/>
      <c r="E39" s="425"/>
      <c r="F39" s="426"/>
      <c r="G39" s="453"/>
      <c r="H39" s="425">
        <f>218.5-D39-E39-I39</f>
        <v>204</v>
      </c>
      <c r="I39" s="425">
        <v>14.5</v>
      </c>
      <c r="J39" s="426">
        <v>5</v>
      </c>
      <c r="K39" s="453" t="s">
        <v>1698</v>
      </c>
      <c r="L39" s="425">
        <f>2584.5-M39-I39-H39-E39-D39</f>
        <v>249.5</v>
      </c>
      <c r="M39" s="425">
        <f>2131-I39-E39</f>
        <v>2116.5</v>
      </c>
      <c r="N39" s="427" t="s">
        <v>1596</v>
      </c>
      <c r="O39" s="428">
        <f t="shared" si="5"/>
        <v>2584.5</v>
      </c>
      <c r="P39" s="608">
        <v>1823.5</v>
      </c>
      <c r="Q39" s="430"/>
      <c r="S39" s="351"/>
      <c r="T39" s="313"/>
      <c r="U39" s="422"/>
    </row>
    <row r="40" spans="2:21" s="272" customFormat="1">
      <c r="B40" s="238"/>
      <c r="C40" s="238"/>
      <c r="D40" s="237"/>
      <c r="E40" s="237"/>
      <c r="F40" s="237"/>
      <c r="G40" s="234"/>
      <c r="H40" s="234"/>
      <c r="I40" s="234"/>
      <c r="J40" s="234"/>
      <c r="K40" s="234"/>
      <c r="L40" s="237"/>
      <c r="M40" s="237"/>
      <c r="N40" s="234"/>
      <c r="O40" s="239"/>
      <c r="P40" s="239"/>
      <c r="U40" s="368"/>
    </row>
    <row r="41" spans="2:21" s="272" customFormat="1">
      <c r="B41" s="238"/>
      <c r="C41" s="238"/>
      <c r="D41" s="237"/>
      <c r="E41" s="237"/>
      <c r="F41" s="237"/>
      <c r="G41" s="234"/>
      <c r="H41" s="234"/>
      <c r="I41" s="234"/>
      <c r="J41" s="234"/>
      <c r="K41" s="234"/>
      <c r="L41" s="237"/>
      <c r="M41" s="237"/>
      <c r="N41" s="234"/>
      <c r="O41" s="239"/>
      <c r="P41" s="239"/>
      <c r="S41" s="406"/>
      <c r="T41" s="406"/>
    </row>
    <row r="42" spans="2:21" s="272" customFormat="1">
      <c r="B42" s="238"/>
      <c r="C42" s="238"/>
      <c r="D42" s="237"/>
      <c r="E42" s="237"/>
      <c r="F42" s="237"/>
      <c r="G42" s="234"/>
      <c r="H42" s="234"/>
      <c r="I42" s="234"/>
      <c r="J42" s="234"/>
      <c r="K42" s="234"/>
      <c r="L42" s="237"/>
      <c r="M42" s="237"/>
      <c r="N42" s="234"/>
      <c r="O42" s="239"/>
      <c r="P42" s="239"/>
      <c r="S42" s="406"/>
      <c r="T42" s="406"/>
    </row>
    <row r="43" spans="2:21" s="272" customFormat="1">
      <c r="B43" s="238"/>
      <c r="C43" s="238"/>
      <c r="D43" s="237"/>
      <c r="E43" s="237"/>
      <c r="F43" s="237"/>
      <c r="G43" s="234"/>
      <c r="H43" s="234"/>
      <c r="I43" s="234"/>
      <c r="J43" s="234"/>
      <c r="K43" s="234"/>
      <c r="L43" s="237"/>
      <c r="M43" s="237"/>
      <c r="N43" s="234"/>
      <c r="O43" s="239"/>
      <c r="P43" s="239"/>
      <c r="S43" s="406"/>
      <c r="T43" s="406"/>
    </row>
    <row r="44" spans="2:21" s="272" customFormat="1">
      <c r="B44" s="238"/>
      <c r="C44" s="238"/>
      <c r="D44" s="237"/>
      <c r="E44" s="237"/>
      <c r="F44" s="237"/>
      <c r="G44" s="234"/>
      <c r="H44" s="234"/>
      <c r="I44" s="234"/>
      <c r="J44" s="234"/>
      <c r="K44" s="234"/>
      <c r="L44" s="237"/>
      <c r="M44" s="237"/>
      <c r="N44" s="234"/>
      <c r="O44" s="239"/>
      <c r="P44" s="239"/>
      <c r="S44" s="406"/>
      <c r="T44" s="406"/>
    </row>
    <row r="45" spans="2:21" s="272" customFormat="1">
      <c r="B45" s="238"/>
      <c r="C45" s="238"/>
      <c r="D45" s="237"/>
      <c r="E45" s="237"/>
      <c r="F45" s="237"/>
      <c r="G45" s="234"/>
      <c r="H45" s="234"/>
      <c r="I45" s="234"/>
      <c r="J45" s="234"/>
      <c r="K45" s="234"/>
      <c r="L45" s="237"/>
      <c r="M45" s="237"/>
      <c r="N45" s="234"/>
      <c r="O45" s="239"/>
      <c r="P45" s="239"/>
      <c r="S45" s="406"/>
      <c r="T45" s="406"/>
    </row>
    <row r="46" spans="2:21" s="272" customFormat="1">
      <c r="B46" s="238"/>
      <c r="C46" s="238"/>
      <c r="D46" s="237"/>
      <c r="E46" s="237"/>
      <c r="F46" s="237"/>
      <c r="G46" s="234"/>
      <c r="H46" s="234"/>
      <c r="I46" s="234"/>
      <c r="J46" s="234"/>
      <c r="K46" s="234"/>
      <c r="L46" s="237"/>
      <c r="M46" s="237"/>
      <c r="N46" s="234"/>
      <c r="O46" s="239"/>
      <c r="P46" s="239"/>
      <c r="S46" s="406"/>
      <c r="T46" s="406"/>
    </row>
    <row r="47" spans="2:21" s="272" customFormat="1">
      <c r="B47" s="238"/>
      <c r="C47" s="238"/>
      <c r="D47" s="237"/>
      <c r="E47" s="237"/>
      <c r="F47" s="237"/>
      <c r="G47" s="234"/>
      <c r="H47" s="234"/>
      <c r="I47" s="234"/>
      <c r="J47" s="234"/>
      <c r="K47" s="234"/>
      <c r="L47" s="237"/>
      <c r="M47" s="237"/>
      <c r="N47" s="234"/>
      <c r="O47" s="239"/>
      <c r="P47" s="239"/>
      <c r="S47" s="406"/>
      <c r="T47" s="406"/>
    </row>
    <row r="48" spans="2:21" s="272" customFormat="1">
      <c r="B48" s="238"/>
      <c r="C48" s="238"/>
      <c r="D48" s="237"/>
      <c r="E48" s="237"/>
      <c r="F48" s="237"/>
      <c r="G48" s="234"/>
      <c r="H48" s="234"/>
      <c r="I48" s="234"/>
      <c r="J48" s="234"/>
      <c r="K48" s="234"/>
      <c r="L48" s="237"/>
      <c r="M48" s="237"/>
      <c r="N48" s="234"/>
      <c r="O48" s="239"/>
      <c r="P48" s="239"/>
      <c r="S48" s="406"/>
      <c r="T48" s="406"/>
    </row>
    <row r="49" spans="2:20" s="272" customFormat="1">
      <c r="B49" s="238"/>
      <c r="C49" s="238"/>
      <c r="D49" s="237"/>
      <c r="E49" s="237"/>
      <c r="F49" s="237"/>
      <c r="G49" s="234"/>
      <c r="H49" s="234"/>
      <c r="I49" s="234"/>
      <c r="J49" s="234"/>
      <c r="K49" s="234"/>
      <c r="L49" s="237"/>
      <c r="M49" s="237"/>
      <c r="N49" s="234"/>
      <c r="O49" s="239"/>
      <c r="P49" s="239"/>
      <c r="S49" s="406"/>
      <c r="T49" s="406"/>
    </row>
    <row r="50" spans="2:20" s="272" customFormat="1">
      <c r="B50" s="238"/>
      <c r="C50" s="238"/>
      <c r="D50" s="237"/>
      <c r="E50" s="237"/>
      <c r="F50" s="237"/>
      <c r="G50" s="234"/>
      <c r="H50" s="234"/>
      <c r="I50" s="234"/>
      <c r="J50" s="234"/>
      <c r="K50" s="234"/>
      <c r="L50" s="237"/>
      <c r="M50" s="237"/>
      <c r="N50" s="234"/>
      <c r="O50" s="239"/>
      <c r="P50" s="239"/>
      <c r="S50" s="406"/>
      <c r="T50" s="406"/>
    </row>
    <row r="51" spans="2:20" s="272" customFormat="1">
      <c r="B51" s="238"/>
      <c r="C51" s="238"/>
      <c r="D51" s="237"/>
      <c r="E51" s="237"/>
      <c r="F51" s="237"/>
      <c r="G51" s="234"/>
      <c r="H51" s="234"/>
      <c r="I51" s="234"/>
      <c r="J51" s="234"/>
      <c r="K51" s="234"/>
      <c r="L51" s="237"/>
      <c r="M51" s="237"/>
      <c r="N51" s="234"/>
      <c r="O51" s="239"/>
      <c r="P51" s="239"/>
      <c r="S51" s="406"/>
      <c r="T51" s="406"/>
    </row>
    <row r="52" spans="2:20" s="272" customFormat="1">
      <c r="B52" s="238"/>
      <c r="C52" s="238"/>
      <c r="D52" s="237"/>
      <c r="E52" s="237"/>
      <c r="F52" s="237"/>
      <c r="G52" s="234"/>
      <c r="H52" s="234"/>
      <c r="I52" s="234"/>
      <c r="J52" s="234"/>
      <c r="K52" s="234"/>
      <c r="L52" s="237"/>
      <c r="M52" s="237"/>
      <c r="N52" s="234"/>
      <c r="O52" s="239"/>
      <c r="P52" s="239"/>
      <c r="S52" s="406"/>
      <c r="T52" s="406"/>
    </row>
    <row r="53" spans="2:20" s="272" customFormat="1">
      <c r="B53" s="238"/>
      <c r="C53" s="238"/>
      <c r="D53" s="237"/>
      <c r="E53" s="237"/>
      <c r="F53" s="237"/>
      <c r="G53" s="234"/>
      <c r="H53" s="234"/>
      <c r="I53" s="234"/>
      <c r="J53" s="234"/>
      <c r="K53" s="234"/>
      <c r="L53" s="237"/>
      <c r="M53" s="237"/>
      <c r="N53" s="234"/>
      <c r="O53" s="239"/>
      <c r="P53" s="239"/>
      <c r="S53" s="406"/>
      <c r="T53" s="406"/>
    </row>
    <row r="54" spans="2:20" s="272" customFormat="1">
      <c r="B54" s="238"/>
      <c r="C54" s="238"/>
      <c r="D54" s="237"/>
      <c r="E54" s="237"/>
      <c r="F54" s="237"/>
      <c r="G54" s="234"/>
      <c r="H54" s="234"/>
      <c r="I54" s="234"/>
      <c r="J54" s="234"/>
      <c r="K54" s="234"/>
      <c r="L54" s="237"/>
      <c r="M54" s="237"/>
      <c r="N54" s="234"/>
      <c r="O54" s="239"/>
      <c r="P54" s="239"/>
      <c r="S54" s="406"/>
      <c r="T54" s="406"/>
    </row>
    <row r="55" spans="2:20" s="272" customFormat="1">
      <c r="B55" s="238"/>
      <c r="C55" s="238"/>
      <c r="D55" s="237"/>
      <c r="E55" s="237"/>
      <c r="F55" s="237"/>
      <c r="G55" s="234"/>
      <c r="H55" s="234"/>
      <c r="I55" s="234"/>
      <c r="J55" s="234"/>
      <c r="K55" s="234"/>
      <c r="L55" s="237"/>
      <c r="M55" s="237"/>
      <c r="N55" s="234"/>
      <c r="O55" s="239"/>
      <c r="P55" s="239"/>
      <c r="S55" s="406"/>
      <c r="T55" s="406"/>
    </row>
    <row r="56" spans="2:20" s="272" customFormat="1">
      <c r="B56" s="238"/>
      <c r="C56" s="238"/>
      <c r="D56" s="237"/>
      <c r="E56" s="237"/>
      <c r="F56" s="237"/>
      <c r="G56" s="234"/>
      <c r="H56" s="234"/>
      <c r="I56" s="234"/>
      <c r="J56" s="234"/>
      <c r="K56" s="234"/>
      <c r="L56" s="237"/>
      <c r="M56" s="237"/>
      <c r="N56" s="234"/>
      <c r="O56" s="239"/>
      <c r="P56" s="239"/>
      <c r="S56" s="406"/>
      <c r="T56" s="406"/>
    </row>
    <row r="57" spans="2:20" s="272" customFormat="1">
      <c r="B57" s="238"/>
      <c r="C57" s="238"/>
      <c r="D57" s="237"/>
      <c r="E57" s="237"/>
      <c r="F57" s="237"/>
      <c r="G57" s="234"/>
      <c r="H57" s="234"/>
      <c r="I57" s="234"/>
      <c r="J57" s="234"/>
      <c r="K57" s="234"/>
      <c r="L57" s="237"/>
      <c r="M57" s="237"/>
      <c r="N57" s="234"/>
      <c r="O57" s="239"/>
      <c r="P57" s="239"/>
      <c r="S57" s="406"/>
      <c r="T57" s="406"/>
    </row>
    <row r="58" spans="2:20" s="272" customFormat="1">
      <c r="B58" s="238"/>
      <c r="C58" s="238"/>
      <c r="D58" s="237"/>
      <c r="E58" s="237"/>
      <c r="F58" s="237"/>
      <c r="G58" s="234"/>
      <c r="H58" s="234"/>
      <c r="I58" s="234"/>
      <c r="J58" s="234"/>
      <c r="K58" s="234"/>
      <c r="L58" s="237"/>
      <c r="M58" s="237"/>
      <c r="N58" s="234"/>
      <c r="O58" s="239"/>
      <c r="P58" s="239"/>
      <c r="S58" s="406"/>
      <c r="T58" s="406"/>
    </row>
    <row r="59" spans="2:20" s="272" customFormat="1">
      <c r="B59" s="238"/>
      <c r="C59" s="238"/>
      <c r="D59" s="237"/>
      <c r="E59" s="237"/>
      <c r="F59" s="237"/>
      <c r="G59" s="234"/>
      <c r="H59" s="234"/>
      <c r="I59" s="234"/>
      <c r="J59" s="234"/>
      <c r="K59" s="234"/>
      <c r="L59" s="237"/>
      <c r="M59" s="237"/>
      <c r="N59" s="234"/>
      <c r="O59" s="239"/>
      <c r="P59" s="239"/>
      <c r="S59" s="406"/>
      <c r="T59" s="406"/>
    </row>
    <row r="60" spans="2:20" s="272" customFormat="1">
      <c r="B60" s="238"/>
      <c r="C60" s="238"/>
      <c r="D60" s="237"/>
      <c r="E60" s="237"/>
      <c r="F60" s="237"/>
      <c r="G60" s="234"/>
      <c r="H60" s="234"/>
      <c r="I60" s="234"/>
      <c r="J60" s="234"/>
      <c r="K60" s="234"/>
      <c r="L60" s="237"/>
      <c r="M60" s="237"/>
      <c r="N60" s="234"/>
      <c r="O60" s="239"/>
      <c r="P60" s="239"/>
      <c r="S60" s="406"/>
      <c r="T60" s="406"/>
    </row>
    <row r="61" spans="2:20" s="272" customFormat="1">
      <c r="B61" s="238"/>
      <c r="C61" s="238"/>
      <c r="D61" s="237"/>
      <c r="E61" s="237"/>
      <c r="F61" s="237"/>
      <c r="G61" s="234"/>
      <c r="H61" s="234"/>
      <c r="I61" s="234"/>
      <c r="J61" s="234"/>
      <c r="K61" s="234"/>
      <c r="L61" s="237"/>
      <c r="M61" s="237"/>
      <c r="N61" s="234"/>
      <c r="O61" s="239"/>
      <c r="P61" s="239"/>
      <c r="S61" s="406"/>
      <c r="T61" s="406"/>
    </row>
    <row r="62" spans="2:20" s="272" customFormat="1">
      <c r="B62" s="238"/>
      <c r="C62" s="238"/>
      <c r="D62" s="237"/>
      <c r="E62" s="237"/>
      <c r="F62" s="237"/>
      <c r="G62" s="234"/>
      <c r="H62" s="234"/>
      <c r="I62" s="234"/>
      <c r="J62" s="234"/>
      <c r="K62" s="234"/>
      <c r="L62" s="237"/>
      <c r="M62" s="237"/>
      <c r="N62" s="234"/>
      <c r="O62" s="239"/>
      <c r="P62" s="239"/>
      <c r="S62" s="406"/>
      <c r="T62" s="406"/>
    </row>
    <row r="63" spans="2:20" s="272" customFormat="1">
      <c r="B63" s="238"/>
      <c r="C63" s="238"/>
      <c r="D63" s="237"/>
      <c r="E63" s="237"/>
      <c r="F63" s="237"/>
      <c r="G63" s="234"/>
      <c r="H63" s="234"/>
      <c r="I63" s="234"/>
      <c r="J63" s="234"/>
      <c r="K63" s="234"/>
      <c r="L63" s="237"/>
      <c r="M63" s="237"/>
      <c r="N63" s="234"/>
      <c r="O63" s="239"/>
      <c r="P63" s="239"/>
      <c r="S63" s="406"/>
      <c r="T63" s="406"/>
    </row>
    <row r="64" spans="2:20" s="272" customFormat="1">
      <c r="B64" s="238"/>
      <c r="C64" s="238"/>
      <c r="D64" s="237"/>
      <c r="E64" s="237"/>
      <c r="F64" s="237"/>
      <c r="G64" s="234"/>
      <c r="H64" s="234"/>
      <c r="I64" s="234"/>
      <c r="J64" s="234"/>
      <c r="K64" s="234"/>
      <c r="L64" s="237"/>
      <c r="M64" s="237"/>
      <c r="N64" s="234"/>
      <c r="O64" s="239"/>
      <c r="P64" s="239"/>
      <c r="S64" s="406"/>
      <c r="T64" s="406"/>
    </row>
    <row r="65" spans="2:20" s="272" customFormat="1">
      <c r="B65" s="238"/>
      <c r="C65" s="238"/>
      <c r="D65" s="237"/>
      <c r="E65" s="237"/>
      <c r="F65" s="237"/>
      <c r="G65" s="234"/>
      <c r="H65" s="234"/>
      <c r="I65" s="234"/>
      <c r="J65" s="234"/>
      <c r="K65" s="234"/>
      <c r="L65" s="237"/>
      <c r="M65" s="237"/>
      <c r="N65" s="234"/>
      <c r="O65" s="239"/>
      <c r="P65" s="239"/>
      <c r="S65" s="406"/>
      <c r="T65" s="406"/>
    </row>
    <row r="66" spans="2:20" s="272" customFormat="1">
      <c r="B66" s="238"/>
      <c r="C66" s="238"/>
      <c r="D66" s="237"/>
      <c r="E66" s="237"/>
      <c r="F66" s="237"/>
      <c r="G66" s="234"/>
      <c r="H66" s="234"/>
      <c r="I66" s="234"/>
      <c r="J66" s="234"/>
      <c r="K66" s="234"/>
      <c r="L66" s="237"/>
      <c r="M66" s="237"/>
      <c r="N66" s="234"/>
      <c r="O66" s="239"/>
      <c r="P66" s="239"/>
      <c r="S66" s="406"/>
      <c r="T66" s="406"/>
    </row>
    <row r="67" spans="2:20" s="272" customFormat="1">
      <c r="B67" s="238"/>
      <c r="C67" s="238"/>
      <c r="D67" s="237"/>
      <c r="E67" s="237"/>
      <c r="F67" s="237"/>
      <c r="G67" s="234"/>
      <c r="H67" s="234"/>
      <c r="I67" s="234"/>
      <c r="J67" s="234"/>
      <c r="K67" s="234"/>
      <c r="L67" s="237"/>
      <c r="M67" s="237"/>
      <c r="N67" s="234"/>
      <c r="O67" s="239"/>
      <c r="P67" s="239"/>
      <c r="S67" s="406"/>
      <c r="T67" s="406"/>
    </row>
    <row r="68" spans="2:20" s="272" customFormat="1">
      <c r="B68" s="238"/>
      <c r="C68" s="238"/>
      <c r="D68" s="237"/>
      <c r="E68" s="237"/>
      <c r="F68" s="237"/>
      <c r="G68" s="234"/>
      <c r="H68" s="234"/>
      <c r="I68" s="234"/>
      <c r="J68" s="234"/>
      <c r="K68" s="234"/>
      <c r="L68" s="237"/>
      <c r="M68" s="237"/>
      <c r="N68" s="234"/>
      <c r="O68" s="239"/>
      <c r="P68" s="239"/>
      <c r="S68" s="406"/>
      <c r="T68" s="406"/>
    </row>
    <row r="69" spans="2:20" s="272" customFormat="1">
      <c r="B69" s="238"/>
      <c r="C69" s="238"/>
      <c r="D69" s="237"/>
      <c r="E69" s="237"/>
      <c r="F69" s="237"/>
      <c r="G69" s="234"/>
      <c r="H69" s="234"/>
      <c r="I69" s="234"/>
      <c r="J69" s="234"/>
      <c r="K69" s="234"/>
      <c r="L69" s="237"/>
      <c r="M69" s="237"/>
      <c r="N69" s="234"/>
      <c r="O69" s="239"/>
      <c r="P69" s="239"/>
      <c r="S69" s="406"/>
      <c r="T69" s="406"/>
    </row>
    <row r="70" spans="2:20" s="272" customFormat="1">
      <c r="B70" s="238"/>
      <c r="C70" s="238"/>
      <c r="D70" s="237"/>
      <c r="E70" s="237"/>
      <c r="F70" s="237"/>
      <c r="G70" s="234"/>
      <c r="H70" s="234"/>
      <c r="I70" s="234"/>
      <c r="J70" s="234"/>
      <c r="K70" s="234"/>
      <c r="L70" s="237"/>
      <c r="M70" s="237"/>
      <c r="N70" s="234"/>
      <c r="O70" s="239"/>
      <c r="P70" s="239"/>
      <c r="S70" s="406"/>
      <c r="T70" s="406"/>
    </row>
    <row r="71" spans="2:20" s="272" customFormat="1">
      <c r="B71" s="238"/>
      <c r="C71" s="238"/>
      <c r="D71" s="237"/>
      <c r="E71" s="237"/>
      <c r="F71" s="237"/>
      <c r="G71" s="234"/>
      <c r="H71" s="234"/>
      <c r="I71" s="234"/>
      <c r="J71" s="234"/>
      <c r="K71" s="234"/>
      <c r="L71" s="237"/>
      <c r="M71" s="237"/>
      <c r="N71" s="234"/>
      <c r="O71" s="239"/>
      <c r="P71" s="239"/>
      <c r="S71" s="406"/>
      <c r="T71" s="406"/>
    </row>
    <row r="72" spans="2:20" s="272" customFormat="1">
      <c r="B72" s="238"/>
      <c r="C72" s="238"/>
      <c r="D72" s="237"/>
      <c r="E72" s="237"/>
      <c r="F72" s="237"/>
      <c r="G72" s="234"/>
      <c r="H72" s="234"/>
      <c r="I72" s="234"/>
      <c r="J72" s="234"/>
      <c r="K72" s="234"/>
      <c r="L72" s="237"/>
      <c r="M72" s="237"/>
      <c r="N72" s="234"/>
      <c r="O72" s="239"/>
      <c r="P72" s="239"/>
      <c r="S72" s="406"/>
      <c r="T72" s="406"/>
    </row>
    <row r="73" spans="2:20" s="272" customFormat="1">
      <c r="B73" s="238"/>
      <c r="C73" s="238"/>
      <c r="D73" s="237"/>
      <c r="E73" s="237"/>
      <c r="F73" s="237"/>
      <c r="G73" s="234"/>
      <c r="H73" s="234"/>
      <c r="I73" s="234"/>
      <c r="J73" s="234"/>
      <c r="K73" s="234"/>
      <c r="L73" s="237"/>
      <c r="M73" s="237"/>
      <c r="N73" s="234"/>
      <c r="O73" s="239"/>
      <c r="P73" s="239"/>
      <c r="S73" s="406"/>
      <c r="T73" s="406"/>
    </row>
    <row r="74" spans="2:20" s="272" customFormat="1">
      <c r="B74" s="238"/>
      <c r="C74" s="238"/>
      <c r="D74" s="237"/>
      <c r="E74" s="237"/>
      <c r="F74" s="237"/>
      <c r="G74" s="234"/>
      <c r="H74" s="234"/>
      <c r="I74" s="234"/>
      <c r="J74" s="234"/>
      <c r="K74" s="234"/>
      <c r="L74" s="237"/>
      <c r="M74" s="237"/>
      <c r="N74" s="234"/>
      <c r="O74" s="239"/>
      <c r="P74" s="239"/>
      <c r="S74" s="406"/>
      <c r="T74" s="406"/>
    </row>
    <row r="75" spans="2:20" s="272" customFormat="1">
      <c r="B75" s="238"/>
      <c r="C75" s="238"/>
      <c r="D75" s="237"/>
      <c r="E75" s="237"/>
      <c r="F75" s="237"/>
      <c r="G75" s="234"/>
      <c r="H75" s="234"/>
      <c r="I75" s="234"/>
      <c r="J75" s="234"/>
      <c r="K75" s="234"/>
      <c r="L75" s="237"/>
      <c r="M75" s="237"/>
      <c r="N75" s="234"/>
      <c r="O75" s="239"/>
      <c r="P75" s="239"/>
      <c r="S75" s="406"/>
      <c r="T75" s="406"/>
    </row>
    <row r="76" spans="2:20" s="272" customFormat="1">
      <c r="B76" s="238"/>
      <c r="C76" s="238"/>
      <c r="D76" s="237"/>
      <c r="E76" s="237"/>
      <c r="F76" s="237"/>
      <c r="G76" s="234"/>
      <c r="H76" s="234"/>
      <c r="I76" s="234"/>
      <c r="J76" s="234"/>
      <c r="K76" s="234"/>
      <c r="L76" s="237"/>
      <c r="M76" s="237"/>
      <c r="N76" s="234"/>
      <c r="O76" s="239"/>
      <c r="P76" s="239"/>
      <c r="S76" s="406"/>
      <c r="T76" s="406"/>
    </row>
    <row r="77" spans="2:20" s="272" customFormat="1">
      <c r="B77" s="238"/>
      <c r="C77" s="238"/>
      <c r="D77" s="237"/>
      <c r="E77" s="237"/>
      <c r="F77" s="237"/>
      <c r="G77" s="234"/>
      <c r="H77" s="234"/>
      <c r="I77" s="234"/>
      <c r="J77" s="234"/>
      <c r="K77" s="234"/>
      <c r="L77" s="237"/>
      <c r="M77" s="237"/>
      <c r="N77" s="234"/>
      <c r="O77" s="239"/>
      <c r="P77" s="239"/>
      <c r="S77" s="406"/>
      <c r="T77" s="406"/>
    </row>
    <row r="78" spans="2:20" s="272" customFormat="1">
      <c r="B78" s="238"/>
      <c r="C78" s="238"/>
      <c r="D78" s="237"/>
      <c r="E78" s="237"/>
      <c r="F78" s="237"/>
      <c r="G78" s="234"/>
      <c r="H78" s="234"/>
      <c r="I78" s="234"/>
      <c r="J78" s="234"/>
      <c r="K78" s="234"/>
      <c r="L78" s="237"/>
      <c r="M78" s="237"/>
      <c r="N78" s="234"/>
      <c r="O78" s="239"/>
      <c r="P78" s="239"/>
      <c r="S78" s="406"/>
      <c r="T78" s="406"/>
    </row>
    <row r="79" spans="2:20" s="272" customFormat="1">
      <c r="B79" s="238"/>
      <c r="C79" s="238"/>
      <c r="D79" s="237"/>
      <c r="E79" s="237"/>
      <c r="F79" s="237"/>
      <c r="G79" s="234"/>
      <c r="H79" s="234"/>
      <c r="I79" s="234"/>
      <c r="J79" s="234"/>
      <c r="K79" s="234"/>
      <c r="L79" s="237"/>
      <c r="M79" s="237"/>
      <c r="N79" s="234"/>
      <c r="O79" s="239"/>
      <c r="P79" s="239"/>
      <c r="S79" s="406"/>
      <c r="T79" s="406"/>
    </row>
    <row r="80" spans="2:20" s="272" customFormat="1">
      <c r="B80" s="238"/>
      <c r="C80" s="238"/>
      <c r="D80" s="237"/>
      <c r="E80" s="237"/>
      <c r="F80" s="237"/>
      <c r="G80" s="234"/>
      <c r="H80" s="234"/>
      <c r="I80" s="234"/>
      <c r="J80" s="234"/>
      <c r="K80" s="234"/>
      <c r="L80" s="237"/>
      <c r="M80" s="237"/>
      <c r="N80" s="234"/>
      <c r="O80" s="239"/>
      <c r="P80" s="239"/>
      <c r="S80" s="406"/>
      <c r="T80" s="406"/>
    </row>
    <row r="81" spans="2:20" s="272" customFormat="1">
      <c r="B81" s="238"/>
      <c r="C81" s="238"/>
      <c r="D81" s="237"/>
      <c r="E81" s="237"/>
      <c r="F81" s="237"/>
      <c r="G81" s="234"/>
      <c r="H81" s="234"/>
      <c r="I81" s="234"/>
      <c r="J81" s="234"/>
      <c r="K81" s="234"/>
      <c r="L81" s="237"/>
      <c r="M81" s="237"/>
      <c r="N81" s="234"/>
      <c r="O81" s="239"/>
      <c r="P81" s="239"/>
      <c r="S81" s="406"/>
      <c r="T81" s="406"/>
    </row>
    <row r="82" spans="2:20" s="272" customFormat="1">
      <c r="B82" s="238"/>
      <c r="C82" s="238"/>
      <c r="D82" s="237"/>
      <c r="E82" s="237"/>
      <c r="F82" s="237"/>
      <c r="G82" s="234"/>
      <c r="H82" s="234"/>
      <c r="I82" s="234"/>
      <c r="J82" s="234"/>
      <c r="K82" s="234"/>
      <c r="L82" s="237"/>
      <c r="M82" s="237"/>
      <c r="N82" s="234"/>
      <c r="O82" s="239"/>
      <c r="P82" s="239"/>
      <c r="S82" s="406"/>
      <c r="T82" s="406"/>
    </row>
    <row r="83" spans="2:20" s="272" customFormat="1">
      <c r="B83" s="238"/>
      <c r="C83" s="238"/>
      <c r="D83" s="237"/>
      <c r="E83" s="237"/>
      <c r="F83" s="237"/>
      <c r="G83" s="234"/>
      <c r="H83" s="234"/>
      <c r="I83" s="234"/>
      <c r="J83" s="234"/>
      <c r="K83" s="234"/>
      <c r="L83" s="237"/>
      <c r="M83" s="237"/>
      <c r="N83" s="234"/>
      <c r="O83" s="239"/>
      <c r="P83" s="239"/>
      <c r="S83" s="406"/>
      <c r="T83" s="406"/>
    </row>
    <row r="84" spans="2:20" s="272" customFormat="1">
      <c r="B84" s="238"/>
      <c r="C84" s="238"/>
      <c r="D84" s="237"/>
      <c r="E84" s="237"/>
      <c r="F84" s="237"/>
      <c r="G84" s="234"/>
      <c r="H84" s="234"/>
      <c r="I84" s="234"/>
      <c r="J84" s="234"/>
      <c r="K84" s="234"/>
      <c r="L84" s="237"/>
      <c r="M84" s="237"/>
      <c r="N84" s="234"/>
      <c r="O84" s="239"/>
      <c r="P84" s="239"/>
      <c r="S84" s="406"/>
      <c r="T84" s="406"/>
    </row>
    <row r="85" spans="2:20" s="272" customFormat="1">
      <c r="B85" s="238"/>
      <c r="C85" s="238"/>
      <c r="D85" s="237"/>
      <c r="E85" s="237"/>
      <c r="F85" s="237"/>
      <c r="G85" s="234"/>
      <c r="H85" s="234"/>
      <c r="I85" s="234"/>
      <c r="J85" s="234"/>
      <c r="K85" s="234"/>
      <c r="L85" s="237"/>
      <c r="M85" s="237"/>
      <c r="N85" s="234"/>
      <c r="O85" s="239"/>
      <c r="P85" s="239"/>
      <c r="S85" s="406"/>
      <c r="T85" s="406"/>
    </row>
    <row r="86" spans="2:20" s="272" customFormat="1">
      <c r="B86" s="238"/>
      <c r="C86" s="238"/>
      <c r="D86" s="237"/>
      <c r="E86" s="237"/>
      <c r="F86" s="237"/>
      <c r="G86" s="234"/>
      <c r="H86" s="234"/>
      <c r="I86" s="234"/>
      <c r="J86" s="234"/>
      <c r="K86" s="234"/>
      <c r="L86" s="237"/>
      <c r="M86" s="237"/>
      <c r="N86" s="234"/>
      <c r="O86" s="239"/>
      <c r="P86" s="239"/>
      <c r="S86" s="406"/>
      <c r="T86" s="406"/>
    </row>
    <row r="87" spans="2:20" s="272" customFormat="1">
      <c r="B87" s="238"/>
      <c r="C87" s="238"/>
      <c r="D87" s="237"/>
      <c r="E87" s="237"/>
      <c r="F87" s="237"/>
      <c r="G87" s="234"/>
      <c r="H87" s="234"/>
      <c r="I87" s="234"/>
      <c r="J87" s="234"/>
      <c r="K87" s="234"/>
      <c r="L87" s="237"/>
      <c r="M87" s="237"/>
      <c r="N87" s="234"/>
      <c r="O87" s="239"/>
      <c r="P87" s="239"/>
      <c r="S87" s="406"/>
      <c r="T87" s="406"/>
    </row>
    <row r="88" spans="2:20" s="272" customFormat="1">
      <c r="B88" s="238"/>
      <c r="C88" s="238"/>
      <c r="D88" s="237"/>
      <c r="E88" s="237"/>
      <c r="F88" s="237"/>
      <c r="G88" s="234"/>
      <c r="H88" s="234"/>
      <c r="I88" s="234"/>
      <c r="J88" s="234"/>
      <c r="K88" s="234"/>
      <c r="L88" s="237"/>
      <c r="M88" s="237"/>
      <c r="N88" s="234"/>
      <c r="O88" s="239"/>
      <c r="P88" s="239"/>
      <c r="S88" s="406"/>
      <c r="T88" s="406"/>
    </row>
    <row r="89" spans="2:20" s="272" customFormat="1">
      <c r="B89" s="238"/>
      <c r="C89" s="238"/>
      <c r="D89" s="237"/>
      <c r="E89" s="237"/>
      <c r="F89" s="237"/>
      <c r="G89" s="234"/>
      <c r="H89" s="234"/>
      <c r="I89" s="234"/>
      <c r="J89" s="234"/>
      <c r="K89" s="234"/>
      <c r="L89" s="237"/>
      <c r="M89" s="237"/>
      <c r="N89" s="234"/>
      <c r="O89" s="239"/>
      <c r="P89" s="239"/>
      <c r="S89" s="406"/>
      <c r="T89" s="406"/>
    </row>
    <row r="90" spans="2:20" s="272" customFormat="1">
      <c r="B90" s="238"/>
      <c r="C90" s="238"/>
      <c r="D90" s="237"/>
      <c r="E90" s="237"/>
      <c r="F90" s="237"/>
      <c r="G90" s="234"/>
      <c r="H90" s="234"/>
      <c r="I90" s="234"/>
      <c r="J90" s="234"/>
      <c r="K90" s="234"/>
      <c r="L90" s="237"/>
      <c r="M90" s="237"/>
      <c r="N90" s="234"/>
      <c r="O90" s="239"/>
      <c r="P90" s="239"/>
      <c r="S90" s="406"/>
      <c r="T90" s="406"/>
    </row>
    <row r="91" spans="2:20" s="272" customFormat="1">
      <c r="B91" s="238"/>
      <c r="C91" s="238"/>
      <c r="D91" s="237"/>
      <c r="E91" s="237"/>
      <c r="F91" s="237"/>
      <c r="G91" s="234"/>
      <c r="H91" s="234"/>
      <c r="I91" s="234"/>
      <c r="J91" s="234"/>
      <c r="K91" s="234"/>
      <c r="L91" s="237"/>
      <c r="M91" s="237"/>
      <c r="N91" s="234"/>
      <c r="O91" s="239"/>
      <c r="P91" s="239"/>
      <c r="S91" s="406"/>
      <c r="T91" s="406"/>
    </row>
    <row r="92" spans="2:20" s="272" customFormat="1">
      <c r="B92" s="238"/>
      <c r="C92" s="238"/>
      <c r="D92" s="237"/>
      <c r="E92" s="237"/>
      <c r="F92" s="237"/>
      <c r="G92" s="234"/>
      <c r="H92" s="234"/>
      <c r="I92" s="234"/>
      <c r="J92" s="234"/>
      <c r="K92" s="234"/>
      <c r="L92" s="237"/>
      <c r="M92" s="237"/>
      <c r="N92" s="234"/>
      <c r="O92" s="239"/>
      <c r="P92" s="239"/>
      <c r="S92" s="406"/>
      <c r="T92" s="406"/>
    </row>
    <row r="93" spans="2:20" s="272" customFormat="1">
      <c r="B93" s="238"/>
      <c r="C93" s="238"/>
      <c r="D93" s="237"/>
      <c r="E93" s="237"/>
      <c r="F93" s="237"/>
      <c r="G93" s="234"/>
      <c r="H93" s="234"/>
      <c r="I93" s="234"/>
      <c r="J93" s="234"/>
      <c r="K93" s="234"/>
      <c r="L93" s="237"/>
      <c r="M93" s="237"/>
      <c r="N93" s="234"/>
      <c r="O93" s="239"/>
      <c r="P93" s="239"/>
      <c r="S93" s="406"/>
      <c r="T93" s="406"/>
    </row>
    <row r="94" spans="2:20" s="272" customFormat="1">
      <c r="B94" s="238"/>
      <c r="C94" s="238"/>
      <c r="D94" s="237"/>
      <c r="E94" s="237"/>
      <c r="F94" s="237"/>
      <c r="G94" s="234"/>
      <c r="H94" s="234"/>
      <c r="I94" s="234"/>
      <c r="J94" s="234"/>
      <c r="K94" s="234"/>
      <c r="L94" s="237"/>
      <c r="M94" s="237"/>
      <c r="N94" s="234"/>
      <c r="O94" s="239"/>
      <c r="P94" s="239"/>
      <c r="S94" s="406"/>
      <c r="T94" s="406"/>
    </row>
    <row r="95" spans="2:20" s="272" customFormat="1">
      <c r="B95" s="238"/>
      <c r="C95" s="238"/>
      <c r="D95" s="237"/>
      <c r="E95" s="237"/>
      <c r="F95" s="237"/>
      <c r="G95" s="234"/>
      <c r="H95" s="234"/>
      <c r="I95" s="234"/>
      <c r="J95" s="234"/>
      <c r="K95" s="234"/>
      <c r="L95" s="237"/>
      <c r="M95" s="237"/>
      <c r="N95" s="234"/>
      <c r="O95" s="239"/>
      <c r="P95" s="239"/>
      <c r="S95" s="406"/>
      <c r="T95" s="406"/>
    </row>
    <row r="96" spans="2:20" s="272" customFormat="1">
      <c r="B96" s="238"/>
      <c r="C96" s="238"/>
      <c r="D96" s="237"/>
      <c r="E96" s="237"/>
      <c r="F96" s="237"/>
      <c r="G96" s="234"/>
      <c r="H96" s="234"/>
      <c r="I96" s="234"/>
      <c r="J96" s="234"/>
      <c r="K96" s="234"/>
      <c r="L96" s="237"/>
      <c r="M96" s="237"/>
      <c r="N96" s="234"/>
      <c r="O96" s="239"/>
      <c r="P96" s="239"/>
      <c r="S96" s="406"/>
      <c r="T96" s="406"/>
    </row>
    <row r="97" spans="2:20" s="272" customFormat="1">
      <c r="B97" s="238"/>
      <c r="C97" s="238"/>
      <c r="D97" s="237"/>
      <c r="E97" s="237"/>
      <c r="F97" s="237"/>
      <c r="G97" s="234"/>
      <c r="H97" s="234"/>
      <c r="I97" s="234"/>
      <c r="J97" s="234"/>
      <c r="K97" s="234"/>
      <c r="L97" s="237"/>
      <c r="M97" s="237"/>
      <c r="N97" s="234"/>
      <c r="O97" s="239"/>
      <c r="P97" s="239"/>
      <c r="S97" s="406"/>
      <c r="T97" s="406"/>
    </row>
    <row r="98" spans="2:20" s="272" customFormat="1">
      <c r="B98" s="238"/>
      <c r="C98" s="238"/>
      <c r="D98" s="237"/>
      <c r="E98" s="237"/>
      <c r="F98" s="237"/>
      <c r="G98" s="234"/>
      <c r="H98" s="234"/>
      <c r="I98" s="234"/>
      <c r="J98" s="234"/>
      <c r="K98" s="234"/>
      <c r="L98" s="237"/>
      <c r="M98" s="237"/>
      <c r="N98" s="234"/>
      <c r="O98" s="239"/>
      <c r="P98" s="239"/>
      <c r="S98" s="406"/>
      <c r="T98" s="406"/>
    </row>
    <row r="99" spans="2:20" s="272" customFormat="1">
      <c r="B99" s="238"/>
      <c r="C99" s="238"/>
      <c r="D99" s="237"/>
      <c r="E99" s="237"/>
      <c r="F99" s="237"/>
      <c r="G99" s="234"/>
      <c r="H99" s="234"/>
      <c r="I99" s="234"/>
      <c r="J99" s="234"/>
      <c r="K99" s="234"/>
      <c r="L99" s="237"/>
      <c r="M99" s="237"/>
      <c r="N99" s="234"/>
      <c r="O99" s="239"/>
      <c r="P99" s="239"/>
      <c r="S99" s="406"/>
      <c r="T99" s="406"/>
    </row>
    <row r="100" spans="2:20" s="272" customFormat="1">
      <c r="B100" s="238"/>
      <c r="C100" s="238"/>
      <c r="D100" s="237"/>
      <c r="E100" s="237"/>
      <c r="F100" s="237"/>
      <c r="G100" s="234"/>
      <c r="H100" s="234"/>
      <c r="I100" s="234"/>
      <c r="J100" s="234"/>
      <c r="K100" s="234"/>
      <c r="L100" s="237"/>
      <c r="M100" s="237"/>
      <c r="N100" s="234"/>
      <c r="O100" s="239"/>
      <c r="P100" s="239"/>
      <c r="S100" s="406"/>
      <c r="T100" s="406"/>
    </row>
    <row r="101" spans="2:20" s="272" customFormat="1">
      <c r="B101" s="238"/>
      <c r="C101" s="238"/>
      <c r="D101" s="237"/>
      <c r="E101" s="237"/>
      <c r="F101" s="237"/>
      <c r="G101" s="234"/>
      <c r="H101" s="234"/>
      <c r="I101" s="234"/>
      <c r="J101" s="234"/>
      <c r="K101" s="234"/>
      <c r="L101" s="237"/>
      <c r="M101" s="237"/>
      <c r="N101" s="234"/>
      <c r="O101" s="239"/>
      <c r="P101" s="239"/>
      <c r="S101" s="406"/>
      <c r="T101" s="406"/>
    </row>
    <row r="102" spans="2:20" s="272" customFormat="1">
      <c r="B102" s="238"/>
      <c r="C102" s="238"/>
      <c r="D102" s="237"/>
      <c r="E102" s="237"/>
      <c r="F102" s="237"/>
      <c r="G102" s="234"/>
      <c r="H102" s="234"/>
      <c r="I102" s="234"/>
      <c r="J102" s="234"/>
      <c r="K102" s="234"/>
      <c r="L102" s="237"/>
      <c r="M102" s="237"/>
      <c r="N102" s="234"/>
      <c r="O102" s="239"/>
      <c r="P102" s="239"/>
      <c r="S102" s="406"/>
      <c r="T102" s="406"/>
    </row>
    <row r="103" spans="2:20" s="272" customFormat="1">
      <c r="B103" s="238"/>
      <c r="C103" s="238"/>
      <c r="D103" s="237"/>
      <c r="E103" s="237"/>
      <c r="F103" s="237"/>
      <c r="G103" s="234"/>
      <c r="H103" s="234"/>
      <c r="I103" s="234"/>
      <c r="J103" s="234"/>
      <c r="K103" s="234"/>
      <c r="L103" s="237"/>
      <c r="M103" s="237"/>
      <c r="N103" s="234"/>
      <c r="O103" s="239"/>
      <c r="P103" s="239"/>
      <c r="S103" s="406"/>
      <c r="T103" s="406"/>
    </row>
    <row r="104" spans="2:20" s="272" customFormat="1">
      <c r="B104" s="238"/>
      <c r="C104" s="238"/>
      <c r="D104" s="237"/>
      <c r="E104" s="237"/>
      <c r="F104" s="237"/>
      <c r="G104" s="234"/>
      <c r="H104" s="234"/>
      <c r="I104" s="234"/>
      <c r="J104" s="234"/>
      <c r="K104" s="234"/>
      <c r="L104" s="237"/>
      <c r="M104" s="237"/>
      <c r="N104" s="234"/>
      <c r="O104" s="239"/>
      <c r="P104" s="239"/>
      <c r="S104" s="406"/>
      <c r="T104" s="406"/>
    </row>
    <row r="105" spans="2:20" s="272" customFormat="1">
      <c r="B105" s="238"/>
      <c r="C105" s="238"/>
      <c r="D105" s="237"/>
      <c r="E105" s="237"/>
      <c r="F105" s="237"/>
      <c r="G105" s="234"/>
      <c r="H105" s="234"/>
      <c r="I105" s="234"/>
      <c r="J105" s="234"/>
      <c r="K105" s="234"/>
      <c r="L105" s="237"/>
      <c r="M105" s="237"/>
      <c r="N105" s="234"/>
      <c r="O105" s="239"/>
      <c r="P105" s="239"/>
      <c r="S105" s="406"/>
      <c r="T105" s="406"/>
    </row>
    <row r="106" spans="2:20" s="272" customFormat="1">
      <c r="B106" s="238"/>
      <c r="C106" s="238"/>
      <c r="D106" s="237"/>
      <c r="E106" s="237"/>
      <c r="F106" s="237"/>
      <c r="G106" s="234"/>
      <c r="H106" s="234"/>
      <c r="I106" s="234"/>
      <c r="J106" s="234"/>
      <c r="K106" s="234"/>
      <c r="L106" s="237"/>
      <c r="M106" s="237"/>
      <c r="N106" s="234"/>
      <c r="O106" s="239"/>
      <c r="P106" s="239"/>
      <c r="S106" s="406"/>
      <c r="T106" s="406"/>
    </row>
    <row r="107" spans="2:20" s="272" customFormat="1">
      <c r="B107" s="238"/>
      <c r="C107" s="238"/>
      <c r="D107" s="237"/>
      <c r="E107" s="237"/>
      <c r="F107" s="237"/>
      <c r="G107" s="234"/>
      <c r="H107" s="234"/>
      <c r="I107" s="234"/>
      <c r="J107" s="234"/>
      <c r="K107" s="234"/>
      <c r="L107" s="237"/>
      <c r="M107" s="237"/>
      <c r="N107" s="234"/>
      <c r="O107" s="239"/>
      <c r="P107" s="239"/>
      <c r="S107" s="406"/>
      <c r="T107" s="406"/>
    </row>
    <row r="108" spans="2:20" s="272" customFormat="1">
      <c r="B108" s="238"/>
      <c r="C108" s="238"/>
      <c r="D108" s="237"/>
      <c r="E108" s="237"/>
      <c r="F108" s="237"/>
      <c r="G108" s="234"/>
      <c r="H108" s="234"/>
      <c r="I108" s="234"/>
      <c r="J108" s="234"/>
      <c r="K108" s="234"/>
      <c r="L108" s="237"/>
      <c r="M108" s="237"/>
      <c r="N108" s="234"/>
      <c r="O108" s="239"/>
      <c r="P108" s="239"/>
      <c r="S108" s="406"/>
      <c r="T108" s="406"/>
    </row>
    <row r="109" spans="2:20" s="272" customFormat="1">
      <c r="B109" s="238"/>
      <c r="C109" s="238"/>
      <c r="D109" s="237"/>
      <c r="E109" s="237"/>
      <c r="F109" s="237"/>
      <c r="G109" s="234"/>
      <c r="H109" s="234"/>
      <c r="I109" s="234"/>
      <c r="J109" s="234"/>
      <c r="K109" s="234"/>
      <c r="L109" s="237"/>
      <c r="M109" s="237"/>
      <c r="N109" s="234"/>
      <c r="O109" s="239"/>
      <c r="P109" s="239"/>
      <c r="S109" s="406"/>
      <c r="T109" s="406"/>
    </row>
    <row r="110" spans="2:20" s="272" customFormat="1">
      <c r="B110" s="238"/>
      <c r="C110" s="238"/>
      <c r="D110" s="237"/>
      <c r="E110" s="237"/>
      <c r="F110" s="237"/>
      <c r="G110" s="234"/>
      <c r="H110" s="234"/>
      <c r="I110" s="234"/>
      <c r="J110" s="234"/>
      <c r="K110" s="234"/>
      <c r="L110" s="237"/>
      <c r="M110" s="237"/>
      <c r="N110" s="234"/>
      <c r="O110" s="239"/>
      <c r="P110" s="239"/>
      <c r="S110" s="406"/>
      <c r="T110" s="406"/>
    </row>
    <row r="111" spans="2:20" s="272" customFormat="1">
      <c r="B111" s="238"/>
      <c r="C111" s="238"/>
      <c r="D111" s="237"/>
      <c r="E111" s="237"/>
      <c r="F111" s="237"/>
      <c r="G111" s="234"/>
      <c r="H111" s="234"/>
      <c r="I111" s="234"/>
      <c r="J111" s="234"/>
      <c r="K111" s="234"/>
      <c r="L111" s="237"/>
      <c r="M111" s="237"/>
      <c r="N111" s="234"/>
      <c r="O111" s="239"/>
      <c r="P111" s="239"/>
      <c r="S111" s="406"/>
      <c r="T111" s="406"/>
    </row>
    <row r="112" spans="2:20" s="272" customFormat="1">
      <c r="B112" s="238"/>
      <c r="C112" s="238"/>
      <c r="D112" s="237"/>
      <c r="E112" s="237"/>
      <c r="F112" s="237"/>
      <c r="G112" s="234"/>
      <c r="H112" s="234"/>
      <c r="I112" s="234"/>
      <c r="J112" s="234"/>
      <c r="K112" s="234"/>
      <c r="L112" s="237"/>
      <c r="M112" s="237"/>
      <c r="N112" s="234"/>
      <c r="O112" s="239"/>
      <c r="P112" s="239"/>
      <c r="S112" s="406"/>
      <c r="T112" s="406"/>
    </row>
    <row r="113" spans="2:20" s="272" customFormat="1">
      <c r="B113" s="238"/>
      <c r="C113" s="238"/>
      <c r="D113" s="237"/>
      <c r="E113" s="237"/>
      <c r="F113" s="237"/>
      <c r="G113" s="234"/>
      <c r="H113" s="234"/>
      <c r="I113" s="234"/>
      <c r="J113" s="234"/>
      <c r="K113" s="234"/>
      <c r="L113" s="237"/>
      <c r="M113" s="237"/>
      <c r="N113" s="234"/>
      <c r="O113" s="239"/>
      <c r="P113" s="239"/>
      <c r="S113" s="406"/>
      <c r="T113" s="406"/>
    </row>
    <row r="114" spans="2:20" s="272" customFormat="1">
      <c r="B114" s="238"/>
      <c r="C114" s="238"/>
      <c r="D114" s="237"/>
      <c r="E114" s="237"/>
      <c r="F114" s="237"/>
      <c r="G114" s="234"/>
      <c r="H114" s="234"/>
      <c r="I114" s="234"/>
      <c r="J114" s="234"/>
      <c r="K114" s="234"/>
      <c r="L114" s="237"/>
      <c r="M114" s="237"/>
      <c r="N114" s="234"/>
      <c r="O114" s="239"/>
      <c r="P114" s="239"/>
      <c r="S114" s="406"/>
      <c r="T114" s="406"/>
    </row>
    <row r="115" spans="2:20" s="272" customFormat="1">
      <c r="B115" s="238"/>
      <c r="C115" s="238"/>
      <c r="D115" s="237"/>
      <c r="E115" s="237"/>
      <c r="F115" s="237"/>
      <c r="G115" s="234"/>
      <c r="H115" s="234"/>
      <c r="I115" s="234"/>
      <c r="J115" s="234"/>
      <c r="K115" s="234"/>
      <c r="L115" s="237"/>
      <c r="M115" s="237"/>
      <c r="N115" s="234"/>
      <c r="O115" s="239"/>
      <c r="P115" s="239"/>
      <c r="S115" s="406"/>
      <c r="T115" s="406"/>
    </row>
    <row r="116" spans="2:20" s="272" customFormat="1">
      <c r="B116" s="238"/>
      <c r="C116" s="238"/>
      <c r="D116" s="237"/>
      <c r="E116" s="237"/>
      <c r="F116" s="237"/>
      <c r="G116" s="234"/>
      <c r="H116" s="234"/>
      <c r="I116" s="234"/>
      <c r="J116" s="234"/>
      <c r="K116" s="234"/>
      <c r="L116" s="237"/>
      <c r="M116" s="237"/>
      <c r="N116" s="234"/>
      <c r="O116" s="239"/>
      <c r="P116" s="239"/>
      <c r="S116" s="406"/>
      <c r="T116" s="406"/>
    </row>
    <row r="117" spans="2:20" s="272" customFormat="1">
      <c r="B117" s="238"/>
      <c r="C117" s="238"/>
      <c r="D117" s="237"/>
      <c r="E117" s="237"/>
      <c r="F117" s="237"/>
      <c r="G117" s="234"/>
      <c r="H117" s="234"/>
      <c r="I117" s="234"/>
      <c r="J117" s="234"/>
      <c r="K117" s="234"/>
      <c r="L117" s="237"/>
      <c r="M117" s="237"/>
      <c r="N117" s="234"/>
      <c r="O117" s="239"/>
      <c r="P117" s="239"/>
      <c r="S117" s="406"/>
      <c r="T117" s="406"/>
    </row>
    <row r="118" spans="2:20" s="272" customFormat="1">
      <c r="B118" s="238"/>
      <c r="C118" s="238"/>
      <c r="D118" s="237"/>
      <c r="E118" s="237"/>
      <c r="F118" s="237"/>
      <c r="G118" s="234"/>
      <c r="H118" s="234"/>
      <c r="I118" s="234"/>
      <c r="J118" s="234"/>
      <c r="K118" s="234"/>
      <c r="L118" s="237"/>
      <c r="M118" s="237"/>
      <c r="N118" s="234"/>
      <c r="O118" s="239"/>
      <c r="P118" s="239"/>
      <c r="S118" s="406"/>
      <c r="T118" s="406"/>
    </row>
    <row r="119" spans="2:20" s="272" customFormat="1">
      <c r="B119" s="238"/>
      <c r="C119" s="238"/>
      <c r="D119" s="237"/>
      <c r="E119" s="237"/>
      <c r="F119" s="237"/>
      <c r="G119" s="234"/>
      <c r="H119" s="234"/>
      <c r="I119" s="234"/>
      <c r="J119" s="234"/>
      <c r="K119" s="234"/>
      <c r="L119" s="237"/>
      <c r="M119" s="237"/>
      <c r="N119" s="234"/>
      <c r="O119" s="239"/>
      <c r="P119" s="239"/>
      <c r="S119" s="406"/>
      <c r="T119" s="406"/>
    </row>
    <row r="120" spans="2:20" s="272" customFormat="1">
      <c r="B120" s="238"/>
      <c r="C120" s="238"/>
      <c r="D120" s="237"/>
      <c r="E120" s="237"/>
      <c r="F120" s="237"/>
      <c r="G120" s="234"/>
      <c r="H120" s="234"/>
      <c r="I120" s="234"/>
      <c r="J120" s="234"/>
      <c r="K120" s="234"/>
      <c r="L120" s="237"/>
      <c r="M120" s="237"/>
      <c r="N120" s="234"/>
      <c r="O120" s="239"/>
      <c r="P120" s="239"/>
      <c r="S120" s="406"/>
      <c r="T120" s="406"/>
    </row>
    <row r="121" spans="2:20" s="272" customFormat="1">
      <c r="B121" s="238"/>
      <c r="C121" s="238"/>
      <c r="D121" s="237"/>
      <c r="E121" s="237"/>
      <c r="F121" s="237"/>
      <c r="G121" s="234"/>
      <c r="H121" s="234"/>
      <c r="I121" s="234"/>
      <c r="J121" s="234"/>
      <c r="K121" s="234"/>
      <c r="L121" s="237"/>
      <c r="M121" s="237"/>
      <c r="N121" s="234"/>
      <c r="O121" s="239"/>
      <c r="P121" s="239"/>
      <c r="S121" s="406"/>
      <c r="T121" s="406"/>
    </row>
    <row r="122" spans="2:20" s="272" customFormat="1">
      <c r="B122" s="238"/>
      <c r="C122" s="238"/>
      <c r="D122" s="237"/>
      <c r="E122" s="237"/>
      <c r="F122" s="237"/>
      <c r="G122" s="234"/>
      <c r="H122" s="234"/>
      <c r="I122" s="234"/>
      <c r="J122" s="234"/>
      <c r="K122" s="234"/>
      <c r="L122" s="237"/>
      <c r="M122" s="237"/>
      <c r="N122" s="234"/>
      <c r="O122" s="239"/>
      <c r="P122" s="239"/>
      <c r="S122" s="406"/>
      <c r="T122" s="406"/>
    </row>
    <row r="123" spans="2:20" s="272" customFormat="1">
      <c r="B123" s="238"/>
      <c r="C123" s="238"/>
      <c r="D123" s="237"/>
      <c r="E123" s="237"/>
      <c r="F123" s="237"/>
      <c r="G123" s="234"/>
      <c r="H123" s="234"/>
      <c r="I123" s="234"/>
      <c r="J123" s="234"/>
      <c r="K123" s="234"/>
      <c r="L123" s="237"/>
      <c r="M123" s="237"/>
      <c r="N123" s="234"/>
      <c r="O123" s="239"/>
      <c r="P123" s="239"/>
      <c r="S123" s="406"/>
      <c r="T123" s="406"/>
    </row>
    <row r="124" spans="2:20" s="272" customFormat="1">
      <c r="B124" s="238"/>
      <c r="C124" s="238"/>
      <c r="D124" s="237"/>
      <c r="E124" s="237"/>
      <c r="F124" s="237"/>
      <c r="G124" s="234"/>
      <c r="H124" s="234"/>
      <c r="I124" s="234"/>
      <c r="J124" s="234"/>
      <c r="K124" s="234"/>
      <c r="L124" s="237"/>
      <c r="M124" s="237"/>
      <c r="N124" s="234"/>
      <c r="O124" s="239"/>
      <c r="P124" s="239"/>
      <c r="S124" s="406"/>
      <c r="T124" s="406"/>
    </row>
    <row r="125" spans="2:20" s="272" customFormat="1">
      <c r="B125" s="238"/>
      <c r="C125" s="238"/>
      <c r="D125" s="237"/>
      <c r="E125" s="237"/>
      <c r="F125" s="237"/>
      <c r="G125" s="234"/>
      <c r="H125" s="234"/>
      <c r="I125" s="234"/>
      <c r="J125" s="234"/>
      <c r="K125" s="234"/>
      <c r="L125" s="237"/>
      <c r="M125" s="237"/>
      <c r="N125" s="234"/>
      <c r="O125" s="239"/>
      <c r="P125" s="239"/>
      <c r="S125" s="406"/>
      <c r="T125" s="406"/>
    </row>
    <row r="126" spans="2:20" s="272" customFormat="1">
      <c r="B126" s="238"/>
      <c r="C126" s="238"/>
      <c r="D126" s="237"/>
      <c r="E126" s="237"/>
      <c r="F126" s="237"/>
      <c r="G126" s="234"/>
      <c r="H126" s="234"/>
      <c r="I126" s="234"/>
      <c r="J126" s="234"/>
      <c r="K126" s="234"/>
      <c r="L126" s="237"/>
      <c r="M126" s="237"/>
      <c r="N126" s="234"/>
      <c r="O126" s="239"/>
      <c r="P126" s="239"/>
      <c r="S126" s="406"/>
      <c r="T126" s="406"/>
    </row>
    <row r="127" spans="2:20" s="272" customFormat="1">
      <c r="B127" s="238"/>
      <c r="C127" s="238"/>
      <c r="D127" s="237"/>
      <c r="E127" s="237"/>
      <c r="F127" s="237"/>
      <c r="G127" s="234"/>
      <c r="H127" s="234"/>
      <c r="I127" s="234"/>
      <c r="J127" s="234"/>
      <c r="K127" s="234"/>
      <c r="L127" s="237"/>
      <c r="M127" s="237"/>
      <c r="N127" s="234"/>
      <c r="O127" s="239"/>
      <c r="P127" s="239"/>
      <c r="S127" s="406"/>
      <c r="T127" s="406"/>
    </row>
    <row r="128" spans="2:20" s="272" customFormat="1">
      <c r="B128" s="238"/>
      <c r="C128" s="238"/>
      <c r="D128" s="237"/>
      <c r="E128" s="237"/>
      <c r="F128" s="237"/>
      <c r="G128" s="234"/>
      <c r="H128" s="234"/>
      <c r="I128" s="234"/>
      <c r="J128" s="234"/>
      <c r="K128" s="234"/>
      <c r="L128" s="237"/>
      <c r="M128" s="237"/>
      <c r="N128" s="234"/>
      <c r="O128" s="239"/>
      <c r="P128" s="239"/>
      <c r="S128" s="406"/>
      <c r="T128" s="406"/>
    </row>
    <row r="129" spans="2:20" s="272" customFormat="1">
      <c r="B129" s="238"/>
      <c r="C129" s="238"/>
      <c r="D129" s="237"/>
      <c r="E129" s="237"/>
      <c r="F129" s="237"/>
      <c r="G129" s="234"/>
      <c r="H129" s="234"/>
      <c r="I129" s="234"/>
      <c r="J129" s="234"/>
      <c r="K129" s="234"/>
      <c r="L129" s="237"/>
      <c r="M129" s="237"/>
      <c r="N129" s="234"/>
      <c r="O129" s="239"/>
      <c r="P129" s="239"/>
      <c r="S129" s="406"/>
      <c r="T129" s="406"/>
    </row>
    <row r="130" spans="2:20" s="272" customFormat="1">
      <c r="B130" s="238"/>
      <c r="C130" s="238"/>
      <c r="D130" s="237"/>
      <c r="E130" s="237"/>
      <c r="F130" s="237"/>
      <c r="G130" s="234"/>
      <c r="H130" s="234"/>
      <c r="I130" s="234"/>
      <c r="J130" s="234"/>
      <c r="K130" s="234"/>
      <c r="L130" s="237"/>
      <c r="M130" s="237"/>
      <c r="N130" s="234"/>
      <c r="O130" s="239"/>
      <c r="P130" s="239"/>
      <c r="S130" s="406"/>
      <c r="T130" s="406"/>
    </row>
    <row r="131" spans="2:20" s="272" customFormat="1">
      <c r="B131" s="238"/>
      <c r="C131" s="238"/>
      <c r="D131" s="237"/>
      <c r="E131" s="237"/>
      <c r="F131" s="237"/>
      <c r="G131" s="234"/>
      <c r="H131" s="234"/>
      <c r="I131" s="234"/>
      <c r="J131" s="234"/>
      <c r="K131" s="234"/>
      <c r="L131" s="237"/>
      <c r="M131" s="237"/>
      <c r="N131" s="234"/>
      <c r="O131" s="239"/>
      <c r="P131" s="239"/>
      <c r="S131" s="406"/>
      <c r="T131" s="406"/>
    </row>
    <row r="132" spans="2:20" s="272" customFormat="1">
      <c r="B132" s="238"/>
      <c r="C132" s="238"/>
      <c r="D132" s="237"/>
      <c r="E132" s="237"/>
      <c r="F132" s="237"/>
      <c r="G132" s="234"/>
      <c r="H132" s="234"/>
      <c r="I132" s="234"/>
      <c r="J132" s="234"/>
      <c r="K132" s="234"/>
      <c r="L132" s="237"/>
      <c r="M132" s="237"/>
      <c r="N132" s="234"/>
      <c r="O132" s="239"/>
      <c r="P132" s="239"/>
      <c r="S132" s="406"/>
      <c r="T132" s="406"/>
    </row>
    <row r="133" spans="2:20" s="272" customFormat="1">
      <c r="B133" s="238"/>
      <c r="C133" s="238"/>
      <c r="D133" s="237"/>
      <c r="E133" s="237"/>
      <c r="F133" s="237"/>
      <c r="G133" s="234"/>
      <c r="H133" s="234"/>
      <c r="I133" s="234"/>
      <c r="J133" s="234"/>
      <c r="K133" s="234"/>
      <c r="L133" s="237"/>
      <c r="M133" s="237"/>
      <c r="N133" s="234"/>
      <c r="O133" s="239"/>
      <c r="P133" s="239"/>
      <c r="S133" s="406"/>
      <c r="T133" s="406"/>
    </row>
    <row r="134" spans="2:20" s="272" customFormat="1">
      <c r="B134" s="238"/>
      <c r="C134" s="238"/>
      <c r="D134" s="237"/>
      <c r="E134" s="237"/>
      <c r="F134" s="237"/>
      <c r="G134" s="234"/>
      <c r="H134" s="234"/>
      <c r="I134" s="234"/>
      <c r="J134" s="234"/>
      <c r="K134" s="234"/>
      <c r="L134" s="237"/>
      <c r="M134" s="237"/>
      <c r="N134" s="234"/>
      <c r="O134" s="239"/>
      <c r="P134" s="239"/>
      <c r="S134" s="406"/>
      <c r="T134" s="406"/>
    </row>
    <row r="135" spans="2:20" s="272" customFormat="1">
      <c r="B135" s="238"/>
      <c r="C135" s="238"/>
      <c r="D135" s="237"/>
      <c r="E135" s="237"/>
      <c r="F135" s="237"/>
      <c r="G135" s="234"/>
      <c r="H135" s="234"/>
      <c r="I135" s="234"/>
      <c r="J135" s="234"/>
      <c r="K135" s="234"/>
      <c r="L135" s="237"/>
      <c r="M135" s="237"/>
      <c r="N135" s="234"/>
      <c r="O135" s="239"/>
      <c r="P135" s="239"/>
      <c r="S135" s="406"/>
      <c r="T135" s="406"/>
    </row>
    <row r="136" spans="2:20" s="272" customFormat="1">
      <c r="B136" s="238"/>
      <c r="C136" s="238"/>
      <c r="D136" s="237"/>
      <c r="E136" s="237"/>
      <c r="F136" s="237"/>
      <c r="G136" s="234"/>
      <c r="H136" s="234"/>
      <c r="I136" s="234"/>
      <c r="J136" s="234"/>
      <c r="K136" s="234"/>
      <c r="L136" s="237"/>
      <c r="M136" s="237"/>
      <c r="N136" s="234"/>
      <c r="O136" s="239"/>
      <c r="P136" s="239"/>
      <c r="S136" s="406"/>
      <c r="T136" s="406"/>
    </row>
    <row r="137" spans="2:20" s="272" customFormat="1">
      <c r="B137" s="238"/>
      <c r="C137" s="238"/>
      <c r="D137" s="237"/>
      <c r="E137" s="237"/>
      <c r="F137" s="237"/>
      <c r="G137" s="234"/>
      <c r="H137" s="234"/>
      <c r="I137" s="234"/>
      <c r="J137" s="234"/>
      <c r="K137" s="234"/>
      <c r="L137" s="237"/>
      <c r="M137" s="237"/>
      <c r="N137" s="234"/>
      <c r="O137" s="239"/>
      <c r="P137" s="239"/>
      <c r="S137" s="406"/>
      <c r="T137" s="406"/>
    </row>
    <row r="138" spans="2:20" s="272" customFormat="1">
      <c r="B138" s="238"/>
      <c r="C138" s="238"/>
      <c r="D138" s="237"/>
      <c r="E138" s="237"/>
      <c r="F138" s="237"/>
      <c r="G138" s="234"/>
      <c r="H138" s="234"/>
      <c r="I138" s="234"/>
      <c r="J138" s="234"/>
      <c r="K138" s="234"/>
      <c r="L138" s="237"/>
      <c r="M138" s="237"/>
      <c r="N138" s="234"/>
      <c r="O138" s="239"/>
      <c r="P138" s="239"/>
      <c r="S138" s="406"/>
      <c r="T138" s="406"/>
    </row>
    <row r="139" spans="2:20" s="272" customFormat="1">
      <c r="B139" s="238"/>
      <c r="C139" s="238"/>
      <c r="D139" s="237"/>
      <c r="E139" s="237"/>
      <c r="F139" s="237"/>
      <c r="G139" s="234"/>
      <c r="H139" s="234"/>
      <c r="I139" s="234"/>
      <c r="J139" s="234"/>
      <c r="K139" s="234"/>
      <c r="L139" s="237"/>
      <c r="M139" s="237"/>
      <c r="N139" s="234"/>
      <c r="O139" s="239"/>
      <c r="P139" s="239"/>
      <c r="S139" s="406"/>
      <c r="T139" s="406"/>
    </row>
    <row r="140" spans="2:20" s="272" customFormat="1">
      <c r="B140" s="238"/>
      <c r="C140" s="238"/>
      <c r="D140" s="237"/>
      <c r="E140" s="237"/>
      <c r="F140" s="237"/>
      <c r="G140" s="234"/>
      <c r="H140" s="234"/>
      <c r="I140" s="234"/>
      <c r="J140" s="234"/>
      <c r="K140" s="234"/>
      <c r="L140" s="237"/>
      <c r="M140" s="237"/>
      <c r="N140" s="234"/>
      <c r="O140" s="239"/>
      <c r="P140" s="239"/>
      <c r="S140" s="406"/>
      <c r="T140" s="406"/>
    </row>
    <row r="141" spans="2:20" s="272" customFormat="1">
      <c r="B141" s="238"/>
      <c r="C141" s="238"/>
      <c r="D141" s="237"/>
      <c r="E141" s="237"/>
      <c r="F141" s="237"/>
      <c r="G141" s="234"/>
      <c r="H141" s="234"/>
      <c r="I141" s="234"/>
      <c r="J141" s="234"/>
      <c r="K141" s="234"/>
      <c r="L141" s="237"/>
      <c r="M141" s="237"/>
      <c r="N141" s="234"/>
      <c r="O141" s="239"/>
      <c r="P141" s="239"/>
      <c r="S141" s="406"/>
      <c r="T141" s="406"/>
    </row>
    <row r="142" spans="2:20" s="272" customFormat="1">
      <c r="B142" s="238"/>
      <c r="C142" s="238"/>
      <c r="D142" s="237"/>
      <c r="E142" s="237"/>
      <c r="F142" s="237"/>
      <c r="G142" s="234"/>
      <c r="H142" s="234"/>
      <c r="I142" s="234"/>
      <c r="J142" s="234"/>
      <c r="K142" s="234"/>
      <c r="L142" s="237"/>
      <c r="M142" s="237"/>
      <c r="N142" s="234"/>
      <c r="O142" s="239"/>
      <c r="P142" s="239"/>
      <c r="S142" s="406"/>
      <c r="T142" s="406"/>
    </row>
    <row r="143" spans="2:20" s="272" customFormat="1">
      <c r="B143" s="238"/>
      <c r="C143" s="238"/>
      <c r="D143" s="237"/>
      <c r="E143" s="237"/>
      <c r="F143" s="237"/>
      <c r="G143" s="234"/>
      <c r="H143" s="234"/>
      <c r="I143" s="234"/>
      <c r="J143" s="234"/>
      <c r="K143" s="234"/>
      <c r="L143" s="237"/>
      <c r="M143" s="237"/>
      <c r="N143" s="234"/>
      <c r="O143" s="239"/>
      <c r="P143" s="239"/>
      <c r="S143" s="406"/>
      <c r="T143" s="406"/>
    </row>
    <row r="144" spans="2:20" s="272" customFormat="1">
      <c r="B144" s="238"/>
      <c r="C144" s="238"/>
      <c r="D144" s="237"/>
      <c r="E144" s="237"/>
      <c r="F144" s="237"/>
      <c r="G144" s="234"/>
      <c r="H144" s="234"/>
      <c r="I144" s="234"/>
      <c r="J144" s="234"/>
      <c r="K144" s="234"/>
      <c r="L144" s="237"/>
      <c r="M144" s="237"/>
      <c r="N144" s="234"/>
      <c r="O144" s="239"/>
      <c r="P144" s="239"/>
      <c r="S144" s="406"/>
      <c r="T144" s="406"/>
    </row>
    <row r="145" spans="2:20" s="272" customFormat="1">
      <c r="B145" s="238"/>
      <c r="C145" s="238"/>
      <c r="D145" s="237"/>
      <c r="E145" s="237"/>
      <c r="F145" s="237"/>
      <c r="G145" s="234"/>
      <c r="H145" s="234"/>
      <c r="I145" s="234"/>
      <c r="J145" s="234"/>
      <c r="K145" s="234"/>
      <c r="L145" s="237"/>
      <c r="M145" s="237"/>
      <c r="N145" s="234"/>
      <c r="O145" s="239"/>
      <c r="P145" s="239"/>
      <c r="S145" s="406"/>
      <c r="T145" s="406"/>
    </row>
    <row r="146" spans="2:20" s="272" customFormat="1">
      <c r="B146" s="238"/>
      <c r="C146" s="238"/>
      <c r="D146" s="237"/>
      <c r="E146" s="237"/>
      <c r="F146" s="237"/>
      <c r="G146" s="234"/>
      <c r="H146" s="234"/>
      <c r="I146" s="234"/>
      <c r="J146" s="234"/>
      <c r="K146" s="234"/>
      <c r="L146" s="237"/>
      <c r="M146" s="237"/>
      <c r="N146" s="234"/>
      <c r="O146" s="239"/>
      <c r="P146" s="239"/>
      <c r="S146" s="406"/>
      <c r="T146" s="406"/>
    </row>
    <row r="147" spans="2:20" s="272" customFormat="1">
      <c r="B147" s="238"/>
      <c r="C147" s="238"/>
      <c r="D147" s="237"/>
      <c r="E147" s="237"/>
      <c r="F147" s="237"/>
      <c r="G147" s="234"/>
      <c r="H147" s="234"/>
      <c r="I147" s="234"/>
      <c r="J147" s="234"/>
      <c r="K147" s="234"/>
      <c r="L147" s="237"/>
      <c r="M147" s="237"/>
      <c r="N147" s="234"/>
      <c r="O147" s="239"/>
      <c r="P147" s="239"/>
      <c r="S147" s="406"/>
      <c r="T147" s="406"/>
    </row>
    <row r="148" spans="2:20" s="272" customFormat="1">
      <c r="B148" s="238"/>
      <c r="C148" s="238"/>
      <c r="D148" s="237"/>
      <c r="E148" s="237"/>
      <c r="F148" s="237"/>
      <c r="G148" s="234"/>
      <c r="H148" s="234"/>
      <c r="I148" s="234"/>
      <c r="J148" s="234"/>
      <c r="K148" s="234"/>
      <c r="L148" s="237"/>
      <c r="M148" s="237"/>
      <c r="N148" s="234"/>
      <c r="O148" s="239"/>
      <c r="P148" s="239"/>
      <c r="S148" s="406"/>
      <c r="T148" s="406"/>
    </row>
    <row r="149" spans="2:20" s="272" customFormat="1">
      <c r="B149" s="238"/>
      <c r="C149" s="238"/>
      <c r="D149" s="237"/>
      <c r="E149" s="237"/>
      <c r="F149" s="237"/>
      <c r="G149" s="234"/>
      <c r="H149" s="234"/>
      <c r="I149" s="234"/>
      <c r="J149" s="234"/>
      <c r="K149" s="234"/>
      <c r="L149" s="237"/>
      <c r="M149" s="237"/>
      <c r="N149" s="234"/>
      <c r="O149" s="239"/>
      <c r="P149" s="239"/>
      <c r="S149" s="406"/>
      <c r="T149" s="406"/>
    </row>
    <row r="150" spans="2:20" s="272" customFormat="1">
      <c r="B150" s="238"/>
      <c r="C150" s="238"/>
      <c r="D150" s="237"/>
      <c r="E150" s="237"/>
      <c r="F150" s="237"/>
      <c r="G150" s="234"/>
      <c r="H150" s="234"/>
      <c r="I150" s="234"/>
      <c r="J150" s="234"/>
      <c r="K150" s="234"/>
      <c r="L150" s="237"/>
      <c r="M150" s="237"/>
      <c r="N150" s="234"/>
      <c r="O150" s="239"/>
      <c r="P150" s="239"/>
      <c r="S150" s="406"/>
      <c r="T150" s="406"/>
    </row>
    <row r="151" spans="2:20" s="272" customFormat="1">
      <c r="B151" s="238"/>
      <c r="C151" s="238"/>
      <c r="D151" s="237"/>
      <c r="E151" s="237"/>
      <c r="F151" s="237"/>
      <c r="G151" s="234"/>
      <c r="H151" s="234"/>
      <c r="I151" s="234"/>
      <c r="J151" s="234"/>
      <c r="K151" s="234"/>
      <c r="L151" s="237"/>
      <c r="M151" s="237"/>
      <c r="N151" s="234"/>
      <c r="O151" s="239"/>
      <c r="P151" s="239"/>
      <c r="S151" s="406"/>
      <c r="T151" s="406"/>
    </row>
    <row r="152" spans="2:20" s="272" customFormat="1">
      <c r="B152" s="238"/>
      <c r="C152" s="238"/>
      <c r="D152" s="237"/>
      <c r="E152" s="237"/>
      <c r="F152" s="237"/>
      <c r="G152" s="234"/>
      <c r="H152" s="234"/>
      <c r="I152" s="234"/>
      <c r="J152" s="234"/>
      <c r="K152" s="234"/>
      <c r="L152" s="237"/>
      <c r="M152" s="237"/>
      <c r="N152" s="234"/>
      <c r="O152" s="239"/>
      <c r="P152" s="239"/>
      <c r="S152" s="406"/>
      <c r="T152" s="406"/>
    </row>
    <row r="153" spans="2:20" s="272" customFormat="1">
      <c r="B153" s="238"/>
      <c r="C153" s="238"/>
      <c r="D153" s="237"/>
      <c r="E153" s="237"/>
      <c r="F153" s="237"/>
      <c r="G153" s="234"/>
      <c r="H153" s="234"/>
      <c r="I153" s="234"/>
      <c r="J153" s="234"/>
      <c r="K153" s="234"/>
      <c r="L153" s="237"/>
      <c r="M153" s="237"/>
      <c r="N153" s="234"/>
      <c r="O153" s="239"/>
      <c r="P153" s="239"/>
      <c r="S153" s="406"/>
      <c r="T153" s="406"/>
    </row>
    <row r="154" spans="2:20" s="272" customFormat="1">
      <c r="B154" s="238"/>
      <c r="C154" s="238"/>
      <c r="D154" s="237"/>
      <c r="E154" s="237"/>
      <c r="F154" s="237"/>
      <c r="G154" s="234"/>
      <c r="H154" s="234"/>
      <c r="I154" s="234"/>
      <c r="J154" s="234"/>
      <c r="K154" s="234"/>
      <c r="L154" s="237"/>
      <c r="M154" s="237"/>
      <c r="N154" s="234"/>
      <c r="O154" s="239"/>
      <c r="P154" s="239"/>
      <c r="S154" s="406"/>
      <c r="T154" s="406"/>
    </row>
    <row r="155" spans="2:20" s="272" customFormat="1">
      <c r="B155" s="238"/>
      <c r="C155" s="238"/>
      <c r="D155" s="237"/>
      <c r="E155" s="237"/>
      <c r="F155" s="237"/>
      <c r="G155" s="234"/>
      <c r="H155" s="234"/>
      <c r="I155" s="234"/>
      <c r="J155" s="234"/>
      <c r="K155" s="234"/>
      <c r="L155" s="237"/>
      <c r="M155" s="237"/>
      <c r="N155" s="234"/>
      <c r="O155" s="239"/>
      <c r="P155" s="239"/>
      <c r="S155" s="406"/>
      <c r="T155" s="406"/>
    </row>
    <row r="156" spans="2:20" s="272" customFormat="1">
      <c r="B156" s="238"/>
      <c r="C156" s="238"/>
      <c r="D156" s="237"/>
      <c r="E156" s="237"/>
      <c r="F156" s="237"/>
      <c r="G156" s="234"/>
      <c r="H156" s="234"/>
      <c r="I156" s="234"/>
      <c r="J156" s="234"/>
      <c r="K156" s="234"/>
      <c r="L156" s="237"/>
      <c r="M156" s="237"/>
      <c r="N156" s="234"/>
      <c r="O156" s="239"/>
      <c r="P156" s="239"/>
      <c r="S156" s="406"/>
      <c r="T156" s="406"/>
    </row>
    <row r="157" spans="2:20" s="272" customFormat="1">
      <c r="B157" s="238"/>
      <c r="C157" s="238"/>
      <c r="D157" s="237"/>
      <c r="E157" s="237"/>
      <c r="F157" s="237"/>
      <c r="G157" s="234"/>
      <c r="H157" s="234"/>
      <c r="I157" s="234"/>
      <c r="J157" s="234"/>
      <c r="K157" s="234"/>
      <c r="L157" s="237"/>
      <c r="M157" s="237"/>
      <c r="N157" s="234"/>
      <c r="O157" s="239"/>
      <c r="P157" s="239"/>
      <c r="S157" s="406"/>
      <c r="T157" s="406"/>
    </row>
    <row r="158" spans="2:20" s="272" customFormat="1">
      <c r="B158" s="238"/>
      <c r="C158" s="238"/>
      <c r="D158" s="237"/>
      <c r="E158" s="237"/>
      <c r="F158" s="237"/>
      <c r="G158" s="234"/>
      <c r="H158" s="234"/>
      <c r="I158" s="234"/>
      <c r="J158" s="234"/>
      <c r="K158" s="234"/>
      <c r="L158" s="237"/>
      <c r="M158" s="237"/>
      <c r="N158" s="234"/>
      <c r="O158" s="239"/>
      <c r="P158" s="239"/>
      <c r="S158" s="406"/>
      <c r="T158" s="406"/>
    </row>
    <row r="159" spans="2:20" s="272" customFormat="1">
      <c r="B159" s="238"/>
      <c r="C159" s="238"/>
      <c r="D159" s="237"/>
      <c r="E159" s="237"/>
      <c r="F159" s="237"/>
      <c r="G159" s="234"/>
      <c r="H159" s="234"/>
      <c r="I159" s="234"/>
      <c r="J159" s="234"/>
      <c r="K159" s="234"/>
      <c r="L159" s="237"/>
      <c r="M159" s="237"/>
      <c r="N159" s="234"/>
      <c r="O159" s="239"/>
      <c r="P159" s="239"/>
      <c r="S159" s="406"/>
      <c r="T159" s="406"/>
    </row>
    <row r="160" spans="2:20" s="272" customFormat="1">
      <c r="B160" s="238"/>
      <c r="C160" s="238"/>
      <c r="D160" s="237"/>
      <c r="E160" s="237"/>
      <c r="F160" s="237"/>
      <c r="G160" s="234"/>
      <c r="H160" s="234"/>
      <c r="I160" s="234"/>
      <c r="J160" s="234"/>
      <c r="K160" s="234"/>
      <c r="L160" s="237"/>
      <c r="M160" s="237"/>
      <c r="N160" s="234"/>
      <c r="O160" s="239"/>
      <c r="P160" s="239"/>
      <c r="S160" s="406"/>
      <c r="T160" s="406"/>
    </row>
    <row r="161" spans="2:20" s="272" customFormat="1">
      <c r="B161" s="238"/>
      <c r="C161" s="238"/>
      <c r="D161" s="237"/>
      <c r="E161" s="237"/>
      <c r="F161" s="237"/>
      <c r="G161" s="234"/>
      <c r="H161" s="234"/>
      <c r="I161" s="234"/>
      <c r="J161" s="234"/>
      <c r="K161" s="234"/>
      <c r="L161" s="237"/>
      <c r="M161" s="237"/>
      <c r="N161" s="234"/>
      <c r="O161" s="239"/>
      <c r="P161" s="239"/>
      <c r="S161" s="406"/>
      <c r="T161" s="406"/>
    </row>
    <row r="162" spans="2:20" s="272" customFormat="1">
      <c r="B162" s="238"/>
      <c r="C162" s="238"/>
      <c r="D162" s="237"/>
      <c r="E162" s="237"/>
      <c r="F162" s="237"/>
      <c r="G162" s="234"/>
      <c r="H162" s="234"/>
      <c r="I162" s="234"/>
      <c r="J162" s="234"/>
      <c r="K162" s="234"/>
      <c r="L162" s="237"/>
      <c r="M162" s="237"/>
      <c r="N162" s="234"/>
      <c r="O162" s="239"/>
      <c r="P162" s="239"/>
      <c r="S162" s="406"/>
      <c r="T162" s="406"/>
    </row>
    <row r="163" spans="2:20" s="272" customFormat="1">
      <c r="B163" s="238"/>
      <c r="C163" s="238"/>
      <c r="D163" s="237"/>
      <c r="E163" s="237"/>
      <c r="F163" s="237"/>
      <c r="G163" s="234"/>
      <c r="H163" s="234"/>
      <c r="I163" s="234"/>
      <c r="J163" s="234"/>
      <c r="K163" s="234"/>
      <c r="L163" s="237"/>
      <c r="M163" s="237"/>
      <c r="N163" s="234"/>
      <c r="O163" s="239"/>
      <c r="P163" s="239"/>
      <c r="S163" s="406"/>
      <c r="T163" s="406"/>
    </row>
    <row r="164" spans="2:20" s="272" customFormat="1">
      <c r="B164" s="238"/>
      <c r="C164" s="238"/>
      <c r="D164" s="237"/>
      <c r="E164" s="237"/>
      <c r="F164" s="237"/>
      <c r="G164" s="234"/>
      <c r="H164" s="234"/>
      <c r="I164" s="234"/>
      <c r="J164" s="234"/>
      <c r="K164" s="234"/>
      <c r="L164" s="237"/>
      <c r="M164" s="237"/>
      <c r="N164" s="234"/>
      <c r="O164" s="239"/>
      <c r="P164" s="239"/>
      <c r="S164" s="406"/>
      <c r="T164" s="406"/>
    </row>
    <row r="165" spans="2:20" s="272" customFormat="1">
      <c r="B165" s="238"/>
      <c r="C165" s="238"/>
      <c r="D165" s="237"/>
      <c r="E165" s="237"/>
      <c r="F165" s="237"/>
      <c r="G165" s="234"/>
      <c r="H165" s="234"/>
      <c r="I165" s="234"/>
      <c r="J165" s="234"/>
      <c r="K165" s="234"/>
      <c r="L165" s="237"/>
      <c r="M165" s="237"/>
      <c r="N165" s="234"/>
      <c r="O165" s="239"/>
      <c r="P165" s="239"/>
      <c r="S165" s="406"/>
      <c r="T165" s="406"/>
    </row>
    <row r="166" spans="2:20" s="272" customFormat="1">
      <c r="B166" s="238"/>
      <c r="C166" s="238"/>
      <c r="D166" s="237"/>
      <c r="E166" s="237"/>
      <c r="F166" s="237"/>
      <c r="G166" s="234"/>
      <c r="H166" s="234"/>
      <c r="I166" s="234"/>
      <c r="J166" s="234"/>
      <c r="K166" s="234"/>
      <c r="L166" s="237"/>
      <c r="M166" s="237"/>
      <c r="N166" s="234"/>
      <c r="O166" s="239"/>
      <c r="P166" s="239"/>
      <c r="S166" s="406"/>
      <c r="T166" s="406"/>
    </row>
    <row r="167" spans="2:20" s="272" customFormat="1">
      <c r="B167" s="238"/>
      <c r="C167" s="238"/>
      <c r="D167" s="237"/>
      <c r="E167" s="237"/>
      <c r="F167" s="237"/>
      <c r="G167" s="234"/>
      <c r="H167" s="234"/>
      <c r="I167" s="234"/>
      <c r="J167" s="234"/>
      <c r="K167" s="234"/>
      <c r="L167" s="237"/>
      <c r="M167" s="237"/>
      <c r="N167" s="234"/>
      <c r="O167" s="239"/>
      <c r="P167" s="239"/>
      <c r="S167" s="406"/>
      <c r="T167" s="406"/>
    </row>
    <row r="168" spans="2:20" s="272" customFormat="1">
      <c r="B168" s="238"/>
      <c r="C168" s="238"/>
      <c r="D168" s="237"/>
      <c r="E168" s="237"/>
      <c r="F168" s="237"/>
      <c r="G168" s="234"/>
      <c r="H168" s="234"/>
      <c r="I168" s="234"/>
      <c r="J168" s="234"/>
      <c r="K168" s="234"/>
      <c r="L168" s="237"/>
      <c r="M168" s="237"/>
      <c r="N168" s="234"/>
      <c r="O168" s="239"/>
      <c r="P168" s="239"/>
      <c r="S168" s="406"/>
      <c r="T168" s="406"/>
    </row>
    <row r="169" spans="2:20" s="272" customFormat="1">
      <c r="B169" s="238"/>
      <c r="C169" s="238"/>
      <c r="D169" s="237"/>
      <c r="E169" s="237"/>
      <c r="F169" s="237"/>
      <c r="G169" s="234"/>
      <c r="H169" s="234"/>
      <c r="I169" s="234"/>
      <c r="J169" s="234"/>
      <c r="K169" s="234"/>
      <c r="L169" s="237"/>
      <c r="M169" s="237"/>
      <c r="N169" s="234"/>
      <c r="O169" s="239"/>
      <c r="P169" s="239"/>
      <c r="S169" s="406"/>
      <c r="T169" s="406"/>
    </row>
    <row r="170" spans="2:20" s="272" customFormat="1">
      <c r="B170" s="238"/>
      <c r="C170" s="238"/>
      <c r="D170" s="237"/>
      <c r="E170" s="237"/>
      <c r="F170" s="237"/>
      <c r="G170" s="234"/>
      <c r="H170" s="234"/>
      <c r="I170" s="234"/>
      <c r="J170" s="234"/>
      <c r="K170" s="234"/>
      <c r="L170" s="237"/>
      <c r="M170" s="237"/>
      <c r="N170" s="234"/>
      <c r="O170" s="239"/>
      <c r="P170" s="239"/>
      <c r="S170" s="406"/>
      <c r="T170" s="406"/>
    </row>
    <row r="171" spans="2:20" s="272" customFormat="1">
      <c r="B171" s="238"/>
      <c r="C171" s="238"/>
      <c r="D171" s="237"/>
      <c r="E171" s="237"/>
      <c r="F171" s="237"/>
      <c r="G171" s="234"/>
      <c r="H171" s="234"/>
      <c r="I171" s="234"/>
      <c r="J171" s="234"/>
      <c r="K171" s="234"/>
      <c r="L171" s="237"/>
      <c r="M171" s="237"/>
      <c r="N171" s="234"/>
      <c r="O171" s="239"/>
      <c r="P171" s="239"/>
      <c r="S171" s="406"/>
      <c r="T171" s="406"/>
    </row>
    <row r="172" spans="2:20" s="272" customFormat="1">
      <c r="B172" s="238"/>
      <c r="C172" s="238"/>
      <c r="D172" s="237"/>
      <c r="E172" s="237"/>
      <c r="F172" s="237"/>
      <c r="G172" s="234"/>
      <c r="H172" s="234"/>
      <c r="I172" s="234"/>
      <c r="J172" s="234"/>
      <c r="K172" s="234"/>
      <c r="L172" s="237"/>
      <c r="M172" s="237"/>
      <c r="N172" s="234"/>
      <c r="O172" s="239"/>
      <c r="P172" s="239"/>
      <c r="S172" s="406"/>
      <c r="T172" s="406"/>
    </row>
    <row r="173" spans="2:20" s="272" customFormat="1">
      <c r="B173" s="238"/>
      <c r="C173" s="238"/>
      <c r="D173" s="237"/>
      <c r="E173" s="237"/>
      <c r="F173" s="237"/>
      <c r="G173" s="234"/>
      <c r="H173" s="234"/>
      <c r="I173" s="234"/>
      <c r="J173" s="234"/>
      <c r="K173" s="234"/>
      <c r="L173" s="237"/>
      <c r="M173" s="237"/>
      <c r="N173" s="234"/>
      <c r="O173" s="239"/>
      <c r="P173" s="239"/>
      <c r="S173" s="406"/>
      <c r="T173" s="406"/>
    </row>
    <row r="174" spans="2:20" s="272" customFormat="1">
      <c r="B174" s="238"/>
      <c r="C174" s="238"/>
      <c r="D174" s="237"/>
      <c r="E174" s="237"/>
      <c r="F174" s="237"/>
      <c r="G174" s="234"/>
      <c r="H174" s="234"/>
      <c r="I174" s="234"/>
      <c r="J174" s="234"/>
      <c r="K174" s="234"/>
      <c r="L174" s="237"/>
      <c r="M174" s="237"/>
      <c r="N174" s="234"/>
      <c r="O174" s="239"/>
      <c r="P174" s="239"/>
      <c r="S174" s="406"/>
      <c r="T174" s="406"/>
    </row>
    <row r="175" spans="2:20" s="272" customFormat="1">
      <c r="B175" s="238"/>
      <c r="C175" s="238"/>
      <c r="D175" s="237"/>
      <c r="E175" s="237"/>
      <c r="F175" s="237"/>
      <c r="G175" s="234"/>
      <c r="H175" s="234"/>
      <c r="I175" s="234"/>
      <c r="J175" s="234"/>
      <c r="K175" s="234"/>
      <c r="L175" s="237"/>
      <c r="M175" s="237"/>
      <c r="N175" s="234"/>
      <c r="O175" s="239"/>
      <c r="P175" s="239"/>
      <c r="S175" s="406"/>
      <c r="T175" s="406"/>
    </row>
    <row r="176" spans="2:20" s="272" customFormat="1">
      <c r="B176" s="238"/>
      <c r="C176" s="238"/>
      <c r="D176" s="237"/>
      <c r="E176" s="237"/>
      <c r="F176" s="237"/>
      <c r="G176" s="234"/>
      <c r="H176" s="234"/>
      <c r="I176" s="234"/>
      <c r="J176" s="234"/>
      <c r="K176" s="234"/>
      <c r="L176" s="237"/>
      <c r="M176" s="237"/>
      <c r="N176" s="234"/>
      <c r="O176" s="239"/>
      <c r="P176" s="239"/>
      <c r="S176" s="406"/>
      <c r="T176" s="406"/>
    </row>
    <row r="177" spans="2:20" s="272" customFormat="1">
      <c r="B177" s="238"/>
      <c r="C177" s="238"/>
      <c r="D177" s="237"/>
      <c r="E177" s="237"/>
      <c r="F177" s="237"/>
      <c r="G177" s="234"/>
      <c r="H177" s="234"/>
      <c r="I177" s="234"/>
      <c r="J177" s="234"/>
      <c r="K177" s="234"/>
      <c r="L177" s="237"/>
      <c r="M177" s="237"/>
      <c r="N177" s="234"/>
      <c r="O177" s="239"/>
      <c r="P177" s="239"/>
      <c r="S177" s="406"/>
      <c r="T177" s="406"/>
    </row>
    <row r="178" spans="2:20" s="272" customFormat="1">
      <c r="B178" s="238"/>
      <c r="C178" s="238"/>
      <c r="D178" s="237"/>
      <c r="E178" s="237"/>
      <c r="F178" s="237"/>
      <c r="G178" s="234"/>
      <c r="H178" s="234"/>
      <c r="I178" s="234"/>
      <c r="J178" s="234"/>
      <c r="K178" s="234"/>
      <c r="L178" s="237"/>
      <c r="M178" s="237"/>
      <c r="N178" s="234"/>
      <c r="O178" s="239"/>
      <c r="P178" s="239"/>
      <c r="S178" s="406"/>
      <c r="T178" s="406"/>
    </row>
    <row r="179" spans="2:20" s="272" customFormat="1">
      <c r="B179" s="238"/>
      <c r="C179" s="238"/>
      <c r="D179" s="237"/>
      <c r="E179" s="237"/>
      <c r="F179" s="237"/>
      <c r="G179" s="234"/>
      <c r="H179" s="234"/>
      <c r="I179" s="234"/>
      <c r="J179" s="234"/>
      <c r="K179" s="234"/>
      <c r="L179" s="237"/>
      <c r="M179" s="237"/>
      <c r="N179" s="234"/>
      <c r="O179" s="239"/>
      <c r="P179" s="239"/>
      <c r="S179" s="406"/>
      <c r="T179" s="406"/>
    </row>
    <row r="180" spans="2:20" s="272" customFormat="1">
      <c r="B180" s="238"/>
      <c r="C180" s="238"/>
      <c r="D180" s="237"/>
      <c r="E180" s="237"/>
      <c r="F180" s="237"/>
      <c r="G180" s="234"/>
      <c r="H180" s="234"/>
      <c r="I180" s="234"/>
      <c r="J180" s="234"/>
      <c r="K180" s="234"/>
      <c r="L180" s="237"/>
      <c r="M180" s="237"/>
      <c r="N180" s="234"/>
      <c r="O180" s="239"/>
      <c r="P180" s="239"/>
      <c r="S180" s="406"/>
      <c r="T180" s="406"/>
    </row>
    <row r="181" spans="2:20" s="272" customFormat="1">
      <c r="B181" s="238"/>
      <c r="C181" s="238"/>
      <c r="D181" s="237"/>
      <c r="E181" s="237"/>
      <c r="F181" s="237"/>
      <c r="G181" s="234"/>
      <c r="H181" s="234"/>
      <c r="I181" s="234"/>
      <c r="J181" s="234"/>
      <c r="K181" s="234"/>
      <c r="L181" s="237"/>
      <c r="M181" s="237"/>
      <c r="N181" s="234"/>
      <c r="O181" s="239"/>
      <c r="P181" s="239"/>
      <c r="S181" s="406"/>
      <c r="T181" s="406"/>
    </row>
    <row r="182" spans="2:20" s="272" customFormat="1">
      <c r="B182" s="238"/>
      <c r="C182" s="238"/>
      <c r="D182" s="237"/>
      <c r="E182" s="237"/>
      <c r="F182" s="237"/>
      <c r="G182" s="234"/>
      <c r="H182" s="234"/>
      <c r="I182" s="234"/>
      <c r="J182" s="234"/>
      <c r="K182" s="234"/>
      <c r="L182" s="237"/>
      <c r="M182" s="237"/>
      <c r="N182" s="234"/>
      <c r="O182" s="239"/>
      <c r="P182" s="239"/>
      <c r="S182" s="406"/>
      <c r="T182" s="406"/>
    </row>
    <row r="183" spans="2:20" s="272" customFormat="1">
      <c r="B183" s="238"/>
      <c r="C183" s="238"/>
      <c r="D183" s="237"/>
      <c r="E183" s="237"/>
      <c r="F183" s="237"/>
      <c r="G183" s="234"/>
      <c r="H183" s="234"/>
      <c r="I183" s="234"/>
      <c r="J183" s="234"/>
      <c r="K183" s="234"/>
      <c r="L183" s="237"/>
      <c r="M183" s="237"/>
      <c r="N183" s="234"/>
      <c r="O183" s="239"/>
      <c r="P183" s="239"/>
      <c r="S183" s="406"/>
      <c r="T183" s="406"/>
    </row>
    <row r="184" spans="2:20" s="272" customFormat="1">
      <c r="B184" s="238"/>
      <c r="C184" s="238"/>
      <c r="D184" s="237"/>
      <c r="E184" s="237"/>
      <c r="F184" s="237"/>
      <c r="G184" s="234"/>
      <c r="H184" s="234"/>
      <c r="I184" s="234"/>
      <c r="J184" s="234"/>
      <c r="K184" s="234"/>
      <c r="L184" s="237"/>
      <c r="M184" s="237"/>
      <c r="N184" s="234"/>
      <c r="O184" s="239"/>
      <c r="P184" s="239"/>
      <c r="S184" s="406"/>
      <c r="T184" s="406"/>
    </row>
    <row r="185" spans="2:20" s="272" customFormat="1">
      <c r="B185" s="238"/>
      <c r="C185" s="238"/>
      <c r="D185" s="237"/>
      <c r="E185" s="237"/>
      <c r="F185" s="237"/>
      <c r="G185" s="234"/>
      <c r="H185" s="234"/>
      <c r="I185" s="234"/>
      <c r="J185" s="234"/>
      <c r="K185" s="234"/>
      <c r="L185" s="237"/>
      <c r="M185" s="237"/>
      <c r="N185" s="234"/>
      <c r="O185" s="239"/>
      <c r="P185" s="239"/>
      <c r="S185" s="406"/>
      <c r="T185" s="406"/>
    </row>
    <row r="186" spans="2:20" s="272" customFormat="1">
      <c r="B186" s="238"/>
      <c r="C186" s="238"/>
      <c r="D186" s="237"/>
      <c r="E186" s="237"/>
      <c r="F186" s="237"/>
      <c r="G186" s="234"/>
      <c r="H186" s="234"/>
      <c r="I186" s="234"/>
      <c r="J186" s="234"/>
      <c r="K186" s="234"/>
      <c r="L186" s="237"/>
      <c r="M186" s="237"/>
      <c r="N186" s="234"/>
      <c r="O186" s="239"/>
      <c r="P186" s="239"/>
      <c r="S186" s="406"/>
      <c r="T186" s="406"/>
    </row>
    <row r="187" spans="2:20" s="272" customFormat="1">
      <c r="B187" s="238"/>
      <c r="C187" s="238"/>
      <c r="D187" s="237"/>
      <c r="E187" s="237"/>
      <c r="F187" s="237"/>
      <c r="G187" s="234"/>
      <c r="H187" s="234"/>
      <c r="I187" s="234"/>
      <c r="J187" s="234"/>
      <c r="K187" s="234"/>
      <c r="L187" s="237"/>
      <c r="M187" s="237"/>
      <c r="N187" s="234"/>
      <c r="O187" s="239"/>
      <c r="P187" s="239"/>
      <c r="S187" s="406"/>
      <c r="T187" s="406"/>
    </row>
    <row r="188" spans="2:20" s="272" customFormat="1">
      <c r="B188" s="238"/>
      <c r="C188" s="238"/>
      <c r="D188" s="237"/>
      <c r="E188" s="237"/>
      <c r="F188" s="237"/>
      <c r="G188" s="234"/>
      <c r="H188" s="234"/>
      <c r="I188" s="234"/>
      <c r="J188" s="234"/>
      <c r="K188" s="234"/>
      <c r="L188" s="237"/>
      <c r="M188" s="237"/>
      <c r="N188" s="234"/>
      <c r="O188" s="239"/>
      <c r="P188" s="239"/>
      <c r="S188" s="406"/>
      <c r="T188" s="406"/>
    </row>
    <row r="189" spans="2:20" s="272" customFormat="1">
      <c r="B189" s="238"/>
      <c r="C189" s="238"/>
      <c r="D189" s="237"/>
      <c r="E189" s="237"/>
      <c r="F189" s="237"/>
      <c r="G189" s="234"/>
      <c r="H189" s="234"/>
      <c r="I189" s="234"/>
      <c r="J189" s="234"/>
      <c r="K189" s="234"/>
      <c r="L189" s="237"/>
      <c r="M189" s="237"/>
      <c r="N189" s="234"/>
      <c r="O189" s="239"/>
      <c r="P189" s="239"/>
      <c r="S189" s="406"/>
      <c r="T189" s="406"/>
    </row>
    <row r="190" spans="2:20" s="272" customFormat="1">
      <c r="B190" s="238"/>
      <c r="C190" s="238"/>
      <c r="D190" s="237"/>
      <c r="E190" s="237"/>
      <c r="F190" s="237"/>
      <c r="G190" s="234"/>
      <c r="H190" s="234"/>
      <c r="I190" s="234"/>
      <c r="J190" s="234"/>
      <c r="K190" s="234"/>
      <c r="L190" s="237"/>
      <c r="M190" s="237"/>
      <c r="N190" s="234"/>
      <c r="O190" s="239"/>
      <c r="P190" s="239"/>
      <c r="S190" s="406"/>
      <c r="T190" s="406"/>
    </row>
    <row r="191" spans="2:20" s="272" customFormat="1">
      <c r="B191" s="238"/>
      <c r="C191" s="238"/>
      <c r="D191" s="237"/>
      <c r="E191" s="237"/>
      <c r="F191" s="237"/>
      <c r="G191" s="234"/>
      <c r="H191" s="234"/>
      <c r="I191" s="234"/>
      <c r="J191" s="234"/>
      <c r="K191" s="234"/>
      <c r="L191" s="237"/>
      <c r="M191" s="237"/>
      <c r="N191" s="234"/>
      <c r="O191" s="239"/>
      <c r="P191" s="239"/>
      <c r="S191" s="406"/>
      <c r="T191" s="406"/>
    </row>
    <row r="192" spans="2:20" s="272" customFormat="1">
      <c r="B192" s="238"/>
      <c r="C192" s="238"/>
      <c r="D192" s="237"/>
      <c r="E192" s="237"/>
      <c r="F192" s="237"/>
      <c r="G192" s="234"/>
      <c r="H192" s="234"/>
      <c r="I192" s="234"/>
      <c r="J192" s="234"/>
      <c r="K192" s="234"/>
      <c r="L192" s="237"/>
      <c r="M192" s="237"/>
      <c r="N192" s="234"/>
      <c r="O192" s="239"/>
      <c r="P192" s="239"/>
      <c r="S192" s="406"/>
      <c r="T192" s="406"/>
    </row>
    <row r="193" spans="2:20" s="272" customFormat="1">
      <c r="B193" s="238"/>
      <c r="C193" s="238"/>
      <c r="D193" s="237"/>
      <c r="E193" s="237"/>
      <c r="F193" s="237"/>
      <c r="G193" s="234"/>
      <c r="H193" s="234"/>
      <c r="I193" s="234"/>
      <c r="J193" s="234"/>
      <c r="K193" s="234"/>
      <c r="L193" s="237"/>
      <c r="M193" s="237"/>
      <c r="N193" s="234"/>
      <c r="O193" s="239"/>
      <c r="P193" s="239"/>
      <c r="S193" s="406"/>
      <c r="T193" s="406"/>
    </row>
    <row r="194" spans="2:20" s="272" customFormat="1">
      <c r="B194" s="238"/>
      <c r="C194" s="238"/>
      <c r="D194" s="237"/>
      <c r="E194" s="237"/>
      <c r="F194" s="237"/>
      <c r="G194" s="234"/>
      <c r="H194" s="234"/>
      <c r="I194" s="234"/>
      <c r="J194" s="234"/>
      <c r="K194" s="234"/>
      <c r="L194" s="237"/>
      <c r="M194" s="237"/>
      <c r="N194" s="234"/>
      <c r="O194" s="239"/>
      <c r="P194" s="239"/>
      <c r="S194" s="406"/>
      <c r="T194" s="406"/>
    </row>
    <row r="195" spans="2:20" s="272" customFormat="1">
      <c r="B195" s="238"/>
      <c r="C195" s="238"/>
      <c r="D195" s="237"/>
      <c r="E195" s="237"/>
      <c r="F195" s="237"/>
      <c r="G195" s="234"/>
      <c r="H195" s="234"/>
      <c r="I195" s="234"/>
      <c r="J195" s="234"/>
      <c r="K195" s="234"/>
      <c r="L195" s="237"/>
      <c r="M195" s="237"/>
      <c r="N195" s="234"/>
      <c r="O195" s="239"/>
      <c r="P195" s="239"/>
      <c r="S195" s="406"/>
      <c r="T195" s="406"/>
    </row>
    <row r="196" spans="2:20" s="272" customFormat="1">
      <c r="B196" s="238"/>
      <c r="C196" s="238"/>
      <c r="D196" s="237"/>
      <c r="E196" s="237"/>
      <c r="F196" s="237"/>
      <c r="G196" s="234"/>
      <c r="H196" s="234"/>
      <c r="I196" s="234"/>
      <c r="J196" s="234"/>
      <c r="K196" s="234"/>
      <c r="L196" s="237"/>
      <c r="M196" s="237"/>
      <c r="N196" s="234"/>
      <c r="O196" s="239"/>
      <c r="P196" s="239"/>
      <c r="S196" s="406"/>
      <c r="T196" s="406"/>
    </row>
    <row r="197" spans="2:20" s="272" customFormat="1">
      <c r="B197" s="238"/>
      <c r="C197" s="238"/>
      <c r="D197" s="237"/>
      <c r="E197" s="237"/>
      <c r="F197" s="237"/>
      <c r="G197" s="234"/>
      <c r="H197" s="234"/>
      <c r="I197" s="234"/>
      <c r="J197" s="234"/>
      <c r="K197" s="234"/>
      <c r="L197" s="237"/>
      <c r="M197" s="237"/>
      <c r="N197" s="234"/>
      <c r="O197" s="239"/>
      <c r="P197" s="239"/>
      <c r="S197" s="406"/>
      <c r="T197" s="406"/>
    </row>
    <row r="198" spans="2:20" s="272" customFormat="1">
      <c r="B198" s="238"/>
      <c r="C198" s="238"/>
      <c r="D198" s="237"/>
      <c r="E198" s="237"/>
      <c r="F198" s="237"/>
      <c r="G198" s="234"/>
      <c r="H198" s="234"/>
      <c r="I198" s="234"/>
      <c r="J198" s="234"/>
      <c r="K198" s="234"/>
      <c r="L198" s="237"/>
      <c r="M198" s="237"/>
      <c r="N198" s="234"/>
      <c r="O198" s="239"/>
      <c r="P198" s="239"/>
      <c r="S198" s="406"/>
      <c r="T198" s="406"/>
    </row>
    <row r="199" spans="2:20" s="272" customFormat="1">
      <c r="B199" s="238"/>
      <c r="C199" s="238"/>
      <c r="D199" s="237"/>
      <c r="E199" s="237"/>
      <c r="F199" s="237"/>
      <c r="G199" s="234"/>
      <c r="H199" s="234"/>
      <c r="I199" s="234"/>
      <c r="J199" s="234"/>
      <c r="K199" s="234"/>
      <c r="L199" s="237"/>
      <c r="M199" s="237"/>
      <c r="N199" s="234"/>
      <c r="O199" s="239"/>
      <c r="P199" s="239"/>
      <c r="S199" s="406"/>
      <c r="T199" s="406"/>
    </row>
    <row r="200" spans="2:20" s="272" customFormat="1">
      <c r="B200" s="238"/>
      <c r="C200" s="238"/>
      <c r="D200" s="237"/>
      <c r="E200" s="237"/>
      <c r="F200" s="237"/>
      <c r="G200" s="234"/>
      <c r="H200" s="234"/>
      <c r="I200" s="234"/>
      <c r="J200" s="234"/>
      <c r="K200" s="234"/>
      <c r="L200" s="237"/>
      <c r="M200" s="237"/>
      <c r="N200" s="234"/>
      <c r="O200" s="239"/>
      <c r="P200" s="239"/>
      <c r="S200" s="406"/>
      <c r="T200" s="406"/>
    </row>
    <row r="201" spans="2:20" s="272" customFormat="1">
      <c r="B201" s="238"/>
      <c r="C201" s="238"/>
      <c r="D201" s="237"/>
      <c r="E201" s="237"/>
      <c r="F201" s="237"/>
      <c r="G201" s="234"/>
      <c r="H201" s="234"/>
      <c r="I201" s="234"/>
      <c r="J201" s="234"/>
      <c r="K201" s="234"/>
      <c r="L201" s="237"/>
      <c r="M201" s="237"/>
      <c r="N201" s="234"/>
      <c r="O201" s="239"/>
      <c r="P201" s="239"/>
      <c r="S201" s="406"/>
      <c r="T201" s="406"/>
    </row>
    <row r="202" spans="2:20" s="272" customFormat="1">
      <c r="B202" s="238"/>
      <c r="C202" s="238"/>
      <c r="D202" s="237"/>
      <c r="E202" s="237"/>
      <c r="F202" s="237"/>
      <c r="G202" s="234"/>
      <c r="H202" s="234"/>
      <c r="I202" s="234"/>
      <c r="J202" s="234"/>
      <c r="K202" s="234"/>
      <c r="L202" s="237"/>
      <c r="M202" s="237"/>
      <c r="N202" s="234"/>
      <c r="O202" s="239"/>
      <c r="P202" s="239"/>
      <c r="S202" s="406"/>
      <c r="T202" s="406"/>
    </row>
    <row r="203" spans="2:20" s="272" customFormat="1">
      <c r="B203" s="238"/>
      <c r="C203" s="238"/>
      <c r="D203" s="237"/>
      <c r="E203" s="237"/>
      <c r="F203" s="237"/>
      <c r="G203" s="234"/>
      <c r="H203" s="234"/>
      <c r="I203" s="234"/>
      <c r="J203" s="234"/>
      <c r="K203" s="234"/>
      <c r="L203" s="237"/>
      <c r="M203" s="237"/>
      <c r="N203" s="234"/>
      <c r="O203" s="239"/>
      <c r="P203" s="239"/>
      <c r="S203" s="406"/>
      <c r="T203" s="406"/>
    </row>
    <row r="204" spans="2:20" s="272" customFormat="1">
      <c r="B204" s="238"/>
      <c r="C204" s="238"/>
      <c r="D204" s="237"/>
      <c r="E204" s="237"/>
      <c r="F204" s="237"/>
      <c r="G204" s="234"/>
      <c r="H204" s="234"/>
      <c r="I204" s="234"/>
      <c r="J204" s="234"/>
      <c r="K204" s="234"/>
      <c r="L204" s="237"/>
      <c r="M204" s="237"/>
      <c r="N204" s="234"/>
      <c r="O204" s="239"/>
      <c r="P204" s="239"/>
      <c r="S204" s="406"/>
      <c r="T204" s="406"/>
    </row>
    <row r="205" spans="2:20" s="272" customFormat="1">
      <c r="B205" s="238"/>
      <c r="C205" s="238"/>
      <c r="D205" s="237"/>
      <c r="E205" s="237"/>
      <c r="F205" s="237"/>
      <c r="G205" s="234"/>
      <c r="H205" s="234"/>
      <c r="I205" s="234"/>
      <c r="J205" s="234"/>
      <c r="K205" s="234"/>
      <c r="L205" s="237"/>
      <c r="M205" s="237"/>
      <c r="N205" s="234"/>
      <c r="O205" s="239"/>
      <c r="P205" s="239"/>
      <c r="S205" s="406"/>
      <c r="T205" s="406"/>
    </row>
    <row r="206" spans="2:20" s="272" customFormat="1">
      <c r="B206" s="238"/>
      <c r="C206" s="238"/>
      <c r="D206" s="237"/>
      <c r="E206" s="237"/>
      <c r="F206" s="237"/>
      <c r="G206" s="234"/>
      <c r="H206" s="234"/>
      <c r="I206" s="234"/>
      <c r="J206" s="234"/>
      <c r="K206" s="234"/>
      <c r="L206" s="237"/>
      <c r="M206" s="237"/>
      <c r="N206" s="234"/>
      <c r="O206" s="239"/>
      <c r="P206" s="239"/>
      <c r="S206" s="406"/>
      <c r="T206" s="406"/>
    </row>
    <row r="207" spans="2:20" s="272" customFormat="1">
      <c r="B207" s="238"/>
      <c r="C207" s="238"/>
      <c r="D207" s="237"/>
      <c r="E207" s="237"/>
      <c r="F207" s="237"/>
      <c r="G207" s="234"/>
      <c r="H207" s="234"/>
      <c r="I207" s="234"/>
      <c r="J207" s="234"/>
      <c r="K207" s="234"/>
      <c r="L207" s="237"/>
      <c r="M207" s="237"/>
      <c r="N207" s="234"/>
      <c r="O207" s="239"/>
      <c r="P207" s="239"/>
      <c r="S207" s="406"/>
      <c r="T207" s="406"/>
    </row>
    <row r="208" spans="2:20" s="272" customFormat="1">
      <c r="B208" s="238"/>
      <c r="C208" s="238"/>
      <c r="D208" s="237"/>
      <c r="E208" s="237"/>
      <c r="F208" s="237"/>
      <c r="G208" s="234"/>
      <c r="H208" s="234"/>
      <c r="I208" s="234"/>
      <c r="J208" s="234"/>
      <c r="K208" s="234"/>
      <c r="L208" s="237"/>
      <c r="M208" s="237"/>
      <c r="N208" s="234"/>
      <c r="O208" s="239"/>
      <c r="P208" s="239"/>
      <c r="S208" s="406"/>
      <c r="T208" s="406"/>
    </row>
    <row r="209" spans="2:20" s="272" customFormat="1">
      <c r="B209" s="238"/>
      <c r="C209" s="238"/>
      <c r="D209" s="237"/>
      <c r="E209" s="237"/>
      <c r="F209" s="237"/>
      <c r="G209" s="234"/>
      <c r="H209" s="234"/>
      <c r="I209" s="234"/>
      <c r="J209" s="234"/>
      <c r="K209" s="234"/>
      <c r="L209" s="237"/>
      <c r="M209" s="237"/>
      <c r="N209" s="234"/>
      <c r="O209" s="239"/>
      <c r="P209" s="239"/>
      <c r="S209" s="406"/>
      <c r="T209" s="406"/>
    </row>
    <row r="210" spans="2:20" s="272" customFormat="1">
      <c r="B210" s="238"/>
      <c r="C210" s="238"/>
      <c r="D210" s="237"/>
      <c r="E210" s="237"/>
      <c r="F210" s="237"/>
      <c r="G210" s="234"/>
      <c r="H210" s="234"/>
      <c r="I210" s="234"/>
      <c r="J210" s="234"/>
      <c r="K210" s="234"/>
      <c r="L210" s="237"/>
      <c r="M210" s="237"/>
      <c r="N210" s="234"/>
      <c r="O210" s="239"/>
      <c r="P210" s="239"/>
      <c r="S210" s="406"/>
      <c r="T210" s="406"/>
    </row>
    <row r="211" spans="2:20" s="272" customFormat="1">
      <c r="B211" s="238"/>
      <c r="C211" s="238"/>
      <c r="D211" s="237"/>
      <c r="E211" s="237"/>
      <c r="F211" s="237"/>
      <c r="G211" s="234"/>
      <c r="H211" s="234"/>
      <c r="I211" s="234"/>
      <c r="J211" s="234"/>
      <c r="K211" s="234"/>
      <c r="L211" s="237"/>
      <c r="M211" s="237"/>
      <c r="N211" s="234"/>
      <c r="O211" s="239"/>
      <c r="P211" s="239"/>
      <c r="S211" s="406"/>
      <c r="T211" s="406"/>
    </row>
    <row r="212" spans="2:20" s="272" customFormat="1">
      <c r="B212" s="238"/>
      <c r="C212" s="238"/>
      <c r="D212" s="237"/>
      <c r="E212" s="237"/>
      <c r="F212" s="237"/>
      <c r="G212" s="234"/>
      <c r="H212" s="234"/>
      <c r="I212" s="234"/>
      <c r="J212" s="234"/>
      <c r="K212" s="234"/>
      <c r="L212" s="237"/>
      <c r="M212" s="237"/>
      <c r="N212" s="234"/>
      <c r="O212" s="239"/>
      <c r="P212" s="239"/>
      <c r="S212" s="406"/>
      <c r="T212" s="406"/>
    </row>
    <row r="213" spans="2:20" s="272" customFormat="1">
      <c r="B213" s="238"/>
      <c r="C213" s="238"/>
      <c r="D213" s="237"/>
      <c r="E213" s="237"/>
      <c r="F213" s="237"/>
      <c r="G213" s="234"/>
      <c r="H213" s="234"/>
      <c r="I213" s="234"/>
      <c r="J213" s="234"/>
      <c r="K213" s="234"/>
      <c r="L213" s="237"/>
      <c r="M213" s="237"/>
      <c r="N213" s="234"/>
      <c r="O213" s="239"/>
      <c r="P213" s="239"/>
      <c r="S213" s="406"/>
      <c r="T213" s="406"/>
    </row>
    <row r="214" spans="2:20" s="272" customFormat="1">
      <c r="B214" s="238"/>
      <c r="C214" s="238"/>
      <c r="D214" s="237"/>
      <c r="E214" s="237"/>
      <c r="F214" s="237"/>
      <c r="G214" s="234"/>
      <c r="H214" s="234"/>
      <c r="I214" s="234"/>
      <c r="J214" s="234"/>
      <c r="K214" s="234"/>
      <c r="L214" s="237"/>
      <c r="M214" s="237"/>
      <c r="N214" s="234"/>
      <c r="O214" s="239"/>
      <c r="P214" s="239"/>
      <c r="S214" s="406"/>
      <c r="T214" s="406"/>
    </row>
    <row r="215" spans="2:20" s="272" customFormat="1">
      <c r="B215" s="238"/>
      <c r="C215" s="238"/>
      <c r="D215" s="237"/>
      <c r="E215" s="237"/>
      <c r="F215" s="237"/>
      <c r="G215" s="234"/>
      <c r="H215" s="234"/>
      <c r="I215" s="234"/>
      <c r="J215" s="234"/>
      <c r="K215" s="234"/>
      <c r="L215" s="237"/>
      <c r="M215" s="237"/>
      <c r="N215" s="234"/>
      <c r="O215" s="239"/>
      <c r="P215" s="239"/>
      <c r="S215" s="406"/>
      <c r="T215" s="406"/>
    </row>
    <row r="216" spans="2:20" s="272" customFormat="1">
      <c r="B216" s="238"/>
      <c r="C216" s="238"/>
      <c r="D216" s="237"/>
      <c r="E216" s="237"/>
      <c r="F216" s="237"/>
      <c r="G216" s="234"/>
      <c r="H216" s="234"/>
      <c r="I216" s="234"/>
      <c r="J216" s="234"/>
      <c r="K216" s="234"/>
      <c r="L216" s="237"/>
      <c r="M216" s="237"/>
      <c r="N216" s="234"/>
      <c r="O216" s="239"/>
      <c r="P216" s="239"/>
      <c r="S216" s="406"/>
      <c r="T216" s="406"/>
    </row>
    <row r="217" spans="2:20" s="272" customFormat="1">
      <c r="B217" s="238"/>
      <c r="C217" s="238"/>
      <c r="D217" s="237"/>
      <c r="E217" s="237"/>
      <c r="F217" s="237"/>
      <c r="G217" s="234"/>
      <c r="H217" s="234"/>
      <c r="I217" s="234"/>
      <c r="J217" s="234"/>
      <c r="K217" s="234"/>
      <c r="L217" s="237"/>
      <c r="M217" s="237"/>
      <c r="N217" s="234"/>
      <c r="O217" s="239"/>
      <c r="P217" s="239"/>
      <c r="S217" s="406"/>
      <c r="T217" s="406"/>
    </row>
    <row r="218" spans="2:20" s="272" customFormat="1">
      <c r="B218" s="238"/>
      <c r="C218" s="238"/>
      <c r="D218" s="237"/>
      <c r="E218" s="237"/>
      <c r="F218" s="237"/>
      <c r="G218" s="234"/>
      <c r="H218" s="234"/>
      <c r="I218" s="234"/>
      <c r="J218" s="234"/>
      <c r="K218" s="234"/>
      <c r="L218" s="237"/>
      <c r="M218" s="237"/>
      <c r="N218" s="234"/>
      <c r="O218" s="239"/>
      <c r="P218" s="239"/>
      <c r="S218" s="406"/>
      <c r="T218" s="406"/>
    </row>
    <row r="219" spans="2:20" s="272" customFormat="1">
      <c r="B219" s="238"/>
      <c r="C219" s="238"/>
      <c r="D219" s="237"/>
      <c r="E219" s="237"/>
      <c r="F219" s="237"/>
      <c r="G219" s="234"/>
      <c r="H219" s="234"/>
      <c r="I219" s="234"/>
      <c r="J219" s="234"/>
      <c r="K219" s="234"/>
      <c r="L219" s="237"/>
      <c r="M219" s="237"/>
      <c r="N219" s="234"/>
      <c r="O219" s="239"/>
      <c r="P219" s="239"/>
      <c r="S219" s="406"/>
      <c r="T219" s="406"/>
    </row>
    <row r="220" spans="2:20" s="272" customFormat="1">
      <c r="B220" s="238"/>
      <c r="C220" s="238"/>
      <c r="D220" s="237"/>
      <c r="E220" s="237"/>
      <c r="F220" s="237"/>
      <c r="G220" s="234"/>
      <c r="H220" s="234"/>
      <c r="I220" s="234"/>
      <c r="J220" s="234"/>
      <c r="K220" s="234"/>
      <c r="L220" s="237"/>
      <c r="M220" s="237"/>
      <c r="N220" s="234"/>
      <c r="O220" s="239"/>
      <c r="P220" s="239"/>
      <c r="S220" s="406"/>
      <c r="T220" s="406"/>
    </row>
    <row r="221" spans="2:20" s="272" customFormat="1">
      <c r="B221" s="238"/>
      <c r="C221" s="238"/>
      <c r="D221" s="237"/>
      <c r="E221" s="237"/>
      <c r="F221" s="237"/>
      <c r="G221" s="234"/>
      <c r="H221" s="234"/>
      <c r="I221" s="234"/>
      <c r="J221" s="234"/>
      <c r="K221" s="234"/>
      <c r="L221" s="237"/>
      <c r="M221" s="237"/>
      <c r="N221" s="234"/>
      <c r="O221" s="239"/>
      <c r="P221" s="239"/>
      <c r="S221" s="406"/>
      <c r="T221" s="406"/>
    </row>
    <row r="222" spans="2:20" s="272" customFormat="1">
      <c r="B222" s="238"/>
      <c r="C222" s="238"/>
      <c r="D222" s="237"/>
      <c r="E222" s="237"/>
      <c r="F222" s="237"/>
      <c r="G222" s="234"/>
      <c r="H222" s="234"/>
      <c r="I222" s="234"/>
      <c r="J222" s="234"/>
      <c r="K222" s="234"/>
      <c r="L222" s="237"/>
      <c r="M222" s="237"/>
      <c r="N222" s="234"/>
      <c r="O222" s="239"/>
      <c r="P222" s="239"/>
      <c r="S222" s="406"/>
      <c r="T222" s="406"/>
    </row>
    <row r="223" spans="2:20" s="272" customFormat="1">
      <c r="B223" s="238"/>
      <c r="C223" s="238"/>
      <c r="D223" s="237"/>
      <c r="E223" s="237"/>
      <c r="F223" s="237"/>
      <c r="G223" s="234"/>
      <c r="H223" s="234"/>
      <c r="I223" s="234"/>
      <c r="J223" s="234"/>
      <c r="K223" s="234"/>
      <c r="L223" s="237"/>
      <c r="M223" s="237"/>
      <c r="N223" s="234"/>
      <c r="O223" s="239"/>
      <c r="P223" s="239"/>
      <c r="S223" s="406"/>
      <c r="T223" s="406"/>
    </row>
    <row r="224" spans="2:20" s="272" customFormat="1">
      <c r="B224" s="238"/>
      <c r="C224" s="238"/>
      <c r="D224" s="237"/>
      <c r="E224" s="237"/>
      <c r="F224" s="237"/>
      <c r="G224" s="234"/>
      <c r="H224" s="234"/>
      <c r="I224" s="234"/>
      <c r="J224" s="234"/>
      <c r="K224" s="234"/>
      <c r="L224" s="237"/>
      <c r="M224" s="237"/>
      <c r="N224" s="234"/>
      <c r="O224" s="239"/>
      <c r="P224" s="239"/>
      <c r="S224" s="406"/>
      <c r="T224" s="406"/>
    </row>
    <row r="225" spans="2:20" s="272" customFormat="1">
      <c r="B225" s="238"/>
      <c r="C225" s="238"/>
      <c r="D225" s="237"/>
      <c r="E225" s="237"/>
      <c r="F225" s="237"/>
      <c r="G225" s="234"/>
      <c r="H225" s="234"/>
      <c r="I225" s="234"/>
      <c r="J225" s="234"/>
      <c r="K225" s="234"/>
      <c r="L225" s="237"/>
      <c r="M225" s="237"/>
      <c r="N225" s="234"/>
      <c r="O225" s="239"/>
      <c r="P225" s="239"/>
      <c r="S225" s="406"/>
      <c r="T225" s="406"/>
    </row>
    <row r="226" spans="2:20" s="272" customFormat="1">
      <c r="B226" s="238"/>
      <c r="C226" s="238"/>
      <c r="D226" s="237"/>
      <c r="E226" s="237"/>
      <c r="F226" s="237"/>
      <c r="G226" s="234"/>
      <c r="H226" s="234"/>
      <c r="I226" s="234"/>
      <c r="J226" s="234"/>
      <c r="K226" s="234"/>
      <c r="L226" s="237"/>
      <c r="M226" s="237"/>
      <c r="N226" s="234"/>
      <c r="O226" s="239"/>
      <c r="P226" s="239"/>
      <c r="S226" s="406"/>
      <c r="T226" s="406"/>
    </row>
    <row r="227" spans="2:20" s="272" customFormat="1">
      <c r="B227" s="238"/>
      <c r="C227" s="238"/>
      <c r="D227" s="237"/>
      <c r="E227" s="237"/>
      <c r="F227" s="237"/>
      <c r="G227" s="234"/>
      <c r="H227" s="234"/>
      <c r="I227" s="234"/>
      <c r="J227" s="234"/>
      <c r="K227" s="234"/>
      <c r="L227" s="237"/>
      <c r="M227" s="237"/>
      <c r="N227" s="234"/>
      <c r="O227" s="239"/>
      <c r="P227" s="239"/>
      <c r="S227" s="406"/>
      <c r="T227" s="406"/>
    </row>
    <row r="228" spans="2:20" s="272" customFormat="1">
      <c r="B228" s="238"/>
      <c r="C228" s="238"/>
      <c r="D228" s="237"/>
      <c r="E228" s="237"/>
      <c r="F228" s="237"/>
      <c r="G228" s="234"/>
      <c r="H228" s="234"/>
      <c r="I228" s="234"/>
      <c r="J228" s="234"/>
      <c r="K228" s="234"/>
      <c r="L228" s="237"/>
      <c r="M228" s="237"/>
      <c r="N228" s="234"/>
      <c r="O228" s="239"/>
      <c r="P228" s="239"/>
      <c r="S228" s="406"/>
      <c r="T228" s="406"/>
    </row>
    <row r="229" spans="2:20" s="272" customFormat="1">
      <c r="B229" s="238"/>
      <c r="C229" s="238"/>
      <c r="D229" s="237"/>
      <c r="E229" s="237"/>
      <c r="F229" s="237"/>
      <c r="G229" s="234"/>
      <c r="H229" s="234"/>
      <c r="I229" s="234"/>
      <c r="J229" s="234"/>
      <c r="K229" s="234"/>
      <c r="L229" s="237"/>
      <c r="M229" s="237"/>
      <c r="N229" s="234"/>
      <c r="O229" s="239"/>
      <c r="P229" s="239"/>
      <c r="S229" s="406"/>
      <c r="T229" s="406"/>
    </row>
    <row r="230" spans="2:20" s="272" customFormat="1">
      <c r="B230" s="238"/>
      <c r="C230" s="238"/>
      <c r="D230" s="237"/>
      <c r="E230" s="237"/>
      <c r="F230" s="237"/>
      <c r="G230" s="234"/>
      <c r="H230" s="234"/>
      <c r="I230" s="234"/>
      <c r="J230" s="234"/>
      <c r="K230" s="234"/>
      <c r="L230" s="237"/>
      <c r="M230" s="237"/>
      <c r="N230" s="234"/>
      <c r="O230" s="239"/>
      <c r="P230" s="239"/>
      <c r="S230" s="406"/>
      <c r="T230" s="406"/>
    </row>
    <row r="231" spans="2:20" s="272" customFormat="1">
      <c r="B231" s="238"/>
      <c r="C231" s="238"/>
      <c r="D231" s="237"/>
      <c r="E231" s="237"/>
      <c r="F231" s="237"/>
      <c r="G231" s="234"/>
      <c r="H231" s="234"/>
      <c r="I231" s="234"/>
      <c r="J231" s="234"/>
      <c r="K231" s="234"/>
      <c r="L231" s="237"/>
      <c r="M231" s="237"/>
      <c r="N231" s="234"/>
      <c r="O231" s="239"/>
      <c r="P231" s="239"/>
      <c r="S231" s="406"/>
      <c r="T231" s="406"/>
    </row>
    <row r="232" spans="2:20" s="272" customFormat="1">
      <c r="B232" s="238"/>
      <c r="C232" s="238"/>
      <c r="D232" s="237"/>
      <c r="E232" s="237"/>
      <c r="F232" s="237"/>
      <c r="G232" s="234"/>
      <c r="H232" s="234"/>
      <c r="I232" s="234"/>
      <c r="J232" s="234"/>
      <c r="K232" s="234"/>
      <c r="L232" s="237"/>
      <c r="M232" s="237"/>
      <c r="N232" s="234"/>
      <c r="O232" s="239"/>
      <c r="P232" s="239"/>
      <c r="S232" s="406"/>
      <c r="T232" s="406"/>
    </row>
    <row r="233" spans="2:20" s="272" customFormat="1">
      <c r="B233" s="238"/>
      <c r="C233" s="238"/>
      <c r="D233" s="237"/>
      <c r="E233" s="237"/>
      <c r="F233" s="237"/>
      <c r="G233" s="234"/>
      <c r="H233" s="234"/>
      <c r="I233" s="234"/>
      <c r="J233" s="234"/>
      <c r="K233" s="234"/>
      <c r="L233" s="237"/>
      <c r="M233" s="237"/>
      <c r="N233" s="234"/>
      <c r="O233" s="239"/>
      <c r="P233" s="239"/>
      <c r="S233" s="406"/>
      <c r="T233" s="406"/>
    </row>
    <row r="234" spans="2:20" s="272" customFormat="1">
      <c r="B234" s="238"/>
      <c r="C234" s="238"/>
      <c r="D234" s="237"/>
      <c r="E234" s="237"/>
      <c r="F234" s="237"/>
      <c r="G234" s="234"/>
      <c r="H234" s="234"/>
      <c r="I234" s="234"/>
      <c r="J234" s="234"/>
      <c r="K234" s="234"/>
      <c r="L234" s="237"/>
      <c r="M234" s="237"/>
      <c r="N234" s="234"/>
      <c r="O234" s="239"/>
      <c r="P234" s="239"/>
      <c r="S234" s="406"/>
      <c r="T234" s="406"/>
    </row>
    <row r="235" spans="2:20" s="272" customFormat="1">
      <c r="B235" s="238"/>
      <c r="C235" s="238"/>
      <c r="D235" s="237"/>
      <c r="E235" s="237"/>
      <c r="F235" s="237"/>
      <c r="G235" s="234"/>
      <c r="H235" s="234"/>
      <c r="I235" s="234"/>
      <c r="J235" s="234"/>
      <c r="K235" s="234"/>
      <c r="L235" s="237"/>
      <c r="M235" s="237"/>
      <c r="N235" s="234"/>
      <c r="O235" s="239"/>
      <c r="P235" s="239"/>
      <c r="S235" s="406"/>
      <c r="T235" s="406"/>
    </row>
    <row r="236" spans="2:20" s="272" customFormat="1">
      <c r="B236" s="238"/>
      <c r="C236" s="238"/>
      <c r="D236" s="237"/>
      <c r="E236" s="237"/>
      <c r="F236" s="237"/>
      <c r="G236" s="234"/>
      <c r="H236" s="234"/>
      <c r="I236" s="234"/>
      <c r="J236" s="234"/>
      <c r="K236" s="234"/>
      <c r="L236" s="237"/>
      <c r="M236" s="237"/>
      <c r="N236" s="234"/>
      <c r="O236" s="239"/>
      <c r="P236" s="239"/>
      <c r="S236" s="406"/>
      <c r="T236" s="406"/>
    </row>
    <row r="237" spans="2:20" s="272" customFormat="1">
      <c r="B237" s="238"/>
      <c r="C237" s="238"/>
      <c r="D237" s="237"/>
      <c r="E237" s="237"/>
      <c r="F237" s="237"/>
      <c r="G237" s="234"/>
      <c r="H237" s="234"/>
      <c r="I237" s="234"/>
      <c r="J237" s="234"/>
      <c r="K237" s="234"/>
      <c r="L237" s="237"/>
      <c r="M237" s="237"/>
      <c r="N237" s="234"/>
      <c r="O237" s="239"/>
      <c r="P237" s="239"/>
      <c r="S237" s="406"/>
      <c r="T237" s="406"/>
    </row>
    <row r="238" spans="2:20" s="272" customFormat="1">
      <c r="B238" s="238"/>
      <c r="C238" s="238"/>
      <c r="D238" s="237"/>
      <c r="E238" s="237"/>
      <c r="F238" s="237"/>
      <c r="G238" s="234"/>
      <c r="H238" s="234"/>
      <c r="I238" s="234"/>
      <c r="J238" s="234"/>
      <c r="K238" s="234"/>
      <c r="L238" s="237"/>
      <c r="M238" s="237"/>
      <c r="N238" s="234"/>
      <c r="O238" s="239"/>
      <c r="P238" s="239"/>
      <c r="S238" s="406"/>
      <c r="T238" s="406"/>
    </row>
    <row r="239" spans="2:20" s="272" customFormat="1">
      <c r="B239" s="238"/>
      <c r="C239" s="238"/>
      <c r="D239" s="237"/>
      <c r="E239" s="237"/>
      <c r="F239" s="237"/>
      <c r="G239" s="234"/>
      <c r="H239" s="234"/>
      <c r="I239" s="234"/>
      <c r="J239" s="234"/>
      <c r="K239" s="234"/>
      <c r="L239" s="237"/>
      <c r="M239" s="237"/>
      <c r="N239" s="234"/>
      <c r="O239" s="239"/>
      <c r="P239" s="239"/>
      <c r="S239" s="406"/>
      <c r="T239" s="406"/>
    </row>
    <row r="240" spans="2:20" s="272" customFormat="1">
      <c r="B240" s="238"/>
      <c r="C240" s="238"/>
      <c r="D240" s="237"/>
      <c r="E240" s="237"/>
      <c r="F240" s="237"/>
      <c r="G240" s="234"/>
      <c r="H240" s="234"/>
      <c r="I240" s="234"/>
      <c r="J240" s="234"/>
      <c r="K240" s="234"/>
      <c r="L240" s="237"/>
      <c r="M240" s="237"/>
      <c r="N240" s="234"/>
      <c r="O240" s="239"/>
      <c r="P240" s="239"/>
      <c r="S240" s="406"/>
      <c r="T240" s="406"/>
    </row>
    <row r="241" spans="2:20" s="272" customFormat="1">
      <c r="B241" s="238"/>
      <c r="C241" s="238"/>
      <c r="D241" s="237"/>
      <c r="E241" s="237"/>
      <c r="F241" s="237"/>
      <c r="G241" s="234"/>
      <c r="H241" s="234"/>
      <c r="I241" s="234"/>
      <c r="J241" s="234"/>
      <c r="K241" s="234"/>
      <c r="L241" s="237"/>
      <c r="M241" s="237"/>
      <c r="N241" s="234"/>
      <c r="O241" s="239"/>
      <c r="P241" s="239"/>
      <c r="S241" s="406"/>
      <c r="T241" s="406"/>
    </row>
    <row r="242" spans="2:20" s="272" customFormat="1">
      <c r="B242" s="238"/>
      <c r="C242" s="238"/>
      <c r="D242" s="237"/>
      <c r="E242" s="237"/>
      <c r="F242" s="237"/>
      <c r="G242" s="234"/>
      <c r="H242" s="234"/>
      <c r="I242" s="234"/>
      <c r="J242" s="234"/>
      <c r="K242" s="234"/>
      <c r="L242" s="237"/>
      <c r="M242" s="237"/>
      <c r="N242" s="234"/>
      <c r="O242" s="239"/>
      <c r="P242" s="239"/>
      <c r="S242" s="406"/>
      <c r="T242" s="406"/>
    </row>
    <row r="243" spans="2:20" s="272" customFormat="1">
      <c r="B243" s="238"/>
      <c r="C243" s="238"/>
      <c r="D243" s="237"/>
      <c r="E243" s="237"/>
      <c r="F243" s="237"/>
      <c r="G243" s="234"/>
      <c r="H243" s="234"/>
      <c r="I243" s="234"/>
      <c r="J243" s="234"/>
      <c r="K243" s="234"/>
      <c r="L243" s="237"/>
      <c r="M243" s="237"/>
      <c r="N243" s="234"/>
      <c r="O243" s="239"/>
      <c r="P243" s="239"/>
      <c r="S243" s="406"/>
      <c r="T243" s="406"/>
    </row>
    <row r="244" spans="2:20" s="272" customFormat="1">
      <c r="B244" s="238"/>
      <c r="C244" s="238"/>
      <c r="D244" s="237"/>
      <c r="E244" s="237"/>
      <c r="F244" s="237"/>
      <c r="G244" s="234"/>
      <c r="H244" s="234"/>
      <c r="I244" s="234"/>
      <c r="J244" s="234"/>
      <c r="K244" s="234"/>
      <c r="L244" s="237"/>
      <c r="M244" s="237"/>
      <c r="N244" s="234"/>
      <c r="O244" s="239"/>
      <c r="P244" s="239"/>
      <c r="S244" s="406"/>
      <c r="T244" s="406"/>
    </row>
    <row r="245" spans="2:20" s="272" customFormat="1">
      <c r="B245" s="238"/>
      <c r="C245" s="238"/>
      <c r="D245" s="237"/>
      <c r="E245" s="237"/>
      <c r="F245" s="237"/>
      <c r="G245" s="234"/>
      <c r="H245" s="234"/>
      <c r="I245" s="234"/>
      <c r="J245" s="234"/>
      <c r="K245" s="234"/>
      <c r="L245" s="237"/>
      <c r="M245" s="237"/>
      <c r="N245" s="234"/>
      <c r="O245" s="239"/>
      <c r="P245" s="239"/>
      <c r="S245" s="406"/>
      <c r="T245" s="406"/>
    </row>
    <row r="246" spans="2:20" s="272" customFormat="1">
      <c r="B246" s="238"/>
      <c r="C246" s="238"/>
      <c r="D246" s="237"/>
      <c r="E246" s="237"/>
      <c r="F246" s="237"/>
      <c r="G246" s="234"/>
      <c r="H246" s="234"/>
      <c r="I246" s="234"/>
      <c r="J246" s="234"/>
      <c r="K246" s="234"/>
      <c r="L246" s="237"/>
      <c r="M246" s="237"/>
      <c r="N246" s="234"/>
      <c r="O246" s="239"/>
      <c r="P246" s="239"/>
      <c r="S246" s="406"/>
      <c r="T246" s="406"/>
    </row>
    <row r="247" spans="2:20" s="272" customFormat="1">
      <c r="B247" s="238"/>
      <c r="C247" s="238"/>
      <c r="D247" s="237"/>
      <c r="E247" s="237"/>
      <c r="F247" s="237"/>
      <c r="G247" s="234"/>
      <c r="H247" s="234"/>
      <c r="I247" s="234"/>
      <c r="J247" s="234"/>
      <c r="K247" s="234"/>
      <c r="L247" s="237"/>
      <c r="M247" s="237"/>
      <c r="N247" s="234"/>
      <c r="O247" s="239"/>
      <c r="P247" s="239"/>
      <c r="S247" s="406"/>
      <c r="T247" s="406"/>
    </row>
    <row r="248" spans="2:20" s="272" customFormat="1">
      <c r="B248" s="238"/>
      <c r="C248" s="238"/>
      <c r="D248" s="237"/>
      <c r="E248" s="237"/>
      <c r="F248" s="237"/>
      <c r="G248" s="234"/>
      <c r="H248" s="234"/>
      <c r="I248" s="234"/>
      <c r="J248" s="234"/>
      <c r="K248" s="234"/>
      <c r="L248" s="237"/>
      <c r="M248" s="237"/>
      <c r="N248" s="234"/>
      <c r="O248" s="239"/>
      <c r="P248" s="239"/>
      <c r="S248" s="406"/>
      <c r="T248" s="406"/>
    </row>
    <row r="249" spans="2:20" s="272" customFormat="1">
      <c r="B249" s="238"/>
      <c r="C249" s="238"/>
      <c r="D249" s="237"/>
      <c r="E249" s="237"/>
      <c r="F249" s="237"/>
      <c r="G249" s="234"/>
      <c r="H249" s="234"/>
      <c r="I249" s="234"/>
      <c r="J249" s="234"/>
      <c r="K249" s="234"/>
      <c r="L249" s="237"/>
      <c r="M249" s="237"/>
      <c r="N249" s="234"/>
      <c r="O249" s="239"/>
      <c r="P249" s="239"/>
      <c r="S249" s="406"/>
      <c r="T249" s="406"/>
    </row>
    <row r="250" spans="2:20" s="272" customFormat="1">
      <c r="B250" s="238"/>
      <c r="C250" s="238"/>
      <c r="D250" s="237"/>
      <c r="E250" s="237"/>
      <c r="F250" s="237"/>
      <c r="G250" s="234"/>
      <c r="H250" s="234"/>
      <c r="I250" s="234"/>
      <c r="J250" s="234"/>
      <c r="K250" s="234"/>
      <c r="L250" s="237"/>
      <c r="M250" s="237"/>
      <c r="N250" s="234"/>
      <c r="O250" s="239"/>
      <c r="P250" s="239"/>
      <c r="S250" s="406"/>
      <c r="T250" s="406"/>
    </row>
    <row r="251" spans="2:20" s="272" customFormat="1">
      <c r="B251" s="238"/>
      <c r="C251" s="238"/>
      <c r="D251" s="237"/>
      <c r="E251" s="237"/>
      <c r="F251" s="237"/>
      <c r="G251" s="234"/>
      <c r="H251" s="234"/>
      <c r="I251" s="234"/>
      <c r="J251" s="234"/>
      <c r="K251" s="234"/>
      <c r="L251" s="237"/>
      <c r="M251" s="237"/>
      <c r="N251" s="234"/>
      <c r="O251" s="239"/>
      <c r="P251" s="239"/>
      <c r="S251" s="406"/>
      <c r="T251" s="406"/>
    </row>
    <row r="252" spans="2:20" s="272" customFormat="1">
      <c r="B252" s="238"/>
      <c r="C252" s="238"/>
      <c r="D252" s="237"/>
      <c r="E252" s="237"/>
      <c r="F252" s="237"/>
      <c r="G252" s="234"/>
      <c r="H252" s="234"/>
      <c r="I252" s="234"/>
      <c r="J252" s="234"/>
      <c r="K252" s="234"/>
      <c r="L252" s="237"/>
      <c r="M252" s="237"/>
      <c r="N252" s="234"/>
      <c r="O252" s="239"/>
      <c r="P252" s="239"/>
      <c r="S252" s="406"/>
      <c r="T252" s="406"/>
    </row>
    <row r="253" spans="2:20" s="272" customFormat="1">
      <c r="B253" s="238"/>
      <c r="C253" s="238"/>
      <c r="D253" s="237"/>
      <c r="E253" s="237"/>
      <c r="F253" s="237"/>
      <c r="G253" s="234"/>
      <c r="H253" s="234"/>
      <c r="I253" s="234"/>
      <c r="J253" s="234"/>
      <c r="K253" s="234"/>
      <c r="L253" s="237"/>
      <c r="M253" s="237"/>
      <c r="N253" s="234"/>
      <c r="O253" s="239"/>
      <c r="P253" s="239"/>
      <c r="S253" s="406"/>
      <c r="T253" s="406"/>
    </row>
    <row r="254" spans="2:20" s="272" customFormat="1">
      <c r="B254" s="238"/>
      <c r="C254" s="238"/>
      <c r="D254" s="237"/>
      <c r="E254" s="237"/>
      <c r="F254" s="237"/>
      <c r="G254" s="234"/>
      <c r="H254" s="234"/>
      <c r="I254" s="234"/>
      <c r="J254" s="234"/>
      <c r="K254" s="234"/>
      <c r="L254" s="237"/>
      <c r="M254" s="237"/>
      <c r="N254" s="234"/>
      <c r="O254" s="239"/>
      <c r="P254" s="239"/>
      <c r="S254" s="406"/>
      <c r="T254" s="406"/>
    </row>
    <row r="255" spans="2:20" s="272" customFormat="1">
      <c r="B255" s="238"/>
      <c r="C255" s="238"/>
      <c r="D255" s="237"/>
      <c r="E255" s="237"/>
      <c r="F255" s="237"/>
      <c r="G255" s="234"/>
      <c r="H255" s="234"/>
      <c r="I255" s="234"/>
      <c r="J255" s="234"/>
      <c r="K255" s="234"/>
      <c r="L255" s="237"/>
      <c r="M255" s="237"/>
      <c r="N255" s="234"/>
      <c r="O255" s="239"/>
      <c r="P255" s="239"/>
      <c r="S255" s="406"/>
      <c r="T255" s="406"/>
    </row>
    <row r="256" spans="2:20" s="272" customFormat="1">
      <c r="B256" s="238"/>
      <c r="C256" s="238"/>
      <c r="D256" s="237"/>
      <c r="E256" s="237"/>
      <c r="F256" s="237"/>
      <c r="G256" s="234"/>
      <c r="H256" s="234"/>
      <c r="I256" s="234"/>
      <c r="J256" s="234"/>
      <c r="K256" s="234"/>
      <c r="L256" s="237"/>
      <c r="M256" s="237"/>
      <c r="N256" s="234"/>
      <c r="O256" s="239"/>
      <c r="P256" s="239"/>
      <c r="S256" s="406"/>
      <c r="T256" s="406"/>
    </row>
    <row r="257" spans="2:20" s="272" customFormat="1">
      <c r="B257" s="238"/>
      <c r="C257" s="238"/>
      <c r="D257" s="237"/>
      <c r="E257" s="237"/>
      <c r="F257" s="237"/>
      <c r="G257" s="234"/>
      <c r="H257" s="234"/>
      <c r="I257" s="234"/>
      <c r="J257" s="234"/>
      <c r="K257" s="234"/>
      <c r="L257" s="237"/>
      <c r="M257" s="237"/>
      <c r="N257" s="234"/>
      <c r="O257" s="239"/>
      <c r="P257" s="239"/>
      <c r="S257" s="406"/>
      <c r="T257" s="406"/>
    </row>
    <row r="258" spans="2:20" s="272" customFormat="1">
      <c r="B258" s="238"/>
      <c r="C258" s="238"/>
      <c r="D258" s="237"/>
      <c r="E258" s="237"/>
      <c r="F258" s="237"/>
      <c r="G258" s="234"/>
      <c r="H258" s="234"/>
      <c r="I258" s="234"/>
      <c r="J258" s="234"/>
      <c r="K258" s="234"/>
      <c r="L258" s="237"/>
      <c r="M258" s="237"/>
      <c r="N258" s="234"/>
      <c r="O258" s="239"/>
      <c r="P258" s="239"/>
      <c r="S258" s="406"/>
      <c r="T258" s="406"/>
    </row>
    <row r="259" spans="2:20" s="272" customFormat="1">
      <c r="B259" s="238"/>
      <c r="C259" s="238"/>
      <c r="D259" s="237"/>
      <c r="E259" s="237"/>
      <c r="F259" s="237"/>
      <c r="G259" s="234"/>
      <c r="H259" s="234"/>
      <c r="I259" s="234"/>
      <c r="J259" s="234"/>
      <c r="K259" s="234"/>
      <c r="L259" s="237"/>
      <c r="M259" s="237"/>
      <c r="N259" s="234"/>
      <c r="O259" s="239"/>
      <c r="P259" s="239"/>
      <c r="S259" s="406"/>
      <c r="T259" s="406"/>
    </row>
    <row r="260" spans="2:20" s="272" customFormat="1">
      <c r="B260" s="238"/>
      <c r="C260" s="238"/>
      <c r="D260" s="237"/>
      <c r="E260" s="237"/>
      <c r="F260" s="237"/>
      <c r="G260" s="234"/>
      <c r="H260" s="234"/>
      <c r="I260" s="234"/>
      <c r="J260" s="234"/>
      <c r="K260" s="234"/>
      <c r="L260" s="237"/>
      <c r="M260" s="237"/>
      <c r="N260" s="234"/>
      <c r="O260" s="239"/>
      <c r="P260" s="239"/>
      <c r="S260" s="406"/>
      <c r="T260" s="406"/>
    </row>
    <row r="261" spans="2:20" s="272" customFormat="1">
      <c r="B261" s="238"/>
      <c r="C261" s="238"/>
      <c r="D261" s="237"/>
      <c r="E261" s="237"/>
      <c r="F261" s="237"/>
      <c r="G261" s="234"/>
      <c r="H261" s="234"/>
      <c r="I261" s="234"/>
      <c r="J261" s="234"/>
      <c r="K261" s="234"/>
      <c r="L261" s="237"/>
      <c r="M261" s="237"/>
      <c r="N261" s="234"/>
      <c r="O261" s="239"/>
      <c r="P261" s="239"/>
      <c r="S261" s="406"/>
      <c r="T261" s="406"/>
    </row>
    <row r="262" spans="2:20" s="272" customFormat="1">
      <c r="B262" s="238"/>
      <c r="C262" s="238"/>
      <c r="D262" s="237"/>
      <c r="E262" s="237"/>
      <c r="F262" s="237"/>
      <c r="G262" s="234"/>
      <c r="H262" s="234"/>
      <c r="I262" s="234"/>
      <c r="J262" s="234"/>
      <c r="K262" s="234"/>
      <c r="L262" s="237"/>
      <c r="M262" s="237"/>
      <c r="N262" s="234"/>
      <c r="O262" s="239"/>
      <c r="P262" s="239"/>
      <c r="S262" s="406"/>
      <c r="T262" s="406"/>
    </row>
    <row r="263" spans="2:20" s="272" customFormat="1">
      <c r="B263" s="238"/>
      <c r="C263" s="238"/>
      <c r="D263" s="237"/>
      <c r="E263" s="237"/>
      <c r="F263" s="237"/>
      <c r="G263" s="234"/>
      <c r="H263" s="234"/>
      <c r="I263" s="234"/>
      <c r="J263" s="234"/>
      <c r="K263" s="234"/>
      <c r="L263" s="237"/>
      <c r="M263" s="237"/>
      <c r="N263" s="234"/>
      <c r="O263" s="239"/>
      <c r="P263" s="239"/>
      <c r="S263" s="406"/>
      <c r="T263" s="406"/>
    </row>
    <row r="264" spans="2:20" s="272" customFormat="1">
      <c r="B264" s="238"/>
      <c r="C264" s="238"/>
      <c r="D264" s="237"/>
      <c r="E264" s="237"/>
      <c r="F264" s="237"/>
      <c r="G264" s="234"/>
      <c r="H264" s="234"/>
      <c r="I264" s="234"/>
      <c r="J264" s="234"/>
      <c r="K264" s="234"/>
      <c r="L264" s="237"/>
      <c r="M264" s="237"/>
      <c r="N264" s="234"/>
      <c r="O264" s="239"/>
      <c r="P264" s="239"/>
      <c r="S264" s="406"/>
      <c r="T264" s="406"/>
    </row>
    <row r="265" spans="2:20" s="272" customFormat="1">
      <c r="B265" s="238"/>
      <c r="C265" s="238"/>
      <c r="D265" s="237"/>
      <c r="E265" s="237"/>
      <c r="F265" s="237"/>
      <c r="G265" s="234"/>
      <c r="H265" s="234"/>
      <c r="I265" s="234"/>
      <c r="J265" s="234"/>
      <c r="K265" s="234"/>
      <c r="L265" s="237"/>
      <c r="M265" s="237"/>
      <c r="N265" s="234"/>
      <c r="O265" s="239"/>
      <c r="P265" s="239"/>
      <c r="S265" s="406"/>
      <c r="T265" s="406"/>
    </row>
    <row r="266" spans="2:20" s="272" customFormat="1">
      <c r="B266" s="238"/>
      <c r="C266" s="238"/>
      <c r="D266" s="237"/>
      <c r="E266" s="237"/>
      <c r="F266" s="237"/>
      <c r="G266" s="234"/>
      <c r="H266" s="234"/>
      <c r="I266" s="234"/>
      <c r="J266" s="234"/>
      <c r="K266" s="234"/>
      <c r="L266" s="237"/>
      <c r="M266" s="237"/>
      <c r="N266" s="234"/>
      <c r="O266" s="239"/>
      <c r="P266" s="239"/>
      <c r="S266" s="406"/>
      <c r="T266" s="406"/>
    </row>
    <row r="267" spans="2:20" s="272" customFormat="1">
      <c r="B267" s="238"/>
      <c r="C267" s="238"/>
      <c r="D267" s="237"/>
      <c r="E267" s="237"/>
      <c r="F267" s="237"/>
      <c r="G267" s="234"/>
      <c r="H267" s="234"/>
      <c r="I267" s="234"/>
      <c r="J267" s="234"/>
      <c r="K267" s="234"/>
      <c r="L267" s="237"/>
      <c r="M267" s="237"/>
      <c r="N267" s="234"/>
      <c r="O267" s="239"/>
      <c r="P267" s="239"/>
      <c r="S267" s="406"/>
      <c r="T267" s="406"/>
    </row>
    <row r="268" spans="2:20" s="272" customFormat="1">
      <c r="B268" s="238"/>
      <c r="C268" s="238"/>
      <c r="D268" s="237"/>
      <c r="E268" s="237"/>
      <c r="F268" s="237"/>
      <c r="G268" s="234"/>
      <c r="H268" s="234"/>
      <c r="I268" s="234"/>
      <c r="J268" s="234"/>
      <c r="K268" s="234"/>
      <c r="L268" s="237"/>
      <c r="M268" s="237"/>
      <c r="N268" s="234"/>
      <c r="O268" s="239"/>
      <c r="P268" s="239"/>
      <c r="S268" s="406"/>
      <c r="T268" s="406"/>
    </row>
    <row r="269" spans="2:20" s="272" customFormat="1">
      <c r="B269" s="238"/>
      <c r="C269" s="238"/>
      <c r="D269" s="237"/>
      <c r="E269" s="237"/>
      <c r="F269" s="237"/>
      <c r="G269" s="234"/>
      <c r="H269" s="234"/>
      <c r="I269" s="234"/>
      <c r="J269" s="234"/>
      <c r="K269" s="234"/>
      <c r="L269" s="237"/>
      <c r="M269" s="237"/>
      <c r="N269" s="234"/>
      <c r="O269" s="239"/>
      <c r="P269" s="239"/>
      <c r="S269" s="406"/>
      <c r="T269" s="406"/>
    </row>
    <row r="270" spans="2:20" s="272" customFormat="1">
      <c r="B270" s="238"/>
      <c r="C270" s="238"/>
      <c r="D270" s="237"/>
      <c r="E270" s="237"/>
      <c r="F270" s="237"/>
      <c r="G270" s="234"/>
      <c r="H270" s="234"/>
      <c r="I270" s="234"/>
      <c r="J270" s="234"/>
      <c r="K270" s="234"/>
      <c r="L270" s="237"/>
      <c r="M270" s="237"/>
      <c r="N270" s="234"/>
      <c r="O270" s="239"/>
      <c r="P270" s="239"/>
      <c r="S270" s="406"/>
      <c r="T270" s="406"/>
    </row>
    <row r="271" spans="2:20" s="272" customFormat="1">
      <c r="B271" s="238"/>
      <c r="C271" s="238"/>
      <c r="D271" s="237"/>
      <c r="E271" s="237"/>
      <c r="F271" s="237"/>
      <c r="G271" s="234"/>
      <c r="H271" s="234"/>
      <c r="I271" s="234"/>
      <c r="J271" s="234"/>
      <c r="K271" s="234"/>
      <c r="L271" s="237"/>
      <c r="M271" s="237"/>
      <c r="N271" s="234"/>
      <c r="O271" s="239"/>
      <c r="P271" s="239"/>
      <c r="S271" s="406"/>
      <c r="T271" s="406"/>
    </row>
    <row r="272" spans="2:20" s="272" customFormat="1">
      <c r="B272" s="238"/>
      <c r="C272" s="238"/>
      <c r="D272" s="237"/>
      <c r="E272" s="237"/>
      <c r="F272" s="237"/>
      <c r="G272" s="234"/>
      <c r="H272" s="234"/>
      <c r="I272" s="234"/>
      <c r="J272" s="234"/>
      <c r="K272" s="234"/>
      <c r="L272" s="237"/>
      <c r="M272" s="237"/>
      <c r="N272" s="234"/>
      <c r="O272" s="239"/>
      <c r="P272" s="239"/>
      <c r="S272" s="406"/>
      <c r="T272" s="406"/>
    </row>
    <row r="273" spans="2:20" s="272" customFormat="1">
      <c r="B273" s="238"/>
      <c r="C273" s="238"/>
      <c r="D273" s="237"/>
      <c r="E273" s="237"/>
      <c r="F273" s="237"/>
      <c r="G273" s="234"/>
      <c r="H273" s="234"/>
      <c r="I273" s="234"/>
      <c r="J273" s="234"/>
      <c r="K273" s="234"/>
      <c r="L273" s="237"/>
      <c r="M273" s="237"/>
      <c r="N273" s="234"/>
      <c r="O273" s="239"/>
      <c r="P273" s="239"/>
      <c r="S273" s="406"/>
      <c r="T273" s="406"/>
    </row>
    <row r="274" spans="2:20" s="272" customFormat="1">
      <c r="B274" s="238"/>
      <c r="C274" s="238"/>
      <c r="D274" s="237"/>
      <c r="E274" s="237"/>
      <c r="F274" s="237"/>
      <c r="G274" s="234"/>
      <c r="H274" s="234"/>
      <c r="I274" s="234"/>
      <c r="J274" s="234"/>
      <c r="K274" s="234"/>
      <c r="L274" s="237"/>
      <c r="M274" s="237"/>
      <c r="N274" s="234"/>
      <c r="O274" s="239"/>
      <c r="P274" s="239"/>
      <c r="S274" s="406"/>
      <c r="T274" s="406"/>
    </row>
    <row r="275" spans="2:20" s="272" customFormat="1">
      <c r="B275" s="238"/>
      <c r="C275" s="238"/>
      <c r="D275" s="237"/>
      <c r="E275" s="237"/>
      <c r="F275" s="237"/>
      <c r="G275" s="234"/>
      <c r="H275" s="234"/>
      <c r="I275" s="234"/>
      <c r="J275" s="234"/>
      <c r="K275" s="234"/>
      <c r="L275" s="237"/>
      <c r="M275" s="237"/>
      <c r="N275" s="234"/>
      <c r="O275" s="239"/>
      <c r="P275" s="239"/>
      <c r="S275" s="406"/>
      <c r="T275" s="406"/>
    </row>
    <row r="276" spans="2:20" s="272" customFormat="1">
      <c r="B276" s="238"/>
      <c r="C276" s="238"/>
      <c r="D276" s="237"/>
      <c r="E276" s="237"/>
      <c r="F276" s="237"/>
      <c r="G276" s="234"/>
      <c r="H276" s="234"/>
      <c r="I276" s="234"/>
      <c r="J276" s="234"/>
      <c r="K276" s="234"/>
      <c r="L276" s="237"/>
      <c r="M276" s="237"/>
      <c r="N276" s="234"/>
      <c r="O276" s="239"/>
      <c r="P276" s="239"/>
      <c r="S276" s="406"/>
      <c r="T276" s="406"/>
    </row>
    <row r="277" spans="2:20" s="272" customFormat="1">
      <c r="B277" s="238"/>
      <c r="C277" s="238"/>
      <c r="D277" s="237"/>
      <c r="E277" s="237"/>
      <c r="F277" s="237"/>
      <c r="G277" s="234"/>
      <c r="H277" s="234"/>
      <c r="I277" s="234"/>
      <c r="J277" s="234"/>
      <c r="K277" s="234"/>
      <c r="L277" s="237"/>
      <c r="M277" s="237"/>
      <c r="N277" s="234"/>
      <c r="O277" s="239"/>
      <c r="P277" s="239"/>
      <c r="S277" s="406"/>
      <c r="T277" s="406"/>
    </row>
    <row r="278" spans="2:20" s="272" customFormat="1">
      <c r="B278" s="238"/>
      <c r="C278" s="238"/>
      <c r="D278" s="237"/>
      <c r="E278" s="237"/>
      <c r="F278" s="237"/>
      <c r="G278" s="234"/>
      <c r="H278" s="234"/>
      <c r="I278" s="234"/>
      <c r="J278" s="234"/>
      <c r="K278" s="234"/>
      <c r="L278" s="237"/>
      <c r="M278" s="237"/>
      <c r="N278" s="234"/>
      <c r="O278" s="239"/>
      <c r="P278" s="239"/>
      <c r="S278" s="406"/>
      <c r="T278" s="406"/>
    </row>
    <row r="279" spans="2:20" s="272" customFormat="1">
      <c r="B279" s="238"/>
      <c r="C279" s="238"/>
      <c r="D279" s="237"/>
      <c r="E279" s="237"/>
      <c r="F279" s="237"/>
      <c r="G279" s="234"/>
      <c r="H279" s="234"/>
      <c r="I279" s="234"/>
      <c r="J279" s="234"/>
      <c r="K279" s="234"/>
      <c r="L279" s="237"/>
      <c r="M279" s="237"/>
      <c r="N279" s="234"/>
      <c r="O279" s="239"/>
      <c r="P279" s="239"/>
      <c r="S279" s="406"/>
      <c r="T279" s="406"/>
    </row>
    <row r="280" spans="2:20" s="272" customFormat="1">
      <c r="B280" s="238"/>
      <c r="C280" s="238"/>
      <c r="D280" s="237"/>
      <c r="E280" s="237"/>
      <c r="F280" s="237"/>
      <c r="G280" s="234"/>
      <c r="H280" s="234"/>
      <c r="I280" s="234"/>
      <c r="J280" s="234"/>
      <c r="K280" s="234"/>
      <c r="L280" s="237"/>
      <c r="M280" s="237"/>
      <c r="N280" s="234"/>
      <c r="O280" s="239"/>
      <c r="P280" s="239"/>
      <c r="S280" s="406"/>
      <c r="T280" s="406"/>
    </row>
    <row r="281" spans="2:20" s="272" customFormat="1">
      <c r="B281" s="238"/>
      <c r="C281" s="238"/>
      <c r="D281" s="237"/>
      <c r="E281" s="237"/>
      <c r="F281" s="237"/>
      <c r="G281" s="234"/>
      <c r="H281" s="234"/>
      <c r="I281" s="234"/>
      <c r="J281" s="234"/>
      <c r="K281" s="234"/>
      <c r="L281" s="237"/>
      <c r="M281" s="237"/>
      <c r="N281" s="234"/>
      <c r="O281" s="239"/>
      <c r="P281" s="239"/>
      <c r="S281" s="406"/>
      <c r="T281" s="406"/>
    </row>
    <row r="282" spans="2:20" s="272" customFormat="1">
      <c r="B282" s="238"/>
      <c r="C282" s="238"/>
      <c r="D282" s="237"/>
      <c r="E282" s="237"/>
      <c r="F282" s="237"/>
      <c r="G282" s="234"/>
      <c r="H282" s="234"/>
      <c r="I282" s="234"/>
      <c r="J282" s="234"/>
      <c r="K282" s="234"/>
      <c r="L282" s="237"/>
      <c r="M282" s="237"/>
      <c r="N282" s="234"/>
      <c r="O282" s="239"/>
      <c r="P282" s="239"/>
      <c r="S282" s="406"/>
      <c r="T282" s="406"/>
    </row>
    <row r="283" spans="2:20" s="272" customFormat="1">
      <c r="B283" s="238"/>
      <c r="C283" s="238"/>
      <c r="D283" s="237"/>
      <c r="E283" s="237"/>
      <c r="F283" s="237"/>
      <c r="G283" s="234"/>
      <c r="H283" s="234"/>
      <c r="I283" s="234"/>
      <c r="J283" s="234"/>
      <c r="K283" s="234"/>
      <c r="L283" s="237"/>
      <c r="M283" s="237"/>
      <c r="N283" s="234"/>
      <c r="O283" s="239"/>
      <c r="P283" s="239"/>
      <c r="S283" s="406"/>
      <c r="T283" s="406"/>
    </row>
    <row r="284" spans="2:20" s="272" customFormat="1">
      <c r="B284" s="238"/>
      <c r="C284" s="238"/>
      <c r="D284" s="237"/>
      <c r="E284" s="237"/>
      <c r="F284" s="237"/>
      <c r="G284" s="234"/>
      <c r="H284" s="234"/>
      <c r="I284" s="234"/>
      <c r="J284" s="234"/>
      <c r="K284" s="234"/>
      <c r="L284" s="237"/>
      <c r="M284" s="237"/>
      <c r="N284" s="234"/>
      <c r="O284" s="239"/>
      <c r="P284" s="239"/>
      <c r="S284" s="406"/>
      <c r="T284" s="406"/>
    </row>
    <row r="285" spans="2:20" s="272" customFormat="1">
      <c r="B285" s="238"/>
      <c r="C285" s="238"/>
      <c r="D285" s="237"/>
      <c r="E285" s="237"/>
      <c r="F285" s="237"/>
      <c r="G285" s="234"/>
      <c r="H285" s="234"/>
      <c r="I285" s="234"/>
      <c r="J285" s="234"/>
      <c r="K285" s="234"/>
      <c r="L285" s="237"/>
      <c r="M285" s="237"/>
      <c r="N285" s="234"/>
      <c r="O285" s="239"/>
      <c r="P285" s="239"/>
      <c r="S285" s="406"/>
      <c r="T285" s="406"/>
    </row>
    <row r="286" spans="2:20" s="272" customFormat="1">
      <c r="B286" s="238"/>
      <c r="C286" s="238"/>
      <c r="D286" s="237"/>
      <c r="E286" s="237"/>
      <c r="F286" s="237"/>
      <c r="G286" s="234"/>
      <c r="H286" s="234"/>
      <c r="I286" s="234"/>
      <c r="J286" s="234"/>
      <c r="K286" s="234"/>
      <c r="L286" s="237"/>
      <c r="M286" s="237"/>
      <c r="N286" s="234"/>
      <c r="O286" s="239"/>
      <c r="P286" s="239"/>
      <c r="S286" s="406"/>
      <c r="T286" s="406"/>
    </row>
    <row r="287" spans="2:20" s="272" customFormat="1">
      <c r="B287" s="238"/>
      <c r="C287" s="238"/>
      <c r="D287" s="237"/>
      <c r="E287" s="237"/>
      <c r="F287" s="237"/>
      <c r="G287" s="234"/>
      <c r="H287" s="234"/>
      <c r="I287" s="234"/>
      <c r="J287" s="234"/>
      <c r="K287" s="234"/>
      <c r="L287" s="237"/>
      <c r="M287" s="237"/>
      <c r="N287" s="234"/>
      <c r="O287" s="239"/>
      <c r="P287" s="239"/>
      <c r="S287" s="406"/>
      <c r="T287" s="406"/>
    </row>
    <row r="288" spans="2:20" s="272" customFormat="1">
      <c r="B288" s="238"/>
      <c r="C288" s="238"/>
      <c r="D288" s="237"/>
      <c r="E288" s="237"/>
      <c r="F288" s="237"/>
      <c r="G288" s="234"/>
      <c r="H288" s="234"/>
      <c r="I288" s="234"/>
      <c r="J288" s="234"/>
      <c r="K288" s="234"/>
      <c r="L288" s="237"/>
      <c r="M288" s="237"/>
      <c r="N288" s="234"/>
      <c r="O288" s="239"/>
      <c r="P288" s="239"/>
      <c r="S288" s="406"/>
      <c r="T288" s="406"/>
    </row>
    <row r="289" spans="2:20" s="272" customFormat="1">
      <c r="B289" s="238"/>
      <c r="C289" s="238"/>
      <c r="D289" s="237"/>
      <c r="E289" s="237"/>
      <c r="F289" s="237"/>
      <c r="G289" s="234"/>
      <c r="H289" s="234"/>
      <c r="I289" s="234"/>
      <c r="J289" s="234"/>
      <c r="K289" s="234"/>
      <c r="L289" s="237"/>
      <c r="M289" s="237"/>
      <c r="N289" s="234"/>
      <c r="O289" s="239"/>
      <c r="P289" s="239"/>
      <c r="S289" s="406"/>
      <c r="T289" s="406"/>
    </row>
    <row r="290" spans="2:20" s="272" customFormat="1">
      <c r="B290" s="238"/>
      <c r="C290" s="238"/>
      <c r="D290" s="237"/>
      <c r="E290" s="237"/>
      <c r="F290" s="237"/>
      <c r="G290" s="234"/>
      <c r="H290" s="234"/>
      <c r="I290" s="234"/>
      <c r="J290" s="234"/>
      <c r="K290" s="234"/>
      <c r="L290" s="237"/>
      <c r="M290" s="237"/>
      <c r="N290" s="234"/>
      <c r="O290" s="239"/>
      <c r="P290" s="239"/>
      <c r="S290" s="406"/>
      <c r="T290" s="406"/>
    </row>
    <row r="291" spans="2:20" s="272" customFormat="1">
      <c r="B291" s="238"/>
      <c r="C291" s="238"/>
      <c r="D291" s="237"/>
      <c r="E291" s="237"/>
      <c r="F291" s="237"/>
      <c r="G291" s="234"/>
      <c r="H291" s="234"/>
      <c r="I291" s="234"/>
      <c r="J291" s="234"/>
      <c r="K291" s="234"/>
      <c r="L291" s="237"/>
      <c r="M291" s="237"/>
      <c r="N291" s="234"/>
      <c r="O291" s="239"/>
      <c r="P291" s="239"/>
      <c r="S291" s="406"/>
      <c r="T291" s="406"/>
    </row>
    <row r="292" spans="2:20" s="272" customFormat="1">
      <c r="B292" s="238"/>
      <c r="C292" s="238"/>
      <c r="D292" s="237"/>
      <c r="E292" s="237"/>
      <c r="F292" s="237"/>
      <c r="G292" s="234"/>
      <c r="H292" s="234"/>
      <c r="I292" s="234"/>
      <c r="J292" s="234"/>
      <c r="K292" s="234"/>
      <c r="L292" s="237"/>
      <c r="M292" s="237"/>
      <c r="N292" s="234"/>
      <c r="O292" s="239"/>
      <c r="P292" s="239"/>
      <c r="S292" s="406"/>
      <c r="T292" s="406"/>
    </row>
    <row r="293" spans="2:20" s="272" customFormat="1">
      <c r="B293" s="238"/>
      <c r="C293" s="238"/>
      <c r="D293" s="237"/>
      <c r="E293" s="237"/>
      <c r="F293" s="237"/>
      <c r="G293" s="234"/>
      <c r="H293" s="234"/>
      <c r="I293" s="234"/>
      <c r="J293" s="234"/>
      <c r="K293" s="234"/>
      <c r="L293" s="237"/>
      <c r="M293" s="237"/>
      <c r="N293" s="234"/>
      <c r="O293" s="239"/>
      <c r="P293" s="239"/>
      <c r="S293" s="406"/>
      <c r="T293" s="406"/>
    </row>
    <row r="294" spans="2:20" s="272" customFormat="1">
      <c r="B294" s="238"/>
      <c r="C294" s="238"/>
      <c r="D294" s="237"/>
      <c r="E294" s="237"/>
      <c r="F294" s="237"/>
      <c r="G294" s="234"/>
      <c r="H294" s="234"/>
      <c r="I294" s="234"/>
      <c r="J294" s="234"/>
      <c r="K294" s="234"/>
      <c r="L294" s="237"/>
      <c r="M294" s="237"/>
      <c r="N294" s="234"/>
      <c r="O294" s="239"/>
      <c r="P294" s="239"/>
      <c r="S294" s="406"/>
      <c r="T294" s="406"/>
    </row>
    <row r="295" spans="2:20" s="272" customFormat="1">
      <c r="B295" s="238"/>
      <c r="C295" s="238"/>
      <c r="D295" s="237"/>
      <c r="E295" s="237"/>
      <c r="F295" s="237"/>
      <c r="G295" s="234"/>
      <c r="H295" s="234"/>
      <c r="I295" s="234"/>
      <c r="J295" s="234"/>
      <c r="K295" s="234"/>
      <c r="L295" s="237"/>
      <c r="M295" s="237"/>
      <c r="N295" s="234"/>
      <c r="O295" s="239"/>
      <c r="P295" s="239"/>
      <c r="S295" s="406"/>
      <c r="T295" s="406"/>
    </row>
    <row r="296" spans="2:20" s="272" customFormat="1">
      <c r="B296" s="238"/>
      <c r="C296" s="238"/>
      <c r="D296" s="237"/>
      <c r="E296" s="237"/>
      <c r="F296" s="237"/>
      <c r="G296" s="234"/>
      <c r="H296" s="234"/>
      <c r="I296" s="234"/>
      <c r="J296" s="234"/>
      <c r="K296" s="234"/>
      <c r="L296" s="237"/>
      <c r="M296" s="237"/>
      <c r="N296" s="234"/>
      <c r="O296" s="239"/>
      <c r="P296" s="239"/>
      <c r="S296" s="406"/>
      <c r="T296" s="406"/>
    </row>
    <row r="297" spans="2:20" s="272" customFormat="1">
      <c r="B297" s="238"/>
      <c r="C297" s="238"/>
      <c r="D297" s="237"/>
      <c r="E297" s="237"/>
      <c r="F297" s="237"/>
      <c r="G297" s="234"/>
      <c r="H297" s="234"/>
      <c r="I297" s="234"/>
      <c r="J297" s="234"/>
      <c r="K297" s="234"/>
      <c r="L297" s="237"/>
      <c r="M297" s="237"/>
      <c r="N297" s="234"/>
      <c r="O297" s="239"/>
      <c r="P297" s="239"/>
      <c r="S297" s="406"/>
      <c r="T297" s="406"/>
    </row>
    <row r="298" spans="2:20" s="272" customFormat="1">
      <c r="B298" s="238"/>
      <c r="C298" s="238"/>
      <c r="D298" s="237"/>
      <c r="E298" s="237"/>
      <c r="F298" s="237"/>
      <c r="G298" s="234"/>
      <c r="H298" s="234"/>
      <c r="I298" s="234"/>
      <c r="J298" s="234"/>
      <c r="K298" s="234"/>
      <c r="L298" s="237"/>
      <c r="M298" s="237"/>
      <c r="N298" s="234"/>
      <c r="O298" s="239"/>
      <c r="P298" s="239"/>
      <c r="S298" s="406"/>
      <c r="T298" s="406"/>
    </row>
    <row r="299" spans="2:20" s="272" customFormat="1">
      <c r="B299" s="238"/>
      <c r="C299" s="238"/>
      <c r="D299" s="237"/>
      <c r="E299" s="237"/>
      <c r="F299" s="237"/>
      <c r="G299" s="234"/>
      <c r="H299" s="234"/>
      <c r="I299" s="234"/>
      <c r="J299" s="234"/>
      <c r="K299" s="234"/>
      <c r="L299" s="237"/>
      <c r="M299" s="237"/>
      <c r="N299" s="234"/>
      <c r="O299" s="239"/>
      <c r="P299" s="239"/>
      <c r="S299" s="406"/>
      <c r="T299" s="406"/>
    </row>
    <row r="300" spans="2:20" s="272" customFormat="1">
      <c r="B300" s="238"/>
      <c r="C300" s="238"/>
      <c r="D300" s="237"/>
      <c r="E300" s="237"/>
      <c r="F300" s="237"/>
      <c r="G300" s="234"/>
      <c r="H300" s="234"/>
      <c r="I300" s="234"/>
      <c r="J300" s="234"/>
      <c r="K300" s="234"/>
      <c r="L300" s="237"/>
      <c r="M300" s="237"/>
      <c r="N300" s="234"/>
      <c r="O300" s="239"/>
      <c r="P300" s="239"/>
      <c r="S300" s="406"/>
      <c r="T300" s="406"/>
    </row>
    <row r="301" spans="2:20" s="272" customFormat="1">
      <c r="B301" s="238"/>
      <c r="C301" s="238"/>
      <c r="D301" s="237"/>
      <c r="E301" s="237"/>
      <c r="F301" s="237"/>
      <c r="G301" s="234"/>
      <c r="H301" s="234"/>
      <c r="I301" s="234"/>
      <c r="J301" s="234"/>
      <c r="K301" s="234"/>
      <c r="L301" s="237"/>
      <c r="M301" s="237"/>
      <c r="N301" s="234"/>
      <c r="O301" s="239"/>
      <c r="P301" s="239"/>
      <c r="S301" s="406"/>
      <c r="T301" s="406"/>
    </row>
    <row r="302" spans="2:20" s="272" customFormat="1">
      <c r="B302" s="238"/>
      <c r="C302" s="238"/>
      <c r="D302" s="237"/>
      <c r="E302" s="237"/>
      <c r="F302" s="237"/>
      <c r="G302" s="234"/>
      <c r="H302" s="234"/>
      <c r="I302" s="234"/>
      <c r="J302" s="234"/>
      <c r="K302" s="234"/>
      <c r="L302" s="237"/>
      <c r="M302" s="237"/>
      <c r="N302" s="234"/>
      <c r="O302" s="239"/>
      <c r="P302" s="239"/>
      <c r="S302" s="406"/>
      <c r="T302" s="406"/>
    </row>
    <row r="303" spans="2:20" s="272" customFormat="1">
      <c r="B303" s="238"/>
      <c r="C303" s="238"/>
      <c r="D303" s="237"/>
      <c r="E303" s="237"/>
      <c r="F303" s="237"/>
      <c r="G303" s="234"/>
      <c r="H303" s="234"/>
      <c r="I303" s="234"/>
      <c r="J303" s="234"/>
      <c r="K303" s="234"/>
      <c r="L303" s="237"/>
      <c r="M303" s="237"/>
      <c r="N303" s="234"/>
      <c r="O303" s="239"/>
      <c r="P303" s="239"/>
      <c r="S303" s="406"/>
      <c r="T303" s="406"/>
    </row>
    <row r="304" spans="2:20" s="272" customFormat="1">
      <c r="B304" s="238"/>
      <c r="C304" s="238"/>
      <c r="D304" s="237"/>
      <c r="E304" s="237"/>
      <c r="F304" s="237"/>
      <c r="G304" s="234"/>
      <c r="H304" s="234"/>
      <c r="I304" s="234"/>
      <c r="J304" s="234"/>
      <c r="K304" s="234"/>
      <c r="L304" s="237"/>
      <c r="M304" s="237"/>
      <c r="N304" s="234"/>
      <c r="O304" s="239"/>
      <c r="P304" s="239"/>
      <c r="S304" s="406"/>
      <c r="T304" s="406"/>
    </row>
    <row r="305" spans="2:20" s="272" customFormat="1">
      <c r="B305" s="238"/>
      <c r="C305" s="238"/>
      <c r="D305" s="237"/>
      <c r="E305" s="237"/>
      <c r="F305" s="237"/>
      <c r="G305" s="234"/>
      <c r="H305" s="234"/>
      <c r="I305" s="234"/>
      <c r="J305" s="234"/>
      <c r="K305" s="234"/>
      <c r="L305" s="237"/>
      <c r="M305" s="237"/>
      <c r="N305" s="234"/>
      <c r="O305" s="239"/>
      <c r="P305" s="239"/>
      <c r="S305" s="406"/>
      <c r="T305" s="406"/>
    </row>
    <row r="306" spans="2:20" s="272" customFormat="1">
      <c r="B306" s="238"/>
      <c r="C306" s="238"/>
      <c r="D306" s="237"/>
      <c r="E306" s="237"/>
      <c r="F306" s="237"/>
      <c r="G306" s="234"/>
      <c r="H306" s="234"/>
      <c r="I306" s="234"/>
      <c r="J306" s="234"/>
      <c r="K306" s="234"/>
      <c r="L306" s="237"/>
      <c r="M306" s="237"/>
      <c r="N306" s="234"/>
      <c r="O306" s="239"/>
      <c r="P306" s="239"/>
      <c r="S306" s="406"/>
      <c r="T306" s="406"/>
    </row>
    <row r="307" spans="2:20" s="272" customFormat="1">
      <c r="B307" s="238"/>
      <c r="C307" s="238"/>
      <c r="D307" s="237"/>
      <c r="E307" s="237"/>
      <c r="F307" s="237"/>
      <c r="G307" s="234"/>
      <c r="H307" s="234"/>
      <c r="I307" s="234"/>
      <c r="J307" s="234"/>
      <c r="K307" s="234"/>
      <c r="L307" s="237"/>
      <c r="M307" s="237"/>
      <c r="N307" s="234"/>
      <c r="O307" s="239"/>
      <c r="P307" s="239"/>
      <c r="S307" s="406"/>
      <c r="T307" s="406"/>
    </row>
    <row r="308" spans="2:20" s="272" customFormat="1">
      <c r="B308" s="238"/>
      <c r="C308" s="238"/>
      <c r="D308" s="237"/>
      <c r="E308" s="237"/>
      <c r="F308" s="237"/>
      <c r="G308" s="234"/>
      <c r="H308" s="234"/>
      <c r="I308" s="234"/>
      <c r="J308" s="234"/>
      <c r="K308" s="234"/>
      <c r="L308" s="237"/>
      <c r="M308" s="237"/>
      <c r="N308" s="234"/>
      <c r="O308" s="239"/>
      <c r="P308" s="239"/>
      <c r="S308" s="406"/>
      <c r="T308" s="406"/>
    </row>
    <row r="309" spans="2:20" s="272" customFormat="1">
      <c r="B309" s="238"/>
      <c r="C309" s="238"/>
      <c r="D309" s="237"/>
      <c r="E309" s="237"/>
      <c r="F309" s="237"/>
      <c r="G309" s="234"/>
      <c r="H309" s="234"/>
      <c r="I309" s="234"/>
      <c r="J309" s="234"/>
      <c r="K309" s="234"/>
      <c r="L309" s="237"/>
      <c r="M309" s="237"/>
      <c r="N309" s="234"/>
      <c r="O309" s="239"/>
      <c r="P309" s="239"/>
      <c r="S309" s="406"/>
      <c r="T309" s="406"/>
    </row>
    <row r="310" spans="2:20" s="272" customFormat="1">
      <c r="B310" s="238"/>
      <c r="C310" s="238"/>
      <c r="D310" s="237"/>
      <c r="E310" s="237"/>
      <c r="F310" s="237"/>
      <c r="G310" s="234"/>
      <c r="H310" s="234"/>
      <c r="I310" s="234"/>
      <c r="J310" s="234"/>
      <c r="K310" s="234"/>
      <c r="L310" s="237"/>
      <c r="M310" s="237"/>
      <c r="N310" s="234"/>
      <c r="O310" s="239"/>
      <c r="P310" s="239"/>
      <c r="S310" s="406"/>
      <c r="T310" s="406"/>
    </row>
    <row r="311" spans="2:20" s="272" customFormat="1">
      <c r="B311" s="238"/>
      <c r="C311" s="238"/>
      <c r="D311" s="237"/>
      <c r="E311" s="237"/>
      <c r="F311" s="237"/>
      <c r="G311" s="234"/>
      <c r="H311" s="234"/>
      <c r="I311" s="234"/>
      <c r="J311" s="234"/>
      <c r="K311" s="234"/>
      <c r="L311" s="237"/>
      <c r="M311" s="237"/>
      <c r="N311" s="234"/>
      <c r="O311" s="239"/>
      <c r="P311" s="239"/>
      <c r="S311" s="406"/>
      <c r="T311" s="406"/>
    </row>
    <row r="312" spans="2:20" s="272" customFormat="1">
      <c r="B312" s="238"/>
      <c r="C312" s="238"/>
      <c r="D312" s="237"/>
      <c r="E312" s="237"/>
      <c r="F312" s="237"/>
      <c r="G312" s="234"/>
      <c r="H312" s="234"/>
      <c r="I312" s="234"/>
      <c r="J312" s="234"/>
      <c r="K312" s="234"/>
      <c r="L312" s="237"/>
      <c r="M312" s="237"/>
      <c r="N312" s="234"/>
      <c r="O312" s="239"/>
      <c r="P312" s="239"/>
      <c r="S312" s="406"/>
      <c r="T312" s="406"/>
    </row>
    <row r="313" spans="2:20" s="272" customFormat="1">
      <c r="B313" s="238"/>
      <c r="C313" s="238"/>
      <c r="D313" s="237"/>
      <c r="E313" s="237"/>
      <c r="F313" s="237"/>
      <c r="G313" s="234"/>
      <c r="H313" s="234"/>
      <c r="I313" s="234"/>
      <c r="J313" s="234"/>
      <c r="K313" s="234"/>
      <c r="L313" s="237"/>
      <c r="M313" s="237"/>
      <c r="N313" s="234"/>
      <c r="O313" s="239"/>
      <c r="P313" s="239"/>
      <c r="S313" s="406"/>
      <c r="T313" s="406"/>
    </row>
    <row r="314" spans="2:20" s="272" customFormat="1">
      <c r="B314" s="238"/>
      <c r="C314" s="238"/>
      <c r="D314" s="237"/>
      <c r="E314" s="237"/>
      <c r="F314" s="237"/>
      <c r="G314" s="234"/>
      <c r="H314" s="234"/>
      <c r="I314" s="234"/>
      <c r="J314" s="234"/>
      <c r="K314" s="234"/>
      <c r="L314" s="237"/>
      <c r="M314" s="237"/>
      <c r="N314" s="234"/>
      <c r="O314" s="239"/>
      <c r="P314" s="239"/>
      <c r="S314" s="406"/>
      <c r="T314" s="406"/>
    </row>
    <row r="315" spans="2:20" s="272" customFormat="1">
      <c r="B315" s="238"/>
      <c r="C315" s="238"/>
      <c r="D315" s="237"/>
      <c r="E315" s="237"/>
      <c r="F315" s="237"/>
      <c r="G315" s="234"/>
      <c r="H315" s="234"/>
      <c r="I315" s="234"/>
      <c r="J315" s="234"/>
      <c r="K315" s="234"/>
      <c r="L315" s="237"/>
      <c r="M315" s="237"/>
      <c r="N315" s="234"/>
      <c r="O315" s="239"/>
      <c r="P315" s="239"/>
      <c r="S315" s="406"/>
      <c r="T315" s="406"/>
    </row>
    <row r="316" spans="2:20" s="272" customFormat="1">
      <c r="B316" s="238"/>
      <c r="C316" s="238"/>
      <c r="D316" s="237"/>
      <c r="E316" s="237"/>
      <c r="F316" s="237"/>
      <c r="G316" s="234"/>
      <c r="H316" s="234"/>
      <c r="I316" s="234"/>
      <c r="J316" s="234"/>
      <c r="K316" s="234"/>
      <c r="L316" s="237"/>
      <c r="M316" s="237"/>
      <c r="N316" s="234"/>
      <c r="O316" s="239"/>
      <c r="P316" s="239"/>
      <c r="S316" s="406"/>
      <c r="T316" s="406"/>
    </row>
    <row r="317" spans="2:20" s="272" customFormat="1">
      <c r="B317" s="238"/>
      <c r="C317" s="238"/>
      <c r="D317" s="237"/>
      <c r="E317" s="237"/>
      <c r="F317" s="237"/>
      <c r="G317" s="234"/>
      <c r="H317" s="234"/>
      <c r="I317" s="234"/>
      <c r="J317" s="234"/>
      <c r="K317" s="234"/>
      <c r="L317" s="237"/>
      <c r="M317" s="237"/>
      <c r="N317" s="234"/>
      <c r="O317" s="239"/>
      <c r="P317" s="239"/>
      <c r="S317" s="406"/>
      <c r="T317" s="406"/>
    </row>
    <row r="318" spans="2:20" s="272" customFormat="1">
      <c r="B318" s="238"/>
      <c r="C318" s="238"/>
      <c r="D318" s="237"/>
      <c r="E318" s="237"/>
      <c r="F318" s="237"/>
      <c r="G318" s="234"/>
      <c r="H318" s="234"/>
      <c r="I318" s="234"/>
      <c r="J318" s="234"/>
      <c r="K318" s="234"/>
      <c r="L318" s="237"/>
      <c r="M318" s="237"/>
      <c r="N318" s="234"/>
      <c r="O318" s="239"/>
      <c r="P318" s="239"/>
      <c r="S318" s="406"/>
      <c r="T318" s="406"/>
    </row>
    <row r="319" spans="2:20" s="272" customFormat="1">
      <c r="B319" s="238"/>
      <c r="C319" s="238"/>
      <c r="D319" s="237"/>
      <c r="E319" s="237"/>
      <c r="F319" s="237"/>
      <c r="G319" s="234"/>
      <c r="H319" s="234"/>
      <c r="I319" s="234"/>
      <c r="J319" s="234"/>
      <c r="K319" s="234"/>
      <c r="L319" s="237"/>
      <c r="M319" s="237"/>
      <c r="N319" s="234"/>
      <c r="O319" s="239"/>
      <c r="P319" s="239"/>
      <c r="S319" s="406"/>
      <c r="T319" s="406"/>
    </row>
    <row r="320" spans="2:20" s="272" customFormat="1">
      <c r="B320" s="238"/>
      <c r="C320" s="238"/>
      <c r="D320" s="237"/>
      <c r="E320" s="237"/>
      <c r="F320" s="237"/>
      <c r="G320" s="234"/>
      <c r="H320" s="234"/>
      <c r="I320" s="234"/>
      <c r="J320" s="234"/>
      <c r="K320" s="234"/>
      <c r="L320" s="237"/>
      <c r="M320" s="237"/>
      <c r="N320" s="234"/>
      <c r="O320" s="239"/>
      <c r="P320" s="239"/>
      <c r="S320" s="406"/>
      <c r="T320" s="406"/>
    </row>
    <row r="321" spans="2:20" s="272" customFormat="1">
      <c r="B321" s="238"/>
      <c r="C321" s="238"/>
      <c r="D321" s="237"/>
      <c r="E321" s="237"/>
      <c r="F321" s="237"/>
      <c r="G321" s="234"/>
      <c r="H321" s="234"/>
      <c r="I321" s="234"/>
      <c r="J321" s="234"/>
      <c r="K321" s="234"/>
      <c r="L321" s="237"/>
      <c r="M321" s="237"/>
      <c r="N321" s="234"/>
      <c r="O321" s="239"/>
      <c r="P321" s="239"/>
      <c r="S321" s="406"/>
      <c r="T321" s="406"/>
    </row>
    <row r="322" spans="2:20" s="272" customFormat="1">
      <c r="B322" s="238"/>
      <c r="C322" s="238"/>
      <c r="D322" s="237"/>
      <c r="E322" s="237"/>
      <c r="F322" s="237"/>
      <c r="G322" s="234"/>
      <c r="H322" s="234"/>
      <c r="I322" s="234"/>
      <c r="J322" s="234"/>
      <c r="K322" s="234"/>
      <c r="L322" s="237"/>
      <c r="M322" s="237"/>
      <c r="N322" s="234"/>
      <c r="O322" s="239"/>
      <c r="P322" s="239"/>
      <c r="S322" s="406"/>
      <c r="T322" s="406"/>
    </row>
    <row r="323" spans="2:20" s="272" customFormat="1">
      <c r="B323" s="238"/>
      <c r="C323" s="238"/>
      <c r="D323" s="237"/>
      <c r="E323" s="237"/>
      <c r="F323" s="237"/>
      <c r="G323" s="234"/>
      <c r="H323" s="234"/>
      <c r="I323" s="234"/>
      <c r="J323" s="234"/>
      <c r="K323" s="234"/>
      <c r="L323" s="237"/>
      <c r="M323" s="237"/>
      <c r="N323" s="234"/>
      <c r="O323" s="239"/>
      <c r="P323" s="239"/>
      <c r="S323" s="406"/>
      <c r="T323" s="406"/>
    </row>
    <row r="324" spans="2:20" s="272" customFormat="1">
      <c r="B324" s="238"/>
      <c r="C324" s="238"/>
      <c r="D324" s="237"/>
      <c r="E324" s="237"/>
      <c r="F324" s="237"/>
      <c r="G324" s="234"/>
      <c r="H324" s="234"/>
      <c r="I324" s="234"/>
      <c r="J324" s="234"/>
      <c r="K324" s="234"/>
      <c r="L324" s="237"/>
      <c r="M324" s="237"/>
      <c r="N324" s="234"/>
      <c r="O324" s="239"/>
      <c r="P324" s="239"/>
      <c r="S324" s="406"/>
      <c r="T324" s="406"/>
    </row>
    <row r="325" spans="2:20" s="272" customFormat="1">
      <c r="B325" s="238"/>
      <c r="C325" s="238"/>
      <c r="D325" s="237"/>
      <c r="E325" s="237"/>
      <c r="F325" s="237"/>
      <c r="G325" s="234"/>
      <c r="H325" s="234"/>
      <c r="I325" s="234"/>
      <c r="J325" s="234"/>
      <c r="K325" s="234"/>
      <c r="L325" s="237"/>
      <c r="M325" s="237"/>
      <c r="N325" s="234"/>
      <c r="O325" s="239"/>
      <c r="P325" s="239"/>
      <c r="S325" s="406"/>
      <c r="T325" s="406"/>
    </row>
    <row r="326" spans="2:20" s="272" customFormat="1">
      <c r="B326" s="238"/>
      <c r="C326" s="238"/>
      <c r="D326" s="237"/>
      <c r="E326" s="237"/>
      <c r="F326" s="237"/>
      <c r="G326" s="234"/>
      <c r="H326" s="234"/>
      <c r="I326" s="234"/>
      <c r="J326" s="234"/>
      <c r="K326" s="234"/>
      <c r="L326" s="237"/>
      <c r="M326" s="237"/>
      <c r="N326" s="234"/>
      <c r="O326" s="239"/>
      <c r="P326" s="239"/>
      <c r="S326" s="406"/>
      <c r="T326" s="406"/>
    </row>
    <row r="327" spans="2:20" s="272" customFormat="1">
      <c r="B327" s="238"/>
      <c r="C327" s="238"/>
      <c r="D327" s="237"/>
      <c r="E327" s="237"/>
      <c r="F327" s="237"/>
      <c r="G327" s="234"/>
      <c r="H327" s="234"/>
      <c r="I327" s="234"/>
      <c r="J327" s="234"/>
      <c r="K327" s="234"/>
      <c r="L327" s="237"/>
      <c r="M327" s="237"/>
      <c r="N327" s="234"/>
      <c r="O327" s="239"/>
      <c r="P327" s="239"/>
      <c r="S327" s="406"/>
      <c r="T327" s="406"/>
    </row>
    <row r="328" spans="2:20" s="272" customFormat="1">
      <c r="B328" s="238"/>
      <c r="C328" s="238"/>
      <c r="D328" s="237"/>
      <c r="E328" s="237"/>
      <c r="F328" s="237"/>
      <c r="G328" s="234"/>
      <c r="H328" s="234"/>
      <c r="I328" s="234"/>
      <c r="J328" s="234"/>
      <c r="K328" s="234"/>
      <c r="L328" s="237"/>
      <c r="M328" s="237"/>
      <c r="N328" s="234"/>
      <c r="O328" s="239"/>
      <c r="P328" s="239"/>
      <c r="S328" s="406"/>
      <c r="T328" s="406"/>
    </row>
    <row r="329" spans="2:20" s="272" customFormat="1">
      <c r="B329" s="238"/>
      <c r="C329" s="238"/>
      <c r="D329" s="237"/>
      <c r="E329" s="237"/>
      <c r="F329" s="237"/>
      <c r="G329" s="234"/>
      <c r="H329" s="234"/>
      <c r="I329" s="234"/>
      <c r="J329" s="234"/>
      <c r="K329" s="234"/>
      <c r="L329" s="237"/>
      <c r="M329" s="237"/>
      <c r="N329" s="234"/>
      <c r="O329" s="239"/>
      <c r="P329" s="239"/>
      <c r="S329" s="406"/>
      <c r="T329" s="406"/>
    </row>
    <row r="330" spans="2:20" s="272" customFormat="1">
      <c r="B330" s="238"/>
      <c r="C330" s="238"/>
      <c r="D330" s="237"/>
      <c r="E330" s="237"/>
      <c r="F330" s="237"/>
      <c r="G330" s="234"/>
      <c r="H330" s="234"/>
      <c r="I330" s="234"/>
      <c r="J330" s="234"/>
      <c r="K330" s="234"/>
      <c r="L330" s="237"/>
      <c r="M330" s="237"/>
      <c r="N330" s="234"/>
      <c r="O330" s="239"/>
      <c r="P330" s="239"/>
      <c r="S330" s="406"/>
      <c r="T330" s="406"/>
    </row>
    <row r="331" spans="2:20" s="272" customFormat="1">
      <c r="B331" s="238"/>
      <c r="C331" s="238"/>
      <c r="D331" s="237"/>
      <c r="E331" s="237"/>
      <c r="F331" s="237"/>
      <c r="G331" s="234"/>
      <c r="H331" s="234"/>
      <c r="I331" s="234"/>
      <c r="J331" s="234"/>
      <c r="K331" s="234"/>
      <c r="L331" s="237"/>
      <c r="M331" s="237"/>
      <c r="N331" s="234"/>
      <c r="O331" s="239"/>
      <c r="P331" s="239"/>
      <c r="S331" s="406"/>
      <c r="T331" s="406"/>
    </row>
    <row r="332" spans="2:20" s="272" customFormat="1">
      <c r="B332" s="238"/>
      <c r="C332" s="238"/>
      <c r="D332" s="237"/>
      <c r="E332" s="237"/>
      <c r="F332" s="237"/>
      <c r="G332" s="234"/>
      <c r="H332" s="234"/>
      <c r="I332" s="234"/>
      <c r="J332" s="234"/>
      <c r="K332" s="234"/>
      <c r="L332" s="237"/>
      <c r="M332" s="237"/>
      <c r="N332" s="234"/>
      <c r="O332" s="239"/>
      <c r="P332" s="239"/>
      <c r="S332" s="406"/>
      <c r="T332" s="406"/>
    </row>
    <row r="333" spans="2:20" s="272" customFormat="1">
      <c r="B333" s="238"/>
      <c r="C333" s="238"/>
      <c r="D333" s="237"/>
      <c r="E333" s="237"/>
      <c r="F333" s="237"/>
      <c r="G333" s="234"/>
      <c r="H333" s="234"/>
      <c r="I333" s="234"/>
      <c r="J333" s="234"/>
      <c r="K333" s="234"/>
      <c r="L333" s="237"/>
      <c r="M333" s="237"/>
      <c r="N333" s="234"/>
      <c r="O333" s="239"/>
      <c r="P333" s="239"/>
      <c r="S333" s="406"/>
      <c r="T333" s="406"/>
    </row>
    <row r="334" spans="2:20" s="272" customFormat="1">
      <c r="B334" s="238"/>
      <c r="C334" s="238"/>
      <c r="D334" s="237"/>
      <c r="E334" s="237"/>
      <c r="F334" s="237"/>
      <c r="G334" s="234"/>
      <c r="H334" s="234"/>
      <c r="I334" s="234"/>
      <c r="J334" s="234"/>
      <c r="K334" s="234"/>
      <c r="L334" s="237"/>
      <c r="M334" s="237"/>
      <c r="N334" s="234"/>
      <c r="O334" s="239"/>
      <c r="P334" s="239"/>
      <c r="S334" s="406"/>
      <c r="T334" s="406"/>
    </row>
    <row r="335" spans="2:20" s="272" customFormat="1">
      <c r="B335" s="238"/>
      <c r="C335" s="238"/>
      <c r="D335" s="237"/>
      <c r="E335" s="237"/>
      <c r="F335" s="237"/>
      <c r="G335" s="234"/>
      <c r="H335" s="234"/>
      <c r="I335" s="234"/>
      <c r="J335" s="234"/>
      <c r="K335" s="234"/>
      <c r="L335" s="237"/>
      <c r="M335" s="237"/>
      <c r="N335" s="234"/>
      <c r="O335" s="239"/>
      <c r="P335" s="239"/>
      <c r="S335" s="406"/>
      <c r="T335" s="406"/>
    </row>
    <row r="336" spans="2:20" s="272" customFormat="1">
      <c r="B336" s="238"/>
      <c r="C336" s="238"/>
      <c r="D336" s="237"/>
      <c r="E336" s="237"/>
      <c r="F336" s="237"/>
      <c r="G336" s="234"/>
      <c r="H336" s="234"/>
      <c r="I336" s="234"/>
      <c r="J336" s="234"/>
      <c r="K336" s="234"/>
      <c r="L336" s="237"/>
      <c r="M336" s="237"/>
      <c r="N336" s="234"/>
      <c r="O336" s="239"/>
      <c r="P336" s="239"/>
      <c r="S336" s="406"/>
      <c r="T336" s="406"/>
    </row>
    <row r="337" spans="2:20" s="272" customFormat="1">
      <c r="B337" s="238"/>
      <c r="C337" s="238"/>
      <c r="D337" s="237"/>
      <c r="E337" s="237"/>
      <c r="F337" s="237"/>
      <c r="G337" s="234"/>
      <c r="H337" s="234"/>
      <c r="I337" s="234"/>
      <c r="J337" s="234"/>
      <c r="K337" s="234"/>
      <c r="L337" s="237"/>
      <c r="M337" s="237"/>
      <c r="N337" s="234"/>
      <c r="O337" s="239"/>
      <c r="P337" s="239"/>
      <c r="S337" s="406"/>
      <c r="T337" s="406"/>
    </row>
    <row r="338" spans="2:20" s="272" customFormat="1">
      <c r="B338" s="238"/>
      <c r="C338" s="238"/>
      <c r="D338" s="237"/>
      <c r="E338" s="237"/>
      <c r="F338" s="237"/>
      <c r="G338" s="234"/>
      <c r="H338" s="234"/>
      <c r="I338" s="234"/>
      <c r="J338" s="234"/>
      <c r="K338" s="234"/>
      <c r="L338" s="237"/>
      <c r="M338" s="237"/>
      <c r="N338" s="234"/>
      <c r="O338" s="239"/>
      <c r="P338" s="239"/>
      <c r="S338" s="406"/>
      <c r="T338" s="406"/>
    </row>
    <row r="339" spans="2:20" s="272" customFormat="1">
      <c r="B339" s="238"/>
      <c r="C339" s="238"/>
      <c r="D339" s="237"/>
      <c r="E339" s="237"/>
      <c r="F339" s="237"/>
      <c r="G339" s="234"/>
      <c r="H339" s="234"/>
      <c r="I339" s="234"/>
      <c r="J339" s="234"/>
      <c r="K339" s="234"/>
      <c r="L339" s="237"/>
      <c r="M339" s="237"/>
      <c r="N339" s="234"/>
      <c r="O339" s="239"/>
      <c r="P339" s="239"/>
      <c r="S339" s="406"/>
      <c r="T339" s="406"/>
    </row>
    <row r="340" spans="2:20" s="272" customFormat="1">
      <c r="B340" s="238"/>
      <c r="C340" s="238"/>
      <c r="D340" s="237"/>
      <c r="E340" s="237"/>
      <c r="F340" s="237"/>
      <c r="G340" s="234"/>
      <c r="H340" s="234"/>
      <c r="I340" s="234"/>
      <c r="J340" s="234"/>
      <c r="K340" s="234"/>
      <c r="L340" s="237"/>
      <c r="M340" s="237"/>
      <c r="N340" s="234"/>
      <c r="O340" s="239"/>
      <c r="P340" s="239"/>
      <c r="S340" s="406"/>
      <c r="T340" s="406"/>
    </row>
    <row r="341" spans="2:20" s="272" customFormat="1">
      <c r="B341" s="238"/>
      <c r="C341" s="238"/>
      <c r="D341" s="237"/>
      <c r="E341" s="237"/>
      <c r="F341" s="237"/>
      <c r="G341" s="234"/>
      <c r="H341" s="234"/>
      <c r="I341" s="234"/>
      <c r="J341" s="234"/>
      <c r="K341" s="234"/>
      <c r="L341" s="237"/>
      <c r="M341" s="237"/>
      <c r="N341" s="234"/>
      <c r="O341" s="239"/>
      <c r="P341" s="239"/>
      <c r="S341" s="406"/>
      <c r="T341" s="406"/>
    </row>
    <row r="342" spans="2:20" s="272" customFormat="1">
      <c r="B342" s="238"/>
      <c r="C342" s="238"/>
      <c r="D342" s="237"/>
      <c r="E342" s="237"/>
      <c r="F342" s="237"/>
      <c r="G342" s="234"/>
      <c r="H342" s="234"/>
      <c r="I342" s="234"/>
      <c r="J342" s="234"/>
      <c r="K342" s="234"/>
      <c r="L342" s="237"/>
      <c r="M342" s="237"/>
      <c r="N342" s="234"/>
      <c r="O342" s="239"/>
      <c r="P342" s="239"/>
      <c r="S342" s="406"/>
      <c r="T342" s="406"/>
    </row>
    <row r="343" spans="2:20" s="272" customFormat="1">
      <c r="B343" s="238"/>
      <c r="C343" s="238"/>
      <c r="D343" s="237"/>
      <c r="E343" s="237"/>
      <c r="F343" s="237"/>
      <c r="G343" s="234"/>
      <c r="H343" s="234"/>
      <c r="I343" s="234"/>
      <c r="J343" s="234"/>
      <c r="K343" s="234"/>
      <c r="L343" s="237"/>
      <c r="M343" s="237"/>
      <c r="N343" s="234"/>
      <c r="O343" s="239"/>
      <c r="P343" s="239"/>
      <c r="S343" s="406"/>
      <c r="T343" s="406"/>
    </row>
    <row r="344" spans="2:20" s="272" customFormat="1">
      <c r="B344" s="238"/>
      <c r="C344" s="238"/>
      <c r="D344" s="237"/>
      <c r="E344" s="237"/>
      <c r="F344" s="237"/>
      <c r="G344" s="234"/>
      <c r="H344" s="234"/>
      <c r="I344" s="234"/>
      <c r="J344" s="234"/>
      <c r="K344" s="234"/>
      <c r="L344" s="237"/>
      <c r="M344" s="237"/>
      <c r="N344" s="234"/>
      <c r="O344" s="239"/>
      <c r="P344" s="239"/>
      <c r="S344" s="406"/>
      <c r="T344" s="406"/>
    </row>
    <row r="345" spans="2:20" s="272" customFormat="1">
      <c r="B345" s="238"/>
      <c r="C345" s="238"/>
      <c r="D345" s="237"/>
      <c r="E345" s="237"/>
      <c r="F345" s="237"/>
      <c r="G345" s="234"/>
      <c r="H345" s="234"/>
      <c r="I345" s="234"/>
      <c r="J345" s="234"/>
      <c r="K345" s="234"/>
      <c r="L345" s="237"/>
      <c r="M345" s="237"/>
      <c r="N345" s="234"/>
      <c r="O345" s="239"/>
      <c r="P345" s="239"/>
      <c r="S345" s="406"/>
      <c r="T345" s="406"/>
    </row>
    <row r="346" spans="2:20" s="272" customFormat="1">
      <c r="B346" s="238"/>
      <c r="C346" s="238"/>
      <c r="D346" s="237"/>
      <c r="E346" s="237"/>
      <c r="F346" s="237"/>
      <c r="G346" s="234"/>
      <c r="H346" s="234"/>
      <c r="I346" s="234"/>
      <c r="J346" s="234"/>
      <c r="K346" s="234"/>
      <c r="L346" s="237"/>
      <c r="M346" s="237"/>
      <c r="N346" s="234"/>
      <c r="O346" s="239"/>
      <c r="P346" s="239"/>
      <c r="S346" s="406"/>
      <c r="T346" s="406"/>
    </row>
    <row r="347" spans="2:20" s="272" customFormat="1">
      <c r="B347" s="238"/>
      <c r="C347" s="238"/>
      <c r="D347" s="237"/>
      <c r="E347" s="237"/>
      <c r="F347" s="237"/>
      <c r="G347" s="234"/>
      <c r="H347" s="234"/>
      <c r="I347" s="234"/>
      <c r="J347" s="234"/>
      <c r="K347" s="234"/>
      <c r="L347" s="237"/>
      <c r="M347" s="237"/>
      <c r="N347" s="234"/>
      <c r="O347" s="239"/>
      <c r="P347" s="239"/>
      <c r="S347" s="406"/>
      <c r="T347" s="406"/>
    </row>
    <row r="348" spans="2:20" s="272" customFormat="1">
      <c r="B348" s="238"/>
      <c r="C348" s="238"/>
      <c r="D348" s="237"/>
      <c r="E348" s="237"/>
      <c r="F348" s="237"/>
      <c r="G348" s="234"/>
      <c r="H348" s="234"/>
      <c r="I348" s="234"/>
      <c r="J348" s="234"/>
      <c r="K348" s="234"/>
      <c r="L348" s="237"/>
      <c r="M348" s="237"/>
      <c r="N348" s="234"/>
      <c r="O348" s="239"/>
      <c r="P348" s="239"/>
      <c r="S348" s="406"/>
      <c r="T348" s="406"/>
    </row>
    <row r="349" spans="2:20" s="272" customFormat="1">
      <c r="B349" s="238"/>
      <c r="C349" s="238"/>
      <c r="D349" s="237"/>
      <c r="E349" s="237"/>
      <c r="F349" s="237"/>
      <c r="G349" s="234"/>
      <c r="H349" s="234"/>
      <c r="I349" s="234"/>
      <c r="J349" s="234"/>
      <c r="K349" s="234"/>
      <c r="L349" s="237"/>
      <c r="M349" s="237"/>
      <c r="N349" s="234"/>
      <c r="O349" s="239"/>
      <c r="P349" s="239"/>
      <c r="S349" s="406"/>
      <c r="T349" s="406"/>
    </row>
    <row r="350" spans="2:20" s="272" customFormat="1">
      <c r="B350" s="238"/>
      <c r="C350" s="238"/>
      <c r="D350" s="237"/>
      <c r="E350" s="237"/>
      <c r="F350" s="237"/>
      <c r="G350" s="234"/>
      <c r="H350" s="234"/>
      <c r="I350" s="234"/>
      <c r="J350" s="234"/>
      <c r="K350" s="234"/>
      <c r="L350" s="237"/>
      <c r="M350" s="237"/>
      <c r="N350" s="234"/>
      <c r="O350" s="239"/>
      <c r="P350" s="239"/>
      <c r="S350" s="406"/>
      <c r="T350" s="406"/>
    </row>
    <row r="351" spans="2:20" s="272" customFormat="1">
      <c r="B351" s="238"/>
      <c r="C351" s="238"/>
      <c r="D351" s="237"/>
      <c r="E351" s="237"/>
      <c r="F351" s="237"/>
      <c r="G351" s="234"/>
      <c r="H351" s="234"/>
      <c r="I351" s="234"/>
      <c r="J351" s="234"/>
      <c r="K351" s="234"/>
      <c r="L351" s="237"/>
      <c r="M351" s="237"/>
      <c r="N351" s="234"/>
      <c r="O351" s="239"/>
      <c r="P351" s="239"/>
      <c r="S351" s="406"/>
      <c r="T351" s="406"/>
    </row>
    <row r="352" spans="2:20" s="272" customFormat="1">
      <c r="B352" s="238"/>
      <c r="C352" s="238"/>
      <c r="D352" s="237"/>
      <c r="E352" s="237"/>
      <c r="F352" s="237"/>
      <c r="G352" s="234"/>
      <c r="H352" s="234"/>
      <c r="I352" s="234"/>
      <c r="J352" s="234"/>
      <c r="K352" s="234"/>
      <c r="L352" s="237"/>
      <c r="M352" s="237"/>
      <c r="N352" s="234"/>
      <c r="O352" s="239"/>
      <c r="P352" s="239"/>
      <c r="S352" s="406"/>
      <c r="T352" s="406"/>
    </row>
    <row r="353" spans="2:20" s="272" customFormat="1">
      <c r="B353" s="238"/>
      <c r="C353" s="238"/>
      <c r="D353" s="237"/>
      <c r="E353" s="237"/>
      <c r="F353" s="237"/>
      <c r="G353" s="234"/>
      <c r="H353" s="234"/>
      <c r="I353" s="234"/>
      <c r="J353" s="234"/>
      <c r="K353" s="234"/>
      <c r="L353" s="237"/>
      <c r="M353" s="237"/>
      <c r="N353" s="234"/>
      <c r="O353" s="239"/>
      <c r="P353" s="239"/>
      <c r="S353" s="406"/>
      <c r="T353" s="406"/>
    </row>
    <row r="354" spans="2:20" s="272" customFormat="1">
      <c r="B354" s="238"/>
      <c r="C354" s="238"/>
      <c r="D354" s="237"/>
      <c r="E354" s="237"/>
      <c r="F354" s="237"/>
      <c r="G354" s="234"/>
      <c r="H354" s="234"/>
      <c r="I354" s="234"/>
      <c r="J354" s="234"/>
      <c r="K354" s="234"/>
      <c r="L354" s="237"/>
      <c r="M354" s="237"/>
      <c r="N354" s="234"/>
      <c r="O354" s="239"/>
      <c r="P354" s="239"/>
      <c r="S354" s="406"/>
      <c r="T354" s="406"/>
    </row>
    <row r="355" spans="2:20" s="272" customFormat="1">
      <c r="B355" s="238"/>
      <c r="C355" s="238"/>
      <c r="D355" s="237"/>
      <c r="E355" s="237"/>
      <c r="F355" s="237"/>
      <c r="G355" s="234"/>
      <c r="H355" s="234"/>
      <c r="I355" s="234"/>
      <c r="J355" s="234"/>
      <c r="K355" s="234"/>
      <c r="L355" s="237"/>
      <c r="M355" s="237"/>
      <c r="N355" s="234"/>
      <c r="O355" s="239"/>
      <c r="P355" s="239"/>
      <c r="S355" s="406"/>
      <c r="T355" s="406"/>
    </row>
    <row r="356" spans="2:20" s="272" customFormat="1">
      <c r="B356" s="238"/>
      <c r="C356" s="238"/>
      <c r="D356" s="237"/>
      <c r="E356" s="237"/>
      <c r="F356" s="237"/>
      <c r="G356" s="234"/>
      <c r="H356" s="234"/>
      <c r="I356" s="234"/>
      <c r="J356" s="234"/>
      <c r="K356" s="234"/>
      <c r="L356" s="237"/>
      <c r="M356" s="237"/>
      <c r="N356" s="234"/>
      <c r="O356" s="239"/>
      <c r="P356" s="239"/>
      <c r="S356" s="406"/>
      <c r="T356" s="406"/>
    </row>
    <row r="357" spans="2:20" s="272" customFormat="1">
      <c r="B357" s="238"/>
      <c r="C357" s="238"/>
      <c r="D357" s="237"/>
      <c r="E357" s="237"/>
      <c r="F357" s="237"/>
      <c r="G357" s="234"/>
      <c r="H357" s="234"/>
      <c r="I357" s="234"/>
      <c r="J357" s="234"/>
      <c r="K357" s="234"/>
      <c r="L357" s="237"/>
      <c r="M357" s="237"/>
      <c r="N357" s="234"/>
      <c r="O357" s="239"/>
      <c r="P357" s="239"/>
      <c r="S357" s="406"/>
      <c r="T357" s="406"/>
    </row>
    <row r="358" spans="2:20" s="272" customFormat="1">
      <c r="B358" s="238"/>
      <c r="C358" s="238"/>
      <c r="D358" s="237"/>
      <c r="E358" s="237"/>
      <c r="F358" s="237"/>
      <c r="G358" s="234"/>
      <c r="H358" s="234"/>
      <c r="I358" s="234"/>
      <c r="J358" s="234"/>
      <c r="K358" s="234"/>
      <c r="L358" s="237"/>
      <c r="M358" s="237"/>
      <c r="N358" s="234"/>
      <c r="O358" s="239"/>
      <c r="P358" s="239"/>
      <c r="S358" s="406"/>
      <c r="T358" s="406"/>
    </row>
    <row r="359" spans="2:20" s="272" customFormat="1">
      <c r="B359" s="238"/>
      <c r="C359" s="238"/>
      <c r="D359" s="237"/>
      <c r="E359" s="237"/>
      <c r="F359" s="237"/>
      <c r="G359" s="234"/>
      <c r="H359" s="234"/>
      <c r="I359" s="234"/>
      <c r="J359" s="234"/>
      <c r="K359" s="234"/>
      <c r="L359" s="237"/>
      <c r="M359" s="237"/>
      <c r="N359" s="234"/>
      <c r="O359" s="239"/>
      <c r="P359" s="239"/>
      <c r="S359" s="406"/>
      <c r="T359" s="406"/>
    </row>
    <row r="360" spans="2:20" s="272" customFormat="1">
      <c r="B360" s="238"/>
      <c r="C360" s="238"/>
      <c r="D360" s="237"/>
      <c r="E360" s="237"/>
      <c r="F360" s="237"/>
      <c r="G360" s="234"/>
      <c r="H360" s="234"/>
      <c r="I360" s="234"/>
      <c r="J360" s="234"/>
      <c r="K360" s="234"/>
      <c r="L360" s="237"/>
      <c r="M360" s="237"/>
      <c r="N360" s="234"/>
      <c r="O360" s="239"/>
      <c r="P360" s="239"/>
      <c r="S360" s="406"/>
      <c r="T360" s="406"/>
    </row>
    <row r="361" spans="2:20" s="272" customFormat="1">
      <c r="B361" s="238"/>
      <c r="C361" s="238"/>
      <c r="D361" s="237"/>
      <c r="E361" s="237"/>
      <c r="F361" s="237"/>
      <c r="G361" s="234"/>
      <c r="H361" s="234"/>
      <c r="I361" s="234"/>
      <c r="J361" s="234"/>
      <c r="K361" s="234"/>
      <c r="L361" s="237"/>
      <c r="M361" s="237"/>
      <c r="N361" s="234"/>
      <c r="O361" s="239"/>
      <c r="P361" s="239"/>
      <c r="S361" s="406"/>
      <c r="T361" s="406"/>
    </row>
    <row r="362" spans="2:20" s="272" customFormat="1">
      <c r="B362" s="238"/>
      <c r="C362" s="238"/>
      <c r="D362" s="237"/>
      <c r="E362" s="237"/>
      <c r="F362" s="237"/>
      <c r="G362" s="234"/>
      <c r="H362" s="234"/>
      <c r="I362" s="234"/>
      <c r="J362" s="234"/>
      <c r="K362" s="234"/>
      <c r="L362" s="237"/>
      <c r="M362" s="237"/>
      <c r="N362" s="234"/>
      <c r="O362" s="239"/>
      <c r="P362" s="239"/>
      <c r="S362" s="406"/>
      <c r="T362" s="406"/>
    </row>
    <row r="363" spans="2:20" s="272" customFormat="1">
      <c r="B363" s="238"/>
      <c r="C363" s="238"/>
      <c r="D363" s="237"/>
      <c r="E363" s="237"/>
      <c r="F363" s="237"/>
      <c r="G363" s="234"/>
      <c r="H363" s="234"/>
      <c r="I363" s="234"/>
      <c r="J363" s="234"/>
      <c r="K363" s="234"/>
      <c r="L363" s="237"/>
      <c r="M363" s="237"/>
      <c r="N363" s="234"/>
      <c r="O363" s="239"/>
      <c r="P363" s="239"/>
      <c r="S363" s="406"/>
      <c r="T363" s="406"/>
    </row>
    <row r="364" spans="2:20" s="272" customFormat="1">
      <c r="B364" s="238"/>
      <c r="C364" s="238"/>
      <c r="D364" s="237"/>
      <c r="E364" s="237"/>
      <c r="F364" s="237"/>
      <c r="G364" s="234"/>
      <c r="H364" s="234"/>
      <c r="I364" s="234"/>
      <c r="J364" s="234"/>
      <c r="K364" s="234"/>
      <c r="L364" s="237"/>
      <c r="M364" s="237"/>
      <c r="N364" s="234"/>
      <c r="O364" s="239"/>
      <c r="P364" s="239"/>
      <c r="S364" s="406"/>
      <c r="T364" s="406"/>
    </row>
    <row r="365" spans="2:20" s="272" customFormat="1">
      <c r="B365" s="238"/>
      <c r="C365" s="238"/>
      <c r="D365" s="237"/>
      <c r="E365" s="237"/>
      <c r="F365" s="237"/>
      <c r="G365" s="234"/>
      <c r="H365" s="234"/>
      <c r="I365" s="234"/>
      <c r="J365" s="234"/>
      <c r="K365" s="234"/>
      <c r="L365" s="237"/>
      <c r="M365" s="237"/>
      <c r="N365" s="234"/>
      <c r="O365" s="239"/>
      <c r="P365" s="239"/>
      <c r="S365" s="406"/>
      <c r="T365" s="406"/>
    </row>
    <row r="366" spans="2:20" s="272" customFormat="1">
      <c r="B366" s="238"/>
      <c r="C366" s="238"/>
      <c r="D366" s="237"/>
      <c r="E366" s="237"/>
      <c r="F366" s="237"/>
      <c r="G366" s="234"/>
      <c r="H366" s="234"/>
      <c r="I366" s="234"/>
      <c r="J366" s="234"/>
      <c r="K366" s="234"/>
      <c r="L366" s="237"/>
      <c r="M366" s="237"/>
      <c r="N366" s="234"/>
      <c r="O366" s="239"/>
      <c r="P366" s="239"/>
      <c r="S366" s="406"/>
      <c r="T366" s="406"/>
    </row>
    <row r="367" spans="2:20" s="272" customFormat="1">
      <c r="B367" s="238"/>
      <c r="C367" s="238"/>
      <c r="D367" s="237"/>
      <c r="E367" s="237"/>
      <c r="F367" s="237"/>
      <c r="G367" s="234"/>
      <c r="H367" s="234"/>
      <c r="I367" s="234"/>
      <c r="J367" s="234"/>
      <c r="K367" s="234"/>
      <c r="L367" s="237"/>
      <c r="M367" s="237"/>
      <c r="N367" s="234"/>
      <c r="O367" s="239"/>
      <c r="P367" s="239"/>
      <c r="S367" s="406"/>
      <c r="T367" s="406"/>
    </row>
    <row r="368" spans="2:20" s="272" customFormat="1">
      <c r="B368" s="238"/>
      <c r="C368" s="238"/>
      <c r="D368" s="237"/>
      <c r="E368" s="237"/>
      <c r="F368" s="237"/>
      <c r="G368" s="234"/>
      <c r="H368" s="234"/>
      <c r="I368" s="234"/>
      <c r="J368" s="234"/>
      <c r="K368" s="234"/>
      <c r="L368" s="237"/>
      <c r="M368" s="237"/>
      <c r="N368" s="234"/>
      <c r="O368" s="239"/>
      <c r="P368" s="239"/>
      <c r="S368" s="406"/>
      <c r="T368" s="406"/>
    </row>
    <row r="369" spans="2:20" s="272" customFormat="1">
      <c r="B369" s="238"/>
      <c r="C369" s="238"/>
      <c r="D369" s="237"/>
      <c r="E369" s="237"/>
      <c r="F369" s="237"/>
      <c r="G369" s="234"/>
      <c r="H369" s="234"/>
      <c r="I369" s="234"/>
      <c r="J369" s="234"/>
      <c r="K369" s="234"/>
      <c r="L369" s="237"/>
      <c r="M369" s="237"/>
      <c r="N369" s="234"/>
      <c r="O369" s="239"/>
      <c r="P369" s="239"/>
      <c r="S369" s="406"/>
      <c r="T369" s="406"/>
    </row>
    <row r="370" spans="2:20" s="272" customFormat="1">
      <c r="B370" s="238"/>
      <c r="C370" s="238"/>
      <c r="D370" s="237"/>
      <c r="E370" s="237"/>
      <c r="F370" s="237"/>
      <c r="G370" s="234"/>
      <c r="H370" s="234"/>
      <c r="I370" s="234"/>
      <c r="J370" s="234"/>
      <c r="K370" s="234"/>
      <c r="L370" s="237"/>
      <c r="M370" s="237"/>
      <c r="N370" s="234"/>
      <c r="O370" s="239"/>
      <c r="P370" s="239"/>
      <c r="S370" s="406"/>
      <c r="T370" s="406"/>
    </row>
    <row r="371" spans="2:20" s="272" customFormat="1">
      <c r="B371" s="238"/>
      <c r="C371" s="238"/>
      <c r="D371" s="237"/>
      <c r="E371" s="237"/>
      <c r="F371" s="237"/>
      <c r="G371" s="234"/>
      <c r="H371" s="234"/>
      <c r="I371" s="234"/>
      <c r="J371" s="234"/>
      <c r="K371" s="234"/>
      <c r="L371" s="237"/>
      <c r="M371" s="237"/>
      <c r="N371" s="234"/>
      <c r="O371" s="239"/>
      <c r="P371" s="239"/>
      <c r="S371" s="406"/>
      <c r="T371" s="406"/>
    </row>
    <row r="372" spans="2:20" s="272" customFormat="1">
      <c r="B372" s="238"/>
      <c r="C372" s="238"/>
      <c r="D372" s="237"/>
      <c r="E372" s="237"/>
      <c r="F372" s="237"/>
      <c r="G372" s="234"/>
      <c r="H372" s="234"/>
      <c r="I372" s="234"/>
      <c r="J372" s="234"/>
      <c r="K372" s="234"/>
      <c r="L372" s="237"/>
      <c r="M372" s="237"/>
      <c r="N372" s="234"/>
      <c r="O372" s="239"/>
      <c r="P372" s="239"/>
      <c r="S372" s="406"/>
      <c r="T372" s="406"/>
    </row>
    <row r="373" spans="2:20" s="272" customFormat="1">
      <c r="B373" s="238"/>
      <c r="C373" s="238"/>
      <c r="D373" s="237"/>
      <c r="E373" s="237"/>
      <c r="F373" s="237"/>
      <c r="G373" s="234"/>
      <c r="H373" s="234"/>
      <c r="I373" s="234"/>
      <c r="J373" s="234"/>
      <c r="K373" s="234"/>
      <c r="L373" s="237"/>
      <c r="M373" s="237"/>
      <c r="N373" s="234"/>
      <c r="O373" s="239"/>
      <c r="P373" s="239"/>
      <c r="S373" s="406"/>
      <c r="T373" s="406"/>
    </row>
    <row r="374" spans="2:20" s="272" customFormat="1">
      <c r="B374" s="238"/>
      <c r="C374" s="238"/>
      <c r="D374" s="237"/>
      <c r="E374" s="237"/>
      <c r="F374" s="237"/>
      <c r="G374" s="234"/>
      <c r="H374" s="234"/>
      <c r="I374" s="234"/>
      <c r="J374" s="234"/>
      <c r="K374" s="234"/>
      <c r="L374" s="237"/>
      <c r="M374" s="237"/>
      <c r="N374" s="234"/>
      <c r="O374" s="239"/>
      <c r="P374" s="239"/>
      <c r="S374" s="406"/>
      <c r="T374" s="406"/>
    </row>
    <row r="375" spans="2:20" s="272" customFormat="1">
      <c r="B375" s="238"/>
      <c r="C375" s="238"/>
      <c r="D375" s="237"/>
      <c r="E375" s="237"/>
      <c r="F375" s="237"/>
      <c r="G375" s="234"/>
      <c r="H375" s="234"/>
      <c r="I375" s="234"/>
      <c r="J375" s="234"/>
      <c r="K375" s="234"/>
      <c r="L375" s="237"/>
      <c r="M375" s="237"/>
      <c r="N375" s="234"/>
      <c r="O375" s="239"/>
      <c r="P375" s="239"/>
      <c r="S375" s="406"/>
      <c r="T375" s="406"/>
    </row>
    <row r="376" spans="2:20" s="272" customFormat="1">
      <c r="B376" s="238"/>
      <c r="C376" s="238"/>
      <c r="D376" s="237"/>
      <c r="E376" s="237"/>
      <c r="F376" s="237"/>
      <c r="G376" s="234"/>
      <c r="H376" s="234"/>
      <c r="I376" s="234"/>
      <c r="J376" s="234"/>
      <c r="K376" s="234"/>
      <c r="L376" s="237"/>
      <c r="M376" s="237"/>
      <c r="N376" s="234"/>
      <c r="O376" s="239"/>
      <c r="P376" s="239"/>
      <c r="S376" s="406"/>
      <c r="T376" s="406"/>
    </row>
    <row r="377" spans="2:20" s="272" customFormat="1">
      <c r="B377" s="238"/>
      <c r="C377" s="238"/>
      <c r="D377" s="237"/>
      <c r="E377" s="237"/>
      <c r="F377" s="237"/>
      <c r="G377" s="234"/>
      <c r="H377" s="234"/>
      <c r="I377" s="234"/>
      <c r="J377" s="234"/>
      <c r="K377" s="234"/>
      <c r="L377" s="237"/>
      <c r="M377" s="237"/>
      <c r="N377" s="234"/>
      <c r="O377" s="239"/>
      <c r="P377" s="239"/>
      <c r="S377" s="406"/>
      <c r="T377" s="406"/>
    </row>
    <row r="378" spans="2:20" s="272" customFormat="1">
      <c r="B378" s="238"/>
      <c r="C378" s="238"/>
      <c r="D378" s="237"/>
      <c r="E378" s="237"/>
      <c r="F378" s="237"/>
      <c r="G378" s="234"/>
      <c r="H378" s="234"/>
      <c r="I378" s="234"/>
      <c r="J378" s="234"/>
      <c r="K378" s="234"/>
      <c r="L378" s="237"/>
      <c r="M378" s="237"/>
      <c r="N378" s="234"/>
      <c r="O378" s="239"/>
      <c r="P378" s="239"/>
      <c r="S378" s="406"/>
      <c r="T378" s="406"/>
    </row>
    <row r="379" spans="2:20" s="272" customFormat="1">
      <c r="B379" s="238"/>
      <c r="C379" s="238"/>
      <c r="D379" s="237"/>
      <c r="E379" s="237"/>
      <c r="F379" s="237"/>
      <c r="G379" s="234"/>
      <c r="H379" s="234"/>
      <c r="I379" s="234"/>
      <c r="J379" s="234"/>
      <c r="K379" s="234"/>
      <c r="L379" s="237"/>
      <c r="M379" s="237"/>
      <c r="N379" s="234"/>
      <c r="O379" s="239"/>
      <c r="P379" s="239"/>
      <c r="S379" s="406"/>
      <c r="T379" s="406"/>
    </row>
    <row r="380" spans="2:20" s="272" customFormat="1">
      <c r="B380" s="238"/>
      <c r="C380" s="238"/>
      <c r="D380" s="237"/>
      <c r="E380" s="237"/>
      <c r="F380" s="237"/>
      <c r="G380" s="234"/>
      <c r="H380" s="234"/>
      <c r="I380" s="234"/>
      <c r="J380" s="234"/>
      <c r="K380" s="234"/>
      <c r="L380" s="237"/>
      <c r="M380" s="237"/>
      <c r="N380" s="234"/>
      <c r="O380" s="239"/>
      <c r="P380" s="239"/>
      <c r="S380" s="406"/>
      <c r="T380" s="406"/>
    </row>
  </sheetData>
  <mergeCells count="18">
    <mergeCell ref="G4:H4"/>
    <mergeCell ref="I4:M4"/>
    <mergeCell ref="N4:O4"/>
    <mergeCell ref="G5:H5"/>
    <mergeCell ref="I5:M5"/>
    <mergeCell ref="N5:O5"/>
    <mergeCell ref="B2:E2"/>
    <mergeCell ref="G2:H2"/>
    <mergeCell ref="I2:M2"/>
    <mergeCell ref="N2:O2"/>
    <mergeCell ref="G3:H3"/>
    <mergeCell ref="I3:M3"/>
    <mergeCell ref="N3:O3"/>
    <mergeCell ref="B9:C9"/>
    <mergeCell ref="G6:H6"/>
    <mergeCell ref="I6:M6"/>
    <mergeCell ref="N6:O6"/>
    <mergeCell ref="S7:S8"/>
  </mergeCells>
  <phoneticPr fontId="8" type="noConversion"/>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D3ED-6154-3A49-83EF-8DBB6A6FB09D}">
  <dimension ref="A1:AP380"/>
  <sheetViews>
    <sheetView zoomScale="120" zoomScaleNormal="120" workbookViewId="0">
      <pane ySplit="7" topLeftCell="A10" activePane="bottomLeft" state="frozen"/>
      <selection sqref="A1:XFD1048576"/>
      <selection pane="bottomLeft" activeCell="K25" sqref="K25"/>
    </sheetView>
  </sheetViews>
  <sheetFormatPr baseColWidth="10" defaultColWidth="10.83203125" defaultRowHeight="16"/>
  <cols>
    <col min="1" max="1" width="1.5" style="10" customWidth="1"/>
    <col min="2" max="3" width="5.6640625" style="2" customWidth="1"/>
    <col min="4" max="5" width="10.83203125" style="5"/>
    <col min="6" max="6" width="4.5" style="5" customWidth="1"/>
    <col min="7" max="7" width="4.33203125" style="3" customWidth="1"/>
    <col min="8" max="8" width="10.83203125" style="3" customWidth="1"/>
    <col min="9"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65.33203125" style="1" customWidth="1"/>
    <col min="18" max="18" width="3.1640625" style="10" customWidth="1"/>
    <col min="19" max="19" width="12.6640625" style="110" customWidth="1"/>
    <col min="20" max="20" width="10.83203125" style="110"/>
    <col min="21"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SUM(O10:O40)</f>
        <v>80065.610000000015</v>
      </c>
      <c r="H2" s="1015"/>
      <c r="I2" s="1007" t="s">
        <v>1543</v>
      </c>
      <c r="J2" s="1008"/>
      <c r="K2" s="1008"/>
      <c r="L2" s="1008"/>
      <c r="M2" s="1009"/>
      <c r="N2" s="1014">
        <f>SUM(D10:E40)/(G5-4)</f>
        <v>377.14814814814815</v>
      </c>
      <c r="O2" s="1015"/>
      <c r="P2" s="145" t="s">
        <v>284</v>
      </c>
      <c r="Q2" s="146">
        <f>SUM(P10:P40)-SUM(M10:M40)-SUM(I10:I40)-SUM(E10:E40)-Q3+GIU!Q2</f>
        <v>112992.45000000001</v>
      </c>
      <c r="S2" s="108"/>
      <c r="T2" s="109"/>
    </row>
    <row r="3" spans="1:42" s="22" customFormat="1" ht="20" customHeight="1">
      <c r="B3" s="148" t="s">
        <v>285</v>
      </c>
      <c r="C3" s="149"/>
      <c r="D3" s="149"/>
      <c r="E3" s="149"/>
      <c r="F3" s="150"/>
      <c r="G3" s="1014">
        <f>SUM(P10:P37)</f>
        <v>54795.100000000006</v>
      </c>
      <c r="H3" s="1015"/>
      <c r="I3" s="1007" t="s">
        <v>1544</v>
      </c>
      <c r="J3" s="1008"/>
      <c r="K3" s="1008"/>
      <c r="L3" s="1008"/>
      <c r="M3" s="1009"/>
      <c r="N3" s="1014">
        <f>SUM(H10:I40)/G5</f>
        <v>752.91612903225814</v>
      </c>
      <c r="O3" s="1015"/>
      <c r="P3" s="145" t="s">
        <v>1545</v>
      </c>
      <c r="Q3" s="146">
        <f>SUMIFS(BANCA!$E:$E,BANCA!$B:$B,"&gt;=01/07/2023",BANCA!$B:$B,"&lt;=31/07/2023",BANCA!$D:$D,"Versamento contanti")</f>
        <v>0</v>
      </c>
      <c r="S3" s="108"/>
      <c r="T3" s="109"/>
    </row>
    <row r="4" spans="1:42" s="22" customFormat="1" ht="20" customHeight="1">
      <c r="B4" s="148" t="s">
        <v>287</v>
      </c>
      <c r="C4" s="149"/>
      <c r="D4" s="149"/>
      <c r="E4" s="149"/>
      <c r="F4" s="150"/>
      <c r="G4" s="1016">
        <f>G3/G2</f>
        <v>0.68437747492337841</v>
      </c>
      <c r="H4" s="1017"/>
      <c r="I4" s="1007" t="s">
        <v>1546</v>
      </c>
      <c r="J4" s="1008"/>
      <c r="K4" s="1008"/>
      <c r="L4" s="1008"/>
      <c r="M4" s="1009"/>
      <c r="N4" s="1014">
        <f>SUM(L10:M40)/G5</f>
        <v>1501.3616129032259</v>
      </c>
      <c r="O4" s="1015"/>
      <c r="P4" s="23"/>
      <c r="S4" s="108"/>
      <c r="T4" s="109"/>
    </row>
    <row r="5" spans="1:42" s="22" customFormat="1" ht="20" customHeight="1">
      <c r="B5" s="148" t="s">
        <v>288</v>
      </c>
      <c r="C5" s="149"/>
      <c r="D5" s="149"/>
      <c r="E5" s="149"/>
      <c r="F5" s="150"/>
      <c r="G5" s="1005">
        <f>COUNTA(O10:O40)</f>
        <v>31</v>
      </c>
      <c r="H5" s="1006"/>
      <c r="I5" s="1007" t="s">
        <v>290</v>
      </c>
      <c r="J5" s="1008"/>
      <c r="K5" s="1008"/>
      <c r="L5" s="1008"/>
      <c r="M5" s="1009"/>
      <c r="N5" s="1014">
        <f>SUM(E10:E37,M10:M37,I10:I37)</f>
        <v>37500.000000000015</v>
      </c>
      <c r="O5" s="1017"/>
      <c r="P5" s="23"/>
      <c r="S5" s="108"/>
      <c r="T5" s="109"/>
    </row>
    <row r="6" spans="1:42" s="22" customFormat="1" ht="20" customHeight="1">
      <c r="B6" s="151" t="s">
        <v>289</v>
      </c>
      <c r="C6" s="152"/>
      <c r="D6" s="152"/>
      <c r="E6" s="152"/>
      <c r="F6" s="153"/>
      <c r="G6" s="1014">
        <f>G2/G5</f>
        <v>2582.7616129032263</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294</v>
      </c>
      <c r="D10" s="206">
        <f>242.9-E10</f>
        <v>237.5</v>
      </c>
      <c r="E10" s="206">
        <v>5.4</v>
      </c>
      <c r="F10" s="207">
        <v>55</v>
      </c>
      <c r="G10" s="465" t="s">
        <v>295</v>
      </c>
      <c r="H10" s="206">
        <f>910.1-D10-E10-I10</f>
        <v>459.70000000000005</v>
      </c>
      <c r="I10" s="206">
        <v>207.5</v>
      </c>
      <c r="J10" s="207">
        <v>12</v>
      </c>
      <c r="K10" s="465" t="s">
        <v>295</v>
      </c>
      <c r="L10" s="206">
        <f>2026.8-M10-I10-H10-E10-D10</f>
        <v>535.80000000000007</v>
      </c>
      <c r="M10" s="206">
        <f>793.8-I10-E10</f>
        <v>580.9</v>
      </c>
      <c r="N10" s="465" t="s">
        <v>295</v>
      </c>
      <c r="O10" s="208">
        <f t="shared" ref="O10" si="0">SUM(D10:E10,H10:I10,L10:M10)</f>
        <v>2026.8000000000002</v>
      </c>
      <c r="P10" s="209">
        <v>1475.4</v>
      </c>
      <c r="Q10" s="210" t="s">
        <v>1701</v>
      </c>
      <c r="S10" s="157" t="s">
        <v>1567</v>
      </c>
      <c r="T10" s="156"/>
      <c r="U10" s="156">
        <f>(SUMIF($C$10:$C$40,S10,$H$10:$H$40)+SUMIF($C$10:$C$40,S10,$I$10:$I$40)+SUMIF($C$10:$C$40,S10,$L$10:$L$40)+SUMIF($C$10:$C$40,S10,$M$10:$M$40))/(COUNTIF($C$10:$C$40,S10)-1)</f>
        <v>1426.1000000000001</v>
      </c>
      <c r="V10" s="156">
        <f>(SUMIF($C$10:$C$40,S10,$H$10:$H$40)+SUMIF($C$10:$C$40,S10,$I$10:$I$40))/(COUNTIF($C$10:$C$40,S10)-1)</f>
        <v>571.9</v>
      </c>
      <c r="W10" s="156">
        <f>(SUMIF($C$10:$C$40,S10,$L$10:$L$40)+SUMIF($C$10:$C$40,S10,$M$10:$M$40))/(COUNTIF($C$10:$C$40,S10)-1)</f>
        <v>854.20000000000016</v>
      </c>
    </row>
    <row r="11" spans="1:42" s="14" customFormat="1" ht="16" customHeight="1">
      <c r="B11" s="19" t="s">
        <v>23</v>
      </c>
      <c r="C11" s="19" t="s">
        <v>1557</v>
      </c>
      <c r="D11" s="206"/>
      <c r="E11" s="206"/>
      <c r="F11" s="207"/>
      <c r="G11" s="227"/>
      <c r="H11" s="206">
        <f>637.2-D11-E11-I11</f>
        <v>363.00000000000006</v>
      </c>
      <c r="I11" s="206">
        <v>274.2</v>
      </c>
      <c r="J11" s="207">
        <v>17</v>
      </c>
      <c r="K11" s="465" t="s">
        <v>295</v>
      </c>
      <c r="L11" s="206">
        <f>1842.2-M11-I11-H11-E11-D11</f>
        <v>674</v>
      </c>
      <c r="M11" s="206">
        <f>805.2-I11-E11</f>
        <v>531</v>
      </c>
      <c r="N11" s="465" t="s">
        <v>295</v>
      </c>
      <c r="O11" s="208">
        <f t="shared" ref="O11:O40" si="1">SUM(D11:E11,H11:I11,L11:M11)</f>
        <v>1842.2</v>
      </c>
      <c r="P11" s="209">
        <v>1243.0999999999999</v>
      </c>
      <c r="Q11" s="210"/>
      <c r="S11" s="157" t="s">
        <v>294</v>
      </c>
      <c r="T11" s="156">
        <f>(SUMIF($C$10:$C$40,S11,$D$10:$D$40)+SUMIF($C$10:$C$40,S11,$E$10:$E$40))/(COUNTIF($C$10:$C$40,S11)-1)</f>
        <v>282.92500000000001</v>
      </c>
      <c r="U11" s="156">
        <f>(SUMIF($C$10:$C$40,S11,$H$10:$H$40)+SUMIF($C$10:$C$40,S11,$I$10:$I$40)+SUMIF($C$10:$C$40,S11,$L$10:$L$40)+SUMIF($C$10:$C$40,S11,$M$10:$M$40))/COUNTIF($C$10:$C$40,S11)</f>
        <v>1486.992</v>
      </c>
      <c r="V11" s="156">
        <f>(SUMIF($C$10:$C$40,S11,$H$10:$H$40)+SUMIF($C$10:$C$40,S11,$I$10:$I$40))/COUNTIF($C$10:$C$40,S11)</f>
        <v>495.08000000000004</v>
      </c>
      <c r="W11" s="156">
        <f>(SUMIF($C$10:$C$40,S11,$L$10:$L$40)+SUMIF($C$10:$C$40,S11,$M$10:$M$40))/COUNTIF($C$10:$C$40,S11)</f>
        <v>991.91199999999992</v>
      </c>
    </row>
    <row r="12" spans="1:42" s="14" customFormat="1" ht="16" customHeight="1">
      <c r="B12" s="19" t="s">
        <v>1559</v>
      </c>
      <c r="C12" s="19" t="s">
        <v>1558</v>
      </c>
      <c r="D12" s="206">
        <f>415.9-E12</f>
        <v>313.39999999999998</v>
      </c>
      <c r="E12" s="206">
        <v>102.5</v>
      </c>
      <c r="F12" s="207">
        <v>71</v>
      </c>
      <c r="G12" s="465" t="s">
        <v>295</v>
      </c>
      <c r="H12" s="206">
        <f>1113-D12-E12-I12</f>
        <v>423.70000000000005</v>
      </c>
      <c r="I12" s="206">
        <v>273.39999999999998</v>
      </c>
      <c r="J12" s="207">
        <v>12</v>
      </c>
      <c r="K12" s="465" t="s">
        <v>295</v>
      </c>
      <c r="L12" s="206">
        <f>3028.4-M12-I12-H12-E12-D12</f>
        <v>322.89999999999998</v>
      </c>
      <c r="M12" s="206">
        <f>1968.4-I12-E12</f>
        <v>1592.5</v>
      </c>
      <c r="N12" s="465" t="s">
        <v>295</v>
      </c>
      <c r="O12" s="208">
        <f t="shared" si="1"/>
        <v>3028.4</v>
      </c>
      <c r="P12" s="209">
        <v>2581.5</v>
      </c>
      <c r="Q12" s="210" t="s">
        <v>1702</v>
      </c>
      <c r="S12" s="157" t="s">
        <v>1557</v>
      </c>
      <c r="T12" s="156">
        <f>(SUMIF($C$10:$C$40,S12,$D$10:$D$40)+SUMIF($C$10:$C$40,S12,$E$10:$E$40))/COUNTIF($C$10:$C$40,S12)</f>
        <v>222.6</v>
      </c>
      <c r="U12" s="156">
        <f>(SUMIF($C$10:$C$40,S12,$H$10:$H$40)+SUMIF($C$10:$C$40,S12,$I$10:$I$40)+SUMIF($C$10:$C$40,S12,$L$10:$L$40)+SUMIF($C$10:$C$40,S12,$M$10:$M$40))/COUNTIF($C$10:$C$40,S12)</f>
        <v>1816.732</v>
      </c>
      <c r="V12" s="156">
        <f>(SUMIF($C$10:$C$40,S12,$H$10:$H$40)+SUMIF($C$10:$C$40,S12,$I$10:$I$40))/COUNTIF($C$10:$C$40,S12)</f>
        <v>697.24</v>
      </c>
      <c r="W12" s="156">
        <f>(SUMIF($C$10:$C$40,S12,$L$10:$L$40)+SUMIF($C$10:$C$40,S12,$M$10:$M$40))/COUNTIF($C$10:$C$40,S12)</f>
        <v>1119.492</v>
      </c>
    </row>
    <row r="13" spans="1:42" s="14" customFormat="1" ht="16" customHeight="1">
      <c r="B13" s="19" t="s">
        <v>1561</v>
      </c>
      <c r="C13" s="19" t="s">
        <v>175</v>
      </c>
      <c r="D13" s="206">
        <f>310-E13</f>
        <v>280</v>
      </c>
      <c r="E13" s="206">
        <v>30</v>
      </c>
      <c r="F13" s="207">
        <v>43</v>
      </c>
      <c r="G13" s="465" t="s">
        <v>295</v>
      </c>
      <c r="H13" s="206">
        <f>1081.5-D13-E13-I13</f>
        <v>402.7</v>
      </c>
      <c r="I13" s="206">
        <v>368.8</v>
      </c>
      <c r="J13" s="207">
        <v>17</v>
      </c>
      <c r="K13" s="465" t="s">
        <v>295</v>
      </c>
      <c r="L13" s="206">
        <f>4907.7-M13-I13-H13-E13-D13</f>
        <v>1894.1999999999998</v>
      </c>
      <c r="M13" s="206">
        <f>2330.8-I13-E13</f>
        <v>1932.0000000000002</v>
      </c>
      <c r="N13" s="465" t="s">
        <v>295</v>
      </c>
      <c r="O13" s="208">
        <f t="shared" si="1"/>
        <v>4907.7</v>
      </c>
      <c r="P13" s="209">
        <v>3576.4</v>
      </c>
      <c r="Q13" s="210" t="s">
        <v>1703</v>
      </c>
      <c r="S13" s="157" t="s">
        <v>1558</v>
      </c>
      <c r="T13" s="156">
        <f t="shared" ref="T13:T15" si="2">(SUMIF($C$10:$C$40,S13,$D$10:$D$40)+SUMIF($C$10:$C$40,S13,$E$10:$E$40))/COUNTIF($C$10:$C$40,S13)</f>
        <v>475.8</v>
      </c>
      <c r="U13" s="156">
        <f>(SUMIF($C$10:$C$40,S13,$H$10:$H$40)+SUMIF($C$10:$C$40,S13,$I$10:$I$40)+SUMIF($C$10:$C$40,S13,$L$10:$L$40)+SUMIF($C$10:$C$40,S13,$M$10:$M$40))/COUNTIF($C$10:$C$40,S13)</f>
        <v>2270.17</v>
      </c>
      <c r="V13" s="156">
        <f>(SUMIF($C$10:$C$40,S13,$H$10:$H$40)+SUMIF($C$10:$C$40,S13,$I$10:$I$40))/COUNTIF($C$10:$C$40,S13)</f>
        <v>866.7</v>
      </c>
      <c r="W13" s="156">
        <f>(SUMIF($C$10:$C$40,S13,$L$10:$L$40)+SUMIF($C$10:$C$40,S13,$M$10:$M$40))/COUNTIF($C$10:$C$40,S13)</f>
        <v>1403.47</v>
      </c>
    </row>
    <row r="14" spans="1:42" s="14" customFormat="1" ht="16" customHeight="1">
      <c r="B14" s="19" t="s">
        <v>1563</v>
      </c>
      <c r="C14" s="19" t="s">
        <v>176</v>
      </c>
      <c r="D14" s="206">
        <f>489.6-E14</f>
        <v>285.3</v>
      </c>
      <c r="E14" s="206">
        <v>204.3</v>
      </c>
      <c r="F14" s="207">
        <v>85</v>
      </c>
      <c r="G14" s="427" t="s">
        <v>1564</v>
      </c>
      <c r="H14" s="206">
        <f>1276-D14-E14-I14</f>
        <v>525.10000000000014</v>
      </c>
      <c r="I14" s="206">
        <v>261.3</v>
      </c>
      <c r="J14" s="207">
        <v>18</v>
      </c>
      <c r="K14" s="427" t="s">
        <v>1564</v>
      </c>
      <c r="L14" s="206">
        <f>3196.4-M14-I14-H14-E14-D14</f>
        <v>667.59999999999991</v>
      </c>
      <c r="M14" s="206">
        <f>1718.4-I14-E14</f>
        <v>1252.8000000000002</v>
      </c>
      <c r="N14" s="427" t="s">
        <v>1564</v>
      </c>
      <c r="O14" s="208">
        <f t="shared" si="1"/>
        <v>3196.4000000000005</v>
      </c>
      <c r="P14" s="209">
        <v>2635.6</v>
      </c>
      <c r="Q14" s="210"/>
      <c r="S14" s="157" t="s">
        <v>175</v>
      </c>
      <c r="T14" s="156">
        <f t="shared" si="2"/>
        <v>283.75</v>
      </c>
      <c r="U14" s="156">
        <f>(SUMIF($C$10:$C$40,S14,$H$10:$H$40)+SUMIF($C$10:$C$40,S14,$I$10:$I$40)+SUMIF($C$10:$C$40,S14,$L$10:$L$40)+SUMIF($C$10:$C$40,S14,$M$10:$M$40))/COUNTIF($C$10:$C$40,S14)</f>
        <v>4073.4750000000004</v>
      </c>
      <c r="V14" s="156">
        <f>(SUMIF($C$10:$C$40,S14,$H$10:$H$40)+SUMIF($C$10:$C$40,S14,$I$10:$I$40))/COUNTIF($C$10:$C$40,S14)</f>
        <v>852.125</v>
      </c>
      <c r="W14" s="156">
        <f>(SUMIF($C$10:$C$40,S14,$L$10:$L$40)+SUMIF($C$10:$C$40,S14,$M$10:$M$40))/COUNTIF($C$10:$C$40,S14)</f>
        <v>3221.3500000000004</v>
      </c>
    </row>
    <row r="15" spans="1:42" s="14" customFormat="1" ht="16" customHeight="1">
      <c r="B15" s="19" t="s">
        <v>1566</v>
      </c>
      <c r="C15" s="19" t="s">
        <v>177</v>
      </c>
      <c r="D15" s="206">
        <f>538-E15</f>
        <v>435.3</v>
      </c>
      <c r="E15" s="206">
        <v>102.7</v>
      </c>
      <c r="F15" s="207">
        <v>93</v>
      </c>
      <c r="G15" s="427" t="s">
        <v>1564</v>
      </c>
      <c r="H15" s="206">
        <f>1245-D15-E15-I15</f>
        <v>389</v>
      </c>
      <c r="I15" s="206">
        <v>318</v>
      </c>
      <c r="J15" s="207">
        <v>5</v>
      </c>
      <c r="K15" s="427" t="s">
        <v>1589</v>
      </c>
      <c r="L15" s="206">
        <f>2101.4-M15-I15-H15-E15-D15</f>
        <v>301.40000000000003</v>
      </c>
      <c r="M15" s="206">
        <f>975.7-I15-E15</f>
        <v>555</v>
      </c>
      <c r="N15" s="427" t="s">
        <v>1589</v>
      </c>
      <c r="O15" s="208">
        <f t="shared" si="1"/>
        <v>2101.4</v>
      </c>
      <c r="P15" s="209">
        <v>1912.9</v>
      </c>
      <c r="Q15" s="210"/>
      <c r="S15" s="157" t="s">
        <v>176</v>
      </c>
      <c r="T15" s="156">
        <f t="shared" si="2"/>
        <v>439.65</v>
      </c>
      <c r="U15" s="156">
        <f>(SUMIF($C$10:$C$40,S15,$H$10:$H$40)+SUMIF($C$10:$C$40,S15,$I$10:$I$40)+SUMIF($C$10:$C$40,S15,$L$10:$L$40)+SUMIF($C$10:$C$40,S15,$M$10:$M$40))/COUNTIF($C$10:$C$40,S15)</f>
        <v>3598.7850000000003</v>
      </c>
      <c r="V15" s="156">
        <f>(SUMIF($C$10:$C$40,S15,$H$10:$H$40)+SUMIF($C$10:$C$40,S15,$I$10:$I$40))/COUNTIF($C$10:$C$40,S15)</f>
        <v>1192.4250000000002</v>
      </c>
      <c r="W15" s="156">
        <f>(SUMIF($C$10:$C$40,S15,$L$10:$L$40)+SUMIF($C$10:$C$40,S15,$M$10:$M$40))/COUNTIF($C$10:$C$40,S15)</f>
        <v>2406.36</v>
      </c>
    </row>
    <row r="16" spans="1:42" s="14" customFormat="1" ht="16" customHeight="1">
      <c r="B16" s="19" t="s">
        <v>1569</v>
      </c>
      <c r="C16" s="19" t="s">
        <v>1567</v>
      </c>
      <c r="D16" s="206"/>
      <c r="E16" s="206"/>
      <c r="F16" s="207"/>
      <c r="G16" s="227"/>
      <c r="H16" s="206">
        <f>443.7-D16-E16-I16</f>
        <v>248.2</v>
      </c>
      <c r="I16" s="206">
        <v>195.5</v>
      </c>
      <c r="J16" s="207">
        <v>22</v>
      </c>
      <c r="K16" s="465" t="s">
        <v>295</v>
      </c>
      <c r="L16" s="206">
        <f>624.7-M16-I16-H16-E16-D16</f>
        <v>-4.4999999999999432</v>
      </c>
      <c r="M16" s="206">
        <f>381-I16-E16</f>
        <v>185.5</v>
      </c>
      <c r="N16" s="427" t="s">
        <v>1596</v>
      </c>
      <c r="O16" s="208">
        <f t="shared" si="1"/>
        <v>624.70000000000005</v>
      </c>
      <c r="P16" s="209">
        <v>527.4</v>
      </c>
      <c r="Q16" s="637" t="s">
        <v>1704</v>
      </c>
      <c r="S16" s="157" t="s">
        <v>177</v>
      </c>
      <c r="T16" s="156">
        <f t="shared" ref="T16" si="3">(SUMIF($C$10:$C$40,S16,$D$10:$D$40)+SUMIF($C$10:$C$40,S16,$E$10:$E$40))/(COUNTIF($C$10:$C$40,S16)-1)</f>
        <v>888.56666666666672</v>
      </c>
      <c r="U16" s="156">
        <f>(SUMIF($C$10:$C$40,S16,$H$10:$H$40)+SUMIF($C$10:$C$40,S16,$I$10:$I$40)+SUMIF($C$10:$C$40,S16,$L$10:$L$40)+SUMIF($C$10:$C$40,S16,$M$10:$M$40))/(COUNTIF($C$10:$C$40,S16)-1)</f>
        <v>2348.6</v>
      </c>
      <c r="V16" s="156">
        <f>(SUMIF($C$10:$C$40,S16,$H$10:$H$40)+SUMIF($C$10:$C$40,S16,$I$10:$I$40))/(COUNTIF($C$10:$C$40,S16)-1)</f>
        <v>1050.4666666666665</v>
      </c>
      <c r="W16" s="156">
        <f>(SUMIF($C$10:$C$40,S16,$L$10:$L$40)+SUMIF($C$10:$C$40,S16,$M$10:$M$40))/(COUNTIF($C$10:$C$40,S16)-1)</f>
        <v>1298.1333333333334</v>
      </c>
      <c r="X16" s="59"/>
      <c r="Y16" s="59"/>
      <c r="Z16" s="59"/>
      <c r="AA16" s="59"/>
      <c r="AB16" s="59"/>
      <c r="AC16" s="59"/>
    </row>
    <row r="17" spans="2:21" s="14" customFormat="1" ht="16" customHeight="1">
      <c r="B17" s="19" t="s">
        <v>297</v>
      </c>
      <c r="C17" s="19" t="s">
        <v>294</v>
      </c>
      <c r="D17" s="206">
        <f>135.4-E17</f>
        <v>105.60000000000001</v>
      </c>
      <c r="E17" s="206">
        <v>29.8</v>
      </c>
      <c r="F17" s="207">
        <v>102</v>
      </c>
      <c r="G17" s="465" t="s">
        <v>295</v>
      </c>
      <c r="H17" s="206">
        <f>361.5-D17-E17-I17</f>
        <v>140.69999999999996</v>
      </c>
      <c r="I17" s="206">
        <v>85.4</v>
      </c>
      <c r="J17" s="207">
        <v>10</v>
      </c>
      <c r="K17" s="427" t="s">
        <v>1596</v>
      </c>
      <c r="L17" s="206">
        <f>645.2-M17-I17-H17-E17-D17</f>
        <v>122.70000000000012</v>
      </c>
      <c r="M17" s="206">
        <f>276.2-I17-E17</f>
        <v>160.99999999999997</v>
      </c>
      <c r="N17" s="427" t="s">
        <v>1596</v>
      </c>
      <c r="O17" s="208">
        <f t="shared" si="1"/>
        <v>645.20000000000005</v>
      </c>
      <c r="P17" s="209">
        <v>486.4</v>
      </c>
      <c r="Q17" s="637" t="s">
        <v>1704</v>
      </c>
      <c r="S17" s="1019"/>
      <c r="T17" s="1020"/>
      <c r="U17" s="159"/>
    </row>
    <row r="18" spans="2:21" s="14" customFormat="1" ht="16" customHeight="1">
      <c r="B18" s="19" t="s">
        <v>1572</v>
      </c>
      <c r="C18" s="19" t="s">
        <v>1557</v>
      </c>
      <c r="D18" s="206">
        <f>233-E18</f>
        <v>197.7</v>
      </c>
      <c r="E18" s="206">
        <v>35.299999999999997</v>
      </c>
      <c r="F18" s="207">
        <v>61</v>
      </c>
      <c r="G18" s="465" t="s">
        <v>295</v>
      </c>
      <c r="H18" s="206">
        <f>1070-D18-E18-I18</f>
        <v>606.1</v>
      </c>
      <c r="I18" s="206">
        <v>230.9</v>
      </c>
      <c r="J18" s="207">
        <v>17</v>
      </c>
      <c r="K18" s="465" t="s">
        <v>295</v>
      </c>
      <c r="L18" s="206">
        <f>1833.8-M18-I18-H18-E18-D18</f>
        <v>53.799999999999727</v>
      </c>
      <c r="M18" s="206">
        <f>976.2-I18-E18</f>
        <v>710.00000000000011</v>
      </c>
      <c r="N18" s="465" t="s">
        <v>295</v>
      </c>
      <c r="O18" s="208">
        <f t="shared" si="1"/>
        <v>1833.7999999999997</v>
      </c>
      <c r="P18" s="209">
        <v>1179.0999999999999</v>
      </c>
      <c r="Q18" s="637" t="s">
        <v>1704</v>
      </c>
      <c r="S18" s="1019"/>
      <c r="T18" s="1020"/>
      <c r="U18" s="159"/>
    </row>
    <row r="19" spans="2:21" s="14" customFormat="1" ht="16" customHeight="1">
      <c r="B19" s="19" t="s">
        <v>1574</v>
      </c>
      <c r="C19" s="19" t="s">
        <v>1558</v>
      </c>
      <c r="D19" s="206">
        <f>404.1-E19</f>
        <v>317.3</v>
      </c>
      <c r="E19" s="206">
        <v>86.8</v>
      </c>
      <c r="F19" s="207">
        <v>105</v>
      </c>
      <c r="G19" s="465" t="s">
        <v>295</v>
      </c>
      <c r="H19" s="206">
        <f>1160-D19-E19-I19</f>
        <v>475.90000000000009</v>
      </c>
      <c r="I19" s="206">
        <v>280</v>
      </c>
      <c r="J19" s="207">
        <v>17</v>
      </c>
      <c r="K19" s="465" t="s">
        <v>295</v>
      </c>
      <c r="L19" s="206">
        <f>2142.8-M19-I19-H19-E19-D19</f>
        <v>123.80000000000007</v>
      </c>
      <c r="M19" s="206">
        <f>1225.8-I19-E19</f>
        <v>859</v>
      </c>
      <c r="N19" s="465" t="s">
        <v>295</v>
      </c>
      <c r="O19" s="208">
        <f t="shared" si="1"/>
        <v>2142.8000000000002</v>
      </c>
      <c r="P19" s="209">
        <v>1677.6</v>
      </c>
      <c r="Q19" s="638" t="s">
        <v>1705</v>
      </c>
      <c r="S19" s="1019"/>
      <c r="T19" s="1020"/>
      <c r="U19" s="159"/>
    </row>
    <row r="20" spans="2:21" s="14" customFormat="1" ht="16" customHeight="1">
      <c r="B20" s="19" t="s">
        <v>1577</v>
      </c>
      <c r="C20" s="19" t="s">
        <v>175</v>
      </c>
      <c r="D20" s="206">
        <f>323-E20</f>
        <v>205.6</v>
      </c>
      <c r="E20" s="206">
        <v>117.4</v>
      </c>
      <c r="F20" s="207">
        <v>59</v>
      </c>
      <c r="G20" s="465" t="s">
        <v>295</v>
      </c>
      <c r="H20" s="206">
        <f>1153-D20-E20-I20</f>
        <v>412.5</v>
      </c>
      <c r="I20" s="206">
        <v>417.5</v>
      </c>
      <c r="J20" s="207">
        <v>14</v>
      </c>
      <c r="K20" s="427" t="s">
        <v>1596</v>
      </c>
      <c r="L20" s="206">
        <f>3499.8-M20-I20-H20-E20-D20</f>
        <v>1098.9000000000005</v>
      </c>
      <c r="M20" s="206">
        <f>1782.8-I20-E20</f>
        <v>1247.8999999999999</v>
      </c>
      <c r="N20" s="427" t="s">
        <v>1596</v>
      </c>
      <c r="O20" s="208">
        <f t="shared" si="1"/>
        <v>3499.8</v>
      </c>
      <c r="P20" s="209">
        <v>2084.8000000000002</v>
      </c>
      <c r="Q20" s="210" t="s">
        <v>1706</v>
      </c>
      <c r="S20" s="1019"/>
      <c r="T20" s="1020"/>
      <c r="U20" s="159"/>
    </row>
    <row r="21" spans="2:21" s="14" customFormat="1" ht="16" customHeight="1">
      <c r="B21" s="19" t="s">
        <v>977</v>
      </c>
      <c r="C21" s="19" t="s">
        <v>176</v>
      </c>
      <c r="D21" s="206">
        <f>460-E21</f>
        <v>328.4</v>
      </c>
      <c r="E21" s="206">
        <v>131.6</v>
      </c>
      <c r="F21" s="207">
        <v>80</v>
      </c>
      <c r="G21" s="427" t="s">
        <v>1564</v>
      </c>
      <c r="H21" s="206">
        <f>1773-D21-E21-I21</f>
        <v>767.5</v>
      </c>
      <c r="I21" s="206">
        <v>545.5</v>
      </c>
      <c r="J21" s="207">
        <v>19</v>
      </c>
      <c r="K21" s="427" t="s">
        <v>1564</v>
      </c>
      <c r="L21" s="206">
        <f>3911.6-M21-I21-H21-E21-D21</f>
        <v>917.6</v>
      </c>
      <c r="M21" s="206">
        <f>1898.1-I21-E21</f>
        <v>1221</v>
      </c>
      <c r="N21" s="427" t="s">
        <v>1564</v>
      </c>
      <c r="O21" s="208">
        <f t="shared" si="1"/>
        <v>3911.6</v>
      </c>
      <c r="P21" s="209">
        <v>2873.9</v>
      </c>
      <c r="Q21" s="210"/>
      <c r="S21" s="1019"/>
      <c r="T21" s="1020"/>
      <c r="U21" s="159"/>
    </row>
    <row r="22" spans="2:21" s="14" customFormat="1" ht="16" customHeight="1">
      <c r="B22" s="19" t="s">
        <v>1581</v>
      </c>
      <c r="C22" s="19" t="s">
        <v>177</v>
      </c>
      <c r="D22" s="206">
        <f>822-E22</f>
        <v>758.8</v>
      </c>
      <c r="E22" s="206">
        <v>63.2</v>
      </c>
      <c r="F22" s="207">
        <v>78</v>
      </c>
      <c r="G22" s="465" t="s">
        <v>295</v>
      </c>
      <c r="H22" s="206">
        <f>1944-D22-E22-I22</f>
        <v>502.29999999999995</v>
      </c>
      <c r="I22" s="206">
        <v>619.70000000000005</v>
      </c>
      <c r="J22" s="207">
        <v>12</v>
      </c>
      <c r="K22" s="465" t="s">
        <v>295</v>
      </c>
      <c r="L22" s="206">
        <f>2882.4-M22-I22-H22-E22-D22</f>
        <v>432.90000000000009</v>
      </c>
      <c r="M22" s="206">
        <f>1188.4-I22-E22</f>
        <v>505.50000000000006</v>
      </c>
      <c r="N22" s="465" t="s">
        <v>295</v>
      </c>
      <c r="O22" s="208">
        <f t="shared" si="1"/>
        <v>2882.4</v>
      </c>
      <c r="P22" s="209">
        <v>2218.3000000000002</v>
      </c>
      <c r="Q22" s="210"/>
      <c r="S22" s="1019"/>
      <c r="T22" s="1020"/>
      <c r="U22" s="159"/>
    </row>
    <row r="23" spans="2:21" s="14" customFormat="1" ht="16" customHeight="1">
      <c r="B23" s="19" t="s">
        <v>1583</v>
      </c>
      <c r="C23" s="19" t="s">
        <v>1567</v>
      </c>
      <c r="D23" s="206"/>
      <c r="E23" s="206"/>
      <c r="F23" s="207"/>
      <c r="G23" s="227"/>
      <c r="H23" s="206">
        <f>505-D23-E23-I23</f>
        <v>200.2</v>
      </c>
      <c r="I23" s="206">
        <v>304.8</v>
      </c>
      <c r="J23" s="207">
        <v>21</v>
      </c>
      <c r="K23" s="465" t="s">
        <v>295</v>
      </c>
      <c r="L23" s="206">
        <f>1166.8-M23-I23-H23-E23-D23</f>
        <v>394.8</v>
      </c>
      <c r="M23" s="206">
        <f>571.8-I23-E23</f>
        <v>266.99999999999994</v>
      </c>
      <c r="N23" s="465" t="s">
        <v>295</v>
      </c>
      <c r="O23" s="208">
        <f t="shared" si="1"/>
        <v>1166.8</v>
      </c>
      <c r="P23" s="209">
        <v>976.8</v>
      </c>
      <c r="Q23" s="210"/>
      <c r="S23" s="1021"/>
      <c r="T23" s="1020"/>
      <c r="U23" s="159"/>
    </row>
    <row r="24" spans="2:21" s="14" customFormat="1" ht="16" customHeight="1">
      <c r="B24" s="19" t="s">
        <v>298</v>
      </c>
      <c r="C24" s="19" t="s">
        <v>294</v>
      </c>
      <c r="D24" s="206">
        <f>204-E24</f>
        <v>178.8</v>
      </c>
      <c r="E24" s="206">
        <v>25.2</v>
      </c>
      <c r="F24" s="207">
        <v>55</v>
      </c>
      <c r="G24" s="465" t="s">
        <v>295</v>
      </c>
      <c r="H24" s="206">
        <f>758-D24-E24-I24</f>
        <v>387.5</v>
      </c>
      <c r="I24" s="206">
        <v>166.5</v>
      </c>
      <c r="J24" s="207">
        <v>11</v>
      </c>
      <c r="K24" s="465" t="s">
        <v>295</v>
      </c>
      <c r="L24" s="206">
        <f>2415.2-M24-I24-H24-E24-D24</f>
        <v>959.69999999999982</v>
      </c>
      <c r="M24" s="206">
        <f>889.2-I24-E24</f>
        <v>697.5</v>
      </c>
      <c r="N24" s="465" t="s">
        <v>295</v>
      </c>
      <c r="O24" s="208">
        <f t="shared" si="1"/>
        <v>2415.1999999999998</v>
      </c>
      <c r="P24" s="209">
        <v>1834.9</v>
      </c>
      <c r="Q24" s="210"/>
      <c r="S24" s="1019"/>
      <c r="T24" s="1020"/>
      <c r="U24" s="159"/>
    </row>
    <row r="25" spans="2:21" s="14" customFormat="1" ht="16" customHeight="1">
      <c r="B25" s="19" t="s">
        <v>996</v>
      </c>
      <c r="C25" s="19" t="s">
        <v>1557</v>
      </c>
      <c r="D25" s="206">
        <f>318-E25</f>
        <v>265.7</v>
      </c>
      <c r="E25" s="206">
        <v>52.3</v>
      </c>
      <c r="F25" s="207">
        <v>78</v>
      </c>
      <c r="G25" s="465" t="s">
        <v>295</v>
      </c>
      <c r="H25" s="206">
        <f>1115-D25-E25-I25</f>
        <v>401.7</v>
      </c>
      <c r="I25" s="206">
        <v>395.3</v>
      </c>
      <c r="J25" s="207">
        <v>12</v>
      </c>
      <c r="K25" s="427" t="s">
        <v>1596</v>
      </c>
      <c r="L25" s="206">
        <f>2113.9-M25-I25-H25-E25-D25</f>
        <v>434.60000000000019</v>
      </c>
      <c r="M25" s="206">
        <f>1011.9-I25-E25</f>
        <v>564.29999999999995</v>
      </c>
      <c r="N25" s="427" t="s">
        <v>1564</v>
      </c>
      <c r="O25" s="208">
        <f t="shared" si="1"/>
        <v>2113.9</v>
      </c>
      <c r="P25" s="209">
        <v>1444.7</v>
      </c>
      <c r="Q25" s="210"/>
      <c r="S25" s="1019"/>
      <c r="T25" s="1020"/>
      <c r="U25" s="159"/>
    </row>
    <row r="26" spans="2:21" s="14" customFormat="1" ht="16" customHeight="1">
      <c r="B26" s="19" t="s">
        <v>293</v>
      </c>
      <c r="C26" s="19" t="s">
        <v>1558</v>
      </c>
      <c r="D26" s="206">
        <f>439-E26</f>
        <v>336</v>
      </c>
      <c r="E26" s="206">
        <v>103</v>
      </c>
      <c r="F26" s="207">
        <v>134</v>
      </c>
      <c r="G26" s="465" t="s">
        <v>295</v>
      </c>
      <c r="H26" s="206">
        <f>1224-D26-E26-I26</f>
        <v>442.5</v>
      </c>
      <c r="I26" s="206">
        <v>342.5</v>
      </c>
      <c r="J26" s="207">
        <v>11</v>
      </c>
      <c r="K26" s="465" t="s">
        <v>295</v>
      </c>
      <c r="L26" s="206">
        <f>3503.5-M26-I26-H26-E26-D26</f>
        <v>755</v>
      </c>
      <c r="M26" s="206">
        <f>1970-I26-E26</f>
        <v>1524.5</v>
      </c>
      <c r="N26" s="465" t="s">
        <v>295</v>
      </c>
      <c r="O26" s="208">
        <f t="shared" si="1"/>
        <v>3503.5</v>
      </c>
      <c r="P26" s="209">
        <v>2192.1999999999998</v>
      </c>
      <c r="Q26" s="210" t="s">
        <v>1707</v>
      </c>
      <c r="S26" s="1019"/>
      <c r="T26" s="1020"/>
      <c r="U26" s="159"/>
    </row>
    <row r="27" spans="2:21" s="14" customFormat="1" ht="16" customHeight="1">
      <c r="B27" s="19" t="s">
        <v>420</v>
      </c>
      <c r="C27" s="19" t="s">
        <v>175</v>
      </c>
      <c r="D27" s="206">
        <f>267-E27</f>
        <v>234.1</v>
      </c>
      <c r="E27" s="206">
        <v>32.9</v>
      </c>
      <c r="F27" s="207">
        <v>63</v>
      </c>
      <c r="G27" s="465" t="s">
        <v>295</v>
      </c>
      <c r="H27" s="206">
        <f>1515-D27-E27-I27</f>
        <v>883.7</v>
      </c>
      <c r="I27" s="206">
        <v>364.3</v>
      </c>
      <c r="J27" s="207">
        <v>23</v>
      </c>
      <c r="K27" s="465" t="s">
        <v>295</v>
      </c>
      <c r="L27" s="206">
        <f>4803.6-M27-I27-H27-E27-D27</f>
        <v>509.10000000000082</v>
      </c>
      <c r="M27" s="206">
        <f>3176.7-I27-E27</f>
        <v>2779.4999999999995</v>
      </c>
      <c r="N27" s="465" t="s">
        <v>295</v>
      </c>
      <c r="O27" s="208">
        <f t="shared" si="1"/>
        <v>4803.6000000000004</v>
      </c>
      <c r="P27" s="209">
        <v>3753.6</v>
      </c>
      <c r="Q27" s="210" t="s">
        <v>1706</v>
      </c>
      <c r="S27" s="1019"/>
      <c r="T27" s="1020"/>
      <c r="U27" s="159"/>
    </row>
    <row r="28" spans="2:21" s="14" customFormat="1" ht="16" customHeight="1">
      <c r="B28" s="19" t="s">
        <v>719</v>
      </c>
      <c r="C28" s="19" t="s">
        <v>176</v>
      </c>
      <c r="D28" s="206">
        <f>291-E28</f>
        <v>233.4</v>
      </c>
      <c r="E28" s="206">
        <v>57.6</v>
      </c>
      <c r="F28" s="207">
        <v>47</v>
      </c>
      <c r="G28" s="465" t="s">
        <v>295</v>
      </c>
      <c r="H28" s="206">
        <f>1321.3-D28-E28-I28</f>
        <v>606.69999999999993</v>
      </c>
      <c r="I28" s="206">
        <v>423.6</v>
      </c>
      <c r="J28" s="207">
        <v>12</v>
      </c>
      <c r="K28" s="465" t="s">
        <v>295</v>
      </c>
      <c r="L28" s="206">
        <f>4117.74-M28-I28-H28-E28-D28</f>
        <v>1025.04</v>
      </c>
      <c r="M28" s="206">
        <f>2252.6-I28-E28</f>
        <v>1771.4</v>
      </c>
      <c r="N28" s="465" t="s">
        <v>295</v>
      </c>
      <c r="O28" s="208">
        <f t="shared" si="1"/>
        <v>4117.74</v>
      </c>
      <c r="P28" s="209">
        <v>3349.8</v>
      </c>
      <c r="Q28" s="210"/>
      <c r="S28" s="1019"/>
      <c r="T28" s="1020"/>
      <c r="U28" s="159"/>
    </row>
    <row r="29" spans="2:21" s="14" customFormat="1" ht="16" customHeight="1">
      <c r="B29" s="19" t="s">
        <v>1591</v>
      </c>
      <c r="C29" s="19" t="s">
        <v>177</v>
      </c>
      <c r="D29" s="206">
        <f>395.7-E29</f>
        <v>300.89999999999998</v>
      </c>
      <c r="E29" s="206">
        <v>94.8</v>
      </c>
      <c r="F29" s="207">
        <v>59</v>
      </c>
      <c r="G29" s="465" t="s">
        <v>295</v>
      </c>
      <c r="H29" s="206">
        <f>1172-D29-E29-I29</f>
        <v>487.30000000000007</v>
      </c>
      <c r="I29" s="206">
        <v>289</v>
      </c>
      <c r="J29" s="207">
        <v>16</v>
      </c>
      <c r="K29" s="465" t="s">
        <v>295</v>
      </c>
      <c r="L29" s="206">
        <f>2621.6-M29-I29-H29-E29-D29</f>
        <v>792.80000000000007</v>
      </c>
      <c r="M29" s="206">
        <f>1040.6-I29-E29</f>
        <v>656.8</v>
      </c>
      <c r="N29" s="465" t="s">
        <v>295</v>
      </c>
      <c r="O29" s="208">
        <f t="shared" si="1"/>
        <v>2621.6000000000004</v>
      </c>
      <c r="P29" s="209">
        <v>1743</v>
      </c>
      <c r="Q29" s="210"/>
      <c r="S29" s="1019"/>
      <c r="T29" s="1020"/>
      <c r="U29" s="159"/>
    </row>
    <row r="30" spans="2:21" s="14" customFormat="1" ht="16" customHeight="1">
      <c r="B30" s="19" t="s">
        <v>1593</v>
      </c>
      <c r="C30" s="19" t="s">
        <v>1567</v>
      </c>
      <c r="D30" s="206"/>
      <c r="E30" s="206"/>
      <c r="F30" s="207"/>
      <c r="G30" s="227"/>
      <c r="H30" s="206">
        <f>377-D30-E30-I30</f>
        <v>229.7</v>
      </c>
      <c r="I30" s="206">
        <v>147.30000000000001</v>
      </c>
      <c r="J30" s="207">
        <v>20</v>
      </c>
      <c r="K30" s="465" t="s">
        <v>295</v>
      </c>
      <c r="L30" s="206">
        <f>1372.1-M30-I30-H30-E30-D30</f>
        <v>446.09999999999997</v>
      </c>
      <c r="M30" s="206">
        <f>696.3-I30-E30</f>
        <v>549</v>
      </c>
      <c r="N30" s="465" t="s">
        <v>295</v>
      </c>
      <c r="O30" s="208">
        <f t="shared" si="1"/>
        <v>1372.1</v>
      </c>
      <c r="P30" s="209">
        <v>904.4</v>
      </c>
      <c r="Q30" s="210"/>
      <c r="S30" s="1019"/>
      <c r="T30" s="1020"/>
      <c r="U30" s="159"/>
    </row>
    <row r="31" spans="2:21" s="14" customFormat="1" ht="16" customHeight="1">
      <c r="B31" s="19" t="s">
        <v>299</v>
      </c>
      <c r="C31" s="19" t="s">
        <v>294</v>
      </c>
      <c r="D31" s="206">
        <f>312-E31</f>
        <v>257.39999999999998</v>
      </c>
      <c r="E31" s="206">
        <v>54.6</v>
      </c>
      <c r="F31" s="207">
        <v>77</v>
      </c>
      <c r="G31" s="465" t="s">
        <v>295</v>
      </c>
      <c r="H31" s="206">
        <f>786-D31-E31-I31</f>
        <v>18.100000000000023</v>
      </c>
      <c r="I31" s="206">
        <v>455.9</v>
      </c>
      <c r="J31" s="207">
        <v>15</v>
      </c>
      <c r="K31" s="465" t="s">
        <v>295</v>
      </c>
      <c r="L31" s="206">
        <f>1866.86-M31-I31-H31-E31-D31</f>
        <v>441.55999999999995</v>
      </c>
      <c r="M31" s="206">
        <f>1149.8-I31-E31</f>
        <v>639.29999999999995</v>
      </c>
      <c r="N31" s="465" t="s">
        <v>295</v>
      </c>
      <c r="O31" s="208">
        <f t="shared" si="1"/>
        <v>1866.86</v>
      </c>
      <c r="P31" s="209">
        <v>1606.4</v>
      </c>
      <c r="Q31" s="210"/>
      <c r="S31" s="160"/>
      <c r="T31" s="161"/>
      <c r="U31" s="159"/>
    </row>
    <row r="32" spans="2:21" s="14" customFormat="1" ht="16" customHeight="1">
      <c r="B32" s="19" t="s">
        <v>461</v>
      </c>
      <c r="C32" s="19" t="s">
        <v>1557</v>
      </c>
      <c r="D32" s="206">
        <f>187-E32</f>
        <v>160.5</v>
      </c>
      <c r="E32" s="206">
        <v>26.5</v>
      </c>
      <c r="F32" s="207">
        <v>64</v>
      </c>
      <c r="G32" s="465" t="s">
        <v>295</v>
      </c>
      <c r="H32" s="206">
        <f>771-D32-E32-I32</f>
        <v>452.5</v>
      </c>
      <c r="I32" s="206">
        <v>131.5</v>
      </c>
      <c r="J32" s="207">
        <v>4</v>
      </c>
      <c r="K32" s="465" t="s">
        <v>295</v>
      </c>
      <c r="L32" s="206">
        <f>2052.3-M32-I32-H32-E32-D32</f>
        <v>411.00000000000023</v>
      </c>
      <c r="M32" s="206">
        <f>1028.3-I32-E32</f>
        <v>870.3</v>
      </c>
      <c r="N32" s="465" t="s">
        <v>295</v>
      </c>
      <c r="O32" s="208">
        <f t="shared" si="1"/>
        <v>2052.3000000000002</v>
      </c>
      <c r="P32" s="209">
        <v>1518.6</v>
      </c>
      <c r="Q32" s="210"/>
      <c r="S32" s="1019"/>
      <c r="T32" s="1020"/>
      <c r="U32" s="159"/>
    </row>
    <row r="33" spans="2:23" s="14" customFormat="1" ht="16" customHeight="1">
      <c r="B33" s="19" t="s">
        <v>296</v>
      </c>
      <c r="C33" s="19" t="s">
        <v>1558</v>
      </c>
      <c r="D33" s="206">
        <f>509-E33</f>
        <v>400</v>
      </c>
      <c r="E33" s="206">
        <v>109</v>
      </c>
      <c r="F33" s="207">
        <v>100</v>
      </c>
      <c r="G33" s="465" t="s">
        <v>295</v>
      </c>
      <c r="H33" s="206">
        <f>1278-D33-E33-I33</f>
        <v>376.2</v>
      </c>
      <c r="I33" s="206">
        <v>392.8</v>
      </c>
      <c r="J33" s="207">
        <v>18</v>
      </c>
      <c r="K33" s="427" t="s">
        <v>1596</v>
      </c>
      <c r="L33" s="206">
        <f>2903.3-M33-I33-H33-E33-D33</f>
        <v>805.30000000000018</v>
      </c>
      <c r="M33" s="206">
        <f>1321.8-I33-E33</f>
        <v>820</v>
      </c>
      <c r="N33" s="427" t="s">
        <v>1596</v>
      </c>
      <c r="O33" s="208">
        <f t="shared" si="1"/>
        <v>2903.3</v>
      </c>
      <c r="P33" s="209">
        <v>1995.4</v>
      </c>
      <c r="Q33" s="210" t="s">
        <v>1853</v>
      </c>
      <c r="S33" s="1019"/>
      <c r="T33" s="1020"/>
      <c r="U33" s="159"/>
    </row>
    <row r="34" spans="2:23" s="14" customFormat="1" ht="16" customHeight="1">
      <c r="B34" s="19" t="s">
        <v>1601</v>
      </c>
      <c r="C34" s="19" t="s">
        <v>175</v>
      </c>
      <c r="D34" s="206">
        <f>235-E34</f>
        <v>163.80000000000001</v>
      </c>
      <c r="E34" s="206">
        <v>71.2</v>
      </c>
      <c r="F34" s="207">
        <v>63</v>
      </c>
      <c r="G34" s="427" t="s">
        <v>1596</v>
      </c>
      <c r="H34" s="206">
        <f>794-D34-E34-I34</f>
        <v>424</v>
      </c>
      <c r="I34" s="206">
        <v>135</v>
      </c>
      <c r="J34" s="207">
        <v>37</v>
      </c>
      <c r="K34" s="427" t="s">
        <v>1589</v>
      </c>
      <c r="L34" s="206">
        <f>4217.8-M34-I34-H34-E34-D34</f>
        <v>1313.3000000000002</v>
      </c>
      <c r="M34" s="206">
        <f>2316.7-I34-E34</f>
        <v>2110.5</v>
      </c>
      <c r="N34" s="427" t="s">
        <v>1564</v>
      </c>
      <c r="O34" s="208">
        <f t="shared" si="1"/>
        <v>4217.8</v>
      </c>
      <c r="P34" s="209">
        <v>3274.6</v>
      </c>
      <c r="Q34" s="210" t="s">
        <v>1833</v>
      </c>
      <c r="S34" s="1019"/>
      <c r="T34" s="1020"/>
      <c r="U34" s="159"/>
    </row>
    <row r="35" spans="2:23" s="14" customFormat="1" ht="16" customHeight="1">
      <c r="B35" s="19" t="s">
        <v>1604</v>
      </c>
      <c r="C35" s="19" t="s">
        <v>176</v>
      </c>
      <c r="D35" s="206">
        <f>518-E35</f>
        <v>374.2</v>
      </c>
      <c r="E35" s="206">
        <v>143.80000000000001</v>
      </c>
      <c r="F35" s="207">
        <v>111</v>
      </c>
      <c r="G35" s="465" t="s">
        <v>295</v>
      </c>
      <c r="H35" s="206">
        <f>2158-D35-E35-I35</f>
        <v>568.09999999999991</v>
      </c>
      <c r="I35" s="206">
        <v>1071.9000000000001</v>
      </c>
      <c r="J35" s="207">
        <v>63</v>
      </c>
      <c r="K35" s="465" t="s">
        <v>295</v>
      </c>
      <c r="L35" s="206">
        <f>4928-M35-I35-H35-E35-D35</f>
        <v>1550.1000000000004</v>
      </c>
      <c r="M35" s="206">
        <f>2435.6-I35-E35</f>
        <v>1219.8999999999999</v>
      </c>
      <c r="N35" s="465" t="s">
        <v>295</v>
      </c>
      <c r="O35" s="208">
        <f t="shared" si="1"/>
        <v>4928</v>
      </c>
      <c r="P35" s="209">
        <v>3482.8</v>
      </c>
      <c r="Q35" s="210"/>
      <c r="S35" s="1019"/>
      <c r="T35" s="1020"/>
      <c r="U35" s="159"/>
    </row>
    <row r="36" spans="2:23" s="14" customFormat="1" ht="16" customHeight="1">
      <c r="B36" s="19" t="s">
        <v>1607</v>
      </c>
      <c r="C36" s="19" t="s">
        <v>177</v>
      </c>
      <c r="D36" s="206">
        <f>910-E36</f>
        <v>646.29999999999995</v>
      </c>
      <c r="E36" s="206">
        <v>263.7</v>
      </c>
      <c r="F36" s="207">
        <v>120</v>
      </c>
      <c r="G36" s="465" t="s">
        <v>295</v>
      </c>
      <c r="H36" s="206">
        <f>1456.1-D36-E36-I36</f>
        <v>320.19999999999993</v>
      </c>
      <c r="I36" s="206">
        <v>225.9</v>
      </c>
      <c r="J36" s="207">
        <v>12</v>
      </c>
      <c r="K36" s="427" t="s">
        <v>1589</v>
      </c>
      <c r="L36" s="206">
        <f>2106.1-M36-I36-H36-E36-D36</f>
        <v>370.5</v>
      </c>
      <c r="M36" s="206">
        <f>769.1-I36-E36</f>
        <v>279.50000000000006</v>
      </c>
      <c r="N36" s="427" t="s">
        <v>1589</v>
      </c>
      <c r="O36" s="208">
        <f t="shared" si="1"/>
        <v>2106.1</v>
      </c>
      <c r="P36" s="209">
        <v>1760.1</v>
      </c>
      <c r="Q36" s="210"/>
      <c r="S36" s="1019"/>
      <c r="T36" s="1020"/>
      <c r="U36" s="159"/>
    </row>
    <row r="37" spans="2:23" s="14" customFormat="1" ht="16" customHeight="1">
      <c r="B37" s="19" t="s">
        <v>1028</v>
      </c>
      <c r="C37" s="19" t="s">
        <v>1567</v>
      </c>
      <c r="D37" s="206"/>
      <c r="E37" s="206"/>
      <c r="F37" s="207"/>
      <c r="G37" s="227"/>
      <c r="H37" s="206">
        <f>390-D37-E37-I37</f>
        <v>154.69999999999999</v>
      </c>
      <c r="I37" s="206">
        <v>235.3</v>
      </c>
      <c r="J37" s="207">
        <v>33</v>
      </c>
      <c r="K37" s="427" t="s">
        <v>1596</v>
      </c>
      <c r="L37" s="206">
        <f>1114.7-M37-I37-H37-E37-D37</f>
        <v>411.2000000000001</v>
      </c>
      <c r="M37" s="206">
        <f>548.8-I37-E37</f>
        <v>313.49999999999994</v>
      </c>
      <c r="N37" s="427" t="s">
        <v>1596</v>
      </c>
      <c r="O37" s="208">
        <f t="shared" si="1"/>
        <v>1114.7</v>
      </c>
      <c r="P37" s="209">
        <v>485.4</v>
      </c>
      <c r="Q37" s="210"/>
      <c r="S37" s="1019"/>
      <c r="T37" s="1020"/>
      <c r="U37" s="159"/>
    </row>
    <row r="38" spans="2:23" s="14" customFormat="1">
      <c r="B38" s="19" t="s">
        <v>300</v>
      </c>
      <c r="C38" s="19" t="s">
        <v>294</v>
      </c>
      <c r="D38" s="206">
        <f>237.4-E38</f>
        <v>130.4</v>
      </c>
      <c r="E38" s="206">
        <v>107</v>
      </c>
      <c r="F38" s="207">
        <v>68</v>
      </c>
      <c r="G38" s="427" t="s">
        <v>1564</v>
      </c>
      <c r="H38" s="206">
        <f>791.5-D38-E38-I38</f>
        <v>289.5</v>
      </c>
      <c r="I38" s="206">
        <v>264.60000000000002</v>
      </c>
      <c r="J38" s="207">
        <v>31</v>
      </c>
      <c r="K38" s="427" t="s">
        <v>1596</v>
      </c>
      <c r="L38" s="206">
        <f>1612.6-M38-I38-H38-E38-D38</f>
        <v>245.09999999999988</v>
      </c>
      <c r="M38" s="206">
        <f>947.6-I38-E38</f>
        <v>576</v>
      </c>
      <c r="N38" s="427" t="s">
        <v>1589</v>
      </c>
      <c r="O38" s="208">
        <f t="shared" si="1"/>
        <v>1612.6</v>
      </c>
      <c r="P38" s="209">
        <v>1120.4000000000001</v>
      </c>
      <c r="Q38" s="210"/>
      <c r="S38" s="1022"/>
      <c r="T38" s="1023"/>
      <c r="U38" s="158"/>
    </row>
    <row r="39" spans="2:23" s="10" customFormat="1" ht="17">
      <c r="B39" s="19" t="s">
        <v>1040</v>
      </c>
      <c r="C39" s="19" t="s">
        <v>1557</v>
      </c>
      <c r="D39" s="206">
        <f>375-E39</f>
        <v>348.2</v>
      </c>
      <c r="E39" s="206">
        <v>26.8</v>
      </c>
      <c r="F39" s="207">
        <v>75</v>
      </c>
      <c r="G39" s="427" t="s">
        <v>1564</v>
      </c>
      <c r="H39" s="206">
        <f>1006-D39-E39-I39</f>
        <v>349.44</v>
      </c>
      <c r="I39" s="206">
        <v>281.56</v>
      </c>
      <c r="J39" s="207">
        <v>24</v>
      </c>
      <c r="K39" s="427" t="s">
        <v>1596</v>
      </c>
      <c r="L39" s="206">
        <f>2354.46-M39-I39-H39-E39-D39</f>
        <v>614.3599999999999</v>
      </c>
      <c r="M39" s="206">
        <f>1042.46-I39-E39</f>
        <v>734.10000000000014</v>
      </c>
      <c r="N39" s="465" t="s">
        <v>295</v>
      </c>
      <c r="O39" s="208">
        <f t="shared" si="1"/>
        <v>2354.46</v>
      </c>
      <c r="P39" s="209">
        <v>1968.37</v>
      </c>
      <c r="Q39" s="210"/>
      <c r="U39" s="14"/>
      <c r="V39" s="14"/>
      <c r="W39" s="14"/>
    </row>
    <row r="40" spans="2:23" s="10" customFormat="1" ht="17">
      <c r="B40" s="19" t="s">
        <v>1611</v>
      </c>
      <c r="C40" s="19" t="s">
        <v>1558</v>
      </c>
      <c r="D40" s="206">
        <f>611-E40</f>
        <v>448.5</v>
      </c>
      <c r="E40" s="206">
        <v>162.5</v>
      </c>
      <c r="F40" s="207">
        <v>109</v>
      </c>
      <c r="G40" s="465" t="s">
        <v>295</v>
      </c>
      <c r="H40" s="206">
        <v>1197</v>
      </c>
      <c r="I40" s="206">
        <v>129.5</v>
      </c>
      <c r="J40" s="207">
        <v>13</v>
      </c>
      <c r="K40" s="465" t="s">
        <v>295</v>
      </c>
      <c r="L40" s="206">
        <f>2151.85-M40-I40-H40-E40-D40</f>
        <v>-438.15000000000009</v>
      </c>
      <c r="M40" s="206">
        <f>944.5-I40-E40</f>
        <v>652.5</v>
      </c>
      <c r="N40" s="465" t="s">
        <v>295</v>
      </c>
      <c r="O40" s="208">
        <f t="shared" si="1"/>
        <v>2151.85</v>
      </c>
      <c r="P40" s="209">
        <v>1791.1</v>
      </c>
      <c r="Q40" s="642" t="s">
        <v>1856</v>
      </c>
      <c r="S40" s="110"/>
      <c r="T40" s="110"/>
    </row>
    <row r="41" spans="2:23" s="10" customFormat="1" ht="4" customHeight="1">
      <c r="B41" s="12"/>
      <c r="C41" s="12"/>
      <c r="D41" s="8"/>
      <c r="E41" s="8"/>
      <c r="F41" s="8"/>
      <c r="G41" s="9"/>
      <c r="H41" s="9"/>
      <c r="I41" s="9"/>
      <c r="J41" s="9"/>
      <c r="K41" s="9"/>
      <c r="L41" s="8"/>
      <c r="M41" s="8"/>
      <c r="N41" s="9"/>
      <c r="O41" s="11"/>
      <c r="P41" s="11"/>
      <c r="S41" s="110"/>
      <c r="T41" s="110"/>
    </row>
    <row r="42" spans="2:23" s="10" customFormat="1">
      <c r="B42" s="12"/>
      <c r="C42" s="12"/>
      <c r="D42" s="8"/>
      <c r="E42" s="8"/>
      <c r="F42" s="8"/>
      <c r="G42" s="9"/>
      <c r="H42" s="9"/>
      <c r="I42" s="162"/>
      <c r="J42" s="1018"/>
      <c r="K42" s="1018"/>
      <c r="L42" s="8"/>
      <c r="M42" s="8"/>
      <c r="N42" s="9"/>
      <c r="O42" s="11"/>
      <c r="P42" s="11"/>
      <c r="S42" s="110"/>
      <c r="T42" s="110"/>
    </row>
    <row r="43" spans="2:23" s="10" customFormat="1">
      <c r="B43" s="12"/>
      <c r="C43" s="12"/>
      <c r="D43" s="8"/>
      <c r="E43" s="8"/>
      <c r="F43" s="8"/>
      <c r="G43" s="9"/>
      <c r="H43" s="9"/>
      <c r="I43" s="9"/>
      <c r="J43" s="9"/>
      <c r="K43" s="9"/>
      <c r="L43" s="8"/>
      <c r="M43" s="8"/>
      <c r="N43" s="9"/>
      <c r="O43" s="11"/>
      <c r="P43" s="11"/>
      <c r="S43" s="110"/>
      <c r="T43" s="110"/>
    </row>
    <row r="44" spans="2:23" s="10" customFormat="1">
      <c r="B44" s="12"/>
      <c r="C44" s="12"/>
      <c r="D44" s="8"/>
      <c r="E44" s="8"/>
      <c r="F44" s="8"/>
      <c r="G44" s="9"/>
      <c r="H44" s="9"/>
      <c r="I44" s="9"/>
      <c r="J44" s="9"/>
      <c r="K44" s="9"/>
      <c r="L44" s="8"/>
      <c r="M44" s="8"/>
      <c r="N44" s="9"/>
      <c r="O44" s="11"/>
      <c r="P44" s="11"/>
      <c r="S44" s="110"/>
      <c r="T44" s="110"/>
    </row>
    <row r="45" spans="2:23" s="10" customFormat="1">
      <c r="B45" s="12"/>
      <c r="C45" s="12"/>
      <c r="D45" s="8"/>
      <c r="E45" s="8"/>
      <c r="F45" s="8"/>
      <c r="G45" s="9"/>
      <c r="H45" s="9"/>
      <c r="I45" s="9"/>
      <c r="J45" s="9"/>
      <c r="K45" s="9"/>
      <c r="L45" s="8"/>
      <c r="M45" s="8"/>
      <c r="N45" s="9"/>
      <c r="O45" s="11"/>
      <c r="P45" s="11"/>
      <c r="S45" s="110"/>
      <c r="T45" s="110"/>
    </row>
    <row r="46" spans="2:23" s="10" customFormat="1">
      <c r="B46" s="12"/>
      <c r="C46" s="12"/>
      <c r="D46" s="8"/>
      <c r="E46" s="8"/>
      <c r="F46" s="8"/>
      <c r="G46" s="9"/>
      <c r="H46" s="9"/>
      <c r="I46" s="9"/>
      <c r="J46" s="9"/>
      <c r="K46" s="9"/>
      <c r="L46" s="8"/>
      <c r="M46" s="8"/>
      <c r="N46" s="9"/>
      <c r="O46" s="11"/>
      <c r="P46" s="11"/>
      <c r="S46" s="110"/>
      <c r="T46" s="110"/>
    </row>
    <row r="47" spans="2:23" s="10" customFormat="1">
      <c r="B47" s="12"/>
      <c r="C47" s="12"/>
      <c r="D47" s="8"/>
      <c r="E47" s="8"/>
      <c r="F47" s="8"/>
      <c r="G47" s="9"/>
      <c r="H47" s="9"/>
      <c r="I47" s="9"/>
      <c r="J47" s="9"/>
      <c r="K47" s="9"/>
      <c r="L47" s="8"/>
      <c r="M47" s="8"/>
      <c r="N47" s="9"/>
      <c r="O47" s="11"/>
      <c r="P47" s="11"/>
      <c r="S47" s="110"/>
      <c r="T47" s="110"/>
    </row>
    <row r="48" spans="2:23" s="10" customFormat="1">
      <c r="B48" s="12"/>
      <c r="C48" s="12"/>
      <c r="D48" s="8"/>
      <c r="E48" s="8"/>
      <c r="F48" s="8"/>
      <c r="G48" s="9"/>
      <c r="H48" s="9"/>
      <c r="I48" s="9"/>
      <c r="J48" s="9"/>
      <c r="K48" s="9"/>
      <c r="L48" s="8"/>
      <c r="M48" s="8"/>
      <c r="N48" s="9"/>
      <c r="O48" s="11"/>
      <c r="P48" s="11"/>
      <c r="S48" s="110"/>
      <c r="T48" s="110"/>
    </row>
    <row r="49" spans="2:20" s="10" customFormat="1">
      <c r="B49" s="12"/>
      <c r="C49" s="12"/>
      <c r="D49" s="8"/>
      <c r="E49" s="8"/>
      <c r="F49" s="8"/>
      <c r="G49" s="9"/>
      <c r="H49" s="9"/>
      <c r="I49" s="9"/>
      <c r="J49" s="9"/>
      <c r="K49" s="9"/>
      <c r="L49" s="8"/>
      <c r="M49" s="8"/>
      <c r="N49" s="9"/>
      <c r="O49" s="11"/>
      <c r="P49" s="11"/>
      <c r="S49" s="110"/>
      <c r="T49" s="110"/>
    </row>
    <row r="50" spans="2:20" s="10" customFormat="1">
      <c r="B50" s="12"/>
      <c r="C50" s="12"/>
      <c r="D50" s="8"/>
      <c r="E50" s="8"/>
      <c r="F50" s="8"/>
      <c r="G50" s="9"/>
      <c r="H50" s="9"/>
      <c r="I50" s="9"/>
      <c r="J50" s="9"/>
      <c r="K50" s="9"/>
      <c r="L50" s="8"/>
      <c r="M50" s="8"/>
      <c r="N50" s="9"/>
      <c r="O50" s="11"/>
      <c r="P50" s="11"/>
      <c r="S50" s="110"/>
      <c r="T50" s="110"/>
    </row>
    <row r="51" spans="2:20" s="10" customFormat="1">
      <c r="B51" s="12"/>
      <c r="C51" s="12"/>
      <c r="D51" s="8"/>
      <c r="E51" s="8"/>
      <c r="F51" s="8"/>
      <c r="G51" s="9"/>
      <c r="H51" s="9"/>
      <c r="I51" s="9"/>
      <c r="J51" s="9"/>
      <c r="K51" s="9"/>
      <c r="L51" s="8"/>
      <c r="M51" s="8"/>
      <c r="N51" s="9"/>
      <c r="O51" s="11"/>
      <c r="P51" s="11"/>
      <c r="S51" s="110"/>
      <c r="T51" s="110"/>
    </row>
    <row r="52" spans="2:20" s="10" customFormat="1">
      <c r="B52" s="12"/>
      <c r="C52" s="12"/>
      <c r="D52" s="8"/>
      <c r="E52" s="8"/>
      <c r="F52" s="8"/>
      <c r="G52" s="9"/>
      <c r="H52" s="9"/>
      <c r="I52" s="9"/>
      <c r="J52" s="9"/>
      <c r="K52" s="9"/>
      <c r="L52" s="8"/>
      <c r="M52" s="8"/>
      <c r="N52" s="9"/>
      <c r="O52" s="11"/>
      <c r="P52" s="11"/>
      <c r="S52" s="110"/>
      <c r="T52" s="110"/>
    </row>
    <row r="53" spans="2:20" s="10" customFormat="1">
      <c r="B53" s="12"/>
      <c r="C53" s="12"/>
      <c r="D53" s="8"/>
      <c r="E53" s="8"/>
      <c r="F53" s="8"/>
      <c r="G53" s="9"/>
      <c r="H53" s="9"/>
      <c r="I53" s="9"/>
      <c r="J53" s="9"/>
      <c r="K53" s="9"/>
      <c r="L53" s="8"/>
      <c r="M53" s="8"/>
      <c r="N53" s="9"/>
      <c r="O53" s="11"/>
      <c r="P53" s="11"/>
      <c r="S53" s="110"/>
      <c r="T53" s="110"/>
    </row>
    <row r="54" spans="2:20" s="10" customFormat="1">
      <c r="B54" s="12"/>
      <c r="C54" s="12"/>
      <c r="D54" s="8"/>
      <c r="E54" s="8"/>
      <c r="F54" s="8"/>
      <c r="G54" s="9"/>
      <c r="H54" s="9"/>
      <c r="I54" s="9"/>
      <c r="J54" s="9"/>
      <c r="K54" s="9"/>
      <c r="L54" s="8"/>
      <c r="M54" s="8"/>
      <c r="N54" s="9"/>
      <c r="O54" s="11"/>
      <c r="P54" s="11"/>
      <c r="S54" s="110"/>
      <c r="T54" s="110"/>
    </row>
    <row r="55" spans="2:20" s="10" customFormat="1">
      <c r="B55" s="12"/>
      <c r="C55" s="12"/>
      <c r="D55" s="8"/>
      <c r="E55" s="8"/>
      <c r="F55" s="8"/>
      <c r="G55" s="9"/>
      <c r="H55" s="9"/>
      <c r="I55" s="9"/>
      <c r="J55" s="9"/>
      <c r="K55" s="9"/>
      <c r="L55" s="8"/>
      <c r="M55" s="8"/>
      <c r="N55" s="9"/>
      <c r="O55" s="11"/>
      <c r="P55" s="11"/>
      <c r="S55" s="110"/>
      <c r="T55" s="110"/>
    </row>
    <row r="56" spans="2:20" s="10" customFormat="1">
      <c r="B56" s="12"/>
      <c r="C56" s="12"/>
      <c r="D56" s="8"/>
      <c r="E56" s="8"/>
      <c r="F56" s="8"/>
      <c r="G56" s="9"/>
      <c r="H56" s="9"/>
      <c r="I56" s="9"/>
      <c r="J56" s="9"/>
      <c r="K56" s="9"/>
      <c r="L56" s="8"/>
      <c r="M56" s="8"/>
      <c r="N56" s="9"/>
      <c r="O56" s="11"/>
      <c r="P56" s="11"/>
      <c r="S56" s="110"/>
      <c r="T56" s="110"/>
    </row>
    <row r="57" spans="2:20" s="10" customFormat="1">
      <c r="B57" s="12"/>
      <c r="C57" s="12"/>
      <c r="D57" s="8"/>
      <c r="E57" s="8"/>
      <c r="F57" s="8"/>
      <c r="G57" s="9"/>
      <c r="H57" s="9"/>
      <c r="I57" s="9"/>
      <c r="J57" s="9"/>
      <c r="K57" s="9"/>
      <c r="L57" s="8"/>
      <c r="M57" s="8"/>
      <c r="N57" s="9"/>
      <c r="O57" s="11"/>
      <c r="P57" s="11"/>
      <c r="S57" s="110"/>
      <c r="T57" s="110"/>
    </row>
    <row r="58" spans="2:20" s="10" customFormat="1">
      <c r="B58" s="12"/>
      <c r="C58" s="12"/>
      <c r="D58" s="8"/>
      <c r="E58" s="8"/>
      <c r="F58" s="8"/>
      <c r="G58" s="9"/>
      <c r="H58" s="9"/>
      <c r="I58" s="9"/>
      <c r="J58" s="9"/>
      <c r="K58" s="9"/>
      <c r="L58" s="8"/>
      <c r="M58" s="8"/>
      <c r="N58" s="9"/>
      <c r="O58" s="11"/>
      <c r="P58" s="11"/>
      <c r="S58" s="110"/>
      <c r="T58" s="110"/>
    </row>
    <row r="59" spans="2:20" s="10" customFormat="1">
      <c r="B59" s="12"/>
      <c r="C59" s="12"/>
      <c r="D59" s="8"/>
      <c r="E59" s="8"/>
      <c r="F59" s="8"/>
      <c r="G59" s="9"/>
      <c r="H59" s="9"/>
      <c r="I59" s="9"/>
      <c r="J59" s="9"/>
      <c r="K59" s="9"/>
      <c r="L59" s="8"/>
      <c r="M59" s="8"/>
      <c r="N59" s="9"/>
      <c r="O59" s="11"/>
      <c r="P59" s="11"/>
      <c r="S59" s="110"/>
      <c r="T59" s="110"/>
    </row>
    <row r="60" spans="2:20" s="10" customFormat="1">
      <c r="B60" s="12"/>
      <c r="C60" s="12"/>
      <c r="D60" s="8"/>
      <c r="E60" s="8"/>
      <c r="F60" s="8"/>
      <c r="G60" s="9"/>
      <c r="H60" s="9"/>
      <c r="I60" s="9"/>
      <c r="J60" s="9"/>
      <c r="K60" s="9"/>
      <c r="L60" s="8"/>
      <c r="M60" s="8"/>
      <c r="N60" s="9"/>
      <c r="O60" s="11"/>
      <c r="P60" s="11"/>
      <c r="S60" s="110"/>
      <c r="T60" s="110"/>
    </row>
    <row r="61" spans="2:20" s="10" customFormat="1">
      <c r="B61" s="12"/>
      <c r="C61" s="12"/>
      <c r="D61" s="8"/>
      <c r="E61" s="8"/>
      <c r="F61" s="8"/>
      <c r="G61" s="9"/>
      <c r="H61" s="9"/>
      <c r="I61" s="9"/>
      <c r="J61" s="9"/>
      <c r="K61" s="9"/>
      <c r="L61" s="8"/>
      <c r="M61" s="8"/>
      <c r="N61" s="9"/>
      <c r="O61" s="11"/>
      <c r="P61" s="11"/>
      <c r="S61" s="110"/>
      <c r="T61" s="110"/>
    </row>
    <row r="62" spans="2:20" s="10" customFormat="1">
      <c r="B62" s="12"/>
      <c r="C62" s="12"/>
      <c r="D62" s="8"/>
      <c r="E62" s="8"/>
      <c r="F62" s="8"/>
      <c r="G62" s="9"/>
      <c r="H62" s="9"/>
      <c r="I62" s="9"/>
      <c r="J62" s="9"/>
      <c r="K62" s="9"/>
      <c r="L62" s="8"/>
      <c r="M62" s="8"/>
      <c r="N62" s="9"/>
      <c r="O62" s="11"/>
      <c r="P62" s="11"/>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row r="380" spans="2:20" s="10" customFormat="1">
      <c r="B380" s="12"/>
      <c r="C380" s="12"/>
      <c r="D380" s="8"/>
      <c r="E380" s="8"/>
      <c r="F380" s="8"/>
      <c r="G380" s="9"/>
      <c r="H380" s="9"/>
      <c r="I380" s="9"/>
      <c r="J380" s="9"/>
      <c r="K380" s="9"/>
      <c r="L380" s="8"/>
      <c r="M380" s="8"/>
      <c r="N380" s="9"/>
      <c r="O380" s="11"/>
      <c r="P380" s="11"/>
      <c r="S380" s="110"/>
      <c r="T380" s="110"/>
    </row>
  </sheetData>
  <mergeCells count="40">
    <mergeCell ref="S36:T36"/>
    <mergeCell ref="S37:T37"/>
    <mergeCell ref="S38:T38"/>
    <mergeCell ref="S30:T30"/>
    <mergeCell ref="S32:T32"/>
    <mergeCell ref="S33:T33"/>
    <mergeCell ref="S34:T34"/>
    <mergeCell ref="S35:T35"/>
    <mergeCell ref="I6:M6"/>
    <mergeCell ref="N6:O6"/>
    <mergeCell ref="J42:K42"/>
    <mergeCell ref="S17:T17"/>
    <mergeCell ref="S18:T18"/>
    <mergeCell ref="S19:T19"/>
    <mergeCell ref="S20:T20"/>
    <mergeCell ref="S21:T21"/>
    <mergeCell ref="S22:T22"/>
    <mergeCell ref="S23:T23"/>
    <mergeCell ref="S24:T24"/>
    <mergeCell ref="S25:T25"/>
    <mergeCell ref="S26:T26"/>
    <mergeCell ref="S27:T27"/>
    <mergeCell ref="S28:T28"/>
    <mergeCell ref="S29:T29"/>
    <mergeCell ref="S7:S8"/>
    <mergeCell ref="G5:H5"/>
    <mergeCell ref="I5:M5"/>
    <mergeCell ref="B9:C9"/>
    <mergeCell ref="B2:E2"/>
    <mergeCell ref="G2:H2"/>
    <mergeCell ref="I2:M2"/>
    <mergeCell ref="N2:O2"/>
    <mergeCell ref="G3:H3"/>
    <mergeCell ref="I3:M3"/>
    <mergeCell ref="N3:O3"/>
    <mergeCell ref="G4:H4"/>
    <mergeCell ref="I4:M4"/>
    <mergeCell ref="N4:O4"/>
    <mergeCell ref="N5:O5"/>
    <mergeCell ref="G6:H6"/>
  </mergeCells>
  <phoneticPr fontId="8" type="noConversion"/>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17B0E-950F-4347-A35C-4EBCB0494E6B}">
  <dimension ref="A1:AP380"/>
  <sheetViews>
    <sheetView topLeftCell="Y1" zoomScale="120" zoomScaleNormal="120" workbookViewId="0">
      <pane ySplit="7" topLeftCell="A12" activePane="bottomLeft" state="frozen"/>
      <selection sqref="A1:XFD1048576"/>
      <selection pane="bottomLeft" activeCell="N30" sqref="N30"/>
    </sheetView>
  </sheetViews>
  <sheetFormatPr baseColWidth="10" defaultColWidth="10.83203125" defaultRowHeight="16"/>
  <cols>
    <col min="1" max="1" width="1.5" style="10" customWidth="1"/>
    <col min="2" max="3" width="5.6640625" style="2" customWidth="1"/>
    <col min="4" max="5" width="10.83203125" style="5"/>
    <col min="6" max="6" width="4.5" style="5" customWidth="1"/>
    <col min="7" max="7" width="4.33203125" style="3" customWidth="1"/>
    <col min="8" max="8" width="10.83203125" style="3" customWidth="1"/>
    <col min="9"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55.33203125" style="1" customWidth="1"/>
    <col min="18" max="18" width="3.1640625" style="10" customWidth="1"/>
    <col min="19" max="19" width="12.6640625" style="110" customWidth="1"/>
    <col min="20" max="20" width="10.83203125" style="110"/>
    <col min="21"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SUM(O10:O40)</f>
        <v>95524.9</v>
      </c>
      <c r="H2" s="1015"/>
      <c r="I2" s="1007" t="s">
        <v>1543</v>
      </c>
      <c r="J2" s="1008"/>
      <c r="K2" s="1008"/>
      <c r="L2" s="1008"/>
      <c r="M2" s="1009"/>
      <c r="N2" s="1014">
        <f>SUM(D10:E40)/(G5-5)</f>
        <v>496.12</v>
      </c>
      <c r="O2" s="1015"/>
      <c r="P2" s="145" t="s">
        <v>284</v>
      </c>
      <c r="Q2" s="146">
        <f>SUM(P10:P40)-SUM(M10:M40)-SUM(I10:I40)-SUM(E10:E40)-Q3+LUG!Q2</f>
        <v>129862.25</v>
      </c>
      <c r="S2" s="108"/>
      <c r="T2" s="109"/>
    </row>
    <row r="3" spans="1:42" s="22" customFormat="1" ht="20" customHeight="1">
      <c r="B3" s="148" t="s">
        <v>285</v>
      </c>
      <c r="C3" s="149"/>
      <c r="D3" s="149"/>
      <c r="E3" s="149"/>
      <c r="F3" s="150"/>
      <c r="G3" s="1014">
        <f>SUM(P10:P37)</f>
        <v>59156.999999999993</v>
      </c>
      <c r="H3" s="1015"/>
      <c r="I3" s="1007" t="s">
        <v>1544</v>
      </c>
      <c r="J3" s="1008"/>
      <c r="K3" s="1008"/>
      <c r="L3" s="1008"/>
      <c r="M3" s="1009"/>
      <c r="N3" s="1014">
        <f>SUM(H10:I40)/G5</f>
        <v>919.23833333333334</v>
      </c>
      <c r="O3" s="1015"/>
      <c r="P3" s="145" t="s">
        <v>1545</v>
      </c>
      <c r="Q3" s="146">
        <f>SUMIFS(BANCA!$E:$E,BANCA!$B:$B,"&gt;=01/08/2023",BANCA!$B:$B,"&lt;=31/08/2023",BANCA!$D:$D,"Versamento contanti")</f>
        <v>0</v>
      </c>
      <c r="S3" s="108"/>
      <c r="T3" s="109"/>
    </row>
    <row r="4" spans="1:42" s="22" customFormat="1" ht="20" customHeight="1">
      <c r="B4" s="148" t="s">
        <v>287</v>
      </c>
      <c r="C4" s="149"/>
      <c r="D4" s="149"/>
      <c r="E4" s="149"/>
      <c r="F4" s="150"/>
      <c r="G4" s="1016">
        <f>G3/G2</f>
        <v>0.61928355852767181</v>
      </c>
      <c r="H4" s="1017"/>
      <c r="I4" s="1007" t="s">
        <v>1546</v>
      </c>
      <c r="J4" s="1008"/>
      <c r="K4" s="1008"/>
      <c r="L4" s="1008"/>
      <c r="M4" s="1009"/>
      <c r="N4" s="1014">
        <f>SUM(L10:M40)/G5</f>
        <v>1851.4916666666663</v>
      </c>
      <c r="O4" s="1015"/>
      <c r="P4" s="23"/>
      <c r="S4" s="108"/>
      <c r="T4" s="109"/>
    </row>
    <row r="5" spans="1:42" s="22" customFormat="1" ht="20" customHeight="1">
      <c r="B5" s="148" t="s">
        <v>288</v>
      </c>
      <c r="C5" s="149"/>
      <c r="D5" s="149"/>
      <c r="E5" s="149"/>
      <c r="F5" s="150"/>
      <c r="G5" s="1005">
        <f>COUNTA(O10:O40)</f>
        <v>30</v>
      </c>
      <c r="H5" s="1006"/>
      <c r="I5" s="1007" t="s">
        <v>290</v>
      </c>
      <c r="J5" s="1008"/>
      <c r="K5" s="1008"/>
      <c r="L5" s="1008"/>
      <c r="M5" s="1009"/>
      <c r="N5" s="1014">
        <f>SUM(E10:E37,M10:M37,I10:I37)</f>
        <v>44048.800000000017</v>
      </c>
      <c r="O5" s="1017"/>
      <c r="P5" s="23"/>
      <c r="S5" s="108"/>
      <c r="T5" s="109"/>
    </row>
    <row r="6" spans="1:42" s="22" customFormat="1" ht="20" customHeight="1">
      <c r="B6" s="151" t="s">
        <v>289</v>
      </c>
      <c r="C6" s="152"/>
      <c r="D6" s="152"/>
      <c r="E6" s="152"/>
      <c r="F6" s="153"/>
      <c r="G6" s="1014">
        <f>G2/G5</f>
        <v>3184.163333333333</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175</v>
      </c>
      <c r="D10" s="206">
        <f>195.7-E10</f>
        <v>139</v>
      </c>
      <c r="E10" s="206">
        <v>56.7</v>
      </c>
      <c r="F10" s="207">
        <v>68</v>
      </c>
      <c r="G10" s="465" t="s">
        <v>295</v>
      </c>
      <c r="H10" s="206">
        <f>1197-D10-E10-I10</f>
        <v>544.79999999999995</v>
      </c>
      <c r="I10" s="206">
        <v>456.5</v>
      </c>
      <c r="J10" s="207">
        <v>13</v>
      </c>
      <c r="K10" s="465" t="s">
        <v>295</v>
      </c>
      <c r="L10" s="206">
        <f>4895+66-M10-I10-H10-E10-D10</f>
        <v>620</v>
      </c>
      <c r="M10" s="206">
        <f>3591.2+66-I10-E10</f>
        <v>3144</v>
      </c>
      <c r="N10" s="427" t="s">
        <v>1589</v>
      </c>
      <c r="O10" s="208">
        <f>SUM(D10:E10,H10:I10,L10:M10)</f>
        <v>4961</v>
      </c>
      <c r="P10" s="209">
        <v>3757.9</v>
      </c>
      <c r="Q10" s="210" t="s">
        <v>1854</v>
      </c>
      <c r="S10" s="157" t="s">
        <v>1567</v>
      </c>
      <c r="T10" s="156"/>
      <c r="U10" s="156">
        <f>(SUMIF($C$10:$C$40,S10,$H$10:$H$40)+SUMIF($C$10:$C$40,S10,$I$10:$I$40)+SUMIF($C$10:$C$40,S10,$L$10:$L$40)+SUMIF($C$10:$C$40,S10,$M$10:$M$40))/(COUNTIF($C$10:$C$40,S10)-1)</f>
        <v>2412.8666666666668</v>
      </c>
      <c r="V10" s="156">
        <f>(SUMIF($C$10:$C$40,S10,$H$10:$H$40)+SUMIF($C$10:$C$40,S10,$I$10:$I$40))/(COUNTIF($C$10:$C$40,S10)-1)</f>
        <v>970.93333333333339</v>
      </c>
      <c r="W10" s="156">
        <f>(SUMIF($C$10:$C$40,S10,$L$10:$L$40)+SUMIF($C$10:$C$40,S10,$M$10:$M$40))/(COUNTIF($C$10:$C$40,S10)-1)</f>
        <v>1441.9333333333334</v>
      </c>
    </row>
    <row r="11" spans="1:42" s="14" customFormat="1" ht="16" customHeight="1">
      <c r="B11" s="19" t="s">
        <v>23</v>
      </c>
      <c r="C11" s="19" t="s">
        <v>176</v>
      </c>
      <c r="D11" s="206">
        <f>283-E11</f>
        <v>266.39999999999998</v>
      </c>
      <c r="E11" s="206">
        <v>16.600000000000001</v>
      </c>
      <c r="F11" s="207">
        <v>90</v>
      </c>
      <c r="G11" s="427" t="s">
        <v>1589</v>
      </c>
      <c r="H11" s="206">
        <f>1697-D11-E11-I11</f>
        <v>849.8</v>
      </c>
      <c r="I11" s="206">
        <v>564.20000000000005</v>
      </c>
      <c r="J11" s="207">
        <v>60</v>
      </c>
      <c r="K11" s="465" t="s">
        <v>295</v>
      </c>
      <c r="L11" s="206">
        <f>3878.2-M11-I11-H11-E11-D11</f>
        <v>238.79999999999995</v>
      </c>
      <c r="M11" s="206">
        <f>2523.2-I11-E11</f>
        <v>1942.3999999999999</v>
      </c>
      <c r="N11" s="465" t="s">
        <v>295</v>
      </c>
      <c r="O11" s="208">
        <f t="shared" ref="O11:O40" si="0">SUM(D11:E11,H11:I11,L11:M11)</f>
        <v>3878.2</v>
      </c>
      <c r="P11" s="209">
        <v>2567.5</v>
      </c>
      <c r="Q11" s="210" t="s">
        <v>1855</v>
      </c>
      <c r="S11" s="157" t="s">
        <v>294</v>
      </c>
      <c r="T11" s="156">
        <f>(SUMIF($C$10:$C$40,S11,$D$10:$D$40)+SUMIF($C$10:$C$40,S11,$E$10:$E$40))/(COUNTIF($C$10:$C$40,S11)-1)</f>
        <v>548.13333333333333</v>
      </c>
      <c r="U11" s="156">
        <f>(SUMIF($C$10:$C$40,S11,$H$10:$H$40)+SUMIF($C$10:$C$40,S11,$I$10:$I$40)+SUMIF($C$10:$C$40,S11,$L$10:$L$40)+SUMIF($C$10:$C$40,S11,$M$10:$M$40))/COUNTIF($C$10:$C$40,S11)</f>
        <v>2466.9499999999998</v>
      </c>
      <c r="V11" s="156">
        <f>(SUMIF($C$10:$C$40,S11,$H$10:$H$40)+SUMIF($C$10:$C$40,S11,$I$10:$I$40))/COUNTIF($C$10:$C$40,S11)</f>
        <v>962.52500000000009</v>
      </c>
      <c r="W11" s="156">
        <f>(SUMIF($C$10:$C$40,S11,$L$10:$L$40)+SUMIF($C$10:$C$40,S11,$M$10:$M$40))/COUNTIF($C$10:$C$40,S11)</f>
        <v>1504.425</v>
      </c>
    </row>
    <row r="12" spans="1:42" s="14" customFormat="1" ht="16" customHeight="1">
      <c r="B12" s="19" t="s">
        <v>1559</v>
      </c>
      <c r="C12" s="19" t="s">
        <v>177</v>
      </c>
      <c r="D12" s="206">
        <f>768.6-E12</f>
        <v>555.29999999999995</v>
      </c>
      <c r="E12" s="206">
        <v>213.3</v>
      </c>
      <c r="F12" s="207">
        <v>161</v>
      </c>
      <c r="G12" s="465" t="s">
        <v>295</v>
      </c>
      <c r="H12" s="206">
        <f>1740.1-D12-E12-I12</f>
        <v>487.1</v>
      </c>
      <c r="I12" s="206">
        <v>484.4</v>
      </c>
      <c r="J12" s="207">
        <v>23</v>
      </c>
      <c r="K12" s="465" t="s">
        <v>295</v>
      </c>
      <c r="L12" s="206">
        <f>2744-M12-I12-H12-E12-D12</f>
        <v>511.90000000000009</v>
      </c>
      <c r="M12" s="206">
        <f>1189.7-I12-E12</f>
        <v>492.00000000000006</v>
      </c>
      <c r="N12" s="465" t="s">
        <v>295</v>
      </c>
      <c r="O12" s="208">
        <f t="shared" si="0"/>
        <v>2744</v>
      </c>
      <c r="P12" s="209">
        <v>2008.9</v>
      </c>
      <c r="Q12" s="210"/>
      <c r="S12" s="157" t="s">
        <v>1557</v>
      </c>
      <c r="T12" s="156">
        <f>(SUMIF($C$10:$C$40,S12,$D$10:$D$40)+SUMIF($C$10:$C$40,S12,$E$10:$E$40))/COUNTIF($C$10:$C$40,S12)</f>
        <v>280.75</v>
      </c>
      <c r="U12" s="156">
        <f>(SUMIF($C$10:$C$40,S12,$H$10:$H$40)+SUMIF($C$10:$C$40,S12,$I$10:$I$40)+SUMIF($C$10:$C$40,S12,$L$10:$L$40)+SUMIF($C$10:$C$40,S12,$M$10:$M$40))/COUNTIF($C$10:$C$40,S12)</f>
        <v>2197.8874999999998</v>
      </c>
      <c r="V12" s="156">
        <f>(SUMIF($C$10:$C$40,S12,$H$10:$H$40)+SUMIF($C$10:$C$40,S12,$I$10:$I$40))/COUNTIF($C$10:$C$40,S12)</f>
        <v>818.75</v>
      </c>
      <c r="W12" s="156">
        <f>(SUMIF($C$10:$C$40,S12,$L$10:$L$40)+SUMIF($C$10:$C$40,S12,$M$10:$M$40))/COUNTIF($C$10:$C$40,S12)</f>
        <v>1379.1375</v>
      </c>
    </row>
    <row r="13" spans="1:42" s="14" customFormat="1" ht="16" customHeight="1">
      <c r="B13" s="19" t="s">
        <v>1561</v>
      </c>
      <c r="C13" s="19" t="s">
        <v>1567</v>
      </c>
      <c r="D13" s="206"/>
      <c r="E13" s="206"/>
      <c r="F13" s="207"/>
      <c r="G13" s="227"/>
      <c r="H13" s="206">
        <f>638.8-D13-E13-I13</f>
        <v>358.99999999999994</v>
      </c>
      <c r="I13" s="206">
        <v>279.8</v>
      </c>
      <c r="J13" s="207">
        <v>28</v>
      </c>
      <c r="K13" s="465" t="s">
        <v>1564</v>
      </c>
      <c r="L13" s="206">
        <f>1371.2-M13-I13-H13-E13-D13</f>
        <v>296.50000000000006</v>
      </c>
      <c r="M13" s="206">
        <f>715.7-I13-E13</f>
        <v>435.90000000000003</v>
      </c>
      <c r="N13" s="673" t="s">
        <v>1564</v>
      </c>
      <c r="O13" s="208">
        <f t="shared" si="0"/>
        <v>1371.2</v>
      </c>
      <c r="P13" s="209">
        <v>788.2</v>
      </c>
      <c r="Q13" s="210"/>
      <c r="S13" s="157" t="s">
        <v>1558</v>
      </c>
      <c r="T13" s="156">
        <f t="shared" ref="T13:T15" si="1">(SUMIF($C$10:$C$40,S13,$D$10:$D$40)+SUMIF($C$10:$C$40,S13,$E$10:$E$40))/COUNTIF($C$10:$C$40,S13)</f>
        <v>602.25</v>
      </c>
      <c r="U13" s="156">
        <f>(SUMIF($C$10:$C$40,S13,$H$10:$H$40)+SUMIF($C$10:$C$40,S13,$I$10:$I$40)+SUMIF($C$10:$C$40,S13,$L$10:$L$40)+SUMIF($C$10:$C$40,S13,$M$10:$M$40))/COUNTIF($C$10:$C$40,S13)</f>
        <v>2411.1750000000002</v>
      </c>
      <c r="V13" s="156">
        <f>(SUMIF($C$10:$C$40,S13,$H$10:$H$40)+SUMIF($C$10:$C$40,S13,$I$10:$I$40))/COUNTIF($C$10:$C$40,S13)</f>
        <v>847</v>
      </c>
      <c r="W13" s="156">
        <f>(SUMIF($C$10:$C$40,S13,$L$10:$L$40)+SUMIF($C$10:$C$40,S13,$M$10:$M$40))/COUNTIF($C$10:$C$40,S13)</f>
        <v>1564.1750000000002</v>
      </c>
    </row>
    <row r="14" spans="1:42" s="14" customFormat="1" ht="16" customHeight="1">
      <c r="B14" s="19" t="s">
        <v>1563</v>
      </c>
      <c r="C14" s="19" t="s">
        <v>294</v>
      </c>
      <c r="D14" s="206">
        <f>380.4-E14</f>
        <v>220.39999999999998</v>
      </c>
      <c r="E14" s="206">
        <v>160</v>
      </c>
      <c r="F14" s="207">
        <v>61</v>
      </c>
      <c r="G14" s="465" t="s">
        <v>295</v>
      </c>
      <c r="H14" s="206">
        <f>1279-D14-E14-I14</f>
        <v>411.2999999999999</v>
      </c>
      <c r="I14" s="206">
        <v>487.3</v>
      </c>
      <c r="J14" s="207">
        <v>29</v>
      </c>
      <c r="K14" s="465" t="s">
        <v>295</v>
      </c>
      <c r="L14" s="206">
        <f>2778.3-M14-I14-H14-E14-D14</f>
        <v>774.3000000000003</v>
      </c>
      <c r="M14" s="206">
        <f>1372.3-I14-E14</f>
        <v>725</v>
      </c>
      <c r="N14" s="465" t="s">
        <v>295</v>
      </c>
      <c r="O14" s="208">
        <f t="shared" si="0"/>
        <v>2778.3</v>
      </c>
      <c r="P14" s="209">
        <v>1787.4</v>
      </c>
      <c r="Q14" s="210" t="s">
        <v>1868</v>
      </c>
      <c r="S14" s="157" t="s">
        <v>175</v>
      </c>
      <c r="T14" s="156">
        <f t="shared" si="1"/>
        <v>257.54000000000002</v>
      </c>
      <c r="U14" s="156">
        <f>(SUMIF($C$10:$C$40,S14,$H$10:$H$40)+SUMIF($C$10:$C$40,S14,$I$10:$I$40)+SUMIF($C$10:$C$40,S14,$L$10:$L$40)+SUMIF($C$10:$C$40,S14,$M$10:$M$40))/COUNTIF($C$10:$C$40,S14)</f>
        <v>3368.03</v>
      </c>
      <c r="V14" s="156">
        <f>(SUMIF($C$10:$C$40,S14,$H$10:$H$40)+SUMIF($C$10:$C$40,S14,$I$10:$I$40))/COUNTIF($C$10:$C$40,S14)</f>
        <v>720.65</v>
      </c>
      <c r="W14" s="156">
        <f>(SUMIF($C$10:$C$40,S14,$L$10:$L$40)+SUMIF($C$10:$C$40,S14,$M$10:$M$40))/COUNTIF($C$10:$C$40,S14)</f>
        <v>2647.38</v>
      </c>
    </row>
    <row r="15" spans="1:42" s="14" customFormat="1" ht="16" customHeight="1">
      <c r="B15" s="19" t="s">
        <v>1566</v>
      </c>
      <c r="C15" s="19" t="s">
        <v>1557</v>
      </c>
      <c r="D15" s="206">
        <f>269-E15</f>
        <v>140.9</v>
      </c>
      <c r="E15" s="206">
        <v>128.1</v>
      </c>
      <c r="F15" s="207">
        <v>52</v>
      </c>
      <c r="G15" s="465" t="s">
        <v>295</v>
      </c>
      <c r="H15" s="206">
        <f>1025-D15-E15-I15</f>
        <v>284</v>
      </c>
      <c r="I15" s="206">
        <v>472</v>
      </c>
      <c r="J15" s="207">
        <v>11</v>
      </c>
      <c r="K15" s="465" t="s">
        <v>295</v>
      </c>
      <c r="L15" s="206">
        <f>1879.1-M15-I15-H15-E15-D15</f>
        <v>473.09999999999991</v>
      </c>
      <c r="M15" s="206">
        <f>981.1-I15-E15</f>
        <v>381</v>
      </c>
      <c r="N15" s="465" t="s">
        <v>295</v>
      </c>
      <c r="O15" s="208">
        <f t="shared" si="0"/>
        <v>1879.1</v>
      </c>
      <c r="P15" s="209">
        <v>1205</v>
      </c>
      <c r="Q15" s="210"/>
      <c r="S15" s="157" t="s">
        <v>176</v>
      </c>
      <c r="T15" s="156">
        <f t="shared" si="1"/>
        <v>440</v>
      </c>
      <c r="U15" s="156">
        <f>(SUMIF($C$10:$C$40,S15,$H$10:$H$40)+SUMIF($C$10:$C$40,S15,$I$10:$I$40)+SUMIF($C$10:$C$40,S15,$L$10:$L$40)+SUMIF($C$10:$C$40,S15,$M$10:$M$40))/COUNTIF($C$10:$C$40,S15)</f>
        <v>3674.54</v>
      </c>
      <c r="V15" s="156">
        <f>(SUMIF($C$10:$C$40,S15,$H$10:$H$40)+SUMIF($C$10:$C$40,S15,$I$10:$I$40))/COUNTIF($C$10:$C$40,S15)</f>
        <v>1140.8</v>
      </c>
      <c r="W15" s="156">
        <f>(SUMIF($C$10:$C$40,S15,$L$10:$L$40)+SUMIF($C$10:$C$40,S15,$M$10:$M$40))/COUNTIF($C$10:$C$40,S15)</f>
        <v>2533.7400000000002</v>
      </c>
    </row>
    <row r="16" spans="1:42" s="14" customFormat="1" ht="16" customHeight="1">
      <c r="B16" s="19" t="s">
        <v>1569</v>
      </c>
      <c r="C16" s="19" t="s">
        <v>1558</v>
      </c>
      <c r="D16" s="206">
        <f>693-E16</f>
        <v>569.4</v>
      </c>
      <c r="E16" s="206">
        <v>123.6</v>
      </c>
      <c r="F16" s="207">
        <v>132</v>
      </c>
      <c r="G16" s="465" t="s">
        <v>295</v>
      </c>
      <c r="H16" s="206">
        <f>1494-D16-E16-I16</f>
        <v>564.1</v>
      </c>
      <c r="I16" s="206">
        <v>236.9</v>
      </c>
      <c r="J16" s="207">
        <v>20</v>
      </c>
      <c r="K16" s="465" t="s">
        <v>295</v>
      </c>
      <c r="L16" s="206">
        <f>2462.2-M16-I16-H16-E16-D16</f>
        <v>537.69999999999993</v>
      </c>
      <c r="M16" s="206">
        <f>791-I16-E16</f>
        <v>430.5</v>
      </c>
      <c r="N16" s="465" t="s">
        <v>295</v>
      </c>
      <c r="O16" s="208">
        <f t="shared" si="0"/>
        <v>2462.1999999999998</v>
      </c>
      <c r="P16" s="209">
        <v>1630.4</v>
      </c>
      <c r="Q16" s="210" t="s">
        <v>1686</v>
      </c>
      <c r="S16" s="157" t="s">
        <v>177</v>
      </c>
      <c r="T16" s="156">
        <f t="shared" ref="T16" si="2">(SUMIF($C$10:$C$40,S16,$D$10:$D$40)+SUMIF($C$10:$C$40,S16,$E$10:$E$40))/(COUNTIF($C$10:$C$40,S16)-1)</f>
        <v>934.72500000000002</v>
      </c>
      <c r="U16" s="156">
        <f>(SUMIF($C$10:$C$40,S16,$H$10:$H$40)+SUMIF($C$10:$C$40,S16,$I$10:$I$40)+SUMIF($C$10:$C$40,S16,$L$10:$L$40)+SUMIF($C$10:$C$40,S16,$M$10:$M$40))/(COUNTIF($C$10:$C$40,S16)-1)</f>
        <v>3091.6</v>
      </c>
      <c r="V16" s="156">
        <f>(SUMIF($C$10:$C$40,S16,$H$10:$H$40)+SUMIF($C$10:$C$40,S16,$I$10:$I$40))/(COUNTIF($C$10:$C$40,S16)-1)</f>
        <v>1211</v>
      </c>
      <c r="W16" s="156">
        <f>(SUMIF($C$10:$C$40,S16,$L$10:$L$40)+SUMIF($C$10:$C$40,S16,$M$10:$M$40))/(COUNTIF($C$10:$C$40,S16)-1)</f>
        <v>1880.6</v>
      </c>
      <c r="X16" s="59"/>
      <c r="Y16" s="59"/>
      <c r="Z16" s="59"/>
      <c r="AA16" s="59"/>
      <c r="AB16" s="59"/>
      <c r="AC16" s="59"/>
    </row>
    <row r="17" spans="2:21" s="14" customFormat="1" ht="16" customHeight="1">
      <c r="B17" s="19" t="s">
        <v>297</v>
      </c>
      <c r="C17" s="19" t="s">
        <v>175</v>
      </c>
      <c r="D17" s="206">
        <f>303-E17</f>
        <v>212.1</v>
      </c>
      <c r="E17" s="206">
        <v>90.9</v>
      </c>
      <c r="F17" s="207">
        <v>52</v>
      </c>
      <c r="G17" s="465" t="s">
        <v>295</v>
      </c>
      <c r="H17" s="206">
        <f>908.75-D17-E17-I17</f>
        <v>475.85</v>
      </c>
      <c r="I17" s="206">
        <v>129.9</v>
      </c>
      <c r="J17" s="207">
        <v>10</v>
      </c>
      <c r="K17" s="465" t="s">
        <v>295</v>
      </c>
      <c r="L17" s="206">
        <f>4156.05-M17-I17-H17-E17-D17</f>
        <v>1419.8000000000002</v>
      </c>
      <c r="M17" s="206">
        <f>2048.3-I17-E17</f>
        <v>1827.5</v>
      </c>
      <c r="N17" s="465" t="s">
        <v>295</v>
      </c>
      <c r="O17" s="208">
        <f t="shared" si="0"/>
        <v>4156.05</v>
      </c>
      <c r="P17" s="209">
        <v>3063.2</v>
      </c>
      <c r="Q17" s="210" t="s">
        <v>1914</v>
      </c>
      <c r="S17" s="1019"/>
      <c r="T17" s="1020"/>
      <c r="U17" s="159"/>
    </row>
    <row r="18" spans="2:21" s="14" customFormat="1" ht="16" customHeight="1">
      <c r="B18" s="19" t="s">
        <v>1572</v>
      </c>
      <c r="C18" s="19" t="s">
        <v>176</v>
      </c>
      <c r="D18" s="206">
        <f>406-E18</f>
        <v>142.80000000000001</v>
      </c>
      <c r="E18" s="206">
        <v>263.2</v>
      </c>
      <c r="F18" s="207">
        <v>92</v>
      </c>
      <c r="G18" s="465" t="s">
        <v>295</v>
      </c>
      <c r="H18" s="206">
        <f>1509-D18-E18-I18</f>
        <v>985.2</v>
      </c>
      <c r="I18" s="206">
        <v>117.8</v>
      </c>
      <c r="J18" s="207">
        <v>46</v>
      </c>
      <c r="K18" s="465" t="s">
        <v>295</v>
      </c>
      <c r="L18" s="206">
        <f>4441.2-M18-I18-H18-E18-D18</f>
        <v>433.49999999999994</v>
      </c>
      <c r="M18" s="206">
        <f>2879.7-I18-E18</f>
        <v>2498.6999999999998</v>
      </c>
      <c r="N18" s="465" t="s">
        <v>295</v>
      </c>
      <c r="O18" s="208">
        <f t="shared" si="0"/>
        <v>4441.2</v>
      </c>
      <c r="P18" s="209">
        <v>3699.4</v>
      </c>
      <c r="Q18" s="210" t="s">
        <v>1913</v>
      </c>
      <c r="S18" s="1019"/>
      <c r="T18" s="1020"/>
      <c r="U18" s="159"/>
    </row>
    <row r="19" spans="2:21" s="14" customFormat="1" ht="16" customHeight="1">
      <c r="B19" s="19" t="s">
        <v>1574</v>
      </c>
      <c r="C19" s="19" t="s">
        <v>177</v>
      </c>
      <c r="D19" s="206">
        <f>490-E19</f>
        <v>277.3</v>
      </c>
      <c r="E19" s="206">
        <v>212.7</v>
      </c>
      <c r="F19" s="207">
        <v>79</v>
      </c>
      <c r="G19" s="465" t="s">
        <v>295</v>
      </c>
      <c r="H19" s="206">
        <f>1163-D19-E19-I19</f>
        <v>434</v>
      </c>
      <c r="I19" s="206">
        <v>239</v>
      </c>
      <c r="J19" s="207">
        <v>5</v>
      </c>
      <c r="K19" s="465" t="s">
        <v>295</v>
      </c>
      <c r="L19" s="206">
        <f>2369.5-M19-I19-H19-E19-D19</f>
        <v>679.5</v>
      </c>
      <c r="M19" s="206">
        <f>978.7-I19-E19</f>
        <v>527</v>
      </c>
      <c r="N19" s="465" t="s">
        <v>295</v>
      </c>
      <c r="O19" s="208">
        <f t="shared" si="0"/>
        <v>2369.5</v>
      </c>
      <c r="P19" s="209">
        <v>1767.6</v>
      </c>
      <c r="Q19" s="210"/>
      <c r="S19" s="1019"/>
      <c r="T19" s="1020"/>
      <c r="U19" s="159"/>
    </row>
    <row r="20" spans="2:21" s="14" customFormat="1" ht="16" customHeight="1">
      <c r="B20" s="19" t="s">
        <v>1577</v>
      </c>
      <c r="C20" s="19" t="s">
        <v>1567</v>
      </c>
      <c r="D20" s="206"/>
      <c r="E20" s="206"/>
      <c r="F20" s="207"/>
      <c r="G20" s="227"/>
      <c r="H20" s="206">
        <f>902-D20-E20-I20</f>
        <v>568.6</v>
      </c>
      <c r="I20" s="206">
        <v>333.4</v>
      </c>
      <c r="J20" s="207">
        <v>23</v>
      </c>
      <c r="K20" s="465" t="s">
        <v>295</v>
      </c>
      <c r="L20" s="206">
        <f>1964.4-M20-I20-H20-E20-D20</f>
        <v>319.40000000000009</v>
      </c>
      <c r="M20" s="206">
        <f>1076.4-I20-E20</f>
        <v>743.00000000000011</v>
      </c>
      <c r="N20" s="465" t="s">
        <v>295</v>
      </c>
      <c r="O20" s="208">
        <f t="shared" si="0"/>
        <v>1964.4</v>
      </c>
      <c r="P20" s="209">
        <v>1419.5</v>
      </c>
      <c r="Q20" s="210"/>
      <c r="S20" s="1019"/>
      <c r="T20" s="1020"/>
      <c r="U20" s="159"/>
    </row>
    <row r="21" spans="2:21" s="14" customFormat="1" ht="16" customHeight="1">
      <c r="B21" s="19" t="s">
        <v>977</v>
      </c>
      <c r="C21" s="19" t="s">
        <v>294</v>
      </c>
      <c r="D21" s="206">
        <f>528-E21</f>
        <v>434</v>
      </c>
      <c r="E21" s="206">
        <v>94</v>
      </c>
      <c r="F21" s="207">
        <v>86</v>
      </c>
      <c r="G21" s="465" t="s">
        <v>295</v>
      </c>
      <c r="H21" s="206">
        <f>1405-D21-E21-I21</f>
        <v>484.8</v>
      </c>
      <c r="I21" s="206">
        <v>392.2</v>
      </c>
      <c r="J21" s="207">
        <v>11</v>
      </c>
      <c r="K21" s="465" t="s">
        <v>295</v>
      </c>
      <c r="L21" s="206">
        <f>2578-M21-I21-H21-E21-D21</f>
        <v>542.5</v>
      </c>
      <c r="M21" s="206">
        <f>1116.7-I21-E21</f>
        <v>630.5</v>
      </c>
      <c r="N21" s="465" t="s">
        <v>295</v>
      </c>
      <c r="O21" s="208">
        <f t="shared" si="0"/>
        <v>2578</v>
      </c>
      <c r="P21" s="209">
        <v>1473.8</v>
      </c>
      <c r="Q21" s="210"/>
      <c r="S21" s="1019"/>
      <c r="T21" s="1020"/>
      <c r="U21" s="159"/>
    </row>
    <row r="22" spans="2:21" s="14" customFormat="1" ht="16" customHeight="1">
      <c r="B22" s="19" t="s">
        <v>1581</v>
      </c>
      <c r="C22" s="19" t="s">
        <v>1557</v>
      </c>
      <c r="D22" s="206">
        <f>219-E22</f>
        <v>209.5</v>
      </c>
      <c r="E22" s="206">
        <v>9.5</v>
      </c>
      <c r="F22" s="207">
        <v>45</v>
      </c>
      <c r="G22" s="465" t="s">
        <v>295</v>
      </c>
      <c r="H22" s="206">
        <f>1469-D22-E22-I22</f>
        <v>761.5</v>
      </c>
      <c r="I22" s="206">
        <v>488.5</v>
      </c>
      <c r="J22" s="207">
        <v>2</v>
      </c>
      <c r="K22" s="465" t="s">
        <v>295</v>
      </c>
      <c r="L22" s="206">
        <f>2499.25-M22-I22-H22-E22-D22</f>
        <v>93.75</v>
      </c>
      <c r="M22" s="206">
        <f>1434.5-I22-E22</f>
        <v>936.5</v>
      </c>
      <c r="N22" s="465" t="s">
        <v>295</v>
      </c>
      <c r="O22" s="208">
        <f t="shared" si="0"/>
        <v>2499.25</v>
      </c>
      <c r="P22" s="209">
        <v>1791.3</v>
      </c>
      <c r="Q22" s="210"/>
      <c r="S22" s="1019"/>
      <c r="T22" s="1020"/>
      <c r="U22" s="159"/>
    </row>
    <row r="23" spans="2:21" s="14" customFormat="1" ht="16" customHeight="1">
      <c r="B23" s="19" t="s">
        <v>1583</v>
      </c>
      <c r="C23" s="19" t="s">
        <v>1558</v>
      </c>
      <c r="D23" s="206">
        <f>1146-E23</f>
        <v>488.20000000000005</v>
      </c>
      <c r="E23" s="206">
        <v>657.8</v>
      </c>
      <c r="F23" s="207">
        <v>128</v>
      </c>
      <c r="G23" s="465" t="s">
        <v>295</v>
      </c>
      <c r="H23" s="206">
        <f>2265-D23-E23-I23</f>
        <v>613.6</v>
      </c>
      <c r="I23" s="206">
        <v>505.4</v>
      </c>
      <c r="J23" s="207">
        <v>9</v>
      </c>
      <c r="K23" s="465" t="s">
        <v>295</v>
      </c>
      <c r="L23" s="206">
        <f>3799.4-M23-I23-H23-E23-D23</f>
        <v>486.90000000000055</v>
      </c>
      <c r="M23" s="206">
        <f>2210.7-I23-E23</f>
        <v>1047.4999999999998</v>
      </c>
      <c r="N23" s="465" t="s">
        <v>295</v>
      </c>
      <c r="O23" s="208">
        <f t="shared" si="0"/>
        <v>3799.4000000000005</v>
      </c>
      <c r="P23" s="209">
        <v>2916</v>
      </c>
      <c r="Q23" s="210" t="s">
        <v>1686</v>
      </c>
      <c r="S23" s="1021"/>
      <c r="T23" s="1020"/>
      <c r="U23" s="159"/>
    </row>
    <row r="24" spans="2:21" s="14" customFormat="1" ht="16" customHeight="1">
      <c r="B24" s="19" t="s">
        <v>298</v>
      </c>
      <c r="C24" s="19" t="s">
        <v>175</v>
      </c>
      <c r="D24" s="206"/>
      <c r="E24" s="206"/>
      <c r="F24" s="207"/>
      <c r="G24" s="227"/>
      <c r="H24" s="206"/>
      <c r="I24" s="206"/>
      <c r="J24" s="207"/>
      <c r="K24" s="227"/>
      <c r="L24" s="206"/>
      <c r="M24" s="206"/>
      <c r="N24" s="227"/>
      <c r="O24" s="208"/>
      <c r="P24" s="209"/>
      <c r="Q24" s="210"/>
      <c r="S24" s="1019"/>
      <c r="T24" s="1020"/>
      <c r="U24" s="159"/>
    </row>
    <row r="25" spans="2:21" s="14" customFormat="1" ht="16" customHeight="1">
      <c r="B25" s="19" t="s">
        <v>996</v>
      </c>
      <c r="C25" s="19" t="s">
        <v>176</v>
      </c>
      <c r="D25" s="206">
        <f>375-E25</f>
        <v>236.5</v>
      </c>
      <c r="E25" s="206">
        <v>138.5</v>
      </c>
      <c r="F25" s="207">
        <v>54</v>
      </c>
      <c r="G25" s="465" t="s">
        <v>295</v>
      </c>
      <c r="H25" s="206">
        <f>1160-D25-E25-I25</f>
        <v>403.1</v>
      </c>
      <c r="I25" s="206">
        <v>381.9</v>
      </c>
      <c r="J25" s="207">
        <v>6</v>
      </c>
      <c r="K25" s="465" t="s">
        <v>295</v>
      </c>
      <c r="L25" s="206">
        <f>3406.4-M25-I25-H25-E25-D25</f>
        <v>862.90000000000009</v>
      </c>
      <c r="M25" s="206">
        <f>1903.9-I25-E25</f>
        <v>1383.5</v>
      </c>
      <c r="N25" s="465" t="s">
        <v>295</v>
      </c>
      <c r="O25" s="208">
        <f t="shared" si="0"/>
        <v>3406.4</v>
      </c>
      <c r="P25" s="209">
        <v>2288.4</v>
      </c>
      <c r="Q25" s="210"/>
      <c r="S25" s="1019"/>
      <c r="T25" s="1020"/>
      <c r="U25" s="159"/>
    </row>
    <row r="26" spans="2:21" s="14" customFormat="1" ht="16" customHeight="1">
      <c r="B26" s="19" t="s">
        <v>293</v>
      </c>
      <c r="C26" s="19" t="s">
        <v>177</v>
      </c>
      <c r="D26" s="206">
        <f>528-E26</f>
        <v>384.7</v>
      </c>
      <c r="E26" s="206">
        <v>143.30000000000001</v>
      </c>
      <c r="F26" s="207">
        <v>103</v>
      </c>
      <c r="G26" s="465" t="s">
        <v>295</v>
      </c>
      <c r="H26" s="206">
        <f>1319.8-D26-E26-I26</f>
        <v>562</v>
      </c>
      <c r="I26" s="206">
        <v>229.8</v>
      </c>
      <c r="J26" s="207">
        <v>14</v>
      </c>
      <c r="K26" s="427" t="s">
        <v>1589</v>
      </c>
      <c r="L26" s="206">
        <f>2992.6-M26-I26-H26-E26-D26</f>
        <v>765.8</v>
      </c>
      <c r="M26" s="206">
        <f>1280.1-I26-E26</f>
        <v>907</v>
      </c>
      <c r="N26" s="465" t="s">
        <v>295</v>
      </c>
      <c r="O26" s="208">
        <f t="shared" si="0"/>
        <v>2992.6</v>
      </c>
      <c r="P26" s="209">
        <v>1926.4</v>
      </c>
      <c r="Q26" s="210"/>
      <c r="S26" s="1019"/>
      <c r="T26" s="1020"/>
      <c r="U26" s="159"/>
    </row>
    <row r="27" spans="2:21" s="14" customFormat="1" ht="16" customHeight="1">
      <c r="B27" s="19" t="s">
        <v>420</v>
      </c>
      <c r="C27" s="19" t="s">
        <v>1567</v>
      </c>
      <c r="D27" s="206"/>
      <c r="E27" s="206"/>
      <c r="F27" s="207"/>
      <c r="G27" s="227"/>
      <c r="H27" s="206">
        <f>809-D27-E27-I27</f>
        <v>574.5</v>
      </c>
      <c r="I27" s="206">
        <v>234.5</v>
      </c>
      <c r="J27" s="207">
        <v>23</v>
      </c>
      <c r="K27" s="465" t="s">
        <v>295</v>
      </c>
      <c r="L27" s="206">
        <f>2411.9-M27-I27-H27-E27-D27</f>
        <v>459.5</v>
      </c>
      <c r="M27" s="206">
        <f>1377.9-I27-E27</f>
        <v>1143.4000000000001</v>
      </c>
      <c r="N27" s="465" t="s">
        <v>295</v>
      </c>
      <c r="O27" s="208">
        <f t="shared" si="0"/>
        <v>2411.9</v>
      </c>
      <c r="P27" s="209">
        <v>1412.9</v>
      </c>
      <c r="Q27" s="210"/>
      <c r="S27" s="1019"/>
      <c r="T27" s="1020"/>
      <c r="U27" s="159"/>
    </row>
    <row r="28" spans="2:21" s="14" customFormat="1" ht="16" customHeight="1">
      <c r="B28" s="19" t="s">
        <v>719</v>
      </c>
      <c r="C28" s="19" t="s">
        <v>294</v>
      </c>
      <c r="D28" s="206">
        <f>344-E28</f>
        <v>238</v>
      </c>
      <c r="E28" s="206">
        <v>106</v>
      </c>
      <c r="F28" s="207">
        <v>63</v>
      </c>
      <c r="G28" s="465" t="s">
        <v>295</v>
      </c>
      <c r="H28" s="206">
        <f>1506.5-D28-E28-I28</f>
        <v>688.1</v>
      </c>
      <c r="I28" s="206">
        <v>474.4</v>
      </c>
      <c r="J28" s="207">
        <v>17</v>
      </c>
      <c r="K28" s="465" t="s">
        <v>295</v>
      </c>
      <c r="L28" s="206">
        <f>3260-M28-I28-H28-E28-D28</f>
        <v>775</v>
      </c>
      <c r="M28" s="206">
        <f>1558.9-I28-E28</f>
        <v>978.5</v>
      </c>
      <c r="N28" s="465" t="s">
        <v>295</v>
      </c>
      <c r="O28" s="208">
        <f t="shared" si="0"/>
        <v>3260</v>
      </c>
      <c r="P28" s="209">
        <v>2454.1</v>
      </c>
      <c r="Q28" s="210" t="s">
        <v>1956</v>
      </c>
      <c r="S28" s="1019"/>
      <c r="T28" s="1020"/>
      <c r="U28" s="159"/>
    </row>
    <row r="29" spans="2:21" s="14" customFormat="1" ht="16" customHeight="1">
      <c r="B29" s="19" t="s">
        <v>1591</v>
      </c>
      <c r="C29" s="19" t="s">
        <v>1557</v>
      </c>
      <c r="D29" s="206">
        <f>291-E29</f>
        <v>154.69999999999999</v>
      </c>
      <c r="E29" s="206">
        <v>136.30000000000001</v>
      </c>
      <c r="F29" s="207">
        <v>45</v>
      </c>
      <c r="G29" s="465" t="s">
        <v>1564</v>
      </c>
      <c r="H29" s="206">
        <f>1073-D29-E29-I29</f>
        <v>576.5</v>
      </c>
      <c r="I29" s="206">
        <v>205.5</v>
      </c>
      <c r="J29" s="207">
        <v>16</v>
      </c>
      <c r="K29" s="465" t="s">
        <v>1564</v>
      </c>
      <c r="L29" s="206">
        <f>2691.1-M29-I29-H29-E29-D29</f>
        <v>347.79999999999995</v>
      </c>
      <c r="M29" s="206">
        <f>1612.1-I29-E29</f>
        <v>1270.3</v>
      </c>
      <c r="N29" s="465" t="s">
        <v>1564</v>
      </c>
      <c r="O29" s="208">
        <f t="shared" si="0"/>
        <v>2691.1</v>
      </c>
      <c r="P29" s="209">
        <v>1499.5</v>
      </c>
      <c r="Q29" s="210"/>
      <c r="S29" s="1019"/>
      <c r="T29" s="1020"/>
      <c r="U29" s="159"/>
    </row>
    <row r="30" spans="2:21" s="14" customFormat="1" ht="16" customHeight="1">
      <c r="B30" s="19" t="s">
        <v>1593</v>
      </c>
      <c r="C30" s="19" t="s">
        <v>1558</v>
      </c>
      <c r="D30" s="206">
        <f>342-E30</f>
        <v>140.6</v>
      </c>
      <c r="E30" s="206">
        <v>201.4</v>
      </c>
      <c r="F30" s="207">
        <v>55</v>
      </c>
      <c r="G30" s="427" t="s">
        <v>1589</v>
      </c>
      <c r="H30" s="206">
        <f>1282-D30-E30-I30</f>
        <v>657.00000000000011</v>
      </c>
      <c r="I30" s="206">
        <v>283</v>
      </c>
      <c r="J30" s="207">
        <v>12</v>
      </c>
      <c r="K30" s="465" t="s">
        <v>295</v>
      </c>
      <c r="L30" s="206">
        <f>3543.2-M30-I30-H30-E30-D30</f>
        <v>572.6999999999997</v>
      </c>
      <c r="M30" s="206">
        <f>2172.9-I30-E30</f>
        <v>1688.5</v>
      </c>
      <c r="N30" s="465" t="s">
        <v>295</v>
      </c>
      <c r="O30" s="208">
        <f t="shared" si="0"/>
        <v>3543.2</v>
      </c>
      <c r="P30" s="209">
        <v>2868.5</v>
      </c>
      <c r="Q30" s="210" t="s">
        <v>1967</v>
      </c>
      <c r="S30" s="1019"/>
      <c r="T30" s="1020"/>
      <c r="U30" s="159"/>
    </row>
    <row r="31" spans="2:21" s="14" customFormat="1" ht="16" customHeight="1">
      <c r="B31" s="19" t="s">
        <v>299</v>
      </c>
      <c r="C31" s="19" t="s">
        <v>175</v>
      </c>
      <c r="D31" s="206">
        <f>485-E31</f>
        <v>248.3</v>
      </c>
      <c r="E31" s="206">
        <v>236.7</v>
      </c>
      <c r="F31" s="207">
        <v>87</v>
      </c>
      <c r="G31" s="465" t="s">
        <v>295</v>
      </c>
      <c r="H31" s="206">
        <f>1745.2-D31-E31-I31</f>
        <v>719.7</v>
      </c>
      <c r="I31" s="206">
        <v>540.5</v>
      </c>
      <c r="J31" s="207">
        <v>17</v>
      </c>
      <c r="K31" s="465" t="s">
        <v>295</v>
      </c>
      <c r="L31" s="206">
        <f>4395.4+250-M31-I31-H31-E31-D31</f>
        <v>989.09999999999923</v>
      </c>
      <c r="M31" s="206">
        <f>2688.3-I31-E31</f>
        <v>1911.1000000000001</v>
      </c>
      <c r="N31" s="465" t="s">
        <v>295</v>
      </c>
      <c r="O31" s="208">
        <f t="shared" si="0"/>
        <v>4645.3999999999996</v>
      </c>
      <c r="P31" s="209">
        <v>3469.8</v>
      </c>
      <c r="Q31" s="210" t="s">
        <v>1971</v>
      </c>
      <c r="S31" s="160"/>
      <c r="T31" s="161"/>
      <c r="U31" s="159"/>
    </row>
    <row r="32" spans="2:21" s="14" customFormat="1" ht="16" customHeight="1">
      <c r="B32" s="19" t="s">
        <v>461</v>
      </c>
      <c r="C32" s="19" t="s">
        <v>176</v>
      </c>
      <c r="D32" s="206">
        <f>482-E32</f>
        <v>248.9</v>
      </c>
      <c r="E32" s="206">
        <v>233.1</v>
      </c>
      <c r="F32" s="207">
        <v>83</v>
      </c>
      <c r="G32" s="465" t="s">
        <v>295</v>
      </c>
      <c r="H32" s="206">
        <f>1880-D32-E32-I32</f>
        <v>972.7</v>
      </c>
      <c r="I32" s="206">
        <v>425.3</v>
      </c>
      <c r="J32" s="207">
        <v>60</v>
      </c>
      <c r="K32" s="465" t="s">
        <v>295</v>
      </c>
      <c r="L32" s="206">
        <f>4809.1-M32-I32-H32-E32-D32</f>
        <v>690.60000000000014</v>
      </c>
      <c r="M32" s="206">
        <f>2896.9-I32-E32</f>
        <v>2238.5</v>
      </c>
      <c r="N32" s="427" t="s">
        <v>1589</v>
      </c>
      <c r="O32" s="208">
        <f t="shared" si="0"/>
        <v>4809.1000000000004</v>
      </c>
      <c r="P32" s="209">
        <v>3610.2</v>
      </c>
      <c r="Q32" s="210"/>
      <c r="S32" s="1019"/>
      <c r="T32" s="1020"/>
      <c r="U32" s="159"/>
    </row>
    <row r="33" spans="2:23" s="14" customFormat="1" ht="16" customHeight="1">
      <c r="B33" s="19" t="s">
        <v>296</v>
      </c>
      <c r="C33" s="19" t="s">
        <v>177</v>
      </c>
      <c r="D33" s="206">
        <f>934-E33</f>
        <v>689.2</v>
      </c>
      <c r="E33" s="206">
        <v>244.8</v>
      </c>
      <c r="F33" s="207">
        <v>114</v>
      </c>
      <c r="G33" s="465" t="s">
        <v>295</v>
      </c>
      <c r="H33" s="206">
        <f>2139-D33-E33-I33</f>
        <v>451.5</v>
      </c>
      <c r="I33" s="206">
        <v>753.5</v>
      </c>
      <c r="J33" s="207">
        <v>13</v>
      </c>
      <c r="K33" s="465" t="s">
        <v>295</v>
      </c>
      <c r="L33" s="206">
        <f>3731-M33-I33-H33-E33-D33</f>
        <v>793.5</v>
      </c>
      <c r="M33" s="206">
        <f>1796.8-I33-E33</f>
        <v>798.5</v>
      </c>
      <c r="N33" s="465" t="s">
        <v>295</v>
      </c>
      <c r="O33" s="208">
        <f t="shared" si="0"/>
        <v>3731</v>
      </c>
      <c r="P33" s="209">
        <v>2801.7</v>
      </c>
      <c r="Q33" s="210"/>
      <c r="S33" s="1019"/>
      <c r="T33" s="1020"/>
      <c r="U33" s="159"/>
    </row>
    <row r="34" spans="2:23" s="14" customFormat="1" ht="16" customHeight="1">
      <c r="B34" s="19" t="s">
        <v>1601</v>
      </c>
      <c r="C34" s="19" t="s">
        <v>1567</v>
      </c>
      <c r="D34" s="206"/>
      <c r="E34" s="206"/>
      <c r="F34" s="207"/>
      <c r="G34" s="227"/>
      <c r="H34" s="206">
        <f>563-D34-E34-I34</f>
        <v>255.89999999999998</v>
      </c>
      <c r="I34" s="206">
        <v>307.10000000000002</v>
      </c>
      <c r="J34" s="207">
        <v>21</v>
      </c>
      <c r="K34" s="465" t="s">
        <v>295</v>
      </c>
      <c r="L34" s="206">
        <f>1491.1-M34-I34-H34-E34-D34</f>
        <v>331.59999999999991</v>
      </c>
      <c r="M34" s="206">
        <f>903.6-I34-E34</f>
        <v>596.5</v>
      </c>
      <c r="N34" s="465" t="s">
        <v>295</v>
      </c>
      <c r="O34" s="208">
        <f t="shared" si="0"/>
        <v>1491.1</v>
      </c>
      <c r="P34" s="209">
        <v>1248.2</v>
      </c>
      <c r="Q34" s="210"/>
      <c r="S34" s="1019"/>
      <c r="T34" s="1020"/>
      <c r="U34" s="159"/>
    </row>
    <row r="35" spans="2:23" s="14" customFormat="1" ht="16" customHeight="1">
      <c r="B35" s="19" t="s">
        <v>1604</v>
      </c>
      <c r="C35" s="19" t="s">
        <v>294</v>
      </c>
      <c r="D35" s="206">
        <f>392-E35</f>
        <v>203.1</v>
      </c>
      <c r="E35" s="206">
        <v>188.9</v>
      </c>
      <c r="F35" s="794"/>
      <c r="G35" s="465" t="s">
        <v>295</v>
      </c>
      <c r="H35" s="206">
        <f>1304-D35-E35-I35</f>
        <v>502.10000000000014</v>
      </c>
      <c r="I35" s="206">
        <v>409.9</v>
      </c>
      <c r="J35" s="207">
        <v>19</v>
      </c>
      <c r="K35" s="465" t="s">
        <v>295</v>
      </c>
      <c r="L35" s="206">
        <f>2895.9-M35-I35-H35-E35-D35</f>
        <v>717.39999999999986</v>
      </c>
      <c r="M35" s="206">
        <f>1473.3-I35-E35</f>
        <v>874.50000000000011</v>
      </c>
      <c r="N35" s="465" t="s">
        <v>295</v>
      </c>
      <c r="O35" s="208">
        <f t="shared" si="0"/>
        <v>2895.9</v>
      </c>
      <c r="P35" s="209">
        <v>2409.1999999999998</v>
      </c>
      <c r="Q35" s="210" t="s">
        <v>1972</v>
      </c>
      <c r="S35" s="1019"/>
      <c r="T35" s="1020"/>
      <c r="U35" s="159"/>
    </row>
    <row r="36" spans="2:23" s="14" customFormat="1" ht="16" customHeight="1">
      <c r="B36" s="19" t="s">
        <v>1607</v>
      </c>
      <c r="C36" s="19" t="s">
        <v>1557</v>
      </c>
      <c r="D36" s="206">
        <f>344-E36</f>
        <v>248.1</v>
      </c>
      <c r="E36" s="206">
        <v>95.9</v>
      </c>
      <c r="F36" s="207">
        <v>61</v>
      </c>
      <c r="G36" s="465" t="s">
        <v>295</v>
      </c>
      <c r="H36" s="206">
        <f>831-D36-E36-I36</f>
        <v>295.10000000000002</v>
      </c>
      <c r="I36" s="206">
        <v>191.9</v>
      </c>
      <c r="J36" s="207">
        <v>17</v>
      </c>
      <c r="K36" s="427" t="s">
        <v>1589</v>
      </c>
      <c r="L36" s="206">
        <f>2845.1-M36-I36-H36-E36-D36</f>
        <v>2301.9</v>
      </c>
      <c r="M36" s="206">
        <f t="shared" ref="M36" si="3">-I36-E36</f>
        <v>-287.8</v>
      </c>
      <c r="N36" s="465" t="s">
        <v>295</v>
      </c>
      <c r="O36" s="208">
        <f t="shared" si="0"/>
        <v>2845.1</v>
      </c>
      <c r="P36" s="209">
        <v>1814.5</v>
      </c>
      <c r="Q36" s="210"/>
      <c r="S36" s="1019"/>
      <c r="T36" s="1020"/>
      <c r="U36" s="159"/>
    </row>
    <row r="37" spans="2:23" s="14" customFormat="1" ht="16" customHeight="1">
      <c r="B37" s="19" t="s">
        <v>1028</v>
      </c>
      <c r="C37" s="19" t="s">
        <v>1558</v>
      </c>
      <c r="D37" s="206">
        <f>228-E37</f>
        <v>163.5</v>
      </c>
      <c r="E37" s="206">
        <v>64.5</v>
      </c>
      <c r="F37" s="207">
        <v>102</v>
      </c>
      <c r="G37" s="427" t="s">
        <v>1596</v>
      </c>
      <c r="H37" s="206">
        <f>756-D37-E37-I37</f>
        <v>293.60000000000002</v>
      </c>
      <c r="I37" s="206">
        <v>234.4</v>
      </c>
      <c r="J37" s="207">
        <v>56</v>
      </c>
      <c r="K37" s="427" t="s">
        <v>1589</v>
      </c>
      <c r="L37" s="206">
        <f>2248.9-M37-I37-H37-E37-D37</f>
        <v>382.90000000000009</v>
      </c>
      <c r="M37" s="206">
        <f>1408.9-I37-E37</f>
        <v>1110</v>
      </c>
      <c r="N37" s="427" t="s">
        <v>1596</v>
      </c>
      <c r="O37" s="208">
        <f t="shared" si="0"/>
        <v>2248.9</v>
      </c>
      <c r="P37" s="209">
        <v>1477.5</v>
      </c>
      <c r="Q37" s="210" t="s">
        <v>1967</v>
      </c>
      <c r="S37" s="1019"/>
      <c r="T37" s="1020"/>
      <c r="U37" s="159"/>
    </row>
    <row r="38" spans="2:23" s="14" customFormat="1">
      <c r="B38" s="19" t="s">
        <v>300</v>
      </c>
      <c r="C38" s="19" t="s">
        <v>175</v>
      </c>
      <c r="D38" s="206">
        <f>304-E38</f>
        <v>256.39999999999998</v>
      </c>
      <c r="E38" s="206">
        <v>47.6</v>
      </c>
      <c r="F38" s="207">
        <v>67</v>
      </c>
      <c r="G38" s="465" t="s">
        <v>295</v>
      </c>
      <c r="H38" s="206">
        <f>1040-D38-E38-I38</f>
        <v>446.1</v>
      </c>
      <c r="I38" s="206">
        <v>289.89999999999998</v>
      </c>
      <c r="J38" s="207">
        <v>12</v>
      </c>
      <c r="K38" s="427" t="s">
        <v>1596</v>
      </c>
      <c r="L38" s="206">
        <f>4365.4-M38-I38-H38-E38-D38</f>
        <v>1177.8999999999996</v>
      </c>
      <c r="M38" s="206">
        <f>2485-I38-E38</f>
        <v>2147.5</v>
      </c>
      <c r="N38" s="465" t="s">
        <v>1564</v>
      </c>
      <c r="O38" s="208">
        <f t="shared" si="0"/>
        <v>4365.3999999999996</v>
      </c>
      <c r="P38" s="209">
        <v>2676.1</v>
      </c>
      <c r="Q38" s="210"/>
      <c r="S38" s="1022"/>
      <c r="T38" s="1023"/>
      <c r="U38" s="158"/>
    </row>
    <row r="39" spans="2:23" s="10" customFormat="1" ht="17">
      <c r="B39" s="19" t="s">
        <v>1040</v>
      </c>
      <c r="C39" s="19" t="s">
        <v>176</v>
      </c>
      <c r="D39" s="206">
        <f>654-E39</f>
        <v>397.8</v>
      </c>
      <c r="E39" s="206">
        <v>256.2</v>
      </c>
      <c r="F39" s="207">
        <v>78</v>
      </c>
      <c r="G39" s="427" t="s">
        <v>1589</v>
      </c>
      <c r="H39" s="206">
        <f>1658-D39-E39-I39</f>
        <v>603.79999999999995</v>
      </c>
      <c r="I39" s="206">
        <v>400.2</v>
      </c>
      <c r="J39" s="207">
        <v>28</v>
      </c>
      <c r="K39" s="427" t="s">
        <v>1596</v>
      </c>
      <c r="L39" s="206">
        <f>4037.8-M39-I39-H39-E39-D39</f>
        <v>1215.6000000000006</v>
      </c>
      <c r="M39" s="206">
        <f>1820.6-I39-E39</f>
        <v>1164.1999999999998</v>
      </c>
      <c r="N39" s="465" t="s">
        <v>1564</v>
      </c>
      <c r="O39" s="208">
        <f t="shared" si="0"/>
        <v>4037.8</v>
      </c>
      <c r="P39" s="209">
        <v>2700.6</v>
      </c>
      <c r="Q39" s="210" t="s">
        <v>2007</v>
      </c>
      <c r="U39" s="14"/>
      <c r="V39" s="14"/>
      <c r="W39" s="14"/>
    </row>
    <row r="40" spans="2:23" s="10" customFormat="1" ht="17">
      <c r="B40" s="19" t="s">
        <v>1611</v>
      </c>
      <c r="C40" s="19" t="s">
        <v>177</v>
      </c>
      <c r="D40" s="206">
        <f>1018.3-E40</f>
        <v>703.8</v>
      </c>
      <c r="E40" s="206">
        <v>314.5</v>
      </c>
      <c r="F40" s="207">
        <v>138</v>
      </c>
      <c r="G40" s="465" t="s">
        <v>295</v>
      </c>
      <c r="H40" s="206">
        <f>2221-D40-E40-I40</f>
        <v>836.5</v>
      </c>
      <c r="I40" s="206">
        <v>366.2</v>
      </c>
      <c r="J40" s="207">
        <v>13</v>
      </c>
      <c r="K40" s="465" t="s">
        <v>295</v>
      </c>
      <c r="L40" s="206">
        <f>4268.2-M40-I40-H40-E40-D40</f>
        <v>708.2</v>
      </c>
      <c r="M40" s="206">
        <f>2019.7-I40-E40</f>
        <v>1339</v>
      </c>
      <c r="N40" s="465" t="s">
        <v>295</v>
      </c>
      <c r="O40" s="208">
        <f t="shared" si="0"/>
        <v>4268.2</v>
      </c>
      <c r="P40" s="209">
        <v>2710.2</v>
      </c>
      <c r="Q40" s="210"/>
      <c r="S40" s="110"/>
      <c r="T40" s="110"/>
    </row>
    <row r="41" spans="2:23" s="10" customFormat="1" ht="4" customHeight="1">
      <c r="B41" s="12"/>
      <c r="C41" s="12"/>
      <c r="D41" s="8"/>
      <c r="E41" s="8"/>
      <c r="F41" s="8"/>
      <c r="G41" s="9"/>
      <c r="H41" s="9"/>
      <c r="I41" s="9"/>
      <c r="J41" s="9"/>
      <c r="K41" s="9"/>
      <c r="L41" s="8"/>
      <c r="M41" s="8"/>
      <c r="N41" s="9"/>
      <c r="O41" s="11"/>
      <c r="P41" s="11"/>
      <c r="S41" s="110"/>
      <c r="T41" s="110"/>
    </row>
    <row r="42" spans="2:23" s="10" customFormat="1">
      <c r="B42" s="12"/>
      <c r="C42" s="12"/>
      <c r="D42" s="8"/>
      <c r="E42" s="8"/>
      <c r="F42" s="8"/>
      <c r="G42" s="9"/>
      <c r="H42" s="9"/>
      <c r="I42" s="162"/>
      <c r="J42" s="1018"/>
      <c r="K42" s="1018"/>
      <c r="L42" s="8"/>
      <c r="M42" s="8"/>
      <c r="N42" s="9"/>
      <c r="O42" s="11"/>
      <c r="P42" s="11"/>
      <c r="S42" s="110"/>
      <c r="T42" s="110"/>
    </row>
    <row r="43" spans="2:23" s="10" customFormat="1">
      <c r="B43" s="12"/>
      <c r="C43" s="12"/>
      <c r="D43" s="8"/>
      <c r="E43" s="8"/>
      <c r="F43" s="8"/>
      <c r="G43" s="9"/>
      <c r="H43" s="9"/>
      <c r="I43" s="9"/>
      <c r="J43" s="9"/>
      <c r="K43" s="9"/>
      <c r="L43" s="8"/>
      <c r="M43" s="8"/>
      <c r="N43" s="9"/>
      <c r="O43" s="11"/>
      <c r="P43" s="11"/>
      <c r="S43" s="110"/>
      <c r="T43" s="110"/>
    </row>
    <row r="44" spans="2:23" s="10" customFormat="1">
      <c r="B44" s="12"/>
      <c r="C44" s="12"/>
      <c r="D44" s="8"/>
      <c r="E44" s="8"/>
      <c r="F44" s="8"/>
      <c r="G44" s="9"/>
      <c r="H44" s="9"/>
      <c r="I44" s="9"/>
      <c r="J44" s="9"/>
      <c r="K44" s="9"/>
      <c r="L44" s="8"/>
      <c r="M44" s="8"/>
      <c r="N44" s="9"/>
      <c r="O44" s="11"/>
      <c r="P44" s="11"/>
      <c r="S44" s="110"/>
      <c r="T44" s="110"/>
    </row>
    <row r="45" spans="2:23" s="10" customFormat="1">
      <c r="B45" s="12"/>
      <c r="C45" s="12"/>
      <c r="D45" s="8"/>
      <c r="E45" s="8"/>
      <c r="F45" s="8"/>
      <c r="G45" s="9"/>
      <c r="H45" s="9"/>
      <c r="I45" s="9"/>
      <c r="J45" s="9"/>
      <c r="K45" s="9"/>
      <c r="L45" s="8"/>
      <c r="M45" s="8"/>
      <c r="N45" s="9"/>
      <c r="O45" s="11"/>
      <c r="P45" s="11"/>
      <c r="S45" s="110"/>
      <c r="T45" s="110"/>
    </row>
    <row r="46" spans="2:23" s="10" customFormat="1">
      <c r="B46" s="12"/>
      <c r="C46" s="12"/>
      <c r="D46" s="8"/>
      <c r="E46" s="8"/>
      <c r="F46" s="8"/>
      <c r="G46" s="9"/>
      <c r="H46" s="9"/>
      <c r="I46" s="9"/>
      <c r="J46" s="9"/>
      <c r="K46" s="9"/>
      <c r="L46" s="8"/>
      <c r="M46" s="8"/>
      <c r="N46" s="9"/>
      <c r="O46" s="11"/>
      <c r="P46" s="11"/>
      <c r="S46" s="110"/>
      <c r="T46" s="110"/>
    </row>
    <row r="47" spans="2:23" s="10" customFormat="1">
      <c r="B47" s="12"/>
      <c r="C47" s="12"/>
      <c r="D47" s="8"/>
      <c r="E47" s="8"/>
      <c r="F47" s="8"/>
      <c r="G47" s="9"/>
      <c r="H47" s="9"/>
      <c r="I47" s="9"/>
      <c r="J47" s="9"/>
      <c r="K47" s="9"/>
      <c r="L47" s="8"/>
      <c r="M47" s="8"/>
      <c r="N47" s="9"/>
      <c r="O47" s="11"/>
      <c r="P47" s="11"/>
      <c r="S47" s="110"/>
      <c r="T47" s="110"/>
    </row>
    <row r="48" spans="2:23" s="10" customFormat="1">
      <c r="B48" s="12"/>
      <c r="C48" s="12"/>
      <c r="D48" s="8"/>
      <c r="E48" s="8"/>
      <c r="F48" s="8"/>
      <c r="G48" s="9"/>
      <c r="H48" s="9"/>
      <c r="I48" s="9"/>
      <c r="J48" s="9"/>
      <c r="K48" s="9"/>
      <c r="L48" s="8"/>
      <c r="M48" s="8"/>
      <c r="N48" s="9"/>
      <c r="O48" s="11"/>
      <c r="P48" s="11"/>
      <c r="S48" s="110"/>
      <c r="T48" s="110"/>
    </row>
    <row r="49" spans="2:20" s="10" customFormat="1">
      <c r="B49" s="12"/>
      <c r="C49" s="12"/>
      <c r="D49" s="8"/>
      <c r="E49" s="8"/>
      <c r="F49" s="8"/>
      <c r="G49" s="9"/>
      <c r="H49" s="9"/>
      <c r="I49" s="9"/>
      <c r="J49" s="9"/>
      <c r="K49" s="9"/>
      <c r="L49" s="8"/>
      <c r="M49" s="8"/>
      <c r="N49" s="9"/>
      <c r="O49" s="11"/>
      <c r="P49" s="11"/>
      <c r="S49" s="110"/>
      <c r="T49" s="110"/>
    </row>
    <row r="50" spans="2:20" s="10" customFormat="1">
      <c r="B50" s="12"/>
      <c r="C50" s="12"/>
      <c r="D50" s="8"/>
      <c r="E50" s="8"/>
      <c r="F50" s="8"/>
      <c r="G50" s="9"/>
      <c r="H50" s="9"/>
      <c r="I50" s="9"/>
      <c r="J50" s="9"/>
      <c r="K50" s="9"/>
      <c r="L50" s="8"/>
      <c r="M50" s="8"/>
      <c r="N50" s="9"/>
      <c r="O50" s="11"/>
      <c r="P50" s="11"/>
      <c r="S50" s="110"/>
      <c r="T50" s="110"/>
    </row>
    <row r="51" spans="2:20" s="10" customFormat="1">
      <c r="B51" s="12"/>
      <c r="C51" s="12"/>
      <c r="D51" s="8"/>
      <c r="E51" s="8"/>
      <c r="F51" s="8"/>
      <c r="G51" s="9"/>
      <c r="H51" s="9"/>
      <c r="I51" s="9"/>
      <c r="J51" s="9"/>
      <c r="K51" s="9"/>
      <c r="L51" s="8"/>
      <c r="M51" s="8"/>
      <c r="N51" s="9"/>
      <c r="O51" s="11"/>
      <c r="P51" s="11"/>
      <c r="S51" s="110"/>
      <c r="T51" s="110"/>
    </row>
    <row r="52" spans="2:20" s="10" customFormat="1">
      <c r="B52" s="12"/>
      <c r="C52" s="12"/>
      <c r="D52" s="8"/>
      <c r="E52" s="8"/>
      <c r="F52" s="8"/>
      <c r="G52" s="9"/>
      <c r="H52" s="9"/>
      <c r="I52" s="9"/>
      <c r="J52" s="9"/>
      <c r="K52" s="9"/>
      <c r="L52" s="8"/>
      <c r="M52" s="8"/>
      <c r="N52" s="9"/>
      <c r="O52" s="11"/>
      <c r="P52" s="11"/>
      <c r="S52" s="110"/>
      <c r="T52" s="110"/>
    </row>
    <row r="53" spans="2:20" s="10" customFormat="1">
      <c r="B53" s="12"/>
      <c r="C53" s="12"/>
      <c r="D53" s="8"/>
      <c r="E53" s="8"/>
      <c r="F53" s="8"/>
      <c r="G53" s="9"/>
      <c r="H53" s="9"/>
      <c r="I53" s="9"/>
      <c r="J53" s="9"/>
      <c r="K53" s="9"/>
      <c r="L53" s="8"/>
      <c r="M53" s="8"/>
      <c r="N53" s="9"/>
      <c r="O53" s="11"/>
      <c r="P53" s="11"/>
      <c r="S53" s="110"/>
      <c r="T53" s="110"/>
    </row>
    <row r="54" spans="2:20" s="10" customFormat="1">
      <c r="B54" s="12"/>
      <c r="C54" s="12"/>
      <c r="D54" s="8"/>
      <c r="E54" s="8"/>
      <c r="F54" s="8"/>
      <c r="G54" s="9"/>
      <c r="H54" s="9"/>
      <c r="I54" s="9"/>
      <c r="J54" s="9"/>
      <c r="K54" s="9"/>
      <c r="L54" s="8"/>
      <c r="M54" s="8"/>
      <c r="N54" s="9"/>
      <c r="O54" s="11"/>
      <c r="P54" s="11"/>
      <c r="S54" s="110"/>
      <c r="T54" s="110"/>
    </row>
    <row r="55" spans="2:20" s="10" customFormat="1">
      <c r="B55" s="12"/>
      <c r="C55" s="12"/>
      <c r="D55" s="8"/>
      <c r="E55" s="8"/>
      <c r="F55" s="8"/>
      <c r="G55" s="9"/>
      <c r="H55" s="9"/>
      <c r="I55" s="9"/>
      <c r="J55" s="9"/>
      <c r="K55" s="9"/>
      <c r="L55" s="8"/>
      <c r="M55" s="8"/>
      <c r="N55" s="9"/>
      <c r="O55" s="11"/>
      <c r="P55" s="11"/>
      <c r="S55" s="110"/>
      <c r="T55" s="110"/>
    </row>
    <row r="56" spans="2:20" s="10" customFormat="1">
      <c r="B56" s="12"/>
      <c r="C56" s="12"/>
      <c r="D56" s="8"/>
      <c r="E56" s="8"/>
      <c r="F56" s="8"/>
      <c r="G56" s="9"/>
      <c r="H56" s="9"/>
      <c r="I56" s="9"/>
      <c r="J56" s="9"/>
      <c r="K56" s="9"/>
      <c r="L56" s="8"/>
      <c r="M56" s="8"/>
      <c r="N56" s="9"/>
      <c r="O56" s="11"/>
      <c r="P56" s="11"/>
      <c r="S56" s="110"/>
      <c r="T56" s="110"/>
    </row>
    <row r="57" spans="2:20" s="10" customFormat="1">
      <c r="B57" s="12"/>
      <c r="C57" s="12"/>
      <c r="D57" s="8"/>
      <c r="E57" s="8"/>
      <c r="F57" s="8"/>
      <c r="G57" s="9"/>
      <c r="H57" s="9"/>
      <c r="I57" s="9"/>
      <c r="J57" s="9"/>
      <c r="K57" s="9"/>
      <c r="L57" s="8"/>
      <c r="M57" s="8"/>
      <c r="N57" s="9"/>
      <c r="O57" s="11"/>
      <c r="P57" s="11"/>
      <c r="S57" s="110"/>
      <c r="T57" s="110"/>
    </row>
    <row r="58" spans="2:20" s="10" customFormat="1">
      <c r="B58" s="12"/>
      <c r="C58" s="12"/>
      <c r="D58" s="8"/>
      <c r="E58" s="8"/>
      <c r="F58" s="8"/>
      <c r="G58" s="9"/>
      <c r="H58" s="9"/>
      <c r="I58" s="9"/>
      <c r="J58" s="9"/>
      <c r="K58" s="9"/>
      <c r="L58" s="8"/>
      <c r="M58" s="8"/>
      <c r="N58" s="9"/>
      <c r="O58" s="11"/>
      <c r="P58" s="11"/>
      <c r="S58" s="110"/>
      <c r="T58" s="110"/>
    </row>
    <row r="59" spans="2:20" s="10" customFormat="1">
      <c r="B59" s="12"/>
      <c r="C59" s="12"/>
      <c r="D59" s="8"/>
      <c r="E59" s="8"/>
      <c r="F59" s="8"/>
      <c r="G59" s="9"/>
      <c r="H59" s="9"/>
      <c r="I59" s="9"/>
      <c r="J59" s="9"/>
      <c r="K59" s="9"/>
      <c r="L59" s="8"/>
      <c r="M59" s="8"/>
      <c r="N59" s="9"/>
      <c r="O59" s="11"/>
      <c r="P59" s="11"/>
      <c r="S59" s="110"/>
      <c r="T59" s="110"/>
    </row>
    <row r="60" spans="2:20" s="10" customFormat="1">
      <c r="B60" s="12"/>
      <c r="C60" s="12"/>
      <c r="D60" s="8"/>
      <c r="E60" s="8"/>
      <c r="F60" s="8"/>
      <c r="G60" s="9"/>
      <c r="H60" s="9"/>
      <c r="I60" s="9"/>
      <c r="J60" s="9"/>
      <c r="K60" s="9"/>
      <c r="L60" s="8"/>
      <c r="M60" s="8"/>
      <c r="N60" s="9"/>
      <c r="O60" s="11"/>
      <c r="P60" s="11"/>
      <c r="S60" s="110"/>
      <c r="T60" s="110"/>
    </row>
    <row r="61" spans="2:20" s="10" customFormat="1">
      <c r="B61" s="12"/>
      <c r="C61" s="12"/>
      <c r="D61" s="8"/>
      <c r="E61" s="8"/>
      <c r="F61" s="8"/>
      <c r="G61" s="9"/>
      <c r="H61" s="9"/>
      <c r="I61" s="9"/>
      <c r="J61" s="9"/>
      <c r="K61" s="9"/>
      <c r="L61" s="8"/>
      <c r="M61" s="8"/>
      <c r="N61" s="9"/>
      <c r="O61" s="11"/>
      <c r="P61" s="11"/>
      <c r="S61" s="110"/>
      <c r="T61" s="110"/>
    </row>
    <row r="62" spans="2:20" s="10" customFormat="1">
      <c r="B62" s="12"/>
      <c r="C62" s="12"/>
      <c r="D62" s="8"/>
      <c r="E62" s="8"/>
      <c r="F62" s="8"/>
      <c r="G62" s="9"/>
      <c r="H62" s="9"/>
      <c r="I62" s="9"/>
      <c r="J62" s="9"/>
      <c r="K62" s="9"/>
      <c r="L62" s="8"/>
      <c r="M62" s="8"/>
      <c r="N62" s="9"/>
      <c r="O62" s="11"/>
      <c r="P62" s="11"/>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row r="380" spans="2:20" s="10" customFormat="1">
      <c r="B380" s="12"/>
      <c r="C380" s="12"/>
      <c r="D380" s="8"/>
      <c r="E380" s="8"/>
      <c r="F380" s="8"/>
      <c r="G380" s="9"/>
      <c r="H380" s="9"/>
      <c r="I380" s="9"/>
      <c r="J380" s="9"/>
      <c r="K380" s="9"/>
      <c r="L380" s="8"/>
      <c r="M380" s="8"/>
      <c r="N380" s="9"/>
      <c r="O380" s="11"/>
      <c r="P380" s="11"/>
      <c r="S380" s="110"/>
      <c r="T380" s="110"/>
    </row>
  </sheetData>
  <mergeCells count="40">
    <mergeCell ref="S30:T30"/>
    <mergeCell ref="S32:T32"/>
    <mergeCell ref="J42:K42"/>
    <mergeCell ref="S33:T33"/>
    <mergeCell ref="S34:T34"/>
    <mergeCell ref="S35:T35"/>
    <mergeCell ref="S36:T36"/>
    <mergeCell ref="S37:T37"/>
    <mergeCell ref="S38:T38"/>
    <mergeCell ref="S25:T25"/>
    <mergeCell ref="S26:T26"/>
    <mergeCell ref="S27:T27"/>
    <mergeCell ref="S28:T28"/>
    <mergeCell ref="S29:T29"/>
    <mergeCell ref="S20:T20"/>
    <mergeCell ref="S21:T21"/>
    <mergeCell ref="S22:T22"/>
    <mergeCell ref="S23:T23"/>
    <mergeCell ref="S24:T24"/>
    <mergeCell ref="S17:T17"/>
    <mergeCell ref="S18:T18"/>
    <mergeCell ref="S19:T19"/>
    <mergeCell ref="N6:O6"/>
    <mergeCell ref="S7:S8"/>
    <mergeCell ref="B2:E2"/>
    <mergeCell ref="B9:C9"/>
    <mergeCell ref="G2:H2"/>
    <mergeCell ref="I2:M2"/>
    <mergeCell ref="N2:O2"/>
    <mergeCell ref="G3:H3"/>
    <mergeCell ref="I3:M3"/>
    <mergeCell ref="N3:O3"/>
    <mergeCell ref="G4:H4"/>
    <mergeCell ref="I4:M4"/>
    <mergeCell ref="N4:O4"/>
    <mergeCell ref="G5:H5"/>
    <mergeCell ref="I5:M5"/>
    <mergeCell ref="N5:O5"/>
    <mergeCell ref="G6:H6"/>
    <mergeCell ref="I6:M6"/>
  </mergeCells>
  <phoneticPr fontId="8" type="noConversion"/>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E88ED-ED2E-3946-93CE-9164E9353F56}">
  <dimension ref="A1:AP379"/>
  <sheetViews>
    <sheetView zoomScale="130" zoomScaleNormal="130" workbookViewId="0">
      <pane ySplit="7" topLeftCell="A8" activePane="bottomLeft" state="frozen"/>
      <selection activeCell="A3" sqref="A1:XFD1048576"/>
      <selection pane="bottomLeft" activeCell="O22" sqref="O22"/>
    </sheetView>
  </sheetViews>
  <sheetFormatPr baseColWidth="10" defaultColWidth="10.83203125" defaultRowHeight="16"/>
  <cols>
    <col min="1" max="1" width="1.5" style="10" customWidth="1"/>
    <col min="2" max="3" width="5.6640625" style="2" customWidth="1"/>
    <col min="4" max="4" width="11.1640625" style="5" bestFit="1" customWidth="1"/>
    <col min="5" max="5" width="10.83203125" style="5"/>
    <col min="6" max="6" width="4.5" style="5" customWidth="1"/>
    <col min="7" max="7" width="4.33203125" style="3" customWidth="1"/>
    <col min="8" max="8" width="10.83203125" style="3" customWidth="1"/>
    <col min="9"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48" style="1" customWidth="1"/>
    <col min="18" max="18" width="3.1640625" style="10" customWidth="1"/>
    <col min="19" max="19" width="12.6640625" style="110" customWidth="1"/>
    <col min="20" max="20" width="10.83203125" style="110"/>
    <col min="21" max="23" width="11.83203125" style="10" bestFit="1" customWidth="1"/>
    <col min="24"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SUM(O10:O39)</f>
        <v>78508.449999999983</v>
      </c>
      <c r="H2" s="1015"/>
      <c r="I2" s="1007" t="s">
        <v>1543</v>
      </c>
      <c r="J2" s="1008"/>
      <c r="K2" s="1008"/>
      <c r="L2" s="1008"/>
      <c r="M2" s="1009"/>
      <c r="N2" s="1014">
        <f>SUM(D10:E39)/(G5)</f>
        <v>388.3366666666667</v>
      </c>
      <c r="O2" s="1015"/>
      <c r="P2" s="145" t="s">
        <v>284</v>
      </c>
      <c r="Q2" s="146">
        <f>SUM(P10:P39)-SUM(M10:M39)-SUM(I10:I39)-SUM(E10:E39)-Q3+LUG!Q2</f>
        <v>121727.5</v>
      </c>
      <c r="S2" s="108"/>
      <c r="T2" s="109"/>
    </row>
    <row r="3" spans="1:42" s="22" customFormat="1" ht="20" customHeight="1">
      <c r="B3" s="148" t="s">
        <v>285</v>
      </c>
      <c r="C3" s="149"/>
      <c r="D3" s="149"/>
      <c r="E3" s="149"/>
      <c r="F3" s="150"/>
      <c r="G3" s="1014">
        <f>SUM(P10:P39)</f>
        <v>50010.45</v>
      </c>
      <c r="H3" s="1015"/>
      <c r="I3" s="1007" t="s">
        <v>1544</v>
      </c>
      <c r="J3" s="1008"/>
      <c r="K3" s="1008"/>
      <c r="L3" s="1008"/>
      <c r="M3" s="1009"/>
      <c r="N3" s="1014">
        <f>SUM(H10:I39)/G5</f>
        <v>715.38000000000022</v>
      </c>
      <c r="O3" s="1015"/>
      <c r="P3" s="145" t="s">
        <v>1545</v>
      </c>
      <c r="Q3" s="146">
        <f>SUMIFS(BANCA!$E:$E,BANCA!$B:$B,"&gt;=01/08/2023",BANCA!$B:$B,"&lt;=31/08/2023",BANCA!$D:$D,"Versamento contanti")</f>
        <v>0</v>
      </c>
      <c r="S3" s="108"/>
      <c r="T3" s="109"/>
    </row>
    <row r="4" spans="1:42" s="22" customFormat="1" ht="20" customHeight="1">
      <c r="B4" s="148" t="s">
        <v>287</v>
      </c>
      <c r="C4" s="149"/>
      <c r="D4" s="149"/>
      <c r="E4" s="149"/>
      <c r="F4" s="150"/>
      <c r="G4" s="1016">
        <f>G3/G2</f>
        <v>0.6370072266106388</v>
      </c>
      <c r="H4" s="1017"/>
      <c r="I4" s="1007" t="s">
        <v>1546</v>
      </c>
      <c r="J4" s="1008"/>
      <c r="K4" s="1008"/>
      <c r="L4" s="1008"/>
      <c r="M4" s="1009"/>
      <c r="N4" s="1014">
        <f>SUM(L10:M39)/G5</f>
        <v>1513.231666666667</v>
      </c>
      <c r="O4" s="1015"/>
      <c r="P4" s="23"/>
      <c r="S4" s="108"/>
      <c r="T4" s="109"/>
    </row>
    <row r="5" spans="1:42" s="22" customFormat="1" ht="20" customHeight="1">
      <c r="B5" s="148" t="s">
        <v>288</v>
      </c>
      <c r="C5" s="149"/>
      <c r="D5" s="149"/>
      <c r="E5" s="149"/>
      <c r="F5" s="150"/>
      <c r="G5" s="1005">
        <f>COUNTA(O10:O39)</f>
        <v>30</v>
      </c>
      <c r="H5" s="1006"/>
      <c r="I5" s="1007" t="s">
        <v>290</v>
      </c>
      <c r="J5" s="1008"/>
      <c r="K5" s="1008"/>
      <c r="L5" s="1008"/>
      <c r="M5" s="1009"/>
      <c r="N5" s="1014">
        <f>SUM(E10:E39,M10:M39,I10:I39)</f>
        <v>41275.399999999994</v>
      </c>
      <c r="O5" s="1017"/>
      <c r="P5" s="23"/>
      <c r="S5" s="108"/>
      <c r="T5" s="109"/>
    </row>
    <row r="6" spans="1:42" s="22" customFormat="1" ht="20" customHeight="1">
      <c r="B6" s="151" t="s">
        <v>289</v>
      </c>
      <c r="C6" s="152"/>
      <c r="D6" s="152"/>
      <c r="E6" s="152"/>
      <c r="F6" s="153"/>
      <c r="G6" s="1014">
        <f>G2/G5</f>
        <v>2616.9483333333328</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1567</v>
      </c>
      <c r="D10" s="206"/>
      <c r="E10" s="206"/>
      <c r="F10" s="207"/>
      <c r="G10" s="227"/>
      <c r="H10" s="206">
        <f>391.3-D10-E10-I10</f>
        <v>238.3</v>
      </c>
      <c r="I10" s="206">
        <v>153</v>
      </c>
      <c r="J10" s="207">
        <v>21</v>
      </c>
      <c r="K10" s="465" t="s">
        <v>1564</v>
      </c>
      <c r="L10" s="206">
        <f>1478.1-M10-I10-H10-E10-D10</f>
        <v>407.2999999999999</v>
      </c>
      <c r="M10" s="206">
        <f>832.5-I10-E10</f>
        <v>679.5</v>
      </c>
      <c r="N10" s="427" t="s">
        <v>1589</v>
      </c>
      <c r="O10" s="208">
        <f t="shared" ref="O10:O11" si="0">SUM(D10:E10,H10:I10,L10:M10)</f>
        <v>1478.1</v>
      </c>
      <c r="P10" s="209">
        <v>1304.0999999999999</v>
      </c>
      <c r="Q10" s="210"/>
      <c r="S10" s="157" t="s">
        <v>1567</v>
      </c>
      <c r="T10" s="156"/>
      <c r="U10" s="156">
        <f>(SUMIF($C$10:$C$39,S10,$H$10:$H$39)+SUMIF($C$10:$C$39,S10,$I$10:$I$39)+SUMIF($C$10:$C$39,S10,$L$10:$L$39)+SUMIF($C$10:$C$39,S10,$M$10:$M$39))/(COUNTIF($C$10:$C$39,S10)-1)</f>
        <v>1509.25</v>
      </c>
      <c r="V10" s="156">
        <f>(SUMIF($C$10:$C$39,S10,$H$10:$H$39)+SUMIF($C$10:$C$39,S10,$I$10:$I$39))/(COUNTIF($C$10:$C$39,S10)-1)</f>
        <v>576.5</v>
      </c>
      <c r="W10" s="156">
        <f>(SUMIF($C$10:$C$39,S10,$L$10:$L$39)+SUMIF($C$10:$C$39,S10,$M$10:$M$39))/(COUNTIF($C$10:$C$39,S10)-1)</f>
        <v>932.75</v>
      </c>
    </row>
    <row r="11" spans="1:42" s="14" customFormat="1" ht="16" customHeight="1">
      <c r="B11" s="19" t="s">
        <v>23</v>
      </c>
      <c r="C11" s="19" t="s">
        <v>294</v>
      </c>
      <c r="D11" s="206">
        <f>300.1-E11</f>
        <v>193.00000000000003</v>
      </c>
      <c r="E11" s="206">
        <v>107.1</v>
      </c>
      <c r="F11" s="207">
        <v>71</v>
      </c>
      <c r="G11" s="465" t="s">
        <v>1589</v>
      </c>
      <c r="H11" s="206">
        <f>842.1-D11-E11-I11</f>
        <v>185</v>
      </c>
      <c r="I11" s="206">
        <v>357</v>
      </c>
      <c r="J11" s="207">
        <v>6</v>
      </c>
      <c r="K11" s="427" t="s">
        <v>1589</v>
      </c>
      <c r="L11" s="206">
        <f>1807.4-M11-I11-H11-E11-D11</f>
        <v>575.30000000000007</v>
      </c>
      <c r="M11" s="206">
        <f>854.1-I11-E11</f>
        <v>390</v>
      </c>
      <c r="N11" s="465" t="s">
        <v>1564</v>
      </c>
      <c r="O11" s="208">
        <f t="shared" si="0"/>
        <v>1807.4</v>
      </c>
      <c r="P11" s="209">
        <v>1457.7</v>
      </c>
      <c r="Q11" s="210" t="s">
        <v>2014</v>
      </c>
      <c r="S11" s="157" t="s">
        <v>294</v>
      </c>
      <c r="T11" s="156">
        <f>(SUMIF($C$10:$C$39,S11,$D$10:$D$39)+SUMIF($C$10:$C$39,S11,$E$10:$E$39))/(COUNTIF($C$10:$C$39,S11)-1)</f>
        <v>272.47500000000002</v>
      </c>
      <c r="U11" s="156">
        <f>(SUMIF($C$10:$C$39,S11,$H$10:$H$39)+SUMIF($C$10:$C$39,S11,$I$10:$I$39)+SUMIF($C$10:$C$39,S11,$L$10:$L$39)+SUMIF($C$10:$C$39,S11,$M$10:$M$39))/COUNTIF($C$10:$C$39,S11)</f>
        <v>1012.5800000000002</v>
      </c>
      <c r="V11" s="156">
        <f>(SUMIF($C$10:$C$39,S11,$H$10:$H$39)+SUMIF($C$10:$C$39,S11,$I$10:$I$39))/COUNTIF($C$10:$C$39,S11)</f>
        <v>434.28000000000003</v>
      </c>
      <c r="W11" s="156">
        <f>(SUMIF($C$10:$C$39,S11,$L$10:$L$39)+SUMIF($C$10:$C$39,S11,$M$10:$M$39))/COUNTIF($C$10:$C$39,S11)</f>
        <v>578.29999999999995</v>
      </c>
    </row>
    <row r="12" spans="1:42" s="14" customFormat="1" ht="16" customHeight="1">
      <c r="B12" s="19" t="s">
        <v>1559</v>
      </c>
      <c r="C12" s="19" t="s">
        <v>1557</v>
      </c>
      <c r="D12" s="206">
        <f>113-E12</f>
        <v>81</v>
      </c>
      <c r="E12" s="206">
        <v>32</v>
      </c>
      <c r="F12" s="207">
        <v>53</v>
      </c>
      <c r="G12" s="465" t="s">
        <v>295</v>
      </c>
      <c r="H12" s="206">
        <f>836-D12-E12-I12</f>
        <v>510</v>
      </c>
      <c r="I12" s="206">
        <v>213</v>
      </c>
      <c r="J12" s="207">
        <v>10</v>
      </c>
      <c r="K12" s="465" t="s">
        <v>295</v>
      </c>
      <c r="L12" s="206">
        <f>2028.1-M12-I12-H12-E12-D12</f>
        <v>647</v>
      </c>
      <c r="M12" s="206">
        <f>790.1-I12-E12</f>
        <v>545.1</v>
      </c>
      <c r="N12" s="465" t="s">
        <v>295</v>
      </c>
      <c r="O12" s="208">
        <f t="shared" ref="O12:O24" si="1">SUM(D12:E12,H12:I12,L12:M12)</f>
        <v>2028.1</v>
      </c>
      <c r="P12" s="209">
        <v>825.6</v>
      </c>
      <c r="Q12" s="210"/>
      <c r="S12" s="157" t="s">
        <v>1557</v>
      </c>
      <c r="T12" s="156">
        <f>(SUMIF($C$10:$C$39,S12,$D$10:$D$39)+SUMIF($C$10:$C$39,S12,$E$10:$E$39))/COUNTIF($C$10:$C$39,S12)</f>
        <v>135.35</v>
      </c>
      <c r="U12" s="156">
        <f>(SUMIF($C$10:$C$39,S12,$H$10:$H$39)+SUMIF($C$10:$C$39,S12,$I$10:$I$39)+SUMIF($C$10:$C$39,S12,$L$10:$L$39)+SUMIF($C$10:$C$39,S12,$M$10:$M$39))/COUNTIF($C$10:$C$39,S12)</f>
        <v>1525.9875</v>
      </c>
      <c r="V12" s="156">
        <f>(SUMIF($C$10:$C$39,S12,$H$10:$H$39)+SUMIF($C$10:$C$39,S12,$I$10:$I$39))/COUNTIF($C$10:$C$39,S12)</f>
        <v>572.90000000000009</v>
      </c>
      <c r="W12" s="156">
        <f>(SUMIF($C$10:$C$39,S12,$L$10:$L$39)+SUMIF($C$10:$C$39,S12,$M$10:$M$39))/COUNTIF($C$10:$C$39,S12)</f>
        <v>953.08749999999986</v>
      </c>
    </row>
    <row r="13" spans="1:42" s="14" customFormat="1" ht="16" customHeight="1">
      <c r="B13" s="19" t="s">
        <v>1561</v>
      </c>
      <c r="C13" s="19" t="s">
        <v>1558</v>
      </c>
      <c r="D13" s="206">
        <f>459-E13</f>
        <v>340.1</v>
      </c>
      <c r="E13" s="206">
        <v>118.9</v>
      </c>
      <c r="F13" s="207">
        <v>107</v>
      </c>
      <c r="G13" s="465" t="s">
        <v>295</v>
      </c>
      <c r="H13" s="206">
        <f>1133-D13-E13-I13</f>
        <v>466</v>
      </c>
      <c r="I13" s="206">
        <v>208</v>
      </c>
      <c r="J13" s="207">
        <v>15</v>
      </c>
      <c r="K13" s="465" t="s">
        <v>295</v>
      </c>
      <c r="L13" s="206">
        <f>2122-M13-I13-H13-E13-D13</f>
        <v>209</v>
      </c>
      <c r="M13" s="206">
        <f>1106.9-I13-E13</f>
        <v>780.00000000000011</v>
      </c>
      <c r="N13" s="465" t="s">
        <v>295</v>
      </c>
      <c r="O13" s="208">
        <f t="shared" si="1"/>
        <v>2122</v>
      </c>
      <c r="P13" s="811">
        <v>1417.95</v>
      </c>
      <c r="Q13" s="210" t="s">
        <v>2025</v>
      </c>
      <c r="S13" s="157" t="s">
        <v>1558</v>
      </c>
      <c r="T13" s="156">
        <f>(SUMIF($C$10:$C$39,S13,$D$10:$D$39)+SUMIF($C$10:$C$39,S13,$E$10:$E$39))/COUNTIF($C$10:$C$39,S13)</f>
        <v>544.35</v>
      </c>
      <c r="U13" s="156">
        <f>(SUMIF($C$10:$C$39,S13,$H$10:$H$39)+SUMIF($C$10:$C$39,S13,$I$10:$I$39)+SUMIF($C$10:$C$39,S13,$L$10:$L$39)+SUMIF($C$10:$C$39,S13,$M$10:$M$39))/COUNTIF($C$10:$C$39,S13)</f>
        <v>1600.9</v>
      </c>
      <c r="V13" s="156">
        <f>(SUMIF($C$10:$C$39,S13,$H$10:$H$39)+SUMIF($C$10:$C$39,S13,$I$10:$I$39))/COUNTIF($C$10:$C$39,S13)</f>
        <v>592.04999999999995</v>
      </c>
      <c r="W13" s="156">
        <f>(SUMIF($C$10:$C$39,S13,$L$10:$L$39)+SUMIF($C$10:$C$39,S13,$M$10:$M$39))/COUNTIF($C$10:$C$39,S13)</f>
        <v>1008.8500000000001</v>
      </c>
    </row>
    <row r="14" spans="1:42" s="14" customFormat="1" ht="16" customHeight="1">
      <c r="B14" s="19" t="s">
        <v>1563</v>
      </c>
      <c r="C14" s="19" t="s">
        <v>175</v>
      </c>
      <c r="D14" s="206">
        <f>209-E14</f>
        <v>167.9</v>
      </c>
      <c r="E14" s="206">
        <v>41.1</v>
      </c>
      <c r="F14" s="207">
        <v>58</v>
      </c>
      <c r="G14" s="465" t="s">
        <v>295</v>
      </c>
      <c r="H14" s="206">
        <f>588-D14-E14-I14</f>
        <v>224</v>
      </c>
      <c r="I14" s="206">
        <v>155</v>
      </c>
      <c r="J14" s="207">
        <v>14</v>
      </c>
      <c r="K14" s="465" t="s">
        <v>1596</v>
      </c>
      <c r="L14" s="206">
        <f>3689.5-M14-I14-H14-E14-D14</f>
        <v>1120.5</v>
      </c>
      <c r="M14" s="206">
        <f>2177.1-I14-E14</f>
        <v>1981</v>
      </c>
      <c r="N14" s="465" t="s">
        <v>295</v>
      </c>
      <c r="O14" s="208">
        <f t="shared" si="1"/>
        <v>3689.5</v>
      </c>
      <c r="P14" s="811">
        <v>2793.6</v>
      </c>
      <c r="Q14" s="210" t="s">
        <v>2068</v>
      </c>
      <c r="S14" s="157" t="s">
        <v>175</v>
      </c>
      <c r="T14" s="156">
        <f>(SUMIF($C$10:$C$39,S14,$D$10:$D$39)+SUMIF($C$10:$C$39,S14,$E$10:$E$39))/COUNTIF($C$10:$C$39,S14)</f>
        <v>293.75</v>
      </c>
      <c r="U14" s="156">
        <f>(SUMIF($C$10:$C$39,S14,$H$10:$H$39)+SUMIF($C$10:$C$39,S14,$I$10:$I$39)+SUMIF($C$10:$C$39,S14,$L$10:$L$39)+SUMIF($C$10:$C$39,S14,$M$10:$M$39))/COUNTIF($C$10:$C$39,S14)</f>
        <v>4340.8500000000004</v>
      </c>
      <c r="V14" s="156">
        <f>(SUMIF($C$10:$C$39,S14,$H$10:$H$39)+SUMIF($C$10:$C$39,S14,$I$10:$I$39))/COUNTIF($C$10:$C$39,S14)</f>
        <v>796</v>
      </c>
      <c r="W14" s="156">
        <f>(SUMIF($C$10:$C$39,S14,$L$10:$L$39)+SUMIF($C$10:$C$39,S14,$M$10:$M$39))/COUNTIF($C$10:$C$39,S14)</f>
        <v>3544.8500000000004</v>
      </c>
    </row>
    <row r="15" spans="1:42" s="14" customFormat="1" ht="16" customHeight="1">
      <c r="B15" s="19" t="s">
        <v>1566</v>
      </c>
      <c r="C15" s="19" t="s">
        <v>176</v>
      </c>
      <c r="D15" s="206">
        <f>542-E15</f>
        <v>315.5</v>
      </c>
      <c r="E15" s="206">
        <v>226.5</v>
      </c>
      <c r="F15" s="207">
        <v>91</v>
      </c>
      <c r="G15" s="465" t="s">
        <v>295</v>
      </c>
      <c r="H15" s="206">
        <f>1400-D15-E15-I15</f>
        <v>532.79999999999995</v>
      </c>
      <c r="I15" s="206">
        <v>325.2</v>
      </c>
      <c r="J15" s="207">
        <v>18</v>
      </c>
      <c r="K15" s="465" t="s">
        <v>295</v>
      </c>
      <c r="L15" s="206">
        <f>4412.2-M15-I15-H15-E15-D15</f>
        <v>1280.2</v>
      </c>
      <c r="M15" s="206">
        <f>2283.7-I15-E15</f>
        <v>1731.9999999999998</v>
      </c>
      <c r="N15" s="465" t="s">
        <v>295</v>
      </c>
      <c r="O15" s="208">
        <f t="shared" si="1"/>
        <v>4412.2</v>
      </c>
      <c r="P15" s="811">
        <v>3165.5</v>
      </c>
      <c r="Q15" s="210" t="s">
        <v>2024</v>
      </c>
      <c r="S15" s="157" t="s">
        <v>176</v>
      </c>
      <c r="T15" s="156">
        <f>(SUMIF($C$10:$C$39,S15,$D$10:$D$39)+SUMIF($C$10:$C$39,S15,$E$10:$E$39))/COUNTIF($C$10:$C$39,S15)</f>
        <v>568.5</v>
      </c>
      <c r="U15" s="156">
        <f>(SUMIF($C$10:$C$39,S15,$H$10:$H$39)+SUMIF($C$10:$C$39,S15,$I$10:$I$39)+SUMIF($C$10:$C$39,S15,$L$10:$L$39)+SUMIF($C$10:$C$39,S15,$M$10:$M$39))/COUNTIF($C$10:$C$39,S15)</f>
        <v>3931.3500000000004</v>
      </c>
      <c r="V15" s="156">
        <f>(SUMIF($C$10:$C$39,S15,$H$10:$H$39)+SUMIF($C$10:$C$39,S15,$I$10:$I$39))/COUNTIF($C$10:$C$39,S15)</f>
        <v>1069.7250000000001</v>
      </c>
      <c r="W15" s="156">
        <f>(SUMIF($C$10:$C$39,S15,$L$10:$L$39)+SUMIF($C$10:$C$39,S15,$M$10:$M$39))/COUNTIF($C$10:$C$39,S15)</f>
        <v>2861.625</v>
      </c>
    </row>
    <row r="16" spans="1:42" s="14" customFormat="1" ht="16" customHeight="1">
      <c r="B16" s="19" t="s">
        <v>1569</v>
      </c>
      <c r="C16" s="19" t="s">
        <v>177</v>
      </c>
      <c r="D16" s="206">
        <f>1524-E16</f>
        <v>1013.5</v>
      </c>
      <c r="E16" s="206">
        <v>510.5</v>
      </c>
      <c r="F16" s="207">
        <v>263</v>
      </c>
      <c r="G16" s="465" t="s">
        <v>295</v>
      </c>
      <c r="H16" s="206">
        <f>2875.9-D16-E16-I16</f>
        <v>853.50000000000011</v>
      </c>
      <c r="I16" s="206">
        <v>498.4</v>
      </c>
      <c r="J16" s="207">
        <v>18</v>
      </c>
      <c r="K16" s="465" t="s">
        <v>295</v>
      </c>
      <c r="L16" s="206">
        <f>4662.9-M16-I16-H16-E16-D16</f>
        <v>785.99999999999955</v>
      </c>
      <c r="M16" s="206">
        <f>2009.9-I16-E16</f>
        <v>1001</v>
      </c>
      <c r="N16" s="465" t="s">
        <v>295</v>
      </c>
      <c r="O16" s="208">
        <f t="shared" si="1"/>
        <v>4662.8999999999996</v>
      </c>
      <c r="P16" s="811">
        <v>3254.5</v>
      </c>
      <c r="Q16" s="210" t="s">
        <v>2024</v>
      </c>
      <c r="S16" s="157" t="s">
        <v>177</v>
      </c>
      <c r="T16" s="156">
        <f>(SUMIF($C$10:$C$39,S16,$D$10:$D$39)+SUMIF($C$10:$C$39,S16,$E$10:$E$39))/(COUNTIF($C$10:$C$39,S16)-1)</f>
        <v>1464.1333333333334</v>
      </c>
      <c r="U16" s="156">
        <f>(SUMIF($C$10:$C$39,S16,$H$10:$H$39)+SUMIF($C$10:$C$39,S16,$I$10:$I$39)+SUMIF($C$10:$C$39,S16,$L$10:$L$39)+SUMIF($C$10:$C$39,S16,$M$10:$M$39))/(COUNTIF($C$10:$C$39,S16)-1)</f>
        <v>3387.3666666666668</v>
      </c>
      <c r="V16" s="156">
        <f>(SUMIF($C$10:$C$39,S16,$H$10:$H$39)+SUMIF($C$10:$C$39,S16,$I$10:$I$39))/(COUNTIF($C$10:$C$39,S16)-1)</f>
        <v>1620.4333333333336</v>
      </c>
      <c r="W16" s="156">
        <f>(SUMIF($C$10:$C$39,S16,$L$10:$L$39)+SUMIF($C$10:$C$39,S16,$M$10:$M$39))/(COUNTIF($C$10:$C$39,S16)-1)</f>
        <v>1766.9333333333332</v>
      </c>
      <c r="X16" s="59"/>
      <c r="Y16" s="59"/>
      <c r="Z16" s="59"/>
      <c r="AA16" s="59"/>
      <c r="AB16" s="59"/>
      <c r="AC16" s="59"/>
    </row>
    <row r="17" spans="2:23" s="14" customFormat="1" ht="16" customHeight="1">
      <c r="B17" s="19" t="s">
        <v>297</v>
      </c>
      <c r="C17" s="19" t="s">
        <v>1567</v>
      </c>
      <c r="D17" s="206"/>
      <c r="E17" s="206"/>
      <c r="F17" s="207"/>
      <c r="G17" s="207"/>
      <c r="H17" s="206">
        <f>760-D17-E17-I17</f>
        <v>519.5</v>
      </c>
      <c r="I17" s="206">
        <v>240.5</v>
      </c>
      <c r="J17" s="207">
        <v>12</v>
      </c>
      <c r="K17" s="465" t="s">
        <v>295</v>
      </c>
      <c r="L17" s="206">
        <f>1353.2-M17-I17-H17-E17-D17</f>
        <v>11.200000000000045</v>
      </c>
      <c r="M17" s="206">
        <f>822.5-I17-E17</f>
        <v>582</v>
      </c>
      <c r="N17" s="465" t="s">
        <v>295</v>
      </c>
      <c r="O17" s="208">
        <f t="shared" si="1"/>
        <v>1353.2</v>
      </c>
      <c r="P17" s="209">
        <v>950.2</v>
      </c>
      <c r="Q17" s="210"/>
      <c r="S17" s="1019"/>
      <c r="T17" s="1020"/>
      <c r="U17" s="159"/>
    </row>
    <row r="18" spans="2:23" s="14" customFormat="1" ht="16" customHeight="1">
      <c r="B18" s="19" t="s">
        <v>1572</v>
      </c>
      <c r="C18" s="19" t="s">
        <v>294</v>
      </c>
      <c r="D18" s="206">
        <f>218.4-E18</f>
        <v>180.7</v>
      </c>
      <c r="E18" s="206">
        <v>37.700000000000003</v>
      </c>
      <c r="F18" s="207">
        <v>67</v>
      </c>
      <c r="G18" s="465" t="s">
        <v>1564</v>
      </c>
      <c r="H18" s="206">
        <f>558-D18-E18-I18</f>
        <v>222.60000000000002</v>
      </c>
      <c r="I18" s="206">
        <v>117</v>
      </c>
      <c r="J18" s="207">
        <v>15</v>
      </c>
      <c r="K18" s="465" t="s">
        <v>1596</v>
      </c>
      <c r="L18" s="206">
        <f>1498.7-M18-I18-H18-E18-D18</f>
        <v>607.20000000000005</v>
      </c>
      <c r="M18" s="206">
        <f>488.2-I18-E18</f>
        <v>333.5</v>
      </c>
      <c r="N18" s="465" t="s">
        <v>1564</v>
      </c>
      <c r="O18" s="208">
        <f t="shared" si="1"/>
        <v>1498.7</v>
      </c>
      <c r="P18" s="209">
        <v>598</v>
      </c>
      <c r="Q18" s="210"/>
      <c r="S18" s="180"/>
      <c r="T18" s="197"/>
      <c r="U18" s="205"/>
      <c r="V18" s="205"/>
      <c r="W18" s="205"/>
    </row>
    <row r="19" spans="2:23" s="14" customFormat="1" ht="16" customHeight="1">
      <c r="B19" s="19" t="s">
        <v>1574</v>
      </c>
      <c r="C19" s="19" t="s">
        <v>1557</v>
      </c>
      <c r="D19" s="206"/>
      <c r="E19" s="206"/>
      <c r="F19" s="207"/>
      <c r="G19" s="207"/>
      <c r="H19" s="206">
        <f>277.8-D19-E19-I19</f>
        <v>141.30000000000001</v>
      </c>
      <c r="I19" s="206">
        <v>136.5</v>
      </c>
      <c r="J19" s="207">
        <v>20</v>
      </c>
      <c r="K19" s="465" t="s">
        <v>1596</v>
      </c>
      <c r="L19" s="206">
        <f>1154.6-M19-I19-H19-E19-D19</f>
        <v>349.89999999999992</v>
      </c>
      <c r="M19" s="206">
        <f>663.4-I19-E19</f>
        <v>526.9</v>
      </c>
      <c r="N19" s="465" t="s">
        <v>1564</v>
      </c>
      <c r="O19" s="208">
        <f t="shared" si="1"/>
        <v>1154.5999999999999</v>
      </c>
      <c r="P19" s="209">
        <v>983.9</v>
      </c>
      <c r="Q19" s="210"/>
      <c r="S19" s="211" t="s">
        <v>1573</v>
      </c>
      <c r="T19" s="212"/>
      <c r="U19" s="213"/>
      <c r="V19" s="213"/>
      <c r="W19" s="213"/>
    </row>
    <row r="20" spans="2:23" s="14" customFormat="1" ht="16" customHeight="1">
      <c r="B20" s="19" t="s">
        <v>1577</v>
      </c>
      <c r="C20" s="19" t="s">
        <v>1558</v>
      </c>
      <c r="D20" s="206">
        <f>816.2-E20</f>
        <v>583</v>
      </c>
      <c r="E20" s="206">
        <v>233.2</v>
      </c>
      <c r="F20" s="207">
        <v>102</v>
      </c>
      <c r="G20" s="465" t="s">
        <v>295</v>
      </c>
      <c r="H20" s="206">
        <f>1383-D20-E20-I20</f>
        <v>328.29999999999995</v>
      </c>
      <c r="I20" s="206">
        <v>238.5</v>
      </c>
      <c r="J20" s="207">
        <v>14</v>
      </c>
      <c r="K20" s="465" t="s">
        <v>295</v>
      </c>
      <c r="L20" s="206">
        <f>2390.4-M20-I20-H20-E20-D20</f>
        <v>532.40000000000009</v>
      </c>
      <c r="M20" s="206">
        <f>946.7-I20-E20</f>
        <v>475.00000000000006</v>
      </c>
      <c r="N20" s="465" t="s">
        <v>295</v>
      </c>
      <c r="O20" s="208">
        <f t="shared" si="1"/>
        <v>2390.4</v>
      </c>
      <c r="P20" s="209">
        <v>1842.1</v>
      </c>
      <c r="Q20" s="210"/>
      <c r="S20" s="211" t="s">
        <v>1708</v>
      </c>
      <c r="T20" s="212"/>
      <c r="U20" s="213"/>
      <c r="V20" s="213"/>
      <c r="W20" s="213"/>
    </row>
    <row r="21" spans="2:23" s="14" customFormat="1" ht="16" customHeight="1">
      <c r="B21" s="19" t="s">
        <v>977</v>
      </c>
      <c r="C21" s="19" t="s">
        <v>175</v>
      </c>
      <c r="D21" s="206">
        <f>427-E21</f>
        <v>303.2</v>
      </c>
      <c r="E21" s="206">
        <v>123.8</v>
      </c>
      <c r="F21" s="207">
        <v>75</v>
      </c>
      <c r="G21" s="465" t="s">
        <v>1564</v>
      </c>
      <c r="H21" s="206">
        <f>808-D21-E21-I21</f>
        <v>188.5</v>
      </c>
      <c r="I21" s="206">
        <v>192.5</v>
      </c>
      <c r="J21" s="207">
        <v>18</v>
      </c>
      <c r="K21" s="465" t="s">
        <v>1564</v>
      </c>
      <c r="L21" s="206">
        <f>4871.8-M21-I21-H21-E21-D21</f>
        <v>780.30000000000018</v>
      </c>
      <c r="M21" s="206">
        <f>3599.8-I21-E21</f>
        <v>3283.5</v>
      </c>
      <c r="N21" s="465" t="s">
        <v>1564</v>
      </c>
      <c r="O21" s="208">
        <f t="shared" si="1"/>
        <v>4871.8</v>
      </c>
      <c r="P21" s="209">
        <v>3949.6</v>
      </c>
      <c r="Q21" s="210" t="s">
        <v>1956</v>
      </c>
      <c r="S21" s="211" t="s">
        <v>1709</v>
      </c>
      <c r="T21" s="212"/>
      <c r="U21" s="213"/>
      <c r="V21" s="213"/>
      <c r="W21" s="213"/>
    </row>
    <row r="22" spans="2:23" s="14" customFormat="1" ht="16" customHeight="1">
      <c r="B22" s="19" t="s">
        <v>1581</v>
      </c>
      <c r="C22" s="19" t="s">
        <v>176</v>
      </c>
      <c r="D22" s="206">
        <f>671-E22</f>
        <v>478.4</v>
      </c>
      <c r="E22" s="206">
        <v>192.6</v>
      </c>
      <c r="F22" s="207">
        <v>108</v>
      </c>
      <c r="G22" s="465" t="s">
        <v>295</v>
      </c>
      <c r="H22" s="206">
        <f>1715-D22-E22-I22</f>
        <v>238.5</v>
      </c>
      <c r="I22" s="206">
        <v>805.5</v>
      </c>
      <c r="J22" s="207">
        <v>19</v>
      </c>
      <c r="K22" s="465" t="s">
        <v>1596</v>
      </c>
      <c r="L22" s="206">
        <f>4109.7-M22-I22-H22-E22-D22</f>
        <v>1024.6999999999998</v>
      </c>
      <c r="M22" s="206">
        <f>2368.1-I22-E22</f>
        <v>1370</v>
      </c>
      <c r="N22" s="465" t="s">
        <v>1564</v>
      </c>
      <c r="O22" s="208">
        <f t="shared" si="1"/>
        <v>4109.7</v>
      </c>
      <c r="P22" s="209">
        <v>2763.9</v>
      </c>
      <c r="Q22" s="210"/>
      <c r="S22" s="214" t="s">
        <v>952</v>
      </c>
      <c r="T22" s="215"/>
      <c r="U22" s="216"/>
      <c r="V22" s="216"/>
      <c r="W22" s="216"/>
    </row>
    <row r="23" spans="2:23" s="14" customFormat="1" ht="16" customHeight="1">
      <c r="B23" s="19" t="s">
        <v>1583</v>
      </c>
      <c r="C23" s="19" t="s">
        <v>177</v>
      </c>
      <c r="D23" s="206">
        <f>1007.4-E23</f>
        <v>803.09999999999991</v>
      </c>
      <c r="E23" s="206">
        <v>204.3</v>
      </c>
      <c r="F23" s="207">
        <v>100</v>
      </c>
      <c r="G23" s="465" t="s">
        <v>295</v>
      </c>
      <c r="H23" s="206">
        <f>2339-D23-E23-I23</f>
        <v>383.10000000000014</v>
      </c>
      <c r="I23" s="206">
        <v>948.5</v>
      </c>
      <c r="J23" s="207">
        <v>19</v>
      </c>
      <c r="K23" s="465" t="s">
        <v>295</v>
      </c>
      <c r="L23" s="206">
        <f>3658.9-M23-I23-H23-E23-D23</f>
        <v>580.40000000000009</v>
      </c>
      <c r="M23" s="206">
        <f>1892.3-I23-E23</f>
        <v>739.5</v>
      </c>
      <c r="N23" s="465" t="s">
        <v>295</v>
      </c>
      <c r="O23" s="208">
        <f t="shared" si="1"/>
        <v>3658.9</v>
      </c>
      <c r="P23" s="209">
        <v>2643</v>
      </c>
      <c r="Q23" s="210"/>
      <c r="S23" s="214" t="s">
        <v>1584</v>
      </c>
      <c r="T23" s="215"/>
      <c r="U23" s="216"/>
      <c r="V23" s="216"/>
      <c r="W23" s="216"/>
    </row>
    <row r="24" spans="2:23" s="14" customFormat="1" ht="16" customHeight="1">
      <c r="B24" s="19" t="s">
        <v>298</v>
      </c>
      <c r="C24" s="19" t="s">
        <v>1567</v>
      </c>
      <c r="D24" s="206"/>
      <c r="E24" s="206"/>
      <c r="F24" s="207"/>
      <c r="G24" s="207"/>
      <c r="H24" s="206">
        <f>467-D24-E24-I24</f>
        <v>316.89999999999998</v>
      </c>
      <c r="I24" s="206">
        <v>150.1</v>
      </c>
      <c r="J24" s="207">
        <v>17</v>
      </c>
      <c r="K24" s="465" t="s">
        <v>295</v>
      </c>
      <c r="L24" s="206">
        <f>1495.3-M24-I24-H24-E24-D24</f>
        <v>363.1</v>
      </c>
      <c r="M24" s="206">
        <f>815.3-I24-E24</f>
        <v>665.19999999999993</v>
      </c>
      <c r="N24" s="465" t="s">
        <v>295</v>
      </c>
      <c r="O24" s="208">
        <f t="shared" si="1"/>
        <v>1495.3</v>
      </c>
      <c r="P24" s="209">
        <v>898.9</v>
      </c>
      <c r="Q24" s="210"/>
      <c r="S24" s="214" t="s">
        <v>1588</v>
      </c>
      <c r="T24" s="215"/>
      <c r="U24" s="216"/>
      <c r="V24" s="216"/>
      <c r="W24" s="216"/>
    </row>
    <row r="25" spans="2:23" s="14" customFormat="1" ht="16" customHeight="1">
      <c r="B25" s="19" t="s">
        <v>996</v>
      </c>
      <c r="C25" s="19" t="s">
        <v>294</v>
      </c>
      <c r="D25" s="206">
        <f>211.3-E25</f>
        <v>140</v>
      </c>
      <c r="E25" s="206">
        <v>71.3</v>
      </c>
      <c r="F25" s="207">
        <v>57</v>
      </c>
      <c r="G25" s="465" t="s">
        <v>295</v>
      </c>
      <c r="H25" s="206">
        <f>651.2-D25-E25-I25</f>
        <v>323.5</v>
      </c>
      <c r="I25" s="206">
        <v>116.4</v>
      </c>
      <c r="J25" s="207">
        <v>16</v>
      </c>
      <c r="K25" s="465" t="s">
        <v>1564</v>
      </c>
      <c r="L25" s="206">
        <f>974.9-M25-I25-H25-E25-D25</f>
        <v>144.69999999999999</v>
      </c>
      <c r="M25" s="206">
        <f>366.7-I25-E25</f>
        <v>179</v>
      </c>
      <c r="N25" s="465" t="s">
        <v>1596</v>
      </c>
      <c r="O25" s="208">
        <f t="shared" ref="O25:O39" si="2">SUM(D25:E25,H25:I25,L25:M25)</f>
        <v>974.89999999999986</v>
      </c>
      <c r="P25" s="209">
        <v>460.8</v>
      </c>
      <c r="Q25" s="210"/>
      <c r="S25" s="214" t="s">
        <v>1656</v>
      </c>
      <c r="T25" s="215"/>
      <c r="U25" s="216"/>
      <c r="V25" s="216"/>
      <c r="W25" s="216"/>
    </row>
    <row r="26" spans="2:23" s="14" customFormat="1" ht="16" customHeight="1">
      <c r="B26" s="19" t="s">
        <v>293</v>
      </c>
      <c r="C26" s="19" t="s">
        <v>1557</v>
      </c>
      <c r="D26" s="206">
        <f>307-E26</f>
        <v>206.5</v>
      </c>
      <c r="E26" s="206">
        <v>100.5</v>
      </c>
      <c r="F26" s="207">
        <v>66</v>
      </c>
      <c r="G26" s="465" t="s">
        <v>295</v>
      </c>
      <c r="H26" s="206">
        <f>1068-D26-E26-I26</f>
        <v>432.1</v>
      </c>
      <c r="I26" s="206">
        <v>328.9</v>
      </c>
      <c r="J26" s="207">
        <v>17</v>
      </c>
      <c r="K26" s="465" t="s">
        <v>295</v>
      </c>
      <c r="L26" s="206">
        <f>2107.45-M26-I26-H26-E26-D26</f>
        <v>452.4499999999997</v>
      </c>
      <c r="M26" s="206">
        <f>1016.4-I26-E26</f>
        <v>587</v>
      </c>
      <c r="N26" s="465" t="s">
        <v>295</v>
      </c>
      <c r="O26" s="208">
        <f t="shared" si="2"/>
        <v>2107.4499999999998</v>
      </c>
      <c r="P26" s="209">
        <v>1258.0999999999999</v>
      </c>
      <c r="Q26" s="210"/>
      <c r="S26" s="214" t="s">
        <v>144</v>
      </c>
      <c r="T26" s="215"/>
      <c r="U26" s="216"/>
      <c r="V26" s="216"/>
      <c r="W26" s="216"/>
    </row>
    <row r="27" spans="2:23" s="14" customFormat="1" ht="16" customHeight="1">
      <c r="B27" s="19" t="s">
        <v>420</v>
      </c>
      <c r="C27" s="19" t="s">
        <v>1558</v>
      </c>
      <c r="D27" s="206">
        <f>436-E27</f>
        <v>318.8</v>
      </c>
      <c r="E27" s="206">
        <v>117.2</v>
      </c>
      <c r="F27" s="207">
        <v>103</v>
      </c>
      <c r="G27" s="465" t="s">
        <v>295</v>
      </c>
      <c r="H27" s="206">
        <f>1137-D27-E27-I27</f>
        <v>418.2</v>
      </c>
      <c r="I27" s="206">
        <v>282.8</v>
      </c>
      <c r="J27" s="207">
        <v>8</v>
      </c>
      <c r="K27" s="465" t="s">
        <v>295</v>
      </c>
      <c r="L27" s="206">
        <f>2020.5-M27-I27-H27-E27-D27</f>
        <v>490.99999999999994</v>
      </c>
      <c r="M27" s="206">
        <f>792.5-I27-E27</f>
        <v>392.5</v>
      </c>
      <c r="N27" s="465" t="s">
        <v>295</v>
      </c>
      <c r="O27" s="208">
        <f t="shared" si="2"/>
        <v>2020.5</v>
      </c>
      <c r="P27" s="209">
        <v>1105.0999999999999</v>
      </c>
      <c r="Q27" s="210"/>
      <c r="S27" s="214" t="s">
        <v>1710</v>
      </c>
      <c r="T27" s="215"/>
      <c r="U27" s="216"/>
      <c r="V27" s="216"/>
      <c r="W27" s="216"/>
    </row>
    <row r="28" spans="2:23" s="14" customFormat="1" ht="16" customHeight="1">
      <c r="B28" s="19" t="s">
        <v>719</v>
      </c>
      <c r="C28" s="19" t="s">
        <v>175</v>
      </c>
      <c r="D28" s="206">
        <f>394-E28</f>
        <v>221.1</v>
      </c>
      <c r="E28" s="206">
        <v>172.9</v>
      </c>
      <c r="F28" s="207">
        <v>40</v>
      </c>
      <c r="G28" s="465" t="s">
        <v>295</v>
      </c>
      <c r="H28" s="206">
        <f>2098-D28-E28-I28</f>
        <v>1084.3</v>
      </c>
      <c r="I28" s="206">
        <v>619.70000000000005</v>
      </c>
      <c r="J28" s="207">
        <v>12</v>
      </c>
      <c r="K28" s="465" t="s">
        <v>295</v>
      </c>
      <c r="L28" s="206">
        <f>6355.5-M28-I28-H28-E28-D28</f>
        <v>835.29999999999939</v>
      </c>
      <c r="M28" s="206">
        <f>4214.8-I28-E28</f>
        <v>3422.2000000000003</v>
      </c>
      <c r="N28" s="465" t="s">
        <v>295</v>
      </c>
      <c r="O28" s="208">
        <f t="shared" si="2"/>
        <v>6355.5</v>
      </c>
      <c r="P28" s="209">
        <v>3067</v>
      </c>
      <c r="Q28" s="210" t="s">
        <v>1956</v>
      </c>
      <c r="S28" s="217" t="s">
        <v>1630</v>
      </c>
      <c r="T28" s="218"/>
      <c r="U28" s="219"/>
      <c r="V28" s="219"/>
      <c r="W28" s="219"/>
    </row>
    <row r="29" spans="2:23" s="14" customFormat="1" ht="16" customHeight="1">
      <c r="B29" s="19" t="s">
        <v>1591</v>
      </c>
      <c r="C29" s="19" t="s">
        <v>176</v>
      </c>
      <c r="D29" s="206">
        <f>625-E29</f>
        <v>380.2</v>
      </c>
      <c r="E29" s="206">
        <v>244.8</v>
      </c>
      <c r="F29" s="207">
        <v>102</v>
      </c>
      <c r="G29" s="465" t="s">
        <v>295</v>
      </c>
      <c r="H29" s="206">
        <f>1800.9-D29-E29-I29</f>
        <v>679.30000000000007</v>
      </c>
      <c r="I29" s="206">
        <v>496.6</v>
      </c>
      <c r="J29" s="207">
        <v>10</v>
      </c>
      <c r="K29" s="465" t="s">
        <v>295</v>
      </c>
      <c r="L29" s="206">
        <f>5241.1-M29-I29-H29-E29-D29</f>
        <v>1066.5000000000005</v>
      </c>
      <c r="M29" s="206">
        <f>3115.1-I29-E29</f>
        <v>2373.6999999999998</v>
      </c>
      <c r="N29" s="465" t="s">
        <v>295</v>
      </c>
      <c r="O29" s="208">
        <f t="shared" si="2"/>
        <v>5241.1000000000004</v>
      </c>
      <c r="P29" s="209">
        <v>2549.4</v>
      </c>
      <c r="Q29" s="210" t="s">
        <v>2066</v>
      </c>
      <c r="S29" s="217" t="s">
        <v>1592</v>
      </c>
      <c r="T29" s="218"/>
      <c r="U29" s="219"/>
      <c r="V29" s="219"/>
      <c r="W29" s="219"/>
    </row>
    <row r="30" spans="2:23" s="14" customFormat="1" ht="16" customHeight="1">
      <c r="B30" s="19" t="s">
        <v>1593</v>
      </c>
      <c r="C30" s="19" t="s">
        <v>177</v>
      </c>
      <c r="D30" s="206">
        <f>830-E30</f>
        <v>536.70000000000005</v>
      </c>
      <c r="E30" s="206">
        <v>293.3</v>
      </c>
      <c r="F30" s="207">
        <v>174</v>
      </c>
      <c r="G30" s="465" t="s">
        <v>295</v>
      </c>
      <c r="H30" s="206">
        <f>1873.8-D30-E30-I30</f>
        <v>675.3</v>
      </c>
      <c r="I30" s="206">
        <v>368.5</v>
      </c>
      <c r="J30" s="207">
        <v>21</v>
      </c>
      <c r="K30" s="465" t="s">
        <v>295</v>
      </c>
      <c r="L30" s="206">
        <f>2860.5-M30-I30-H30-E30-D30</f>
        <v>340.89999999999986</v>
      </c>
      <c r="M30" s="206">
        <f>1307.6-I30-E30</f>
        <v>645.79999999999995</v>
      </c>
      <c r="N30" s="465" t="s">
        <v>295</v>
      </c>
      <c r="O30" s="208">
        <f t="shared" si="2"/>
        <v>2860.5</v>
      </c>
      <c r="P30" s="209">
        <v>1594.8</v>
      </c>
      <c r="Q30" s="210" t="s">
        <v>2067</v>
      </c>
      <c r="S30" s="217" t="s">
        <v>1711</v>
      </c>
      <c r="T30" s="218"/>
      <c r="U30" s="219"/>
      <c r="V30" s="219"/>
      <c r="W30" s="219"/>
    </row>
    <row r="31" spans="2:23" s="14" customFormat="1" ht="16" customHeight="1">
      <c r="B31" s="19" t="s">
        <v>299</v>
      </c>
      <c r="C31" s="19" t="s">
        <v>1567</v>
      </c>
      <c r="D31" s="206"/>
      <c r="E31" s="206"/>
      <c r="F31" s="207"/>
      <c r="G31" s="207"/>
      <c r="H31" s="206">
        <f>201.7-D31-E31-I31</f>
        <v>113.69999999999999</v>
      </c>
      <c r="I31" s="206">
        <v>88</v>
      </c>
      <c r="J31" s="207">
        <v>25</v>
      </c>
      <c r="K31" s="465" t="s">
        <v>1596</v>
      </c>
      <c r="L31" s="206">
        <f>575-M31-I31-H31-E31-D31</f>
        <v>246.3</v>
      </c>
      <c r="M31" s="206">
        <f>215-I31-E31</f>
        <v>127</v>
      </c>
      <c r="N31" s="465" t="s">
        <v>1596</v>
      </c>
      <c r="O31" s="208">
        <f t="shared" si="2"/>
        <v>575</v>
      </c>
      <c r="P31" s="209">
        <v>295</v>
      </c>
      <c r="Q31" s="210"/>
      <c r="S31" s="217" t="s">
        <v>1606</v>
      </c>
      <c r="T31" s="218"/>
      <c r="U31" s="219"/>
      <c r="V31" s="219"/>
      <c r="W31" s="219"/>
    </row>
    <row r="32" spans="2:23" s="14" customFormat="1" ht="16" customHeight="1">
      <c r="B32" s="19" t="s">
        <v>461</v>
      </c>
      <c r="C32" s="19" t="s">
        <v>294</v>
      </c>
      <c r="D32" s="206">
        <f>219.4-E32</f>
        <v>152.80000000000001</v>
      </c>
      <c r="E32" s="206">
        <v>66.599999999999994</v>
      </c>
      <c r="F32" s="207">
        <v>63</v>
      </c>
      <c r="G32" s="465" t="s">
        <v>1596</v>
      </c>
      <c r="H32" s="206">
        <f>490-D32-E32-I32</f>
        <v>110.00000000000003</v>
      </c>
      <c r="I32" s="206">
        <v>160.6</v>
      </c>
      <c r="J32" s="207">
        <v>3</v>
      </c>
      <c r="K32" s="465" t="s">
        <v>1596</v>
      </c>
      <c r="L32" s="206">
        <f>804.2-M32-I32-H32-E32-D32</f>
        <v>97.900000000000063</v>
      </c>
      <c r="M32" s="206">
        <f>443.5-I32-E32</f>
        <v>216.29999999999998</v>
      </c>
      <c r="N32" s="465" t="s">
        <v>1596</v>
      </c>
      <c r="O32" s="208">
        <f t="shared" si="2"/>
        <v>804.2</v>
      </c>
      <c r="P32" s="209">
        <v>465.7</v>
      </c>
      <c r="Q32" s="210"/>
      <c r="S32" s="217" t="s">
        <v>1661</v>
      </c>
      <c r="T32" s="218"/>
      <c r="U32" s="219"/>
      <c r="V32" s="219"/>
      <c r="W32" s="219"/>
    </row>
    <row r="33" spans="2:23" s="14" customFormat="1" ht="16" customHeight="1">
      <c r="B33" s="19" t="s">
        <v>296</v>
      </c>
      <c r="C33" s="19" t="s">
        <v>1557</v>
      </c>
      <c r="D33" s="206">
        <f>121.4-E33</f>
        <v>88.4</v>
      </c>
      <c r="E33" s="206">
        <v>33</v>
      </c>
      <c r="F33" s="207">
        <v>47</v>
      </c>
      <c r="G33" s="465" t="s">
        <v>1596</v>
      </c>
      <c r="H33" s="206">
        <f>651.2-D33-E33-I33</f>
        <v>305.40000000000009</v>
      </c>
      <c r="I33" s="206">
        <v>224.4</v>
      </c>
      <c r="J33" s="207">
        <v>12</v>
      </c>
      <c r="K33" s="465" t="s">
        <v>295</v>
      </c>
      <c r="L33" s="206">
        <f>1355.2-M33-I33-H33-E33-D33</f>
        <v>201.49999999999997</v>
      </c>
      <c r="M33" s="206">
        <f>759.9-I33-E33</f>
        <v>502.5</v>
      </c>
      <c r="N33" s="465" t="s">
        <v>1596</v>
      </c>
      <c r="O33" s="208">
        <f t="shared" si="2"/>
        <v>1355.2</v>
      </c>
      <c r="P33" s="209">
        <v>719.1</v>
      </c>
      <c r="Q33" s="210"/>
      <c r="S33" s="217" t="s">
        <v>1336</v>
      </c>
      <c r="T33" s="218"/>
      <c r="U33" s="219"/>
      <c r="V33" s="219"/>
      <c r="W33" s="219"/>
    </row>
    <row r="34" spans="2:23" s="14" customFormat="1" ht="16" customHeight="1">
      <c r="B34" s="19" t="s">
        <v>1601</v>
      </c>
      <c r="C34" s="19" t="s">
        <v>1558</v>
      </c>
      <c r="D34" s="206">
        <f>466.2-E34</f>
        <v>303.10000000000002</v>
      </c>
      <c r="E34" s="206">
        <v>163.1</v>
      </c>
      <c r="F34" s="207">
        <v>116</v>
      </c>
      <c r="G34" s="465" t="s">
        <v>1564</v>
      </c>
      <c r="H34" s="206">
        <f>892.6-D34-E34-I34</f>
        <v>266.39999999999998</v>
      </c>
      <c r="I34" s="206">
        <v>160</v>
      </c>
      <c r="J34" s="207">
        <v>14</v>
      </c>
      <c r="K34" s="465" t="s">
        <v>1596</v>
      </c>
      <c r="L34" s="206">
        <f>2048.1-M34-I34-H34-E34-D34</f>
        <v>341.30000000000007</v>
      </c>
      <c r="M34" s="206">
        <f>1137.3-I34-E34</f>
        <v>814.19999999999993</v>
      </c>
      <c r="N34" s="465" t="s">
        <v>1564</v>
      </c>
      <c r="O34" s="208">
        <f t="shared" ref="O34" si="3">SUM(D34:E34,H34:I34,L34:M34)</f>
        <v>2048.1</v>
      </c>
      <c r="P34" s="209">
        <v>1114.5</v>
      </c>
      <c r="Q34" s="210"/>
      <c r="S34" s="217" t="s">
        <v>1595</v>
      </c>
      <c r="T34" s="218"/>
      <c r="U34" s="219"/>
      <c r="V34" s="219"/>
      <c r="W34" s="219"/>
    </row>
    <row r="35" spans="2:23" s="14" customFormat="1" ht="16" customHeight="1">
      <c r="B35" s="19" t="s">
        <v>1604</v>
      </c>
      <c r="C35" s="19" t="s">
        <v>175</v>
      </c>
      <c r="D35" s="206">
        <f>145-E35</f>
        <v>107.1</v>
      </c>
      <c r="E35" s="206">
        <v>37.9</v>
      </c>
      <c r="F35" s="207">
        <v>33</v>
      </c>
      <c r="G35" s="465" t="s">
        <v>1564</v>
      </c>
      <c r="H35" s="206">
        <f>865-D35-E35-I35</f>
        <v>347.3</v>
      </c>
      <c r="I35" s="206">
        <v>372.7</v>
      </c>
      <c r="J35" s="207">
        <v>24</v>
      </c>
      <c r="K35" s="465" t="s">
        <v>1596</v>
      </c>
      <c r="L35" s="206">
        <f>3621.6-M35-I35-H35-E35-D35</f>
        <v>1036.0000000000002</v>
      </c>
      <c r="M35" s="206">
        <f>2131.2-I35-E35</f>
        <v>1720.5999999999997</v>
      </c>
      <c r="N35" s="465" t="s">
        <v>1596</v>
      </c>
      <c r="O35" s="208">
        <f t="shared" si="2"/>
        <v>3621.6</v>
      </c>
      <c r="P35" s="209">
        <v>2351.6999999999998</v>
      </c>
      <c r="Q35" s="210"/>
      <c r="S35" s="217"/>
      <c r="T35" s="218"/>
      <c r="U35" s="219"/>
      <c r="V35" s="219"/>
      <c r="W35" s="219"/>
    </row>
    <row r="36" spans="2:23" s="14" customFormat="1" ht="16" customHeight="1">
      <c r="B36" s="19" t="s">
        <v>1607</v>
      </c>
      <c r="C36" s="19" t="s">
        <v>176</v>
      </c>
      <c r="D36" s="206">
        <f>436-E36</f>
        <v>312.39999999999998</v>
      </c>
      <c r="E36" s="206">
        <v>123.6</v>
      </c>
      <c r="F36" s="207">
        <v>98</v>
      </c>
      <c r="G36" s="465" t="s">
        <v>1564</v>
      </c>
      <c r="H36" s="206">
        <f>1637-D36-E36-I36</f>
        <v>644.20000000000005</v>
      </c>
      <c r="I36" s="206">
        <v>556.79999999999995</v>
      </c>
      <c r="J36" s="207">
        <v>19</v>
      </c>
      <c r="K36" s="465" t="s">
        <v>1596</v>
      </c>
      <c r="L36" s="206">
        <f>4236.4-M36-I36-H36-E36-D36</f>
        <v>1556.8999999999996</v>
      </c>
      <c r="M36" s="206">
        <f>1722.9-I36-E36</f>
        <v>1042.5000000000002</v>
      </c>
      <c r="N36" s="465" t="s">
        <v>1596</v>
      </c>
      <c r="O36" s="208">
        <f t="shared" si="2"/>
        <v>4236.3999999999996</v>
      </c>
      <c r="P36" s="209">
        <v>2614</v>
      </c>
      <c r="Q36" s="210"/>
      <c r="S36" s="217"/>
      <c r="T36" s="218"/>
      <c r="U36" s="219"/>
      <c r="V36" s="219"/>
      <c r="W36" s="219"/>
    </row>
    <row r="37" spans="2:23" s="14" customFormat="1" ht="16" customHeight="1">
      <c r="B37" s="19" t="s">
        <v>1028</v>
      </c>
      <c r="C37" s="19" t="s">
        <v>177</v>
      </c>
      <c r="D37" s="206">
        <f>1031-E37</f>
        <v>686.3</v>
      </c>
      <c r="E37" s="206">
        <v>344.7</v>
      </c>
      <c r="F37" s="207">
        <v>136</v>
      </c>
      <c r="G37" s="465" t="s">
        <v>295</v>
      </c>
      <c r="H37" s="206">
        <f>2165-D37-E37-I37</f>
        <v>481</v>
      </c>
      <c r="I37" s="206">
        <v>653</v>
      </c>
      <c r="J37" s="207">
        <v>14</v>
      </c>
      <c r="K37" s="465" t="s">
        <v>295</v>
      </c>
      <c r="L37" s="206">
        <f>3372.2-M37-I37-H37-E37-D37</f>
        <v>576.19999999999982</v>
      </c>
      <c r="M37" s="206">
        <f>1628.7-I37-E37</f>
        <v>631</v>
      </c>
      <c r="N37" s="465" t="s">
        <v>295</v>
      </c>
      <c r="O37" s="208">
        <f t="shared" si="2"/>
        <v>3372.2</v>
      </c>
      <c r="P37" s="209">
        <v>2392.8000000000002</v>
      </c>
      <c r="Q37" s="210"/>
      <c r="S37" s="217"/>
      <c r="T37" s="218"/>
      <c r="U37" s="219"/>
      <c r="V37" s="219"/>
      <c r="W37" s="219"/>
    </row>
    <row r="38" spans="2:23" s="14" customFormat="1" ht="15">
      <c r="B38" s="19" t="s">
        <v>300</v>
      </c>
      <c r="C38" s="19" t="s">
        <v>1567</v>
      </c>
      <c r="D38" s="206"/>
      <c r="E38" s="206"/>
      <c r="F38" s="207"/>
      <c r="G38" s="207"/>
      <c r="H38" s="206">
        <f>486-D38-E38-I38</f>
        <v>337</v>
      </c>
      <c r="I38" s="206">
        <v>149</v>
      </c>
      <c r="J38" s="207">
        <v>12</v>
      </c>
      <c r="K38" s="465" t="s">
        <v>1596</v>
      </c>
      <c r="L38" s="206">
        <f>1135.4-M38-I38-H38-E38-D38</f>
        <v>317.40000000000009</v>
      </c>
      <c r="M38" s="206">
        <f>481-I38-E38</f>
        <v>332</v>
      </c>
      <c r="N38" s="465" t="s">
        <v>1596</v>
      </c>
      <c r="O38" s="208">
        <f t="shared" si="2"/>
        <v>1135.4000000000001</v>
      </c>
      <c r="P38" s="209">
        <v>546.20000000000005</v>
      </c>
      <c r="Q38" s="210"/>
      <c r="S38" s="217"/>
      <c r="T38" s="218"/>
      <c r="U38" s="219"/>
      <c r="V38" s="219"/>
      <c r="W38" s="219"/>
    </row>
    <row r="39" spans="2:23" s="10" customFormat="1" ht="17">
      <c r="B39" s="19" t="s">
        <v>1040</v>
      </c>
      <c r="C39" s="19" t="s">
        <v>294</v>
      </c>
      <c r="D39" s="206">
        <f>140.7-E39</f>
        <v>86.699999999999989</v>
      </c>
      <c r="E39" s="206">
        <v>54</v>
      </c>
      <c r="F39" s="207">
        <f>4617-4578</f>
        <v>39</v>
      </c>
      <c r="G39" s="465" t="s">
        <v>1564</v>
      </c>
      <c r="H39" s="206">
        <f>720-D39-E39-I39</f>
        <v>472.59999999999997</v>
      </c>
      <c r="I39" s="206">
        <v>106.7</v>
      </c>
      <c r="J39" s="207">
        <v>20</v>
      </c>
      <c r="K39" s="465" t="s">
        <v>1596</v>
      </c>
      <c r="L39" s="206">
        <f>1067.6-M39-I39-H39-E39-D39</f>
        <v>216.09999999999991</v>
      </c>
      <c r="M39" s="206">
        <f>292.2-I39-E39</f>
        <v>131.5</v>
      </c>
      <c r="N39" s="465" t="s">
        <v>1596</v>
      </c>
      <c r="O39" s="208">
        <f t="shared" si="2"/>
        <v>1067.5999999999999</v>
      </c>
      <c r="P39" s="209">
        <v>627.70000000000005</v>
      </c>
      <c r="Q39" s="210"/>
      <c r="S39" s="217"/>
      <c r="T39" s="218"/>
      <c r="U39" s="219"/>
      <c r="V39" s="226"/>
      <c r="W39" s="226"/>
    </row>
    <row r="40" spans="2:23" s="10" customFormat="1">
      <c r="B40" s="12"/>
      <c r="C40" s="12"/>
      <c r="D40" s="8"/>
      <c r="E40" s="8"/>
      <c r="F40" s="8"/>
      <c r="G40" s="9"/>
      <c r="H40" s="9"/>
      <c r="I40" s="9"/>
      <c r="J40" s="9"/>
      <c r="K40" s="9"/>
      <c r="L40" s="8"/>
      <c r="M40" s="8"/>
      <c r="N40" s="9"/>
      <c r="O40" s="11"/>
      <c r="P40" s="11"/>
      <c r="S40" s="217"/>
      <c r="T40" s="218"/>
      <c r="U40" s="226"/>
      <c r="V40" s="219"/>
      <c r="W40" s="219"/>
    </row>
    <row r="41" spans="2:23" s="10" customFormat="1">
      <c r="B41" s="12"/>
      <c r="C41" s="12"/>
      <c r="D41" s="8"/>
      <c r="E41" s="8"/>
      <c r="F41" s="8"/>
      <c r="G41" s="9"/>
      <c r="H41" s="9"/>
      <c r="I41" s="162"/>
      <c r="J41" s="1018"/>
      <c r="K41" s="1018"/>
      <c r="L41" s="8"/>
      <c r="M41" s="8"/>
      <c r="N41" s="9"/>
      <c r="O41" s="11"/>
      <c r="P41" s="11"/>
      <c r="S41" s="220" t="s">
        <v>1674</v>
      </c>
      <c r="T41" s="221"/>
      <c r="U41" s="222"/>
      <c r="V41" s="222"/>
      <c r="W41" s="222"/>
    </row>
    <row r="42" spans="2:23" s="10" customFormat="1" ht="17">
      <c r="B42" s="12"/>
      <c r="C42" s="12"/>
      <c r="D42" s="8"/>
      <c r="E42" s="8"/>
      <c r="F42" s="8"/>
      <c r="G42" s="9"/>
      <c r="H42" s="9"/>
      <c r="I42" s="9"/>
      <c r="J42" s="9"/>
      <c r="K42" s="9"/>
      <c r="L42" s="8"/>
      <c r="M42" s="8"/>
      <c r="N42" s="9"/>
      <c r="O42" s="11"/>
      <c r="P42" s="11"/>
      <c r="S42" s="223" t="s">
        <v>130</v>
      </c>
      <c r="T42" s="224"/>
      <c r="U42" s="225">
        <f>SUM(U19:U41)</f>
        <v>0</v>
      </c>
      <c r="V42" s="225"/>
      <c r="W42" s="225"/>
    </row>
    <row r="43" spans="2:23" s="10" customFormat="1">
      <c r="B43" s="12"/>
      <c r="C43" s="12"/>
      <c r="D43" s="8"/>
      <c r="E43" s="8"/>
      <c r="F43" s="8"/>
      <c r="G43" s="9"/>
      <c r="H43" s="9"/>
      <c r="I43" s="9"/>
      <c r="J43" s="9"/>
      <c r="K43" s="9"/>
      <c r="L43" s="8"/>
      <c r="M43" s="8"/>
      <c r="N43" s="9"/>
      <c r="O43" s="11"/>
      <c r="P43" s="11"/>
      <c r="S43" s="110"/>
      <c r="T43" s="110"/>
    </row>
    <row r="44" spans="2:23" s="10" customFormat="1">
      <c r="B44" s="12"/>
      <c r="C44" s="12"/>
      <c r="D44" s="8"/>
      <c r="E44" s="8"/>
      <c r="F44" s="8"/>
      <c r="G44" s="9"/>
      <c r="H44" s="9"/>
      <c r="I44" s="9"/>
      <c r="J44" s="9"/>
      <c r="K44" s="9"/>
      <c r="L44" s="8"/>
      <c r="M44" s="8"/>
      <c r="N44" s="9"/>
      <c r="O44" s="11"/>
      <c r="P44" s="11"/>
      <c r="S44" s="110"/>
      <c r="T44" s="110"/>
    </row>
    <row r="45" spans="2:23" s="10" customFormat="1">
      <c r="B45" s="12"/>
      <c r="C45" s="12"/>
      <c r="D45" s="8"/>
      <c r="E45" s="8"/>
      <c r="F45" s="8"/>
      <c r="G45" s="9"/>
      <c r="H45" s="9"/>
      <c r="I45" s="9"/>
      <c r="J45" s="9"/>
      <c r="K45" s="9"/>
      <c r="L45" s="8"/>
      <c r="M45" s="8"/>
      <c r="N45" s="9"/>
      <c r="O45" s="11"/>
      <c r="P45" s="11"/>
      <c r="S45" s="110"/>
      <c r="T45" s="110"/>
    </row>
    <row r="46" spans="2:23" s="10" customFormat="1">
      <c r="B46" s="12"/>
      <c r="C46" s="12"/>
      <c r="D46" s="8"/>
      <c r="E46" s="8"/>
      <c r="F46" s="8"/>
      <c r="G46" s="9"/>
      <c r="H46" s="9"/>
      <c r="I46" s="9"/>
      <c r="J46" s="9"/>
      <c r="K46" s="9"/>
      <c r="L46" s="8"/>
      <c r="M46" s="8"/>
      <c r="N46" s="9"/>
      <c r="O46" s="11"/>
      <c r="P46" s="11"/>
      <c r="S46" s="110"/>
      <c r="T46" s="110"/>
    </row>
    <row r="47" spans="2:23" s="10" customFormat="1">
      <c r="B47" s="12"/>
      <c r="C47" s="12"/>
      <c r="D47" s="8"/>
      <c r="E47" s="8"/>
      <c r="F47" s="8"/>
      <c r="G47" s="9"/>
      <c r="H47" s="9"/>
      <c r="I47" s="9"/>
      <c r="J47" s="9"/>
      <c r="K47" s="9"/>
      <c r="L47" s="8"/>
      <c r="M47" s="8"/>
      <c r="N47" s="9"/>
      <c r="O47" s="11"/>
      <c r="P47" s="11"/>
      <c r="S47" s="110"/>
      <c r="T47" s="110"/>
    </row>
    <row r="48" spans="2:23" s="10" customFormat="1">
      <c r="B48" s="12"/>
      <c r="C48" s="12"/>
      <c r="D48" s="8"/>
      <c r="E48" s="8"/>
      <c r="F48" s="8"/>
      <c r="G48" s="9"/>
      <c r="H48" s="9"/>
      <c r="I48" s="9"/>
      <c r="J48" s="9"/>
      <c r="K48" s="9"/>
      <c r="L48" s="8"/>
      <c r="M48" s="8"/>
      <c r="N48" s="9"/>
      <c r="O48" s="11"/>
      <c r="P48" s="11"/>
      <c r="S48" s="110"/>
      <c r="T48" s="110"/>
    </row>
    <row r="49" spans="2:20" s="10" customFormat="1">
      <c r="B49" s="12"/>
      <c r="C49" s="12"/>
      <c r="D49" s="8"/>
      <c r="E49" s="8"/>
      <c r="F49" s="8"/>
      <c r="G49" s="9"/>
      <c r="H49" s="9"/>
      <c r="I49" s="9"/>
      <c r="J49" s="9"/>
      <c r="K49" s="9"/>
      <c r="L49" s="8"/>
      <c r="M49" s="8"/>
      <c r="N49" s="9"/>
      <c r="O49" s="11"/>
      <c r="P49" s="11"/>
      <c r="S49" s="110"/>
      <c r="T49" s="110"/>
    </row>
    <row r="50" spans="2:20" s="10" customFormat="1">
      <c r="B50" s="12"/>
      <c r="C50" s="12"/>
      <c r="D50" s="8"/>
      <c r="E50" s="8"/>
      <c r="F50" s="8"/>
      <c r="G50" s="9"/>
      <c r="H50" s="9"/>
      <c r="I50" s="9"/>
      <c r="J50" s="9"/>
      <c r="K50" s="9"/>
      <c r="L50" s="8"/>
      <c r="M50" s="8"/>
      <c r="N50" s="9"/>
      <c r="O50" s="11"/>
      <c r="P50" s="11"/>
      <c r="S50" s="110"/>
      <c r="T50" s="110"/>
    </row>
    <row r="51" spans="2:20" s="10" customFormat="1">
      <c r="B51" s="12"/>
      <c r="C51" s="12"/>
      <c r="D51" s="8"/>
      <c r="E51" s="8"/>
      <c r="F51" s="8"/>
      <c r="G51" s="9"/>
      <c r="H51" s="9"/>
      <c r="I51" s="9"/>
      <c r="J51" s="9"/>
      <c r="K51" s="9"/>
      <c r="L51" s="8"/>
      <c r="M51" s="8"/>
      <c r="N51" s="9"/>
      <c r="O51" s="11"/>
      <c r="P51" s="11"/>
      <c r="S51" s="110"/>
      <c r="T51" s="110"/>
    </row>
    <row r="52" spans="2:20" s="10" customFormat="1">
      <c r="B52" s="12"/>
      <c r="C52" s="12"/>
      <c r="D52" s="8"/>
      <c r="E52" s="8"/>
      <c r="F52" s="8"/>
      <c r="G52" s="9"/>
      <c r="H52" s="9"/>
      <c r="I52" s="9"/>
      <c r="J52" s="9"/>
      <c r="K52" s="9"/>
      <c r="L52" s="8"/>
      <c r="M52" s="8"/>
      <c r="N52" s="9"/>
      <c r="O52" s="11"/>
      <c r="P52" s="11"/>
      <c r="S52" s="110"/>
      <c r="T52" s="110"/>
    </row>
    <row r="53" spans="2:20" s="10" customFormat="1">
      <c r="B53" s="12"/>
      <c r="C53" s="12"/>
      <c r="D53" s="8"/>
      <c r="E53" s="8"/>
      <c r="F53" s="8"/>
      <c r="G53" s="9"/>
      <c r="H53" s="9"/>
      <c r="I53" s="9"/>
      <c r="J53" s="9"/>
      <c r="K53" s="9"/>
      <c r="L53" s="8"/>
      <c r="M53" s="8"/>
      <c r="N53" s="9"/>
      <c r="O53" s="11"/>
      <c r="P53" s="11"/>
      <c r="S53" s="110"/>
      <c r="T53" s="110"/>
    </row>
    <row r="54" spans="2:20" s="10" customFormat="1">
      <c r="B54" s="12"/>
      <c r="C54" s="12"/>
      <c r="D54" s="8"/>
      <c r="E54" s="8"/>
      <c r="F54" s="8"/>
      <c r="G54" s="9"/>
      <c r="H54" s="9"/>
      <c r="I54" s="9"/>
      <c r="J54" s="9"/>
      <c r="K54" s="9"/>
      <c r="L54" s="8"/>
      <c r="M54" s="8"/>
      <c r="N54" s="9"/>
      <c r="O54" s="11"/>
      <c r="P54" s="11"/>
      <c r="S54" s="110"/>
      <c r="T54" s="110"/>
    </row>
    <row r="55" spans="2:20" s="10" customFormat="1">
      <c r="B55" s="12"/>
      <c r="C55" s="12"/>
      <c r="D55" s="8"/>
      <c r="E55" s="8"/>
      <c r="F55" s="8"/>
      <c r="G55" s="9"/>
      <c r="H55" s="9"/>
      <c r="I55" s="9"/>
      <c r="J55" s="9"/>
      <c r="K55" s="9"/>
      <c r="L55" s="8"/>
      <c r="M55" s="8"/>
      <c r="N55" s="9"/>
      <c r="O55" s="11"/>
      <c r="P55" s="11"/>
      <c r="S55" s="110"/>
      <c r="T55" s="110"/>
    </row>
    <row r="56" spans="2:20" s="10" customFormat="1">
      <c r="B56" s="12"/>
      <c r="C56" s="12"/>
      <c r="D56" s="8"/>
      <c r="E56" s="8"/>
      <c r="F56" s="8"/>
      <c r="G56" s="9"/>
      <c r="H56" s="9"/>
      <c r="I56" s="9"/>
      <c r="J56" s="9"/>
      <c r="K56" s="9"/>
      <c r="L56" s="8"/>
      <c r="M56" s="8"/>
      <c r="N56" s="9"/>
      <c r="O56" s="11"/>
      <c r="P56" s="11"/>
      <c r="S56" s="110"/>
      <c r="T56" s="110"/>
    </row>
    <row r="57" spans="2:20" s="10" customFormat="1">
      <c r="B57" s="12"/>
      <c r="C57" s="12"/>
      <c r="D57" s="8"/>
      <c r="E57" s="8"/>
      <c r="F57" s="8"/>
      <c r="G57" s="9"/>
      <c r="H57" s="9"/>
      <c r="I57" s="9"/>
      <c r="J57" s="9"/>
      <c r="K57" s="9"/>
      <c r="L57" s="8"/>
      <c r="M57" s="8"/>
      <c r="N57" s="9"/>
      <c r="O57" s="11"/>
      <c r="P57" s="11"/>
      <c r="S57" s="110"/>
      <c r="T57" s="110"/>
    </row>
    <row r="58" spans="2:20" s="10" customFormat="1">
      <c r="B58" s="12"/>
      <c r="C58" s="12"/>
      <c r="D58" s="8"/>
      <c r="E58" s="8"/>
      <c r="F58" s="8"/>
      <c r="G58" s="9"/>
      <c r="H58" s="9"/>
      <c r="I58" s="9"/>
      <c r="J58" s="9"/>
      <c r="K58" s="9"/>
      <c r="L58" s="8"/>
      <c r="M58" s="8"/>
      <c r="N58" s="9"/>
      <c r="O58" s="11"/>
      <c r="P58" s="11"/>
      <c r="S58" s="110"/>
      <c r="T58" s="110"/>
    </row>
    <row r="59" spans="2:20" s="10" customFormat="1">
      <c r="B59" s="12"/>
      <c r="C59" s="12"/>
      <c r="D59" s="8"/>
      <c r="E59" s="8"/>
      <c r="F59" s="8"/>
      <c r="G59" s="9"/>
      <c r="H59" s="9"/>
      <c r="I59" s="9"/>
      <c r="J59" s="9"/>
      <c r="K59" s="9"/>
      <c r="L59" s="8"/>
      <c r="M59" s="8"/>
      <c r="N59" s="9"/>
      <c r="O59" s="11"/>
      <c r="P59" s="11"/>
      <c r="S59" s="110"/>
      <c r="T59" s="110"/>
    </row>
    <row r="60" spans="2:20" s="10" customFormat="1">
      <c r="B60" s="12"/>
      <c r="C60" s="12"/>
      <c r="D60" s="8"/>
      <c r="E60" s="8"/>
      <c r="F60" s="8"/>
      <c r="G60" s="9"/>
      <c r="H60" s="9"/>
      <c r="I60" s="9"/>
      <c r="J60" s="9"/>
      <c r="K60" s="9"/>
      <c r="L60" s="8"/>
      <c r="M60" s="8"/>
      <c r="N60" s="9"/>
      <c r="O60" s="11"/>
      <c r="P60" s="11"/>
      <c r="S60" s="110"/>
      <c r="T60" s="110"/>
    </row>
    <row r="61" spans="2:20" s="10" customFormat="1">
      <c r="B61" s="12"/>
      <c r="C61" s="12"/>
      <c r="D61" s="8"/>
      <c r="E61" s="8"/>
      <c r="F61" s="8"/>
      <c r="G61" s="9"/>
      <c r="H61" s="9"/>
      <c r="I61" s="9"/>
      <c r="J61" s="9"/>
      <c r="K61" s="9"/>
      <c r="L61" s="8"/>
      <c r="M61" s="8"/>
      <c r="N61" s="9"/>
      <c r="O61" s="11"/>
      <c r="P61" s="11"/>
      <c r="S61" s="110"/>
      <c r="T61" s="110"/>
    </row>
    <row r="62" spans="2:20" s="10" customFormat="1">
      <c r="B62" s="12"/>
      <c r="C62" s="12"/>
      <c r="D62" s="8"/>
      <c r="E62" s="8"/>
      <c r="F62" s="8"/>
      <c r="G62" s="9"/>
      <c r="H62" s="9"/>
      <c r="I62" s="9"/>
      <c r="J62" s="9"/>
      <c r="K62" s="9"/>
      <c r="L62" s="8"/>
      <c r="M62" s="8"/>
      <c r="N62" s="9"/>
      <c r="O62" s="11"/>
      <c r="P62" s="11"/>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sheetData>
  <mergeCells count="20">
    <mergeCell ref="B2:E2"/>
    <mergeCell ref="G2:H2"/>
    <mergeCell ref="I2:M2"/>
    <mergeCell ref="N2:O2"/>
    <mergeCell ref="G5:H5"/>
    <mergeCell ref="I5:M5"/>
    <mergeCell ref="N5:O5"/>
    <mergeCell ref="G3:H3"/>
    <mergeCell ref="I3:M3"/>
    <mergeCell ref="N3:O3"/>
    <mergeCell ref="G4:H4"/>
    <mergeCell ref="I4:M4"/>
    <mergeCell ref="J41:K41"/>
    <mergeCell ref="N4:O4"/>
    <mergeCell ref="S17:T17"/>
    <mergeCell ref="S7:S8"/>
    <mergeCell ref="B9:C9"/>
    <mergeCell ref="G6:H6"/>
    <mergeCell ref="I6:M6"/>
    <mergeCell ref="N6:O6"/>
  </mergeCells>
  <phoneticPr fontId="8" type="noConversion"/>
  <pageMargins left="0.7" right="0.7" top="0.75" bottom="0.75" header="0.3" footer="0.3"/>
  <pageSetup paperSize="9" orientation="portrait" horizontalDpi="0" verticalDpi="0"/>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E740-73EB-4845-A060-64543B862175}">
  <dimension ref="A1:AP379"/>
  <sheetViews>
    <sheetView zoomScale="125" zoomScaleNormal="110" workbookViewId="0">
      <pane ySplit="7" topLeftCell="A41" activePane="bottomLeft" state="frozen"/>
      <selection activeCell="A3" sqref="A1:XFD1048576"/>
      <selection pane="bottomLeft" activeCell="M16" sqref="M16"/>
    </sheetView>
  </sheetViews>
  <sheetFormatPr baseColWidth="10" defaultColWidth="10.83203125" defaultRowHeight="16"/>
  <cols>
    <col min="1" max="1" width="1.5" style="10" customWidth="1"/>
    <col min="2" max="3" width="5.6640625" style="2" customWidth="1"/>
    <col min="4" max="4" width="11.1640625" style="5" bestFit="1" customWidth="1"/>
    <col min="5" max="5" width="10.83203125" style="5"/>
    <col min="6" max="6" width="4.5" style="5" customWidth="1"/>
    <col min="7" max="7" width="4.33203125" style="3" customWidth="1"/>
    <col min="8"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48" style="1" customWidth="1"/>
    <col min="18" max="18" width="3.1640625" style="10" customWidth="1"/>
    <col min="19" max="19" width="12.6640625" style="110" customWidth="1"/>
    <col min="20" max="20" width="10.83203125" style="110"/>
    <col min="21" max="23" width="11.83203125" style="10" bestFit="1" customWidth="1"/>
    <col min="24"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SUM(O10:O40)</f>
        <v>82941.889999999985</v>
      </c>
      <c r="H2" s="1015"/>
      <c r="I2" s="1007" t="s">
        <v>1543</v>
      </c>
      <c r="J2" s="1008"/>
      <c r="K2" s="1008"/>
      <c r="L2" s="1008"/>
      <c r="M2" s="1009"/>
      <c r="N2" s="1014">
        <f>SUM(D10:E40)/(G5-5)</f>
        <v>372.21400000000017</v>
      </c>
      <c r="O2" s="1015"/>
      <c r="P2" s="145" t="s">
        <v>284</v>
      </c>
      <c r="Q2" s="146">
        <f>SUM(P10:P40)-SUM(M10:M40)-SUM(I10:I40)-SUM(E10:E40)-Q3+SET!Q2</f>
        <v>130163.35</v>
      </c>
      <c r="S2" s="108"/>
      <c r="T2" s="109"/>
    </row>
    <row r="3" spans="1:42" s="22" customFormat="1" ht="20" customHeight="1">
      <c r="B3" s="148" t="s">
        <v>285</v>
      </c>
      <c r="C3" s="149"/>
      <c r="D3" s="149"/>
      <c r="E3" s="149"/>
      <c r="F3" s="150"/>
      <c r="G3" s="1014">
        <f>SUM(P10:P40)</f>
        <v>54187.3</v>
      </c>
      <c r="H3" s="1015"/>
      <c r="I3" s="1007" t="s">
        <v>1544</v>
      </c>
      <c r="J3" s="1008"/>
      <c r="K3" s="1008"/>
      <c r="L3" s="1008"/>
      <c r="M3" s="1009"/>
      <c r="N3" s="1014">
        <f>SUM(H10:I40)/G5</f>
        <v>610.31499999999994</v>
      </c>
      <c r="O3" s="1015"/>
      <c r="P3" s="145" t="s">
        <v>1545</v>
      </c>
      <c r="Q3" s="146">
        <f>SUMIFS(BANCA!$E:$E,BANCA!$B:$B,"&gt;=01/08/2023",BANCA!$B:$B,"&lt;=31/08/2023",BANCA!$D:$D,"Versamento contanti")</f>
        <v>0</v>
      </c>
      <c r="S3" s="108"/>
      <c r="T3" s="109"/>
    </row>
    <row r="4" spans="1:42" s="22" customFormat="1" ht="20" customHeight="1">
      <c r="B4" s="148" t="s">
        <v>287</v>
      </c>
      <c r="C4" s="149"/>
      <c r="D4" s="149"/>
      <c r="E4" s="149"/>
      <c r="F4" s="150"/>
      <c r="G4" s="1016">
        <f>G3/G2</f>
        <v>0.65331643636285608</v>
      </c>
      <c r="H4" s="1017"/>
      <c r="I4" s="1007" t="s">
        <v>1546</v>
      </c>
      <c r="J4" s="1008"/>
      <c r="K4" s="1008"/>
      <c r="L4" s="1008"/>
      <c r="M4" s="1009"/>
      <c r="N4" s="1014">
        <f>SUM(L10:M40)/G5</f>
        <v>1844.2363333333333</v>
      </c>
      <c r="O4" s="1015"/>
      <c r="P4" s="23"/>
      <c r="S4" s="108"/>
      <c r="T4" s="109"/>
    </row>
    <row r="5" spans="1:42" s="22" customFormat="1" ht="20" customHeight="1">
      <c r="B5" s="148" t="s">
        <v>288</v>
      </c>
      <c r="C5" s="149"/>
      <c r="D5" s="149"/>
      <c r="E5" s="149"/>
      <c r="F5" s="150"/>
      <c r="G5" s="1005">
        <f>COUNTA(O10:O40)</f>
        <v>30</v>
      </c>
      <c r="H5" s="1006"/>
      <c r="I5" s="1007" t="s">
        <v>290</v>
      </c>
      <c r="J5" s="1008"/>
      <c r="K5" s="1008"/>
      <c r="L5" s="1008"/>
      <c r="M5" s="1009"/>
      <c r="N5" s="1014">
        <f>SUM(E10:E40,M10:M40,I10:I40)</f>
        <v>45751.450000000019</v>
      </c>
      <c r="O5" s="1017"/>
      <c r="P5" s="23"/>
      <c r="S5" s="108"/>
      <c r="T5" s="109"/>
    </row>
    <row r="6" spans="1:42" s="22" customFormat="1" ht="20" customHeight="1">
      <c r="B6" s="151" t="s">
        <v>289</v>
      </c>
      <c r="C6" s="152"/>
      <c r="D6" s="152"/>
      <c r="E6" s="152"/>
      <c r="F6" s="153"/>
      <c r="G6" s="1014">
        <f>G2/G5</f>
        <v>2764.7296666666662</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1557</v>
      </c>
      <c r="D10" s="206">
        <f>326-E10</f>
        <v>168.7</v>
      </c>
      <c r="E10" s="206">
        <v>157.30000000000001</v>
      </c>
      <c r="F10" s="207">
        <v>53</v>
      </c>
      <c r="G10" s="465" t="s">
        <v>295</v>
      </c>
      <c r="H10" s="206">
        <f>944-D10-E10-I10</f>
        <v>310.7</v>
      </c>
      <c r="I10" s="206">
        <v>307.3</v>
      </c>
      <c r="J10" s="207">
        <v>13</v>
      </c>
      <c r="K10" s="465" t="s">
        <v>295</v>
      </c>
      <c r="L10" s="206">
        <f>1631.4-M10-I10-H10-E10-D10</f>
        <v>568.40000000000009</v>
      </c>
      <c r="M10" s="206">
        <f>583.6-I10-E10</f>
        <v>119</v>
      </c>
      <c r="N10" s="465" t="s">
        <v>295</v>
      </c>
      <c r="O10" s="208">
        <f t="shared" ref="O10:O40" si="0">SUM(D10:E10,H10:I10,L10:M10)</f>
        <v>1631.4</v>
      </c>
      <c r="P10" s="209">
        <v>797.8</v>
      </c>
      <c r="Q10" s="210" t="s">
        <v>2089</v>
      </c>
      <c r="S10" s="157" t="s">
        <v>1567</v>
      </c>
      <c r="T10" s="156"/>
      <c r="U10" s="156">
        <f>(SUMIF($C$10:$C$39,S10,$H$10:$H$39)+SUMIF($C$10:$C$39,S10,$I$10:$I$39)+SUMIF($C$10:$C$39,S10,$L$10:$L$39)+SUMIF($C$10:$C$39,S10,$M$10:$M$39))/(COUNTIF($C$10:$C$39,S10)-1)</f>
        <v>878.76666666666677</v>
      </c>
      <c r="V10" s="156">
        <f>(SUMIF($C$10:$C$39,S10,$H$10:$H$39)+SUMIF($C$10:$C$39,S10,$I$10:$I$39))/(COUNTIF($C$10:$C$39,S10)-1)</f>
        <v>500.43333333333334</v>
      </c>
      <c r="W10" s="156">
        <f>(SUMIF($C$10:$C$39,S10,$L$10:$L$39)+SUMIF($C$10:$C$39,S10,$M$10:$M$39))/(COUNTIF($C$10:$C$39,S10)-1)</f>
        <v>378.33333333333331</v>
      </c>
    </row>
    <row r="11" spans="1:42" s="14" customFormat="1" ht="16" customHeight="1">
      <c r="B11" s="19" t="s">
        <v>23</v>
      </c>
      <c r="C11" s="19" t="s">
        <v>1558</v>
      </c>
      <c r="D11" s="206">
        <f>232-E11</f>
        <v>165.6</v>
      </c>
      <c r="E11" s="206">
        <v>66.400000000000006</v>
      </c>
      <c r="F11" s="207">
        <v>76</v>
      </c>
      <c r="G11" s="465" t="s">
        <v>295</v>
      </c>
      <c r="H11" s="206">
        <f>956-D11-E11-I11</f>
        <v>343.5</v>
      </c>
      <c r="I11" s="206">
        <v>380.5</v>
      </c>
      <c r="J11" s="207">
        <v>16</v>
      </c>
      <c r="K11" s="465" t="s">
        <v>295</v>
      </c>
      <c r="L11" s="206">
        <f>1621.8-M11-I11-H11-E11-D11</f>
        <v>549.70000000000005</v>
      </c>
      <c r="M11" s="206">
        <f>563-I11-E11</f>
        <v>116.1</v>
      </c>
      <c r="N11" s="465" t="s">
        <v>295</v>
      </c>
      <c r="O11" s="208">
        <f t="shared" si="0"/>
        <v>1621.8</v>
      </c>
      <c r="P11" s="209">
        <v>793.6</v>
      </c>
      <c r="Q11" s="210" t="s">
        <v>2089</v>
      </c>
      <c r="S11" s="157" t="s">
        <v>294</v>
      </c>
      <c r="T11" s="156">
        <f>(SUMIF($C$10:$C$39,S11,$D$10:$D$39)+SUMIF($C$10:$C$39,S11,$E$10:$E$39))/(COUNTIF($C$10:$C$39,S11)-1)</f>
        <v>273.23333333333335</v>
      </c>
      <c r="U11" s="156">
        <f>(SUMIF($C$10:$C$39,S11,$H$10:$H$39)+SUMIF($C$10:$C$39,S11,$I$10:$I$39)+SUMIF($C$10:$C$39,S11,$L$10:$L$39)+SUMIF($C$10:$C$39,S11,$M$10:$M$39))/COUNTIF($C$10:$C$39,S11)</f>
        <v>830.84999999999991</v>
      </c>
      <c r="V11" s="156">
        <f>(SUMIF($C$10:$C$39,S11,$H$10:$H$39)+SUMIF($C$10:$C$39,S11,$I$10:$I$39))/COUNTIF($C$10:$C$39,S11)</f>
        <v>340.65</v>
      </c>
      <c r="W11" s="156">
        <f>(SUMIF($C$10:$C$39,S11,$L$10:$L$39)+SUMIF($C$10:$C$39,S11,$M$10:$M$39))/COUNTIF($C$10:$C$39,S11)</f>
        <v>490.19999999999993</v>
      </c>
    </row>
    <row r="12" spans="1:42" s="14" customFormat="1" ht="16" customHeight="1">
      <c r="B12" s="19" t="s">
        <v>1559</v>
      </c>
      <c r="C12" s="19" t="s">
        <v>175</v>
      </c>
      <c r="D12" s="206">
        <f>215.05-E12</f>
        <v>168.45000000000002</v>
      </c>
      <c r="E12" s="206">
        <v>46.6</v>
      </c>
      <c r="F12" s="207">
        <v>41</v>
      </c>
      <c r="G12" s="465" t="s">
        <v>295</v>
      </c>
      <c r="H12" s="206">
        <f>871.55-D12-E12-I12</f>
        <v>415.09999999999991</v>
      </c>
      <c r="I12" s="206">
        <v>241.4</v>
      </c>
      <c r="J12" s="207">
        <v>19</v>
      </c>
      <c r="K12" s="465" t="s">
        <v>295</v>
      </c>
      <c r="L12" s="206">
        <f>2996.55-M12-I12-H12-E12-D12</f>
        <v>393.60000000000014</v>
      </c>
      <c r="M12" s="206">
        <f>2019.4-I12-E12</f>
        <v>1731.4</v>
      </c>
      <c r="N12" s="465" t="s">
        <v>295</v>
      </c>
      <c r="O12" s="208">
        <f t="shared" si="0"/>
        <v>2996.55</v>
      </c>
      <c r="P12" s="209">
        <v>2092.4</v>
      </c>
      <c r="Q12" s="210" t="s">
        <v>2112</v>
      </c>
      <c r="S12" s="157" t="s">
        <v>1557</v>
      </c>
      <c r="T12" s="156">
        <f>(SUMIF($C$10:$C$39,S12,$D$10:$D$39)+SUMIF($C$10:$C$39,S12,$E$10:$E$39))/COUNTIF($C$10:$C$39,S12)</f>
        <v>227.2</v>
      </c>
      <c r="U12" s="156">
        <f>(SUMIF($C$10:$C$39,S12,$H$10:$H$39)+SUMIF($C$10:$C$39,S12,$I$10:$I$39)+SUMIF($C$10:$C$39,S12,$L$10:$L$39)+SUMIF($C$10:$C$39,S12,$M$10:$M$39))/COUNTIF($C$10:$C$39,S12)</f>
        <v>1026.8400000000001</v>
      </c>
      <c r="V12" s="156">
        <f>(SUMIF($C$10:$C$39,S12,$H$10:$H$39)+SUMIF($C$10:$C$39,S12,$I$10:$I$39))/COUNTIF($C$10:$C$39,S12)</f>
        <v>426.35999999999996</v>
      </c>
      <c r="W12" s="156">
        <f>(SUMIF($C$10:$C$39,S12,$L$10:$L$39)+SUMIF($C$10:$C$39,S12,$M$10:$M$39))/COUNTIF($C$10:$C$39,S12)</f>
        <v>600.48000000000013</v>
      </c>
    </row>
    <row r="13" spans="1:42" s="14" customFormat="1" ht="16" customHeight="1">
      <c r="B13" s="19" t="s">
        <v>1561</v>
      </c>
      <c r="C13" s="19" t="s">
        <v>176</v>
      </c>
      <c r="D13" s="206">
        <f>400.4-E13</f>
        <v>289.79999999999995</v>
      </c>
      <c r="E13" s="206">
        <v>110.6</v>
      </c>
      <c r="F13" s="207">
        <v>95</v>
      </c>
      <c r="G13" s="465" t="s">
        <v>295</v>
      </c>
      <c r="H13" s="206">
        <f>1080.7-D13-E13-I13</f>
        <v>296.60000000000008</v>
      </c>
      <c r="I13" s="206">
        <v>383.7</v>
      </c>
      <c r="J13" s="207">
        <v>24</v>
      </c>
      <c r="K13" s="465" t="s">
        <v>1564</v>
      </c>
      <c r="L13" s="206">
        <f>4226.8-M13-I13-H13-E13-D13</f>
        <v>729.59999999999957</v>
      </c>
      <c r="M13" s="206">
        <f>2910.8-I13-E13</f>
        <v>2416.5000000000005</v>
      </c>
      <c r="N13" s="465" t="s">
        <v>1596</v>
      </c>
      <c r="O13" s="208">
        <f t="shared" si="0"/>
        <v>4226.8</v>
      </c>
      <c r="P13" s="209">
        <v>2848.5</v>
      </c>
      <c r="Q13" s="430" t="s">
        <v>2110</v>
      </c>
      <c r="S13" s="157" t="s">
        <v>1558</v>
      </c>
      <c r="T13" s="156">
        <f>(SUMIF($C$10:$C$39,S13,$D$10:$D$39)+SUMIF($C$10:$C$39,S13,$E$10:$E$39))/COUNTIF($C$10:$C$39,S13)</f>
        <v>232.12000000000003</v>
      </c>
      <c r="U13" s="156">
        <f>(SUMIF($C$10:$C$39,S13,$H$10:$H$39)+SUMIF($C$10:$C$39,S13,$I$10:$I$39)+SUMIF($C$10:$C$39,S13,$L$10:$L$39)+SUMIF($C$10:$C$39,S13,$M$10:$M$39))/COUNTIF($C$10:$C$39,S13)</f>
        <v>1114.7639999999999</v>
      </c>
      <c r="V13" s="156">
        <f>(SUMIF($C$10:$C$39,S13,$H$10:$H$39)+SUMIF($C$10:$C$39,S13,$I$10:$I$39))/COUNTIF($C$10:$C$39,S13)</f>
        <v>422.4</v>
      </c>
      <c r="W13" s="156">
        <f>(SUMIF($C$10:$C$39,S13,$L$10:$L$39)+SUMIF($C$10:$C$39,S13,$M$10:$M$39))/COUNTIF($C$10:$C$39,S13)</f>
        <v>692.36400000000003</v>
      </c>
    </row>
    <row r="14" spans="1:42" s="14" customFormat="1" ht="16" customHeight="1">
      <c r="B14" s="19" t="s">
        <v>1563</v>
      </c>
      <c r="C14" s="19" t="s">
        <v>177</v>
      </c>
      <c r="D14" s="206">
        <f>659-E14</f>
        <v>455</v>
      </c>
      <c r="E14" s="206">
        <v>204</v>
      </c>
      <c r="F14" s="207">
        <v>107</v>
      </c>
      <c r="G14" s="465" t="s">
        <v>295</v>
      </c>
      <c r="H14" s="206">
        <f>1845-D14-E14-I14</f>
        <v>882.7</v>
      </c>
      <c r="I14" s="206">
        <v>303.3</v>
      </c>
      <c r="J14" s="207">
        <v>11</v>
      </c>
      <c r="K14" s="465" t="s">
        <v>295</v>
      </c>
      <c r="L14" s="206">
        <f>8907.41-M14-I14-H14-E14-D14</f>
        <v>3745.91</v>
      </c>
      <c r="M14" s="206">
        <f>3823.8-I14-E14</f>
        <v>3316.5</v>
      </c>
      <c r="N14" s="673" t="s">
        <v>295</v>
      </c>
      <c r="O14" s="208">
        <f t="shared" si="0"/>
        <v>8907.41</v>
      </c>
      <c r="P14" s="209">
        <v>4934.7</v>
      </c>
      <c r="Q14" s="838" t="s">
        <v>2111</v>
      </c>
      <c r="S14" s="157" t="s">
        <v>175</v>
      </c>
      <c r="T14" s="156">
        <f>(SUMIF($C$10:$C$39,S14,$D$10:$D$39)+SUMIF($C$10:$C$39,S14,$E$10:$E$39))/COUNTIF($C$10:$C$39,S14)</f>
        <v>296.36250000000001</v>
      </c>
      <c r="U14" s="156">
        <f>(SUMIF($C$10:$C$39,S14,$H$10:$H$39)+SUMIF($C$10:$C$39,S14,$I$10:$I$39)+SUMIF($C$10:$C$39,S14,$L$10:$L$39)+SUMIF($C$10:$C$39,S14,$M$10:$M$39))/COUNTIF($C$10:$C$39,S14)</f>
        <v>3923.5749999999998</v>
      </c>
      <c r="V14" s="156">
        <f>(SUMIF($C$10:$C$39,S14,$H$10:$H$39)+SUMIF($C$10:$C$39,S14,$I$10:$I$39))/COUNTIF($C$10:$C$39,S14)</f>
        <v>663.77499999999998</v>
      </c>
      <c r="W14" s="156">
        <f>(SUMIF($C$10:$C$39,S14,$L$10:$L$39)+SUMIF($C$10:$C$39,S14,$M$10:$M$39))/COUNTIF($C$10:$C$39,S14)</f>
        <v>3259.8</v>
      </c>
    </row>
    <row r="15" spans="1:42" s="14" customFormat="1" ht="16" customHeight="1">
      <c r="B15" s="19" t="s">
        <v>1566</v>
      </c>
      <c r="C15" s="19" t="s">
        <v>1567</v>
      </c>
      <c r="D15" s="206"/>
      <c r="E15" s="206"/>
      <c r="F15" s="207"/>
      <c r="G15" s="227"/>
      <c r="H15" s="206">
        <f>655.4-D15-E15-I15</f>
        <v>96.899999999999977</v>
      </c>
      <c r="I15" s="206">
        <v>558.5</v>
      </c>
      <c r="J15" s="207">
        <v>20</v>
      </c>
      <c r="K15" s="465" t="s">
        <v>295</v>
      </c>
      <c r="L15" s="206">
        <f>1231.6-M15-I15-H15-E15-D15</f>
        <v>200.69999999999993</v>
      </c>
      <c r="M15" s="206">
        <f>934-I15-E15</f>
        <v>375.5</v>
      </c>
      <c r="N15" s="465" t="s">
        <v>295</v>
      </c>
      <c r="O15" s="208">
        <f t="shared" si="0"/>
        <v>1231.5999999999999</v>
      </c>
      <c r="P15" s="209">
        <v>1031</v>
      </c>
      <c r="Q15" s="210"/>
      <c r="S15" s="157" t="s">
        <v>176</v>
      </c>
      <c r="T15" s="156">
        <f>(SUMIF($C$10:$C$39,S15,$D$10:$D$39)+SUMIF($C$10:$C$39,S15,$E$10:$E$39))/COUNTIF($C$10:$C$39,S15)</f>
        <v>437.75</v>
      </c>
      <c r="U15" s="156">
        <f>(SUMIF($C$10:$C$39,S15,$H$10:$H$39)+SUMIF($C$10:$C$39,S15,$I$10:$I$39)+SUMIF($C$10:$C$39,S15,$L$10:$L$39)+SUMIF($C$10:$C$39,S15,$M$10:$M$39))/COUNTIF($C$10:$C$39,S15)</f>
        <v>4565.0249999999996</v>
      </c>
      <c r="V15" s="156">
        <f>(SUMIF($C$10:$C$39,S15,$H$10:$H$39)+SUMIF($C$10:$C$39,S15,$I$10:$I$39))/COUNTIF($C$10:$C$39,S15)</f>
        <v>1114.7750000000001</v>
      </c>
      <c r="W15" s="156">
        <f>(SUMIF($C$10:$C$39,S15,$L$10:$L$39)+SUMIF($C$10:$C$39,S15,$M$10:$M$39))/COUNTIF($C$10:$C$39,S15)</f>
        <v>3450.25</v>
      </c>
    </row>
    <row r="16" spans="1:42" s="14" customFormat="1" ht="16" customHeight="1">
      <c r="B16" s="19" t="s">
        <v>1569</v>
      </c>
      <c r="C16" s="19" t="s">
        <v>294</v>
      </c>
      <c r="D16" s="206">
        <f>331.9-E16</f>
        <v>222.09999999999997</v>
      </c>
      <c r="E16" s="206">
        <v>109.8</v>
      </c>
      <c r="F16" s="207">
        <v>63</v>
      </c>
      <c r="G16" s="465" t="s">
        <v>295</v>
      </c>
      <c r="H16" s="206">
        <f>603-D16-E16-I16</f>
        <v>13.600000000000023</v>
      </c>
      <c r="I16" s="206">
        <v>257.5</v>
      </c>
      <c r="J16" s="207">
        <v>11</v>
      </c>
      <c r="K16" s="465" t="s">
        <v>295</v>
      </c>
      <c r="L16" s="206">
        <f>1081.3-M16-I16-H16-E16-D16</f>
        <v>316.8</v>
      </c>
      <c r="M16" s="206">
        <f>528.8-I16-E16</f>
        <v>161.49999999999994</v>
      </c>
      <c r="N16" s="465" t="s">
        <v>295</v>
      </c>
      <c r="O16" s="208">
        <f t="shared" si="0"/>
        <v>1081.3</v>
      </c>
      <c r="P16" s="209">
        <v>832.9</v>
      </c>
      <c r="Q16" s="210"/>
      <c r="S16" s="157" t="s">
        <v>177</v>
      </c>
      <c r="T16" s="156">
        <f>(SUMIF($C$10:$C$39,S16,$D$10:$D$39)+SUMIF($C$10:$C$39,S16,$E$10:$E$39))/(COUNTIF($C$10:$C$39,S16)-1)</f>
        <v>1029.0333333333333</v>
      </c>
      <c r="U16" s="156">
        <f>(SUMIF($C$10:$C$39,S16,$H$10:$H$39)+SUMIF($C$10:$C$39,S16,$I$10:$I$39)+SUMIF($C$10:$C$39,S16,$L$10:$L$39)+SUMIF($C$10:$C$39,S16,$M$10:$M$39))/(COUNTIF($C$10:$C$39,S16)-1)</f>
        <v>5792.69</v>
      </c>
      <c r="V16" s="156">
        <f>(SUMIF($C$10:$C$39,S16,$H$10:$H$39)+SUMIF($C$10:$C$39,S16,$I$10:$I$39))/(COUNTIF($C$10:$C$39,S16)-1)</f>
        <v>1095.5333333333335</v>
      </c>
      <c r="W16" s="156">
        <f>(SUMIF($C$10:$C$39,S16,$L$10:$L$39)+SUMIF($C$10:$C$39,S16,$M$10:$M$39))/(COUNTIF($C$10:$C$39,S16)-1)</f>
        <v>4697.1566666666668</v>
      </c>
      <c r="X16" s="59"/>
      <c r="Y16" s="59"/>
      <c r="Z16" s="59"/>
      <c r="AA16" s="59"/>
      <c r="AB16" s="59"/>
      <c r="AC16" s="59"/>
    </row>
    <row r="17" spans="2:23" s="14" customFormat="1" ht="16" customHeight="1">
      <c r="B17" s="19" t="s">
        <v>297</v>
      </c>
      <c r="C17" s="19" t="s">
        <v>1557</v>
      </c>
      <c r="D17" s="206">
        <f>194.6-E17</f>
        <v>150</v>
      </c>
      <c r="E17" s="206">
        <v>44.6</v>
      </c>
      <c r="F17" s="207">
        <v>76</v>
      </c>
      <c r="G17" s="673" t="s">
        <v>295</v>
      </c>
      <c r="H17" s="206">
        <f>467.9-D17-E17-I17</f>
        <v>243.69999999999996</v>
      </c>
      <c r="I17" s="206">
        <v>29.6</v>
      </c>
      <c r="J17" s="207">
        <v>14</v>
      </c>
      <c r="K17" s="673" t="s">
        <v>295</v>
      </c>
      <c r="L17" s="206">
        <f>907.9-M17-I17-H17-E17-D17</f>
        <v>241</v>
      </c>
      <c r="M17" s="206">
        <f>273.2-I17-E17</f>
        <v>199</v>
      </c>
      <c r="N17" s="673" t="s">
        <v>295</v>
      </c>
      <c r="O17" s="208">
        <f t="shared" si="0"/>
        <v>907.9</v>
      </c>
      <c r="P17" s="209">
        <v>505.8</v>
      </c>
      <c r="Q17" s="210"/>
      <c r="S17" s="1019"/>
      <c r="T17" s="1020"/>
      <c r="U17" s="159"/>
    </row>
    <row r="18" spans="2:23" s="14" customFormat="1" ht="16" customHeight="1">
      <c r="B18" s="19" t="s">
        <v>1572</v>
      </c>
      <c r="C18" s="19" t="s">
        <v>1558</v>
      </c>
      <c r="D18" s="206">
        <f>256.2-E18</f>
        <v>163.5</v>
      </c>
      <c r="E18" s="206">
        <v>92.7</v>
      </c>
      <c r="F18" s="207">
        <v>84</v>
      </c>
      <c r="G18" s="673" t="s">
        <v>295</v>
      </c>
      <c r="H18" s="206">
        <f>760-D18-E18-I18</f>
        <v>338</v>
      </c>
      <c r="I18" s="206">
        <v>165.8</v>
      </c>
      <c r="J18" s="207">
        <v>14</v>
      </c>
      <c r="K18" s="465" t="s">
        <v>1596</v>
      </c>
      <c r="L18" s="206">
        <f>1371.9-M18-I18-H18-E18-D18</f>
        <v>228.50000000000006</v>
      </c>
      <c r="M18" s="206">
        <f>641.9-I18-E18</f>
        <v>383.4</v>
      </c>
      <c r="N18" s="465" t="s">
        <v>1564</v>
      </c>
      <c r="O18" s="208">
        <f t="shared" si="0"/>
        <v>1371.9</v>
      </c>
      <c r="P18" s="209">
        <v>835.1</v>
      </c>
      <c r="Q18" s="210"/>
      <c r="S18" s="180"/>
      <c r="T18" s="197"/>
      <c r="U18" s="205" t="s">
        <v>1712</v>
      </c>
      <c r="V18" s="205" t="s">
        <v>1713</v>
      </c>
      <c r="W18" s="205" t="s">
        <v>1714</v>
      </c>
    </row>
    <row r="19" spans="2:23" s="14" customFormat="1" ht="16" customHeight="1">
      <c r="B19" s="19" t="s">
        <v>1574</v>
      </c>
      <c r="C19" s="19" t="s">
        <v>175</v>
      </c>
      <c r="D19" s="206">
        <f>366.35-E19</f>
        <v>263.15000000000003</v>
      </c>
      <c r="E19" s="206">
        <v>103.2</v>
      </c>
      <c r="F19" s="207">
        <v>58</v>
      </c>
      <c r="G19" s="673" t="s">
        <v>295</v>
      </c>
      <c r="H19" s="206">
        <f>1239.45-D19-E19-I19</f>
        <v>440.59999999999991</v>
      </c>
      <c r="I19" s="206">
        <v>432.5</v>
      </c>
      <c r="J19" s="673">
        <v>15</v>
      </c>
      <c r="K19" s="673" t="s">
        <v>295</v>
      </c>
      <c r="L19" s="206">
        <f>5023.55-M19-I19-H19-E19-D19</f>
        <v>1197.6000000000001</v>
      </c>
      <c r="M19" s="206">
        <f>3122.2-I19-E19</f>
        <v>2586.5</v>
      </c>
      <c r="N19" s="673" t="s">
        <v>295</v>
      </c>
      <c r="O19" s="208">
        <f t="shared" si="0"/>
        <v>5023.55</v>
      </c>
      <c r="P19" s="209">
        <v>3053.9</v>
      </c>
      <c r="Q19" s="210"/>
      <c r="S19" s="211"/>
      <c r="T19" s="212"/>
      <c r="U19" s="213"/>
      <c r="V19" s="213"/>
      <c r="W19" s="213"/>
    </row>
    <row r="20" spans="2:23" s="14" customFormat="1" ht="16" customHeight="1">
      <c r="B20" s="19" t="s">
        <v>1577</v>
      </c>
      <c r="C20" s="19" t="s">
        <v>176</v>
      </c>
      <c r="D20" s="206">
        <f>417.6-E20</f>
        <v>282.8</v>
      </c>
      <c r="E20" s="206">
        <v>134.80000000000001</v>
      </c>
      <c r="F20" s="207">
        <v>124</v>
      </c>
      <c r="G20" s="673" t="s">
        <v>295</v>
      </c>
      <c r="H20" s="206">
        <f>1582.5-D20-E20-I20</f>
        <v>687.50000000000011</v>
      </c>
      <c r="I20" s="206">
        <v>477.4</v>
      </c>
      <c r="J20" s="207">
        <v>19</v>
      </c>
      <c r="K20" s="673" t="s">
        <v>295</v>
      </c>
      <c r="L20" s="206">
        <f>5893.6-M20-I20-H20-E20-D20</f>
        <v>1773.0000000000002</v>
      </c>
      <c r="M20" s="206">
        <f>3150.3-I20-E20</f>
        <v>2538.1</v>
      </c>
      <c r="N20" s="673" t="s">
        <v>295</v>
      </c>
      <c r="O20" s="208">
        <f t="shared" si="0"/>
        <v>5893.6</v>
      </c>
      <c r="P20" s="209">
        <v>3654.6</v>
      </c>
      <c r="Q20" s="210" t="s">
        <v>2141</v>
      </c>
      <c r="S20" s="211"/>
      <c r="T20" s="212"/>
      <c r="U20" s="213"/>
      <c r="V20" s="213"/>
      <c r="W20" s="213"/>
    </row>
    <row r="21" spans="2:23" s="14" customFormat="1" ht="16" customHeight="1">
      <c r="B21" s="19" t="s">
        <v>977</v>
      </c>
      <c r="C21" s="19" t="s">
        <v>177</v>
      </c>
      <c r="D21" s="206">
        <f>885.6-E21</f>
        <v>487.6</v>
      </c>
      <c r="E21" s="206">
        <v>398</v>
      </c>
      <c r="F21" s="207">
        <v>101</v>
      </c>
      <c r="G21" s="673" t="s">
        <v>295</v>
      </c>
      <c r="H21" s="206">
        <f>1689.5-D21-E21-I21</f>
        <v>493.90000000000009</v>
      </c>
      <c r="I21" s="206">
        <v>310</v>
      </c>
      <c r="J21" s="207">
        <v>9</v>
      </c>
      <c r="K21" s="673" t="s">
        <v>295</v>
      </c>
      <c r="L21" s="206">
        <f>2265.5-M21-I21-H21-E21-D21</f>
        <v>166.99999999999989</v>
      </c>
      <c r="M21" s="206">
        <f>1117-I21-E21</f>
        <v>409</v>
      </c>
      <c r="N21" s="673" t="s">
        <v>295</v>
      </c>
      <c r="O21" s="208">
        <f t="shared" si="0"/>
        <v>2265.5</v>
      </c>
      <c r="P21" s="209">
        <v>1584.9</v>
      </c>
      <c r="Q21" s="210" t="s">
        <v>2136</v>
      </c>
      <c r="S21" s="211"/>
      <c r="T21" s="212"/>
      <c r="U21" s="213"/>
      <c r="V21" s="213"/>
      <c r="W21" s="213"/>
    </row>
    <row r="22" spans="2:23" s="14" customFormat="1" ht="16" customHeight="1">
      <c r="B22" s="19" t="s">
        <v>1581</v>
      </c>
      <c r="C22" s="19" t="s">
        <v>1567</v>
      </c>
      <c r="D22" s="206"/>
      <c r="E22" s="206"/>
      <c r="F22" s="207"/>
      <c r="G22" s="227"/>
      <c r="H22" s="206">
        <f>523.9-D22-E22-I22</f>
        <v>325.89999999999998</v>
      </c>
      <c r="I22" s="206">
        <v>198</v>
      </c>
      <c r="J22" s="207">
        <v>18</v>
      </c>
      <c r="K22" s="673" t="s">
        <v>295</v>
      </c>
      <c r="L22" s="206">
        <f>845-M22-I22-H22-E22-D22</f>
        <v>197.60000000000002</v>
      </c>
      <c r="M22" s="206">
        <f>321.5-I22-E22</f>
        <v>123.5</v>
      </c>
      <c r="N22" s="673" t="s">
        <v>295</v>
      </c>
      <c r="O22" s="208">
        <f t="shared" si="0"/>
        <v>845</v>
      </c>
      <c r="P22" s="209">
        <v>441.9</v>
      </c>
      <c r="Q22" s="210"/>
      <c r="S22" s="211"/>
      <c r="T22" s="212"/>
      <c r="U22" s="213"/>
      <c r="V22" s="213"/>
      <c r="W22" s="213"/>
    </row>
    <row r="23" spans="2:23" s="14" customFormat="1" ht="16" customHeight="1">
      <c r="B23" s="19" t="s">
        <v>1583</v>
      </c>
      <c r="C23" s="19" t="s">
        <v>294</v>
      </c>
      <c r="D23" s="206">
        <f>126.4-E23</f>
        <v>-88.1</v>
      </c>
      <c r="E23" s="206">
        <v>214.5</v>
      </c>
      <c r="F23" s="207">
        <v>70</v>
      </c>
      <c r="G23" s="673" t="s">
        <v>295</v>
      </c>
      <c r="H23" s="206">
        <f>590.4-D23-E23-I23</f>
        <v>265.8</v>
      </c>
      <c r="I23" s="206">
        <v>198.2</v>
      </c>
      <c r="J23" s="207">
        <v>8</v>
      </c>
      <c r="K23" s="673" t="s">
        <v>295</v>
      </c>
      <c r="L23" s="206">
        <f>1437.6-M23-I23-H23-E23-D23</f>
        <v>332.69999999999982</v>
      </c>
      <c r="M23" s="206">
        <f>927.2-I23-E23</f>
        <v>514.5</v>
      </c>
      <c r="N23" s="673" t="s">
        <v>295</v>
      </c>
      <c r="O23" s="208">
        <f t="shared" si="0"/>
        <v>1437.6</v>
      </c>
      <c r="P23" s="209">
        <v>1020.4</v>
      </c>
      <c r="Q23" s="210"/>
      <c r="S23" s="214"/>
      <c r="T23" s="215"/>
      <c r="U23" s="216"/>
      <c r="V23" s="216"/>
      <c r="W23" s="216"/>
    </row>
    <row r="24" spans="2:23" s="14" customFormat="1" ht="16" customHeight="1">
      <c r="B24" s="19" t="s">
        <v>298</v>
      </c>
      <c r="C24" s="19" t="s">
        <v>1557</v>
      </c>
      <c r="D24" s="206">
        <f>224.1-E24</f>
        <v>105.89999999999999</v>
      </c>
      <c r="E24" s="206">
        <v>118.2</v>
      </c>
      <c r="F24" s="207">
        <v>53</v>
      </c>
      <c r="G24" s="673" t="s">
        <v>295</v>
      </c>
      <c r="H24" s="206">
        <f>817.3-D24-E24-I24</f>
        <v>316.89999999999992</v>
      </c>
      <c r="I24" s="206">
        <v>276.3</v>
      </c>
      <c r="J24" s="207">
        <v>22</v>
      </c>
      <c r="K24" s="673" t="s">
        <v>295</v>
      </c>
      <c r="L24" s="206">
        <f>1447-M24-I24-H24-E24-D24</f>
        <v>337.70000000000022</v>
      </c>
      <c r="M24" s="206">
        <f>686.5-I24-E24</f>
        <v>292</v>
      </c>
      <c r="N24" s="673" t="s">
        <v>295</v>
      </c>
      <c r="O24" s="208">
        <f t="shared" si="0"/>
        <v>1447.0000000000002</v>
      </c>
      <c r="P24" s="209">
        <v>1175.7</v>
      </c>
      <c r="Q24" s="210"/>
      <c r="S24" s="214"/>
      <c r="T24" s="215"/>
      <c r="U24" s="216"/>
      <c r="V24" s="216"/>
      <c r="W24" s="216"/>
    </row>
    <row r="25" spans="2:23" s="14" customFormat="1" ht="16" customHeight="1">
      <c r="B25" s="19" t="s">
        <v>996</v>
      </c>
      <c r="C25" s="19" t="s">
        <v>1558</v>
      </c>
      <c r="D25" s="206">
        <f>227.3-E25</f>
        <v>201.10000000000002</v>
      </c>
      <c r="E25" s="206">
        <v>26.2</v>
      </c>
      <c r="F25" s="207">
        <v>110</v>
      </c>
      <c r="G25" s="673" t="s">
        <v>295</v>
      </c>
      <c r="H25" s="206">
        <f>619.3-D25-E25-I25</f>
        <v>258.69999999999993</v>
      </c>
      <c r="I25" s="206">
        <v>133.30000000000001</v>
      </c>
      <c r="J25" s="207">
        <v>12</v>
      </c>
      <c r="K25" s="673" t="s">
        <v>295</v>
      </c>
      <c r="L25" s="206">
        <f>2160.82-M25-I25-H25-E25-D25</f>
        <v>413.02000000000021</v>
      </c>
      <c r="M25" s="206">
        <f>1288-I25-E25</f>
        <v>1128.5</v>
      </c>
      <c r="N25" s="673" t="s">
        <v>295</v>
      </c>
      <c r="O25" s="208">
        <f t="shared" si="0"/>
        <v>2160.8200000000002</v>
      </c>
      <c r="P25" s="209">
        <v>1501</v>
      </c>
      <c r="Q25" s="210"/>
      <c r="S25" s="214"/>
      <c r="T25" s="215"/>
      <c r="U25" s="216"/>
      <c r="V25" s="216"/>
      <c r="W25" s="216"/>
    </row>
    <row r="26" spans="2:23" s="14" customFormat="1" ht="16" customHeight="1">
      <c r="B26" s="19" t="s">
        <v>293</v>
      </c>
      <c r="C26" s="19" t="s">
        <v>175</v>
      </c>
      <c r="D26" s="206">
        <f>344.45-E26</f>
        <v>235.14999999999998</v>
      </c>
      <c r="E26" s="206">
        <v>109.3</v>
      </c>
      <c r="F26" s="207">
        <v>136</v>
      </c>
      <c r="G26" s="673" t="s">
        <v>295</v>
      </c>
      <c r="H26" s="206">
        <f>929.95-D26-E26-I26</f>
        <v>408.50000000000011</v>
      </c>
      <c r="I26" s="206">
        <v>177</v>
      </c>
      <c r="J26" s="207">
        <v>10</v>
      </c>
      <c r="K26" s="673" t="s">
        <v>295</v>
      </c>
      <c r="L26" s="206">
        <f>3498.95-M26-I26-H26-E26-D26</f>
        <v>917.99999999999989</v>
      </c>
      <c r="M26" s="206">
        <f>1937.3-I26-E26</f>
        <v>1651</v>
      </c>
      <c r="N26" s="673" t="s">
        <v>295</v>
      </c>
      <c r="O26" s="208">
        <f t="shared" si="0"/>
        <v>3498.95</v>
      </c>
      <c r="P26" s="209">
        <v>2540.1999999999998</v>
      </c>
      <c r="Q26" s="210" t="s">
        <v>2173</v>
      </c>
      <c r="S26" s="214"/>
      <c r="T26" s="215"/>
      <c r="U26" s="216"/>
      <c r="V26" s="216"/>
      <c r="W26" s="216"/>
    </row>
    <row r="27" spans="2:23" s="14" customFormat="1" ht="16" customHeight="1">
      <c r="B27" s="19" t="s">
        <v>420</v>
      </c>
      <c r="C27" s="19" t="s">
        <v>176</v>
      </c>
      <c r="D27" s="206">
        <f>525.5-E27</f>
        <v>332.9</v>
      </c>
      <c r="E27" s="206">
        <v>192.6</v>
      </c>
      <c r="F27" s="207">
        <v>78</v>
      </c>
      <c r="G27" s="673" t="s">
        <v>295</v>
      </c>
      <c r="H27" s="206">
        <f>1769.7-D27-E27-I27</f>
        <v>665.40000000000032</v>
      </c>
      <c r="I27" s="206">
        <v>578.79999999999995</v>
      </c>
      <c r="J27" s="207">
        <v>16</v>
      </c>
      <c r="K27" s="673" t="s">
        <v>295</v>
      </c>
      <c r="L27" s="206">
        <f>4990.4-M27-I27-H27-E27-D27</f>
        <v>951.5999999999998</v>
      </c>
      <c r="M27" s="206">
        <f>3040.5-I27-E27</f>
        <v>2269.1</v>
      </c>
      <c r="N27" s="673" t="s">
        <v>295</v>
      </c>
      <c r="O27" s="208">
        <f t="shared" si="0"/>
        <v>4990.3999999999996</v>
      </c>
      <c r="P27" s="209">
        <v>3919.1</v>
      </c>
      <c r="Q27" s="430" t="s">
        <v>2178</v>
      </c>
      <c r="S27" s="214"/>
      <c r="T27" s="215"/>
      <c r="U27" s="216"/>
      <c r="V27" s="216"/>
      <c r="W27" s="216"/>
    </row>
    <row r="28" spans="2:23" s="14" customFormat="1" ht="16" customHeight="1">
      <c r="B28" s="19" t="s">
        <v>719</v>
      </c>
      <c r="C28" s="19" t="s">
        <v>177</v>
      </c>
      <c r="D28" s="206">
        <f>564.5-E28</f>
        <v>387.4</v>
      </c>
      <c r="E28" s="206">
        <v>177.1</v>
      </c>
      <c r="F28" s="207">
        <v>123</v>
      </c>
      <c r="G28" s="673" t="s">
        <v>295</v>
      </c>
      <c r="H28" s="206">
        <f>1046.2-D28-E28-I28</f>
        <v>138.80000000000007</v>
      </c>
      <c r="I28" s="206">
        <v>342.9</v>
      </c>
      <c r="J28" s="207">
        <v>9</v>
      </c>
      <c r="K28" s="673" t="s">
        <v>295</v>
      </c>
      <c r="L28" s="206">
        <f>1955.7-M28-I28-H28-E28-D28</f>
        <v>455.00000000000011</v>
      </c>
      <c r="M28" s="206">
        <f>974.5-I28-E28</f>
        <v>454.5</v>
      </c>
      <c r="N28" s="673" t="s">
        <v>295</v>
      </c>
      <c r="O28" s="208">
        <f t="shared" si="0"/>
        <v>1955.7000000000003</v>
      </c>
      <c r="P28" s="209">
        <v>1557.7</v>
      </c>
      <c r="Q28" s="210"/>
      <c r="S28" s="214"/>
      <c r="T28" s="215"/>
      <c r="U28" s="216"/>
      <c r="V28" s="216"/>
      <c r="W28" s="216"/>
    </row>
    <row r="29" spans="2:23" s="14" customFormat="1" ht="16" customHeight="1">
      <c r="B29" s="19" t="s">
        <v>1591</v>
      </c>
      <c r="C29" s="19" t="s">
        <v>1567</v>
      </c>
      <c r="D29" s="206"/>
      <c r="E29" s="206"/>
      <c r="F29" s="207"/>
      <c r="G29" s="227"/>
      <c r="H29" s="206"/>
      <c r="I29" s="206"/>
      <c r="J29" s="207"/>
      <c r="K29" s="227"/>
      <c r="L29" s="206"/>
      <c r="M29" s="206"/>
      <c r="N29" s="227"/>
      <c r="O29" s="208"/>
      <c r="P29" s="209"/>
      <c r="Q29" s="210"/>
      <c r="S29" s="217"/>
      <c r="T29" s="218"/>
      <c r="U29" s="219"/>
      <c r="V29" s="219"/>
      <c r="W29" s="219"/>
    </row>
    <row r="30" spans="2:23" s="14" customFormat="1" ht="16" customHeight="1">
      <c r="B30" s="19" t="s">
        <v>1593</v>
      </c>
      <c r="C30" s="19" t="s">
        <v>294</v>
      </c>
      <c r="D30" s="206">
        <f>146.3-E30</f>
        <v>135.30000000000001</v>
      </c>
      <c r="E30" s="206">
        <v>11</v>
      </c>
      <c r="F30" s="207">
        <v>54</v>
      </c>
      <c r="G30" s="673" t="s">
        <v>295</v>
      </c>
      <c r="H30" s="206">
        <f>374-D30-E30-I30</f>
        <v>150.19999999999999</v>
      </c>
      <c r="I30" s="206">
        <v>77.5</v>
      </c>
      <c r="J30" s="207">
        <v>10</v>
      </c>
      <c r="K30" s="673" t="s">
        <v>295</v>
      </c>
      <c r="L30" s="206">
        <f>796.5-M30-I30-H30-E30-D30</f>
        <v>131</v>
      </c>
      <c r="M30" s="206">
        <f>380-I30-E30</f>
        <v>291.5</v>
      </c>
      <c r="N30" s="673" t="s">
        <v>295</v>
      </c>
      <c r="O30" s="208">
        <f t="shared" si="0"/>
        <v>796.5</v>
      </c>
      <c r="P30" s="209">
        <v>528.5</v>
      </c>
      <c r="Q30" s="210"/>
      <c r="S30" s="217"/>
      <c r="T30" s="218"/>
      <c r="U30" s="219"/>
      <c r="V30" s="219"/>
      <c r="W30" s="219"/>
    </row>
    <row r="31" spans="2:23" s="14" customFormat="1" ht="16" customHeight="1">
      <c r="B31" s="19" t="s">
        <v>299</v>
      </c>
      <c r="C31" s="19" t="s">
        <v>1557</v>
      </c>
      <c r="D31" s="206">
        <f>197-E31</f>
        <v>165.9</v>
      </c>
      <c r="E31" s="206">
        <v>31.1</v>
      </c>
      <c r="F31" s="207">
        <v>62</v>
      </c>
      <c r="G31" s="673" t="s">
        <v>295</v>
      </c>
      <c r="H31" s="206">
        <f>554.8-D31-E31-I31</f>
        <v>179.39999999999995</v>
      </c>
      <c r="I31" s="206">
        <v>178.4</v>
      </c>
      <c r="J31" s="207">
        <v>8</v>
      </c>
      <c r="K31" s="673" t="s">
        <v>295</v>
      </c>
      <c r="L31" s="206">
        <f>1647.4-M31-I31-H31-E31-D31</f>
        <v>512.10000000000014</v>
      </c>
      <c r="M31" s="206">
        <f>790-I31-E31</f>
        <v>580.5</v>
      </c>
      <c r="N31" s="673" t="s">
        <v>295</v>
      </c>
      <c r="O31" s="208">
        <f t="shared" si="0"/>
        <v>1647.4</v>
      </c>
      <c r="P31" s="209">
        <v>806.8</v>
      </c>
      <c r="Q31" s="210" t="s">
        <v>2188</v>
      </c>
      <c r="S31" s="217"/>
      <c r="T31" s="218"/>
      <c r="U31" s="219"/>
      <c r="V31" s="219"/>
      <c r="W31" s="219"/>
    </row>
    <row r="32" spans="2:23" s="14" customFormat="1" ht="16" customHeight="1">
      <c r="B32" s="19" t="s">
        <v>461</v>
      </c>
      <c r="C32" s="19" t="s">
        <v>1558</v>
      </c>
      <c r="D32" s="206">
        <f>222.2-E32</f>
        <v>172.1</v>
      </c>
      <c r="E32" s="206">
        <v>50.1</v>
      </c>
      <c r="F32" s="207">
        <v>65</v>
      </c>
      <c r="G32" s="465" t="s">
        <v>1596</v>
      </c>
      <c r="H32" s="206">
        <f>401.5-D32-E32-I32</f>
        <v>143.9</v>
      </c>
      <c r="I32" s="206">
        <v>35.4</v>
      </c>
      <c r="J32" s="207">
        <v>22</v>
      </c>
      <c r="K32" s="465" t="s">
        <v>1596</v>
      </c>
      <c r="L32" s="206">
        <f>581.5-M32-I32-H32-E32-D32</f>
        <v>15.500000000000028</v>
      </c>
      <c r="M32" s="206">
        <f>250-I32-E32</f>
        <v>164.5</v>
      </c>
      <c r="N32" s="465" t="s">
        <v>1596</v>
      </c>
      <c r="O32" s="208">
        <f t="shared" si="0"/>
        <v>581.5</v>
      </c>
      <c r="P32" s="209">
        <v>361</v>
      </c>
      <c r="Q32" s="210" t="s">
        <v>2189</v>
      </c>
      <c r="S32" s="217"/>
      <c r="T32" s="218"/>
      <c r="U32" s="219"/>
      <c r="V32" s="219"/>
      <c r="W32" s="219"/>
    </row>
    <row r="33" spans="2:23" s="14" customFormat="1" ht="16" customHeight="1">
      <c r="B33" s="19" t="s">
        <v>296</v>
      </c>
      <c r="C33" s="19" t="s">
        <v>175</v>
      </c>
      <c r="D33" s="206">
        <f>259.6-E33</f>
        <v>187.50000000000003</v>
      </c>
      <c r="E33" s="206">
        <v>72.099999999999994</v>
      </c>
      <c r="F33" s="207">
        <v>45</v>
      </c>
      <c r="G33" s="673" t="s">
        <v>295</v>
      </c>
      <c r="H33" s="206">
        <f>799.6-D33-E33-I33</f>
        <v>220.39999999999998</v>
      </c>
      <c r="I33" s="206">
        <v>319.60000000000002</v>
      </c>
      <c r="J33" s="207">
        <v>15</v>
      </c>
      <c r="K33" s="673" t="s">
        <v>295</v>
      </c>
      <c r="L33" s="206">
        <f>5360.7-M33-I33-H33-E33-D33</f>
        <v>520.10000000000025</v>
      </c>
      <c r="M33" s="206">
        <f>4432.7-I33-E33</f>
        <v>4040.9999999999995</v>
      </c>
      <c r="N33" s="673" t="s">
        <v>295</v>
      </c>
      <c r="O33" s="208">
        <f t="shared" si="0"/>
        <v>5360.7</v>
      </c>
      <c r="P33" s="209">
        <v>4485.2</v>
      </c>
      <c r="Q33" s="210" t="s">
        <v>2190</v>
      </c>
      <c r="S33" s="217"/>
      <c r="T33" s="218"/>
      <c r="U33" s="219"/>
      <c r="V33" s="219"/>
      <c r="W33" s="219"/>
    </row>
    <row r="34" spans="2:23" s="14" customFormat="1" ht="16" customHeight="1">
      <c r="B34" s="19" t="s">
        <v>1601</v>
      </c>
      <c r="C34" s="19" t="s">
        <v>176</v>
      </c>
      <c r="D34" s="206">
        <f>407.5-E34</f>
        <v>288.10000000000002</v>
      </c>
      <c r="E34" s="206">
        <v>119.4</v>
      </c>
      <c r="F34" s="207">
        <v>62</v>
      </c>
      <c r="G34" s="673" t="s">
        <v>295</v>
      </c>
      <c r="H34" s="206">
        <f>1777.2-D34-E34-I34</f>
        <v>644.39999999999986</v>
      </c>
      <c r="I34" s="206">
        <v>725.3</v>
      </c>
      <c r="J34" s="207">
        <v>13</v>
      </c>
      <c r="K34" s="673" t="s">
        <v>295</v>
      </c>
      <c r="L34" s="206">
        <f>4900.3-M34-I34-H34-E34-D34</f>
        <v>1510.1</v>
      </c>
      <c r="M34" s="206">
        <f>2457.7-I34-E34</f>
        <v>1612.9999999999998</v>
      </c>
      <c r="N34" s="673" t="s">
        <v>295</v>
      </c>
      <c r="O34" s="208">
        <f t="shared" si="0"/>
        <v>4900.2999999999993</v>
      </c>
      <c r="P34" s="209">
        <v>3653.4</v>
      </c>
      <c r="Q34" s="210" t="s">
        <v>2178</v>
      </c>
      <c r="S34" s="217"/>
      <c r="T34" s="218"/>
      <c r="U34" s="219"/>
      <c r="V34" s="219"/>
      <c r="W34" s="219"/>
    </row>
    <row r="35" spans="2:23" s="14" customFormat="1" ht="16" customHeight="1">
      <c r="B35" s="19" t="s">
        <v>1604</v>
      </c>
      <c r="C35" s="19" t="s">
        <v>177</v>
      </c>
      <c r="D35" s="206">
        <f>978-E35</f>
        <v>527.85</v>
      </c>
      <c r="E35" s="206">
        <v>450.15</v>
      </c>
      <c r="F35" s="207">
        <v>126</v>
      </c>
      <c r="G35" s="673" t="s">
        <v>295</v>
      </c>
      <c r="H35" s="206">
        <f>1793-D35-E35-I35</f>
        <v>362.2000000000001</v>
      </c>
      <c r="I35" s="206">
        <v>452.8</v>
      </c>
      <c r="J35" s="207">
        <v>11</v>
      </c>
      <c r="K35" s="465" t="s">
        <v>1596</v>
      </c>
      <c r="L35" s="206">
        <f>7336.56-M35-I35-H35-E35-D35</f>
        <v>3285.0600000000013</v>
      </c>
      <c r="M35" s="206">
        <f>3161.45-I35-E35</f>
        <v>2258.4999999999995</v>
      </c>
      <c r="N35" s="465" t="s">
        <v>1564</v>
      </c>
      <c r="O35" s="208">
        <f t="shared" si="0"/>
        <v>7336.5600000000013</v>
      </c>
      <c r="P35" s="209">
        <v>3347.4</v>
      </c>
      <c r="Q35" s="838" t="s">
        <v>2191</v>
      </c>
      <c r="S35" s="217"/>
      <c r="T35" s="218"/>
      <c r="U35" s="219"/>
      <c r="V35" s="219"/>
      <c r="W35" s="219"/>
    </row>
    <row r="36" spans="2:23" s="14" customFormat="1" ht="16" customHeight="1">
      <c r="B36" s="19" t="s">
        <v>1607</v>
      </c>
      <c r="C36" s="19" t="s">
        <v>1567</v>
      </c>
      <c r="D36" s="206"/>
      <c r="E36" s="206"/>
      <c r="F36" s="207"/>
      <c r="G36" s="227"/>
      <c r="H36" s="206">
        <f>322-D36-E36-I36</f>
        <v>275.3</v>
      </c>
      <c r="I36" s="206">
        <v>46.7</v>
      </c>
      <c r="J36" s="207">
        <v>19</v>
      </c>
      <c r="K36" s="673" t="s">
        <v>295</v>
      </c>
      <c r="L36" s="206">
        <f>559.7-M36-I36-H36-E36-D36</f>
        <v>49.700000000000045</v>
      </c>
      <c r="M36" s="206">
        <f>234.7-I36-E36</f>
        <v>188</v>
      </c>
      <c r="N36" s="673" t="s">
        <v>295</v>
      </c>
      <c r="O36" s="208">
        <f t="shared" si="0"/>
        <v>559.70000000000005</v>
      </c>
      <c r="P36" s="209">
        <v>285.7</v>
      </c>
      <c r="Q36" s="210"/>
      <c r="S36" s="217"/>
      <c r="T36" s="218"/>
      <c r="U36" s="219"/>
      <c r="V36" s="219"/>
      <c r="W36" s="219"/>
    </row>
    <row r="37" spans="2:23" s="14" customFormat="1" ht="16" customHeight="1">
      <c r="B37" s="19" t="s">
        <v>1028</v>
      </c>
      <c r="C37" s="19" t="s">
        <v>294</v>
      </c>
      <c r="D37" s="206">
        <f>215.1-E37</f>
        <v>152</v>
      </c>
      <c r="E37" s="206">
        <v>63.1</v>
      </c>
      <c r="F37" s="207">
        <v>62</v>
      </c>
      <c r="G37" s="465" t="s">
        <v>1596</v>
      </c>
      <c r="H37" s="206">
        <f>614.9-D37-E37-I37</f>
        <v>260.99999999999994</v>
      </c>
      <c r="I37" s="206">
        <v>138.80000000000001</v>
      </c>
      <c r="J37" s="207">
        <v>8</v>
      </c>
      <c r="K37" s="465" t="s">
        <v>1596</v>
      </c>
      <c r="L37" s="206">
        <f>827.7-M37-I37-H37-E37-D37</f>
        <v>22.300000000000097</v>
      </c>
      <c r="M37" s="206">
        <f>392.4-I37-E37</f>
        <v>190.49999999999997</v>
      </c>
      <c r="N37" s="465" t="s">
        <v>1596</v>
      </c>
      <c r="O37" s="208">
        <f t="shared" si="0"/>
        <v>827.69999999999993</v>
      </c>
      <c r="P37" s="209">
        <v>563.9</v>
      </c>
      <c r="Q37" s="210"/>
      <c r="S37" s="217"/>
      <c r="T37" s="218"/>
      <c r="U37" s="219"/>
      <c r="V37" s="219"/>
      <c r="W37" s="219"/>
    </row>
    <row r="38" spans="2:23" s="14" customFormat="1" ht="15">
      <c r="B38" s="19" t="s">
        <v>300</v>
      </c>
      <c r="C38" s="19" t="s">
        <v>1557</v>
      </c>
      <c r="D38" s="206">
        <f>194.3-E38</f>
        <v>165.20000000000002</v>
      </c>
      <c r="E38" s="206">
        <v>29.1</v>
      </c>
      <c r="F38" s="207">
        <v>68</v>
      </c>
      <c r="G38" s="465" t="s">
        <v>1564</v>
      </c>
      <c r="H38" s="206">
        <f>483.8-D38-E38-I38</f>
        <v>205.6</v>
      </c>
      <c r="I38" s="206">
        <v>83.9</v>
      </c>
      <c r="J38" s="207">
        <v>3</v>
      </c>
      <c r="K38" s="465" t="s">
        <v>1564</v>
      </c>
      <c r="L38" s="206">
        <f>636.5-M38-I38-H38-E38-D38</f>
        <v>98.69999999999996</v>
      </c>
      <c r="M38" s="206">
        <f>167-I38-E38</f>
        <v>53.999999999999993</v>
      </c>
      <c r="N38" s="465" t="s">
        <v>1596</v>
      </c>
      <c r="O38" s="208">
        <f t="shared" si="0"/>
        <v>636.49999999999989</v>
      </c>
      <c r="P38" s="209">
        <v>328.6</v>
      </c>
      <c r="Q38" s="210"/>
      <c r="S38" s="217"/>
      <c r="T38" s="218"/>
      <c r="U38" s="219"/>
      <c r="V38" s="219"/>
      <c r="W38" s="219"/>
    </row>
    <row r="39" spans="2:23" s="10" customFormat="1" ht="17">
      <c r="B39" s="19" t="s">
        <v>1040</v>
      </c>
      <c r="C39" s="19" t="s">
        <v>1558</v>
      </c>
      <c r="D39" s="206">
        <f>222.9-E39</f>
        <v>191.70000000000002</v>
      </c>
      <c r="E39" s="206">
        <v>31.2</v>
      </c>
      <c r="F39" s="207">
        <v>98</v>
      </c>
      <c r="G39" s="465" t="s">
        <v>1596</v>
      </c>
      <c r="H39" s="206">
        <f>535.8-D39-E39-I39</f>
        <v>181.49999999999991</v>
      </c>
      <c r="I39" s="206">
        <v>131.4</v>
      </c>
      <c r="J39" s="207">
        <v>16</v>
      </c>
      <c r="K39" s="465" t="s">
        <v>1596</v>
      </c>
      <c r="L39" s="206">
        <f>998.4-M39-I39-H39-E39-D39</f>
        <v>76.099999999999994</v>
      </c>
      <c r="M39" s="206">
        <f>549.1-I39-E39</f>
        <v>386.50000000000006</v>
      </c>
      <c r="N39" s="465" t="s">
        <v>1596</v>
      </c>
      <c r="O39" s="208">
        <f t="shared" si="0"/>
        <v>998.40000000000009</v>
      </c>
      <c r="P39" s="209">
        <v>569.1</v>
      </c>
      <c r="Q39" s="210"/>
      <c r="S39" s="217"/>
      <c r="T39" s="218"/>
      <c r="U39" s="219"/>
      <c r="V39" s="219"/>
      <c r="W39" s="219"/>
    </row>
    <row r="40" spans="2:23" s="10" customFormat="1" ht="17">
      <c r="B40" s="19" t="s">
        <v>1611</v>
      </c>
      <c r="C40" s="19" t="s">
        <v>175</v>
      </c>
      <c r="D40" s="206">
        <f>165.5-E40</f>
        <v>149.80000000000001</v>
      </c>
      <c r="E40" s="206">
        <v>15.7</v>
      </c>
      <c r="F40" s="207">
        <v>39</v>
      </c>
      <c r="G40" s="465" t="s">
        <v>1596</v>
      </c>
      <c r="H40" s="206">
        <f>966.45-D40-E40-I40</f>
        <v>510.25000000000006</v>
      </c>
      <c r="I40" s="206">
        <v>290.7</v>
      </c>
      <c r="J40" s="207">
        <v>18</v>
      </c>
      <c r="K40" s="465" t="s">
        <v>1564</v>
      </c>
      <c r="L40" s="206">
        <f>5801.85-M40-I40-H40-E40-D40</f>
        <v>1048.8999999999999</v>
      </c>
      <c r="M40" s="206">
        <f>4092.9-I40-E40</f>
        <v>3786.5000000000005</v>
      </c>
      <c r="N40" s="465" t="s">
        <v>1564</v>
      </c>
      <c r="O40" s="208">
        <f t="shared" si="0"/>
        <v>5801.85</v>
      </c>
      <c r="P40" s="209">
        <v>4136.5</v>
      </c>
      <c r="Q40" s="210" t="s">
        <v>2226</v>
      </c>
      <c r="S40" s="217"/>
      <c r="T40" s="218"/>
      <c r="U40" s="226"/>
      <c r="V40" s="219"/>
      <c r="W40" s="219"/>
    </row>
    <row r="41" spans="2:23" s="10" customFormat="1">
      <c r="B41" s="12"/>
      <c r="C41" s="12"/>
      <c r="D41" s="8"/>
      <c r="E41" s="8"/>
      <c r="F41" s="8"/>
      <c r="G41" s="9"/>
      <c r="H41" s="9"/>
      <c r="I41" s="162"/>
      <c r="J41" s="1018"/>
      <c r="K41" s="1018"/>
      <c r="L41" s="8"/>
      <c r="M41" s="8"/>
      <c r="N41" s="9"/>
      <c r="O41" s="11"/>
      <c r="P41" s="11"/>
      <c r="S41" s="220"/>
      <c r="T41" s="221"/>
      <c r="U41" s="222"/>
      <c r="V41" s="222"/>
      <c r="W41" s="222"/>
    </row>
    <row r="42" spans="2:23" s="10" customFormat="1" ht="17">
      <c r="B42" s="12"/>
      <c r="C42" s="12"/>
      <c r="D42" s="8"/>
      <c r="E42" s="8"/>
      <c r="F42" s="8"/>
      <c r="G42" s="9"/>
      <c r="H42" s="9"/>
      <c r="I42" s="9"/>
      <c r="J42" s="9"/>
      <c r="K42" s="9"/>
      <c r="L42" s="8"/>
      <c r="M42" s="8"/>
      <c r="N42" s="9"/>
      <c r="O42" s="11"/>
      <c r="P42" s="11"/>
      <c r="S42" s="223" t="s">
        <v>130</v>
      </c>
      <c r="T42" s="224"/>
      <c r="U42" s="225">
        <f>SUM(U19:U41)</f>
        <v>0</v>
      </c>
      <c r="V42" s="225">
        <f>SUM(V19:V41)</f>
        <v>0</v>
      </c>
      <c r="W42" s="225">
        <f>SUM(W19:W41)</f>
        <v>0</v>
      </c>
    </row>
    <row r="43" spans="2:23" s="10" customFormat="1">
      <c r="B43" s="12"/>
      <c r="C43" s="12"/>
      <c r="D43" s="8"/>
      <c r="E43" s="8"/>
      <c r="F43" s="8"/>
      <c r="G43" s="9"/>
      <c r="H43" s="9"/>
      <c r="I43" s="9"/>
      <c r="J43" s="9"/>
      <c r="K43" s="9"/>
      <c r="L43" s="8"/>
      <c r="M43" s="8"/>
      <c r="N43" s="9"/>
      <c r="O43" s="11"/>
      <c r="P43" s="11"/>
      <c r="S43" s="110"/>
      <c r="T43" s="110"/>
    </row>
    <row r="44" spans="2:23" s="10" customFormat="1">
      <c r="B44" s="12"/>
      <c r="C44" s="12"/>
      <c r="D44" s="8"/>
      <c r="E44" s="8"/>
      <c r="F44" s="8"/>
      <c r="G44" s="9"/>
      <c r="H44" s="9"/>
      <c r="I44" s="9"/>
      <c r="J44" s="9"/>
      <c r="K44" s="9"/>
      <c r="L44" s="8"/>
      <c r="M44" s="8"/>
      <c r="N44" s="9"/>
      <c r="O44" s="11"/>
      <c r="P44" s="11"/>
      <c r="S44" s="110"/>
      <c r="T44" s="110"/>
    </row>
    <row r="45" spans="2:23" s="10" customFormat="1">
      <c r="B45" s="12"/>
      <c r="C45" s="12"/>
      <c r="D45" s="8"/>
      <c r="E45" s="8"/>
      <c r="F45" s="8"/>
      <c r="G45" s="9"/>
      <c r="H45" s="9"/>
      <c r="I45" s="9"/>
      <c r="J45" s="9"/>
      <c r="K45" s="9"/>
      <c r="L45" s="8"/>
      <c r="M45" s="8"/>
      <c r="N45" s="9"/>
      <c r="O45" s="11"/>
      <c r="P45" s="11"/>
      <c r="S45" s="110"/>
      <c r="T45" s="110"/>
    </row>
    <row r="46" spans="2:23" s="10" customFormat="1">
      <c r="B46" s="12"/>
      <c r="C46" s="12"/>
      <c r="D46" s="8"/>
      <c r="E46" s="8"/>
      <c r="F46" s="8"/>
      <c r="G46" s="9"/>
      <c r="H46" s="9"/>
      <c r="I46" s="9"/>
      <c r="J46" s="9"/>
      <c r="K46" s="9"/>
      <c r="L46" s="8"/>
      <c r="M46" s="8"/>
      <c r="N46" s="9"/>
      <c r="O46" s="11"/>
      <c r="P46" s="11"/>
      <c r="S46" s="110"/>
      <c r="T46" s="110"/>
    </row>
    <row r="47" spans="2:23" s="10" customFormat="1">
      <c r="B47" s="12"/>
      <c r="C47" s="12"/>
      <c r="D47" s="8"/>
      <c r="E47" s="8"/>
      <c r="F47" s="8"/>
      <c r="G47" s="9"/>
      <c r="H47" s="9"/>
      <c r="I47" s="9"/>
      <c r="J47" s="9"/>
      <c r="K47" s="9"/>
      <c r="L47" s="8"/>
      <c r="M47" s="8"/>
      <c r="N47" s="9"/>
      <c r="O47" s="11"/>
      <c r="P47" s="11"/>
      <c r="S47" s="110"/>
      <c r="T47" s="110"/>
    </row>
    <row r="48" spans="2:23" s="10" customFormat="1">
      <c r="B48" s="12"/>
      <c r="C48" s="12"/>
      <c r="D48" s="8"/>
      <c r="E48" s="8"/>
      <c r="F48" s="8"/>
      <c r="G48" s="9"/>
      <c r="H48" s="9"/>
      <c r="I48" s="9"/>
      <c r="J48" s="9"/>
      <c r="K48" s="9"/>
      <c r="L48" s="8"/>
      <c r="M48" s="8"/>
      <c r="N48" s="9"/>
      <c r="O48" s="11"/>
      <c r="P48" s="11"/>
      <c r="S48" s="110"/>
      <c r="T48" s="110"/>
    </row>
    <row r="49" spans="2:20" s="10" customFormat="1">
      <c r="B49" s="12"/>
      <c r="C49" s="12"/>
      <c r="D49" s="8"/>
      <c r="E49" s="8"/>
      <c r="F49" s="8"/>
      <c r="G49" s="9"/>
      <c r="H49" s="9"/>
      <c r="I49" s="9"/>
      <c r="J49" s="9"/>
      <c r="K49" s="9"/>
      <c r="L49" s="8"/>
      <c r="M49" s="8"/>
      <c r="N49" s="9"/>
      <c r="O49" s="11"/>
      <c r="P49" s="11"/>
      <c r="S49" s="110"/>
      <c r="T49" s="110"/>
    </row>
    <row r="50" spans="2:20" s="10" customFormat="1">
      <c r="B50" s="12"/>
      <c r="C50" s="12"/>
      <c r="D50" s="8"/>
      <c r="E50" s="8"/>
      <c r="F50" s="8"/>
      <c r="G50" s="9"/>
      <c r="H50" s="9"/>
      <c r="I50" s="9"/>
      <c r="J50" s="9"/>
      <c r="K50" s="9"/>
      <c r="L50" s="8"/>
      <c r="M50" s="8"/>
      <c r="N50" s="9"/>
      <c r="O50" s="11"/>
      <c r="P50" s="11"/>
      <c r="S50" s="110"/>
      <c r="T50" s="110"/>
    </row>
    <row r="51" spans="2:20" s="10" customFormat="1">
      <c r="B51" s="12"/>
      <c r="C51" s="12"/>
      <c r="D51" s="8"/>
      <c r="E51" s="8"/>
      <c r="F51" s="8"/>
      <c r="G51" s="9"/>
      <c r="H51" s="9"/>
      <c r="I51" s="9"/>
      <c r="J51" s="9"/>
      <c r="K51" s="9"/>
      <c r="L51" s="8"/>
      <c r="M51" s="8"/>
      <c r="N51" s="9"/>
      <c r="O51" s="11"/>
      <c r="P51" s="11"/>
      <c r="S51" s="110"/>
      <c r="T51" s="110"/>
    </row>
    <row r="52" spans="2:20" s="10" customFormat="1">
      <c r="B52" s="12"/>
      <c r="C52" s="12"/>
      <c r="D52" s="8"/>
      <c r="E52" s="8"/>
      <c r="F52" s="8"/>
      <c r="G52" s="9"/>
      <c r="H52" s="9"/>
      <c r="I52" s="9"/>
      <c r="J52" s="9"/>
      <c r="K52" s="9"/>
      <c r="L52" s="8"/>
      <c r="M52" s="8"/>
      <c r="N52" s="9"/>
      <c r="O52" s="11"/>
      <c r="P52" s="11"/>
      <c r="S52" s="110"/>
      <c r="T52" s="110"/>
    </row>
    <row r="53" spans="2:20" s="10" customFormat="1">
      <c r="B53" s="12"/>
      <c r="C53" s="12"/>
      <c r="D53" s="8"/>
      <c r="E53" s="8"/>
      <c r="F53" s="8"/>
      <c r="G53" s="9"/>
      <c r="H53" s="9"/>
      <c r="I53" s="9"/>
      <c r="J53" s="9"/>
      <c r="K53" s="9"/>
      <c r="L53" s="8"/>
      <c r="M53" s="8"/>
      <c r="N53" s="9"/>
      <c r="O53" s="11"/>
      <c r="P53" s="11"/>
      <c r="S53" s="110"/>
      <c r="T53" s="110"/>
    </row>
    <row r="54" spans="2:20" s="10" customFormat="1">
      <c r="B54" s="12"/>
      <c r="C54" s="12"/>
      <c r="D54" s="8"/>
      <c r="E54" s="8"/>
      <c r="F54" s="8"/>
      <c r="G54" s="9"/>
      <c r="H54" s="9"/>
      <c r="I54" s="9"/>
      <c r="J54" s="9"/>
      <c r="K54" s="9"/>
      <c r="L54" s="8"/>
      <c r="M54" s="8"/>
      <c r="N54" s="9"/>
      <c r="O54" s="11"/>
      <c r="P54" s="11"/>
      <c r="S54" s="110"/>
      <c r="T54" s="110"/>
    </row>
    <row r="55" spans="2:20" s="10" customFormat="1">
      <c r="B55" s="12"/>
      <c r="C55" s="12"/>
      <c r="D55" s="8"/>
      <c r="E55" s="8"/>
      <c r="F55" s="8"/>
      <c r="G55" s="9"/>
      <c r="H55" s="9"/>
      <c r="I55" s="9"/>
      <c r="J55" s="9"/>
      <c r="K55" s="9"/>
      <c r="L55" s="8"/>
      <c r="M55" s="8"/>
      <c r="N55" s="9"/>
      <c r="O55" s="11"/>
      <c r="P55" s="11"/>
      <c r="S55" s="110"/>
      <c r="T55" s="110"/>
    </row>
    <row r="56" spans="2:20" s="10" customFormat="1">
      <c r="B56" s="12"/>
      <c r="C56" s="12"/>
      <c r="D56" s="8"/>
      <c r="E56" s="8"/>
      <c r="F56" s="8"/>
      <c r="G56" s="9"/>
      <c r="H56" s="9"/>
      <c r="I56" s="9"/>
      <c r="J56" s="9"/>
      <c r="K56" s="9"/>
      <c r="L56" s="8"/>
      <c r="M56" s="8"/>
      <c r="N56" s="9"/>
      <c r="O56" s="11"/>
      <c r="P56" s="11"/>
      <c r="S56" s="110"/>
      <c r="T56" s="110"/>
    </row>
    <row r="57" spans="2:20" s="10" customFormat="1">
      <c r="B57" s="12"/>
      <c r="C57" s="12"/>
      <c r="D57" s="8"/>
      <c r="E57" s="8"/>
      <c r="F57" s="8"/>
      <c r="G57" s="9"/>
      <c r="H57" s="9"/>
      <c r="I57" s="9"/>
      <c r="J57" s="9"/>
      <c r="K57" s="9"/>
      <c r="L57" s="8"/>
      <c r="M57" s="8"/>
      <c r="N57" s="9"/>
      <c r="O57" s="11"/>
      <c r="P57" s="11"/>
      <c r="S57" s="110"/>
      <c r="T57" s="110"/>
    </row>
    <row r="58" spans="2:20" s="10" customFormat="1">
      <c r="B58" s="12"/>
      <c r="C58" s="12"/>
      <c r="D58" s="8"/>
      <c r="E58" s="8"/>
      <c r="F58" s="8"/>
      <c r="G58" s="9"/>
      <c r="H58" s="9"/>
      <c r="I58" s="9"/>
      <c r="J58" s="9"/>
      <c r="K58" s="9"/>
      <c r="L58" s="8"/>
      <c r="M58" s="8"/>
      <c r="N58" s="9"/>
      <c r="O58" s="11"/>
      <c r="P58" s="11"/>
      <c r="S58" s="110"/>
      <c r="T58" s="110"/>
    </row>
    <row r="59" spans="2:20" s="10" customFormat="1">
      <c r="B59" s="12"/>
      <c r="C59" s="12"/>
      <c r="D59" s="8"/>
      <c r="E59" s="8"/>
      <c r="F59" s="8"/>
      <c r="G59" s="9"/>
      <c r="H59" s="9"/>
      <c r="I59" s="9"/>
      <c r="J59" s="9"/>
      <c r="K59" s="9"/>
      <c r="L59" s="8"/>
      <c r="M59" s="8"/>
      <c r="N59" s="9"/>
      <c r="O59" s="11"/>
      <c r="P59" s="11"/>
      <c r="S59" s="110"/>
      <c r="T59" s="110"/>
    </row>
    <row r="60" spans="2:20" s="10" customFormat="1">
      <c r="B60" s="12"/>
      <c r="C60" s="12"/>
      <c r="D60" s="8"/>
      <c r="E60" s="8"/>
      <c r="F60" s="8"/>
      <c r="G60" s="9"/>
      <c r="H60" s="9"/>
      <c r="I60" s="9"/>
      <c r="J60" s="9"/>
      <c r="K60" s="9"/>
      <c r="L60" s="8"/>
      <c r="M60" s="8"/>
      <c r="N60" s="9"/>
      <c r="O60" s="11"/>
      <c r="P60" s="11"/>
      <c r="S60" s="110"/>
      <c r="T60" s="110"/>
    </row>
    <row r="61" spans="2:20" s="10" customFormat="1">
      <c r="B61" s="12"/>
      <c r="C61" s="12"/>
      <c r="D61" s="8"/>
      <c r="E61" s="8"/>
      <c r="F61" s="8"/>
      <c r="G61" s="9"/>
      <c r="H61" s="9"/>
      <c r="I61" s="9"/>
      <c r="J61" s="9"/>
      <c r="K61" s="9"/>
      <c r="L61" s="8"/>
      <c r="M61" s="8"/>
      <c r="N61" s="9"/>
      <c r="O61" s="11"/>
      <c r="P61" s="11"/>
      <c r="S61" s="110"/>
      <c r="T61" s="110"/>
    </row>
    <row r="62" spans="2:20" s="10" customFormat="1">
      <c r="B62" s="12"/>
      <c r="C62" s="12"/>
      <c r="D62" s="8"/>
      <c r="E62" s="8"/>
      <c r="F62" s="8"/>
      <c r="G62" s="9"/>
      <c r="H62" s="9"/>
      <c r="I62" s="9"/>
      <c r="J62" s="9"/>
      <c r="K62" s="9"/>
      <c r="L62" s="8"/>
      <c r="M62" s="8"/>
      <c r="N62" s="9"/>
      <c r="O62" s="11"/>
      <c r="P62" s="11"/>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sheetData>
  <mergeCells count="20">
    <mergeCell ref="B2:E2"/>
    <mergeCell ref="G2:H2"/>
    <mergeCell ref="I2:M2"/>
    <mergeCell ref="I6:M6"/>
    <mergeCell ref="G5:H5"/>
    <mergeCell ref="I5:M5"/>
    <mergeCell ref="G6:H6"/>
    <mergeCell ref="B9:C9"/>
    <mergeCell ref="G3:H3"/>
    <mergeCell ref="I3:M3"/>
    <mergeCell ref="N3:O3"/>
    <mergeCell ref="G4:H4"/>
    <mergeCell ref="I4:M4"/>
    <mergeCell ref="N4:O4"/>
    <mergeCell ref="N6:O6"/>
    <mergeCell ref="S7:S8"/>
    <mergeCell ref="S17:T17"/>
    <mergeCell ref="J41:K41"/>
    <mergeCell ref="N2:O2"/>
    <mergeCell ref="N5:O5"/>
  </mergeCells>
  <phoneticPr fontId="8" type="noConversion"/>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7F7A-A4D4-9947-8591-ADD41B13F9DA}">
  <dimension ref="A1:AP379"/>
  <sheetViews>
    <sheetView zoomScale="120" zoomScaleNormal="120" workbookViewId="0">
      <pane ySplit="7" topLeftCell="A24" activePane="bottomLeft" state="frozen"/>
      <selection activeCell="A3" sqref="A1:XFD1048576"/>
      <selection pane="bottomLeft" activeCell="B42" sqref="B42:Q42"/>
    </sheetView>
  </sheetViews>
  <sheetFormatPr baseColWidth="10" defaultColWidth="10.83203125" defaultRowHeight="16"/>
  <cols>
    <col min="1" max="1" width="1.5" style="10" customWidth="1"/>
    <col min="2" max="3" width="5.6640625" style="2" customWidth="1"/>
    <col min="4" max="4" width="11.1640625" style="5" bestFit="1" customWidth="1"/>
    <col min="5" max="5" width="10.83203125" style="5"/>
    <col min="6" max="6" width="4.5" style="5" customWidth="1"/>
    <col min="7" max="7" width="4.33203125" style="3" customWidth="1"/>
    <col min="8"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55.33203125" style="1" customWidth="1"/>
    <col min="18" max="18" width="3.1640625" style="10" customWidth="1"/>
    <col min="19" max="19" width="12.6640625" style="110" customWidth="1"/>
    <col min="20" max="20" width="10.83203125" style="110"/>
    <col min="21" max="23" width="11.83203125" style="10" bestFit="1" customWidth="1"/>
    <col min="24"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SUM(O10:O39)+(SUM(O43:O48)/2)</f>
        <v>81065.154999999999</v>
      </c>
      <c r="H2" s="1015"/>
      <c r="I2" s="1007" t="s">
        <v>1543</v>
      </c>
      <c r="J2" s="1008"/>
      <c r="K2" s="1008"/>
      <c r="L2" s="1008"/>
      <c r="M2" s="1009"/>
      <c r="N2" s="1014">
        <f>SUM(D10:E39)/(G5-4)</f>
        <v>322.36076923076922</v>
      </c>
      <c r="O2" s="1015"/>
      <c r="P2" s="145" t="s">
        <v>284</v>
      </c>
      <c r="Q2" s="146">
        <f>SUM(P10:P40)-SUM(M10:M40)-SUM(I10:I40)-SUM(E10:E40)-Q3+SET!Q2</f>
        <v>125633.08</v>
      </c>
      <c r="S2" s="108"/>
      <c r="T2" s="109"/>
    </row>
    <row r="3" spans="1:42" s="22" customFormat="1" ht="20" customHeight="1">
      <c r="B3" s="148" t="s">
        <v>285</v>
      </c>
      <c r="C3" s="149"/>
      <c r="D3" s="149"/>
      <c r="E3" s="149"/>
      <c r="F3" s="150"/>
      <c r="G3" s="1014">
        <f>SUM(P10:P39)+SUM(P43:P48)</f>
        <v>45356.56</v>
      </c>
      <c r="H3" s="1015"/>
      <c r="I3" s="1007" t="s">
        <v>1544</v>
      </c>
      <c r="J3" s="1008"/>
      <c r="K3" s="1008"/>
      <c r="L3" s="1008"/>
      <c r="M3" s="1009"/>
      <c r="N3" s="1014">
        <f>SUM(H10:I39)/G5</f>
        <v>472.49599999999992</v>
      </c>
      <c r="O3" s="1015"/>
      <c r="P3" s="145" t="s">
        <v>1545</v>
      </c>
      <c r="Q3" s="146">
        <f>SUMIFS(BANCA!$E:$E,BANCA!$B:$B,"&gt;=01/08/2023",BANCA!$B:$B,"&lt;=31/08/2023",BANCA!$D:$D,"Versamento contanti")</f>
        <v>0</v>
      </c>
      <c r="S3" s="108"/>
      <c r="T3" s="109"/>
    </row>
    <row r="4" spans="1:42" s="22" customFormat="1" ht="20" customHeight="1">
      <c r="B4" s="148" t="s">
        <v>287</v>
      </c>
      <c r="C4" s="149"/>
      <c r="D4" s="149"/>
      <c r="E4" s="149"/>
      <c r="F4" s="150"/>
      <c r="G4" s="1016">
        <f>G3/G2</f>
        <v>0.5595074727236381</v>
      </c>
      <c r="H4" s="1017"/>
      <c r="I4" s="1007" t="s">
        <v>1546</v>
      </c>
      <c r="J4" s="1008"/>
      <c r="K4" s="1008"/>
      <c r="L4" s="1008"/>
      <c r="M4" s="1009"/>
      <c r="N4" s="1014">
        <f>SUM(L10:M39)/G5</f>
        <v>1278.9556666666665</v>
      </c>
      <c r="O4" s="1015"/>
      <c r="P4" s="23"/>
      <c r="S4" s="108"/>
      <c r="T4" s="109"/>
    </row>
    <row r="5" spans="1:42" s="22" customFormat="1" ht="20" customHeight="1">
      <c r="B5" s="148" t="s">
        <v>288</v>
      </c>
      <c r="C5" s="149"/>
      <c r="D5" s="149"/>
      <c r="E5" s="149"/>
      <c r="F5" s="150"/>
      <c r="G5" s="1005">
        <f>COUNTA(O10:O39)</f>
        <v>30</v>
      </c>
      <c r="H5" s="1006"/>
      <c r="I5" s="1007" t="s">
        <v>290</v>
      </c>
      <c r="J5" s="1008"/>
      <c r="K5" s="1008"/>
      <c r="L5" s="1008"/>
      <c r="M5" s="1009"/>
      <c r="N5" s="1014">
        <f>SUM(E10:E39,M10:M39,I10:I39)</f>
        <v>28759.480000000003</v>
      </c>
      <c r="O5" s="1017"/>
      <c r="P5" s="23"/>
      <c r="S5" s="108"/>
      <c r="T5" s="109"/>
    </row>
    <row r="6" spans="1:42" s="22" customFormat="1" ht="20" customHeight="1">
      <c r="B6" s="151" t="s">
        <v>289</v>
      </c>
      <c r="C6" s="152"/>
      <c r="D6" s="152"/>
      <c r="E6" s="152"/>
      <c r="F6" s="153"/>
      <c r="G6" s="1014">
        <f>G2/G5</f>
        <v>2702.1718333333333</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176</v>
      </c>
      <c r="D10" s="206">
        <f>600-E10</f>
        <v>149.85000000000002</v>
      </c>
      <c r="E10" s="206">
        <v>450.15</v>
      </c>
      <c r="F10" s="207">
        <v>95</v>
      </c>
      <c r="G10" s="427" t="s">
        <v>295</v>
      </c>
      <c r="H10" s="206">
        <f>1639-D10-E10-I10</f>
        <v>586.20000000000005</v>
      </c>
      <c r="I10" s="206">
        <v>452.8</v>
      </c>
      <c r="J10" s="207">
        <v>17</v>
      </c>
      <c r="K10" s="842" t="s">
        <v>295</v>
      </c>
      <c r="L10" s="206">
        <f>10763.05-M10-I10-H10-E10-D10</f>
        <v>5257.5</v>
      </c>
      <c r="M10" s="206">
        <f>4769.5-I10-E10</f>
        <v>3866.5499999999997</v>
      </c>
      <c r="N10" s="842" t="s">
        <v>295</v>
      </c>
      <c r="O10" s="208">
        <f t="shared" ref="O10:O39" si="0">SUM(D10:E10,H10:I10,L10:M10)</f>
        <v>10763.05</v>
      </c>
      <c r="P10" s="209">
        <v>5014.3999999999996</v>
      </c>
      <c r="Q10" s="838" t="s">
        <v>2230</v>
      </c>
      <c r="S10" s="157" t="s">
        <v>1567</v>
      </c>
      <c r="T10" s="156"/>
      <c r="U10" s="156">
        <f>(SUMIF($C$10:$C$39,S10,$H$10:$H$39)+SUMIF($C$10:$C$39,S10,$I$10:$I$39)+SUMIF($C$10:$C$39,S10,$L$10:$L$39)+SUMIF($C$10:$C$39,S10,$M$10:$M$39))/(COUNTIF($C$10:$C$39,S10)-1)</f>
        <v>653.90000000000009</v>
      </c>
      <c r="V10" s="156">
        <f>(SUMIF($C$10:$C$39,S10,$H$10:$H$39)+SUMIF($C$10:$C$39,S10,$I$10:$I$39))/(COUNTIF($C$10:$C$39,S10)-1)</f>
        <v>385.8</v>
      </c>
      <c r="W10" s="156">
        <f>(SUMIF($C$10:$C$39,S10,$L$10:$L$39)+SUMIF($C$10:$C$39,S10,$M$10:$M$39))/(COUNTIF($C$10:$C$39,S10)-1)</f>
        <v>268.09999999999997</v>
      </c>
    </row>
    <row r="11" spans="1:42" s="14" customFormat="1" ht="16" customHeight="1">
      <c r="B11" s="19" t="s">
        <v>23</v>
      </c>
      <c r="C11" s="19" t="s">
        <v>177</v>
      </c>
      <c r="D11" s="206">
        <f>386.2-E11</f>
        <v>267.7</v>
      </c>
      <c r="E11" s="206">
        <v>118.5</v>
      </c>
      <c r="F11" s="207">
        <v>50</v>
      </c>
      <c r="G11" s="427" t="s">
        <v>1596</v>
      </c>
      <c r="H11" s="206">
        <f>995.6-D11-E11-I11</f>
        <v>294.80000000000007</v>
      </c>
      <c r="I11" s="206">
        <v>314.60000000000002</v>
      </c>
      <c r="J11" s="207">
        <v>5</v>
      </c>
      <c r="K11" s="427" t="s">
        <v>1596</v>
      </c>
      <c r="L11" s="206">
        <f>1141.9-M11-I11-H11-E11-D11</f>
        <v>95.300000000000011</v>
      </c>
      <c r="M11" s="206">
        <f>484.1-I11-E11</f>
        <v>51</v>
      </c>
      <c r="N11" s="227" t="s">
        <v>1596</v>
      </c>
      <c r="O11" s="208">
        <f t="shared" si="0"/>
        <v>1141.9000000000001</v>
      </c>
      <c r="P11" s="209">
        <v>552.5</v>
      </c>
      <c r="Q11" s="210"/>
      <c r="S11" s="157" t="s">
        <v>294</v>
      </c>
      <c r="T11" s="156">
        <f>(SUMIF($C$10:$C$39,S11,$D$10:$D$39)+SUMIF($C$10:$C$39,S11,$E$10:$E$39))/(COUNTIF($C$10:$C$39,S11)-1)</f>
        <v>288.86666666666667</v>
      </c>
      <c r="U11" s="156">
        <f>(SUMIF($C$10:$C$39,S11,$H$10:$H$39)+SUMIF($C$10:$C$39,S11,$I$10:$I$39)+SUMIF($C$10:$C$39,S11,$L$10:$L$39)+SUMIF($C$10:$C$39,S11,$M$10:$M$39))/COUNTIF($C$10:$C$39,S11)</f>
        <v>592.75</v>
      </c>
      <c r="V11" s="156">
        <f>(SUMIF($C$10:$C$39,S11,$H$10:$H$39)+SUMIF($C$10:$C$39,S11,$I$10:$I$39))/COUNTIF($C$10:$C$39,S11)</f>
        <v>259.85000000000002</v>
      </c>
      <c r="W11" s="156">
        <f>(SUMIF($C$10:$C$39,S11,$L$10:$L$39)+SUMIF($C$10:$C$39,S11,$M$10:$M$39))/COUNTIF($C$10:$C$39,S11)</f>
        <v>332.9</v>
      </c>
    </row>
    <row r="12" spans="1:42" s="14" customFormat="1" ht="16" customHeight="1">
      <c r="B12" s="19" t="s">
        <v>1559</v>
      </c>
      <c r="C12" s="19" t="s">
        <v>1567</v>
      </c>
      <c r="D12" s="206"/>
      <c r="E12" s="206"/>
      <c r="F12" s="207"/>
      <c r="G12" s="227"/>
      <c r="H12" s="206">
        <f>293.7-D12-E12-I12</f>
        <v>86.699999999999989</v>
      </c>
      <c r="I12" s="206">
        <v>207</v>
      </c>
      <c r="J12" s="207">
        <v>14</v>
      </c>
      <c r="K12" s="427" t="s">
        <v>295</v>
      </c>
      <c r="L12" s="206">
        <f>750-M12-I12-H12-E12-D12</f>
        <v>283.3</v>
      </c>
      <c r="M12" s="206">
        <f>380-I12-E12</f>
        <v>173</v>
      </c>
      <c r="N12" s="427" t="s">
        <v>295</v>
      </c>
      <c r="O12" s="208">
        <f t="shared" si="0"/>
        <v>750</v>
      </c>
      <c r="P12" s="209">
        <v>290</v>
      </c>
      <c r="Q12" s="210"/>
      <c r="S12" s="157" t="s">
        <v>1557</v>
      </c>
      <c r="T12" s="156">
        <f>(SUMIF($C$10:$C$39,S12,$D$10:$D$39)+SUMIF($C$10:$C$39,S12,$E$10:$E$39))/COUNTIF($C$10:$C$39,S12)</f>
        <v>157.79500000000002</v>
      </c>
      <c r="U12" s="156">
        <f>(SUMIF($C$10:$C$39,S12,$H$10:$H$39)+SUMIF($C$10:$C$39,S12,$I$10:$I$39)+SUMIF($C$10:$C$39,S12,$L$10:$L$39)+SUMIF($C$10:$C$39,S12,$M$10:$M$39))/COUNTIF($C$10:$C$39,S12)</f>
        <v>751.62999999999988</v>
      </c>
      <c r="V12" s="156">
        <f>(SUMIF($C$10:$C$39,S12,$H$10:$H$39)+SUMIF($C$10:$C$39,S12,$I$10:$I$39))/COUNTIF($C$10:$C$39,S12)</f>
        <v>431.70499999999993</v>
      </c>
      <c r="W12" s="156">
        <f>(SUMIF($C$10:$C$39,S12,$L$10:$L$39)+SUMIF($C$10:$C$39,S12,$M$10:$M$39))/COUNTIF($C$10:$C$39,S12)</f>
        <v>319.92500000000001</v>
      </c>
    </row>
    <row r="13" spans="1:42" s="14" customFormat="1" ht="16" customHeight="1">
      <c r="B13" s="19" t="s">
        <v>1561</v>
      </c>
      <c r="C13" s="19" t="s">
        <v>294</v>
      </c>
      <c r="D13" s="206">
        <f>288.1-E13</f>
        <v>239.8</v>
      </c>
      <c r="E13" s="206">
        <v>48.3</v>
      </c>
      <c r="F13" s="207">
        <v>102</v>
      </c>
      <c r="G13" s="842" t="s">
        <v>295</v>
      </c>
      <c r="H13" s="206">
        <f>517.4-D13-E13-I13</f>
        <v>164.19999999999996</v>
      </c>
      <c r="I13" s="206">
        <v>65.099999999999994</v>
      </c>
      <c r="J13" s="207">
        <v>21</v>
      </c>
      <c r="K13" s="842" t="s">
        <v>295</v>
      </c>
      <c r="L13" s="206">
        <f>834.3-M13-I13-H13-E13-D13</f>
        <v>145.39999999999998</v>
      </c>
      <c r="M13" s="206">
        <f>284.9-I13-E13</f>
        <v>171.5</v>
      </c>
      <c r="N13" s="842" t="s">
        <v>295</v>
      </c>
      <c r="O13" s="208">
        <f t="shared" si="0"/>
        <v>834.3</v>
      </c>
      <c r="P13" s="209">
        <v>457.8</v>
      </c>
      <c r="Q13" s="210"/>
      <c r="S13" s="157" t="s">
        <v>1558</v>
      </c>
      <c r="T13" s="156">
        <f>(SUMIF($C$10:$C$39,S13,$D$10:$D$39)+SUMIF($C$10:$C$39,S13,$E$10:$E$39))/COUNTIF($C$10:$C$39,S13)</f>
        <v>256.92500000000001</v>
      </c>
      <c r="U13" s="156">
        <f>(SUMIF($C$10:$C$39,S13,$H$10:$H$39)+SUMIF($C$10:$C$39,S13,$I$10:$I$39)+SUMIF($C$10:$C$39,S13,$L$10:$L$39)+SUMIF($C$10:$C$39,S13,$M$10:$M$39))/COUNTIF($C$10:$C$39,S13)</f>
        <v>833.75</v>
      </c>
      <c r="V13" s="156">
        <f>(SUMIF($C$10:$C$39,S13,$H$10:$H$39)+SUMIF($C$10:$C$39,S13,$I$10:$I$39))/COUNTIF($C$10:$C$39,S13)</f>
        <v>342.70000000000005</v>
      </c>
      <c r="W13" s="156">
        <f>(SUMIF($C$10:$C$39,S13,$L$10:$L$39)+SUMIF($C$10:$C$39,S13,$M$10:$M$39))/COUNTIF($C$10:$C$39,S13)</f>
        <v>491.04999999999995</v>
      </c>
    </row>
    <row r="14" spans="1:42" s="14" customFormat="1" ht="16" customHeight="1">
      <c r="B14" s="19" t="s">
        <v>1563</v>
      </c>
      <c r="C14" s="19" t="s">
        <v>1557</v>
      </c>
      <c r="D14" s="206">
        <f>164.5-E14</f>
        <v>134.5</v>
      </c>
      <c r="E14" s="206">
        <v>30</v>
      </c>
      <c r="F14" s="207">
        <v>53</v>
      </c>
      <c r="G14" s="842" t="s">
        <v>295</v>
      </c>
      <c r="H14" s="206">
        <f>556.4-D14-E14-I14</f>
        <v>235.89999999999998</v>
      </c>
      <c r="I14" s="206">
        <v>156</v>
      </c>
      <c r="J14" s="207">
        <v>10</v>
      </c>
      <c r="K14" s="842" t="s">
        <v>295</v>
      </c>
      <c r="L14" s="206">
        <f>932.4-M14-I14-H14-E14-D14</f>
        <v>240.5</v>
      </c>
      <c r="M14" s="206">
        <f>321.5-I14-E14</f>
        <v>135.5</v>
      </c>
      <c r="N14" s="842" t="s">
        <v>295</v>
      </c>
      <c r="O14" s="208">
        <f t="shared" si="0"/>
        <v>932.4</v>
      </c>
      <c r="P14" s="209">
        <v>588.70000000000005</v>
      </c>
      <c r="Q14" s="210"/>
      <c r="S14" s="157" t="s">
        <v>175</v>
      </c>
      <c r="T14" s="156">
        <f>(SUMIF($C$10:$C$39,S14,$D$10:$D$39)+SUMIF($C$10:$C$39,S14,$E$10:$E$39))/COUNTIF($C$10:$C$39,S14)</f>
        <v>195.47500000000002</v>
      </c>
      <c r="U14" s="156">
        <f>(SUMIF($C$10:$C$39,S14,$H$10:$H$39)+SUMIF($C$10:$C$39,S14,$I$10:$I$39)+SUMIF($C$10:$C$39,S14,$L$10:$L$39)+SUMIF($C$10:$C$39,S14,$M$10:$M$39))/COUNTIF($C$10:$C$39,S14)</f>
        <v>2036.8250000000003</v>
      </c>
      <c r="V14" s="156">
        <f>(SUMIF($C$10:$C$39,S14,$H$10:$H$39)+SUMIF($C$10:$C$39,S14,$I$10:$I$39))/COUNTIF($C$10:$C$39,S14)</f>
        <v>400.22500000000002</v>
      </c>
      <c r="W14" s="156">
        <f>(SUMIF($C$10:$C$39,S14,$L$10:$L$39)+SUMIF($C$10:$C$39,S14,$M$10:$M$39))/COUNTIF($C$10:$C$39,S14)</f>
        <v>1636.6</v>
      </c>
    </row>
    <row r="15" spans="1:42" s="14" customFormat="1" ht="16" customHeight="1">
      <c r="B15" s="19" t="s">
        <v>1566</v>
      </c>
      <c r="C15" s="19" t="s">
        <v>1558</v>
      </c>
      <c r="D15" s="206">
        <f>351.4-E15</f>
        <v>301</v>
      </c>
      <c r="E15" s="206">
        <v>50.4</v>
      </c>
      <c r="F15" s="207">
        <v>96</v>
      </c>
      <c r="G15" s="842" t="s">
        <v>295</v>
      </c>
      <c r="H15" s="206">
        <f>872.8-D15-E15-I15</f>
        <v>308.5</v>
      </c>
      <c r="I15" s="206">
        <v>212.9</v>
      </c>
      <c r="J15" s="207">
        <v>13</v>
      </c>
      <c r="K15" s="842" t="s">
        <v>295</v>
      </c>
      <c r="L15" s="206">
        <f>1139.8-M15-I15-H15-E15-D15</f>
        <v>168.5</v>
      </c>
      <c r="M15" s="206">
        <f>361.8-I15-E15</f>
        <v>98.5</v>
      </c>
      <c r="N15" s="842" t="s">
        <v>295</v>
      </c>
      <c r="O15" s="208">
        <f t="shared" si="0"/>
        <v>1139.8</v>
      </c>
      <c r="P15" s="209">
        <v>611.4</v>
      </c>
      <c r="Q15" s="210"/>
      <c r="S15" s="157" t="s">
        <v>176</v>
      </c>
      <c r="T15" s="156">
        <f>(SUMIF($C$10:$C$39,S15,$D$10:$D$39)+SUMIF($C$10:$C$39,S15,$E$10:$E$39))/COUNTIF($C$10:$C$39,S15)</f>
        <v>446.12000000000006</v>
      </c>
      <c r="U15" s="156">
        <f>(SUMIF($C$10:$C$39,S15,$H$10:$H$39)+SUMIF($C$10:$C$39,S15,$I$10:$I$39)+SUMIF($C$10:$C$39,S15,$L$10:$L$39)+SUMIF($C$10:$C$39,S15,$M$10:$M$39))/COUNTIF($C$10:$C$39,S15)</f>
        <v>4581.4740000000002</v>
      </c>
      <c r="V15" s="156">
        <f>(SUMIF($C$10:$C$39,S15,$H$10:$H$39)+SUMIF($C$10:$C$39,S15,$I$10:$I$39))/COUNTIF($C$10:$C$39,S15)</f>
        <v>882.04000000000019</v>
      </c>
      <c r="W15" s="156">
        <f>(SUMIF($C$10:$C$39,S15,$L$10:$L$39)+SUMIF($C$10:$C$39,S15,$M$10:$M$39))/COUNTIF($C$10:$C$39,S15)</f>
        <v>3699.4339999999997</v>
      </c>
    </row>
    <row r="16" spans="1:42" s="14" customFormat="1" ht="16" customHeight="1">
      <c r="B16" s="19" t="s">
        <v>1569</v>
      </c>
      <c r="C16" s="19" t="s">
        <v>175</v>
      </c>
      <c r="D16" s="206">
        <f>206.9-E16</f>
        <v>115</v>
      </c>
      <c r="E16" s="206">
        <v>91.9</v>
      </c>
      <c r="F16" s="207">
        <v>53</v>
      </c>
      <c r="G16" s="842" t="s">
        <v>295</v>
      </c>
      <c r="H16" s="206">
        <f>756.9-D16-E16-I16</f>
        <v>486</v>
      </c>
      <c r="I16" s="206">
        <v>64</v>
      </c>
      <c r="J16" s="207">
        <v>54</v>
      </c>
      <c r="K16" s="842" t="s">
        <v>295</v>
      </c>
      <c r="L16" s="206">
        <f>2790.8-M16-I16-H16-E16-D16</f>
        <v>891.4000000000002</v>
      </c>
      <c r="M16" s="206">
        <f>1298.4-I16-E16</f>
        <v>1142.5</v>
      </c>
      <c r="N16" s="842" t="s">
        <v>295</v>
      </c>
      <c r="O16" s="208">
        <f t="shared" ref="O16" si="1">SUM(D16:E16,H16:I16,L16:M16)</f>
        <v>2790.8</v>
      </c>
      <c r="P16" s="209">
        <v>1727</v>
      </c>
      <c r="Q16" s="210" t="s">
        <v>1641</v>
      </c>
      <c r="S16" s="157" t="s">
        <v>177</v>
      </c>
      <c r="T16" s="156">
        <f>(SUMIF($C$10:$C$39,S16,$D$10:$D$39)+SUMIF($C$10:$C$39,S16,$E$10:$E$39))/(COUNTIF($C$10:$C$39,S16)-1)</f>
        <v>710.84999999999991</v>
      </c>
      <c r="U16" s="156">
        <f>(SUMIF($C$10:$C$39,S16,$H$10:$H$39)+SUMIF($C$10:$C$39,S16,$I$10:$I$39)+SUMIF($C$10:$C$39,S16,$L$10:$L$39)+SUMIF($C$10:$C$39,S16,$M$10:$M$39))/(COUNTIF($C$10:$C$39,S16)-1)</f>
        <v>2703.665</v>
      </c>
      <c r="V16" s="156">
        <f>(SUMIF($C$10:$C$39,S16,$H$10:$H$39)+SUMIF($C$10:$C$39,S16,$I$10:$I$39))/(COUNTIF($C$10:$C$39,S16)-1)</f>
        <v>717.33999999999992</v>
      </c>
      <c r="W16" s="156">
        <f>(SUMIF($C$10:$C$39,S16,$L$10:$L$39)+SUMIF($C$10:$C$39,S16,$M$10:$M$39))/(COUNTIF($C$10:$C$39,S16)-1)</f>
        <v>1986.325</v>
      </c>
      <c r="X16" s="59"/>
      <c r="Y16" s="59"/>
      <c r="Z16" s="59"/>
      <c r="AA16" s="59"/>
      <c r="AB16" s="59"/>
      <c r="AC16" s="59"/>
    </row>
    <row r="17" spans="2:23" s="14" customFormat="1" ht="16" customHeight="1">
      <c r="B17" s="19" t="s">
        <v>297</v>
      </c>
      <c r="C17" s="19" t="s">
        <v>176</v>
      </c>
      <c r="D17" s="206">
        <f>554-E17</f>
        <v>371.5</v>
      </c>
      <c r="E17" s="206">
        <v>182.5</v>
      </c>
      <c r="F17" s="207">
        <v>60</v>
      </c>
      <c r="G17" s="842" t="s">
        <v>295</v>
      </c>
      <c r="H17" s="206">
        <f>1620.9-D17-E17-I17</f>
        <v>82.500000000000114</v>
      </c>
      <c r="I17" s="206">
        <v>984.4</v>
      </c>
      <c r="J17" s="207">
        <v>5</v>
      </c>
      <c r="K17" s="842" t="s">
        <v>295</v>
      </c>
      <c r="L17" s="206">
        <f>4216.12-M17-I17-H17-E17-D17</f>
        <v>1320.6999999999998</v>
      </c>
      <c r="M17" s="206">
        <f>2441.42-I17-E17</f>
        <v>1274.52</v>
      </c>
      <c r="N17" s="842" t="s">
        <v>295</v>
      </c>
      <c r="O17" s="208">
        <f t="shared" si="0"/>
        <v>4216.12</v>
      </c>
      <c r="P17" s="209">
        <v>2907.4</v>
      </c>
      <c r="Q17" s="210" t="s">
        <v>2254</v>
      </c>
      <c r="S17" s="1019"/>
      <c r="T17" s="1020"/>
      <c r="U17" s="159"/>
    </row>
    <row r="18" spans="2:23" s="14" customFormat="1" ht="16" customHeight="1">
      <c r="B18" s="19" t="s">
        <v>1572</v>
      </c>
      <c r="C18" s="19" t="s">
        <v>177</v>
      </c>
      <c r="D18" s="206">
        <f>772.3-E18</f>
        <v>627.9</v>
      </c>
      <c r="E18" s="206">
        <v>144.4</v>
      </c>
      <c r="F18" s="207">
        <v>90</v>
      </c>
      <c r="G18" s="842" t="s">
        <v>295</v>
      </c>
      <c r="H18" s="206">
        <f>1836.56-D18-E18-I18</f>
        <v>169.5999999999998</v>
      </c>
      <c r="I18" s="206">
        <v>894.66</v>
      </c>
      <c r="J18" s="207">
        <v>10</v>
      </c>
      <c r="K18" s="842" t="s">
        <v>295</v>
      </c>
      <c r="L18" s="206">
        <f>2389.06-M18-I18-H18-E18-D18</f>
        <v>117.50000000000034</v>
      </c>
      <c r="M18" s="206">
        <f>1474.06-I18-E18</f>
        <v>435</v>
      </c>
      <c r="N18" s="842" t="s">
        <v>295</v>
      </c>
      <c r="O18" s="208">
        <f t="shared" si="0"/>
        <v>2389.06</v>
      </c>
      <c r="P18" s="209">
        <v>2139.86</v>
      </c>
      <c r="Q18" s="210" t="s">
        <v>2293</v>
      </c>
      <c r="S18" s="180"/>
      <c r="T18" s="197"/>
      <c r="U18" s="205" t="s">
        <v>1716</v>
      </c>
      <c r="V18" s="205" t="s">
        <v>1717</v>
      </c>
      <c r="W18" s="205"/>
    </row>
    <row r="19" spans="2:23" s="14" customFormat="1" ht="16" customHeight="1">
      <c r="B19" s="19" t="s">
        <v>1574</v>
      </c>
      <c r="C19" s="19" t="s">
        <v>1567</v>
      </c>
      <c r="D19" s="206"/>
      <c r="E19" s="206"/>
      <c r="F19" s="207"/>
      <c r="G19" s="227"/>
      <c r="H19" s="206">
        <f>424.9-D19-E19-I19</f>
        <v>82.199999999999989</v>
      </c>
      <c r="I19" s="206">
        <v>342.7</v>
      </c>
      <c r="J19" s="207">
        <v>34</v>
      </c>
      <c r="K19" s="842" t="s">
        <v>295</v>
      </c>
      <c r="L19" s="206">
        <f>603-M19-I19-H19-E19-D19</f>
        <v>21.100000000000023</v>
      </c>
      <c r="M19" s="206">
        <f>499.7-I19-E19</f>
        <v>157</v>
      </c>
      <c r="N19" s="842" t="s">
        <v>295</v>
      </c>
      <c r="O19" s="208">
        <f t="shared" si="0"/>
        <v>603</v>
      </c>
      <c r="P19" s="209">
        <v>642</v>
      </c>
      <c r="Q19" s="210"/>
      <c r="S19" s="211" t="s">
        <v>1573</v>
      </c>
      <c r="T19" s="212"/>
      <c r="U19" s="213"/>
      <c r="V19" s="213"/>
    </row>
    <row r="20" spans="2:23" s="14" customFormat="1" ht="16" customHeight="1">
      <c r="B20" s="19" t="s">
        <v>1577</v>
      </c>
      <c r="C20" s="19" t="s">
        <v>294</v>
      </c>
      <c r="D20" s="206">
        <f>336-E20</f>
        <v>215.9</v>
      </c>
      <c r="E20" s="206">
        <v>120.1</v>
      </c>
      <c r="F20" s="207">
        <v>51</v>
      </c>
      <c r="G20" s="842" t="s">
        <v>295</v>
      </c>
      <c r="H20" s="206">
        <f>563.1-D20-E20-I20</f>
        <v>74.100000000000051</v>
      </c>
      <c r="I20" s="206">
        <v>153</v>
      </c>
      <c r="J20" s="207">
        <v>15</v>
      </c>
      <c r="K20" s="842" t="s">
        <v>295</v>
      </c>
      <c r="L20" s="206">
        <f>725.5-M20-I20-H20-E20-D20</f>
        <v>51.399999999999949</v>
      </c>
      <c r="M20" s="206">
        <f>384.1-I20-E20</f>
        <v>111.00000000000003</v>
      </c>
      <c r="N20" s="842" t="s">
        <v>295</v>
      </c>
      <c r="O20" s="208">
        <f t="shared" si="0"/>
        <v>725.5</v>
      </c>
      <c r="P20" s="209">
        <v>448.5</v>
      </c>
      <c r="Q20" s="210"/>
      <c r="S20" s="211" t="s">
        <v>1708</v>
      </c>
      <c r="T20" s="212"/>
      <c r="U20" s="213"/>
      <c r="V20" s="213"/>
    </row>
    <row r="21" spans="2:23" s="14" customFormat="1" ht="16" customHeight="1">
      <c r="B21" s="19" t="s">
        <v>977</v>
      </c>
      <c r="C21" s="19" t="s">
        <v>1557</v>
      </c>
      <c r="D21" s="206">
        <f>186.1-E21</f>
        <v>135.6</v>
      </c>
      <c r="E21" s="206">
        <v>50.5</v>
      </c>
      <c r="F21" s="207">
        <v>75</v>
      </c>
      <c r="G21" s="842" t="s">
        <v>295</v>
      </c>
      <c r="H21" s="206">
        <f>533.5-D21-E21-I21</f>
        <v>240.2</v>
      </c>
      <c r="I21" s="206">
        <v>107.2</v>
      </c>
      <c r="J21" s="207">
        <v>11</v>
      </c>
      <c r="K21" s="842" t="s">
        <v>295</v>
      </c>
      <c r="L21" s="206">
        <f>794.5-M21-I21-H21-E21-D21</f>
        <v>118.49999999999997</v>
      </c>
      <c r="M21" s="206">
        <f>300.2-I21-E21</f>
        <v>142.5</v>
      </c>
      <c r="N21" s="842" t="s">
        <v>295</v>
      </c>
      <c r="O21" s="208">
        <f t="shared" si="0"/>
        <v>794.5</v>
      </c>
      <c r="P21" s="209">
        <v>407</v>
      </c>
      <c r="Q21" s="210"/>
      <c r="S21" s="211" t="s">
        <v>1579</v>
      </c>
      <c r="T21" s="212"/>
      <c r="U21" s="213"/>
      <c r="V21" s="213"/>
    </row>
    <row r="22" spans="2:23" s="14" customFormat="1" ht="16" customHeight="1">
      <c r="B22" s="19" t="s">
        <v>1581</v>
      </c>
      <c r="C22" s="19" t="s">
        <v>1558</v>
      </c>
      <c r="D22" s="206">
        <f>267.1-E22</f>
        <v>242.8</v>
      </c>
      <c r="E22" s="206">
        <v>24.3</v>
      </c>
      <c r="F22" s="207">
        <v>79</v>
      </c>
      <c r="G22" s="842" t="s">
        <v>295</v>
      </c>
      <c r="H22" s="206">
        <f>581.3-D22-E22-I22</f>
        <v>160.89999999999992</v>
      </c>
      <c r="I22" s="206">
        <v>153.30000000000001</v>
      </c>
      <c r="J22" s="207">
        <v>12</v>
      </c>
      <c r="K22" s="842" t="s">
        <v>295</v>
      </c>
      <c r="L22" s="206">
        <f>1242-M22-I22-H22-E22-D22</f>
        <v>218.8</v>
      </c>
      <c r="M22" s="206">
        <f>619.5-I22-E22</f>
        <v>441.9</v>
      </c>
      <c r="N22" s="842" t="s">
        <v>295</v>
      </c>
      <c r="O22" s="208">
        <f t="shared" si="0"/>
        <v>1242</v>
      </c>
      <c r="P22" s="209">
        <v>635.5</v>
      </c>
      <c r="Q22" s="210"/>
      <c r="S22" s="214" t="s">
        <v>952</v>
      </c>
      <c r="T22" s="215"/>
      <c r="U22" s="216"/>
      <c r="V22" s="216"/>
    </row>
    <row r="23" spans="2:23" s="14" customFormat="1" ht="16" customHeight="1">
      <c r="B23" s="19" t="s">
        <v>1583</v>
      </c>
      <c r="C23" s="19" t="s">
        <v>175</v>
      </c>
      <c r="D23" s="206">
        <f>183.3-E23</f>
        <v>122.9</v>
      </c>
      <c r="E23" s="206">
        <v>60.4</v>
      </c>
      <c r="F23" s="207">
        <v>43</v>
      </c>
      <c r="G23" s="842" t="s">
        <v>295</v>
      </c>
      <c r="H23" s="206">
        <f>611.6-D23-E23-I23</f>
        <v>285.30000000000007</v>
      </c>
      <c r="I23" s="206">
        <v>143</v>
      </c>
      <c r="J23" s="207">
        <v>16</v>
      </c>
      <c r="K23" s="842" t="s">
        <v>295</v>
      </c>
      <c r="L23" s="206">
        <f>3632.8-M23-I23-H23-E23-D23</f>
        <v>1025.1999999999998</v>
      </c>
      <c r="M23" s="206">
        <f>2199.4-I23-E23</f>
        <v>1996</v>
      </c>
      <c r="N23" s="842" t="s">
        <v>295</v>
      </c>
      <c r="O23" s="208">
        <f t="shared" si="0"/>
        <v>3632.8</v>
      </c>
      <c r="P23" s="209">
        <v>2707.5</v>
      </c>
      <c r="Q23" s="210" t="s">
        <v>2269</v>
      </c>
      <c r="S23" s="214" t="s">
        <v>1584</v>
      </c>
      <c r="T23" s="215"/>
      <c r="U23" s="216"/>
      <c r="V23" s="216"/>
    </row>
    <row r="24" spans="2:23" s="14" customFormat="1" ht="16" customHeight="1">
      <c r="B24" s="19" t="s">
        <v>298</v>
      </c>
      <c r="C24" s="19" t="s">
        <v>176</v>
      </c>
      <c r="D24" s="206">
        <f>502.8-E24</f>
        <v>316.20000000000005</v>
      </c>
      <c r="E24" s="206">
        <v>186.6</v>
      </c>
      <c r="F24" s="207">
        <v>85</v>
      </c>
      <c r="G24" s="465" t="s">
        <v>1564</v>
      </c>
      <c r="H24" s="206">
        <f>1766.8-D24-E24-I24</f>
        <v>836.3</v>
      </c>
      <c r="I24" s="206">
        <v>427.7</v>
      </c>
      <c r="J24" s="207">
        <v>10</v>
      </c>
      <c r="K24" s="465" t="s">
        <v>1564</v>
      </c>
      <c r="L24" s="206">
        <f>4247.3-M24-I24-H24-E24-D24</f>
        <v>1432.5000000000005</v>
      </c>
      <c r="M24" s="206">
        <f>1662.3-I24-E24</f>
        <v>1048</v>
      </c>
      <c r="N24" s="227" t="s">
        <v>1596</v>
      </c>
      <c r="O24" s="208">
        <f t="shared" si="0"/>
        <v>4247.3</v>
      </c>
      <c r="P24" s="209">
        <v>2282.8000000000002</v>
      </c>
      <c r="Q24" s="210" t="s">
        <v>2254</v>
      </c>
      <c r="S24" s="214" t="s">
        <v>1588</v>
      </c>
      <c r="T24" s="215"/>
      <c r="U24" s="216"/>
      <c r="V24" s="216"/>
    </row>
    <row r="25" spans="2:23" s="14" customFormat="1" ht="16" customHeight="1">
      <c r="B25" s="19" t="s">
        <v>996</v>
      </c>
      <c r="C25" s="19" t="s">
        <v>177</v>
      </c>
      <c r="D25" s="206">
        <f>781-E25</f>
        <v>628.9</v>
      </c>
      <c r="E25" s="206">
        <v>152.1</v>
      </c>
      <c r="F25" s="207">
        <v>114</v>
      </c>
      <c r="G25" s="842" t="s">
        <v>1596</v>
      </c>
      <c r="H25" s="206">
        <f>1561-D25-E25-I25</f>
        <v>522.70000000000005</v>
      </c>
      <c r="I25" s="206">
        <v>257.3</v>
      </c>
      <c r="J25" s="207">
        <v>17</v>
      </c>
      <c r="K25" s="842" t="s">
        <v>1596</v>
      </c>
      <c r="L25" s="206">
        <f>7595.8-M25-I25-H25-E25-D25</f>
        <v>4045.7999999999997</v>
      </c>
      <c r="M25" s="206">
        <f>2398.4-I25-E25</f>
        <v>1989</v>
      </c>
      <c r="N25" s="227" t="s">
        <v>1596</v>
      </c>
      <c r="O25" s="208">
        <f t="shared" ref="O25" si="2">SUM(D25:E25,H25:I25,L25:M25)</f>
        <v>7595.7999999999993</v>
      </c>
      <c r="P25" s="811"/>
      <c r="Q25" s="849" t="s">
        <v>54</v>
      </c>
      <c r="S25" s="214" t="s">
        <v>1656</v>
      </c>
      <c r="T25" s="215"/>
      <c r="U25" s="216"/>
      <c r="V25" s="216"/>
    </row>
    <row r="26" spans="2:23" s="14" customFormat="1" ht="16" customHeight="1">
      <c r="B26" s="19" t="s">
        <v>293</v>
      </c>
      <c r="C26" s="19" t="s">
        <v>1567</v>
      </c>
      <c r="D26" s="206"/>
      <c r="E26" s="206"/>
      <c r="F26" s="207"/>
      <c r="G26" s="227"/>
      <c r="H26" s="206">
        <f>305.5-D26-E26-I26</f>
        <v>190.6</v>
      </c>
      <c r="I26" s="206">
        <v>114.9</v>
      </c>
      <c r="J26" s="207">
        <v>16</v>
      </c>
      <c r="K26" s="842" t="s">
        <v>1596</v>
      </c>
      <c r="L26" s="206">
        <f>356.8-M26-I26-H26-E26-D26</f>
        <v>-37.600000000000023</v>
      </c>
      <c r="M26" s="206">
        <f>203.8-I26-E26</f>
        <v>88.9</v>
      </c>
      <c r="N26" s="842" t="s">
        <v>1596</v>
      </c>
      <c r="O26" s="208">
        <f t="shared" si="0"/>
        <v>356.79999999999995</v>
      </c>
      <c r="P26" s="209">
        <v>142.4</v>
      </c>
      <c r="Q26" s="210"/>
      <c r="S26" s="214" t="s">
        <v>144</v>
      </c>
      <c r="T26" s="215"/>
      <c r="U26" s="216"/>
      <c r="V26" s="216"/>
    </row>
    <row r="27" spans="2:23" s="14" customFormat="1" ht="16" customHeight="1">
      <c r="B27" s="19" t="s">
        <v>420</v>
      </c>
      <c r="C27" s="19" t="s">
        <v>294</v>
      </c>
      <c r="D27" s="206">
        <f>180.3-E27</f>
        <v>150</v>
      </c>
      <c r="E27" s="206">
        <v>30.3</v>
      </c>
      <c r="F27" s="207">
        <v>74</v>
      </c>
      <c r="G27" s="842" t="s">
        <v>295</v>
      </c>
      <c r="H27" s="206">
        <f>553.8-D27-E27-I27</f>
        <v>169.99999999999994</v>
      </c>
      <c r="I27" s="206">
        <v>203.5</v>
      </c>
      <c r="J27" s="207">
        <v>6</v>
      </c>
      <c r="K27" s="842" t="s">
        <v>295</v>
      </c>
      <c r="L27" s="206">
        <f>1076.6-M27-I27-H27-E27-D27</f>
        <v>218.79999999999995</v>
      </c>
      <c r="M27" s="206">
        <f>537.8-I27-E27</f>
        <v>303.99999999999994</v>
      </c>
      <c r="N27" s="842" t="s">
        <v>295</v>
      </c>
      <c r="O27" s="208">
        <f t="shared" si="0"/>
        <v>1076.5999999999999</v>
      </c>
      <c r="P27" s="209">
        <v>536.5</v>
      </c>
      <c r="Q27" s="210"/>
      <c r="S27" s="214" t="s">
        <v>1710</v>
      </c>
      <c r="T27" s="215"/>
      <c r="U27" s="216"/>
      <c r="V27" s="216"/>
    </row>
    <row r="28" spans="2:23" s="14" customFormat="1" ht="16" customHeight="1">
      <c r="B28" s="19" t="s">
        <v>719</v>
      </c>
      <c r="C28" s="19" t="s">
        <v>1557</v>
      </c>
      <c r="D28" s="206">
        <f>197.4-E28</f>
        <v>138.19999999999999</v>
      </c>
      <c r="E28" s="206">
        <v>59.2</v>
      </c>
      <c r="F28" s="207">
        <v>75</v>
      </c>
      <c r="G28" s="842" t="s">
        <v>295</v>
      </c>
      <c r="H28" s="206">
        <f>850.9-D28-E28-I28</f>
        <v>391.6</v>
      </c>
      <c r="I28" s="206">
        <v>261.89999999999998</v>
      </c>
      <c r="J28" s="207">
        <v>13</v>
      </c>
      <c r="K28" s="842" t="s">
        <v>295</v>
      </c>
      <c r="L28" s="206">
        <f>1103.6-M28-I28-H28-E28-D28</f>
        <v>-154.30000000000007</v>
      </c>
      <c r="M28" s="206">
        <f>728.1-I28-E28</f>
        <v>407.00000000000006</v>
      </c>
      <c r="N28" s="842" t="s">
        <v>295</v>
      </c>
      <c r="O28" s="208">
        <f t="shared" si="0"/>
        <v>1103.5999999999999</v>
      </c>
      <c r="P28" s="209">
        <v>895.2</v>
      </c>
      <c r="Q28" s="210"/>
      <c r="S28" s="217" t="s">
        <v>1630</v>
      </c>
      <c r="T28" s="218"/>
      <c r="U28" s="219"/>
      <c r="V28" s="219"/>
    </row>
    <row r="29" spans="2:23" s="14" customFormat="1" ht="16" customHeight="1">
      <c r="B29" s="19" t="s">
        <v>1591</v>
      </c>
      <c r="C29" s="19" t="s">
        <v>1558</v>
      </c>
      <c r="D29" s="206">
        <f>138-E29</f>
        <v>116.5</v>
      </c>
      <c r="E29" s="206">
        <v>21.5</v>
      </c>
      <c r="F29" s="207">
        <v>69</v>
      </c>
      <c r="G29" s="842" t="s">
        <v>1596</v>
      </c>
      <c r="H29" s="206">
        <f>441.8-D29-E29-I29</f>
        <v>148.30000000000001</v>
      </c>
      <c r="I29" s="206">
        <v>155.5</v>
      </c>
      <c r="J29" s="207">
        <v>6</v>
      </c>
      <c r="K29" s="842" t="s">
        <v>1596</v>
      </c>
      <c r="L29" s="206">
        <f>914.3-M29-I29-H29-E29-D29</f>
        <v>183.49999999999994</v>
      </c>
      <c r="M29" s="206">
        <f>466-I29-E29</f>
        <v>289</v>
      </c>
      <c r="N29" s="842" t="s">
        <v>1596</v>
      </c>
      <c r="O29" s="208">
        <f t="shared" si="0"/>
        <v>914.3</v>
      </c>
      <c r="P29" s="209">
        <v>536.20000000000005</v>
      </c>
      <c r="Q29" s="210"/>
      <c r="S29" s="217" t="s">
        <v>1592</v>
      </c>
      <c r="T29" s="218"/>
      <c r="U29" s="219"/>
      <c r="V29" s="219"/>
    </row>
    <row r="30" spans="2:23" s="14" customFormat="1" ht="16" customHeight="1">
      <c r="B30" s="19" t="s">
        <v>1593</v>
      </c>
      <c r="C30" s="19" t="s">
        <v>175</v>
      </c>
      <c r="D30" s="206">
        <f>198.2-E30</f>
        <v>153.79999999999998</v>
      </c>
      <c r="E30" s="206">
        <v>44.4</v>
      </c>
      <c r="F30" s="207">
        <v>69</v>
      </c>
      <c r="G30" s="427" t="s">
        <v>1589</v>
      </c>
      <c r="H30" s="206">
        <f>477.9-D30-E30-I30</f>
        <v>97.30000000000004</v>
      </c>
      <c r="I30" s="206">
        <v>182.4</v>
      </c>
      <c r="J30" s="207">
        <v>17</v>
      </c>
      <c r="K30" s="842" t="s">
        <v>295</v>
      </c>
      <c r="L30" s="206">
        <f>1160.2-M30-I30-H30-E30-D30</f>
        <v>245.80000000000004</v>
      </c>
      <c r="M30" s="206">
        <f>663.3-I30-E30</f>
        <v>436.5</v>
      </c>
      <c r="N30" s="842" t="s">
        <v>295</v>
      </c>
      <c r="O30" s="208">
        <f t="shared" si="0"/>
        <v>1160.2</v>
      </c>
      <c r="P30" s="209">
        <v>846.7</v>
      </c>
      <c r="Q30" s="210" t="s">
        <v>2270</v>
      </c>
      <c r="S30" s="217" t="s">
        <v>1711</v>
      </c>
      <c r="T30" s="218"/>
      <c r="U30" s="219"/>
      <c r="V30" s="219"/>
    </row>
    <row r="31" spans="2:23" s="14" customFormat="1" ht="16" customHeight="1">
      <c r="B31" s="19" t="s">
        <v>299</v>
      </c>
      <c r="C31" s="19" t="s">
        <v>176</v>
      </c>
      <c r="D31" s="206">
        <f>280.7-E31</f>
        <v>203.29999999999998</v>
      </c>
      <c r="E31" s="206">
        <v>77.400000000000006</v>
      </c>
      <c r="F31" s="207">
        <v>76</v>
      </c>
      <c r="G31" s="842" t="s">
        <v>295</v>
      </c>
      <c r="H31" s="206">
        <f>632.7-D31-E31-I31</f>
        <v>229.00000000000011</v>
      </c>
      <c r="I31" s="206">
        <v>123</v>
      </c>
      <c r="J31" s="207">
        <v>9</v>
      </c>
      <c r="K31" s="842" t="s">
        <v>295</v>
      </c>
      <c r="L31" s="206">
        <f>3396.3-M31-I31-H31-E31-D31</f>
        <v>1018.1000000000001</v>
      </c>
      <c r="M31" s="206">
        <f>1945.9-I31-E31</f>
        <v>1745.5</v>
      </c>
      <c r="N31" s="842" t="s">
        <v>295</v>
      </c>
      <c r="O31" s="208">
        <f t="shared" si="0"/>
        <v>3396.3</v>
      </c>
      <c r="P31" s="209">
        <v>2379.8000000000002</v>
      </c>
      <c r="Q31" s="210" t="s">
        <v>2348</v>
      </c>
      <c r="S31" s="217" t="s">
        <v>1606</v>
      </c>
      <c r="T31" s="218"/>
      <c r="U31" s="219"/>
      <c r="V31" s="219"/>
    </row>
    <row r="32" spans="2:23" s="14" customFormat="1" ht="16" customHeight="1">
      <c r="B32" s="19" t="s">
        <v>461</v>
      </c>
      <c r="C32" s="19" t="s">
        <v>177</v>
      </c>
      <c r="D32" s="206">
        <f>509-E32</f>
        <v>262.39999999999998</v>
      </c>
      <c r="E32" s="206">
        <v>246.6</v>
      </c>
      <c r="F32" s="207">
        <v>96</v>
      </c>
      <c r="G32" s="842" t="s">
        <v>295</v>
      </c>
      <c r="H32" s="206">
        <f>677.9-D32-E32-I32</f>
        <v>90.4</v>
      </c>
      <c r="I32" s="206">
        <v>78.5</v>
      </c>
      <c r="J32" s="207">
        <v>10</v>
      </c>
      <c r="K32" s="842" t="s">
        <v>295</v>
      </c>
      <c r="L32" s="206">
        <f>1145.6-M32-I32-H32-E32-D32</f>
        <v>193.69999999999993</v>
      </c>
      <c r="M32" s="206">
        <f>599.1-I32-E32</f>
        <v>274</v>
      </c>
      <c r="N32" s="842" t="s">
        <v>295</v>
      </c>
      <c r="O32" s="208">
        <f t="shared" si="0"/>
        <v>1145.5999999999999</v>
      </c>
      <c r="P32" s="209">
        <v>900.6</v>
      </c>
      <c r="Q32" s="210" t="s">
        <v>2271</v>
      </c>
      <c r="S32" s="217" t="s">
        <v>1661</v>
      </c>
      <c r="T32" s="218"/>
      <c r="U32" s="219"/>
      <c r="V32" s="219"/>
    </row>
    <row r="33" spans="2:23" s="14" customFormat="1" ht="16" customHeight="1">
      <c r="B33" s="19" t="s">
        <v>296</v>
      </c>
      <c r="C33" s="19" t="s">
        <v>1567</v>
      </c>
      <c r="D33" s="206"/>
      <c r="E33" s="206"/>
      <c r="F33" s="207"/>
      <c r="G33" s="227"/>
      <c r="H33" s="206">
        <f>133.3-D33-E33-I33</f>
        <v>95.4</v>
      </c>
      <c r="I33" s="206">
        <v>37.9</v>
      </c>
      <c r="J33" s="207">
        <v>25</v>
      </c>
      <c r="K33" s="842" t="s">
        <v>1596</v>
      </c>
      <c r="L33" s="206">
        <f>251.9-M33-I33-H33-E33-D33</f>
        <v>-0.40000000000000568</v>
      </c>
      <c r="M33" s="206">
        <f>156.9-I33-E33</f>
        <v>119</v>
      </c>
      <c r="N33" s="842" t="s">
        <v>1596</v>
      </c>
      <c r="O33" s="208">
        <f t="shared" si="0"/>
        <v>251.9</v>
      </c>
      <c r="P33" s="209">
        <v>178</v>
      </c>
      <c r="Q33" s="210"/>
      <c r="S33" s="217" t="s">
        <v>1336</v>
      </c>
      <c r="T33" s="218"/>
      <c r="U33" s="219"/>
      <c r="V33" s="219"/>
    </row>
    <row r="34" spans="2:23" s="14" customFormat="1" ht="16" customHeight="1">
      <c r="B34" s="19" t="s">
        <v>1601</v>
      </c>
      <c r="C34" s="19" t="s">
        <v>294</v>
      </c>
      <c r="D34" s="206">
        <f>62.2-E34</f>
        <v>58.800000000000004</v>
      </c>
      <c r="E34" s="206">
        <v>3.4</v>
      </c>
      <c r="F34" s="207">
        <v>44</v>
      </c>
      <c r="G34" s="842" t="s">
        <v>1596</v>
      </c>
      <c r="H34" s="206">
        <f>271.7-D34-E34-I34</f>
        <v>158.69999999999999</v>
      </c>
      <c r="I34" s="206">
        <v>50.8</v>
      </c>
      <c r="J34" s="207">
        <v>7</v>
      </c>
      <c r="K34" s="842" t="s">
        <v>1596</v>
      </c>
      <c r="L34" s="206">
        <f>601.2-M34-I34-H34-E34-D34</f>
        <v>91.100000000000051</v>
      </c>
      <c r="M34" s="206">
        <f>292.6-I34-E34</f>
        <v>238.4</v>
      </c>
      <c r="N34" s="842" t="s">
        <v>1596</v>
      </c>
      <c r="O34" s="208">
        <f t="shared" si="0"/>
        <v>601.20000000000005</v>
      </c>
      <c r="P34" s="209">
        <v>244.4</v>
      </c>
      <c r="Q34" s="210"/>
      <c r="S34" s="217" t="s">
        <v>1595</v>
      </c>
      <c r="T34" s="218"/>
      <c r="U34" s="219"/>
      <c r="V34" s="219"/>
    </row>
    <row r="35" spans="2:23" s="14" customFormat="1" ht="16" customHeight="1">
      <c r="B35" s="19" t="s">
        <v>1604</v>
      </c>
      <c r="C35" s="19" t="s">
        <v>1557</v>
      </c>
      <c r="D35" s="206">
        <f>83.18-E35</f>
        <v>80.180000000000007</v>
      </c>
      <c r="E35" s="206">
        <v>3</v>
      </c>
      <c r="F35" s="207">
        <v>62</v>
      </c>
      <c r="G35" s="427" t="s">
        <v>1589</v>
      </c>
      <c r="H35" s="206">
        <f>417.2-D35-E35-I35</f>
        <v>156.61999999999998</v>
      </c>
      <c r="I35" s="206">
        <v>177.4</v>
      </c>
      <c r="J35" s="207">
        <v>14</v>
      </c>
      <c r="K35" s="842" t="s">
        <v>295</v>
      </c>
      <c r="L35" s="206">
        <f>807.2-M35-I35-H35-E35-D35</f>
        <v>207.00000000000006</v>
      </c>
      <c r="M35" s="206">
        <f>363.4-I35-E35</f>
        <v>182.99999999999997</v>
      </c>
      <c r="N35" s="842" t="s">
        <v>295</v>
      </c>
      <c r="O35" s="208">
        <f t="shared" si="0"/>
        <v>807.2</v>
      </c>
      <c r="P35" s="209">
        <v>444.8</v>
      </c>
      <c r="Q35" s="210"/>
      <c r="S35" s="217" t="s">
        <v>1597</v>
      </c>
      <c r="T35" s="218"/>
      <c r="U35" s="219"/>
      <c r="V35" s="219"/>
    </row>
    <row r="36" spans="2:23" s="14" customFormat="1" ht="16" customHeight="1">
      <c r="B36" s="19" t="s">
        <v>1607</v>
      </c>
      <c r="C36" s="19" t="s">
        <v>1558</v>
      </c>
      <c r="D36" s="206">
        <f>271.2-E36</f>
        <v>165.7</v>
      </c>
      <c r="E36" s="206">
        <v>105.5</v>
      </c>
      <c r="F36" s="207">
        <v>78</v>
      </c>
      <c r="G36" s="842" t="s">
        <v>295</v>
      </c>
      <c r="H36" s="206">
        <f>502.6-D36-E36-I36</f>
        <v>127.80000000000004</v>
      </c>
      <c r="I36" s="206">
        <v>103.6</v>
      </c>
      <c r="J36" s="207">
        <v>4</v>
      </c>
      <c r="K36" s="842" t="s">
        <v>295</v>
      </c>
      <c r="L36" s="206">
        <f>1066.6-M36-I36-H36-E36-D36</f>
        <v>253.49999999999983</v>
      </c>
      <c r="M36" s="206">
        <f>519.6-I36-E36</f>
        <v>310.5</v>
      </c>
      <c r="N36" s="842" t="s">
        <v>295</v>
      </c>
      <c r="O36" s="208">
        <f t="shared" si="0"/>
        <v>1066.5999999999999</v>
      </c>
      <c r="P36" s="209">
        <v>675.9</v>
      </c>
      <c r="Q36" s="210"/>
      <c r="S36" s="217" t="s">
        <v>1715</v>
      </c>
      <c r="T36" s="218"/>
      <c r="U36" s="219"/>
      <c r="V36" s="219"/>
    </row>
    <row r="37" spans="2:23" s="14" customFormat="1" ht="16" customHeight="1">
      <c r="B37" s="19" t="s">
        <v>1028</v>
      </c>
      <c r="C37" s="19" t="s">
        <v>175</v>
      </c>
      <c r="D37" s="206">
        <f>193.5-E37</f>
        <v>185</v>
      </c>
      <c r="E37" s="206">
        <v>8.5</v>
      </c>
      <c r="F37" s="207">
        <v>55</v>
      </c>
      <c r="G37" s="842" t="s">
        <v>295</v>
      </c>
      <c r="H37" s="206">
        <f>536.4-D37-E37-I37</f>
        <v>210.89999999999998</v>
      </c>
      <c r="I37" s="206">
        <v>132</v>
      </c>
      <c r="J37" s="207">
        <v>15</v>
      </c>
      <c r="K37" s="842" t="s">
        <v>295</v>
      </c>
      <c r="L37" s="206">
        <f>1345.4-M37-I37-H37-E37-D37</f>
        <v>444.90000000000009</v>
      </c>
      <c r="M37" s="206">
        <f>504.6-I37-E37</f>
        <v>364.1</v>
      </c>
      <c r="N37" s="842" t="s">
        <v>295</v>
      </c>
      <c r="O37" s="208">
        <f t="shared" si="0"/>
        <v>1345.4</v>
      </c>
      <c r="P37" s="209">
        <v>705.1</v>
      </c>
      <c r="Q37" s="210" t="s">
        <v>2271</v>
      </c>
      <c r="S37" s="217" t="s">
        <v>1327</v>
      </c>
      <c r="T37" s="218"/>
      <c r="U37" s="219"/>
      <c r="V37" s="219"/>
    </row>
    <row r="38" spans="2:23" s="14" customFormat="1" ht="15">
      <c r="B38" s="19" t="s">
        <v>300</v>
      </c>
      <c r="C38" s="19" t="s">
        <v>176</v>
      </c>
      <c r="D38" s="206">
        <f>293.1-E38</f>
        <v>175.20000000000002</v>
      </c>
      <c r="E38" s="206">
        <v>117.9</v>
      </c>
      <c r="F38" s="207">
        <v>70</v>
      </c>
      <c r="G38" s="842" t="s">
        <v>295</v>
      </c>
      <c r="H38" s="206">
        <f>981.4-D38-E38-I38</f>
        <v>334.79999999999995</v>
      </c>
      <c r="I38" s="206">
        <v>353.5</v>
      </c>
      <c r="J38" s="207">
        <v>26</v>
      </c>
      <c r="K38" s="842" t="s">
        <v>295</v>
      </c>
      <c r="L38" s="206">
        <f>2515.2-M38-I38-H38-E38-D38</f>
        <v>731.29999999999984</v>
      </c>
      <c r="M38" s="206">
        <f>1273.9-I38-E38</f>
        <v>802.50000000000011</v>
      </c>
      <c r="N38" s="842" t="s">
        <v>295</v>
      </c>
      <c r="O38" s="208">
        <f t="shared" si="0"/>
        <v>2515.1999999999998</v>
      </c>
      <c r="P38" s="209">
        <v>1787</v>
      </c>
      <c r="Q38" s="210" t="s">
        <v>2271</v>
      </c>
      <c r="S38" s="217" t="s">
        <v>1669</v>
      </c>
      <c r="T38" s="218"/>
      <c r="U38" s="219"/>
      <c r="V38" s="219"/>
    </row>
    <row r="39" spans="2:23" s="10" customFormat="1" ht="17">
      <c r="B39" s="19" t="s">
        <v>1040</v>
      </c>
      <c r="C39" s="19" t="s">
        <v>177</v>
      </c>
      <c r="D39" s="206">
        <f>394.9-E39</f>
        <v>281.29999999999995</v>
      </c>
      <c r="E39" s="206">
        <v>113.6</v>
      </c>
      <c r="F39" s="207">
        <v>96</v>
      </c>
      <c r="G39" s="842" t="s">
        <v>295</v>
      </c>
      <c r="H39" s="206">
        <f>641.7-D39-E39-I39</f>
        <v>154.7000000000001</v>
      </c>
      <c r="I39" s="206">
        <v>92.1</v>
      </c>
      <c r="J39" s="207">
        <v>5</v>
      </c>
      <c r="K39" s="842" t="s">
        <v>295</v>
      </c>
      <c r="L39" s="206">
        <f>1385.7-M39-I39-H39-E39-D39</f>
        <v>324.49999999999989</v>
      </c>
      <c r="M39" s="206">
        <f>625.2-I39-E39</f>
        <v>419.5</v>
      </c>
      <c r="N39" s="842" t="s">
        <v>295</v>
      </c>
      <c r="O39" s="208">
        <f t="shared" si="0"/>
        <v>1385.7</v>
      </c>
      <c r="P39" s="209">
        <v>980.1</v>
      </c>
      <c r="Q39" s="210" t="s">
        <v>2294</v>
      </c>
      <c r="S39" s="217"/>
      <c r="T39" s="218"/>
      <c r="U39" s="226"/>
      <c r="V39" s="226"/>
    </row>
    <row r="40" spans="2:23" s="10" customFormat="1">
      <c r="B40" s="12"/>
      <c r="C40" s="12"/>
      <c r="D40" s="8"/>
      <c r="E40" s="8"/>
      <c r="F40" s="8"/>
      <c r="G40" s="9"/>
      <c r="H40" s="9"/>
      <c r="I40" s="9"/>
      <c r="J40" s="9"/>
      <c r="K40" s="9"/>
      <c r="L40" s="8"/>
      <c r="M40" s="8"/>
      <c r="N40" s="9"/>
      <c r="O40" s="11"/>
      <c r="P40" s="11"/>
      <c r="S40" s="217"/>
      <c r="T40" s="218"/>
      <c r="U40" s="226"/>
      <c r="V40" s="219"/>
    </row>
    <row r="41" spans="2:23" s="10" customFormat="1" ht="17" thickBot="1">
      <c r="B41" s="12"/>
      <c r="C41" s="12"/>
      <c r="D41" s="8"/>
      <c r="E41" s="8"/>
      <c r="F41" s="8"/>
      <c r="G41" s="9"/>
      <c r="H41" s="9"/>
      <c r="I41" s="162"/>
      <c r="J41" s="1018"/>
      <c r="K41" s="1018"/>
      <c r="L41" s="8"/>
      <c r="M41" s="8"/>
      <c r="N41" s="9"/>
      <c r="O41" s="11"/>
      <c r="P41" s="11"/>
      <c r="S41" s="220" t="s">
        <v>1674</v>
      </c>
      <c r="T41" s="221"/>
      <c r="U41" s="222"/>
      <c r="V41" s="222"/>
    </row>
    <row r="42" spans="2:23" s="10" customFormat="1" ht="25" customHeight="1" thickBot="1">
      <c r="B42" s="1010" t="s">
        <v>291</v>
      </c>
      <c r="C42" s="1011"/>
      <c r="D42" s="15" t="s">
        <v>1548</v>
      </c>
      <c r="E42" s="15" t="s">
        <v>1549</v>
      </c>
      <c r="F42" s="16"/>
      <c r="G42" s="16"/>
      <c r="H42" s="15" t="s">
        <v>1551</v>
      </c>
      <c r="I42" s="15" t="s">
        <v>1552</v>
      </c>
      <c r="J42" s="154"/>
      <c r="K42" s="16"/>
      <c r="L42" s="15" t="s">
        <v>1553</v>
      </c>
      <c r="M42" s="15" t="s">
        <v>1554</v>
      </c>
      <c r="N42" s="16"/>
      <c r="O42" s="15" t="s">
        <v>116</v>
      </c>
      <c r="P42" s="15" t="s">
        <v>102</v>
      </c>
      <c r="Q42" s="17" t="s">
        <v>292</v>
      </c>
      <c r="S42" s="223" t="s">
        <v>130</v>
      </c>
      <c r="T42" s="224"/>
      <c r="U42" s="225"/>
      <c r="V42" s="225"/>
      <c r="W42" s="225"/>
    </row>
    <row r="43" spans="2:23" s="10" customFormat="1" ht="17">
      <c r="B43" s="19" t="s">
        <v>1593</v>
      </c>
      <c r="C43" s="19" t="s">
        <v>175</v>
      </c>
      <c r="D43" s="206"/>
      <c r="E43" s="206"/>
      <c r="F43" s="207"/>
      <c r="G43" s="427"/>
      <c r="H43" s="206"/>
      <c r="I43" s="206"/>
      <c r="J43" s="207"/>
      <c r="K43" s="842"/>
      <c r="L43" s="206"/>
      <c r="M43" s="206"/>
      <c r="N43" s="842"/>
      <c r="O43" s="874">
        <v>4983.7</v>
      </c>
      <c r="P43" s="875">
        <v>1809</v>
      </c>
      <c r="Q43" s="876" t="s">
        <v>2412</v>
      </c>
      <c r="S43" s="110"/>
      <c r="T43" s="110"/>
    </row>
    <row r="44" spans="2:23" s="10" customFormat="1" ht="17">
      <c r="B44" s="19" t="s">
        <v>299</v>
      </c>
      <c r="C44" s="19" t="s">
        <v>176</v>
      </c>
      <c r="D44" s="206"/>
      <c r="E44" s="206"/>
      <c r="F44" s="207"/>
      <c r="G44" s="842"/>
      <c r="H44" s="206"/>
      <c r="I44" s="206"/>
      <c r="J44" s="207"/>
      <c r="K44" s="842"/>
      <c r="L44" s="206"/>
      <c r="M44" s="206"/>
      <c r="N44" s="842"/>
      <c r="O44" s="874">
        <v>8657.7000000000007</v>
      </c>
      <c r="P44" s="875">
        <v>2535</v>
      </c>
      <c r="Q44" s="876" t="s">
        <v>2412</v>
      </c>
      <c r="S44" s="110"/>
      <c r="T44" s="110"/>
    </row>
    <row r="45" spans="2:23" s="10" customFormat="1" ht="17">
      <c r="B45" s="19" t="s">
        <v>461</v>
      </c>
      <c r="C45" s="19" t="s">
        <v>177</v>
      </c>
      <c r="D45" s="206"/>
      <c r="E45" s="206"/>
      <c r="F45" s="207"/>
      <c r="G45" s="842"/>
      <c r="H45" s="206"/>
      <c r="I45" s="206"/>
      <c r="J45" s="207"/>
      <c r="K45" s="842"/>
      <c r="L45" s="206"/>
      <c r="M45" s="206"/>
      <c r="N45" s="842"/>
      <c r="O45" s="874">
        <v>6094.8</v>
      </c>
      <c r="P45" s="875">
        <v>1503.5</v>
      </c>
      <c r="Q45" s="876" t="s">
        <v>2413</v>
      </c>
      <c r="S45" s="110"/>
      <c r="T45" s="110"/>
    </row>
    <row r="46" spans="2:23" s="10" customFormat="1" ht="17">
      <c r="B46" s="19" t="s">
        <v>1028</v>
      </c>
      <c r="C46" s="19" t="s">
        <v>175</v>
      </c>
      <c r="D46" s="206"/>
      <c r="E46" s="206"/>
      <c r="F46" s="207"/>
      <c r="G46" s="842"/>
      <c r="H46" s="206"/>
      <c r="I46" s="206"/>
      <c r="J46" s="207"/>
      <c r="K46" s="842"/>
      <c r="L46" s="206"/>
      <c r="M46" s="206"/>
      <c r="N46" s="842"/>
      <c r="O46" s="874">
        <v>6573.5</v>
      </c>
      <c r="P46" s="875">
        <v>1735.5</v>
      </c>
      <c r="Q46" s="876" t="s">
        <v>2414</v>
      </c>
      <c r="S46" s="110"/>
      <c r="T46" s="110"/>
    </row>
    <row r="47" spans="2:23" s="10" customFormat="1" ht="17">
      <c r="B47" s="19" t="s">
        <v>300</v>
      </c>
      <c r="C47" s="19" t="s">
        <v>176</v>
      </c>
      <c r="D47" s="206"/>
      <c r="E47" s="206"/>
      <c r="F47" s="207"/>
      <c r="G47" s="842"/>
      <c r="H47" s="206"/>
      <c r="I47" s="206"/>
      <c r="J47" s="207"/>
      <c r="K47" s="842"/>
      <c r="L47" s="206"/>
      <c r="M47" s="206"/>
      <c r="N47" s="842"/>
      <c r="O47" s="874">
        <v>8465.25</v>
      </c>
      <c r="P47" s="875">
        <v>2936.5</v>
      </c>
      <c r="Q47" s="876" t="s">
        <v>2415</v>
      </c>
      <c r="S47" s="110"/>
      <c r="T47" s="110"/>
    </row>
    <row r="48" spans="2:23" s="10" customFormat="1" ht="17">
      <c r="B48" s="19" t="s">
        <v>1040</v>
      </c>
      <c r="C48" s="19" t="s">
        <v>177</v>
      </c>
      <c r="D48" s="206"/>
      <c r="E48" s="206"/>
      <c r="F48" s="207"/>
      <c r="G48" s="842"/>
      <c r="H48" s="206"/>
      <c r="I48" s="206"/>
      <c r="J48" s="207"/>
      <c r="K48" s="842"/>
      <c r="L48" s="206"/>
      <c r="M48" s="206"/>
      <c r="N48" s="842"/>
      <c r="O48" s="874">
        <v>5505.5</v>
      </c>
      <c r="P48" s="875">
        <v>2172</v>
      </c>
      <c r="Q48" s="876" t="s">
        <v>2412</v>
      </c>
      <c r="S48" s="110"/>
      <c r="T48" s="110"/>
    </row>
    <row r="49" spans="2:20" s="10" customFormat="1">
      <c r="B49" s="12"/>
      <c r="C49" s="12"/>
      <c r="D49" s="8"/>
      <c r="E49" s="8"/>
      <c r="F49" s="8"/>
      <c r="G49" s="9"/>
      <c r="H49" s="9"/>
      <c r="I49" s="9"/>
      <c r="J49" s="9"/>
      <c r="K49" s="9"/>
      <c r="L49" s="8"/>
      <c r="M49" s="8"/>
      <c r="N49" s="9"/>
      <c r="O49" s="11"/>
      <c r="P49" s="11"/>
      <c r="S49" s="110"/>
      <c r="T49" s="110"/>
    </row>
    <row r="50" spans="2:20" s="10" customFormat="1">
      <c r="B50" s="12"/>
      <c r="C50" s="12"/>
      <c r="D50" s="8"/>
      <c r="E50" s="8"/>
      <c r="F50" s="8"/>
      <c r="G50" s="9"/>
      <c r="H50" s="9"/>
      <c r="I50" s="9"/>
      <c r="J50" s="9"/>
      <c r="K50" s="9"/>
      <c r="L50" s="8"/>
      <c r="M50" s="8"/>
      <c r="N50" s="9"/>
      <c r="O50" s="11"/>
      <c r="P50" s="11"/>
      <c r="S50" s="110"/>
      <c r="T50" s="110"/>
    </row>
    <row r="51" spans="2:20" s="10" customFormat="1">
      <c r="B51" s="12"/>
      <c r="C51" s="12"/>
      <c r="D51" s="8"/>
      <c r="E51" s="8"/>
      <c r="F51" s="8"/>
      <c r="G51" s="9"/>
      <c r="H51" s="9"/>
      <c r="I51" s="9"/>
      <c r="J51" s="9"/>
      <c r="K51" s="9"/>
      <c r="L51" s="8"/>
      <c r="M51" s="8"/>
      <c r="N51" s="9"/>
      <c r="O51" s="11"/>
      <c r="P51" s="11"/>
      <c r="S51" s="110"/>
      <c r="T51" s="110"/>
    </row>
    <row r="52" spans="2:20" s="10" customFormat="1">
      <c r="B52" s="12"/>
      <c r="C52" s="12"/>
      <c r="D52" s="8"/>
      <c r="E52" s="8"/>
      <c r="F52" s="8"/>
      <c r="G52" s="9"/>
      <c r="H52" s="9"/>
      <c r="I52" s="9"/>
      <c r="J52" s="9"/>
      <c r="K52" s="9"/>
      <c r="L52" s="8"/>
      <c r="M52" s="8"/>
      <c r="N52" s="9"/>
      <c r="O52" s="11"/>
      <c r="P52" s="11"/>
      <c r="S52" s="110"/>
      <c r="T52" s="110"/>
    </row>
    <row r="53" spans="2:20" s="10" customFormat="1">
      <c r="B53" s="12"/>
      <c r="C53" s="12"/>
      <c r="D53" s="8"/>
      <c r="E53" s="8"/>
      <c r="F53" s="8"/>
      <c r="G53" s="9"/>
      <c r="H53" s="9"/>
      <c r="I53" s="9"/>
      <c r="J53" s="9"/>
      <c r="K53" s="9"/>
      <c r="L53" s="8"/>
      <c r="M53" s="8"/>
      <c r="N53" s="9"/>
      <c r="O53" s="11"/>
      <c r="P53" s="11"/>
      <c r="S53" s="110"/>
      <c r="T53" s="110"/>
    </row>
    <row r="54" spans="2:20" s="10" customFormat="1">
      <c r="B54" s="12"/>
      <c r="C54" s="12"/>
      <c r="D54" s="8"/>
      <c r="E54" s="8"/>
      <c r="F54" s="8"/>
      <c r="G54" s="9"/>
      <c r="H54" s="9"/>
      <c r="I54" s="9"/>
      <c r="J54" s="9"/>
      <c r="K54" s="9"/>
      <c r="L54" s="8"/>
      <c r="M54" s="8"/>
      <c r="N54" s="9"/>
      <c r="O54" s="11"/>
      <c r="P54" s="11"/>
      <c r="S54" s="110"/>
      <c r="T54" s="110"/>
    </row>
    <row r="55" spans="2:20" s="10" customFormat="1">
      <c r="B55" s="12"/>
      <c r="C55" s="12"/>
      <c r="D55" s="8"/>
      <c r="E55" s="8"/>
      <c r="F55" s="8"/>
      <c r="G55" s="9"/>
      <c r="H55" s="9"/>
      <c r="I55" s="9"/>
      <c r="J55" s="9"/>
      <c r="K55" s="9"/>
      <c r="L55" s="8"/>
      <c r="M55" s="8"/>
      <c r="N55" s="9"/>
      <c r="O55" s="11"/>
      <c r="P55" s="11"/>
      <c r="S55" s="110"/>
      <c r="T55" s="110"/>
    </row>
    <row r="56" spans="2:20" s="10" customFormat="1">
      <c r="B56" s="12"/>
      <c r="C56" s="12"/>
      <c r="D56" s="8"/>
      <c r="E56" s="8"/>
      <c r="F56" s="8"/>
      <c r="G56" s="9"/>
      <c r="H56" s="9"/>
      <c r="I56" s="9"/>
      <c r="J56" s="9"/>
      <c r="K56" s="9"/>
      <c r="L56" s="8"/>
      <c r="M56" s="8"/>
      <c r="N56" s="9"/>
      <c r="O56" s="11"/>
      <c r="P56" s="11"/>
      <c r="S56" s="110"/>
      <c r="T56" s="110"/>
    </row>
    <row r="57" spans="2:20" s="10" customFormat="1">
      <c r="B57" s="12"/>
      <c r="C57" s="12"/>
      <c r="D57" s="8"/>
      <c r="E57" s="8"/>
      <c r="F57" s="8"/>
      <c r="G57" s="9"/>
      <c r="H57" s="9"/>
      <c r="I57" s="9"/>
      <c r="J57" s="9"/>
      <c r="K57" s="9"/>
      <c r="L57" s="8"/>
      <c r="M57" s="8"/>
      <c r="N57" s="9"/>
      <c r="O57" s="11"/>
      <c r="P57" s="11"/>
      <c r="S57" s="110"/>
      <c r="T57" s="110"/>
    </row>
    <row r="58" spans="2:20" s="10" customFormat="1">
      <c r="B58" s="12"/>
      <c r="C58" s="12"/>
      <c r="D58" s="8"/>
      <c r="E58" s="8"/>
      <c r="F58" s="8"/>
      <c r="G58" s="9"/>
      <c r="H58" s="9"/>
      <c r="I58" s="9"/>
      <c r="J58" s="9"/>
      <c r="K58" s="9"/>
      <c r="L58" s="8"/>
      <c r="M58" s="8"/>
      <c r="N58" s="9"/>
      <c r="O58" s="11"/>
      <c r="P58" s="11"/>
      <c r="S58" s="110"/>
      <c r="T58" s="110"/>
    </row>
    <row r="59" spans="2:20" s="10" customFormat="1">
      <c r="B59" s="12"/>
      <c r="C59" s="12"/>
      <c r="D59" s="8"/>
      <c r="E59" s="8"/>
      <c r="F59" s="8"/>
      <c r="G59" s="9"/>
      <c r="H59" s="9"/>
      <c r="I59" s="9"/>
      <c r="J59" s="9"/>
      <c r="K59" s="9"/>
      <c r="L59" s="8"/>
      <c r="M59" s="8"/>
      <c r="N59" s="9"/>
      <c r="O59" s="11"/>
      <c r="P59" s="11"/>
      <c r="S59" s="110"/>
      <c r="T59" s="110"/>
    </row>
    <row r="60" spans="2:20" s="10" customFormat="1">
      <c r="B60" s="12"/>
      <c r="C60" s="12"/>
      <c r="D60" s="8"/>
      <c r="E60" s="8"/>
      <c r="F60" s="8"/>
      <c r="G60" s="9"/>
      <c r="H60" s="9"/>
      <c r="I60" s="9"/>
      <c r="J60" s="9"/>
      <c r="K60" s="9"/>
      <c r="L60" s="8"/>
      <c r="M60" s="8"/>
      <c r="N60" s="9"/>
      <c r="O60" s="11"/>
      <c r="P60" s="11"/>
      <c r="S60" s="110"/>
      <c r="T60" s="110"/>
    </row>
    <row r="61" spans="2:20" s="10" customFormat="1">
      <c r="B61" s="12"/>
      <c r="C61" s="12"/>
      <c r="D61" s="8"/>
      <c r="E61" s="8"/>
      <c r="F61" s="8"/>
      <c r="G61" s="9"/>
      <c r="H61" s="9"/>
      <c r="I61" s="9"/>
      <c r="J61" s="9"/>
      <c r="K61" s="9"/>
      <c r="L61" s="8"/>
      <c r="M61" s="8"/>
      <c r="N61" s="9"/>
      <c r="O61" s="11"/>
      <c r="P61" s="11"/>
      <c r="S61" s="110"/>
      <c r="T61" s="110"/>
    </row>
    <row r="62" spans="2:20" s="10" customFormat="1">
      <c r="B62" s="12"/>
      <c r="C62" s="12"/>
      <c r="D62" s="8"/>
      <c r="E62" s="8"/>
      <c r="F62" s="8"/>
      <c r="G62" s="9"/>
      <c r="H62" s="9"/>
      <c r="I62" s="9"/>
      <c r="J62" s="9"/>
      <c r="K62" s="9"/>
      <c r="L62" s="8"/>
      <c r="M62" s="8"/>
      <c r="N62" s="9"/>
      <c r="O62" s="11"/>
      <c r="P62" s="11"/>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sheetData>
  <mergeCells count="21">
    <mergeCell ref="B42:C42"/>
    <mergeCell ref="B2:E2"/>
    <mergeCell ref="G2:H2"/>
    <mergeCell ref="I2:M2"/>
    <mergeCell ref="B9:C9"/>
    <mergeCell ref="S7:S8"/>
    <mergeCell ref="S17:T17"/>
    <mergeCell ref="J41:K41"/>
    <mergeCell ref="N2:O2"/>
    <mergeCell ref="G3:H3"/>
    <mergeCell ref="I3:M3"/>
    <mergeCell ref="N3:O3"/>
    <mergeCell ref="G4:H4"/>
    <mergeCell ref="I4:M4"/>
    <mergeCell ref="N4:O4"/>
    <mergeCell ref="G5:H5"/>
    <mergeCell ref="I5:M5"/>
    <mergeCell ref="N5:O5"/>
    <mergeCell ref="G6:H6"/>
    <mergeCell ref="I6:M6"/>
    <mergeCell ref="N6:O6"/>
  </mergeCells>
  <phoneticPr fontId="8" type="noConversion"/>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DAB3-3036-4549-96A6-6F721B869FE4}">
  <dimension ref="A1:AP379"/>
  <sheetViews>
    <sheetView tabSelected="1" topLeftCell="A38" zoomScale="140" zoomScaleNormal="140" workbookViewId="0">
      <selection activeCell="D40" sqref="D40"/>
    </sheetView>
  </sheetViews>
  <sheetFormatPr baseColWidth="10" defaultColWidth="10.83203125" defaultRowHeight="16"/>
  <cols>
    <col min="1" max="1" width="1.5" style="10" customWidth="1"/>
    <col min="2" max="3" width="5.6640625" style="2" customWidth="1"/>
    <col min="4" max="4" width="11.1640625" style="5" bestFit="1" customWidth="1"/>
    <col min="5" max="5" width="10.83203125" style="5"/>
    <col min="6" max="6" width="4.5" style="5" customWidth="1"/>
    <col min="7" max="7" width="4.33203125" style="3" customWidth="1"/>
    <col min="8" max="9" width="10.83203125" style="3"/>
    <col min="10" max="10" width="4.5" style="3" customWidth="1"/>
    <col min="11" max="11" width="4" style="3" customWidth="1"/>
    <col min="12" max="13" width="10.83203125" style="5"/>
    <col min="14" max="14" width="4" style="3" bestFit="1" customWidth="1"/>
    <col min="15" max="16" width="16.83203125" style="6" customWidth="1"/>
    <col min="17" max="17" width="48" style="1" customWidth="1"/>
    <col min="18" max="18" width="3.1640625" style="10" customWidth="1"/>
    <col min="19" max="19" width="12.6640625" style="110" customWidth="1"/>
    <col min="20" max="20" width="10.83203125" style="110"/>
    <col min="21" max="23" width="11.83203125" style="10" bestFit="1" customWidth="1"/>
    <col min="24" max="42" width="10.83203125" style="10"/>
    <col min="43" max="16384" width="10.83203125" style="1"/>
  </cols>
  <sheetData>
    <row r="1" spans="1:42" s="10" customFormat="1" ht="6" customHeight="1">
      <c r="B1" s="12"/>
      <c r="C1" s="12"/>
      <c r="D1" s="8"/>
      <c r="E1" s="8"/>
      <c r="F1" s="8"/>
      <c r="G1" s="9"/>
      <c r="H1" s="9"/>
      <c r="I1" s="9"/>
      <c r="J1" s="9"/>
      <c r="K1" s="9"/>
      <c r="L1" s="8"/>
      <c r="M1" s="8"/>
      <c r="N1" s="9"/>
      <c r="O1" s="11"/>
      <c r="P1" s="11"/>
      <c r="S1" s="110"/>
      <c r="T1" s="110"/>
    </row>
    <row r="2" spans="1:42" s="22" customFormat="1" ht="20" customHeight="1">
      <c r="B2" s="1012" t="s">
        <v>283</v>
      </c>
      <c r="C2" s="1013"/>
      <c r="D2" s="1013"/>
      <c r="E2" s="1013"/>
      <c r="F2" s="147"/>
      <c r="G2" s="1014">
        <f>SUM(O10:O40)+(SUM(O45:O62)/2)</f>
        <v>89525.485000000001</v>
      </c>
      <c r="H2" s="1015"/>
      <c r="I2" s="1007" t="s">
        <v>1543</v>
      </c>
      <c r="J2" s="1008"/>
      <c r="K2" s="1008"/>
      <c r="L2" s="1008"/>
      <c r="M2" s="1009"/>
      <c r="N2" s="1014">
        <f>SUM(D10:E40)/(G5)</f>
        <v>191.93699999999998</v>
      </c>
      <c r="O2" s="1015"/>
      <c r="P2" s="145" t="s">
        <v>284</v>
      </c>
      <c r="Q2" s="146">
        <f>SUM(P10:P40)-SUM(M10:M40)-SUM(I10:I40)-SUM(E10:E40)-Q3+SET!Q2</f>
        <v>125754.98</v>
      </c>
      <c r="S2" s="108"/>
      <c r="T2" s="109"/>
    </row>
    <row r="3" spans="1:42" s="22" customFormat="1" ht="20" customHeight="1">
      <c r="B3" s="148" t="s">
        <v>285</v>
      </c>
      <c r="C3" s="149"/>
      <c r="D3" s="149"/>
      <c r="E3" s="149"/>
      <c r="F3" s="150"/>
      <c r="G3" s="1014">
        <f>SUM(P10:P40)+SUM(P45:P62)</f>
        <v>49855.89</v>
      </c>
      <c r="H3" s="1015"/>
      <c r="I3" s="1007" t="s">
        <v>1544</v>
      </c>
      <c r="J3" s="1008"/>
      <c r="K3" s="1008"/>
      <c r="L3" s="1008"/>
      <c r="M3" s="1009"/>
      <c r="N3" s="1014">
        <f>SUM(H10:I40)/G5</f>
        <v>236.13666666666668</v>
      </c>
      <c r="O3" s="1015"/>
      <c r="P3" s="145" t="s">
        <v>1545</v>
      </c>
      <c r="Q3" s="146">
        <f>SUMIFS(BANCA!$E:$E,BANCA!$B:$B,"&gt;=01/08/2023",BANCA!$B:$B,"&lt;=31/08/2023",BANCA!$D:$D,"Versamento contanti")</f>
        <v>0</v>
      </c>
      <c r="S3" s="108"/>
      <c r="T3" s="109"/>
    </row>
    <row r="4" spans="1:42" s="22" customFormat="1" ht="20" customHeight="1">
      <c r="B4" s="148" t="s">
        <v>287</v>
      </c>
      <c r="C4" s="149"/>
      <c r="D4" s="149"/>
      <c r="E4" s="149"/>
      <c r="F4" s="150"/>
      <c r="G4" s="1016">
        <f>G3/G2</f>
        <v>0.55689047649392798</v>
      </c>
      <c r="H4" s="1017"/>
      <c r="I4" s="1007" t="s">
        <v>1546</v>
      </c>
      <c r="J4" s="1008"/>
      <c r="K4" s="1008"/>
      <c r="L4" s="1008"/>
      <c r="M4" s="1009"/>
      <c r="N4" s="1014">
        <f>SUM(L10:M40)/G5</f>
        <v>917.1933333333335</v>
      </c>
      <c r="O4" s="1015"/>
      <c r="P4" s="23"/>
      <c r="S4" s="108"/>
      <c r="T4" s="109"/>
    </row>
    <row r="5" spans="1:42" s="22" customFormat="1" ht="20" customHeight="1">
      <c r="B5" s="148" t="s">
        <v>288</v>
      </c>
      <c r="C5" s="149"/>
      <c r="D5" s="149"/>
      <c r="E5" s="149"/>
      <c r="F5" s="150"/>
      <c r="G5" s="1005">
        <f>COUNTA(O10:O40)</f>
        <v>30</v>
      </c>
      <c r="H5" s="1006"/>
      <c r="I5" s="1007" t="s">
        <v>290</v>
      </c>
      <c r="J5" s="1008"/>
      <c r="K5" s="1008"/>
      <c r="L5" s="1008"/>
      <c r="M5" s="1009"/>
      <c r="N5" s="1014">
        <f>SUM(E10:E40,M10:M40,I10:I40)</f>
        <v>18458.400000000001</v>
      </c>
      <c r="O5" s="1017"/>
      <c r="P5" s="23"/>
      <c r="S5" s="108"/>
      <c r="T5" s="109"/>
    </row>
    <row r="6" spans="1:42" s="22" customFormat="1" ht="20" customHeight="1">
      <c r="B6" s="151" t="s">
        <v>289</v>
      </c>
      <c r="C6" s="152"/>
      <c r="D6" s="152"/>
      <c r="E6" s="152"/>
      <c r="F6" s="153"/>
      <c r="G6" s="1014">
        <f>G2/G5</f>
        <v>2984.1828333333333</v>
      </c>
      <c r="H6" s="1015"/>
      <c r="I6" s="1007" t="s">
        <v>1547</v>
      </c>
      <c r="J6" s="1008"/>
      <c r="K6" s="1008"/>
      <c r="L6" s="1008"/>
      <c r="M6" s="1009"/>
      <c r="N6" s="1014">
        <v>0</v>
      </c>
      <c r="O6" s="1015"/>
      <c r="P6" s="23"/>
      <c r="S6" s="108"/>
      <c r="T6" s="109"/>
    </row>
    <row r="7" spans="1:42" s="10" customFormat="1" ht="7" customHeight="1">
      <c r="B7" s="20"/>
      <c r="C7" s="20"/>
      <c r="D7" s="20"/>
      <c r="E7" s="21"/>
      <c r="F7" s="21"/>
      <c r="G7" s="21"/>
      <c r="H7" s="21"/>
      <c r="I7" s="21"/>
      <c r="J7" s="21"/>
      <c r="K7" s="21"/>
      <c r="L7" s="20"/>
      <c r="M7" s="20"/>
      <c r="N7" s="20"/>
      <c r="O7" s="11"/>
      <c r="P7" s="11"/>
      <c r="S7" s="1004"/>
      <c r="T7" s="109"/>
    </row>
    <row r="8" spans="1:42" s="10" customFormat="1" ht="7" customHeight="1" thickBot="1">
      <c r="B8" s="12"/>
      <c r="C8" s="12"/>
      <c r="D8" s="8"/>
      <c r="E8" s="8"/>
      <c r="F8" s="8"/>
      <c r="G8" s="9"/>
      <c r="H8" s="9"/>
      <c r="I8" s="9"/>
      <c r="J8" s="9"/>
      <c r="K8" s="9"/>
      <c r="L8" s="8"/>
      <c r="M8" s="8"/>
      <c r="N8" s="9"/>
      <c r="O8" s="11"/>
      <c r="P8" s="11"/>
      <c r="S8" s="1004"/>
      <c r="T8" s="109"/>
    </row>
    <row r="9" spans="1:42" s="4" customFormat="1" ht="25" customHeight="1" thickBot="1">
      <c r="A9" s="7"/>
      <c r="B9" s="1010" t="s">
        <v>291</v>
      </c>
      <c r="C9" s="1011"/>
      <c r="D9" s="15" t="s">
        <v>1548</v>
      </c>
      <c r="E9" s="15" t="s">
        <v>1549</v>
      </c>
      <c r="F9" s="16" t="s">
        <v>1550</v>
      </c>
      <c r="G9" s="16"/>
      <c r="H9" s="15" t="s">
        <v>1551</v>
      </c>
      <c r="I9" s="15" t="s">
        <v>1552</v>
      </c>
      <c r="J9" s="154" t="s">
        <v>1550</v>
      </c>
      <c r="K9" s="16"/>
      <c r="L9" s="15" t="s">
        <v>1553</v>
      </c>
      <c r="M9" s="15" t="s">
        <v>1554</v>
      </c>
      <c r="N9" s="16"/>
      <c r="O9" s="15" t="s">
        <v>116</v>
      </c>
      <c r="P9" s="15" t="s">
        <v>102</v>
      </c>
      <c r="Q9" s="17" t="s">
        <v>292</v>
      </c>
      <c r="R9" s="7"/>
      <c r="S9" s="26"/>
      <c r="T9" s="155" t="s">
        <v>119</v>
      </c>
      <c r="U9" s="155" t="s">
        <v>1389</v>
      </c>
      <c r="V9" s="155" t="s">
        <v>1555</v>
      </c>
      <c r="W9" s="155" t="s">
        <v>1556</v>
      </c>
      <c r="X9" s="7"/>
      <c r="Y9" s="7"/>
      <c r="Z9" s="7"/>
      <c r="AA9" s="7"/>
      <c r="AB9" s="7"/>
      <c r="AC9" s="7"/>
      <c r="AD9" s="7"/>
      <c r="AE9" s="7"/>
      <c r="AF9" s="7"/>
      <c r="AG9" s="7"/>
      <c r="AH9" s="7"/>
      <c r="AI9" s="7"/>
      <c r="AJ9" s="7"/>
      <c r="AK9" s="7"/>
      <c r="AL9" s="7"/>
      <c r="AM9" s="7"/>
      <c r="AN9" s="7"/>
      <c r="AO9" s="7"/>
      <c r="AP9" s="7"/>
    </row>
    <row r="10" spans="1:42" s="13" customFormat="1" ht="16" customHeight="1">
      <c r="B10" s="18" t="s">
        <v>22</v>
      </c>
      <c r="C10" s="19" t="s">
        <v>1567</v>
      </c>
      <c r="D10" s="206"/>
      <c r="E10" s="206"/>
      <c r="F10" s="207"/>
      <c r="G10" s="227"/>
      <c r="H10" s="206">
        <f>92-D10-E10-I10</f>
        <v>65</v>
      </c>
      <c r="I10" s="206">
        <v>27</v>
      </c>
      <c r="J10" s="207">
        <v>11</v>
      </c>
      <c r="K10" s="465" t="s">
        <v>1564</v>
      </c>
      <c r="L10" s="206">
        <f>285-M10-I10-H10-E10-D10</f>
        <v>111</v>
      </c>
      <c r="M10" s="206">
        <f>109-I10-E10</f>
        <v>82</v>
      </c>
      <c r="N10" s="842" t="s">
        <v>1596</v>
      </c>
      <c r="O10" s="208">
        <f t="shared" ref="O10:O40" si="0">SUM(D10:E10,H10:I10,L10:M10)</f>
        <v>285</v>
      </c>
      <c r="P10" s="209">
        <v>314.5</v>
      </c>
      <c r="Q10" s="210"/>
      <c r="S10" s="157" t="s">
        <v>1567</v>
      </c>
      <c r="T10" s="156"/>
      <c r="U10" s="156">
        <f>(SUMIF($C$10:$C$39,S10,$H$10:$H$39)+SUMIF($C$10:$C$39,S10,$I$10:$I$39)+SUMIF($C$10:$C$39,S10,$L$10:$L$39)+SUMIF($C$10:$C$39,S10,$M$10:$M$39))/(COUNTIF($C$10:$C$39,S10)-1)</f>
        <v>698.90000000000009</v>
      </c>
      <c r="V10" s="156">
        <f>(SUMIF($C$10:$C$39,S10,$H$10:$H$39)+SUMIF($C$10:$C$39,S10,$I$10:$I$39))/(COUNTIF($C$10:$C$39,S10)-1)</f>
        <v>208.22500000000002</v>
      </c>
      <c r="W10" s="156">
        <f>(SUMIF($C$10:$C$39,S10,$L$10:$L$39)+SUMIF($C$10:$C$39,S10,$M$10:$M$39))/(COUNTIF($C$10:$C$39,S10)-1)</f>
        <v>490.67500000000007</v>
      </c>
    </row>
    <row r="11" spans="1:42" s="14" customFormat="1" ht="16" customHeight="1">
      <c r="B11" s="19" t="s">
        <v>23</v>
      </c>
      <c r="C11" s="19" t="s">
        <v>294</v>
      </c>
      <c r="D11" s="206">
        <f>234-E11</f>
        <v>214.1</v>
      </c>
      <c r="E11" s="206">
        <v>19.899999999999999</v>
      </c>
      <c r="F11" s="207">
        <v>67</v>
      </c>
      <c r="G11" s="465" t="s">
        <v>295</v>
      </c>
      <c r="H11" s="206">
        <f>518.9-D11-E11-I11</f>
        <v>109.39999999999998</v>
      </c>
      <c r="I11" s="206">
        <v>175.5</v>
      </c>
      <c r="J11" s="207">
        <v>15</v>
      </c>
      <c r="K11" s="465" t="s">
        <v>295</v>
      </c>
      <c r="L11" s="206">
        <f>861.7-M11-I11-H11-E11-D11</f>
        <v>224.8000000000001</v>
      </c>
      <c r="M11" s="206">
        <f>313.4-I11-E11</f>
        <v>117.99999999999997</v>
      </c>
      <c r="N11" s="465" t="s">
        <v>295</v>
      </c>
      <c r="O11" s="208">
        <f>SUM(D11:E11,H11:I11,L11:M11)</f>
        <v>861.7</v>
      </c>
      <c r="P11" s="209">
        <v>455</v>
      </c>
      <c r="Q11" s="210"/>
      <c r="S11" s="157" t="s">
        <v>294</v>
      </c>
      <c r="T11" s="156">
        <f>(SUMIF($C$10:$C$39,S11,$D$10:$D$39)+SUMIF($C$10:$C$39,S11,$E$10:$E$39))/(COUNTIF($C$10:$C$39,S11)-1)</f>
        <v>112.66500000000001</v>
      </c>
      <c r="U11" s="156">
        <f>(SUMIF($C$10:$C$39,S11,$H$10:$H$39)+SUMIF($C$10:$C$39,S11,$I$10:$I$39)+SUMIF($C$10:$C$39,S11,$L$10:$L$39)+SUMIF($C$10:$C$39,S11,$M$10:$M$39))/COUNTIF($C$10:$C$39,S11)</f>
        <v>308.76000000000005</v>
      </c>
      <c r="V11" s="156">
        <f>(SUMIF($C$10:$C$39,S11,$H$10:$H$39)+SUMIF($C$10:$C$39,S11,$I$10:$I$39))/COUNTIF($C$10:$C$39,S11)</f>
        <v>136.1</v>
      </c>
      <c r="W11" s="156">
        <f>(SUMIF($C$10:$C$39,S11,$L$10:$L$39)+SUMIF($C$10:$C$39,S11,$M$10:$M$39))/COUNTIF($C$10:$C$39,S11)</f>
        <v>172.66000000000003</v>
      </c>
    </row>
    <row r="12" spans="1:42" s="14" customFormat="1" ht="16" customHeight="1">
      <c r="B12" s="19" t="s">
        <v>1559</v>
      </c>
      <c r="C12" s="19" t="s">
        <v>1557</v>
      </c>
      <c r="D12" s="206">
        <f>160-E12</f>
        <v>160</v>
      </c>
      <c r="E12" s="206">
        <v>0</v>
      </c>
      <c r="F12" s="207">
        <v>36</v>
      </c>
      <c r="G12" s="465" t="s">
        <v>1564</v>
      </c>
      <c r="H12" s="206">
        <f>473.5-D12-E12-I12</f>
        <v>51.5</v>
      </c>
      <c r="I12" s="206">
        <v>262</v>
      </c>
      <c r="J12" s="207">
        <v>7</v>
      </c>
      <c r="K12" s="842" t="s">
        <v>1596</v>
      </c>
      <c r="L12" s="206">
        <f>774-M12-I12-H12-E12-D12</f>
        <v>185.5</v>
      </c>
      <c r="M12" s="206">
        <f>377-I12-E12</f>
        <v>115</v>
      </c>
      <c r="N12" s="842" t="s">
        <v>1596</v>
      </c>
      <c r="O12" s="208">
        <f t="shared" si="0"/>
        <v>774</v>
      </c>
      <c r="P12" s="209">
        <v>499.4</v>
      </c>
      <c r="Q12" s="210"/>
      <c r="S12" s="157" t="s">
        <v>1557</v>
      </c>
      <c r="T12" s="156">
        <f>(SUMIF($C$10:$C$39,S12,$D$10:$D$39)+SUMIF($C$10:$C$39,S12,$E$10:$E$39))/COUNTIF($C$10:$C$39,S12)</f>
        <v>77.724999999999994</v>
      </c>
      <c r="U12" s="156">
        <f>(SUMIF($C$10:$C$39,S12,$H$10:$H$39)+SUMIF($C$10:$C$39,S12,$I$10:$I$39)+SUMIF($C$10:$C$39,S12,$L$10:$L$39)+SUMIF($C$10:$C$39,S12,$M$10:$M$39))/COUNTIF($C$10:$C$39,S12)</f>
        <v>414.22499999999997</v>
      </c>
      <c r="V12" s="156">
        <f>(SUMIF($C$10:$C$39,S12,$H$10:$H$39)+SUMIF($C$10:$C$39,S12,$I$10:$I$39))/COUNTIF($C$10:$C$39,S12)</f>
        <v>198.2</v>
      </c>
      <c r="W12" s="156">
        <f>(SUMIF($C$10:$C$39,S12,$L$10:$L$39)+SUMIF($C$10:$C$39,S12,$M$10:$M$39))/COUNTIF($C$10:$C$39,S12)</f>
        <v>216.02499999999998</v>
      </c>
    </row>
    <row r="13" spans="1:42" s="14" customFormat="1" ht="16" customHeight="1">
      <c r="B13" s="19" t="s">
        <v>1561</v>
      </c>
      <c r="C13" s="19" t="s">
        <v>1558</v>
      </c>
      <c r="D13" s="206">
        <f>296-E13</f>
        <v>223</v>
      </c>
      <c r="E13" s="206">
        <v>73</v>
      </c>
      <c r="F13" s="207">
        <v>86</v>
      </c>
      <c r="G13" s="465" t="s">
        <v>295</v>
      </c>
      <c r="H13" s="206">
        <f>896-D13-E13-I13</f>
        <v>240.60000000000002</v>
      </c>
      <c r="I13" s="206">
        <v>359.4</v>
      </c>
      <c r="J13" s="207">
        <v>14</v>
      </c>
      <c r="K13" s="465" t="s">
        <v>1564</v>
      </c>
      <c r="L13" s="206">
        <f>1534.3-M13-I13-H13-E13-D13</f>
        <v>208.79999999999995</v>
      </c>
      <c r="M13" s="206">
        <f>861.9-I13-E13</f>
        <v>429.5</v>
      </c>
      <c r="N13" s="842" t="s">
        <v>1596</v>
      </c>
      <c r="O13" s="208">
        <f t="shared" si="0"/>
        <v>1534.3</v>
      </c>
      <c r="P13" s="209">
        <v>1148</v>
      </c>
      <c r="Q13" s="210"/>
      <c r="S13" s="157" t="s">
        <v>1558</v>
      </c>
      <c r="T13" s="156">
        <f>(SUMIF($C$10:$C$39,S13,$D$10:$D$39)+SUMIF($C$10:$C$39,S13,$E$10:$E$39))/COUNTIF($C$10:$C$39,S13)</f>
        <v>161.42500000000001</v>
      </c>
      <c r="U13" s="156">
        <f>(SUMIF($C$10:$C$39,S13,$H$10:$H$39)+SUMIF($C$10:$C$39,S13,$I$10:$I$39)+SUMIF($C$10:$C$39,S13,$L$10:$L$39)+SUMIF($C$10:$C$39,S13,$M$10:$M$39))/COUNTIF($C$10:$C$39,S13)</f>
        <v>751.52499999999998</v>
      </c>
      <c r="V13" s="156">
        <f>(SUMIF($C$10:$C$39,S13,$H$10:$H$39)+SUMIF($C$10:$C$39,S13,$I$10:$I$39))/COUNTIF($C$10:$C$39,S13)</f>
        <v>296.20000000000005</v>
      </c>
      <c r="W13" s="156">
        <f>(SUMIF($C$10:$C$39,S13,$L$10:$L$39)+SUMIF($C$10:$C$39,S13,$M$10:$M$39))/COUNTIF($C$10:$C$39,S13)</f>
        <v>455.32499999999999</v>
      </c>
    </row>
    <row r="14" spans="1:42" s="14" customFormat="1" ht="16" customHeight="1">
      <c r="B14" s="19" t="s">
        <v>1563</v>
      </c>
      <c r="C14" s="19" t="s">
        <v>175</v>
      </c>
      <c r="D14" s="206">
        <f>178.1-E14</f>
        <v>136.89999999999998</v>
      </c>
      <c r="E14" s="206">
        <v>41.2</v>
      </c>
      <c r="F14" s="207">
        <v>65</v>
      </c>
      <c r="G14" s="465" t="s">
        <v>295</v>
      </c>
      <c r="H14" s="206">
        <f>611.3-D14-E14-I14</f>
        <v>290.5</v>
      </c>
      <c r="I14" s="206">
        <v>142.69999999999999</v>
      </c>
      <c r="J14" s="207">
        <v>33</v>
      </c>
      <c r="K14" s="465" t="s">
        <v>295</v>
      </c>
      <c r="L14" s="206">
        <f>2365.8-M14-I14-H14-E14-D14</f>
        <v>445.50000000000011</v>
      </c>
      <c r="M14" s="206">
        <f>1492.9-I14-E14</f>
        <v>1309</v>
      </c>
      <c r="N14" s="465" t="s">
        <v>295</v>
      </c>
      <c r="O14" s="208">
        <f t="shared" si="0"/>
        <v>2365.8000000000002</v>
      </c>
      <c r="P14" s="209">
        <v>1754.7</v>
      </c>
      <c r="Q14" s="210" t="s">
        <v>2271</v>
      </c>
      <c r="S14" s="157" t="s">
        <v>175</v>
      </c>
      <c r="T14" s="156">
        <f>(SUMIF($C$10:$C$39,S14,$D$10:$D$39)+SUMIF($C$10:$C$39,S14,$E$10:$E$39))/COUNTIF($C$10:$C$39,S14)</f>
        <v>271.96249999999998</v>
      </c>
      <c r="U14" s="156">
        <f>(SUMIF($C$10:$C$39,S14,$H$10:$H$39)+SUMIF($C$10:$C$39,S14,$I$10:$I$39)+SUMIF($C$10:$C$39,S14,$L$10:$L$39)+SUMIF($C$10:$C$39,S14,$M$10:$M$39))/COUNTIF($C$10:$C$39,S14)</f>
        <v>1399.375</v>
      </c>
      <c r="V14" s="156">
        <f>(SUMIF($C$10:$C$39,S14,$H$10:$H$39)+SUMIF($C$10:$C$39,S14,$I$10:$I$39))/COUNTIF($C$10:$C$39,S14)</f>
        <v>327.22500000000002</v>
      </c>
      <c r="W14" s="156">
        <f>(SUMIF($C$10:$C$39,S14,$L$10:$L$39)+SUMIF($C$10:$C$39,S14,$M$10:$M$39))/COUNTIF($C$10:$C$39,S14)</f>
        <v>1072.1500000000001</v>
      </c>
    </row>
    <row r="15" spans="1:42" s="14" customFormat="1" ht="16" customHeight="1">
      <c r="B15" s="19" t="s">
        <v>1566</v>
      </c>
      <c r="C15" s="19" t="s">
        <v>176</v>
      </c>
      <c r="D15" s="206">
        <f>474.9-E15</f>
        <v>351.5</v>
      </c>
      <c r="E15" s="206">
        <v>123.4</v>
      </c>
      <c r="F15" s="207">
        <v>77</v>
      </c>
      <c r="G15" s="673" t="s">
        <v>295</v>
      </c>
      <c r="H15" s="206">
        <f>792.4-D15-E15-I15</f>
        <v>197.5</v>
      </c>
      <c r="I15" s="206">
        <v>120</v>
      </c>
      <c r="J15" s="207">
        <v>10</v>
      </c>
      <c r="K15" s="673" t="s">
        <v>295</v>
      </c>
      <c r="L15" s="206">
        <f>2660.3-M15-I15-H15-E15-D15</f>
        <v>782.20000000000027</v>
      </c>
      <c r="M15" s="206">
        <f>1329.1-I15-E15</f>
        <v>1085.6999999999998</v>
      </c>
      <c r="N15" s="673" t="s">
        <v>295</v>
      </c>
      <c r="O15" s="208">
        <f t="shared" si="0"/>
        <v>2660.3</v>
      </c>
      <c r="P15" s="209">
        <v>1504.7</v>
      </c>
      <c r="Q15" s="210" t="s">
        <v>2271</v>
      </c>
      <c r="S15" s="157" t="s">
        <v>176</v>
      </c>
      <c r="T15" s="156">
        <f>(SUMIF($C$10:$C$39,S15,$D$10:$D$39)+SUMIF($C$10:$C$39,S15,$E$10:$E$39))/COUNTIF($C$10:$C$39,S15)</f>
        <v>302.85000000000002</v>
      </c>
      <c r="U15" s="156">
        <f>(SUMIF($C$10:$C$39,S15,$H$10:$H$39)+SUMIF($C$10:$C$39,S15,$I$10:$I$39)+SUMIF($C$10:$C$39,S15,$L$10:$L$39)+SUMIF($C$10:$C$39,S15,$M$10:$M$39))/COUNTIF($C$10:$C$39,S15)</f>
        <v>2010.4749999999999</v>
      </c>
      <c r="V15" s="156">
        <f>(SUMIF($C$10:$C$39,S15,$H$10:$H$39)+SUMIF($C$10:$C$39,S15,$I$10:$I$39))/COUNTIF($C$10:$C$39,S15)</f>
        <v>355.65000000000003</v>
      </c>
      <c r="W15" s="156">
        <f>(SUMIF($C$10:$C$39,S15,$L$10:$L$39)+SUMIF($C$10:$C$39,S15,$M$10:$M$39))/COUNTIF($C$10:$C$39,S15)</f>
        <v>1654.8249999999998</v>
      </c>
    </row>
    <row r="16" spans="1:42" s="14" customFormat="1" ht="16" customHeight="1">
      <c r="B16" s="19" t="s">
        <v>1569</v>
      </c>
      <c r="C16" s="19" t="s">
        <v>177</v>
      </c>
      <c r="D16" s="206">
        <f>413.7-E16</f>
        <v>321.2</v>
      </c>
      <c r="E16" s="206">
        <v>92.5</v>
      </c>
      <c r="F16" s="207">
        <v>72</v>
      </c>
      <c r="G16" s="673" t="s">
        <v>295</v>
      </c>
      <c r="H16" s="206">
        <f>758.6-D16-E16-I16</f>
        <v>299.40000000000003</v>
      </c>
      <c r="I16" s="206">
        <v>45.5</v>
      </c>
      <c r="J16" s="207">
        <v>8</v>
      </c>
      <c r="K16" s="673" t="s">
        <v>295</v>
      </c>
      <c r="L16" s="206">
        <f>10511.7-M16-I16-H16-E16-D16</f>
        <v>6022.1000000000013</v>
      </c>
      <c r="M16" s="206">
        <f>3869-I16-E16</f>
        <v>3731</v>
      </c>
      <c r="N16" s="673" t="s">
        <v>295</v>
      </c>
      <c r="O16" s="208">
        <f t="shared" si="0"/>
        <v>10511.7</v>
      </c>
      <c r="P16" s="209">
        <v>4169.88</v>
      </c>
      <c r="Q16" s="849" t="s">
        <v>2349</v>
      </c>
      <c r="S16" s="157" t="s">
        <v>177</v>
      </c>
      <c r="T16" s="156">
        <f>(SUMIF($C$10:$C$39,S16,$D$10:$D$39)+SUMIF($C$10:$C$39,S16,$E$10:$E$39))/(COUNTIF($C$10:$C$39,S16)-1)</f>
        <v>473.76666666666671</v>
      </c>
      <c r="U16" s="156">
        <f>(SUMIF($C$10:$C$39,S16,$H$10:$H$39)+SUMIF($C$10:$C$39,S16,$I$10:$I$39)+SUMIF($C$10:$C$39,S16,$L$10:$L$39)+SUMIF($C$10:$C$39,S16,$M$10:$M$39))/(COUNTIF($C$10:$C$39,S16)-1)</f>
        <v>3986.0333333333342</v>
      </c>
      <c r="V16" s="156">
        <f>(SUMIF($C$10:$C$39,S16,$H$10:$H$39)+SUMIF($C$10:$C$39,S16,$I$10:$I$39))/(COUNTIF($C$10:$C$39,S16)-1)</f>
        <v>287.20000000000005</v>
      </c>
      <c r="W16" s="156">
        <f>(SUMIF($C$10:$C$39,S16,$L$10:$L$39)+SUMIF($C$10:$C$39,S16,$M$10:$M$39))/(COUNTIF($C$10:$C$39,S16)-1)</f>
        <v>3698.8333333333339</v>
      </c>
      <c r="X16" s="59"/>
      <c r="Y16" s="59"/>
      <c r="Z16" s="59"/>
      <c r="AA16" s="59"/>
      <c r="AB16" s="59"/>
      <c r="AC16" s="59"/>
    </row>
    <row r="17" spans="2:23" s="14" customFormat="1" ht="16" customHeight="1">
      <c r="B17" s="19" t="s">
        <v>297</v>
      </c>
      <c r="C17" s="19" t="s">
        <v>1567</v>
      </c>
      <c r="D17" s="206">
        <f>630.3-E17</f>
        <v>514.9</v>
      </c>
      <c r="E17" s="206">
        <v>115.4</v>
      </c>
      <c r="F17" s="207">
        <v>115</v>
      </c>
      <c r="G17" s="673" t="s">
        <v>295</v>
      </c>
      <c r="H17" s="206">
        <f>998.4-D17-E17-I17</f>
        <v>169.60000000000002</v>
      </c>
      <c r="I17" s="206">
        <v>198.5</v>
      </c>
      <c r="J17" s="207">
        <v>6</v>
      </c>
      <c r="K17" s="673" t="s">
        <v>295</v>
      </c>
      <c r="L17" s="206">
        <f>1242.4-M17-I17-H17-E17-D17</f>
        <v>130.50000000000011</v>
      </c>
      <c r="M17" s="206">
        <f>427.4-I17-E17</f>
        <v>113.49999999999997</v>
      </c>
      <c r="N17" s="673" t="s">
        <v>295</v>
      </c>
      <c r="O17" s="208">
        <f t="shared" si="0"/>
        <v>1242.4000000000001</v>
      </c>
      <c r="P17" s="209">
        <v>856.5</v>
      </c>
      <c r="Q17" s="210" t="s">
        <v>2271</v>
      </c>
      <c r="S17" s="1019"/>
      <c r="T17" s="1020"/>
      <c r="U17" s="159"/>
    </row>
    <row r="18" spans="2:23" s="14" customFormat="1" ht="16" customHeight="1">
      <c r="B18" s="19" t="s">
        <v>1572</v>
      </c>
      <c r="C18" s="19" t="s">
        <v>294</v>
      </c>
      <c r="D18" s="206"/>
      <c r="E18" s="206"/>
      <c r="F18" s="207"/>
      <c r="G18" s="673"/>
      <c r="H18" s="206">
        <f>223-D18-E18-I18</f>
        <v>114</v>
      </c>
      <c r="I18" s="206">
        <v>109</v>
      </c>
      <c r="J18" s="207">
        <v>14</v>
      </c>
      <c r="K18" s="673" t="s">
        <v>295</v>
      </c>
      <c r="L18" s="206">
        <f>258.5-M18-I18-H18-E18-D18</f>
        <v>2</v>
      </c>
      <c r="M18" s="206">
        <f>142.5-I18-E18</f>
        <v>33.5</v>
      </c>
      <c r="N18" s="673" t="s">
        <v>295</v>
      </c>
      <c r="O18" s="208">
        <f t="shared" si="0"/>
        <v>258.5</v>
      </c>
      <c r="P18" s="209">
        <v>178</v>
      </c>
      <c r="Q18" s="210"/>
      <c r="S18" s="180"/>
      <c r="T18" s="197"/>
      <c r="U18" s="205" t="s">
        <v>1718</v>
      </c>
      <c r="V18" s="205"/>
      <c r="W18" s="205"/>
    </row>
    <row r="19" spans="2:23" s="14" customFormat="1" ht="16" customHeight="1">
      <c r="B19" s="19" t="s">
        <v>1574</v>
      </c>
      <c r="C19" s="19" t="s">
        <v>1557</v>
      </c>
      <c r="D19" s="206">
        <f>60-E19</f>
        <v>60</v>
      </c>
      <c r="E19" s="206">
        <v>0</v>
      </c>
      <c r="F19" s="207">
        <v>34</v>
      </c>
      <c r="G19" s="673" t="s">
        <v>295</v>
      </c>
      <c r="H19" s="206">
        <f>204.9-D19-E19-I19</f>
        <v>114.7</v>
      </c>
      <c r="I19" s="206">
        <v>30.2</v>
      </c>
      <c r="J19" s="207">
        <v>10</v>
      </c>
      <c r="K19" s="673" t="s">
        <v>295</v>
      </c>
      <c r="L19" s="206">
        <f>505.4-M19-I19-H19-E19-D19</f>
        <v>175</v>
      </c>
      <c r="M19" s="206">
        <f>155.7-I19-E19</f>
        <v>125.49999999999999</v>
      </c>
      <c r="N19" s="673" t="s">
        <v>295</v>
      </c>
      <c r="O19" s="208">
        <f t="shared" si="0"/>
        <v>505.4</v>
      </c>
      <c r="P19" s="209">
        <v>243.1</v>
      </c>
      <c r="Q19" s="210"/>
      <c r="S19" s="211" t="s">
        <v>1573</v>
      </c>
      <c r="T19" s="212"/>
      <c r="U19" s="213"/>
      <c r="V19" s="213"/>
      <c r="W19" s="213"/>
    </row>
    <row r="20" spans="2:23" s="14" customFormat="1" ht="16" customHeight="1">
      <c r="B20" s="19" t="s">
        <v>1577</v>
      </c>
      <c r="C20" s="19" t="s">
        <v>1558</v>
      </c>
      <c r="D20" s="206">
        <f>157.5-E20</f>
        <v>138.6</v>
      </c>
      <c r="E20" s="206">
        <v>18.899999999999999</v>
      </c>
      <c r="F20" s="207">
        <v>76</v>
      </c>
      <c r="G20" s="673" t="s">
        <v>295</v>
      </c>
      <c r="H20" s="206">
        <f>464.7-D20-E20-I20</f>
        <v>234.90000000000003</v>
      </c>
      <c r="I20" s="206">
        <v>72.3</v>
      </c>
      <c r="J20" s="207">
        <v>8</v>
      </c>
      <c r="K20" s="673" t="s">
        <v>295</v>
      </c>
      <c r="L20" s="206">
        <f>877-M20-I20-H20-E20-D20</f>
        <v>92.199999999999932</v>
      </c>
      <c r="M20" s="206">
        <f>411.3-I20-E20</f>
        <v>320.10000000000002</v>
      </c>
      <c r="N20" s="673" t="s">
        <v>295</v>
      </c>
      <c r="O20" s="208">
        <f t="shared" si="0"/>
        <v>877</v>
      </c>
      <c r="P20" s="209">
        <v>595.70000000000005</v>
      </c>
      <c r="Q20" s="210"/>
      <c r="S20" s="211" t="s">
        <v>1579</v>
      </c>
      <c r="T20" s="212"/>
      <c r="U20" s="213">
        <v>50</v>
      </c>
      <c r="V20" s="213"/>
      <c r="W20" s="213"/>
    </row>
    <row r="21" spans="2:23" s="14" customFormat="1" ht="16" customHeight="1">
      <c r="B21" s="19" t="s">
        <v>977</v>
      </c>
      <c r="C21" s="19" t="s">
        <v>175</v>
      </c>
      <c r="D21" s="206">
        <f>315.1-E21</f>
        <v>220.8</v>
      </c>
      <c r="E21" s="206">
        <v>94.3</v>
      </c>
      <c r="F21" s="207">
        <v>68</v>
      </c>
      <c r="G21" s="673" t="s">
        <v>295</v>
      </c>
      <c r="H21" s="206">
        <f>519.1-D21-E21-I21</f>
        <v>76.5</v>
      </c>
      <c r="I21" s="206">
        <v>127.5</v>
      </c>
      <c r="J21" s="207">
        <v>15</v>
      </c>
      <c r="K21" s="673" t="s">
        <v>295</v>
      </c>
      <c r="L21" s="206">
        <f>1253-M21-I21-H21-E21-D21</f>
        <v>332.2</v>
      </c>
      <c r="M21" s="206">
        <f>623.5-I21-E21</f>
        <v>401.7</v>
      </c>
      <c r="N21" s="673" t="s">
        <v>295</v>
      </c>
      <c r="O21" s="208">
        <f t="shared" si="0"/>
        <v>1253</v>
      </c>
      <c r="P21" s="209">
        <v>747.2</v>
      </c>
      <c r="Q21" s="210" t="s">
        <v>2271</v>
      </c>
      <c r="S21" s="211" t="s">
        <v>1719</v>
      </c>
      <c r="T21" s="212"/>
      <c r="U21" s="213"/>
      <c r="V21" s="213"/>
      <c r="W21" s="213">
        <v>50</v>
      </c>
    </row>
    <row r="22" spans="2:23" s="14" customFormat="1" ht="16" customHeight="1">
      <c r="B22" s="19" t="s">
        <v>1581</v>
      </c>
      <c r="C22" s="19" t="s">
        <v>176</v>
      </c>
      <c r="D22" s="206">
        <f>460-E22</f>
        <v>273.60000000000002</v>
      </c>
      <c r="E22" s="206">
        <v>186.4</v>
      </c>
      <c r="F22" s="207">
        <v>85</v>
      </c>
      <c r="G22" s="673" t="s">
        <v>295</v>
      </c>
      <c r="H22" s="206">
        <f>906.2-D22-E22-I22</f>
        <v>-93.799999999999955</v>
      </c>
      <c r="I22" s="206">
        <v>540</v>
      </c>
      <c r="J22" s="207">
        <v>21</v>
      </c>
      <c r="K22" s="673" t="s">
        <v>295</v>
      </c>
      <c r="L22" s="206">
        <f>3318.6-M22-I22-H22-E22-D22</f>
        <v>1200.3999999999996</v>
      </c>
      <c r="M22" s="206">
        <f>1938.4-I22-E22</f>
        <v>1212</v>
      </c>
      <c r="N22" s="673" t="s">
        <v>295</v>
      </c>
      <c r="O22" s="208">
        <f t="shared" si="0"/>
        <v>3318.5999999999995</v>
      </c>
      <c r="P22" s="209">
        <v>2177.6</v>
      </c>
      <c r="Q22" s="210" t="s">
        <v>2348</v>
      </c>
      <c r="S22" s="214" t="s">
        <v>952</v>
      </c>
      <c r="T22" s="215"/>
      <c r="U22" s="216">
        <v>100</v>
      </c>
      <c r="V22" s="216"/>
      <c r="W22" s="216">
        <v>100</v>
      </c>
    </row>
    <row r="23" spans="2:23" s="14" customFormat="1" ht="16" customHeight="1">
      <c r="B23" s="19" t="s">
        <v>1583</v>
      </c>
      <c r="C23" s="19" t="s">
        <v>177</v>
      </c>
      <c r="D23" s="206">
        <f>650.3-E23</f>
        <v>384.29999999999995</v>
      </c>
      <c r="E23" s="206">
        <v>266</v>
      </c>
      <c r="F23" s="207">
        <v>131</v>
      </c>
      <c r="G23" s="673" t="s">
        <v>295</v>
      </c>
      <c r="H23" s="206">
        <f>849.2-D23-E23-I23</f>
        <v>135.3000000000001</v>
      </c>
      <c r="I23" s="206">
        <v>63.6</v>
      </c>
      <c r="J23" s="207">
        <v>9</v>
      </c>
      <c r="K23" s="673" t="s">
        <v>295</v>
      </c>
      <c r="L23" s="206">
        <f>1538.4-M23-I23-H23-E23-D23</f>
        <v>326.20000000000016</v>
      </c>
      <c r="M23" s="206">
        <f>692.6-I23-E23</f>
        <v>363</v>
      </c>
      <c r="N23" s="673" t="s">
        <v>295</v>
      </c>
      <c r="O23" s="208">
        <f t="shared" si="0"/>
        <v>1538.4</v>
      </c>
      <c r="P23" s="209">
        <v>886.9</v>
      </c>
      <c r="Q23" s="210" t="s">
        <v>2271</v>
      </c>
      <c r="S23" s="214" t="s">
        <v>1584</v>
      </c>
      <c r="T23" s="215"/>
      <c r="U23" s="216">
        <v>50</v>
      </c>
      <c r="V23" s="216"/>
      <c r="W23" s="216">
        <v>50</v>
      </c>
    </row>
    <row r="24" spans="2:23" s="14" customFormat="1" ht="16" customHeight="1">
      <c r="B24" s="19" t="s">
        <v>298</v>
      </c>
      <c r="C24" s="19" t="s">
        <v>1567</v>
      </c>
      <c r="D24" s="206"/>
      <c r="E24" s="206"/>
      <c r="F24" s="207"/>
      <c r="G24" s="673"/>
      <c r="H24" s="206"/>
      <c r="I24" s="206"/>
      <c r="J24" s="207"/>
      <c r="K24" s="673"/>
      <c r="L24" s="206"/>
      <c r="M24" s="206"/>
      <c r="N24" s="673"/>
      <c r="O24" s="208"/>
      <c r="P24" s="209"/>
      <c r="Q24" s="210" t="s">
        <v>1387</v>
      </c>
      <c r="S24" s="214" t="s">
        <v>1588</v>
      </c>
      <c r="T24" s="215"/>
      <c r="U24" s="216">
        <v>91</v>
      </c>
      <c r="V24" s="216"/>
      <c r="W24" s="216">
        <v>91</v>
      </c>
    </row>
    <row r="25" spans="2:23" s="14" customFormat="1" ht="16" customHeight="1">
      <c r="B25" s="19" t="s">
        <v>996</v>
      </c>
      <c r="C25" s="19" t="s">
        <v>294</v>
      </c>
      <c r="D25" s="206">
        <f>216.66-E25</f>
        <v>188.76</v>
      </c>
      <c r="E25" s="206">
        <v>27.9</v>
      </c>
      <c r="F25" s="207">
        <v>47</v>
      </c>
      <c r="G25" s="673" t="s">
        <v>295</v>
      </c>
      <c r="H25" s="206">
        <f>389.26-D25-E25-I25</f>
        <v>67.8</v>
      </c>
      <c r="I25" s="206">
        <v>104.8</v>
      </c>
      <c r="J25" s="207">
        <v>5</v>
      </c>
      <c r="K25" s="673" t="s">
        <v>2391</v>
      </c>
      <c r="L25" s="206">
        <f>874.26-M25-I25-H25-E25-D25</f>
        <v>133.5</v>
      </c>
      <c r="M25" s="206">
        <f>484.2-I25-E25</f>
        <v>351.5</v>
      </c>
      <c r="N25" s="842" t="s">
        <v>1596</v>
      </c>
      <c r="O25" s="208">
        <f t="shared" si="0"/>
        <v>874.26</v>
      </c>
      <c r="P25" s="209">
        <v>489.2</v>
      </c>
      <c r="Q25" s="210"/>
      <c r="S25" s="214" t="s">
        <v>1656</v>
      </c>
      <c r="T25" s="215"/>
      <c r="U25" s="216">
        <v>140</v>
      </c>
      <c r="V25" s="216"/>
      <c r="W25" s="216">
        <v>70</v>
      </c>
    </row>
    <row r="26" spans="2:23" s="14" customFormat="1" ht="16" customHeight="1">
      <c r="B26" s="19" t="s">
        <v>293</v>
      </c>
      <c r="C26" s="19" t="s">
        <v>1557</v>
      </c>
      <c r="D26" s="206">
        <f>90.9-E26</f>
        <v>62.000000000000007</v>
      </c>
      <c r="E26" s="206">
        <v>28.9</v>
      </c>
      <c r="F26" s="207">
        <v>54</v>
      </c>
      <c r="G26" s="842" t="s">
        <v>1596</v>
      </c>
      <c r="H26" s="206">
        <f>425.3-D26-E26-I26</f>
        <v>169.90000000000003</v>
      </c>
      <c r="I26" s="206">
        <v>164.5</v>
      </c>
      <c r="J26" s="207">
        <v>43</v>
      </c>
      <c r="K26" s="465" t="s">
        <v>1564</v>
      </c>
      <c r="L26" s="206">
        <f>688.4-M26-I26-H26-E26-D26</f>
        <v>54.09999999999993</v>
      </c>
      <c r="M26" s="206">
        <f>402.4-I26-E26</f>
        <v>208.99999999999997</v>
      </c>
      <c r="N26" s="673" t="s">
        <v>295</v>
      </c>
      <c r="O26" s="208">
        <f t="shared" si="0"/>
        <v>688.4</v>
      </c>
      <c r="P26" s="209">
        <v>415.9</v>
      </c>
      <c r="Q26" s="210"/>
      <c r="S26" s="214" t="s">
        <v>144</v>
      </c>
      <c r="T26" s="215"/>
      <c r="U26" s="216">
        <v>370</v>
      </c>
      <c r="V26" s="216"/>
      <c r="W26" s="216">
        <v>370</v>
      </c>
    </row>
    <row r="27" spans="2:23" s="14" customFormat="1" ht="16" customHeight="1">
      <c r="B27" s="19" t="s">
        <v>420</v>
      </c>
      <c r="C27" s="19" t="s">
        <v>1558</v>
      </c>
      <c r="D27" s="206">
        <f>192.2-E27</f>
        <v>82.499999999999986</v>
      </c>
      <c r="E27" s="206">
        <v>109.7</v>
      </c>
      <c r="F27" s="207">
        <v>66</v>
      </c>
      <c r="G27" s="842" t="s">
        <v>1596</v>
      </c>
      <c r="H27" s="206">
        <f>469.8-D27-E27-I27</f>
        <v>-6.1999999999999886</v>
      </c>
      <c r="I27" s="206">
        <v>283.8</v>
      </c>
      <c r="J27" s="207">
        <v>15</v>
      </c>
      <c r="K27" s="842" t="s">
        <v>1596</v>
      </c>
      <c r="L27" s="206">
        <f>1240.5-M27-I27-H27-E27-D27</f>
        <v>543.70000000000005</v>
      </c>
      <c r="M27" s="206">
        <f>620.5-I27-E27</f>
        <v>227</v>
      </c>
      <c r="N27" s="842" t="s">
        <v>1596</v>
      </c>
      <c r="O27" s="208">
        <f t="shared" si="0"/>
        <v>1240.5</v>
      </c>
      <c r="P27" s="209">
        <v>657.9</v>
      </c>
      <c r="Q27" s="210"/>
      <c r="S27" s="214" t="s">
        <v>1710</v>
      </c>
      <c r="T27" s="215"/>
      <c r="U27" s="216">
        <v>100</v>
      </c>
      <c r="V27" s="216"/>
      <c r="W27" s="216">
        <v>100</v>
      </c>
    </row>
    <row r="28" spans="2:23" s="14" customFormat="1" ht="16" customHeight="1">
      <c r="B28" s="19" t="s">
        <v>719</v>
      </c>
      <c r="C28" s="19" t="s">
        <v>175</v>
      </c>
      <c r="D28" s="206">
        <f>124.25-E28</f>
        <v>111.85</v>
      </c>
      <c r="E28" s="206">
        <v>12.4</v>
      </c>
      <c r="F28" s="207">
        <v>63</v>
      </c>
      <c r="G28" s="673" t="s">
        <v>295</v>
      </c>
      <c r="H28" s="206">
        <f>453.75-D28-E28-I28</f>
        <v>30.800000000000011</v>
      </c>
      <c r="I28" s="206">
        <v>298.7</v>
      </c>
      <c r="J28" s="207">
        <v>8</v>
      </c>
      <c r="K28" s="465" t="s">
        <v>1564</v>
      </c>
      <c r="L28" s="206">
        <f>1648.95-M28-I28-H28-E28-D28</f>
        <v>517.70000000000005</v>
      </c>
      <c r="M28" s="206">
        <f>988.6-I28-E28</f>
        <v>677.50000000000011</v>
      </c>
      <c r="N28" s="465" t="s">
        <v>1564</v>
      </c>
      <c r="O28" s="208">
        <f t="shared" si="0"/>
        <v>1648.9500000000003</v>
      </c>
      <c r="P28" s="209">
        <v>960.8</v>
      </c>
      <c r="Q28" s="210" t="s">
        <v>2271</v>
      </c>
      <c r="S28" s="217" t="s">
        <v>1720</v>
      </c>
      <c r="T28" s="218"/>
      <c r="U28" s="219">
        <v>100</v>
      </c>
      <c r="V28" s="219"/>
      <c r="W28" s="219"/>
    </row>
    <row r="29" spans="2:23" s="14" customFormat="1" ht="16" customHeight="1">
      <c r="B29" s="19" t="s">
        <v>1591</v>
      </c>
      <c r="C29" s="19" t="s">
        <v>176</v>
      </c>
      <c r="D29" s="206">
        <f>276.5-E29</f>
        <v>197.7</v>
      </c>
      <c r="E29" s="206">
        <v>78.8</v>
      </c>
      <c r="F29" s="207">
        <v>71</v>
      </c>
      <c r="G29" s="673" t="s">
        <v>295</v>
      </c>
      <c r="H29" s="206">
        <f>935.4-D29-E29-I29</f>
        <v>412.00000000000011</v>
      </c>
      <c r="I29" s="206">
        <v>246.9</v>
      </c>
      <c r="J29" s="207">
        <v>50</v>
      </c>
      <c r="K29" s="673" t="s">
        <v>295</v>
      </c>
      <c r="L29" s="206">
        <f>3274.4-M29-I29-H29-E29-D29</f>
        <v>1172.2999999999997</v>
      </c>
      <c r="M29" s="206">
        <f>1492.4-I29-E29</f>
        <v>1166.7</v>
      </c>
      <c r="N29" s="673" t="s">
        <v>295</v>
      </c>
      <c r="O29" s="208">
        <f t="shared" si="0"/>
        <v>3274.3999999999996</v>
      </c>
      <c r="P29" s="209">
        <v>1710</v>
      </c>
      <c r="Q29" s="210" t="s">
        <v>2348</v>
      </c>
      <c r="S29" s="217" t="s">
        <v>1721</v>
      </c>
      <c r="T29" s="218"/>
      <c r="U29" s="219">
        <v>115</v>
      </c>
      <c r="V29" s="219"/>
      <c r="W29" s="219"/>
    </row>
    <row r="30" spans="2:23" s="14" customFormat="1" ht="16" customHeight="1">
      <c r="B30" s="19" t="s">
        <v>1593</v>
      </c>
      <c r="C30" s="19" t="s">
        <v>177</v>
      </c>
      <c r="D30" s="206">
        <f>357.3-E30</f>
        <v>266.20000000000005</v>
      </c>
      <c r="E30" s="206">
        <v>91.1</v>
      </c>
      <c r="F30" s="207">
        <v>119</v>
      </c>
      <c r="G30" s="673" t="s">
        <v>295</v>
      </c>
      <c r="H30" s="206">
        <f>675.1-D30-E30-I30</f>
        <v>174.79999999999995</v>
      </c>
      <c r="I30" s="206">
        <v>143</v>
      </c>
      <c r="J30" s="207">
        <v>7</v>
      </c>
      <c r="K30" s="673" t="s">
        <v>295</v>
      </c>
      <c r="L30" s="206">
        <f>1329.3-M30-I30-H30-E30-D30</f>
        <v>888.3</v>
      </c>
      <c r="M30" s="206">
        <f t="shared" ref="M30:M40" si="1">-I30-E30</f>
        <v>-234.1</v>
      </c>
      <c r="N30" s="673" t="s">
        <v>295</v>
      </c>
      <c r="O30" s="208">
        <f t="shared" si="0"/>
        <v>1329.3000000000002</v>
      </c>
      <c r="P30" s="209">
        <v>758.6</v>
      </c>
      <c r="Q30" s="210" t="s">
        <v>2271</v>
      </c>
      <c r="S30" s="217" t="s">
        <v>1606</v>
      </c>
      <c r="T30" s="218"/>
      <c r="U30" s="219">
        <v>132</v>
      </c>
      <c r="V30" s="219"/>
      <c r="W30" s="219"/>
    </row>
    <row r="31" spans="2:23" s="14" customFormat="1" ht="16" customHeight="1">
      <c r="B31" s="19" t="s">
        <v>299</v>
      </c>
      <c r="C31" s="19" t="s">
        <v>1567</v>
      </c>
      <c r="D31" s="206"/>
      <c r="E31" s="206"/>
      <c r="F31" s="207"/>
      <c r="G31" s="673"/>
      <c r="H31" s="206">
        <f>372.8-D31-E31-I31</f>
        <v>168.3</v>
      </c>
      <c r="I31" s="206">
        <v>204.5</v>
      </c>
      <c r="J31" s="207">
        <v>54</v>
      </c>
      <c r="K31" s="673" t="s">
        <v>295</v>
      </c>
      <c r="L31" s="206">
        <f>1898.5-M31-I31-H31-E31-D31</f>
        <v>577.20000000000005</v>
      </c>
      <c r="M31" s="206">
        <f>1153-I31-E31</f>
        <v>948.5</v>
      </c>
      <c r="N31" s="673" t="s">
        <v>295</v>
      </c>
      <c r="O31" s="208">
        <f t="shared" si="0"/>
        <v>1898.5</v>
      </c>
      <c r="P31" s="209">
        <v>1159</v>
      </c>
      <c r="Q31" s="210" t="s">
        <v>2348</v>
      </c>
      <c r="S31" s="217" t="s">
        <v>1659</v>
      </c>
      <c r="T31" s="218"/>
      <c r="U31" s="219">
        <v>165</v>
      </c>
      <c r="V31" s="219"/>
      <c r="W31" s="219"/>
    </row>
    <row r="32" spans="2:23" s="14" customFormat="1" ht="16" customHeight="1">
      <c r="B32" s="19" t="s">
        <v>461</v>
      </c>
      <c r="C32" s="19" t="s">
        <v>294</v>
      </c>
      <c r="D32" s="206">
        <f t="shared" ref="D32:D39" si="2">-E32</f>
        <v>0</v>
      </c>
      <c r="E32" s="206"/>
      <c r="F32" s="207"/>
      <c r="G32" s="673" t="s">
        <v>295</v>
      </c>
      <c r="H32" s="206">
        <f t="shared" ref="H32:H40" si="3">-D32-E32-I32</f>
        <v>0</v>
      </c>
      <c r="I32" s="206"/>
      <c r="J32" s="207"/>
      <c r="K32" s="673" t="s">
        <v>295</v>
      </c>
      <c r="L32" s="206">
        <f t="shared" ref="L32:L40" si="4">-M32-I32-H32-E32-D32</f>
        <v>0</v>
      </c>
      <c r="M32" s="206">
        <f t="shared" si="1"/>
        <v>0</v>
      </c>
      <c r="N32" s="673" t="s">
        <v>295</v>
      </c>
      <c r="O32" s="208">
        <f t="shared" si="0"/>
        <v>0</v>
      </c>
      <c r="P32" s="209"/>
      <c r="Q32" s="210" t="s">
        <v>2271</v>
      </c>
      <c r="S32" s="217" t="s">
        <v>1592</v>
      </c>
      <c r="T32" s="218"/>
      <c r="U32" s="219">
        <v>160</v>
      </c>
      <c r="V32" s="219"/>
      <c r="W32" s="219"/>
    </row>
    <row r="33" spans="2:23" s="14" customFormat="1" ht="16" customHeight="1">
      <c r="B33" s="19" t="s">
        <v>296</v>
      </c>
      <c r="C33" s="19" t="s">
        <v>1557</v>
      </c>
      <c r="D33" s="206">
        <f t="shared" si="2"/>
        <v>0</v>
      </c>
      <c r="E33" s="206"/>
      <c r="F33" s="207"/>
      <c r="G33" s="673"/>
      <c r="H33" s="206">
        <f t="shared" si="3"/>
        <v>0</v>
      </c>
      <c r="I33" s="206"/>
      <c r="J33" s="207"/>
      <c r="K33" s="673"/>
      <c r="L33" s="206">
        <f t="shared" si="4"/>
        <v>0</v>
      </c>
      <c r="M33" s="206">
        <f t="shared" si="1"/>
        <v>0</v>
      </c>
      <c r="N33" s="673"/>
      <c r="O33" s="208">
        <f t="shared" si="0"/>
        <v>0</v>
      </c>
      <c r="P33" s="209"/>
      <c r="Q33" s="210" t="s">
        <v>2271</v>
      </c>
      <c r="S33" s="217" t="s">
        <v>1598</v>
      </c>
      <c r="T33" s="218"/>
      <c r="U33" s="219">
        <v>120</v>
      </c>
      <c r="V33" s="219"/>
      <c r="W33" s="219"/>
    </row>
    <row r="34" spans="2:23" s="14" customFormat="1" ht="16" customHeight="1">
      <c r="B34" s="19" t="s">
        <v>1601</v>
      </c>
      <c r="C34" s="19" t="s">
        <v>1558</v>
      </c>
      <c r="D34" s="206"/>
      <c r="E34" s="206"/>
      <c r="F34" s="207"/>
      <c r="G34" s="673" t="s">
        <v>295</v>
      </c>
      <c r="H34" s="206">
        <f t="shared" si="3"/>
        <v>0</v>
      </c>
      <c r="I34" s="206"/>
      <c r="J34" s="207"/>
      <c r="K34" s="673" t="s">
        <v>295</v>
      </c>
      <c r="L34" s="206">
        <f t="shared" si="4"/>
        <v>0</v>
      </c>
      <c r="M34" s="206">
        <f t="shared" si="1"/>
        <v>0</v>
      </c>
      <c r="N34" s="673" t="s">
        <v>295</v>
      </c>
      <c r="O34" s="208">
        <f t="shared" si="0"/>
        <v>0</v>
      </c>
      <c r="P34" s="209"/>
      <c r="Q34" s="210" t="s">
        <v>2271</v>
      </c>
      <c r="S34" s="217" t="s">
        <v>1327</v>
      </c>
      <c r="T34" s="218"/>
      <c r="U34" s="219">
        <v>130</v>
      </c>
      <c r="V34" s="219"/>
      <c r="W34" s="219"/>
    </row>
    <row r="35" spans="2:23" s="14" customFormat="1" ht="16" customHeight="1">
      <c r="B35" s="19" t="s">
        <v>1604</v>
      </c>
      <c r="C35" s="19" t="s">
        <v>175</v>
      </c>
      <c r="D35" s="206">
        <f>470.4-E35</f>
        <v>332.9</v>
      </c>
      <c r="E35" s="206">
        <v>137.5</v>
      </c>
      <c r="F35" s="207">
        <v>48</v>
      </c>
      <c r="G35" s="673" t="s">
        <v>295</v>
      </c>
      <c r="H35" s="206">
        <f>812.6-D35-E35-I35</f>
        <v>239.40000000000003</v>
      </c>
      <c r="I35" s="206">
        <v>102.8</v>
      </c>
      <c r="J35" s="207">
        <v>13</v>
      </c>
      <c r="K35" s="673" t="s">
        <v>295</v>
      </c>
      <c r="L35" s="206">
        <f>1417.6-M35-I35-H35-E35-D35</f>
        <v>271.69999999999993</v>
      </c>
      <c r="M35" s="206">
        <f>573.6-I35-E35</f>
        <v>333.3</v>
      </c>
      <c r="N35" s="673" t="s">
        <v>295</v>
      </c>
      <c r="O35" s="208">
        <f t="shared" si="0"/>
        <v>1417.5999999999997</v>
      </c>
      <c r="P35" s="209">
        <v>803.3</v>
      </c>
      <c r="Q35" s="210" t="s">
        <v>2271</v>
      </c>
      <c r="S35" s="217" t="s">
        <v>1597</v>
      </c>
      <c r="T35" s="218"/>
      <c r="U35" s="219">
        <v>130</v>
      </c>
      <c r="V35" s="219"/>
      <c r="W35" s="219"/>
    </row>
    <row r="36" spans="2:23" s="14" customFormat="1" ht="16" customHeight="1">
      <c r="B36" s="19" t="s">
        <v>1607</v>
      </c>
      <c r="C36" s="19" t="s">
        <v>176</v>
      </c>
      <c r="D36" s="206">
        <f t="shared" si="2"/>
        <v>0</v>
      </c>
      <c r="E36" s="206"/>
      <c r="F36" s="207"/>
      <c r="G36" s="227"/>
      <c r="H36" s="206">
        <f t="shared" si="3"/>
        <v>0</v>
      </c>
      <c r="I36" s="206"/>
      <c r="J36" s="207"/>
      <c r="K36" s="227"/>
      <c r="L36" s="206">
        <f t="shared" si="4"/>
        <v>0</v>
      </c>
      <c r="M36" s="206">
        <f t="shared" si="1"/>
        <v>0</v>
      </c>
      <c r="N36" s="227"/>
      <c r="O36" s="208">
        <f t="shared" si="0"/>
        <v>0</v>
      </c>
      <c r="P36" s="209"/>
      <c r="Q36" s="210" t="s">
        <v>2271</v>
      </c>
      <c r="S36" s="217" t="s">
        <v>1595</v>
      </c>
      <c r="T36" s="218"/>
      <c r="U36" s="219">
        <v>155</v>
      </c>
      <c r="V36" s="219"/>
      <c r="W36" s="219"/>
    </row>
    <row r="37" spans="2:23" s="14" customFormat="1" ht="16" customHeight="1">
      <c r="B37" s="19" t="s">
        <v>1028</v>
      </c>
      <c r="C37" s="19" t="s">
        <v>177</v>
      </c>
      <c r="D37" s="206">
        <f t="shared" si="2"/>
        <v>0</v>
      </c>
      <c r="E37" s="206"/>
      <c r="F37" s="207"/>
      <c r="G37" s="227"/>
      <c r="H37" s="206">
        <f t="shared" si="3"/>
        <v>0</v>
      </c>
      <c r="I37" s="206"/>
      <c r="J37" s="207"/>
      <c r="K37" s="227"/>
      <c r="L37" s="206">
        <f t="shared" si="4"/>
        <v>0</v>
      </c>
      <c r="M37" s="206">
        <f t="shared" si="1"/>
        <v>0</v>
      </c>
      <c r="N37" s="227"/>
      <c r="O37" s="208">
        <f t="shared" si="0"/>
        <v>0</v>
      </c>
      <c r="P37" s="209"/>
      <c r="Q37" s="210" t="s">
        <v>2271</v>
      </c>
      <c r="S37" s="217"/>
      <c r="T37" s="218"/>
      <c r="U37" s="219"/>
      <c r="V37" s="219"/>
      <c r="W37" s="219"/>
    </row>
    <row r="38" spans="2:23" s="14" customFormat="1" ht="17">
      <c r="B38" s="19" t="s">
        <v>300</v>
      </c>
      <c r="C38" s="19" t="s">
        <v>1567</v>
      </c>
      <c r="D38" s="206"/>
      <c r="E38" s="206"/>
      <c r="F38" s="207"/>
      <c r="G38" s="227"/>
      <c r="H38" s="206">
        <f t="shared" si="3"/>
        <v>0</v>
      </c>
      <c r="I38" s="206"/>
      <c r="J38" s="207"/>
      <c r="K38" s="227"/>
      <c r="L38" s="206">
        <f t="shared" si="4"/>
        <v>0</v>
      </c>
      <c r="M38" s="206">
        <f t="shared" si="1"/>
        <v>0</v>
      </c>
      <c r="N38" s="227"/>
      <c r="O38" s="208">
        <f t="shared" si="0"/>
        <v>0</v>
      </c>
      <c r="P38" s="209"/>
      <c r="Q38" s="210"/>
      <c r="S38" s="217"/>
      <c r="T38" s="218"/>
      <c r="U38" s="219"/>
      <c r="V38" s="219"/>
      <c r="W38" s="219"/>
    </row>
    <row r="39" spans="2:23" s="10" customFormat="1" ht="17">
      <c r="B39" s="19" t="s">
        <v>1040</v>
      </c>
      <c r="C39" s="19" t="s">
        <v>294</v>
      </c>
      <c r="D39" s="206">
        <f t="shared" si="2"/>
        <v>0</v>
      </c>
      <c r="E39" s="206"/>
      <c r="F39" s="207"/>
      <c r="G39" s="227"/>
      <c r="H39" s="206">
        <f t="shared" si="3"/>
        <v>0</v>
      </c>
      <c r="I39" s="206"/>
      <c r="J39" s="207"/>
      <c r="K39" s="227"/>
      <c r="L39" s="206">
        <f t="shared" si="4"/>
        <v>0</v>
      </c>
      <c r="M39" s="206">
        <f t="shared" si="1"/>
        <v>0</v>
      </c>
      <c r="N39" s="227"/>
      <c r="O39" s="208">
        <f t="shared" si="0"/>
        <v>0</v>
      </c>
      <c r="P39" s="209"/>
      <c r="Q39" s="210"/>
      <c r="S39" s="217"/>
      <c r="T39" s="218"/>
      <c r="U39" s="226"/>
      <c r="V39" s="226"/>
      <c r="W39" s="226"/>
    </row>
    <row r="40" spans="2:23" s="10" customFormat="1" ht="17">
      <c r="B40" s="19" t="s">
        <v>1611</v>
      </c>
      <c r="C40" s="19" t="s">
        <v>1557</v>
      </c>
      <c r="D40" s="206"/>
      <c r="E40" s="206"/>
      <c r="F40" s="207"/>
      <c r="G40" s="227"/>
      <c r="H40" s="206">
        <f t="shared" si="3"/>
        <v>0</v>
      </c>
      <c r="I40" s="206"/>
      <c r="J40" s="207"/>
      <c r="K40" s="227"/>
      <c r="L40" s="206">
        <f t="shared" si="4"/>
        <v>0</v>
      </c>
      <c r="M40" s="206">
        <f t="shared" si="1"/>
        <v>0</v>
      </c>
      <c r="N40" s="227"/>
      <c r="O40" s="208">
        <f t="shared" si="0"/>
        <v>0</v>
      </c>
      <c r="P40" s="209"/>
      <c r="Q40" s="210" t="s">
        <v>2271</v>
      </c>
      <c r="S40" s="217" t="s">
        <v>168</v>
      </c>
      <c r="T40" s="218"/>
      <c r="U40" s="226">
        <v>570</v>
      </c>
      <c r="V40" s="219"/>
      <c r="W40" s="219"/>
    </row>
    <row r="41" spans="2:23" s="10" customFormat="1">
      <c r="B41" s="12"/>
      <c r="C41" s="12"/>
      <c r="D41" s="8"/>
      <c r="E41" s="8"/>
      <c r="F41" s="8"/>
      <c r="G41" s="9"/>
      <c r="H41" s="9"/>
      <c r="I41" s="162"/>
      <c r="J41" s="1018"/>
      <c r="K41" s="1018"/>
      <c r="L41" s="8"/>
      <c r="M41" s="8"/>
      <c r="N41" s="9"/>
      <c r="O41" s="11"/>
      <c r="P41" s="11"/>
      <c r="S41" s="220" t="s">
        <v>1674</v>
      </c>
      <c r="T41" s="221"/>
      <c r="U41" s="222">
        <v>350</v>
      </c>
      <c r="V41" s="222"/>
      <c r="W41" s="222"/>
    </row>
    <row r="42" spans="2:23" s="10" customFormat="1" ht="17">
      <c r="B42" s="12"/>
      <c r="C42" s="12"/>
      <c r="D42" s="8"/>
      <c r="E42" s="8"/>
      <c r="F42" s="8"/>
      <c r="G42" s="9"/>
      <c r="H42" s="9"/>
      <c r="I42" s="9"/>
      <c r="J42" s="9"/>
      <c r="K42" s="9"/>
      <c r="L42" s="8"/>
      <c r="M42" s="8"/>
      <c r="N42" s="9"/>
      <c r="O42" s="11"/>
      <c r="P42" s="11"/>
      <c r="S42" s="223" t="s">
        <v>130</v>
      </c>
      <c r="T42" s="224"/>
      <c r="U42" s="225">
        <f>SUM(U19:U41)</f>
        <v>3028</v>
      </c>
      <c r="V42" s="225"/>
      <c r="W42" s="225"/>
    </row>
    <row r="43" spans="2:23" s="10" customFormat="1" ht="17" thickBot="1">
      <c r="B43" s="12"/>
      <c r="C43" s="12"/>
      <c r="D43" s="8"/>
      <c r="E43" s="8"/>
      <c r="F43" s="8"/>
      <c r="G43" s="9"/>
      <c r="H43" s="9"/>
      <c r="I43" s="9"/>
      <c r="J43" s="9"/>
      <c r="K43" s="9"/>
      <c r="L43" s="8"/>
      <c r="M43" s="8"/>
      <c r="N43" s="9"/>
      <c r="O43" s="11"/>
      <c r="P43" s="11"/>
      <c r="S43" s="110"/>
      <c r="T43" s="110"/>
    </row>
    <row r="44" spans="2:23" s="10" customFormat="1" ht="26" customHeight="1" thickBot="1">
      <c r="B44" s="1010" t="s">
        <v>291</v>
      </c>
      <c r="C44" s="1011"/>
      <c r="D44" s="15" t="s">
        <v>1548</v>
      </c>
      <c r="E44" s="15" t="s">
        <v>1549</v>
      </c>
      <c r="F44" s="16"/>
      <c r="G44" s="16"/>
      <c r="H44" s="15" t="s">
        <v>1551</v>
      </c>
      <c r="I44" s="15" t="s">
        <v>1552</v>
      </c>
      <c r="J44" s="154"/>
      <c r="K44" s="16"/>
      <c r="L44" s="15" t="s">
        <v>1553</v>
      </c>
      <c r="M44" s="15" t="s">
        <v>1554</v>
      </c>
      <c r="N44" s="16"/>
      <c r="O44" s="15" t="s">
        <v>116</v>
      </c>
      <c r="P44" s="15" t="s">
        <v>102</v>
      </c>
      <c r="Q44" s="17" t="s">
        <v>292</v>
      </c>
      <c r="S44" s="110"/>
      <c r="T44" s="110"/>
    </row>
    <row r="45" spans="2:23" s="10" customFormat="1" ht="17">
      <c r="B45" s="19" t="s">
        <v>1563</v>
      </c>
      <c r="C45" s="19" t="s">
        <v>175</v>
      </c>
      <c r="D45" s="206"/>
      <c r="E45" s="206"/>
      <c r="F45" s="207"/>
      <c r="G45" s="227"/>
      <c r="H45" s="206"/>
      <c r="I45" s="206"/>
      <c r="J45" s="207"/>
      <c r="K45" s="465"/>
      <c r="L45" s="206"/>
      <c r="M45" s="206"/>
      <c r="N45" s="842"/>
      <c r="O45" s="208">
        <v>5223.6000000000004</v>
      </c>
      <c r="P45" s="875">
        <v>1490.5</v>
      </c>
      <c r="Q45" s="210"/>
      <c r="S45" s="110"/>
      <c r="T45" s="110"/>
    </row>
    <row r="46" spans="2:23" s="10" customFormat="1" ht="17">
      <c r="B46" s="19" t="s">
        <v>1566</v>
      </c>
      <c r="C46" s="19" t="s">
        <v>176</v>
      </c>
      <c r="D46" s="206"/>
      <c r="E46" s="206"/>
      <c r="F46" s="207"/>
      <c r="G46" s="465"/>
      <c r="H46" s="206"/>
      <c r="I46" s="206"/>
      <c r="J46" s="207"/>
      <c r="K46" s="465"/>
      <c r="L46" s="206"/>
      <c r="M46" s="206"/>
      <c r="N46" s="465"/>
      <c r="O46" s="208">
        <v>7993.85</v>
      </c>
      <c r="P46" s="875">
        <v>3160</v>
      </c>
      <c r="Q46" s="210"/>
      <c r="S46" s="110"/>
      <c r="T46" s="110"/>
    </row>
    <row r="47" spans="2:23" s="10" customFormat="1" ht="17">
      <c r="B47" s="19" t="s">
        <v>1569</v>
      </c>
      <c r="C47" s="19" t="s">
        <v>177</v>
      </c>
      <c r="D47" s="206"/>
      <c r="E47" s="206"/>
      <c r="F47" s="207"/>
      <c r="G47" s="465"/>
      <c r="H47" s="206"/>
      <c r="I47" s="206"/>
      <c r="J47" s="207"/>
      <c r="K47" s="842"/>
      <c r="L47" s="206"/>
      <c r="M47" s="206"/>
      <c r="N47" s="842"/>
      <c r="O47" s="208">
        <v>7820.6</v>
      </c>
      <c r="P47" s="875">
        <v>2615.5100000000002</v>
      </c>
      <c r="Q47" s="210"/>
      <c r="S47" s="110"/>
      <c r="T47" s="110"/>
    </row>
    <row r="48" spans="2:23" s="10" customFormat="1" ht="17">
      <c r="B48" s="19" t="s">
        <v>297</v>
      </c>
      <c r="C48" s="19" t="s">
        <v>1567</v>
      </c>
      <c r="D48" s="206"/>
      <c r="E48" s="206"/>
      <c r="F48" s="207"/>
      <c r="G48" s="465"/>
      <c r="H48" s="206"/>
      <c r="I48" s="206"/>
      <c r="J48" s="207"/>
      <c r="K48" s="465"/>
      <c r="L48" s="206"/>
      <c r="M48" s="206"/>
      <c r="N48" s="842"/>
      <c r="O48" s="208">
        <v>6724</v>
      </c>
      <c r="P48" s="875">
        <v>2589</v>
      </c>
      <c r="Q48" s="210"/>
      <c r="S48" s="110"/>
      <c r="T48" s="110"/>
    </row>
    <row r="49" spans="2:20" s="10" customFormat="1" ht="17">
      <c r="B49" s="19" t="s">
        <v>977</v>
      </c>
      <c r="C49" s="19" t="s">
        <v>175</v>
      </c>
      <c r="D49" s="206"/>
      <c r="E49" s="206"/>
      <c r="F49" s="207"/>
      <c r="G49" s="465"/>
      <c r="H49" s="206"/>
      <c r="I49" s="206"/>
      <c r="J49" s="207"/>
      <c r="K49" s="465"/>
      <c r="L49" s="206"/>
      <c r="M49" s="206"/>
      <c r="N49" s="465"/>
      <c r="O49" s="208">
        <v>4901.7</v>
      </c>
      <c r="P49" s="875">
        <v>1555</v>
      </c>
      <c r="Q49" s="210"/>
      <c r="S49" s="110"/>
      <c r="T49" s="110"/>
    </row>
    <row r="50" spans="2:20" s="10" customFormat="1" ht="17">
      <c r="B50" s="19" t="s">
        <v>1581</v>
      </c>
      <c r="C50" s="19" t="s">
        <v>176</v>
      </c>
      <c r="D50" s="206"/>
      <c r="E50" s="206"/>
      <c r="F50" s="207"/>
      <c r="G50" s="673"/>
      <c r="H50" s="206"/>
      <c r="I50" s="206"/>
      <c r="J50" s="207"/>
      <c r="K50" s="673"/>
      <c r="L50" s="206"/>
      <c r="M50" s="206"/>
      <c r="N50" s="673"/>
      <c r="O50" s="208">
        <v>8509.9</v>
      </c>
      <c r="P50" s="875">
        <v>1743.5</v>
      </c>
      <c r="Q50" s="210"/>
      <c r="S50" s="110"/>
      <c r="T50" s="110"/>
    </row>
    <row r="51" spans="2:20" s="10" customFormat="1" ht="17">
      <c r="B51" s="19" t="s">
        <v>1583</v>
      </c>
      <c r="C51" s="19" t="s">
        <v>177</v>
      </c>
      <c r="D51" s="206"/>
      <c r="E51" s="206"/>
      <c r="F51" s="207"/>
      <c r="G51" s="673"/>
      <c r="H51" s="206"/>
      <c r="I51" s="206"/>
      <c r="J51" s="207"/>
      <c r="K51" s="673"/>
      <c r="L51" s="206"/>
      <c r="M51" s="206"/>
      <c r="N51" s="673"/>
      <c r="O51" s="208">
        <v>8011</v>
      </c>
      <c r="P51" s="875">
        <v>2493</v>
      </c>
      <c r="Q51" s="210"/>
      <c r="S51" s="110"/>
      <c r="T51" s="110"/>
    </row>
    <row r="52" spans="2:20" s="10" customFormat="1" ht="17">
      <c r="B52" s="19" t="s">
        <v>719</v>
      </c>
      <c r="C52" s="19" t="s">
        <v>175</v>
      </c>
      <c r="D52" s="206"/>
      <c r="E52" s="206"/>
      <c r="F52" s="207"/>
      <c r="G52" s="673"/>
      <c r="H52" s="206"/>
      <c r="I52" s="206"/>
      <c r="J52" s="207"/>
      <c r="K52" s="673"/>
      <c r="L52" s="206"/>
      <c r="M52" s="206"/>
      <c r="N52" s="673"/>
      <c r="O52" s="208">
        <v>5605</v>
      </c>
      <c r="P52" s="875">
        <v>2020.5</v>
      </c>
      <c r="Q52" s="210"/>
      <c r="S52" s="110"/>
      <c r="T52" s="110"/>
    </row>
    <row r="53" spans="2:20" s="10" customFormat="1" ht="17">
      <c r="B53" s="19" t="s">
        <v>1591</v>
      </c>
      <c r="C53" s="19" t="s">
        <v>176</v>
      </c>
      <c r="D53" s="206"/>
      <c r="E53" s="206"/>
      <c r="F53" s="207"/>
      <c r="G53" s="673"/>
      <c r="H53" s="206"/>
      <c r="I53" s="206"/>
      <c r="J53" s="207"/>
      <c r="K53" s="673"/>
      <c r="L53" s="206"/>
      <c r="M53" s="206"/>
      <c r="N53" s="673"/>
      <c r="O53" s="208">
        <v>8805.5</v>
      </c>
      <c r="P53" s="875">
        <v>2587</v>
      </c>
      <c r="Q53" s="210"/>
      <c r="S53" s="110"/>
      <c r="T53" s="110"/>
    </row>
    <row r="54" spans="2:20" s="10" customFormat="1" ht="17">
      <c r="B54" s="19" t="s">
        <v>1593</v>
      </c>
      <c r="C54" s="19" t="s">
        <v>177</v>
      </c>
      <c r="D54" s="206"/>
      <c r="E54" s="206"/>
      <c r="F54" s="207"/>
      <c r="G54" s="673"/>
      <c r="H54" s="206"/>
      <c r="I54" s="206"/>
      <c r="J54" s="207"/>
      <c r="K54" s="673"/>
      <c r="L54" s="206"/>
      <c r="M54" s="206"/>
      <c r="N54" s="673"/>
      <c r="O54" s="208">
        <v>7367</v>
      </c>
      <c r="P54" s="875">
        <v>1938</v>
      </c>
      <c r="Q54" s="210"/>
      <c r="S54" s="110"/>
      <c r="T54" s="110"/>
    </row>
    <row r="55" spans="2:20" s="10" customFormat="1" ht="17">
      <c r="B55" s="19" t="s">
        <v>299</v>
      </c>
      <c r="C55" s="19" t="s">
        <v>1567</v>
      </c>
      <c r="D55" s="206"/>
      <c r="E55" s="206"/>
      <c r="F55" s="207"/>
      <c r="G55" s="673"/>
      <c r="H55" s="206"/>
      <c r="I55" s="206"/>
      <c r="J55" s="207"/>
      <c r="K55" s="673"/>
      <c r="L55" s="206"/>
      <c r="M55" s="206"/>
      <c r="N55" s="673"/>
      <c r="O55" s="208">
        <v>2056</v>
      </c>
      <c r="P55" s="875">
        <v>303</v>
      </c>
      <c r="Q55" s="210"/>
      <c r="S55" s="110"/>
      <c r="T55" s="110"/>
    </row>
    <row r="56" spans="2:20" s="10" customFormat="1" ht="17">
      <c r="B56" s="19" t="s">
        <v>461</v>
      </c>
      <c r="C56" s="19" t="s">
        <v>294</v>
      </c>
      <c r="D56" s="206"/>
      <c r="E56" s="206"/>
      <c r="F56" s="207"/>
      <c r="G56" s="673"/>
      <c r="H56" s="206"/>
      <c r="I56" s="206"/>
      <c r="J56" s="207"/>
      <c r="K56" s="673"/>
      <c r="L56" s="206"/>
      <c r="M56" s="206"/>
      <c r="N56" s="673"/>
      <c r="O56" s="208">
        <v>4140.7</v>
      </c>
      <c r="P56" s="875">
        <v>1158</v>
      </c>
      <c r="Q56" s="210"/>
      <c r="S56" s="110"/>
      <c r="T56" s="110"/>
    </row>
    <row r="57" spans="2:20" s="10" customFormat="1" ht="17">
      <c r="B57" s="19" t="s">
        <v>296</v>
      </c>
      <c r="C57" s="19" t="s">
        <v>1557</v>
      </c>
      <c r="D57" s="206"/>
      <c r="E57" s="206"/>
      <c r="F57" s="207"/>
      <c r="G57" s="673"/>
      <c r="H57" s="206"/>
      <c r="I57" s="206"/>
      <c r="J57" s="207"/>
      <c r="K57" s="673"/>
      <c r="L57" s="206"/>
      <c r="M57" s="206"/>
      <c r="N57" s="673"/>
      <c r="O57" s="208">
        <v>2483.5</v>
      </c>
      <c r="P57" s="875">
        <v>273.5</v>
      </c>
      <c r="Q57" s="210"/>
      <c r="S57" s="110"/>
      <c r="T57" s="110"/>
    </row>
    <row r="58" spans="2:20" s="10" customFormat="1" ht="17">
      <c r="B58" s="19" t="s">
        <v>1601</v>
      </c>
      <c r="C58" s="19" t="s">
        <v>1558</v>
      </c>
      <c r="D58" s="206"/>
      <c r="E58" s="206"/>
      <c r="F58" s="207"/>
      <c r="G58" s="673"/>
      <c r="H58" s="206"/>
      <c r="I58" s="206"/>
      <c r="J58" s="207"/>
      <c r="K58" s="673"/>
      <c r="L58" s="206"/>
      <c r="M58" s="206"/>
      <c r="N58" s="673"/>
      <c r="O58" s="208">
        <v>3887.9</v>
      </c>
      <c r="P58" s="875">
        <v>519.5</v>
      </c>
      <c r="Q58" s="210"/>
      <c r="S58" s="110"/>
      <c r="T58" s="110"/>
    </row>
    <row r="59" spans="2:20" s="10" customFormat="1" ht="17">
      <c r="B59" s="19" t="s">
        <v>1604</v>
      </c>
      <c r="C59" s="19" t="s">
        <v>175</v>
      </c>
      <c r="D59" s="206"/>
      <c r="E59" s="206"/>
      <c r="F59" s="207"/>
      <c r="G59" s="673"/>
      <c r="H59" s="206"/>
      <c r="I59" s="206"/>
      <c r="J59" s="207"/>
      <c r="K59" s="673"/>
      <c r="L59" s="206"/>
      <c r="M59" s="206"/>
      <c r="N59" s="673"/>
      <c r="O59" s="208">
        <v>7120</v>
      </c>
      <c r="P59" s="875">
        <v>1112.5</v>
      </c>
      <c r="Q59" s="210"/>
      <c r="S59" s="110"/>
      <c r="T59" s="110"/>
    </row>
    <row r="60" spans="2:20" s="10" customFormat="1" ht="17">
      <c r="B60" s="19" t="s">
        <v>1607</v>
      </c>
      <c r="C60" s="19" t="s">
        <v>176</v>
      </c>
      <c r="D60" s="206"/>
      <c r="E60" s="206"/>
      <c r="F60" s="207"/>
      <c r="G60" s="673"/>
      <c r="H60" s="206"/>
      <c r="I60" s="206"/>
      <c r="J60" s="207"/>
      <c r="K60" s="673"/>
      <c r="L60" s="206"/>
      <c r="M60" s="206"/>
      <c r="N60" s="842"/>
      <c r="O60" s="208">
        <v>7684.7</v>
      </c>
      <c r="P60" s="875">
        <v>1811.5</v>
      </c>
      <c r="Q60" s="210"/>
      <c r="S60" s="110"/>
      <c r="T60" s="110"/>
    </row>
    <row r="61" spans="2:20" s="10" customFormat="1" ht="17">
      <c r="B61" s="19" t="s">
        <v>1028</v>
      </c>
      <c r="C61" s="19" t="s">
        <v>177</v>
      </c>
      <c r="D61" s="206"/>
      <c r="E61" s="206"/>
      <c r="F61" s="207"/>
      <c r="G61" s="842"/>
      <c r="H61" s="206"/>
      <c r="I61" s="206"/>
      <c r="J61" s="207"/>
      <c r="K61" s="465"/>
      <c r="L61" s="206"/>
      <c r="M61" s="206"/>
      <c r="N61" s="673"/>
      <c r="O61" s="208">
        <f t="shared" ref="O61:O62" si="5">SUM(D61:E61,H61:I61,L61:M61)</f>
        <v>0</v>
      </c>
      <c r="P61" s="209"/>
      <c r="Q61" s="210"/>
      <c r="S61" s="110"/>
      <c r="T61" s="110"/>
    </row>
    <row r="62" spans="2:20" s="10" customFormat="1" ht="17">
      <c r="B62" s="19" t="s">
        <v>1611</v>
      </c>
      <c r="C62" s="19" t="s">
        <v>1557</v>
      </c>
      <c r="D62" s="206"/>
      <c r="E62" s="206"/>
      <c r="F62" s="207"/>
      <c r="G62" s="842"/>
      <c r="H62" s="206"/>
      <c r="I62" s="206"/>
      <c r="J62" s="207"/>
      <c r="K62" s="842"/>
      <c r="L62" s="206"/>
      <c r="M62" s="206"/>
      <c r="N62" s="842"/>
      <c r="O62" s="208">
        <f t="shared" si="5"/>
        <v>0</v>
      </c>
      <c r="P62" s="209"/>
      <c r="Q62" s="210"/>
      <c r="S62" s="110"/>
      <c r="T62" s="110"/>
    </row>
    <row r="63" spans="2:20" s="10" customFormat="1">
      <c r="B63" s="12"/>
      <c r="C63" s="12"/>
      <c r="D63" s="8"/>
      <c r="E63" s="8"/>
      <c r="F63" s="8"/>
      <c r="G63" s="9"/>
      <c r="H63" s="9"/>
      <c r="I63" s="9"/>
      <c r="J63" s="9"/>
      <c r="K63" s="9"/>
      <c r="L63" s="8"/>
      <c r="M63" s="8"/>
      <c r="N63" s="9"/>
      <c r="O63" s="11"/>
      <c r="P63" s="11"/>
      <c r="S63" s="110"/>
      <c r="T63" s="110"/>
    </row>
    <row r="64" spans="2:20" s="10" customFormat="1">
      <c r="B64" s="12"/>
      <c r="C64" s="12"/>
      <c r="D64" s="8"/>
      <c r="E64" s="8"/>
      <c r="F64" s="8"/>
      <c r="G64" s="9"/>
      <c r="H64" s="9"/>
      <c r="I64" s="9"/>
      <c r="J64" s="9"/>
      <c r="K64" s="9"/>
      <c r="L64" s="8"/>
      <c r="M64" s="8"/>
      <c r="N64" s="9"/>
      <c r="O64" s="11"/>
      <c r="P64" s="11"/>
      <c r="S64" s="110"/>
      <c r="T64" s="110"/>
    </row>
    <row r="65" spans="2:20" s="10" customFormat="1">
      <c r="B65" s="12"/>
      <c r="C65" s="12"/>
      <c r="D65" s="8"/>
      <c r="E65" s="8"/>
      <c r="F65" s="8"/>
      <c r="G65" s="9"/>
      <c r="H65" s="9"/>
      <c r="I65" s="9"/>
      <c r="J65" s="9"/>
      <c r="K65" s="9"/>
      <c r="L65" s="8"/>
      <c r="M65" s="8"/>
      <c r="N65" s="9"/>
      <c r="O65" s="11"/>
      <c r="P65" s="11"/>
      <c r="S65" s="110"/>
      <c r="T65" s="110"/>
    </row>
    <row r="66" spans="2:20" s="10" customFormat="1">
      <c r="B66" s="12"/>
      <c r="C66" s="12"/>
      <c r="D66" s="8"/>
      <c r="E66" s="8"/>
      <c r="F66" s="8"/>
      <c r="G66" s="9"/>
      <c r="H66" s="9"/>
      <c r="I66" s="9"/>
      <c r="J66" s="9"/>
      <c r="K66" s="9"/>
      <c r="L66" s="8"/>
      <c r="M66" s="8"/>
      <c r="N66" s="9"/>
      <c r="O66" s="11"/>
      <c r="P66" s="11"/>
      <c r="S66" s="110"/>
      <c r="T66" s="110"/>
    </row>
    <row r="67" spans="2:20" s="10" customFormat="1">
      <c r="B67" s="12"/>
      <c r="C67" s="12"/>
      <c r="D67" s="8"/>
      <c r="E67" s="8"/>
      <c r="F67" s="8"/>
      <c r="G67" s="9"/>
      <c r="H67" s="9"/>
      <c r="I67" s="9"/>
      <c r="J67" s="9"/>
      <c r="K67" s="9"/>
      <c r="L67" s="8"/>
      <c r="M67" s="8"/>
      <c r="N67" s="9"/>
      <c r="O67" s="11"/>
      <c r="P67" s="11"/>
      <c r="S67" s="110"/>
      <c r="T67" s="110"/>
    </row>
    <row r="68" spans="2:20" s="10" customFormat="1">
      <c r="B68" s="12"/>
      <c r="C68" s="12"/>
      <c r="D68" s="8"/>
      <c r="E68" s="8"/>
      <c r="F68" s="8"/>
      <c r="G68" s="9"/>
      <c r="H68" s="9"/>
      <c r="I68" s="9"/>
      <c r="J68" s="9"/>
      <c r="K68" s="9"/>
      <c r="L68" s="8"/>
      <c r="M68" s="8"/>
      <c r="N68" s="9"/>
      <c r="O68" s="11"/>
      <c r="P68" s="11"/>
      <c r="S68" s="110"/>
      <c r="T68" s="110"/>
    </row>
    <row r="69" spans="2:20" s="10" customFormat="1">
      <c r="B69" s="12"/>
      <c r="C69" s="12"/>
      <c r="D69" s="8"/>
      <c r="E69" s="8"/>
      <c r="F69" s="8"/>
      <c r="G69" s="9"/>
      <c r="H69" s="9"/>
      <c r="I69" s="9"/>
      <c r="J69" s="9"/>
      <c r="K69" s="9"/>
      <c r="L69" s="8"/>
      <c r="M69" s="8"/>
      <c r="N69" s="9"/>
      <c r="O69" s="11"/>
      <c r="P69" s="11"/>
      <c r="S69" s="110"/>
      <c r="T69" s="110"/>
    </row>
    <row r="70" spans="2:20" s="10" customFormat="1">
      <c r="B70" s="12"/>
      <c r="C70" s="12"/>
      <c r="D70" s="8"/>
      <c r="E70" s="8"/>
      <c r="F70" s="8"/>
      <c r="G70" s="9"/>
      <c r="H70" s="9"/>
      <c r="I70" s="9"/>
      <c r="J70" s="9"/>
      <c r="K70" s="9"/>
      <c r="L70" s="8"/>
      <c r="M70" s="8"/>
      <c r="N70" s="9"/>
      <c r="O70" s="11"/>
      <c r="P70" s="11"/>
      <c r="S70" s="110"/>
      <c r="T70" s="110"/>
    </row>
    <row r="71" spans="2:20" s="10" customFormat="1">
      <c r="B71" s="12"/>
      <c r="C71" s="12"/>
      <c r="D71" s="8"/>
      <c r="E71" s="8"/>
      <c r="F71" s="8"/>
      <c r="G71" s="9"/>
      <c r="H71" s="9"/>
      <c r="I71" s="9"/>
      <c r="J71" s="9"/>
      <c r="K71" s="9"/>
      <c r="L71" s="8"/>
      <c r="M71" s="8"/>
      <c r="N71" s="9"/>
      <c r="O71" s="11"/>
      <c r="P71" s="11"/>
      <c r="S71" s="110"/>
      <c r="T71" s="110"/>
    </row>
    <row r="72" spans="2:20" s="10" customFormat="1">
      <c r="B72" s="12"/>
      <c r="C72" s="12"/>
      <c r="D72" s="8"/>
      <c r="E72" s="8"/>
      <c r="F72" s="8"/>
      <c r="G72" s="9"/>
      <c r="H72" s="9"/>
      <c r="I72" s="9"/>
      <c r="J72" s="9"/>
      <c r="K72" s="9"/>
      <c r="L72" s="8"/>
      <c r="M72" s="8"/>
      <c r="N72" s="9"/>
      <c r="O72" s="11"/>
      <c r="P72" s="11"/>
      <c r="S72" s="110"/>
      <c r="T72" s="110"/>
    </row>
    <row r="73" spans="2:20" s="10" customFormat="1">
      <c r="B73" s="12"/>
      <c r="C73" s="12"/>
      <c r="D73" s="8"/>
      <c r="E73" s="8"/>
      <c r="F73" s="8"/>
      <c r="G73" s="9"/>
      <c r="H73" s="9"/>
      <c r="I73" s="9"/>
      <c r="J73" s="9"/>
      <c r="K73" s="9"/>
      <c r="L73" s="8"/>
      <c r="M73" s="8"/>
      <c r="N73" s="9"/>
      <c r="O73" s="11"/>
      <c r="P73" s="11"/>
      <c r="S73" s="110"/>
      <c r="T73" s="110"/>
    </row>
    <row r="74" spans="2:20" s="10" customFormat="1">
      <c r="B74" s="12"/>
      <c r="C74" s="12"/>
      <c r="D74" s="8"/>
      <c r="E74" s="8"/>
      <c r="F74" s="8"/>
      <c r="G74" s="9"/>
      <c r="H74" s="9"/>
      <c r="I74" s="9"/>
      <c r="J74" s="9"/>
      <c r="K74" s="9"/>
      <c r="L74" s="8"/>
      <c r="M74" s="8"/>
      <c r="N74" s="9"/>
      <c r="O74" s="11"/>
      <c r="P74" s="11"/>
      <c r="S74" s="110"/>
      <c r="T74" s="110"/>
    </row>
    <row r="75" spans="2:20" s="10" customFormat="1">
      <c r="B75" s="12"/>
      <c r="C75" s="12"/>
      <c r="D75" s="8"/>
      <c r="E75" s="8"/>
      <c r="F75" s="8"/>
      <c r="G75" s="9"/>
      <c r="H75" s="9"/>
      <c r="I75" s="9"/>
      <c r="J75" s="9"/>
      <c r="K75" s="9"/>
      <c r="L75" s="8"/>
      <c r="M75" s="8"/>
      <c r="N75" s="9"/>
      <c r="O75" s="11"/>
      <c r="P75" s="11"/>
      <c r="S75" s="110"/>
      <c r="T75" s="110"/>
    </row>
    <row r="76" spans="2:20" s="10" customFormat="1">
      <c r="B76" s="12"/>
      <c r="C76" s="12"/>
      <c r="D76" s="8"/>
      <c r="E76" s="8"/>
      <c r="F76" s="8"/>
      <c r="G76" s="9"/>
      <c r="H76" s="9"/>
      <c r="I76" s="9"/>
      <c r="J76" s="9"/>
      <c r="K76" s="9"/>
      <c r="L76" s="8"/>
      <c r="M76" s="8"/>
      <c r="N76" s="9"/>
      <c r="O76" s="11"/>
      <c r="P76" s="11"/>
      <c r="S76" s="110"/>
      <c r="T76" s="110"/>
    </row>
    <row r="77" spans="2:20" s="10" customFormat="1">
      <c r="B77" s="12"/>
      <c r="C77" s="12"/>
      <c r="D77" s="8"/>
      <c r="E77" s="8"/>
      <c r="F77" s="8"/>
      <c r="G77" s="9"/>
      <c r="H77" s="9"/>
      <c r="I77" s="9"/>
      <c r="J77" s="9"/>
      <c r="K77" s="9"/>
      <c r="L77" s="8"/>
      <c r="M77" s="8"/>
      <c r="N77" s="9"/>
      <c r="O77" s="11"/>
      <c r="P77" s="11"/>
      <c r="S77" s="110"/>
      <c r="T77" s="110"/>
    </row>
    <row r="78" spans="2:20" s="10" customFormat="1">
      <c r="B78" s="12"/>
      <c r="C78" s="12"/>
      <c r="D78" s="8"/>
      <c r="E78" s="8"/>
      <c r="F78" s="8"/>
      <c r="G78" s="9"/>
      <c r="H78" s="9"/>
      <c r="I78" s="9"/>
      <c r="J78" s="9"/>
      <c r="K78" s="9"/>
      <c r="L78" s="8"/>
      <c r="M78" s="8"/>
      <c r="N78" s="9"/>
      <c r="O78" s="11"/>
      <c r="P78" s="11"/>
      <c r="S78" s="110"/>
      <c r="T78" s="110"/>
    </row>
    <row r="79" spans="2:20" s="10" customFormat="1">
      <c r="B79" s="12"/>
      <c r="C79" s="12"/>
      <c r="D79" s="8"/>
      <c r="E79" s="8"/>
      <c r="F79" s="8"/>
      <c r="G79" s="9"/>
      <c r="H79" s="9"/>
      <c r="I79" s="9"/>
      <c r="J79" s="9"/>
      <c r="K79" s="9"/>
      <c r="L79" s="8"/>
      <c r="M79" s="8"/>
      <c r="N79" s="9"/>
      <c r="O79" s="11"/>
      <c r="P79" s="11"/>
      <c r="S79" s="110"/>
      <c r="T79" s="110"/>
    </row>
    <row r="80" spans="2:20" s="10" customFormat="1">
      <c r="B80" s="12"/>
      <c r="C80" s="12"/>
      <c r="D80" s="8"/>
      <c r="E80" s="8"/>
      <c r="F80" s="8"/>
      <c r="G80" s="9"/>
      <c r="H80" s="9"/>
      <c r="I80" s="9"/>
      <c r="J80" s="9"/>
      <c r="K80" s="9"/>
      <c r="L80" s="8"/>
      <c r="M80" s="8"/>
      <c r="N80" s="9"/>
      <c r="O80" s="11"/>
      <c r="P80" s="11"/>
      <c r="S80" s="110"/>
      <c r="T80" s="110"/>
    </row>
    <row r="81" spans="2:20" s="10" customFormat="1">
      <c r="B81" s="12"/>
      <c r="C81" s="12"/>
      <c r="D81" s="8"/>
      <c r="E81" s="8"/>
      <c r="F81" s="8"/>
      <c r="G81" s="9"/>
      <c r="H81" s="9"/>
      <c r="I81" s="9"/>
      <c r="J81" s="9"/>
      <c r="K81" s="9"/>
      <c r="L81" s="8"/>
      <c r="M81" s="8"/>
      <c r="N81" s="9"/>
      <c r="O81" s="11"/>
      <c r="P81" s="11"/>
      <c r="S81" s="110"/>
      <c r="T81" s="110"/>
    </row>
    <row r="82" spans="2:20" s="10" customFormat="1">
      <c r="B82" s="12"/>
      <c r="C82" s="12"/>
      <c r="D82" s="8"/>
      <c r="E82" s="8"/>
      <c r="F82" s="8"/>
      <c r="G82" s="9"/>
      <c r="H82" s="9"/>
      <c r="I82" s="9"/>
      <c r="J82" s="9"/>
      <c r="K82" s="9"/>
      <c r="L82" s="8"/>
      <c r="M82" s="8"/>
      <c r="N82" s="9"/>
      <c r="O82" s="11"/>
      <c r="P82" s="11"/>
      <c r="S82" s="110"/>
      <c r="T82" s="110"/>
    </row>
    <row r="83" spans="2:20" s="10" customFormat="1">
      <c r="B83" s="12"/>
      <c r="C83" s="12"/>
      <c r="D83" s="8"/>
      <c r="E83" s="8"/>
      <c r="F83" s="8"/>
      <c r="G83" s="9"/>
      <c r="H83" s="9"/>
      <c r="I83" s="9"/>
      <c r="J83" s="9"/>
      <c r="K83" s="9"/>
      <c r="L83" s="8"/>
      <c r="M83" s="8"/>
      <c r="N83" s="9"/>
      <c r="O83" s="11"/>
      <c r="P83" s="11"/>
      <c r="S83" s="110"/>
      <c r="T83" s="110"/>
    </row>
    <row r="84" spans="2:20" s="10" customFormat="1">
      <c r="B84" s="12"/>
      <c r="C84" s="12"/>
      <c r="D84" s="8"/>
      <c r="E84" s="8"/>
      <c r="F84" s="8"/>
      <c r="G84" s="9"/>
      <c r="H84" s="9"/>
      <c r="I84" s="9"/>
      <c r="J84" s="9"/>
      <c r="K84" s="9"/>
      <c r="L84" s="8"/>
      <c r="M84" s="8"/>
      <c r="N84" s="9"/>
      <c r="O84" s="11"/>
      <c r="P84" s="11"/>
      <c r="S84" s="110"/>
      <c r="T84" s="110"/>
    </row>
    <row r="85" spans="2:20" s="10" customFormat="1">
      <c r="B85" s="12"/>
      <c r="C85" s="12"/>
      <c r="D85" s="8"/>
      <c r="E85" s="8"/>
      <c r="F85" s="8"/>
      <c r="G85" s="9"/>
      <c r="H85" s="9"/>
      <c r="I85" s="9"/>
      <c r="J85" s="9"/>
      <c r="K85" s="9"/>
      <c r="L85" s="8"/>
      <c r="M85" s="8"/>
      <c r="N85" s="9"/>
      <c r="O85" s="11"/>
      <c r="P85" s="11"/>
      <c r="S85" s="110"/>
      <c r="T85" s="110"/>
    </row>
    <row r="86" spans="2:20" s="10" customFormat="1">
      <c r="B86" s="12"/>
      <c r="C86" s="12"/>
      <c r="D86" s="8"/>
      <c r="E86" s="8"/>
      <c r="F86" s="8"/>
      <c r="G86" s="9"/>
      <c r="H86" s="9"/>
      <c r="I86" s="9"/>
      <c r="J86" s="9"/>
      <c r="K86" s="9"/>
      <c r="L86" s="8"/>
      <c r="M86" s="8"/>
      <c r="N86" s="9"/>
      <c r="O86" s="11"/>
      <c r="P86" s="11"/>
      <c r="S86" s="110"/>
      <c r="T86" s="110"/>
    </row>
    <row r="87" spans="2:20" s="10" customFormat="1">
      <c r="B87" s="12"/>
      <c r="C87" s="12"/>
      <c r="D87" s="8"/>
      <c r="E87" s="8"/>
      <c r="F87" s="8"/>
      <c r="G87" s="9"/>
      <c r="H87" s="9"/>
      <c r="I87" s="9"/>
      <c r="J87" s="9"/>
      <c r="K87" s="9"/>
      <c r="L87" s="8"/>
      <c r="M87" s="8"/>
      <c r="N87" s="9"/>
      <c r="O87" s="11"/>
      <c r="P87" s="11"/>
      <c r="S87" s="110"/>
      <c r="T87" s="110"/>
    </row>
    <row r="88" spans="2:20" s="10" customFormat="1">
      <c r="B88" s="12"/>
      <c r="C88" s="12"/>
      <c r="D88" s="8"/>
      <c r="E88" s="8"/>
      <c r="F88" s="8"/>
      <c r="G88" s="9"/>
      <c r="H88" s="9"/>
      <c r="I88" s="9"/>
      <c r="J88" s="9"/>
      <c r="K88" s="9"/>
      <c r="L88" s="8"/>
      <c r="M88" s="8"/>
      <c r="N88" s="9"/>
      <c r="O88" s="11"/>
      <c r="P88" s="11"/>
      <c r="S88" s="110"/>
      <c r="T88" s="110"/>
    </row>
    <row r="89" spans="2:20" s="10" customFormat="1">
      <c r="B89" s="12"/>
      <c r="C89" s="12"/>
      <c r="D89" s="8"/>
      <c r="E89" s="8"/>
      <c r="F89" s="8"/>
      <c r="G89" s="9"/>
      <c r="H89" s="9"/>
      <c r="I89" s="9"/>
      <c r="J89" s="9"/>
      <c r="K89" s="9"/>
      <c r="L89" s="8"/>
      <c r="M89" s="8"/>
      <c r="N89" s="9"/>
      <c r="O89" s="11"/>
      <c r="P89" s="11"/>
      <c r="S89" s="110"/>
      <c r="T89" s="110"/>
    </row>
    <row r="90" spans="2:20" s="10" customFormat="1">
      <c r="B90" s="12"/>
      <c r="C90" s="12"/>
      <c r="D90" s="8"/>
      <c r="E90" s="8"/>
      <c r="F90" s="8"/>
      <c r="G90" s="9"/>
      <c r="H90" s="9"/>
      <c r="I90" s="9"/>
      <c r="J90" s="9"/>
      <c r="K90" s="9"/>
      <c r="L90" s="8"/>
      <c r="M90" s="8"/>
      <c r="N90" s="9"/>
      <c r="O90" s="11"/>
      <c r="P90" s="11"/>
      <c r="S90" s="110"/>
      <c r="T90" s="110"/>
    </row>
    <row r="91" spans="2:20" s="10" customFormat="1">
      <c r="B91" s="12"/>
      <c r="C91" s="12"/>
      <c r="D91" s="8"/>
      <c r="E91" s="8"/>
      <c r="F91" s="8"/>
      <c r="G91" s="9"/>
      <c r="H91" s="9"/>
      <c r="I91" s="9"/>
      <c r="J91" s="9"/>
      <c r="K91" s="9"/>
      <c r="L91" s="8"/>
      <c r="M91" s="8"/>
      <c r="N91" s="9"/>
      <c r="O91" s="11"/>
      <c r="P91" s="11"/>
      <c r="S91" s="110"/>
      <c r="T91" s="110"/>
    </row>
    <row r="92" spans="2:20" s="10" customFormat="1">
      <c r="B92" s="12"/>
      <c r="C92" s="12"/>
      <c r="D92" s="8"/>
      <c r="E92" s="8"/>
      <c r="F92" s="8"/>
      <c r="G92" s="9"/>
      <c r="H92" s="9"/>
      <c r="I92" s="9"/>
      <c r="J92" s="9"/>
      <c r="K92" s="9"/>
      <c r="L92" s="8"/>
      <c r="M92" s="8"/>
      <c r="N92" s="9"/>
      <c r="O92" s="11"/>
      <c r="P92" s="11"/>
      <c r="S92" s="110"/>
      <c r="T92" s="110"/>
    </row>
    <row r="93" spans="2:20" s="10" customFormat="1">
      <c r="B93" s="12"/>
      <c r="C93" s="12"/>
      <c r="D93" s="8"/>
      <c r="E93" s="8"/>
      <c r="F93" s="8"/>
      <c r="G93" s="9"/>
      <c r="H93" s="9"/>
      <c r="I93" s="9"/>
      <c r="J93" s="9"/>
      <c r="K93" s="9"/>
      <c r="L93" s="8"/>
      <c r="M93" s="8"/>
      <c r="N93" s="9"/>
      <c r="O93" s="11"/>
      <c r="P93" s="11"/>
      <c r="S93" s="110"/>
      <c r="T93" s="110"/>
    </row>
    <row r="94" spans="2:20" s="10" customFormat="1">
      <c r="B94" s="12"/>
      <c r="C94" s="12"/>
      <c r="D94" s="8"/>
      <c r="E94" s="8"/>
      <c r="F94" s="8"/>
      <c r="G94" s="9"/>
      <c r="H94" s="9"/>
      <c r="I94" s="9"/>
      <c r="J94" s="9"/>
      <c r="K94" s="9"/>
      <c r="L94" s="8"/>
      <c r="M94" s="8"/>
      <c r="N94" s="9"/>
      <c r="O94" s="11"/>
      <c r="P94" s="11"/>
      <c r="S94" s="110"/>
      <c r="T94" s="110"/>
    </row>
    <row r="95" spans="2:20" s="10" customFormat="1">
      <c r="B95" s="12"/>
      <c r="C95" s="12"/>
      <c r="D95" s="8"/>
      <c r="E95" s="8"/>
      <c r="F95" s="8"/>
      <c r="G95" s="9"/>
      <c r="H95" s="9"/>
      <c r="I95" s="9"/>
      <c r="J95" s="9"/>
      <c r="K95" s="9"/>
      <c r="L95" s="8"/>
      <c r="M95" s="8"/>
      <c r="N95" s="9"/>
      <c r="O95" s="11"/>
      <c r="P95" s="11"/>
      <c r="S95" s="110"/>
      <c r="T95" s="110"/>
    </row>
    <row r="96" spans="2:20" s="10" customFormat="1">
      <c r="B96" s="12"/>
      <c r="C96" s="12"/>
      <c r="D96" s="8"/>
      <c r="E96" s="8"/>
      <c r="F96" s="8"/>
      <c r="G96" s="9"/>
      <c r="H96" s="9"/>
      <c r="I96" s="9"/>
      <c r="J96" s="9"/>
      <c r="K96" s="9"/>
      <c r="L96" s="8"/>
      <c r="M96" s="8"/>
      <c r="N96" s="9"/>
      <c r="O96" s="11"/>
      <c r="P96" s="11"/>
      <c r="S96" s="110"/>
      <c r="T96" s="110"/>
    </row>
    <row r="97" spans="2:20" s="10" customFormat="1">
      <c r="B97" s="12"/>
      <c r="C97" s="12"/>
      <c r="D97" s="8"/>
      <c r="E97" s="8"/>
      <c r="F97" s="8"/>
      <c r="G97" s="9"/>
      <c r="H97" s="9"/>
      <c r="I97" s="9"/>
      <c r="J97" s="9"/>
      <c r="K97" s="9"/>
      <c r="L97" s="8"/>
      <c r="M97" s="8"/>
      <c r="N97" s="9"/>
      <c r="O97" s="11"/>
      <c r="P97" s="11"/>
      <c r="S97" s="110"/>
      <c r="T97" s="110"/>
    </row>
    <row r="98" spans="2:20" s="10" customFormat="1">
      <c r="B98" s="12"/>
      <c r="C98" s="12"/>
      <c r="D98" s="8"/>
      <c r="E98" s="8"/>
      <c r="F98" s="8"/>
      <c r="G98" s="9"/>
      <c r="H98" s="9"/>
      <c r="I98" s="9"/>
      <c r="J98" s="9"/>
      <c r="K98" s="9"/>
      <c r="L98" s="8"/>
      <c r="M98" s="8"/>
      <c r="N98" s="9"/>
      <c r="O98" s="11"/>
      <c r="P98" s="11"/>
      <c r="S98" s="110"/>
      <c r="T98" s="110"/>
    </row>
    <row r="99" spans="2:20" s="10" customFormat="1">
      <c r="B99" s="12"/>
      <c r="C99" s="12"/>
      <c r="D99" s="8"/>
      <c r="E99" s="8"/>
      <c r="F99" s="8"/>
      <c r="G99" s="9"/>
      <c r="H99" s="9"/>
      <c r="I99" s="9"/>
      <c r="J99" s="9"/>
      <c r="K99" s="9"/>
      <c r="L99" s="8"/>
      <c r="M99" s="8"/>
      <c r="N99" s="9"/>
      <c r="O99" s="11"/>
      <c r="P99" s="11"/>
      <c r="S99" s="110"/>
      <c r="T99" s="110"/>
    </row>
    <row r="100" spans="2:20" s="10" customFormat="1">
      <c r="B100" s="12"/>
      <c r="C100" s="12"/>
      <c r="D100" s="8"/>
      <c r="E100" s="8"/>
      <c r="F100" s="8"/>
      <c r="G100" s="9"/>
      <c r="H100" s="9"/>
      <c r="I100" s="9"/>
      <c r="J100" s="9"/>
      <c r="K100" s="9"/>
      <c r="L100" s="8"/>
      <c r="M100" s="8"/>
      <c r="N100" s="9"/>
      <c r="O100" s="11"/>
      <c r="P100" s="11"/>
      <c r="S100" s="110"/>
      <c r="T100" s="110"/>
    </row>
    <row r="101" spans="2:20" s="10" customFormat="1">
      <c r="B101" s="12"/>
      <c r="C101" s="12"/>
      <c r="D101" s="8"/>
      <c r="E101" s="8"/>
      <c r="F101" s="8"/>
      <c r="G101" s="9"/>
      <c r="H101" s="9"/>
      <c r="I101" s="9"/>
      <c r="J101" s="9"/>
      <c r="K101" s="9"/>
      <c r="L101" s="8"/>
      <c r="M101" s="8"/>
      <c r="N101" s="9"/>
      <c r="O101" s="11"/>
      <c r="P101" s="11"/>
      <c r="S101" s="110"/>
      <c r="T101" s="110"/>
    </row>
    <row r="102" spans="2:20" s="10" customFormat="1">
      <c r="B102" s="12"/>
      <c r="C102" s="12"/>
      <c r="D102" s="8"/>
      <c r="E102" s="8"/>
      <c r="F102" s="8"/>
      <c r="G102" s="9"/>
      <c r="H102" s="9"/>
      <c r="I102" s="9"/>
      <c r="J102" s="9"/>
      <c r="K102" s="9"/>
      <c r="L102" s="8"/>
      <c r="M102" s="8"/>
      <c r="N102" s="9"/>
      <c r="O102" s="11"/>
      <c r="P102" s="11"/>
      <c r="S102" s="110"/>
      <c r="T102" s="110"/>
    </row>
    <row r="103" spans="2:20" s="10" customFormat="1">
      <c r="B103" s="12"/>
      <c r="C103" s="12"/>
      <c r="D103" s="8"/>
      <c r="E103" s="8"/>
      <c r="F103" s="8"/>
      <c r="G103" s="9"/>
      <c r="H103" s="9"/>
      <c r="I103" s="9"/>
      <c r="J103" s="9"/>
      <c r="K103" s="9"/>
      <c r="L103" s="8"/>
      <c r="M103" s="8"/>
      <c r="N103" s="9"/>
      <c r="O103" s="11"/>
      <c r="P103" s="11"/>
      <c r="S103" s="110"/>
      <c r="T103" s="110"/>
    </row>
    <row r="104" spans="2:20" s="10" customFormat="1">
      <c r="B104" s="12"/>
      <c r="C104" s="12"/>
      <c r="D104" s="8"/>
      <c r="E104" s="8"/>
      <c r="F104" s="8"/>
      <c r="G104" s="9"/>
      <c r="H104" s="9"/>
      <c r="I104" s="9"/>
      <c r="J104" s="9"/>
      <c r="K104" s="9"/>
      <c r="L104" s="8"/>
      <c r="M104" s="8"/>
      <c r="N104" s="9"/>
      <c r="O104" s="11"/>
      <c r="P104" s="11"/>
      <c r="S104" s="110"/>
      <c r="T104" s="110"/>
    </row>
    <row r="105" spans="2:20" s="10" customFormat="1">
      <c r="B105" s="12"/>
      <c r="C105" s="12"/>
      <c r="D105" s="8"/>
      <c r="E105" s="8"/>
      <c r="F105" s="8"/>
      <c r="G105" s="9"/>
      <c r="H105" s="9"/>
      <c r="I105" s="9"/>
      <c r="J105" s="9"/>
      <c r="K105" s="9"/>
      <c r="L105" s="8"/>
      <c r="M105" s="8"/>
      <c r="N105" s="9"/>
      <c r="O105" s="11"/>
      <c r="P105" s="11"/>
      <c r="S105" s="110"/>
      <c r="T105" s="110"/>
    </row>
    <row r="106" spans="2:20" s="10" customFormat="1">
      <c r="B106" s="12"/>
      <c r="C106" s="12"/>
      <c r="D106" s="8"/>
      <c r="E106" s="8"/>
      <c r="F106" s="8"/>
      <c r="G106" s="9"/>
      <c r="H106" s="9"/>
      <c r="I106" s="9"/>
      <c r="J106" s="9"/>
      <c r="K106" s="9"/>
      <c r="L106" s="8"/>
      <c r="M106" s="8"/>
      <c r="N106" s="9"/>
      <c r="O106" s="11"/>
      <c r="P106" s="11"/>
      <c r="S106" s="110"/>
      <c r="T106" s="110"/>
    </row>
    <row r="107" spans="2:20" s="10" customFormat="1">
      <c r="B107" s="12"/>
      <c r="C107" s="12"/>
      <c r="D107" s="8"/>
      <c r="E107" s="8"/>
      <c r="F107" s="8"/>
      <c r="G107" s="9"/>
      <c r="H107" s="9"/>
      <c r="I107" s="9"/>
      <c r="J107" s="9"/>
      <c r="K107" s="9"/>
      <c r="L107" s="8"/>
      <c r="M107" s="8"/>
      <c r="N107" s="9"/>
      <c r="O107" s="11"/>
      <c r="P107" s="11"/>
      <c r="S107" s="110"/>
      <c r="T107" s="110"/>
    </row>
    <row r="108" spans="2:20" s="10" customFormat="1">
      <c r="B108" s="12"/>
      <c r="C108" s="12"/>
      <c r="D108" s="8"/>
      <c r="E108" s="8"/>
      <c r="F108" s="8"/>
      <c r="G108" s="9"/>
      <c r="H108" s="9"/>
      <c r="I108" s="9"/>
      <c r="J108" s="9"/>
      <c r="K108" s="9"/>
      <c r="L108" s="8"/>
      <c r="M108" s="8"/>
      <c r="N108" s="9"/>
      <c r="O108" s="11"/>
      <c r="P108" s="11"/>
      <c r="S108" s="110"/>
      <c r="T108" s="110"/>
    </row>
    <row r="109" spans="2:20" s="10" customFormat="1">
      <c r="B109" s="12"/>
      <c r="C109" s="12"/>
      <c r="D109" s="8"/>
      <c r="E109" s="8"/>
      <c r="F109" s="8"/>
      <c r="G109" s="9"/>
      <c r="H109" s="9"/>
      <c r="I109" s="9"/>
      <c r="J109" s="9"/>
      <c r="K109" s="9"/>
      <c r="L109" s="8"/>
      <c r="M109" s="8"/>
      <c r="N109" s="9"/>
      <c r="O109" s="11"/>
      <c r="P109" s="11"/>
      <c r="S109" s="110"/>
      <c r="T109" s="110"/>
    </row>
    <row r="110" spans="2:20" s="10" customFormat="1">
      <c r="B110" s="12"/>
      <c r="C110" s="12"/>
      <c r="D110" s="8"/>
      <c r="E110" s="8"/>
      <c r="F110" s="8"/>
      <c r="G110" s="9"/>
      <c r="H110" s="9"/>
      <c r="I110" s="9"/>
      <c r="J110" s="9"/>
      <c r="K110" s="9"/>
      <c r="L110" s="8"/>
      <c r="M110" s="8"/>
      <c r="N110" s="9"/>
      <c r="O110" s="11"/>
      <c r="P110" s="11"/>
      <c r="S110" s="110"/>
      <c r="T110" s="110"/>
    </row>
    <row r="111" spans="2:20" s="10" customFormat="1">
      <c r="B111" s="12"/>
      <c r="C111" s="12"/>
      <c r="D111" s="8"/>
      <c r="E111" s="8"/>
      <c r="F111" s="8"/>
      <c r="G111" s="9"/>
      <c r="H111" s="9"/>
      <c r="I111" s="9"/>
      <c r="J111" s="9"/>
      <c r="K111" s="9"/>
      <c r="L111" s="8"/>
      <c r="M111" s="8"/>
      <c r="N111" s="9"/>
      <c r="O111" s="11"/>
      <c r="P111" s="11"/>
      <c r="S111" s="110"/>
      <c r="T111" s="110"/>
    </row>
    <row r="112" spans="2:20" s="10" customFormat="1">
      <c r="B112" s="12"/>
      <c r="C112" s="12"/>
      <c r="D112" s="8"/>
      <c r="E112" s="8"/>
      <c r="F112" s="8"/>
      <c r="G112" s="9"/>
      <c r="H112" s="9"/>
      <c r="I112" s="9"/>
      <c r="J112" s="9"/>
      <c r="K112" s="9"/>
      <c r="L112" s="8"/>
      <c r="M112" s="8"/>
      <c r="N112" s="9"/>
      <c r="O112" s="11"/>
      <c r="P112" s="11"/>
      <c r="S112" s="110"/>
      <c r="T112" s="110"/>
    </row>
    <row r="113" spans="2:20" s="10" customFormat="1">
      <c r="B113" s="12"/>
      <c r="C113" s="12"/>
      <c r="D113" s="8"/>
      <c r="E113" s="8"/>
      <c r="F113" s="8"/>
      <c r="G113" s="9"/>
      <c r="H113" s="9"/>
      <c r="I113" s="9"/>
      <c r="J113" s="9"/>
      <c r="K113" s="9"/>
      <c r="L113" s="8"/>
      <c r="M113" s="8"/>
      <c r="N113" s="9"/>
      <c r="O113" s="11"/>
      <c r="P113" s="11"/>
      <c r="S113" s="110"/>
      <c r="T113" s="110"/>
    </row>
    <row r="114" spans="2:20" s="10" customFormat="1">
      <c r="B114" s="12"/>
      <c r="C114" s="12"/>
      <c r="D114" s="8"/>
      <c r="E114" s="8"/>
      <c r="F114" s="8"/>
      <c r="G114" s="9"/>
      <c r="H114" s="9"/>
      <c r="I114" s="9"/>
      <c r="J114" s="9"/>
      <c r="K114" s="9"/>
      <c r="L114" s="8"/>
      <c r="M114" s="8"/>
      <c r="N114" s="9"/>
      <c r="O114" s="11"/>
      <c r="P114" s="11"/>
      <c r="S114" s="110"/>
      <c r="T114" s="110"/>
    </row>
    <row r="115" spans="2:20" s="10" customFormat="1">
      <c r="B115" s="12"/>
      <c r="C115" s="12"/>
      <c r="D115" s="8"/>
      <c r="E115" s="8"/>
      <c r="F115" s="8"/>
      <c r="G115" s="9"/>
      <c r="H115" s="9"/>
      <c r="I115" s="9"/>
      <c r="J115" s="9"/>
      <c r="K115" s="9"/>
      <c r="L115" s="8"/>
      <c r="M115" s="8"/>
      <c r="N115" s="9"/>
      <c r="O115" s="11"/>
      <c r="P115" s="11"/>
      <c r="S115" s="110"/>
      <c r="T115" s="110"/>
    </row>
    <row r="116" spans="2:20" s="10" customFormat="1">
      <c r="B116" s="12"/>
      <c r="C116" s="12"/>
      <c r="D116" s="8"/>
      <c r="E116" s="8"/>
      <c r="F116" s="8"/>
      <c r="G116" s="9"/>
      <c r="H116" s="9"/>
      <c r="I116" s="9"/>
      <c r="J116" s="9"/>
      <c r="K116" s="9"/>
      <c r="L116" s="8"/>
      <c r="M116" s="8"/>
      <c r="N116" s="9"/>
      <c r="O116" s="11"/>
      <c r="P116" s="11"/>
      <c r="S116" s="110"/>
      <c r="T116" s="110"/>
    </row>
    <row r="117" spans="2:20" s="10" customFormat="1">
      <c r="B117" s="12"/>
      <c r="C117" s="12"/>
      <c r="D117" s="8"/>
      <c r="E117" s="8"/>
      <c r="F117" s="8"/>
      <c r="G117" s="9"/>
      <c r="H117" s="9"/>
      <c r="I117" s="9"/>
      <c r="J117" s="9"/>
      <c r="K117" s="9"/>
      <c r="L117" s="8"/>
      <c r="M117" s="8"/>
      <c r="N117" s="9"/>
      <c r="O117" s="11"/>
      <c r="P117" s="11"/>
      <c r="S117" s="110"/>
      <c r="T117" s="110"/>
    </row>
    <row r="118" spans="2:20" s="10" customFormat="1">
      <c r="B118" s="12"/>
      <c r="C118" s="12"/>
      <c r="D118" s="8"/>
      <c r="E118" s="8"/>
      <c r="F118" s="8"/>
      <c r="G118" s="9"/>
      <c r="H118" s="9"/>
      <c r="I118" s="9"/>
      <c r="J118" s="9"/>
      <c r="K118" s="9"/>
      <c r="L118" s="8"/>
      <c r="M118" s="8"/>
      <c r="N118" s="9"/>
      <c r="O118" s="11"/>
      <c r="P118" s="11"/>
      <c r="S118" s="110"/>
      <c r="T118" s="110"/>
    </row>
    <row r="119" spans="2:20" s="10" customFormat="1">
      <c r="B119" s="12"/>
      <c r="C119" s="12"/>
      <c r="D119" s="8"/>
      <c r="E119" s="8"/>
      <c r="F119" s="8"/>
      <c r="G119" s="9"/>
      <c r="H119" s="9"/>
      <c r="I119" s="9"/>
      <c r="J119" s="9"/>
      <c r="K119" s="9"/>
      <c r="L119" s="8"/>
      <c r="M119" s="8"/>
      <c r="N119" s="9"/>
      <c r="O119" s="11"/>
      <c r="P119" s="11"/>
      <c r="S119" s="110"/>
      <c r="T119" s="110"/>
    </row>
    <row r="120" spans="2:20" s="10" customFormat="1">
      <c r="B120" s="12"/>
      <c r="C120" s="12"/>
      <c r="D120" s="8"/>
      <c r="E120" s="8"/>
      <c r="F120" s="8"/>
      <c r="G120" s="9"/>
      <c r="H120" s="9"/>
      <c r="I120" s="9"/>
      <c r="J120" s="9"/>
      <c r="K120" s="9"/>
      <c r="L120" s="8"/>
      <c r="M120" s="8"/>
      <c r="N120" s="9"/>
      <c r="O120" s="11"/>
      <c r="P120" s="11"/>
      <c r="S120" s="110"/>
      <c r="T120" s="110"/>
    </row>
    <row r="121" spans="2:20" s="10" customFormat="1">
      <c r="B121" s="12"/>
      <c r="C121" s="12"/>
      <c r="D121" s="8"/>
      <c r="E121" s="8"/>
      <c r="F121" s="8"/>
      <c r="G121" s="9"/>
      <c r="H121" s="9"/>
      <c r="I121" s="9"/>
      <c r="J121" s="9"/>
      <c r="K121" s="9"/>
      <c r="L121" s="8"/>
      <c r="M121" s="8"/>
      <c r="N121" s="9"/>
      <c r="O121" s="11"/>
      <c r="P121" s="11"/>
      <c r="S121" s="110"/>
      <c r="T121" s="110"/>
    </row>
    <row r="122" spans="2:20" s="10" customFormat="1">
      <c r="B122" s="12"/>
      <c r="C122" s="12"/>
      <c r="D122" s="8"/>
      <c r="E122" s="8"/>
      <c r="F122" s="8"/>
      <c r="G122" s="9"/>
      <c r="H122" s="9"/>
      <c r="I122" s="9"/>
      <c r="J122" s="9"/>
      <c r="K122" s="9"/>
      <c r="L122" s="8"/>
      <c r="M122" s="8"/>
      <c r="N122" s="9"/>
      <c r="O122" s="11"/>
      <c r="P122" s="11"/>
      <c r="S122" s="110"/>
      <c r="T122" s="110"/>
    </row>
    <row r="123" spans="2:20" s="10" customFormat="1">
      <c r="B123" s="12"/>
      <c r="C123" s="12"/>
      <c r="D123" s="8"/>
      <c r="E123" s="8"/>
      <c r="F123" s="8"/>
      <c r="G123" s="9"/>
      <c r="H123" s="9"/>
      <c r="I123" s="9"/>
      <c r="J123" s="9"/>
      <c r="K123" s="9"/>
      <c r="L123" s="8"/>
      <c r="M123" s="8"/>
      <c r="N123" s="9"/>
      <c r="O123" s="11"/>
      <c r="P123" s="11"/>
      <c r="S123" s="110"/>
      <c r="T123" s="110"/>
    </row>
    <row r="124" spans="2:20" s="10" customFormat="1">
      <c r="B124" s="12"/>
      <c r="C124" s="12"/>
      <c r="D124" s="8"/>
      <c r="E124" s="8"/>
      <c r="F124" s="8"/>
      <c r="G124" s="9"/>
      <c r="H124" s="9"/>
      <c r="I124" s="9"/>
      <c r="J124" s="9"/>
      <c r="K124" s="9"/>
      <c r="L124" s="8"/>
      <c r="M124" s="8"/>
      <c r="N124" s="9"/>
      <c r="O124" s="11"/>
      <c r="P124" s="11"/>
      <c r="S124" s="110"/>
      <c r="T124" s="110"/>
    </row>
    <row r="125" spans="2:20" s="10" customFormat="1">
      <c r="B125" s="12"/>
      <c r="C125" s="12"/>
      <c r="D125" s="8"/>
      <c r="E125" s="8"/>
      <c r="F125" s="8"/>
      <c r="G125" s="9"/>
      <c r="H125" s="9"/>
      <c r="I125" s="9"/>
      <c r="J125" s="9"/>
      <c r="K125" s="9"/>
      <c r="L125" s="8"/>
      <c r="M125" s="8"/>
      <c r="N125" s="9"/>
      <c r="O125" s="11"/>
      <c r="P125" s="11"/>
      <c r="S125" s="110"/>
      <c r="T125" s="110"/>
    </row>
    <row r="126" spans="2:20" s="10" customFormat="1">
      <c r="B126" s="12"/>
      <c r="C126" s="12"/>
      <c r="D126" s="8"/>
      <c r="E126" s="8"/>
      <c r="F126" s="8"/>
      <c r="G126" s="9"/>
      <c r="H126" s="9"/>
      <c r="I126" s="9"/>
      <c r="J126" s="9"/>
      <c r="K126" s="9"/>
      <c r="L126" s="8"/>
      <c r="M126" s="8"/>
      <c r="N126" s="9"/>
      <c r="O126" s="11"/>
      <c r="P126" s="11"/>
      <c r="S126" s="110"/>
      <c r="T126" s="110"/>
    </row>
    <row r="127" spans="2:20" s="10" customFormat="1">
      <c r="B127" s="12"/>
      <c r="C127" s="12"/>
      <c r="D127" s="8"/>
      <c r="E127" s="8"/>
      <c r="F127" s="8"/>
      <c r="G127" s="9"/>
      <c r="H127" s="9"/>
      <c r="I127" s="9"/>
      <c r="J127" s="9"/>
      <c r="K127" s="9"/>
      <c r="L127" s="8"/>
      <c r="M127" s="8"/>
      <c r="N127" s="9"/>
      <c r="O127" s="11"/>
      <c r="P127" s="11"/>
      <c r="S127" s="110"/>
      <c r="T127" s="110"/>
    </row>
    <row r="128" spans="2:20" s="10" customFormat="1">
      <c r="B128" s="12"/>
      <c r="C128" s="12"/>
      <c r="D128" s="8"/>
      <c r="E128" s="8"/>
      <c r="F128" s="8"/>
      <c r="G128" s="9"/>
      <c r="H128" s="9"/>
      <c r="I128" s="9"/>
      <c r="J128" s="9"/>
      <c r="K128" s="9"/>
      <c r="L128" s="8"/>
      <c r="M128" s="8"/>
      <c r="N128" s="9"/>
      <c r="O128" s="11"/>
      <c r="P128" s="11"/>
      <c r="S128" s="110"/>
      <c r="T128" s="110"/>
    </row>
    <row r="129" spans="2:20" s="10" customFormat="1">
      <c r="B129" s="12"/>
      <c r="C129" s="12"/>
      <c r="D129" s="8"/>
      <c r="E129" s="8"/>
      <c r="F129" s="8"/>
      <c r="G129" s="9"/>
      <c r="H129" s="9"/>
      <c r="I129" s="9"/>
      <c r="J129" s="9"/>
      <c r="K129" s="9"/>
      <c r="L129" s="8"/>
      <c r="M129" s="8"/>
      <c r="N129" s="9"/>
      <c r="O129" s="11"/>
      <c r="P129" s="11"/>
      <c r="S129" s="110"/>
      <c r="T129" s="110"/>
    </row>
    <row r="130" spans="2:20" s="10" customFormat="1">
      <c r="B130" s="12"/>
      <c r="C130" s="12"/>
      <c r="D130" s="8"/>
      <c r="E130" s="8"/>
      <c r="F130" s="8"/>
      <c r="G130" s="9"/>
      <c r="H130" s="9"/>
      <c r="I130" s="9"/>
      <c r="J130" s="9"/>
      <c r="K130" s="9"/>
      <c r="L130" s="8"/>
      <c r="M130" s="8"/>
      <c r="N130" s="9"/>
      <c r="O130" s="11"/>
      <c r="P130" s="11"/>
      <c r="S130" s="110"/>
      <c r="T130" s="110"/>
    </row>
    <row r="131" spans="2:20" s="10" customFormat="1">
      <c r="B131" s="12"/>
      <c r="C131" s="12"/>
      <c r="D131" s="8"/>
      <c r="E131" s="8"/>
      <c r="F131" s="8"/>
      <c r="G131" s="9"/>
      <c r="H131" s="9"/>
      <c r="I131" s="9"/>
      <c r="J131" s="9"/>
      <c r="K131" s="9"/>
      <c r="L131" s="8"/>
      <c r="M131" s="8"/>
      <c r="N131" s="9"/>
      <c r="O131" s="11"/>
      <c r="P131" s="11"/>
      <c r="S131" s="110"/>
      <c r="T131" s="110"/>
    </row>
    <row r="132" spans="2:20" s="10" customFormat="1">
      <c r="B132" s="12"/>
      <c r="C132" s="12"/>
      <c r="D132" s="8"/>
      <c r="E132" s="8"/>
      <c r="F132" s="8"/>
      <c r="G132" s="9"/>
      <c r="H132" s="9"/>
      <c r="I132" s="9"/>
      <c r="J132" s="9"/>
      <c r="K132" s="9"/>
      <c r="L132" s="8"/>
      <c r="M132" s="8"/>
      <c r="N132" s="9"/>
      <c r="O132" s="11"/>
      <c r="P132" s="11"/>
      <c r="S132" s="110"/>
      <c r="T132" s="110"/>
    </row>
    <row r="133" spans="2:20" s="10" customFormat="1">
      <c r="B133" s="12"/>
      <c r="C133" s="12"/>
      <c r="D133" s="8"/>
      <c r="E133" s="8"/>
      <c r="F133" s="8"/>
      <c r="G133" s="9"/>
      <c r="H133" s="9"/>
      <c r="I133" s="9"/>
      <c r="J133" s="9"/>
      <c r="K133" s="9"/>
      <c r="L133" s="8"/>
      <c r="M133" s="8"/>
      <c r="N133" s="9"/>
      <c r="O133" s="11"/>
      <c r="P133" s="11"/>
      <c r="S133" s="110"/>
      <c r="T133" s="110"/>
    </row>
    <row r="134" spans="2:20" s="10" customFormat="1">
      <c r="B134" s="12"/>
      <c r="C134" s="12"/>
      <c r="D134" s="8"/>
      <c r="E134" s="8"/>
      <c r="F134" s="8"/>
      <c r="G134" s="9"/>
      <c r="H134" s="9"/>
      <c r="I134" s="9"/>
      <c r="J134" s="9"/>
      <c r="K134" s="9"/>
      <c r="L134" s="8"/>
      <c r="M134" s="8"/>
      <c r="N134" s="9"/>
      <c r="O134" s="11"/>
      <c r="P134" s="11"/>
      <c r="S134" s="110"/>
      <c r="T134" s="110"/>
    </row>
    <row r="135" spans="2:20" s="10" customFormat="1">
      <c r="B135" s="12"/>
      <c r="C135" s="12"/>
      <c r="D135" s="8"/>
      <c r="E135" s="8"/>
      <c r="F135" s="8"/>
      <c r="G135" s="9"/>
      <c r="H135" s="9"/>
      <c r="I135" s="9"/>
      <c r="J135" s="9"/>
      <c r="K135" s="9"/>
      <c r="L135" s="8"/>
      <c r="M135" s="8"/>
      <c r="N135" s="9"/>
      <c r="O135" s="11"/>
      <c r="P135" s="11"/>
      <c r="S135" s="110"/>
      <c r="T135" s="110"/>
    </row>
    <row r="136" spans="2:20" s="10" customFormat="1">
      <c r="B136" s="12"/>
      <c r="C136" s="12"/>
      <c r="D136" s="8"/>
      <c r="E136" s="8"/>
      <c r="F136" s="8"/>
      <c r="G136" s="9"/>
      <c r="H136" s="9"/>
      <c r="I136" s="9"/>
      <c r="J136" s="9"/>
      <c r="K136" s="9"/>
      <c r="L136" s="8"/>
      <c r="M136" s="8"/>
      <c r="N136" s="9"/>
      <c r="O136" s="11"/>
      <c r="P136" s="11"/>
      <c r="S136" s="110"/>
      <c r="T136" s="110"/>
    </row>
    <row r="137" spans="2:20" s="10" customFormat="1">
      <c r="B137" s="12"/>
      <c r="C137" s="12"/>
      <c r="D137" s="8"/>
      <c r="E137" s="8"/>
      <c r="F137" s="8"/>
      <c r="G137" s="9"/>
      <c r="H137" s="9"/>
      <c r="I137" s="9"/>
      <c r="J137" s="9"/>
      <c r="K137" s="9"/>
      <c r="L137" s="8"/>
      <c r="M137" s="8"/>
      <c r="N137" s="9"/>
      <c r="O137" s="11"/>
      <c r="P137" s="11"/>
      <c r="S137" s="110"/>
      <c r="T137" s="110"/>
    </row>
    <row r="138" spans="2:20" s="10" customFormat="1">
      <c r="B138" s="12"/>
      <c r="C138" s="12"/>
      <c r="D138" s="8"/>
      <c r="E138" s="8"/>
      <c r="F138" s="8"/>
      <c r="G138" s="9"/>
      <c r="H138" s="9"/>
      <c r="I138" s="9"/>
      <c r="J138" s="9"/>
      <c r="K138" s="9"/>
      <c r="L138" s="8"/>
      <c r="M138" s="8"/>
      <c r="N138" s="9"/>
      <c r="O138" s="11"/>
      <c r="P138" s="11"/>
      <c r="S138" s="110"/>
      <c r="T138" s="110"/>
    </row>
    <row r="139" spans="2:20" s="10" customFormat="1">
      <c r="B139" s="12"/>
      <c r="C139" s="12"/>
      <c r="D139" s="8"/>
      <c r="E139" s="8"/>
      <c r="F139" s="8"/>
      <c r="G139" s="9"/>
      <c r="H139" s="9"/>
      <c r="I139" s="9"/>
      <c r="J139" s="9"/>
      <c r="K139" s="9"/>
      <c r="L139" s="8"/>
      <c r="M139" s="8"/>
      <c r="N139" s="9"/>
      <c r="O139" s="11"/>
      <c r="P139" s="11"/>
      <c r="S139" s="110"/>
      <c r="T139" s="110"/>
    </row>
    <row r="140" spans="2:20" s="10" customFormat="1">
      <c r="B140" s="12"/>
      <c r="C140" s="12"/>
      <c r="D140" s="8"/>
      <c r="E140" s="8"/>
      <c r="F140" s="8"/>
      <c r="G140" s="9"/>
      <c r="H140" s="9"/>
      <c r="I140" s="9"/>
      <c r="J140" s="9"/>
      <c r="K140" s="9"/>
      <c r="L140" s="8"/>
      <c r="M140" s="8"/>
      <c r="N140" s="9"/>
      <c r="O140" s="11"/>
      <c r="P140" s="11"/>
      <c r="S140" s="110"/>
      <c r="T140" s="110"/>
    </row>
    <row r="141" spans="2:20" s="10" customFormat="1">
      <c r="B141" s="12"/>
      <c r="C141" s="12"/>
      <c r="D141" s="8"/>
      <c r="E141" s="8"/>
      <c r="F141" s="8"/>
      <c r="G141" s="9"/>
      <c r="H141" s="9"/>
      <c r="I141" s="9"/>
      <c r="J141" s="9"/>
      <c r="K141" s="9"/>
      <c r="L141" s="8"/>
      <c r="M141" s="8"/>
      <c r="N141" s="9"/>
      <c r="O141" s="11"/>
      <c r="P141" s="11"/>
      <c r="S141" s="110"/>
      <c r="T141" s="110"/>
    </row>
    <row r="142" spans="2:20" s="10" customFormat="1">
      <c r="B142" s="12"/>
      <c r="C142" s="12"/>
      <c r="D142" s="8"/>
      <c r="E142" s="8"/>
      <c r="F142" s="8"/>
      <c r="G142" s="9"/>
      <c r="H142" s="9"/>
      <c r="I142" s="9"/>
      <c r="J142" s="9"/>
      <c r="K142" s="9"/>
      <c r="L142" s="8"/>
      <c r="M142" s="8"/>
      <c r="N142" s="9"/>
      <c r="O142" s="11"/>
      <c r="P142" s="11"/>
      <c r="S142" s="110"/>
      <c r="T142" s="110"/>
    </row>
    <row r="143" spans="2:20" s="10" customFormat="1">
      <c r="B143" s="12"/>
      <c r="C143" s="12"/>
      <c r="D143" s="8"/>
      <c r="E143" s="8"/>
      <c r="F143" s="8"/>
      <c r="G143" s="9"/>
      <c r="H143" s="9"/>
      <c r="I143" s="9"/>
      <c r="J143" s="9"/>
      <c r="K143" s="9"/>
      <c r="L143" s="8"/>
      <c r="M143" s="8"/>
      <c r="N143" s="9"/>
      <c r="O143" s="11"/>
      <c r="P143" s="11"/>
      <c r="S143" s="110"/>
      <c r="T143" s="110"/>
    </row>
    <row r="144" spans="2:20" s="10" customFormat="1">
      <c r="B144" s="12"/>
      <c r="C144" s="12"/>
      <c r="D144" s="8"/>
      <c r="E144" s="8"/>
      <c r="F144" s="8"/>
      <c r="G144" s="9"/>
      <c r="H144" s="9"/>
      <c r="I144" s="9"/>
      <c r="J144" s="9"/>
      <c r="K144" s="9"/>
      <c r="L144" s="8"/>
      <c r="M144" s="8"/>
      <c r="N144" s="9"/>
      <c r="O144" s="11"/>
      <c r="P144" s="11"/>
      <c r="S144" s="110"/>
      <c r="T144" s="110"/>
    </row>
    <row r="145" spans="2:20" s="10" customFormat="1">
      <c r="B145" s="12"/>
      <c r="C145" s="12"/>
      <c r="D145" s="8"/>
      <c r="E145" s="8"/>
      <c r="F145" s="8"/>
      <c r="G145" s="9"/>
      <c r="H145" s="9"/>
      <c r="I145" s="9"/>
      <c r="J145" s="9"/>
      <c r="K145" s="9"/>
      <c r="L145" s="8"/>
      <c r="M145" s="8"/>
      <c r="N145" s="9"/>
      <c r="O145" s="11"/>
      <c r="P145" s="11"/>
      <c r="S145" s="110"/>
      <c r="T145" s="110"/>
    </row>
    <row r="146" spans="2:20" s="10" customFormat="1">
      <c r="B146" s="12"/>
      <c r="C146" s="12"/>
      <c r="D146" s="8"/>
      <c r="E146" s="8"/>
      <c r="F146" s="8"/>
      <c r="G146" s="9"/>
      <c r="H146" s="9"/>
      <c r="I146" s="9"/>
      <c r="J146" s="9"/>
      <c r="K146" s="9"/>
      <c r="L146" s="8"/>
      <c r="M146" s="8"/>
      <c r="N146" s="9"/>
      <c r="O146" s="11"/>
      <c r="P146" s="11"/>
      <c r="S146" s="110"/>
      <c r="T146" s="110"/>
    </row>
    <row r="147" spans="2:20" s="10" customFormat="1">
      <c r="B147" s="12"/>
      <c r="C147" s="12"/>
      <c r="D147" s="8"/>
      <c r="E147" s="8"/>
      <c r="F147" s="8"/>
      <c r="G147" s="9"/>
      <c r="H147" s="9"/>
      <c r="I147" s="9"/>
      <c r="J147" s="9"/>
      <c r="K147" s="9"/>
      <c r="L147" s="8"/>
      <c r="M147" s="8"/>
      <c r="N147" s="9"/>
      <c r="O147" s="11"/>
      <c r="P147" s="11"/>
      <c r="S147" s="110"/>
      <c r="T147" s="110"/>
    </row>
    <row r="148" spans="2:20" s="10" customFormat="1">
      <c r="B148" s="12"/>
      <c r="C148" s="12"/>
      <c r="D148" s="8"/>
      <c r="E148" s="8"/>
      <c r="F148" s="8"/>
      <c r="G148" s="9"/>
      <c r="H148" s="9"/>
      <c r="I148" s="9"/>
      <c r="J148" s="9"/>
      <c r="K148" s="9"/>
      <c r="L148" s="8"/>
      <c r="M148" s="8"/>
      <c r="N148" s="9"/>
      <c r="O148" s="11"/>
      <c r="P148" s="11"/>
      <c r="S148" s="110"/>
      <c r="T148" s="110"/>
    </row>
    <row r="149" spans="2:20" s="10" customFormat="1">
      <c r="B149" s="12"/>
      <c r="C149" s="12"/>
      <c r="D149" s="8"/>
      <c r="E149" s="8"/>
      <c r="F149" s="8"/>
      <c r="G149" s="9"/>
      <c r="H149" s="9"/>
      <c r="I149" s="9"/>
      <c r="J149" s="9"/>
      <c r="K149" s="9"/>
      <c r="L149" s="8"/>
      <c r="M149" s="8"/>
      <c r="N149" s="9"/>
      <c r="O149" s="11"/>
      <c r="P149" s="11"/>
      <c r="S149" s="110"/>
      <c r="T149" s="110"/>
    </row>
    <row r="150" spans="2:20" s="10" customFormat="1">
      <c r="B150" s="12"/>
      <c r="C150" s="12"/>
      <c r="D150" s="8"/>
      <c r="E150" s="8"/>
      <c r="F150" s="8"/>
      <c r="G150" s="9"/>
      <c r="H150" s="9"/>
      <c r="I150" s="9"/>
      <c r="J150" s="9"/>
      <c r="K150" s="9"/>
      <c r="L150" s="8"/>
      <c r="M150" s="8"/>
      <c r="N150" s="9"/>
      <c r="O150" s="11"/>
      <c r="P150" s="11"/>
      <c r="S150" s="110"/>
      <c r="T150" s="110"/>
    </row>
    <row r="151" spans="2:20" s="10" customFormat="1">
      <c r="B151" s="12"/>
      <c r="C151" s="12"/>
      <c r="D151" s="8"/>
      <c r="E151" s="8"/>
      <c r="F151" s="8"/>
      <c r="G151" s="9"/>
      <c r="H151" s="9"/>
      <c r="I151" s="9"/>
      <c r="J151" s="9"/>
      <c r="K151" s="9"/>
      <c r="L151" s="8"/>
      <c r="M151" s="8"/>
      <c r="N151" s="9"/>
      <c r="O151" s="11"/>
      <c r="P151" s="11"/>
      <c r="S151" s="110"/>
      <c r="T151" s="110"/>
    </row>
    <row r="152" spans="2:20" s="10" customFormat="1">
      <c r="B152" s="12"/>
      <c r="C152" s="12"/>
      <c r="D152" s="8"/>
      <c r="E152" s="8"/>
      <c r="F152" s="8"/>
      <c r="G152" s="9"/>
      <c r="H152" s="9"/>
      <c r="I152" s="9"/>
      <c r="J152" s="9"/>
      <c r="K152" s="9"/>
      <c r="L152" s="8"/>
      <c r="M152" s="8"/>
      <c r="N152" s="9"/>
      <c r="O152" s="11"/>
      <c r="P152" s="11"/>
      <c r="S152" s="110"/>
      <c r="T152" s="110"/>
    </row>
    <row r="153" spans="2:20" s="10" customFormat="1">
      <c r="B153" s="12"/>
      <c r="C153" s="12"/>
      <c r="D153" s="8"/>
      <c r="E153" s="8"/>
      <c r="F153" s="8"/>
      <c r="G153" s="9"/>
      <c r="H153" s="9"/>
      <c r="I153" s="9"/>
      <c r="J153" s="9"/>
      <c r="K153" s="9"/>
      <c r="L153" s="8"/>
      <c r="M153" s="8"/>
      <c r="N153" s="9"/>
      <c r="O153" s="11"/>
      <c r="P153" s="11"/>
      <c r="S153" s="110"/>
      <c r="T153" s="110"/>
    </row>
    <row r="154" spans="2:20" s="10" customFormat="1">
      <c r="B154" s="12"/>
      <c r="C154" s="12"/>
      <c r="D154" s="8"/>
      <c r="E154" s="8"/>
      <c r="F154" s="8"/>
      <c r="G154" s="9"/>
      <c r="H154" s="9"/>
      <c r="I154" s="9"/>
      <c r="J154" s="9"/>
      <c r="K154" s="9"/>
      <c r="L154" s="8"/>
      <c r="M154" s="8"/>
      <c r="N154" s="9"/>
      <c r="O154" s="11"/>
      <c r="P154" s="11"/>
      <c r="S154" s="110"/>
      <c r="T154" s="110"/>
    </row>
    <row r="155" spans="2:20" s="10" customFormat="1">
      <c r="B155" s="12"/>
      <c r="C155" s="12"/>
      <c r="D155" s="8"/>
      <c r="E155" s="8"/>
      <c r="F155" s="8"/>
      <c r="G155" s="9"/>
      <c r="H155" s="9"/>
      <c r="I155" s="9"/>
      <c r="J155" s="9"/>
      <c r="K155" s="9"/>
      <c r="L155" s="8"/>
      <c r="M155" s="8"/>
      <c r="N155" s="9"/>
      <c r="O155" s="11"/>
      <c r="P155" s="11"/>
      <c r="S155" s="110"/>
      <c r="T155" s="110"/>
    </row>
    <row r="156" spans="2:20" s="10" customFormat="1">
      <c r="B156" s="12"/>
      <c r="C156" s="12"/>
      <c r="D156" s="8"/>
      <c r="E156" s="8"/>
      <c r="F156" s="8"/>
      <c r="G156" s="9"/>
      <c r="H156" s="9"/>
      <c r="I156" s="9"/>
      <c r="J156" s="9"/>
      <c r="K156" s="9"/>
      <c r="L156" s="8"/>
      <c r="M156" s="8"/>
      <c r="N156" s="9"/>
      <c r="O156" s="11"/>
      <c r="P156" s="11"/>
      <c r="S156" s="110"/>
      <c r="T156" s="110"/>
    </row>
    <row r="157" spans="2:20" s="10" customFormat="1">
      <c r="B157" s="12"/>
      <c r="C157" s="12"/>
      <c r="D157" s="8"/>
      <c r="E157" s="8"/>
      <c r="F157" s="8"/>
      <c r="G157" s="9"/>
      <c r="H157" s="9"/>
      <c r="I157" s="9"/>
      <c r="J157" s="9"/>
      <c r="K157" s="9"/>
      <c r="L157" s="8"/>
      <c r="M157" s="8"/>
      <c r="N157" s="9"/>
      <c r="O157" s="11"/>
      <c r="P157" s="11"/>
      <c r="S157" s="110"/>
      <c r="T157" s="110"/>
    </row>
    <row r="158" spans="2:20" s="10" customFormat="1">
      <c r="B158" s="12"/>
      <c r="C158" s="12"/>
      <c r="D158" s="8"/>
      <c r="E158" s="8"/>
      <c r="F158" s="8"/>
      <c r="G158" s="9"/>
      <c r="H158" s="9"/>
      <c r="I158" s="9"/>
      <c r="J158" s="9"/>
      <c r="K158" s="9"/>
      <c r="L158" s="8"/>
      <c r="M158" s="8"/>
      <c r="N158" s="9"/>
      <c r="O158" s="11"/>
      <c r="P158" s="11"/>
      <c r="S158" s="110"/>
      <c r="T158" s="110"/>
    </row>
    <row r="159" spans="2:20" s="10" customFormat="1">
      <c r="B159" s="12"/>
      <c r="C159" s="12"/>
      <c r="D159" s="8"/>
      <c r="E159" s="8"/>
      <c r="F159" s="8"/>
      <c r="G159" s="9"/>
      <c r="H159" s="9"/>
      <c r="I159" s="9"/>
      <c r="J159" s="9"/>
      <c r="K159" s="9"/>
      <c r="L159" s="8"/>
      <c r="M159" s="8"/>
      <c r="N159" s="9"/>
      <c r="O159" s="11"/>
      <c r="P159" s="11"/>
      <c r="S159" s="110"/>
      <c r="T159" s="110"/>
    </row>
    <row r="160" spans="2:20" s="10" customFormat="1">
      <c r="B160" s="12"/>
      <c r="C160" s="12"/>
      <c r="D160" s="8"/>
      <c r="E160" s="8"/>
      <c r="F160" s="8"/>
      <c r="G160" s="9"/>
      <c r="H160" s="9"/>
      <c r="I160" s="9"/>
      <c r="J160" s="9"/>
      <c r="K160" s="9"/>
      <c r="L160" s="8"/>
      <c r="M160" s="8"/>
      <c r="N160" s="9"/>
      <c r="O160" s="11"/>
      <c r="P160" s="11"/>
      <c r="S160" s="110"/>
      <c r="T160" s="110"/>
    </row>
    <row r="161" spans="2:20" s="10" customFormat="1">
      <c r="B161" s="12"/>
      <c r="C161" s="12"/>
      <c r="D161" s="8"/>
      <c r="E161" s="8"/>
      <c r="F161" s="8"/>
      <c r="G161" s="9"/>
      <c r="H161" s="9"/>
      <c r="I161" s="9"/>
      <c r="J161" s="9"/>
      <c r="K161" s="9"/>
      <c r="L161" s="8"/>
      <c r="M161" s="8"/>
      <c r="N161" s="9"/>
      <c r="O161" s="11"/>
      <c r="P161" s="11"/>
      <c r="S161" s="110"/>
      <c r="T161" s="110"/>
    </row>
    <row r="162" spans="2:20" s="10" customFormat="1">
      <c r="B162" s="12"/>
      <c r="C162" s="12"/>
      <c r="D162" s="8"/>
      <c r="E162" s="8"/>
      <c r="F162" s="8"/>
      <c r="G162" s="9"/>
      <c r="H162" s="9"/>
      <c r="I162" s="9"/>
      <c r="J162" s="9"/>
      <c r="K162" s="9"/>
      <c r="L162" s="8"/>
      <c r="M162" s="8"/>
      <c r="N162" s="9"/>
      <c r="O162" s="11"/>
      <c r="P162" s="11"/>
      <c r="S162" s="110"/>
      <c r="T162" s="110"/>
    </row>
    <row r="163" spans="2:20" s="10" customFormat="1">
      <c r="B163" s="12"/>
      <c r="C163" s="12"/>
      <c r="D163" s="8"/>
      <c r="E163" s="8"/>
      <c r="F163" s="8"/>
      <c r="G163" s="9"/>
      <c r="H163" s="9"/>
      <c r="I163" s="9"/>
      <c r="J163" s="9"/>
      <c r="K163" s="9"/>
      <c r="L163" s="8"/>
      <c r="M163" s="8"/>
      <c r="N163" s="9"/>
      <c r="O163" s="11"/>
      <c r="P163" s="11"/>
      <c r="S163" s="110"/>
      <c r="T163" s="110"/>
    </row>
    <row r="164" spans="2:20" s="10" customFormat="1">
      <c r="B164" s="12"/>
      <c r="C164" s="12"/>
      <c r="D164" s="8"/>
      <c r="E164" s="8"/>
      <c r="F164" s="8"/>
      <c r="G164" s="9"/>
      <c r="H164" s="9"/>
      <c r="I164" s="9"/>
      <c r="J164" s="9"/>
      <c r="K164" s="9"/>
      <c r="L164" s="8"/>
      <c r="M164" s="8"/>
      <c r="N164" s="9"/>
      <c r="O164" s="11"/>
      <c r="P164" s="11"/>
      <c r="S164" s="110"/>
      <c r="T164" s="110"/>
    </row>
    <row r="165" spans="2:20" s="10" customFormat="1">
      <c r="B165" s="12"/>
      <c r="C165" s="12"/>
      <c r="D165" s="8"/>
      <c r="E165" s="8"/>
      <c r="F165" s="8"/>
      <c r="G165" s="9"/>
      <c r="H165" s="9"/>
      <c r="I165" s="9"/>
      <c r="J165" s="9"/>
      <c r="K165" s="9"/>
      <c r="L165" s="8"/>
      <c r="M165" s="8"/>
      <c r="N165" s="9"/>
      <c r="O165" s="11"/>
      <c r="P165" s="11"/>
      <c r="S165" s="110"/>
      <c r="T165" s="110"/>
    </row>
    <row r="166" spans="2:20" s="10" customFormat="1">
      <c r="B166" s="12"/>
      <c r="C166" s="12"/>
      <c r="D166" s="8"/>
      <c r="E166" s="8"/>
      <c r="F166" s="8"/>
      <c r="G166" s="9"/>
      <c r="H166" s="9"/>
      <c r="I166" s="9"/>
      <c r="J166" s="9"/>
      <c r="K166" s="9"/>
      <c r="L166" s="8"/>
      <c r="M166" s="8"/>
      <c r="N166" s="9"/>
      <c r="O166" s="11"/>
      <c r="P166" s="11"/>
      <c r="S166" s="110"/>
      <c r="T166" s="110"/>
    </row>
    <row r="167" spans="2:20" s="10" customFormat="1">
      <c r="B167" s="12"/>
      <c r="C167" s="12"/>
      <c r="D167" s="8"/>
      <c r="E167" s="8"/>
      <c r="F167" s="8"/>
      <c r="G167" s="9"/>
      <c r="H167" s="9"/>
      <c r="I167" s="9"/>
      <c r="J167" s="9"/>
      <c r="K167" s="9"/>
      <c r="L167" s="8"/>
      <c r="M167" s="8"/>
      <c r="N167" s="9"/>
      <c r="O167" s="11"/>
      <c r="P167" s="11"/>
      <c r="S167" s="110"/>
      <c r="T167" s="110"/>
    </row>
    <row r="168" spans="2:20" s="10" customFormat="1">
      <c r="B168" s="12"/>
      <c r="C168" s="12"/>
      <c r="D168" s="8"/>
      <c r="E168" s="8"/>
      <c r="F168" s="8"/>
      <c r="G168" s="9"/>
      <c r="H168" s="9"/>
      <c r="I168" s="9"/>
      <c r="J168" s="9"/>
      <c r="K168" s="9"/>
      <c r="L168" s="8"/>
      <c r="M168" s="8"/>
      <c r="N168" s="9"/>
      <c r="O168" s="11"/>
      <c r="P168" s="11"/>
      <c r="S168" s="110"/>
      <c r="T168" s="110"/>
    </row>
    <row r="169" spans="2:20" s="10" customFormat="1">
      <c r="B169" s="12"/>
      <c r="C169" s="12"/>
      <c r="D169" s="8"/>
      <c r="E169" s="8"/>
      <c r="F169" s="8"/>
      <c r="G169" s="9"/>
      <c r="H169" s="9"/>
      <c r="I169" s="9"/>
      <c r="J169" s="9"/>
      <c r="K169" s="9"/>
      <c r="L169" s="8"/>
      <c r="M169" s="8"/>
      <c r="N169" s="9"/>
      <c r="O169" s="11"/>
      <c r="P169" s="11"/>
      <c r="S169" s="110"/>
      <c r="T169" s="110"/>
    </row>
    <row r="170" spans="2:20" s="10" customFormat="1">
      <c r="B170" s="12"/>
      <c r="C170" s="12"/>
      <c r="D170" s="8"/>
      <c r="E170" s="8"/>
      <c r="F170" s="8"/>
      <c r="G170" s="9"/>
      <c r="H170" s="9"/>
      <c r="I170" s="9"/>
      <c r="J170" s="9"/>
      <c r="K170" s="9"/>
      <c r="L170" s="8"/>
      <c r="M170" s="8"/>
      <c r="N170" s="9"/>
      <c r="O170" s="11"/>
      <c r="P170" s="11"/>
      <c r="S170" s="110"/>
      <c r="T170" s="110"/>
    </row>
    <row r="171" spans="2:20" s="10" customFormat="1">
      <c r="B171" s="12"/>
      <c r="C171" s="12"/>
      <c r="D171" s="8"/>
      <c r="E171" s="8"/>
      <c r="F171" s="8"/>
      <c r="G171" s="9"/>
      <c r="H171" s="9"/>
      <c r="I171" s="9"/>
      <c r="J171" s="9"/>
      <c r="K171" s="9"/>
      <c r="L171" s="8"/>
      <c r="M171" s="8"/>
      <c r="N171" s="9"/>
      <c r="O171" s="11"/>
      <c r="P171" s="11"/>
      <c r="S171" s="110"/>
      <c r="T171" s="110"/>
    </row>
    <row r="172" spans="2:20" s="10" customFormat="1">
      <c r="B172" s="12"/>
      <c r="C172" s="12"/>
      <c r="D172" s="8"/>
      <c r="E172" s="8"/>
      <c r="F172" s="8"/>
      <c r="G172" s="9"/>
      <c r="H172" s="9"/>
      <c r="I172" s="9"/>
      <c r="J172" s="9"/>
      <c r="K172" s="9"/>
      <c r="L172" s="8"/>
      <c r="M172" s="8"/>
      <c r="N172" s="9"/>
      <c r="O172" s="11"/>
      <c r="P172" s="11"/>
      <c r="S172" s="110"/>
      <c r="T172" s="110"/>
    </row>
    <row r="173" spans="2:20" s="10" customFormat="1">
      <c r="B173" s="12"/>
      <c r="C173" s="12"/>
      <c r="D173" s="8"/>
      <c r="E173" s="8"/>
      <c r="F173" s="8"/>
      <c r="G173" s="9"/>
      <c r="H173" s="9"/>
      <c r="I173" s="9"/>
      <c r="J173" s="9"/>
      <c r="K173" s="9"/>
      <c r="L173" s="8"/>
      <c r="M173" s="8"/>
      <c r="N173" s="9"/>
      <c r="O173" s="11"/>
      <c r="P173" s="11"/>
      <c r="S173" s="110"/>
      <c r="T173" s="110"/>
    </row>
    <row r="174" spans="2:20" s="10" customFormat="1">
      <c r="B174" s="12"/>
      <c r="C174" s="12"/>
      <c r="D174" s="8"/>
      <c r="E174" s="8"/>
      <c r="F174" s="8"/>
      <c r="G174" s="9"/>
      <c r="H174" s="9"/>
      <c r="I174" s="9"/>
      <c r="J174" s="9"/>
      <c r="K174" s="9"/>
      <c r="L174" s="8"/>
      <c r="M174" s="8"/>
      <c r="N174" s="9"/>
      <c r="O174" s="11"/>
      <c r="P174" s="11"/>
      <c r="S174" s="110"/>
      <c r="T174" s="110"/>
    </row>
    <row r="175" spans="2:20" s="10" customFormat="1">
      <c r="B175" s="12"/>
      <c r="C175" s="12"/>
      <c r="D175" s="8"/>
      <c r="E175" s="8"/>
      <c r="F175" s="8"/>
      <c r="G175" s="9"/>
      <c r="H175" s="9"/>
      <c r="I175" s="9"/>
      <c r="J175" s="9"/>
      <c r="K175" s="9"/>
      <c r="L175" s="8"/>
      <c r="M175" s="8"/>
      <c r="N175" s="9"/>
      <c r="O175" s="11"/>
      <c r="P175" s="11"/>
      <c r="S175" s="110"/>
      <c r="T175" s="110"/>
    </row>
    <row r="176" spans="2:20" s="10" customFormat="1">
      <c r="B176" s="12"/>
      <c r="C176" s="12"/>
      <c r="D176" s="8"/>
      <c r="E176" s="8"/>
      <c r="F176" s="8"/>
      <c r="G176" s="9"/>
      <c r="H176" s="9"/>
      <c r="I176" s="9"/>
      <c r="J176" s="9"/>
      <c r="K176" s="9"/>
      <c r="L176" s="8"/>
      <c r="M176" s="8"/>
      <c r="N176" s="9"/>
      <c r="O176" s="11"/>
      <c r="P176" s="11"/>
      <c r="S176" s="110"/>
      <c r="T176" s="110"/>
    </row>
    <row r="177" spans="2:20" s="10" customFormat="1">
      <c r="B177" s="12"/>
      <c r="C177" s="12"/>
      <c r="D177" s="8"/>
      <c r="E177" s="8"/>
      <c r="F177" s="8"/>
      <c r="G177" s="9"/>
      <c r="H177" s="9"/>
      <c r="I177" s="9"/>
      <c r="J177" s="9"/>
      <c r="K177" s="9"/>
      <c r="L177" s="8"/>
      <c r="M177" s="8"/>
      <c r="N177" s="9"/>
      <c r="O177" s="11"/>
      <c r="P177" s="11"/>
      <c r="S177" s="110"/>
      <c r="T177" s="110"/>
    </row>
    <row r="178" spans="2:20" s="10" customFormat="1">
      <c r="B178" s="12"/>
      <c r="C178" s="12"/>
      <c r="D178" s="8"/>
      <c r="E178" s="8"/>
      <c r="F178" s="8"/>
      <c r="G178" s="9"/>
      <c r="H178" s="9"/>
      <c r="I178" s="9"/>
      <c r="J178" s="9"/>
      <c r="K178" s="9"/>
      <c r="L178" s="8"/>
      <c r="M178" s="8"/>
      <c r="N178" s="9"/>
      <c r="O178" s="11"/>
      <c r="P178" s="11"/>
      <c r="S178" s="110"/>
      <c r="T178" s="110"/>
    </row>
    <row r="179" spans="2:20" s="10" customFormat="1">
      <c r="B179" s="12"/>
      <c r="C179" s="12"/>
      <c r="D179" s="8"/>
      <c r="E179" s="8"/>
      <c r="F179" s="8"/>
      <c r="G179" s="9"/>
      <c r="H179" s="9"/>
      <c r="I179" s="9"/>
      <c r="J179" s="9"/>
      <c r="K179" s="9"/>
      <c r="L179" s="8"/>
      <c r="M179" s="8"/>
      <c r="N179" s="9"/>
      <c r="O179" s="11"/>
      <c r="P179" s="11"/>
      <c r="S179" s="110"/>
      <c r="T179" s="110"/>
    </row>
    <row r="180" spans="2:20" s="10" customFormat="1">
      <c r="B180" s="12"/>
      <c r="C180" s="12"/>
      <c r="D180" s="8"/>
      <c r="E180" s="8"/>
      <c r="F180" s="8"/>
      <c r="G180" s="9"/>
      <c r="H180" s="9"/>
      <c r="I180" s="9"/>
      <c r="J180" s="9"/>
      <c r="K180" s="9"/>
      <c r="L180" s="8"/>
      <c r="M180" s="8"/>
      <c r="N180" s="9"/>
      <c r="O180" s="11"/>
      <c r="P180" s="11"/>
      <c r="S180" s="110"/>
      <c r="T180" s="110"/>
    </row>
    <row r="181" spans="2:20" s="10" customFormat="1">
      <c r="B181" s="12"/>
      <c r="C181" s="12"/>
      <c r="D181" s="8"/>
      <c r="E181" s="8"/>
      <c r="F181" s="8"/>
      <c r="G181" s="9"/>
      <c r="H181" s="9"/>
      <c r="I181" s="9"/>
      <c r="J181" s="9"/>
      <c r="K181" s="9"/>
      <c r="L181" s="8"/>
      <c r="M181" s="8"/>
      <c r="N181" s="9"/>
      <c r="O181" s="11"/>
      <c r="P181" s="11"/>
      <c r="S181" s="110"/>
      <c r="T181" s="110"/>
    </row>
    <row r="182" spans="2:20" s="10" customFormat="1">
      <c r="B182" s="12"/>
      <c r="C182" s="12"/>
      <c r="D182" s="8"/>
      <c r="E182" s="8"/>
      <c r="F182" s="8"/>
      <c r="G182" s="9"/>
      <c r="H182" s="9"/>
      <c r="I182" s="9"/>
      <c r="J182" s="9"/>
      <c r="K182" s="9"/>
      <c r="L182" s="8"/>
      <c r="M182" s="8"/>
      <c r="N182" s="9"/>
      <c r="O182" s="11"/>
      <c r="P182" s="11"/>
      <c r="S182" s="110"/>
      <c r="T182" s="110"/>
    </row>
    <row r="183" spans="2:20" s="10" customFormat="1">
      <c r="B183" s="12"/>
      <c r="C183" s="12"/>
      <c r="D183" s="8"/>
      <c r="E183" s="8"/>
      <c r="F183" s="8"/>
      <c r="G183" s="9"/>
      <c r="H183" s="9"/>
      <c r="I183" s="9"/>
      <c r="J183" s="9"/>
      <c r="K183" s="9"/>
      <c r="L183" s="8"/>
      <c r="M183" s="8"/>
      <c r="N183" s="9"/>
      <c r="O183" s="11"/>
      <c r="P183" s="11"/>
      <c r="S183" s="110"/>
      <c r="T183" s="110"/>
    </row>
    <row r="184" spans="2:20" s="10" customFormat="1">
      <c r="B184" s="12"/>
      <c r="C184" s="12"/>
      <c r="D184" s="8"/>
      <c r="E184" s="8"/>
      <c r="F184" s="8"/>
      <c r="G184" s="9"/>
      <c r="H184" s="9"/>
      <c r="I184" s="9"/>
      <c r="J184" s="9"/>
      <c r="K184" s="9"/>
      <c r="L184" s="8"/>
      <c r="M184" s="8"/>
      <c r="N184" s="9"/>
      <c r="O184" s="11"/>
      <c r="P184" s="11"/>
      <c r="S184" s="110"/>
      <c r="T184" s="110"/>
    </row>
    <row r="185" spans="2:20" s="10" customFormat="1">
      <c r="B185" s="12"/>
      <c r="C185" s="12"/>
      <c r="D185" s="8"/>
      <c r="E185" s="8"/>
      <c r="F185" s="8"/>
      <c r="G185" s="9"/>
      <c r="H185" s="9"/>
      <c r="I185" s="9"/>
      <c r="J185" s="9"/>
      <c r="K185" s="9"/>
      <c r="L185" s="8"/>
      <c r="M185" s="8"/>
      <c r="N185" s="9"/>
      <c r="O185" s="11"/>
      <c r="P185" s="11"/>
      <c r="S185" s="110"/>
      <c r="T185" s="110"/>
    </row>
    <row r="186" spans="2:20" s="10" customFormat="1">
      <c r="B186" s="12"/>
      <c r="C186" s="12"/>
      <c r="D186" s="8"/>
      <c r="E186" s="8"/>
      <c r="F186" s="8"/>
      <c r="G186" s="9"/>
      <c r="H186" s="9"/>
      <c r="I186" s="9"/>
      <c r="J186" s="9"/>
      <c r="K186" s="9"/>
      <c r="L186" s="8"/>
      <c r="M186" s="8"/>
      <c r="N186" s="9"/>
      <c r="O186" s="11"/>
      <c r="P186" s="11"/>
      <c r="S186" s="110"/>
      <c r="T186" s="110"/>
    </row>
    <row r="187" spans="2:20" s="10" customFormat="1">
      <c r="B187" s="12"/>
      <c r="C187" s="12"/>
      <c r="D187" s="8"/>
      <c r="E187" s="8"/>
      <c r="F187" s="8"/>
      <c r="G187" s="9"/>
      <c r="H187" s="9"/>
      <c r="I187" s="9"/>
      <c r="J187" s="9"/>
      <c r="K187" s="9"/>
      <c r="L187" s="8"/>
      <c r="M187" s="8"/>
      <c r="N187" s="9"/>
      <c r="O187" s="11"/>
      <c r="P187" s="11"/>
      <c r="S187" s="110"/>
      <c r="T187" s="110"/>
    </row>
    <row r="188" spans="2:20" s="10" customFormat="1">
      <c r="B188" s="12"/>
      <c r="C188" s="12"/>
      <c r="D188" s="8"/>
      <c r="E188" s="8"/>
      <c r="F188" s="8"/>
      <c r="G188" s="9"/>
      <c r="H188" s="9"/>
      <c r="I188" s="9"/>
      <c r="J188" s="9"/>
      <c r="K188" s="9"/>
      <c r="L188" s="8"/>
      <c r="M188" s="8"/>
      <c r="N188" s="9"/>
      <c r="O188" s="11"/>
      <c r="P188" s="11"/>
      <c r="S188" s="110"/>
      <c r="T188" s="110"/>
    </row>
    <row r="189" spans="2:20" s="10" customFormat="1">
      <c r="B189" s="12"/>
      <c r="C189" s="12"/>
      <c r="D189" s="8"/>
      <c r="E189" s="8"/>
      <c r="F189" s="8"/>
      <c r="G189" s="9"/>
      <c r="H189" s="9"/>
      <c r="I189" s="9"/>
      <c r="J189" s="9"/>
      <c r="K189" s="9"/>
      <c r="L189" s="8"/>
      <c r="M189" s="8"/>
      <c r="N189" s="9"/>
      <c r="O189" s="11"/>
      <c r="P189" s="11"/>
      <c r="S189" s="110"/>
      <c r="T189" s="110"/>
    </row>
    <row r="190" spans="2:20" s="10" customFormat="1">
      <c r="B190" s="12"/>
      <c r="C190" s="12"/>
      <c r="D190" s="8"/>
      <c r="E190" s="8"/>
      <c r="F190" s="8"/>
      <c r="G190" s="9"/>
      <c r="H190" s="9"/>
      <c r="I190" s="9"/>
      <c r="J190" s="9"/>
      <c r="K190" s="9"/>
      <c r="L190" s="8"/>
      <c r="M190" s="8"/>
      <c r="N190" s="9"/>
      <c r="O190" s="11"/>
      <c r="P190" s="11"/>
      <c r="S190" s="110"/>
      <c r="T190" s="110"/>
    </row>
    <row r="191" spans="2:20" s="10" customFormat="1">
      <c r="B191" s="12"/>
      <c r="C191" s="12"/>
      <c r="D191" s="8"/>
      <c r="E191" s="8"/>
      <c r="F191" s="8"/>
      <c r="G191" s="9"/>
      <c r="H191" s="9"/>
      <c r="I191" s="9"/>
      <c r="J191" s="9"/>
      <c r="K191" s="9"/>
      <c r="L191" s="8"/>
      <c r="M191" s="8"/>
      <c r="N191" s="9"/>
      <c r="O191" s="11"/>
      <c r="P191" s="11"/>
      <c r="S191" s="110"/>
      <c r="T191" s="110"/>
    </row>
    <row r="192" spans="2:20" s="10" customFormat="1">
      <c r="B192" s="12"/>
      <c r="C192" s="12"/>
      <c r="D192" s="8"/>
      <c r="E192" s="8"/>
      <c r="F192" s="8"/>
      <c r="G192" s="9"/>
      <c r="H192" s="9"/>
      <c r="I192" s="9"/>
      <c r="J192" s="9"/>
      <c r="K192" s="9"/>
      <c r="L192" s="8"/>
      <c r="M192" s="8"/>
      <c r="N192" s="9"/>
      <c r="O192" s="11"/>
      <c r="P192" s="11"/>
      <c r="S192" s="110"/>
      <c r="T192" s="110"/>
    </row>
    <row r="193" spans="2:20" s="10" customFormat="1">
      <c r="B193" s="12"/>
      <c r="C193" s="12"/>
      <c r="D193" s="8"/>
      <c r="E193" s="8"/>
      <c r="F193" s="8"/>
      <c r="G193" s="9"/>
      <c r="H193" s="9"/>
      <c r="I193" s="9"/>
      <c r="J193" s="9"/>
      <c r="K193" s="9"/>
      <c r="L193" s="8"/>
      <c r="M193" s="8"/>
      <c r="N193" s="9"/>
      <c r="O193" s="11"/>
      <c r="P193" s="11"/>
      <c r="S193" s="110"/>
      <c r="T193" s="110"/>
    </row>
    <row r="194" spans="2:20" s="10" customFormat="1">
      <c r="B194" s="12"/>
      <c r="C194" s="12"/>
      <c r="D194" s="8"/>
      <c r="E194" s="8"/>
      <c r="F194" s="8"/>
      <c r="G194" s="9"/>
      <c r="H194" s="9"/>
      <c r="I194" s="9"/>
      <c r="J194" s="9"/>
      <c r="K194" s="9"/>
      <c r="L194" s="8"/>
      <c r="M194" s="8"/>
      <c r="N194" s="9"/>
      <c r="O194" s="11"/>
      <c r="P194" s="11"/>
      <c r="S194" s="110"/>
      <c r="T194" s="110"/>
    </row>
    <row r="195" spans="2:20" s="10" customFormat="1">
      <c r="B195" s="12"/>
      <c r="C195" s="12"/>
      <c r="D195" s="8"/>
      <c r="E195" s="8"/>
      <c r="F195" s="8"/>
      <c r="G195" s="9"/>
      <c r="H195" s="9"/>
      <c r="I195" s="9"/>
      <c r="J195" s="9"/>
      <c r="K195" s="9"/>
      <c r="L195" s="8"/>
      <c r="M195" s="8"/>
      <c r="N195" s="9"/>
      <c r="O195" s="11"/>
      <c r="P195" s="11"/>
      <c r="S195" s="110"/>
      <c r="T195" s="110"/>
    </row>
    <row r="196" spans="2:20" s="10" customFormat="1">
      <c r="B196" s="12"/>
      <c r="C196" s="12"/>
      <c r="D196" s="8"/>
      <c r="E196" s="8"/>
      <c r="F196" s="8"/>
      <c r="G196" s="9"/>
      <c r="H196" s="9"/>
      <c r="I196" s="9"/>
      <c r="J196" s="9"/>
      <c r="K196" s="9"/>
      <c r="L196" s="8"/>
      <c r="M196" s="8"/>
      <c r="N196" s="9"/>
      <c r="O196" s="11"/>
      <c r="P196" s="11"/>
      <c r="S196" s="110"/>
      <c r="T196" s="110"/>
    </row>
    <row r="197" spans="2:20" s="10" customFormat="1">
      <c r="B197" s="12"/>
      <c r="C197" s="12"/>
      <c r="D197" s="8"/>
      <c r="E197" s="8"/>
      <c r="F197" s="8"/>
      <c r="G197" s="9"/>
      <c r="H197" s="9"/>
      <c r="I197" s="9"/>
      <c r="J197" s="9"/>
      <c r="K197" s="9"/>
      <c r="L197" s="8"/>
      <c r="M197" s="8"/>
      <c r="N197" s="9"/>
      <c r="O197" s="11"/>
      <c r="P197" s="11"/>
      <c r="S197" s="110"/>
      <c r="T197" s="110"/>
    </row>
    <row r="198" spans="2:20" s="10" customFormat="1">
      <c r="B198" s="12"/>
      <c r="C198" s="12"/>
      <c r="D198" s="8"/>
      <c r="E198" s="8"/>
      <c r="F198" s="8"/>
      <c r="G198" s="9"/>
      <c r="H198" s="9"/>
      <c r="I198" s="9"/>
      <c r="J198" s="9"/>
      <c r="K198" s="9"/>
      <c r="L198" s="8"/>
      <c r="M198" s="8"/>
      <c r="N198" s="9"/>
      <c r="O198" s="11"/>
      <c r="P198" s="11"/>
      <c r="S198" s="110"/>
      <c r="T198" s="110"/>
    </row>
    <row r="199" spans="2:20" s="10" customFormat="1">
      <c r="B199" s="12"/>
      <c r="C199" s="12"/>
      <c r="D199" s="8"/>
      <c r="E199" s="8"/>
      <c r="F199" s="8"/>
      <c r="G199" s="9"/>
      <c r="H199" s="9"/>
      <c r="I199" s="9"/>
      <c r="J199" s="9"/>
      <c r="K199" s="9"/>
      <c r="L199" s="8"/>
      <c r="M199" s="8"/>
      <c r="N199" s="9"/>
      <c r="O199" s="11"/>
      <c r="P199" s="11"/>
      <c r="S199" s="110"/>
      <c r="T199" s="110"/>
    </row>
    <row r="200" spans="2:20" s="10" customFormat="1">
      <c r="B200" s="12"/>
      <c r="C200" s="12"/>
      <c r="D200" s="8"/>
      <c r="E200" s="8"/>
      <c r="F200" s="8"/>
      <c r="G200" s="9"/>
      <c r="H200" s="9"/>
      <c r="I200" s="9"/>
      <c r="J200" s="9"/>
      <c r="K200" s="9"/>
      <c r="L200" s="8"/>
      <c r="M200" s="8"/>
      <c r="N200" s="9"/>
      <c r="O200" s="11"/>
      <c r="P200" s="11"/>
      <c r="S200" s="110"/>
      <c r="T200" s="110"/>
    </row>
    <row r="201" spans="2:20" s="10" customFormat="1">
      <c r="B201" s="12"/>
      <c r="C201" s="12"/>
      <c r="D201" s="8"/>
      <c r="E201" s="8"/>
      <c r="F201" s="8"/>
      <c r="G201" s="9"/>
      <c r="H201" s="9"/>
      <c r="I201" s="9"/>
      <c r="J201" s="9"/>
      <c r="K201" s="9"/>
      <c r="L201" s="8"/>
      <c r="M201" s="8"/>
      <c r="N201" s="9"/>
      <c r="O201" s="11"/>
      <c r="P201" s="11"/>
      <c r="S201" s="110"/>
      <c r="T201" s="110"/>
    </row>
    <row r="202" spans="2:20" s="10" customFormat="1">
      <c r="B202" s="12"/>
      <c r="C202" s="12"/>
      <c r="D202" s="8"/>
      <c r="E202" s="8"/>
      <c r="F202" s="8"/>
      <c r="G202" s="9"/>
      <c r="H202" s="9"/>
      <c r="I202" s="9"/>
      <c r="J202" s="9"/>
      <c r="K202" s="9"/>
      <c r="L202" s="8"/>
      <c r="M202" s="8"/>
      <c r="N202" s="9"/>
      <c r="O202" s="11"/>
      <c r="P202" s="11"/>
      <c r="S202" s="110"/>
      <c r="T202" s="110"/>
    </row>
    <row r="203" spans="2:20" s="10" customFormat="1">
      <c r="B203" s="12"/>
      <c r="C203" s="12"/>
      <c r="D203" s="8"/>
      <c r="E203" s="8"/>
      <c r="F203" s="8"/>
      <c r="G203" s="9"/>
      <c r="H203" s="9"/>
      <c r="I203" s="9"/>
      <c r="J203" s="9"/>
      <c r="K203" s="9"/>
      <c r="L203" s="8"/>
      <c r="M203" s="8"/>
      <c r="N203" s="9"/>
      <c r="O203" s="11"/>
      <c r="P203" s="11"/>
      <c r="S203" s="110"/>
      <c r="T203" s="110"/>
    </row>
    <row r="204" spans="2:20" s="10" customFormat="1">
      <c r="B204" s="12"/>
      <c r="C204" s="12"/>
      <c r="D204" s="8"/>
      <c r="E204" s="8"/>
      <c r="F204" s="8"/>
      <c r="G204" s="9"/>
      <c r="H204" s="9"/>
      <c r="I204" s="9"/>
      <c r="J204" s="9"/>
      <c r="K204" s="9"/>
      <c r="L204" s="8"/>
      <c r="M204" s="8"/>
      <c r="N204" s="9"/>
      <c r="O204" s="11"/>
      <c r="P204" s="11"/>
      <c r="S204" s="110"/>
      <c r="T204" s="110"/>
    </row>
    <row r="205" spans="2:20" s="10" customFormat="1">
      <c r="B205" s="12"/>
      <c r="C205" s="12"/>
      <c r="D205" s="8"/>
      <c r="E205" s="8"/>
      <c r="F205" s="8"/>
      <c r="G205" s="9"/>
      <c r="H205" s="9"/>
      <c r="I205" s="9"/>
      <c r="J205" s="9"/>
      <c r="K205" s="9"/>
      <c r="L205" s="8"/>
      <c r="M205" s="8"/>
      <c r="N205" s="9"/>
      <c r="O205" s="11"/>
      <c r="P205" s="11"/>
      <c r="S205" s="110"/>
      <c r="T205" s="110"/>
    </row>
    <row r="206" spans="2:20" s="10" customFormat="1">
      <c r="B206" s="12"/>
      <c r="C206" s="12"/>
      <c r="D206" s="8"/>
      <c r="E206" s="8"/>
      <c r="F206" s="8"/>
      <c r="G206" s="9"/>
      <c r="H206" s="9"/>
      <c r="I206" s="9"/>
      <c r="J206" s="9"/>
      <c r="K206" s="9"/>
      <c r="L206" s="8"/>
      <c r="M206" s="8"/>
      <c r="N206" s="9"/>
      <c r="O206" s="11"/>
      <c r="P206" s="11"/>
      <c r="S206" s="110"/>
      <c r="T206" s="110"/>
    </row>
    <row r="207" spans="2:20" s="10" customFormat="1">
      <c r="B207" s="12"/>
      <c r="C207" s="12"/>
      <c r="D207" s="8"/>
      <c r="E207" s="8"/>
      <c r="F207" s="8"/>
      <c r="G207" s="9"/>
      <c r="H207" s="9"/>
      <c r="I207" s="9"/>
      <c r="J207" s="9"/>
      <c r="K207" s="9"/>
      <c r="L207" s="8"/>
      <c r="M207" s="8"/>
      <c r="N207" s="9"/>
      <c r="O207" s="11"/>
      <c r="P207" s="11"/>
      <c r="S207" s="110"/>
      <c r="T207" s="110"/>
    </row>
    <row r="208" spans="2:20" s="10" customFormat="1">
      <c r="B208" s="12"/>
      <c r="C208" s="12"/>
      <c r="D208" s="8"/>
      <c r="E208" s="8"/>
      <c r="F208" s="8"/>
      <c r="G208" s="9"/>
      <c r="H208" s="9"/>
      <c r="I208" s="9"/>
      <c r="J208" s="9"/>
      <c r="K208" s="9"/>
      <c r="L208" s="8"/>
      <c r="M208" s="8"/>
      <c r="N208" s="9"/>
      <c r="O208" s="11"/>
      <c r="P208" s="11"/>
      <c r="S208" s="110"/>
      <c r="T208" s="110"/>
    </row>
    <row r="209" spans="2:20" s="10" customFormat="1">
      <c r="B209" s="12"/>
      <c r="C209" s="12"/>
      <c r="D209" s="8"/>
      <c r="E209" s="8"/>
      <c r="F209" s="8"/>
      <c r="G209" s="9"/>
      <c r="H209" s="9"/>
      <c r="I209" s="9"/>
      <c r="J209" s="9"/>
      <c r="K209" s="9"/>
      <c r="L209" s="8"/>
      <c r="M209" s="8"/>
      <c r="N209" s="9"/>
      <c r="O209" s="11"/>
      <c r="P209" s="11"/>
      <c r="S209" s="110"/>
      <c r="T209" s="110"/>
    </row>
    <row r="210" spans="2:20" s="10" customFormat="1">
      <c r="B210" s="12"/>
      <c r="C210" s="12"/>
      <c r="D210" s="8"/>
      <c r="E210" s="8"/>
      <c r="F210" s="8"/>
      <c r="G210" s="9"/>
      <c r="H210" s="9"/>
      <c r="I210" s="9"/>
      <c r="J210" s="9"/>
      <c r="K210" s="9"/>
      <c r="L210" s="8"/>
      <c r="M210" s="8"/>
      <c r="N210" s="9"/>
      <c r="O210" s="11"/>
      <c r="P210" s="11"/>
      <c r="S210" s="110"/>
      <c r="T210" s="110"/>
    </row>
    <row r="211" spans="2:20" s="10" customFormat="1">
      <c r="B211" s="12"/>
      <c r="C211" s="12"/>
      <c r="D211" s="8"/>
      <c r="E211" s="8"/>
      <c r="F211" s="8"/>
      <c r="G211" s="9"/>
      <c r="H211" s="9"/>
      <c r="I211" s="9"/>
      <c r="J211" s="9"/>
      <c r="K211" s="9"/>
      <c r="L211" s="8"/>
      <c r="M211" s="8"/>
      <c r="N211" s="9"/>
      <c r="O211" s="11"/>
      <c r="P211" s="11"/>
      <c r="S211" s="110"/>
      <c r="T211" s="110"/>
    </row>
    <row r="212" spans="2:20" s="10" customFormat="1">
      <c r="B212" s="12"/>
      <c r="C212" s="12"/>
      <c r="D212" s="8"/>
      <c r="E212" s="8"/>
      <c r="F212" s="8"/>
      <c r="G212" s="9"/>
      <c r="H212" s="9"/>
      <c r="I212" s="9"/>
      <c r="J212" s="9"/>
      <c r="K212" s="9"/>
      <c r="L212" s="8"/>
      <c r="M212" s="8"/>
      <c r="N212" s="9"/>
      <c r="O212" s="11"/>
      <c r="P212" s="11"/>
      <c r="S212" s="110"/>
      <c r="T212" s="110"/>
    </row>
    <row r="213" spans="2:20" s="10" customFormat="1">
      <c r="B213" s="12"/>
      <c r="C213" s="12"/>
      <c r="D213" s="8"/>
      <c r="E213" s="8"/>
      <c r="F213" s="8"/>
      <c r="G213" s="9"/>
      <c r="H213" s="9"/>
      <c r="I213" s="9"/>
      <c r="J213" s="9"/>
      <c r="K213" s="9"/>
      <c r="L213" s="8"/>
      <c r="M213" s="8"/>
      <c r="N213" s="9"/>
      <c r="O213" s="11"/>
      <c r="P213" s="11"/>
      <c r="S213" s="110"/>
      <c r="T213" s="110"/>
    </row>
    <row r="214" spans="2:20" s="10" customFormat="1">
      <c r="B214" s="12"/>
      <c r="C214" s="12"/>
      <c r="D214" s="8"/>
      <c r="E214" s="8"/>
      <c r="F214" s="8"/>
      <c r="G214" s="9"/>
      <c r="H214" s="9"/>
      <c r="I214" s="9"/>
      <c r="J214" s="9"/>
      <c r="K214" s="9"/>
      <c r="L214" s="8"/>
      <c r="M214" s="8"/>
      <c r="N214" s="9"/>
      <c r="O214" s="11"/>
      <c r="P214" s="11"/>
      <c r="S214" s="110"/>
      <c r="T214" s="110"/>
    </row>
    <row r="215" spans="2:20" s="10" customFormat="1">
      <c r="B215" s="12"/>
      <c r="C215" s="12"/>
      <c r="D215" s="8"/>
      <c r="E215" s="8"/>
      <c r="F215" s="8"/>
      <c r="G215" s="9"/>
      <c r="H215" s="9"/>
      <c r="I215" s="9"/>
      <c r="J215" s="9"/>
      <c r="K215" s="9"/>
      <c r="L215" s="8"/>
      <c r="M215" s="8"/>
      <c r="N215" s="9"/>
      <c r="O215" s="11"/>
      <c r="P215" s="11"/>
      <c r="S215" s="110"/>
      <c r="T215" s="110"/>
    </row>
    <row r="216" spans="2:20" s="10" customFormat="1">
      <c r="B216" s="12"/>
      <c r="C216" s="12"/>
      <c r="D216" s="8"/>
      <c r="E216" s="8"/>
      <c r="F216" s="8"/>
      <c r="G216" s="9"/>
      <c r="H216" s="9"/>
      <c r="I216" s="9"/>
      <c r="J216" s="9"/>
      <c r="K216" s="9"/>
      <c r="L216" s="8"/>
      <c r="M216" s="8"/>
      <c r="N216" s="9"/>
      <c r="O216" s="11"/>
      <c r="P216" s="11"/>
      <c r="S216" s="110"/>
      <c r="T216" s="110"/>
    </row>
    <row r="217" spans="2:20" s="10" customFormat="1">
      <c r="B217" s="12"/>
      <c r="C217" s="12"/>
      <c r="D217" s="8"/>
      <c r="E217" s="8"/>
      <c r="F217" s="8"/>
      <c r="G217" s="9"/>
      <c r="H217" s="9"/>
      <c r="I217" s="9"/>
      <c r="J217" s="9"/>
      <c r="K217" s="9"/>
      <c r="L217" s="8"/>
      <c r="M217" s="8"/>
      <c r="N217" s="9"/>
      <c r="O217" s="11"/>
      <c r="P217" s="11"/>
      <c r="S217" s="110"/>
      <c r="T217" s="110"/>
    </row>
    <row r="218" spans="2:20" s="10" customFormat="1">
      <c r="B218" s="12"/>
      <c r="C218" s="12"/>
      <c r="D218" s="8"/>
      <c r="E218" s="8"/>
      <c r="F218" s="8"/>
      <c r="G218" s="9"/>
      <c r="H218" s="9"/>
      <c r="I218" s="9"/>
      <c r="J218" s="9"/>
      <c r="K218" s="9"/>
      <c r="L218" s="8"/>
      <c r="M218" s="8"/>
      <c r="N218" s="9"/>
      <c r="O218" s="11"/>
      <c r="P218" s="11"/>
      <c r="S218" s="110"/>
      <c r="T218" s="110"/>
    </row>
    <row r="219" spans="2:20" s="10" customFormat="1">
      <c r="B219" s="12"/>
      <c r="C219" s="12"/>
      <c r="D219" s="8"/>
      <c r="E219" s="8"/>
      <c r="F219" s="8"/>
      <c r="G219" s="9"/>
      <c r="H219" s="9"/>
      <c r="I219" s="9"/>
      <c r="J219" s="9"/>
      <c r="K219" s="9"/>
      <c r="L219" s="8"/>
      <c r="M219" s="8"/>
      <c r="N219" s="9"/>
      <c r="O219" s="11"/>
      <c r="P219" s="11"/>
      <c r="S219" s="110"/>
      <c r="T219" s="110"/>
    </row>
    <row r="220" spans="2:20" s="10" customFormat="1">
      <c r="B220" s="12"/>
      <c r="C220" s="12"/>
      <c r="D220" s="8"/>
      <c r="E220" s="8"/>
      <c r="F220" s="8"/>
      <c r="G220" s="9"/>
      <c r="H220" s="9"/>
      <c r="I220" s="9"/>
      <c r="J220" s="9"/>
      <c r="K220" s="9"/>
      <c r="L220" s="8"/>
      <c r="M220" s="8"/>
      <c r="N220" s="9"/>
      <c r="O220" s="11"/>
      <c r="P220" s="11"/>
      <c r="S220" s="110"/>
      <c r="T220" s="110"/>
    </row>
    <row r="221" spans="2:20" s="10" customFormat="1">
      <c r="B221" s="12"/>
      <c r="C221" s="12"/>
      <c r="D221" s="8"/>
      <c r="E221" s="8"/>
      <c r="F221" s="8"/>
      <c r="G221" s="9"/>
      <c r="H221" s="9"/>
      <c r="I221" s="9"/>
      <c r="J221" s="9"/>
      <c r="K221" s="9"/>
      <c r="L221" s="8"/>
      <c r="M221" s="8"/>
      <c r="N221" s="9"/>
      <c r="O221" s="11"/>
      <c r="P221" s="11"/>
      <c r="S221" s="110"/>
      <c r="T221" s="110"/>
    </row>
    <row r="222" spans="2:20" s="10" customFormat="1">
      <c r="B222" s="12"/>
      <c r="C222" s="12"/>
      <c r="D222" s="8"/>
      <c r="E222" s="8"/>
      <c r="F222" s="8"/>
      <c r="G222" s="9"/>
      <c r="H222" s="9"/>
      <c r="I222" s="9"/>
      <c r="J222" s="9"/>
      <c r="K222" s="9"/>
      <c r="L222" s="8"/>
      <c r="M222" s="8"/>
      <c r="N222" s="9"/>
      <c r="O222" s="11"/>
      <c r="P222" s="11"/>
      <c r="S222" s="110"/>
      <c r="T222" s="110"/>
    </row>
    <row r="223" spans="2:20" s="10" customFormat="1">
      <c r="B223" s="12"/>
      <c r="C223" s="12"/>
      <c r="D223" s="8"/>
      <c r="E223" s="8"/>
      <c r="F223" s="8"/>
      <c r="G223" s="9"/>
      <c r="H223" s="9"/>
      <c r="I223" s="9"/>
      <c r="J223" s="9"/>
      <c r="K223" s="9"/>
      <c r="L223" s="8"/>
      <c r="M223" s="8"/>
      <c r="N223" s="9"/>
      <c r="O223" s="11"/>
      <c r="P223" s="11"/>
      <c r="S223" s="110"/>
      <c r="T223" s="110"/>
    </row>
    <row r="224" spans="2:20" s="10" customFormat="1">
      <c r="B224" s="12"/>
      <c r="C224" s="12"/>
      <c r="D224" s="8"/>
      <c r="E224" s="8"/>
      <c r="F224" s="8"/>
      <c r="G224" s="9"/>
      <c r="H224" s="9"/>
      <c r="I224" s="9"/>
      <c r="J224" s="9"/>
      <c r="K224" s="9"/>
      <c r="L224" s="8"/>
      <c r="M224" s="8"/>
      <c r="N224" s="9"/>
      <c r="O224" s="11"/>
      <c r="P224" s="11"/>
      <c r="S224" s="110"/>
      <c r="T224" s="110"/>
    </row>
    <row r="225" spans="2:20" s="10" customFormat="1">
      <c r="B225" s="12"/>
      <c r="C225" s="12"/>
      <c r="D225" s="8"/>
      <c r="E225" s="8"/>
      <c r="F225" s="8"/>
      <c r="G225" s="9"/>
      <c r="H225" s="9"/>
      <c r="I225" s="9"/>
      <c r="J225" s="9"/>
      <c r="K225" s="9"/>
      <c r="L225" s="8"/>
      <c r="M225" s="8"/>
      <c r="N225" s="9"/>
      <c r="O225" s="11"/>
      <c r="P225" s="11"/>
      <c r="S225" s="110"/>
      <c r="T225" s="110"/>
    </row>
    <row r="226" spans="2:20" s="10" customFormat="1">
      <c r="B226" s="12"/>
      <c r="C226" s="12"/>
      <c r="D226" s="8"/>
      <c r="E226" s="8"/>
      <c r="F226" s="8"/>
      <c r="G226" s="9"/>
      <c r="H226" s="9"/>
      <c r="I226" s="9"/>
      <c r="J226" s="9"/>
      <c r="K226" s="9"/>
      <c r="L226" s="8"/>
      <c r="M226" s="8"/>
      <c r="N226" s="9"/>
      <c r="O226" s="11"/>
      <c r="P226" s="11"/>
      <c r="S226" s="110"/>
      <c r="T226" s="110"/>
    </row>
    <row r="227" spans="2:20" s="10" customFormat="1">
      <c r="B227" s="12"/>
      <c r="C227" s="12"/>
      <c r="D227" s="8"/>
      <c r="E227" s="8"/>
      <c r="F227" s="8"/>
      <c r="G227" s="9"/>
      <c r="H227" s="9"/>
      <c r="I227" s="9"/>
      <c r="J227" s="9"/>
      <c r="K227" s="9"/>
      <c r="L227" s="8"/>
      <c r="M227" s="8"/>
      <c r="N227" s="9"/>
      <c r="O227" s="11"/>
      <c r="P227" s="11"/>
      <c r="S227" s="110"/>
      <c r="T227" s="110"/>
    </row>
    <row r="228" spans="2:20" s="10" customFormat="1">
      <c r="B228" s="12"/>
      <c r="C228" s="12"/>
      <c r="D228" s="8"/>
      <c r="E228" s="8"/>
      <c r="F228" s="8"/>
      <c r="G228" s="9"/>
      <c r="H228" s="9"/>
      <c r="I228" s="9"/>
      <c r="J228" s="9"/>
      <c r="K228" s="9"/>
      <c r="L228" s="8"/>
      <c r="M228" s="8"/>
      <c r="N228" s="9"/>
      <c r="O228" s="11"/>
      <c r="P228" s="11"/>
      <c r="S228" s="110"/>
      <c r="T228" s="110"/>
    </row>
    <row r="229" spans="2:20" s="10" customFormat="1">
      <c r="B229" s="12"/>
      <c r="C229" s="12"/>
      <c r="D229" s="8"/>
      <c r="E229" s="8"/>
      <c r="F229" s="8"/>
      <c r="G229" s="9"/>
      <c r="H229" s="9"/>
      <c r="I229" s="9"/>
      <c r="J229" s="9"/>
      <c r="K229" s="9"/>
      <c r="L229" s="8"/>
      <c r="M229" s="8"/>
      <c r="N229" s="9"/>
      <c r="O229" s="11"/>
      <c r="P229" s="11"/>
      <c r="S229" s="110"/>
      <c r="T229" s="110"/>
    </row>
    <row r="230" spans="2:20" s="10" customFormat="1">
      <c r="B230" s="12"/>
      <c r="C230" s="12"/>
      <c r="D230" s="8"/>
      <c r="E230" s="8"/>
      <c r="F230" s="8"/>
      <c r="G230" s="9"/>
      <c r="H230" s="9"/>
      <c r="I230" s="9"/>
      <c r="J230" s="9"/>
      <c r="K230" s="9"/>
      <c r="L230" s="8"/>
      <c r="M230" s="8"/>
      <c r="N230" s="9"/>
      <c r="O230" s="11"/>
      <c r="P230" s="11"/>
      <c r="S230" s="110"/>
      <c r="T230" s="110"/>
    </row>
    <row r="231" spans="2:20" s="10" customFormat="1">
      <c r="B231" s="12"/>
      <c r="C231" s="12"/>
      <c r="D231" s="8"/>
      <c r="E231" s="8"/>
      <c r="F231" s="8"/>
      <c r="G231" s="9"/>
      <c r="H231" s="9"/>
      <c r="I231" s="9"/>
      <c r="J231" s="9"/>
      <c r="K231" s="9"/>
      <c r="L231" s="8"/>
      <c r="M231" s="8"/>
      <c r="N231" s="9"/>
      <c r="O231" s="11"/>
      <c r="P231" s="11"/>
      <c r="S231" s="110"/>
      <c r="T231" s="110"/>
    </row>
    <row r="232" spans="2:20" s="10" customFormat="1">
      <c r="B232" s="12"/>
      <c r="C232" s="12"/>
      <c r="D232" s="8"/>
      <c r="E232" s="8"/>
      <c r="F232" s="8"/>
      <c r="G232" s="9"/>
      <c r="H232" s="9"/>
      <c r="I232" s="9"/>
      <c r="J232" s="9"/>
      <c r="K232" s="9"/>
      <c r="L232" s="8"/>
      <c r="M232" s="8"/>
      <c r="N232" s="9"/>
      <c r="O232" s="11"/>
      <c r="P232" s="11"/>
      <c r="S232" s="110"/>
      <c r="T232" s="110"/>
    </row>
    <row r="233" spans="2:20" s="10" customFormat="1">
      <c r="B233" s="12"/>
      <c r="C233" s="12"/>
      <c r="D233" s="8"/>
      <c r="E233" s="8"/>
      <c r="F233" s="8"/>
      <c r="G233" s="9"/>
      <c r="H233" s="9"/>
      <c r="I233" s="9"/>
      <c r="J233" s="9"/>
      <c r="K233" s="9"/>
      <c r="L233" s="8"/>
      <c r="M233" s="8"/>
      <c r="N233" s="9"/>
      <c r="O233" s="11"/>
      <c r="P233" s="11"/>
      <c r="S233" s="110"/>
      <c r="T233" s="110"/>
    </row>
    <row r="234" spans="2:20" s="10" customFormat="1">
      <c r="B234" s="12"/>
      <c r="C234" s="12"/>
      <c r="D234" s="8"/>
      <c r="E234" s="8"/>
      <c r="F234" s="8"/>
      <c r="G234" s="9"/>
      <c r="H234" s="9"/>
      <c r="I234" s="9"/>
      <c r="J234" s="9"/>
      <c r="K234" s="9"/>
      <c r="L234" s="8"/>
      <c r="M234" s="8"/>
      <c r="N234" s="9"/>
      <c r="O234" s="11"/>
      <c r="P234" s="11"/>
      <c r="S234" s="110"/>
      <c r="T234" s="110"/>
    </row>
    <row r="235" spans="2:20" s="10" customFormat="1">
      <c r="B235" s="12"/>
      <c r="C235" s="12"/>
      <c r="D235" s="8"/>
      <c r="E235" s="8"/>
      <c r="F235" s="8"/>
      <c r="G235" s="9"/>
      <c r="H235" s="9"/>
      <c r="I235" s="9"/>
      <c r="J235" s="9"/>
      <c r="K235" s="9"/>
      <c r="L235" s="8"/>
      <c r="M235" s="8"/>
      <c r="N235" s="9"/>
      <c r="O235" s="11"/>
      <c r="P235" s="11"/>
      <c r="S235" s="110"/>
      <c r="T235" s="110"/>
    </row>
    <row r="236" spans="2:20" s="10" customFormat="1">
      <c r="B236" s="12"/>
      <c r="C236" s="12"/>
      <c r="D236" s="8"/>
      <c r="E236" s="8"/>
      <c r="F236" s="8"/>
      <c r="G236" s="9"/>
      <c r="H236" s="9"/>
      <c r="I236" s="9"/>
      <c r="J236" s="9"/>
      <c r="K236" s="9"/>
      <c r="L236" s="8"/>
      <c r="M236" s="8"/>
      <c r="N236" s="9"/>
      <c r="O236" s="11"/>
      <c r="P236" s="11"/>
      <c r="S236" s="110"/>
      <c r="T236" s="110"/>
    </row>
    <row r="237" spans="2:20" s="10" customFormat="1">
      <c r="B237" s="12"/>
      <c r="C237" s="12"/>
      <c r="D237" s="8"/>
      <c r="E237" s="8"/>
      <c r="F237" s="8"/>
      <c r="G237" s="9"/>
      <c r="H237" s="9"/>
      <c r="I237" s="9"/>
      <c r="J237" s="9"/>
      <c r="K237" s="9"/>
      <c r="L237" s="8"/>
      <c r="M237" s="8"/>
      <c r="N237" s="9"/>
      <c r="O237" s="11"/>
      <c r="P237" s="11"/>
      <c r="S237" s="110"/>
      <c r="T237" s="110"/>
    </row>
    <row r="238" spans="2:20" s="10" customFormat="1">
      <c r="B238" s="12"/>
      <c r="C238" s="12"/>
      <c r="D238" s="8"/>
      <c r="E238" s="8"/>
      <c r="F238" s="8"/>
      <c r="G238" s="9"/>
      <c r="H238" s="9"/>
      <c r="I238" s="9"/>
      <c r="J238" s="9"/>
      <c r="K238" s="9"/>
      <c r="L238" s="8"/>
      <c r="M238" s="8"/>
      <c r="N238" s="9"/>
      <c r="O238" s="11"/>
      <c r="P238" s="11"/>
      <c r="S238" s="110"/>
      <c r="T238" s="110"/>
    </row>
    <row r="239" spans="2:20" s="10" customFormat="1">
      <c r="B239" s="12"/>
      <c r="C239" s="12"/>
      <c r="D239" s="8"/>
      <c r="E239" s="8"/>
      <c r="F239" s="8"/>
      <c r="G239" s="9"/>
      <c r="H239" s="9"/>
      <c r="I239" s="9"/>
      <c r="J239" s="9"/>
      <c r="K239" s="9"/>
      <c r="L239" s="8"/>
      <c r="M239" s="8"/>
      <c r="N239" s="9"/>
      <c r="O239" s="11"/>
      <c r="P239" s="11"/>
      <c r="S239" s="110"/>
      <c r="T239" s="110"/>
    </row>
    <row r="240" spans="2:20" s="10" customFormat="1">
      <c r="B240" s="12"/>
      <c r="C240" s="12"/>
      <c r="D240" s="8"/>
      <c r="E240" s="8"/>
      <c r="F240" s="8"/>
      <c r="G240" s="9"/>
      <c r="H240" s="9"/>
      <c r="I240" s="9"/>
      <c r="J240" s="9"/>
      <c r="K240" s="9"/>
      <c r="L240" s="8"/>
      <c r="M240" s="8"/>
      <c r="N240" s="9"/>
      <c r="O240" s="11"/>
      <c r="P240" s="11"/>
      <c r="S240" s="110"/>
      <c r="T240" s="110"/>
    </row>
    <row r="241" spans="2:20" s="10" customFormat="1">
      <c r="B241" s="12"/>
      <c r="C241" s="12"/>
      <c r="D241" s="8"/>
      <c r="E241" s="8"/>
      <c r="F241" s="8"/>
      <c r="G241" s="9"/>
      <c r="H241" s="9"/>
      <c r="I241" s="9"/>
      <c r="J241" s="9"/>
      <c r="K241" s="9"/>
      <c r="L241" s="8"/>
      <c r="M241" s="8"/>
      <c r="N241" s="9"/>
      <c r="O241" s="11"/>
      <c r="P241" s="11"/>
      <c r="S241" s="110"/>
      <c r="T241" s="110"/>
    </row>
    <row r="242" spans="2:20" s="10" customFormat="1">
      <c r="B242" s="12"/>
      <c r="C242" s="12"/>
      <c r="D242" s="8"/>
      <c r="E242" s="8"/>
      <c r="F242" s="8"/>
      <c r="G242" s="9"/>
      <c r="H242" s="9"/>
      <c r="I242" s="9"/>
      <c r="J242" s="9"/>
      <c r="K242" s="9"/>
      <c r="L242" s="8"/>
      <c r="M242" s="8"/>
      <c r="N242" s="9"/>
      <c r="O242" s="11"/>
      <c r="P242" s="11"/>
      <c r="S242" s="110"/>
      <c r="T242" s="110"/>
    </row>
    <row r="243" spans="2:20" s="10" customFormat="1">
      <c r="B243" s="12"/>
      <c r="C243" s="12"/>
      <c r="D243" s="8"/>
      <c r="E243" s="8"/>
      <c r="F243" s="8"/>
      <c r="G243" s="9"/>
      <c r="H243" s="9"/>
      <c r="I243" s="9"/>
      <c r="J243" s="9"/>
      <c r="K243" s="9"/>
      <c r="L243" s="8"/>
      <c r="M243" s="8"/>
      <c r="N243" s="9"/>
      <c r="O243" s="11"/>
      <c r="P243" s="11"/>
      <c r="S243" s="110"/>
      <c r="T243" s="110"/>
    </row>
    <row r="244" spans="2:20" s="10" customFormat="1">
      <c r="B244" s="12"/>
      <c r="C244" s="12"/>
      <c r="D244" s="8"/>
      <c r="E244" s="8"/>
      <c r="F244" s="8"/>
      <c r="G244" s="9"/>
      <c r="H244" s="9"/>
      <c r="I244" s="9"/>
      <c r="J244" s="9"/>
      <c r="K244" s="9"/>
      <c r="L244" s="8"/>
      <c r="M244" s="8"/>
      <c r="N244" s="9"/>
      <c r="O244" s="11"/>
      <c r="P244" s="11"/>
      <c r="S244" s="110"/>
      <c r="T244" s="110"/>
    </row>
    <row r="245" spans="2:20" s="10" customFormat="1">
      <c r="B245" s="12"/>
      <c r="C245" s="12"/>
      <c r="D245" s="8"/>
      <c r="E245" s="8"/>
      <c r="F245" s="8"/>
      <c r="G245" s="9"/>
      <c r="H245" s="9"/>
      <c r="I245" s="9"/>
      <c r="J245" s="9"/>
      <c r="K245" s="9"/>
      <c r="L245" s="8"/>
      <c r="M245" s="8"/>
      <c r="N245" s="9"/>
      <c r="O245" s="11"/>
      <c r="P245" s="11"/>
      <c r="S245" s="110"/>
      <c r="T245" s="110"/>
    </row>
    <row r="246" spans="2:20" s="10" customFormat="1">
      <c r="B246" s="12"/>
      <c r="C246" s="12"/>
      <c r="D246" s="8"/>
      <c r="E246" s="8"/>
      <c r="F246" s="8"/>
      <c r="G246" s="9"/>
      <c r="H246" s="9"/>
      <c r="I246" s="9"/>
      <c r="J246" s="9"/>
      <c r="K246" s="9"/>
      <c r="L246" s="8"/>
      <c r="M246" s="8"/>
      <c r="N246" s="9"/>
      <c r="O246" s="11"/>
      <c r="P246" s="11"/>
      <c r="S246" s="110"/>
      <c r="T246" s="110"/>
    </row>
    <row r="247" spans="2:20" s="10" customFormat="1">
      <c r="B247" s="12"/>
      <c r="C247" s="12"/>
      <c r="D247" s="8"/>
      <c r="E247" s="8"/>
      <c r="F247" s="8"/>
      <c r="G247" s="9"/>
      <c r="H247" s="9"/>
      <c r="I247" s="9"/>
      <c r="J247" s="9"/>
      <c r="K247" s="9"/>
      <c r="L247" s="8"/>
      <c r="M247" s="8"/>
      <c r="N247" s="9"/>
      <c r="O247" s="11"/>
      <c r="P247" s="11"/>
      <c r="S247" s="110"/>
      <c r="T247" s="110"/>
    </row>
    <row r="248" spans="2:20" s="10" customFormat="1">
      <c r="B248" s="12"/>
      <c r="C248" s="12"/>
      <c r="D248" s="8"/>
      <c r="E248" s="8"/>
      <c r="F248" s="8"/>
      <c r="G248" s="9"/>
      <c r="H248" s="9"/>
      <c r="I248" s="9"/>
      <c r="J248" s="9"/>
      <c r="K248" s="9"/>
      <c r="L248" s="8"/>
      <c r="M248" s="8"/>
      <c r="N248" s="9"/>
      <c r="O248" s="11"/>
      <c r="P248" s="11"/>
      <c r="S248" s="110"/>
      <c r="T248" s="110"/>
    </row>
    <row r="249" spans="2:20" s="10" customFormat="1">
      <c r="B249" s="12"/>
      <c r="C249" s="12"/>
      <c r="D249" s="8"/>
      <c r="E249" s="8"/>
      <c r="F249" s="8"/>
      <c r="G249" s="9"/>
      <c r="H249" s="9"/>
      <c r="I249" s="9"/>
      <c r="J249" s="9"/>
      <c r="K249" s="9"/>
      <c r="L249" s="8"/>
      <c r="M249" s="8"/>
      <c r="N249" s="9"/>
      <c r="O249" s="11"/>
      <c r="P249" s="11"/>
      <c r="S249" s="110"/>
      <c r="T249" s="110"/>
    </row>
    <row r="250" spans="2:20" s="10" customFormat="1">
      <c r="B250" s="12"/>
      <c r="C250" s="12"/>
      <c r="D250" s="8"/>
      <c r="E250" s="8"/>
      <c r="F250" s="8"/>
      <c r="G250" s="9"/>
      <c r="H250" s="9"/>
      <c r="I250" s="9"/>
      <c r="J250" s="9"/>
      <c r="K250" s="9"/>
      <c r="L250" s="8"/>
      <c r="M250" s="8"/>
      <c r="N250" s="9"/>
      <c r="O250" s="11"/>
      <c r="P250" s="11"/>
      <c r="S250" s="110"/>
      <c r="T250" s="110"/>
    </row>
    <row r="251" spans="2:20" s="10" customFormat="1">
      <c r="B251" s="12"/>
      <c r="C251" s="12"/>
      <c r="D251" s="8"/>
      <c r="E251" s="8"/>
      <c r="F251" s="8"/>
      <c r="G251" s="9"/>
      <c r="H251" s="9"/>
      <c r="I251" s="9"/>
      <c r="J251" s="9"/>
      <c r="K251" s="9"/>
      <c r="L251" s="8"/>
      <c r="M251" s="8"/>
      <c r="N251" s="9"/>
      <c r="O251" s="11"/>
      <c r="P251" s="11"/>
      <c r="S251" s="110"/>
      <c r="T251" s="110"/>
    </row>
    <row r="252" spans="2:20" s="10" customFormat="1">
      <c r="B252" s="12"/>
      <c r="C252" s="12"/>
      <c r="D252" s="8"/>
      <c r="E252" s="8"/>
      <c r="F252" s="8"/>
      <c r="G252" s="9"/>
      <c r="H252" s="9"/>
      <c r="I252" s="9"/>
      <c r="J252" s="9"/>
      <c r="K252" s="9"/>
      <c r="L252" s="8"/>
      <c r="M252" s="8"/>
      <c r="N252" s="9"/>
      <c r="O252" s="11"/>
      <c r="P252" s="11"/>
      <c r="S252" s="110"/>
      <c r="T252" s="110"/>
    </row>
    <row r="253" spans="2:20" s="10" customFormat="1">
      <c r="B253" s="12"/>
      <c r="C253" s="12"/>
      <c r="D253" s="8"/>
      <c r="E253" s="8"/>
      <c r="F253" s="8"/>
      <c r="G253" s="9"/>
      <c r="H253" s="9"/>
      <c r="I253" s="9"/>
      <c r="J253" s="9"/>
      <c r="K253" s="9"/>
      <c r="L253" s="8"/>
      <c r="M253" s="8"/>
      <c r="N253" s="9"/>
      <c r="O253" s="11"/>
      <c r="P253" s="11"/>
      <c r="S253" s="110"/>
      <c r="T253" s="110"/>
    </row>
    <row r="254" spans="2:20" s="10" customFormat="1">
      <c r="B254" s="12"/>
      <c r="C254" s="12"/>
      <c r="D254" s="8"/>
      <c r="E254" s="8"/>
      <c r="F254" s="8"/>
      <c r="G254" s="9"/>
      <c r="H254" s="9"/>
      <c r="I254" s="9"/>
      <c r="J254" s="9"/>
      <c r="K254" s="9"/>
      <c r="L254" s="8"/>
      <c r="M254" s="8"/>
      <c r="N254" s="9"/>
      <c r="O254" s="11"/>
      <c r="P254" s="11"/>
      <c r="S254" s="110"/>
      <c r="T254" s="110"/>
    </row>
    <row r="255" spans="2:20" s="10" customFormat="1">
      <c r="B255" s="12"/>
      <c r="C255" s="12"/>
      <c r="D255" s="8"/>
      <c r="E255" s="8"/>
      <c r="F255" s="8"/>
      <c r="G255" s="9"/>
      <c r="H255" s="9"/>
      <c r="I255" s="9"/>
      <c r="J255" s="9"/>
      <c r="K255" s="9"/>
      <c r="L255" s="8"/>
      <c r="M255" s="8"/>
      <c r="N255" s="9"/>
      <c r="O255" s="11"/>
      <c r="P255" s="11"/>
      <c r="S255" s="110"/>
      <c r="T255" s="110"/>
    </row>
    <row r="256" spans="2:20" s="10" customFormat="1">
      <c r="B256" s="12"/>
      <c r="C256" s="12"/>
      <c r="D256" s="8"/>
      <c r="E256" s="8"/>
      <c r="F256" s="8"/>
      <c r="G256" s="9"/>
      <c r="H256" s="9"/>
      <c r="I256" s="9"/>
      <c r="J256" s="9"/>
      <c r="K256" s="9"/>
      <c r="L256" s="8"/>
      <c r="M256" s="8"/>
      <c r="N256" s="9"/>
      <c r="O256" s="11"/>
      <c r="P256" s="11"/>
      <c r="S256" s="110"/>
      <c r="T256" s="110"/>
    </row>
    <row r="257" spans="2:20" s="10" customFormat="1">
      <c r="B257" s="12"/>
      <c r="C257" s="12"/>
      <c r="D257" s="8"/>
      <c r="E257" s="8"/>
      <c r="F257" s="8"/>
      <c r="G257" s="9"/>
      <c r="H257" s="9"/>
      <c r="I257" s="9"/>
      <c r="J257" s="9"/>
      <c r="K257" s="9"/>
      <c r="L257" s="8"/>
      <c r="M257" s="8"/>
      <c r="N257" s="9"/>
      <c r="O257" s="11"/>
      <c r="P257" s="11"/>
      <c r="S257" s="110"/>
      <c r="T257" s="110"/>
    </row>
    <row r="258" spans="2:20" s="10" customFormat="1">
      <c r="B258" s="12"/>
      <c r="C258" s="12"/>
      <c r="D258" s="8"/>
      <c r="E258" s="8"/>
      <c r="F258" s="8"/>
      <c r="G258" s="9"/>
      <c r="H258" s="9"/>
      <c r="I258" s="9"/>
      <c r="J258" s="9"/>
      <c r="K258" s="9"/>
      <c r="L258" s="8"/>
      <c r="M258" s="8"/>
      <c r="N258" s="9"/>
      <c r="O258" s="11"/>
      <c r="P258" s="11"/>
      <c r="S258" s="110"/>
      <c r="T258" s="110"/>
    </row>
    <row r="259" spans="2:20" s="10" customFormat="1">
      <c r="B259" s="12"/>
      <c r="C259" s="12"/>
      <c r="D259" s="8"/>
      <c r="E259" s="8"/>
      <c r="F259" s="8"/>
      <c r="G259" s="9"/>
      <c r="H259" s="9"/>
      <c r="I259" s="9"/>
      <c r="J259" s="9"/>
      <c r="K259" s="9"/>
      <c r="L259" s="8"/>
      <c r="M259" s="8"/>
      <c r="N259" s="9"/>
      <c r="O259" s="11"/>
      <c r="P259" s="11"/>
      <c r="S259" s="110"/>
      <c r="T259" s="110"/>
    </row>
    <row r="260" spans="2:20" s="10" customFormat="1">
      <c r="B260" s="12"/>
      <c r="C260" s="12"/>
      <c r="D260" s="8"/>
      <c r="E260" s="8"/>
      <c r="F260" s="8"/>
      <c r="G260" s="9"/>
      <c r="H260" s="9"/>
      <c r="I260" s="9"/>
      <c r="J260" s="9"/>
      <c r="K260" s="9"/>
      <c r="L260" s="8"/>
      <c r="M260" s="8"/>
      <c r="N260" s="9"/>
      <c r="O260" s="11"/>
      <c r="P260" s="11"/>
      <c r="S260" s="110"/>
      <c r="T260" s="110"/>
    </row>
    <row r="261" spans="2:20" s="10" customFormat="1">
      <c r="B261" s="12"/>
      <c r="C261" s="12"/>
      <c r="D261" s="8"/>
      <c r="E261" s="8"/>
      <c r="F261" s="8"/>
      <c r="G261" s="9"/>
      <c r="H261" s="9"/>
      <c r="I261" s="9"/>
      <c r="J261" s="9"/>
      <c r="K261" s="9"/>
      <c r="L261" s="8"/>
      <c r="M261" s="8"/>
      <c r="N261" s="9"/>
      <c r="O261" s="11"/>
      <c r="P261" s="11"/>
      <c r="S261" s="110"/>
      <c r="T261" s="110"/>
    </row>
    <row r="262" spans="2:20" s="10" customFormat="1">
      <c r="B262" s="12"/>
      <c r="C262" s="12"/>
      <c r="D262" s="8"/>
      <c r="E262" s="8"/>
      <c r="F262" s="8"/>
      <c r="G262" s="9"/>
      <c r="H262" s="9"/>
      <c r="I262" s="9"/>
      <c r="J262" s="9"/>
      <c r="K262" s="9"/>
      <c r="L262" s="8"/>
      <c r="M262" s="8"/>
      <c r="N262" s="9"/>
      <c r="O262" s="11"/>
      <c r="P262" s="11"/>
      <c r="S262" s="110"/>
      <c r="T262" s="110"/>
    </row>
    <row r="263" spans="2:20" s="10" customFormat="1">
      <c r="B263" s="12"/>
      <c r="C263" s="12"/>
      <c r="D263" s="8"/>
      <c r="E263" s="8"/>
      <c r="F263" s="8"/>
      <c r="G263" s="9"/>
      <c r="H263" s="9"/>
      <c r="I263" s="9"/>
      <c r="J263" s="9"/>
      <c r="K263" s="9"/>
      <c r="L263" s="8"/>
      <c r="M263" s="8"/>
      <c r="N263" s="9"/>
      <c r="O263" s="11"/>
      <c r="P263" s="11"/>
      <c r="S263" s="110"/>
      <c r="T263" s="110"/>
    </row>
    <row r="264" spans="2:20" s="10" customFormat="1">
      <c r="B264" s="12"/>
      <c r="C264" s="12"/>
      <c r="D264" s="8"/>
      <c r="E264" s="8"/>
      <c r="F264" s="8"/>
      <c r="G264" s="9"/>
      <c r="H264" s="9"/>
      <c r="I264" s="9"/>
      <c r="J264" s="9"/>
      <c r="K264" s="9"/>
      <c r="L264" s="8"/>
      <c r="M264" s="8"/>
      <c r="N264" s="9"/>
      <c r="O264" s="11"/>
      <c r="P264" s="11"/>
      <c r="S264" s="110"/>
      <c r="T264" s="110"/>
    </row>
    <row r="265" spans="2:20" s="10" customFormat="1">
      <c r="B265" s="12"/>
      <c r="C265" s="12"/>
      <c r="D265" s="8"/>
      <c r="E265" s="8"/>
      <c r="F265" s="8"/>
      <c r="G265" s="9"/>
      <c r="H265" s="9"/>
      <c r="I265" s="9"/>
      <c r="J265" s="9"/>
      <c r="K265" s="9"/>
      <c r="L265" s="8"/>
      <c r="M265" s="8"/>
      <c r="N265" s="9"/>
      <c r="O265" s="11"/>
      <c r="P265" s="11"/>
      <c r="S265" s="110"/>
      <c r="T265" s="110"/>
    </row>
    <row r="266" spans="2:20" s="10" customFormat="1">
      <c r="B266" s="12"/>
      <c r="C266" s="12"/>
      <c r="D266" s="8"/>
      <c r="E266" s="8"/>
      <c r="F266" s="8"/>
      <c r="G266" s="9"/>
      <c r="H266" s="9"/>
      <c r="I266" s="9"/>
      <c r="J266" s="9"/>
      <c r="K266" s="9"/>
      <c r="L266" s="8"/>
      <c r="M266" s="8"/>
      <c r="N266" s="9"/>
      <c r="O266" s="11"/>
      <c r="P266" s="11"/>
      <c r="S266" s="110"/>
      <c r="T266" s="110"/>
    </row>
    <row r="267" spans="2:20" s="10" customFormat="1">
      <c r="B267" s="12"/>
      <c r="C267" s="12"/>
      <c r="D267" s="8"/>
      <c r="E267" s="8"/>
      <c r="F267" s="8"/>
      <c r="G267" s="9"/>
      <c r="H267" s="9"/>
      <c r="I267" s="9"/>
      <c r="J267" s="9"/>
      <c r="K267" s="9"/>
      <c r="L267" s="8"/>
      <c r="M267" s="8"/>
      <c r="N267" s="9"/>
      <c r="O267" s="11"/>
      <c r="P267" s="11"/>
      <c r="S267" s="110"/>
      <c r="T267" s="110"/>
    </row>
    <row r="268" spans="2:20" s="10" customFormat="1">
      <c r="B268" s="12"/>
      <c r="C268" s="12"/>
      <c r="D268" s="8"/>
      <c r="E268" s="8"/>
      <c r="F268" s="8"/>
      <c r="G268" s="9"/>
      <c r="H268" s="9"/>
      <c r="I268" s="9"/>
      <c r="J268" s="9"/>
      <c r="K268" s="9"/>
      <c r="L268" s="8"/>
      <c r="M268" s="8"/>
      <c r="N268" s="9"/>
      <c r="O268" s="11"/>
      <c r="P268" s="11"/>
      <c r="S268" s="110"/>
      <c r="T268" s="110"/>
    </row>
    <row r="269" spans="2:20" s="10" customFormat="1">
      <c r="B269" s="12"/>
      <c r="C269" s="12"/>
      <c r="D269" s="8"/>
      <c r="E269" s="8"/>
      <c r="F269" s="8"/>
      <c r="G269" s="9"/>
      <c r="H269" s="9"/>
      <c r="I269" s="9"/>
      <c r="J269" s="9"/>
      <c r="K269" s="9"/>
      <c r="L269" s="8"/>
      <c r="M269" s="8"/>
      <c r="N269" s="9"/>
      <c r="O269" s="11"/>
      <c r="P269" s="11"/>
      <c r="S269" s="110"/>
      <c r="T269" s="110"/>
    </row>
    <row r="270" spans="2:20" s="10" customFormat="1">
      <c r="B270" s="12"/>
      <c r="C270" s="12"/>
      <c r="D270" s="8"/>
      <c r="E270" s="8"/>
      <c r="F270" s="8"/>
      <c r="G270" s="9"/>
      <c r="H270" s="9"/>
      <c r="I270" s="9"/>
      <c r="J270" s="9"/>
      <c r="K270" s="9"/>
      <c r="L270" s="8"/>
      <c r="M270" s="8"/>
      <c r="N270" s="9"/>
      <c r="O270" s="11"/>
      <c r="P270" s="11"/>
      <c r="S270" s="110"/>
      <c r="T270" s="110"/>
    </row>
    <row r="271" spans="2:20" s="10" customFormat="1">
      <c r="B271" s="12"/>
      <c r="C271" s="12"/>
      <c r="D271" s="8"/>
      <c r="E271" s="8"/>
      <c r="F271" s="8"/>
      <c r="G271" s="9"/>
      <c r="H271" s="9"/>
      <c r="I271" s="9"/>
      <c r="J271" s="9"/>
      <c r="K271" s="9"/>
      <c r="L271" s="8"/>
      <c r="M271" s="8"/>
      <c r="N271" s="9"/>
      <c r="O271" s="11"/>
      <c r="P271" s="11"/>
      <c r="S271" s="110"/>
      <c r="T271" s="110"/>
    </row>
    <row r="272" spans="2:20" s="10" customFormat="1">
      <c r="B272" s="12"/>
      <c r="C272" s="12"/>
      <c r="D272" s="8"/>
      <c r="E272" s="8"/>
      <c r="F272" s="8"/>
      <c r="G272" s="9"/>
      <c r="H272" s="9"/>
      <c r="I272" s="9"/>
      <c r="J272" s="9"/>
      <c r="K272" s="9"/>
      <c r="L272" s="8"/>
      <c r="M272" s="8"/>
      <c r="N272" s="9"/>
      <c r="O272" s="11"/>
      <c r="P272" s="11"/>
      <c r="S272" s="110"/>
      <c r="T272" s="110"/>
    </row>
    <row r="273" spans="2:20" s="10" customFormat="1">
      <c r="B273" s="12"/>
      <c r="C273" s="12"/>
      <c r="D273" s="8"/>
      <c r="E273" s="8"/>
      <c r="F273" s="8"/>
      <c r="G273" s="9"/>
      <c r="H273" s="9"/>
      <c r="I273" s="9"/>
      <c r="J273" s="9"/>
      <c r="K273" s="9"/>
      <c r="L273" s="8"/>
      <c r="M273" s="8"/>
      <c r="N273" s="9"/>
      <c r="O273" s="11"/>
      <c r="P273" s="11"/>
      <c r="S273" s="110"/>
      <c r="T273" s="110"/>
    </row>
    <row r="274" spans="2:20" s="10" customFormat="1">
      <c r="B274" s="12"/>
      <c r="C274" s="12"/>
      <c r="D274" s="8"/>
      <c r="E274" s="8"/>
      <c r="F274" s="8"/>
      <c r="G274" s="9"/>
      <c r="H274" s="9"/>
      <c r="I274" s="9"/>
      <c r="J274" s="9"/>
      <c r="K274" s="9"/>
      <c r="L274" s="8"/>
      <c r="M274" s="8"/>
      <c r="N274" s="9"/>
      <c r="O274" s="11"/>
      <c r="P274" s="11"/>
      <c r="S274" s="110"/>
      <c r="T274" s="110"/>
    </row>
    <row r="275" spans="2:20" s="10" customFormat="1">
      <c r="B275" s="12"/>
      <c r="C275" s="12"/>
      <c r="D275" s="8"/>
      <c r="E275" s="8"/>
      <c r="F275" s="8"/>
      <c r="G275" s="9"/>
      <c r="H275" s="9"/>
      <c r="I275" s="9"/>
      <c r="J275" s="9"/>
      <c r="K275" s="9"/>
      <c r="L275" s="8"/>
      <c r="M275" s="8"/>
      <c r="N275" s="9"/>
      <c r="O275" s="11"/>
      <c r="P275" s="11"/>
      <c r="S275" s="110"/>
      <c r="T275" s="110"/>
    </row>
    <row r="276" spans="2:20" s="10" customFormat="1">
      <c r="B276" s="12"/>
      <c r="C276" s="12"/>
      <c r="D276" s="8"/>
      <c r="E276" s="8"/>
      <c r="F276" s="8"/>
      <c r="G276" s="9"/>
      <c r="H276" s="9"/>
      <c r="I276" s="9"/>
      <c r="J276" s="9"/>
      <c r="K276" s="9"/>
      <c r="L276" s="8"/>
      <c r="M276" s="8"/>
      <c r="N276" s="9"/>
      <c r="O276" s="11"/>
      <c r="P276" s="11"/>
      <c r="S276" s="110"/>
      <c r="T276" s="110"/>
    </row>
    <row r="277" spans="2:20" s="10" customFormat="1">
      <c r="B277" s="12"/>
      <c r="C277" s="12"/>
      <c r="D277" s="8"/>
      <c r="E277" s="8"/>
      <c r="F277" s="8"/>
      <c r="G277" s="9"/>
      <c r="H277" s="9"/>
      <c r="I277" s="9"/>
      <c r="J277" s="9"/>
      <c r="K277" s="9"/>
      <c r="L277" s="8"/>
      <c r="M277" s="8"/>
      <c r="N277" s="9"/>
      <c r="O277" s="11"/>
      <c r="P277" s="11"/>
      <c r="S277" s="110"/>
      <c r="T277" s="110"/>
    </row>
    <row r="278" spans="2:20" s="10" customFormat="1">
      <c r="B278" s="12"/>
      <c r="C278" s="12"/>
      <c r="D278" s="8"/>
      <c r="E278" s="8"/>
      <c r="F278" s="8"/>
      <c r="G278" s="9"/>
      <c r="H278" s="9"/>
      <c r="I278" s="9"/>
      <c r="J278" s="9"/>
      <c r="K278" s="9"/>
      <c r="L278" s="8"/>
      <c r="M278" s="8"/>
      <c r="N278" s="9"/>
      <c r="O278" s="11"/>
      <c r="P278" s="11"/>
      <c r="S278" s="110"/>
      <c r="T278" s="110"/>
    </row>
    <row r="279" spans="2:20" s="10" customFormat="1">
      <c r="B279" s="12"/>
      <c r="C279" s="12"/>
      <c r="D279" s="8"/>
      <c r="E279" s="8"/>
      <c r="F279" s="8"/>
      <c r="G279" s="9"/>
      <c r="H279" s="9"/>
      <c r="I279" s="9"/>
      <c r="J279" s="9"/>
      <c r="K279" s="9"/>
      <c r="L279" s="8"/>
      <c r="M279" s="8"/>
      <c r="N279" s="9"/>
      <c r="O279" s="11"/>
      <c r="P279" s="11"/>
      <c r="S279" s="110"/>
      <c r="T279" s="110"/>
    </row>
    <row r="280" spans="2:20" s="10" customFormat="1">
      <c r="B280" s="12"/>
      <c r="C280" s="12"/>
      <c r="D280" s="8"/>
      <c r="E280" s="8"/>
      <c r="F280" s="8"/>
      <c r="G280" s="9"/>
      <c r="H280" s="9"/>
      <c r="I280" s="9"/>
      <c r="J280" s="9"/>
      <c r="K280" s="9"/>
      <c r="L280" s="8"/>
      <c r="M280" s="8"/>
      <c r="N280" s="9"/>
      <c r="O280" s="11"/>
      <c r="P280" s="11"/>
      <c r="S280" s="110"/>
      <c r="T280" s="110"/>
    </row>
    <row r="281" spans="2:20" s="10" customFormat="1">
      <c r="B281" s="12"/>
      <c r="C281" s="12"/>
      <c r="D281" s="8"/>
      <c r="E281" s="8"/>
      <c r="F281" s="8"/>
      <c r="G281" s="9"/>
      <c r="H281" s="9"/>
      <c r="I281" s="9"/>
      <c r="J281" s="9"/>
      <c r="K281" s="9"/>
      <c r="L281" s="8"/>
      <c r="M281" s="8"/>
      <c r="N281" s="9"/>
      <c r="O281" s="11"/>
      <c r="P281" s="11"/>
      <c r="S281" s="110"/>
      <c r="T281" s="110"/>
    </row>
    <row r="282" spans="2:20" s="10" customFormat="1">
      <c r="B282" s="12"/>
      <c r="C282" s="12"/>
      <c r="D282" s="8"/>
      <c r="E282" s="8"/>
      <c r="F282" s="8"/>
      <c r="G282" s="9"/>
      <c r="H282" s="9"/>
      <c r="I282" s="9"/>
      <c r="J282" s="9"/>
      <c r="K282" s="9"/>
      <c r="L282" s="8"/>
      <c r="M282" s="8"/>
      <c r="N282" s="9"/>
      <c r="O282" s="11"/>
      <c r="P282" s="11"/>
      <c r="S282" s="110"/>
      <c r="T282" s="110"/>
    </row>
    <row r="283" spans="2:20" s="10" customFormat="1">
      <c r="B283" s="12"/>
      <c r="C283" s="12"/>
      <c r="D283" s="8"/>
      <c r="E283" s="8"/>
      <c r="F283" s="8"/>
      <c r="G283" s="9"/>
      <c r="H283" s="9"/>
      <c r="I283" s="9"/>
      <c r="J283" s="9"/>
      <c r="K283" s="9"/>
      <c r="L283" s="8"/>
      <c r="M283" s="8"/>
      <c r="N283" s="9"/>
      <c r="O283" s="11"/>
      <c r="P283" s="11"/>
      <c r="S283" s="110"/>
      <c r="T283" s="110"/>
    </row>
    <row r="284" spans="2:20" s="10" customFormat="1">
      <c r="B284" s="12"/>
      <c r="C284" s="12"/>
      <c r="D284" s="8"/>
      <c r="E284" s="8"/>
      <c r="F284" s="8"/>
      <c r="G284" s="9"/>
      <c r="H284" s="9"/>
      <c r="I284" s="9"/>
      <c r="J284" s="9"/>
      <c r="K284" s="9"/>
      <c r="L284" s="8"/>
      <c r="M284" s="8"/>
      <c r="N284" s="9"/>
      <c r="O284" s="11"/>
      <c r="P284" s="11"/>
      <c r="S284" s="110"/>
      <c r="T284" s="110"/>
    </row>
    <row r="285" spans="2:20" s="10" customFormat="1">
      <c r="B285" s="12"/>
      <c r="C285" s="12"/>
      <c r="D285" s="8"/>
      <c r="E285" s="8"/>
      <c r="F285" s="8"/>
      <c r="G285" s="9"/>
      <c r="H285" s="9"/>
      <c r="I285" s="9"/>
      <c r="J285" s="9"/>
      <c r="K285" s="9"/>
      <c r="L285" s="8"/>
      <c r="M285" s="8"/>
      <c r="N285" s="9"/>
      <c r="O285" s="11"/>
      <c r="P285" s="11"/>
      <c r="S285" s="110"/>
      <c r="T285" s="110"/>
    </row>
    <row r="286" spans="2:20" s="10" customFormat="1">
      <c r="B286" s="12"/>
      <c r="C286" s="12"/>
      <c r="D286" s="8"/>
      <c r="E286" s="8"/>
      <c r="F286" s="8"/>
      <c r="G286" s="9"/>
      <c r="H286" s="9"/>
      <c r="I286" s="9"/>
      <c r="J286" s="9"/>
      <c r="K286" s="9"/>
      <c r="L286" s="8"/>
      <c r="M286" s="8"/>
      <c r="N286" s="9"/>
      <c r="O286" s="11"/>
      <c r="P286" s="11"/>
      <c r="S286" s="110"/>
      <c r="T286" s="110"/>
    </row>
    <row r="287" spans="2:20" s="10" customFormat="1">
      <c r="B287" s="12"/>
      <c r="C287" s="12"/>
      <c r="D287" s="8"/>
      <c r="E287" s="8"/>
      <c r="F287" s="8"/>
      <c r="G287" s="9"/>
      <c r="H287" s="9"/>
      <c r="I287" s="9"/>
      <c r="J287" s="9"/>
      <c r="K287" s="9"/>
      <c r="L287" s="8"/>
      <c r="M287" s="8"/>
      <c r="N287" s="9"/>
      <c r="O287" s="11"/>
      <c r="P287" s="11"/>
      <c r="S287" s="110"/>
      <c r="T287" s="110"/>
    </row>
    <row r="288" spans="2:20" s="10" customFormat="1">
      <c r="B288" s="12"/>
      <c r="C288" s="12"/>
      <c r="D288" s="8"/>
      <c r="E288" s="8"/>
      <c r="F288" s="8"/>
      <c r="G288" s="9"/>
      <c r="H288" s="9"/>
      <c r="I288" s="9"/>
      <c r="J288" s="9"/>
      <c r="K288" s="9"/>
      <c r="L288" s="8"/>
      <c r="M288" s="8"/>
      <c r="N288" s="9"/>
      <c r="O288" s="11"/>
      <c r="P288" s="11"/>
      <c r="S288" s="110"/>
      <c r="T288" s="110"/>
    </row>
    <row r="289" spans="2:20" s="10" customFormat="1">
      <c r="B289" s="12"/>
      <c r="C289" s="12"/>
      <c r="D289" s="8"/>
      <c r="E289" s="8"/>
      <c r="F289" s="8"/>
      <c r="G289" s="9"/>
      <c r="H289" s="9"/>
      <c r="I289" s="9"/>
      <c r="J289" s="9"/>
      <c r="K289" s="9"/>
      <c r="L289" s="8"/>
      <c r="M289" s="8"/>
      <c r="N289" s="9"/>
      <c r="O289" s="11"/>
      <c r="P289" s="11"/>
      <c r="S289" s="110"/>
      <c r="T289" s="110"/>
    </row>
    <row r="290" spans="2:20" s="10" customFormat="1">
      <c r="B290" s="12"/>
      <c r="C290" s="12"/>
      <c r="D290" s="8"/>
      <c r="E290" s="8"/>
      <c r="F290" s="8"/>
      <c r="G290" s="9"/>
      <c r="H290" s="9"/>
      <c r="I290" s="9"/>
      <c r="J290" s="9"/>
      <c r="K290" s="9"/>
      <c r="L290" s="8"/>
      <c r="M290" s="8"/>
      <c r="N290" s="9"/>
      <c r="O290" s="11"/>
      <c r="P290" s="11"/>
      <c r="S290" s="110"/>
      <c r="T290" s="110"/>
    </row>
    <row r="291" spans="2:20" s="10" customFormat="1">
      <c r="B291" s="12"/>
      <c r="C291" s="12"/>
      <c r="D291" s="8"/>
      <c r="E291" s="8"/>
      <c r="F291" s="8"/>
      <c r="G291" s="9"/>
      <c r="H291" s="9"/>
      <c r="I291" s="9"/>
      <c r="J291" s="9"/>
      <c r="K291" s="9"/>
      <c r="L291" s="8"/>
      <c r="M291" s="8"/>
      <c r="N291" s="9"/>
      <c r="O291" s="11"/>
      <c r="P291" s="11"/>
      <c r="S291" s="110"/>
      <c r="T291" s="110"/>
    </row>
    <row r="292" spans="2:20" s="10" customFormat="1">
      <c r="B292" s="12"/>
      <c r="C292" s="12"/>
      <c r="D292" s="8"/>
      <c r="E292" s="8"/>
      <c r="F292" s="8"/>
      <c r="G292" s="9"/>
      <c r="H292" s="9"/>
      <c r="I292" s="9"/>
      <c r="J292" s="9"/>
      <c r="K292" s="9"/>
      <c r="L292" s="8"/>
      <c r="M292" s="8"/>
      <c r="N292" s="9"/>
      <c r="O292" s="11"/>
      <c r="P292" s="11"/>
      <c r="S292" s="110"/>
      <c r="T292" s="110"/>
    </row>
    <row r="293" spans="2:20" s="10" customFormat="1">
      <c r="B293" s="12"/>
      <c r="C293" s="12"/>
      <c r="D293" s="8"/>
      <c r="E293" s="8"/>
      <c r="F293" s="8"/>
      <c r="G293" s="9"/>
      <c r="H293" s="9"/>
      <c r="I293" s="9"/>
      <c r="J293" s="9"/>
      <c r="K293" s="9"/>
      <c r="L293" s="8"/>
      <c r="M293" s="8"/>
      <c r="N293" s="9"/>
      <c r="O293" s="11"/>
      <c r="P293" s="11"/>
      <c r="S293" s="110"/>
      <c r="T293" s="110"/>
    </row>
    <row r="294" spans="2:20" s="10" customFormat="1">
      <c r="B294" s="12"/>
      <c r="C294" s="12"/>
      <c r="D294" s="8"/>
      <c r="E294" s="8"/>
      <c r="F294" s="8"/>
      <c r="G294" s="9"/>
      <c r="H294" s="9"/>
      <c r="I294" s="9"/>
      <c r="J294" s="9"/>
      <c r="K294" s="9"/>
      <c r="L294" s="8"/>
      <c r="M294" s="8"/>
      <c r="N294" s="9"/>
      <c r="O294" s="11"/>
      <c r="P294" s="11"/>
      <c r="S294" s="110"/>
      <c r="T294" s="110"/>
    </row>
    <row r="295" spans="2:20" s="10" customFormat="1">
      <c r="B295" s="12"/>
      <c r="C295" s="12"/>
      <c r="D295" s="8"/>
      <c r="E295" s="8"/>
      <c r="F295" s="8"/>
      <c r="G295" s="9"/>
      <c r="H295" s="9"/>
      <c r="I295" s="9"/>
      <c r="J295" s="9"/>
      <c r="K295" s="9"/>
      <c r="L295" s="8"/>
      <c r="M295" s="8"/>
      <c r="N295" s="9"/>
      <c r="O295" s="11"/>
      <c r="P295" s="11"/>
      <c r="S295" s="110"/>
      <c r="T295" s="110"/>
    </row>
    <row r="296" spans="2:20" s="10" customFormat="1">
      <c r="B296" s="12"/>
      <c r="C296" s="12"/>
      <c r="D296" s="8"/>
      <c r="E296" s="8"/>
      <c r="F296" s="8"/>
      <c r="G296" s="9"/>
      <c r="H296" s="9"/>
      <c r="I296" s="9"/>
      <c r="J296" s="9"/>
      <c r="K296" s="9"/>
      <c r="L296" s="8"/>
      <c r="M296" s="8"/>
      <c r="N296" s="9"/>
      <c r="O296" s="11"/>
      <c r="P296" s="11"/>
      <c r="S296" s="110"/>
      <c r="T296" s="110"/>
    </row>
    <row r="297" spans="2:20" s="10" customFormat="1">
      <c r="B297" s="12"/>
      <c r="C297" s="12"/>
      <c r="D297" s="8"/>
      <c r="E297" s="8"/>
      <c r="F297" s="8"/>
      <c r="G297" s="9"/>
      <c r="H297" s="9"/>
      <c r="I297" s="9"/>
      <c r="J297" s="9"/>
      <c r="K297" s="9"/>
      <c r="L297" s="8"/>
      <c r="M297" s="8"/>
      <c r="N297" s="9"/>
      <c r="O297" s="11"/>
      <c r="P297" s="11"/>
      <c r="S297" s="110"/>
      <c r="T297" s="110"/>
    </row>
    <row r="298" spans="2:20" s="10" customFormat="1">
      <c r="B298" s="12"/>
      <c r="C298" s="12"/>
      <c r="D298" s="8"/>
      <c r="E298" s="8"/>
      <c r="F298" s="8"/>
      <c r="G298" s="9"/>
      <c r="H298" s="9"/>
      <c r="I298" s="9"/>
      <c r="J298" s="9"/>
      <c r="K298" s="9"/>
      <c r="L298" s="8"/>
      <c r="M298" s="8"/>
      <c r="N298" s="9"/>
      <c r="O298" s="11"/>
      <c r="P298" s="11"/>
      <c r="S298" s="110"/>
      <c r="T298" s="110"/>
    </row>
    <row r="299" spans="2:20" s="10" customFormat="1">
      <c r="B299" s="12"/>
      <c r="C299" s="12"/>
      <c r="D299" s="8"/>
      <c r="E299" s="8"/>
      <c r="F299" s="8"/>
      <c r="G299" s="9"/>
      <c r="H299" s="9"/>
      <c r="I299" s="9"/>
      <c r="J299" s="9"/>
      <c r="K299" s="9"/>
      <c r="L299" s="8"/>
      <c r="M299" s="8"/>
      <c r="N299" s="9"/>
      <c r="O299" s="11"/>
      <c r="P299" s="11"/>
      <c r="S299" s="110"/>
      <c r="T299" s="110"/>
    </row>
    <row r="300" spans="2:20" s="10" customFormat="1">
      <c r="B300" s="12"/>
      <c r="C300" s="12"/>
      <c r="D300" s="8"/>
      <c r="E300" s="8"/>
      <c r="F300" s="8"/>
      <c r="G300" s="9"/>
      <c r="H300" s="9"/>
      <c r="I300" s="9"/>
      <c r="J300" s="9"/>
      <c r="K300" s="9"/>
      <c r="L300" s="8"/>
      <c r="M300" s="8"/>
      <c r="N300" s="9"/>
      <c r="O300" s="11"/>
      <c r="P300" s="11"/>
      <c r="S300" s="110"/>
      <c r="T300" s="110"/>
    </row>
    <row r="301" spans="2:20" s="10" customFormat="1">
      <c r="B301" s="12"/>
      <c r="C301" s="12"/>
      <c r="D301" s="8"/>
      <c r="E301" s="8"/>
      <c r="F301" s="8"/>
      <c r="G301" s="9"/>
      <c r="H301" s="9"/>
      <c r="I301" s="9"/>
      <c r="J301" s="9"/>
      <c r="K301" s="9"/>
      <c r="L301" s="8"/>
      <c r="M301" s="8"/>
      <c r="N301" s="9"/>
      <c r="O301" s="11"/>
      <c r="P301" s="11"/>
      <c r="S301" s="110"/>
      <c r="T301" s="110"/>
    </row>
    <row r="302" spans="2:20" s="10" customFormat="1">
      <c r="B302" s="12"/>
      <c r="C302" s="12"/>
      <c r="D302" s="8"/>
      <c r="E302" s="8"/>
      <c r="F302" s="8"/>
      <c r="G302" s="9"/>
      <c r="H302" s="9"/>
      <c r="I302" s="9"/>
      <c r="J302" s="9"/>
      <c r="K302" s="9"/>
      <c r="L302" s="8"/>
      <c r="M302" s="8"/>
      <c r="N302" s="9"/>
      <c r="O302" s="11"/>
      <c r="P302" s="11"/>
      <c r="S302" s="110"/>
      <c r="T302" s="110"/>
    </row>
    <row r="303" spans="2:20" s="10" customFormat="1">
      <c r="B303" s="12"/>
      <c r="C303" s="12"/>
      <c r="D303" s="8"/>
      <c r="E303" s="8"/>
      <c r="F303" s="8"/>
      <c r="G303" s="9"/>
      <c r="H303" s="9"/>
      <c r="I303" s="9"/>
      <c r="J303" s="9"/>
      <c r="K303" s="9"/>
      <c r="L303" s="8"/>
      <c r="M303" s="8"/>
      <c r="N303" s="9"/>
      <c r="O303" s="11"/>
      <c r="P303" s="11"/>
      <c r="S303" s="110"/>
      <c r="T303" s="110"/>
    </row>
    <row r="304" spans="2:20" s="10" customFormat="1">
      <c r="B304" s="12"/>
      <c r="C304" s="12"/>
      <c r="D304" s="8"/>
      <c r="E304" s="8"/>
      <c r="F304" s="8"/>
      <c r="G304" s="9"/>
      <c r="H304" s="9"/>
      <c r="I304" s="9"/>
      <c r="J304" s="9"/>
      <c r="K304" s="9"/>
      <c r="L304" s="8"/>
      <c r="M304" s="8"/>
      <c r="N304" s="9"/>
      <c r="O304" s="11"/>
      <c r="P304" s="11"/>
      <c r="S304" s="110"/>
      <c r="T304" s="110"/>
    </row>
    <row r="305" spans="2:20" s="10" customFormat="1">
      <c r="B305" s="12"/>
      <c r="C305" s="12"/>
      <c r="D305" s="8"/>
      <c r="E305" s="8"/>
      <c r="F305" s="8"/>
      <c r="G305" s="9"/>
      <c r="H305" s="9"/>
      <c r="I305" s="9"/>
      <c r="J305" s="9"/>
      <c r="K305" s="9"/>
      <c r="L305" s="8"/>
      <c r="M305" s="8"/>
      <c r="N305" s="9"/>
      <c r="O305" s="11"/>
      <c r="P305" s="11"/>
      <c r="S305" s="110"/>
      <c r="T305" s="110"/>
    </row>
    <row r="306" spans="2:20" s="10" customFormat="1">
      <c r="B306" s="12"/>
      <c r="C306" s="12"/>
      <c r="D306" s="8"/>
      <c r="E306" s="8"/>
      <c r="F306" s="8"/>
      <c r="G306" s="9"/>
      <c r="H306" s="9"/>
      <c r="I306" s="9"/>
      <c r="J306" s="9"/>
      <c r="K306" s="9"/>
      <c r="L306" s="8"/>
      <c r="M306" s="8"/>
      <c r="N306" s="9"/>
      <c r="O306" s="11"/>
      <c r="P306" s="11"/>
      <c r="S306" s="110"/>
      <c r="T306" s="110"/>
    </row>
    <row r="307" spans="2:20" s="10" customFormat="1">
      <c r="B307" s="12"/>
      <c r="C307" s="12"/>
      <c r="D307" s="8"/>
      <c r="E307" s="8"/>
      <c r="F307" s="8"/>
      <c r="G307" s="9"/>
      <c r="H307" s="9"/>
      <c r="I307" s="9"/>
      <c r="J307" s="9"/>
      <c r="K307" s="9"/>
      <c r="L307" s="8"/>
      <c r="M307" s="8"/>
      <c r="N307" s="9"/>
      <c r="O307" s="11"/>
      <c r="P307" s="11"/>
      <c r="S307" s="110"/>
      <c r="T307" s="110"/>
    </row>
    <row r="308" spans="2:20" s="10" customFormat="1">
      <c r="B308" s="12"/>
      <c r="C308" s="12"/>
      <c r="D308" s="8"/>
      <c r="E308" s="8"/>
      <c r="F308" s="8"/>
      <c r="G308" s="9"/>
      <c r="H308" s="9"/>
      <c r="I308" s="9"/>
      <c r="J308" s="9"/>
      <c r="K308" s="9"/>
      <c r="L308" s="8"/>
      <c r="M308" s="8"/>
      <c r="N308" s="9"/>
      <c r="O308" s="11"/>
      <c r="P308" s="11"/>
      <c r="S308" s="110"/>
      <c r="T308" s="110"/>
    </row>
    <row r="309" spans="2:20" s="10" customFormat="1">
      <c r="B309" s="12"/>
      <c r="C309" s="12"/>
      <c r="D309" s="8"/>
      <c r="E309" s="8"/>
      <c r="F309" s="8"/>
      <c r="G309" s="9"/>
      <c r="H309" s="9"/>
      <c r="I309" s="9"/>
      <c r="J309" s="9"/>
      <c r="K309" s="9"/>
      <c r="L309" s="8"/>
      <c r="M309" s="8"/>
      <c r="N309" s="9"/>
      <c r="O309" s="11"/>
      <c r="P309" s="11"/>
      <c r="S309" s="110"/>
      <c r="T309" s="110"/>
    </row>
    <row r="310" spans="2:20" s="10" customFormat="1">
      <c r="B310" s="12"/>
      <c r="C310" s="12"/>
      <c r="D310" s="8"/>
      <c r="E310" s="8"/>
      <c r="F310" s="8"/>
      <c r="G310" s="9"/>
      <c r="H310" s="9"/>
      <c r="I310" s="9"/>
      <c r="J310" s="9"/>
      <c r="K310" s="9"/>
      <c r="L310" s="8"/>
      <c r="M310" s="8"/>
      <c r="N310" s="9"/>
      <c r="O310" s="11"/>
      <c r="P310" s="11"/>
      <c r="S310" s="110"/>
      <c r="T310" s="110"/>
    </row>
    <row r="311" spans="2:20" s="10" customFormat="1">
      <c r="B311" s="12"/>
      <c r="C311" s="12"/>
      <c r="D311" s="8"/>
      <c r="E311" s="8"/>
      <c r="F311" s="8"/>
      <c r="G311" s="9"/>
      <c r="H311" s="9"/>
      <c r="I311" s="9"/>
      <c r="J311" s="9"/>
      <c r="K311" s="9"/>
      <c r="L311" s="8"/>
      <c r="M311" s="8"/>
      <c r="N311" s="9"/>
      <c r="O311" s="11"/>
      <c r="P311" s="11"/>
      <c r="S311" s="110"/>
      <c r="T311" s="110"/>
    </row>
    <row r="312" spans="2:20" s="10" customFormat="1">
      <c r="B312" s="12"/>
      <c r="C312" s="12"/>
      <c r="D312" s="8"/>
      <c r="E312" s="8"/>
      <c r="F312" s="8"/>
      <c r="G312" s="9"/>
      <c r="H312" s="9"/>
      <c r="I312" s="9"/>
      <c r="J312" s="9"/>
      <c r="K312" s="9"/>
      <c r="L312" s="8"/>
      <c r="M312" s="8"/>
      <c r="N312" s="9"/>
      <c r="O312" s="11"/>
      <c r="P312" s="11"/>
      <c r="S312" s="110"/>
      <c r="T312" s="110"/>
    </row>
    <row r="313" spans="2:20" s="10" customFormat="1">
      <c r="B313" s="12"/>
      <c r="C313" s="12"/>
      <c r="D313" s="8"/>
      <c r="E313" s="8"/>
      <c r="F313" s="8"/>
      <c r="G313" s="9"/>
      <c r="H313" s="9"/>
      <c r="I313" s="9"/>
      <c r="J313" s="9"/>
      <c r="K313" s="9"/>
      <c r="L313" s="8"/>
      <c r="M313" s="8"/>
      <c r="N313" s="9"/>
      <c r="O313" s="11"/>
      <c r="P313" s="11"/>
      <c r="S313" s="110"/>
      <c r="T313" s="110"/>
    </row>
    <row r="314" spans="2:20" s="10" customFormat="1">
      <c r="B314" s="12"/>
      <c r="C314" s="12"/>
      <c r="D314" s="8"/>
      <c r="E314" s="8"/>
      <c r="F314" s="8"/>
      <c r="G314" s="9"/>
      <c r="H314" s="9"/>
      <c r="I314" s="9"/>
      <c r="J314" s="9"/>
      <c r="K314" s="9"/>
      <c r="L314" s="8"/>
      <c r="M314" s="8"/>
      <c r="N314" s="9"/>
      <c r="O314" s="11"/>
      <c r="P314" s="11"/>
      <c r="S314" s="110"/>
      <c r="T314" s="110"/>
    </row>
    <row r="315" spans="2:20" s="10" customFormat="1">
      <c r="B315" s="12"/>
      <c r="C315" s="12"/>
      <c r="D315" s="8"/>
      <c r="E315" s="8"/>
      <c r="F315" s="8"/>
      <c r="G315" s="9"/>
      <c r="H315" s="9"/>
      <c r="I315" s="9"/>
      <c r="J315" s="9"/>
      <c r="K315" s="9"/>
      <c r="L315" s="8"/>
      <c r="M315" s="8"/>
      <c r="N315" s="9"/>
      <c r="O315" s="11"/>
      <c r="P315" s="11"/>
      <c r="S315" s="110"/>
      <c r="T315" s="110"/>
    </row>
    <row r="316" spans="2:20" s="10" customFormat="1">
      <c r="B316" s="12"/>
      <c r="C316" s="12"/>
      <c r="D316" s="8"/>
      <c r="E316" s="8"/>
      <c r="F316" s="8"/>
      <c r="G316" s="9"/>
      <c r="H316" s="9"/>
      <c r="I316" s="9"/>
      <c r="J316" s="9"/>
      <c r="K316" s="9"/>
      <c r="L316" s="8"/>
      <c r="M316" s="8"/>
      <c r="N316" s="9"/>
      <c r="O316" s="11"/>
      <c r="P316" s="11"/>
      <c r="S316" s="110"/>
      <c r="T316" s="110"/>
    </row>
    <row r="317" spans="2:20" s="10" customFormat="1">
      <c r="B317" s="12"/>
      <c r="C317" s="12"/>
      <c r="D317" s="8"/>
      <c r="E317" s="8"/>
      <c r="F317" s="8"/>
      <c r="G317" s="9"/>
      <c r="H317" s="9"/>
      <c r="I317" s="9"/>
      <c r="J317" s="9"/>
      <c r="K317" s="9"/>
      <c r="L317" s="8"/>
      <c r="M317" s="8"/>
      <c r="N317" s="9"/>
      <c r="O317" s="11"/>
      <c r="P317" s="11"/>
      <c r="S317" s="110"/>
      <c r="T317" s="110"/>
    </row>
    <row r="318" spans="2:20" s="10" customFormat="1">
      <c r="B318" s="12"/>
      <c r="C318" s="12"/>
      <c r="D318" s="8"/>
      <c r="E318" s="8"/>
      <c r="F318" s="8"/>
      <c r="G318" s="9"/>
      <c r="H318" s="9"/>
      <c r="I318" s="9"/>
      <c r="J318" s="9"/>
      <c r="K318" s="9"/>
      <c r="L318" s="8"/>
      <c r="M318" s="8"/>
      <c r="N318" s="9"/>
      <c r="O318" s="11"/>
      <c r="P318" s="11"/>
      <c r="S318" s="110"/>
      <c r="T318" s="110"/>
    </row>
    <row r="319" spans="2:20" s="10" customFormat="1">
      <c r="B319" s="12"/>
      <c r="C319" s="12"/>
      <c r="D319" s="8"/>
      <c r="E319" s="8"/>
      <c r="F319" s="8"/>
      <c r="G319" s="9"/>
      <c r="H319" s="9"/>
      <c r="I319" s="9"/>
      <c r="J319" s="9"/>
      <c r="K319" s="9"/>
      <c r="L319" s="8"/>
      <c r="M319" s="8"/>
      <c r="N319" s="9"/>
      <c r="O319" s="11"/>
      <c r="P319" s="11"/>
      <c r="S319" s="110"/>
      <c r="T319" s="110"/>
    </row>
    <row r="320" spans="2:20" s="10" customFormat="1">
      <c r="B320" s="12"/>
      <c r="C320" s="12"/>
      <c r="D320" s="8"/>
      <c r="E320" s="8"/>
      <c r="F320" s="8"/>
      <c r="G320" s="9"/>
      <c r="H320" s="9"/>
      <c r="I320" s="9"/>
      <c r="J320" s="9"/>
      <c r="K320" s="9"/>
      <c r="L320" s="8"/>
      <c r="M320" s="8"/>
      <c r="N320" s="9"/>
      <c r="O320" s="11"/>
      <c r="P320" s="11"/>
      <c r="S320" s="110"/>
      <c r="T320" s="110"/>
    </row>
    <row r="321" spans="2:20" s="10" customFormat="1">
      <c r="B321" s="12"/>
      <c r="C321" s="12"/>
      <c r="D321" s="8"/>
      <c r="E321" s="8"/>
      <c r="F321" s="8"/>
      <c r="G321" s="9"/>
      <c r="H321" s="9"/>
      <c r="I321" s="9"/>
      <c r="J321" s="9"/>
      <c r="K321" s="9"/>
      <c r="L321" s="8"/>
      <c r="M321" s="8"/>
      <c r="N321" s="9"/>
      <c r="O321" s="11"/>
      <c r="P321" s="11"/>
      <c r="S321" s="110"/>
      <c r="T321" s="110"/>
    </row>
    <row r="322" spans="2:20" s="10" customFormat="1">
      <c r="B322" s="12"/>
      <c r="C322" s="12"/>
      <c r="D322" s="8"/>
      <c r="E322" s="8"/>
      <c r="F322" s="8"/>
      <c r="G322" s="9"/>
      <c r="H322" s="9"/>
      <c r="I322" s="9"/>
      <c r="J322" s="9"/>
      <c r="K322" s="9"/>
      <c r="L322" s="8"/>
      <c r="M322" s="8"/>
      <c r="N322" s="9"/>
      <c r="O322" s="11"/>
      <c r="P322" s="11"/>
      <c r="S322" s="110"/>
      <c r="T322" s="110"/>
    </row>
    <row r="323" spans="2:20" s="10" customFormat="1">
      <c r="B323" s="12"/>
      <c r="C323" s="12"/>
      <c r="D323" s="8"/>
      <c r="E323" s="8"/>
      <c r="F323" s="8"/>
      <c r="G323" s="9"/>
      <c r="H323" s="9"/>
      <c r="I323" s="9"/>
      <c r="J323" s="9"/>
      <c r="K323" s="9"/>
      <c r="L323" s="8"/>
      <c r="M323" s="8"/>
      <c r="N323" s="9"/>
      <c r="O323" s="11"/>
      <c r="P323" s="11"/>
      <c r="S323" s="110"/>
      <c r="T323" s="110"/>
    </row>
    <row r="324" spans="2:20" s="10" customFormat="1">
      <c r="B324" s="12"/>
      <c r="C324" s="12"/>
      <c r="D324" s="8"/>
      <c r="E324" s="8"/>
      <c r="F324" s="8"/>
      <c r="G324" s="9"/>
      <c r="H324" s="9"/>
      <c r="I324" s="9"/>
      <c r="J324" s="9"/>
      <c r="K324" s="9"/>
      <c r="L324" s="8"/>
      <c r="M324" s="8"/>
      <c r="N324" s="9"/>
      <c r="O324" s="11"/>
      <c r="P324" s="11"/>
      <c r="S324" s="110"/>
      <c r="T324" s="110"/>
    </row>
    <row r="325" spans="2:20" s="10" customFormat="1">
      <c r="B325" s="12"/>
      <c r="C325" s="12"/>
      <c r="D325" s="8"/>
      <c r="E325" s="8"/>
      <c r="F325" s="8"/>
      <c r="G325" s="9"/>
      <c r="H325" s="9"/>
      <c r="I325" s="9"/>
      <c r="J325" s="9"/>
      <c r="K325" s="9"/>
      <c r="L325" s="8"/>
      <c r="M325" s="8"/>
      <c r="N325" s="9"/>
      <c r="O325" s="11"/>
      <c r="P325" s="11"/>
      <c r="S325" s="110"/>
      <c r="T325" s="110"/>
    </row>
    <row r="326" spans="2:20" s="10" customFormat="1">
      <c r="B326" s="12"/>
      <c r="C326" s="12"/>
      <c r="D326" s="8"/>
      <c r="E326" s="8"/>
      <c r="F326" s="8"/>
      <c r="G326" s="9"/>
      <c r="H326" s="9"/>
      <c r="I326" s="9"/>
      <c r="J326" s="9"/>
      <c r="K326" s="9"/>
      <c r="L326" s="8"/>
      <c r="M326" s="8"/>
      <c r="N326" s="9"/>
      <c r="O326" s="11"/>
      <c r="P326" s="11"/>
      <c r="S326" s="110"/>
      <c r="T326" s="110"/>
    </row>
    <row r="327" spans="2:20" s="10" customFormat="1">
      <c r="B327" s="12"/>
      <c r="C327" s="12"/>
      <c r="D327" s="8"/>
      <c r="E327" s="8"/>
      <c r="F327" s="8"/>
      <c r="G327" s="9"/>
      <c r="H327" s="9"/>
      <c r="I327" s="9"/>
      <c r="J327" s="9"/>
      <c r="K327" s="9"/>
      <c r="L327" s="8"/>
      <c r="M327" s="8"/>
      <c r="N327" s="9"/>
      <c r="O327" s="11"/>
      <c r="P327" s="11"/>
      <c r="S327" s="110"/>
      <c r="T327" s="110"/>
    </row>
    <row r="328" spans="2:20" s="10" customFormat="1">
      <c r="B328" s="12"/>
      <c r="C328" s="12"/>
      <c r="D328" s="8"/>
      <c r="E328" s="8"/>
      <c r="F328" s="8"/>
      <c r="G328" s="9"/>
      <c r="H328" s="9"/>
      <c r="I328" s="9"/>
      <c r="J328" s="9"/>
      <c r="K328" s="9"/>
      <c r="L328" s="8"/>
      <c r="M328" s="8"/>
      <c r="N328" s="9"/>
      <c r="O328" s="11"/>
      <c r="P328" s="11"/>
      <c r="S328" s="110"/>
      <c r="T328" s="110"/>
    </row>
    <row r="329" spans="2:20" s="10" customFormat="1">
      <c r="B329" s="12"/>
      <c r="C329" s="12"/>
      <c r="D329" s="8"/>
      <c r="E329" s="8"/>
      <c r="F329" s="8"/>
      <c r="G329" s="9"/>
      <c r="H329" s="9"/>
      <c r="I329" s="9"/>
      <c r="J329" s="9"/>
      <c r="K329" s="9"/>
      <c r="L329" s="8"/>
      <c r="M329" s="8"/>
      <c r="N329" s="9"/>
      <c r="O329" s="11"/>
      <c r="P329" s="11"/>
      <c r="S329" s="110"/>
      <c r="T329" s="110"/>
    </row>
    <row r="330" spans="2:20" s="10" customFormat="1">
      <c r="B330" s="12"/>
      <c r="C330" s="12"/>
      <c r="D330" s="8"/>
      <c r="E330" s="8"/>
      <c r="F330" s="8"/>
      <c r="G330" s="9"/>
      <c r="H330" s="9"/>
      <c r="I330" s="9"/>
      <c r="J330" s="9"/>
      <c r="K330" s="9"/>
      <c r="L330" s="8"/>
      <c r="M330" s="8"/>
      <c r="N330" s="9"/>
      <c r="O330" s="11"/>
      <c r="P330" s="11"/>
      <c r="S330" s="110"/>
      <c r="T330" s="110"/>
    </row>
    <row r="331" spans="2:20" s="10" customFormat="1">
      <c r="B331" s="12"/>
      <c r="C331" s="12"/>
      <c r="D331" s="8"/>
      <c r="E331" s="8"/>
      <c r="F331" s="8"/>
      <c r="G331" s="9"/>
      <c r="H331" s="9"/>
      <c r="I331" s="9"/>
      <c r="J331" s="9"/>
      <c r="K331" s="9"/>
      <c r="L331" s="8"/>
      <c r="M331" s="8"/>
      <c r="N331" s="9"/>
      <c r="O331" s="11"/>
      <c r="P331" s="11"/>
      <c r="S331" s="110"/>
      <c r="T331" s="110"/>
    </row>
    <row r="332" spans="2:20" s="10" customFormat="1">
      <c r="B332" s="12"/>
      <c r="C332" s="12"/>
      <c r="D332" s="8"/>
      <c r="E332" s="8"/>
      <c r="F332" s="8"/>
      <c r="G332" s="9"/>
      <c r="H332" s="9"/>
      <c r="I332" s="9"/>
      <c r="J332" s="9"/>
      <c r="K332" s="9"/>
      <c r="L332" s="8"/>
      <c r="M332" s="8"/>
      <c r="N332" s="9"/>
      <c r="O332" s="11"/>
      <c r="P332" s="11"/>
      <c r="S332" s="110"/>
      <c r="T332" s="110"/>
    </row>
    <row r="333" spans="2:20" s="10" customFormat="1">
      <c r="B333" s="12"/>
      <c r="C333" s="12"/>
      <c r="D333" s="8"/>
      <c r="E333" s="8"/>
      <c r="F333" s="8"/>
      <c r="G333" s="9"/>
      <c r="H333" s="9"/>
      <c r="I333" s="9"/>
      <c r="J333" s="9"/>
      <c r="K333" s="9"/>
      <c r="L333" s="8"/>
      <c r="M333" s="8"/>
      <c r="N333" s="9"/>
      <c r="O333" s="11"/>
      <c r="P333" s="11"/>
      <c r="S333" s="110"/>
      <c r="T333" s="110"/>
    </row>
    <row r="334" spans="2:20" s="10" customFormat="1">
      <c r="B334" s="12"/>
      <c r="C334" s="12"/>
      <c r="D334" s="8"/>
      <c r="E334" s="8"/>
      <c r="F334" s="8"/>
      <c r="G334" s="9"/>
      <c r="H334" s="9"/>
      <c r="I334" s="9"/>
      <c r="J334" s="9"/>
      <c r="K334" s="9"/>
      <c r="L334" s="8"/>
      <c r="M334" s="8"/>
      <c r="N334" s="9"/>
      <c r="O334" s="11"/>
      <c r="P334" s="11"/>
      <c r="S334" s="110"/>
      <c r="T334" s="110"/>
    </row>
    <row r="335" spans="2:20" s="10" customFormat="1">
      <c r="B335" s="12"/>
      <c r="C335" s="12"/>
      <c r="D335" s="8"/>
      <c r="E335" s="8"/>
      <c r="F335" s="8"/>
      <c r="G335" s="9"/>
      <c r="H335" s="9"/>
      <c r="I335" s="9"/>
      <c r="J335" s="9"/>
      <c r="K335" s="9"/>
      <c r="L335" s="8"/>
      <c r="M335" s="8"/>
      <c r="N335" s="9"/>
      <c r="O335" s="11"/>
      <c r="P335" s="11"/>
      <c r="S335" s="110"/>
      <c r="T335" s="110"/>
    </row>
    <row r="336" spans="2:20" s="10" customFormat="1">
      <c r="B336" s="12"/>
      <c r="C336" s="12"/>
      <c r="D336" s="8"/>
      <c r="E336" s="8"/>
      <c r="F336" s="8"/>
      <c r="G336" s="9"/>
      <c r="H336" s="9"/>
      <c r="I336" s="9"/>
      <c r="J336" s="9"/>
      <c r="K336" s="9"/>
      <c r="L336" s="8"/>
      <c r="M336" s="8"/>
      <c r="N336" s="9"/>
      <c r="O336" s="11"/>
      <c r="P336" s="11"/>
      <c r="S336" s="110"/>
      <c r="T336" s="110"/>
    </row>
    <row r="337" spans="2:20" s="10" customFormat="1">
      <c r="B337" s="12"/>
      <c r="C337" s="12"/>
      <c r="D337" s="8"/>
      <c r="E337" s="8"/>
      <c r="F337" s="8"/>
      <c r="G337" s="9"/>
      <c r="H337" s="9"/>
      <c r="I337" s="9"/>
      <c r="J337" s="9"/>
      <c r="K337" s="9"/>
      <c r="L337" s="8"/>
      <c r="M337" s="8"/>
      <c r="N337" s="9"/>
      <c r="O337" s="11"/>
      <c r="P337" s="11"/>
      <c r="S337" s="110"/>
      <c r="T337" s="110"/>
    </row>
    <row r="338" spans="2:20" s="10" customFormat="1">
      <c r="B338" s="12"/>
      <c r="C338" s="12"/>
      <c r="D338" s="8"/>
      <c r="E338" s="8"/>
      <c r="F338" s="8"/>
      <c r="G338" s="9"/>
      <c r="H338" s="9"/>
      <c r="I338" s="9"/>
      <c r="J338" s="9"/>
      <c r="K338" s="9"/>
      <c r="L338" s="8"/>
      <c r="M338" s="8"/>
      <c r="N338" s="9"/>
      <c r="O338" s="11"/>
      <c r="P338" s="11"/>
      <c r="S338" s="110"/>
      <c r="T338" s="110"/>
    </row>
    <row r="339" spans="2:20" s="10" customFormat="1">
      <c r="B339" s="12"/>
      <c r="C339" s="12"/>
      <c r="D339" s="8"/>
      <c r="E339" s="8"/>
      <c r="F339" s="8"/>
      <c r="G339" s="9"/>
      <c r="H339" s="9"/>
      <c r="I339" s="9"/>
      <c r="J339" s="9"/>
      <c r="K339" s="9"/>
      <c r="L339" s="8"/>
      <c r="M339" s="8"/>
      <c r="N339" s="9"/>
      <c r="O339" s="11"/>
      <c r="P339" s="11"/>
      <c r="S339" s="110"/>
      <c r="T339" s="110"/>
    </row>
    <row r="340" spans="2:20" s="10" customFormat="1">
      <c r="B340" s="12"/>
      <c r="C340" s="12"/>
      <c r="D340" s="8"/>
      <c r="E340" s="8"/>
      <c r="F340" s="8"/>
      <c r="G340" s="9"/>
      <c r="H340" s="9"/>
      <c r="I340" s="9"/>
      <c r="J340" s="9"/>
      <c r="K340" s="9"/>
      <c r="L340" s="8"/>
      <c r="M340" s="8"/>
      <c r="N340" s="9"/>
      <c r="O340" s="11"/>
      <c r="P340" s="11"/>
      <c r="S340" s="110"/>
      <c r="T340" s="110"/>
    </row>
    <row r="341" spans="2:20" s="10" customFormat="1">
      <c r="B341" s="12"/>
      <c r="C341" s="12"/>
      <c r="D341" s="8"/>
      <c r="E341" s="8"/>
      <c r="F341" s="8"/>
      <c r="G341" s="9"/>
      <c r="H341" s="9"/>
      <c r="I341" s="9"/>
      <c r="J341" s="9"/>
      <c r="K341" s="9"/>
      <c r="L341" s="8"/>
      <c r="M341" s="8"/>
      <c r="N341" s="9"/>
      <c r="O341" s="11"/>
      <c r="P341" s="11"/>
      <c r="S341" s="110"/>
      <c r="T341" s="110"/>
    </row>
    <row r="342" spans="2:20" s="10" customFormat="1">
      <c r="B342" s="12"/>
      <c r="C342" s="12"/>
      <c r="D342" s="8"/>
      <c r="E342" s="8"/>
      <c r="F342" s="8"/>
      <c r="G342" s="9"/>
      <c r="H342" s="9"/>
      <c r="I342" s="9"/>
      <c r="J342" s="9"/>
      <c r="K342" s="9"/>
      <c r="L342" s="8"/>
      <c r="M342" s="8"/>
      <c r="N342" s="9"/>
      <c r="O342" s="11"/>
      <c r="P342" s="11"/>
      <c r="S342" s="110"/>
      <c r="T342" s="110"/>
    </row>
    <row r="343" spans="2:20" s="10" customFormat="1">
      <c r="B343" s="12"/>
      <c r="C343" s="12"/>
      <c r="D343" s="8"/>
      <c r="E343" s="8"/>
      <c r="F343" s="8"/>
      <c r="G343" s="9"/>
      <c r="H343" s="9"/>
      <c r="I343" s="9"/>
      <c r="J343" s="9"/>
      <c r="K343" s="9"/>
      <c r="L343" s="8"/>
      <c r="M343" s="8"/>
      <c r="N343" s="9"/>
      <c r="O343" s="11"/>
      <c r="P343" s="11"/>
      <c r="S343" s="110"/>
      <c r="T343" s="110"/>
    </row>
    <row r="344" spans="2:20" s="10" customFormat="1">
      <c r="B344" s="12"/>
      <c r="C344" s="12"/>
      <c r="D344" s="8"/>
      <c r="E344" s="8"/>
      <c r="F344" s="8"/>
      <c r="G344" s="9"/>
      <c r="H344" s="9"/>
      <c r="I344" s="9"/>
      <c r="J344" s="9"/>
      <c r="K344" s="9"/>
      <c r="L344" s="8"/>
      <c r="M344" s="8"/>
      <c r="N344" s="9"/>
      <c r="O344" s="11"/>
      <c r="P344" s="11"/>
      <c r="S344" s="110"/>
      <c r="T344" s="110"/>
    </row>
    <row r="345" spans="2:20" s="10" customFormat="1">
      <c r="B345" s="12"/>
      <c r="C345" s="12"/>
      <c r="D345" s="8"/>
      <c r="E345" s="8"/>
      <c r="F345" s="8"/>
      <c r="G345" s="9"/>
      <c r="H345" s="9"/>
      <c r="I345" s="9"/>
      <c r="J345" s="9"/>
      <c r="K345" s="9"/>
      <c r="L345" s="8"/>
      <c r="M345" s="8"/>
      <c r="N345" s="9"/>
      <c r="O345" s="11"/>
      <c r="P345" s="11"/>
      <c r="S345" s="110"/>
      <c r="T345" s="110"/>
    </row>
    <row r="346" spans="2:20" s="10" customFormat="1">
      <c r="B346" s="12"/>
      <c r="C346" s="12"/>
      <c r="D346" s="8"/>
      <c r="E346" s="8"/>
      <c r="F346" s="8"/>
      <c r="G346" s="9"/>
      <c r="H346" s="9"/>
      <c r="I346" s="9"/>
      <c r="J346" s="9"/>
      <c r="K346" s="9"/>
      <c r="L346" s="8"/>
      <c r="M346" s="8"/>
      <c r="N346" s="9"/>
      <c r="O346" s="11"/>
      <c r="P346" s="11"/>
      <c r="S346" s="110"/>
      <c r="T346" s="110"/>
    </row>
    <row r="347" spans="2:20" s="10" customFormat="1">
      <c r="B347" s="12"/>
      <c r="C347" s="12"/>
      <c r="D347" s="8"/>
      <c r="E347" s="8"/>
      <c r="F347" s="8"/>
      <c r="G347" s="9"/>
      <c r="H347" s="9"/>
      <c r="I347" s="9"/>
      <c r="J347" s="9"/>
      <c r="K347" s="9"/>
      <c r="L347" s="8"/>
      <c r="M347" s="8"/>
      <c r="N347" s="9"/>
      <c r="O347" s="11"/>
      <c r="P347" s="11"/>
      <c r="S347" s="110"/>
      <c r="T347" s="110"/>
    </row>
    <row r="348" spans="2:20" s="10" customFormat="1">
      <c r="B348" s="12"/>
      <c r="C348" s="12"/>
      <c r="D348" s="8"/>
      <c r="E348" s="8"/>
      <c r="F348" s="8"/>
      <c r="G348" s="9"/>
      <c r="H348" s="9"/>
      <c r="I348" s="9"/>
      <c r="J348" s="9"/>
      <c r="K348" s="9"/>
      <c r="L348" s="8"/>
      <c r="M348" s="8"/>
      <c r="N348" s="9"/>
      <c r="O348" s="11"/>
      <c r="P348" s="11"/>
      <c r="S348" s="110"/>
      <c r="T348" s="110"/>
    </row>
    <row r="349" spans="2:20" s="10" customFormat="1">
      <c r="B349" s="12"/>
      <c r="C349" s="12"/>
      <c r="D349" s="8"/>
      <c r="E349" s="8"/>
      <c r="F349" s="8"/>
      <c r="G349" s="9"/>
      <c r="H349" s="9"/>
      <c r="I349" s="9"/>
      <c r="J349" s="9"/>
      <c r="K349" s="9"/>
      <c r="L349" s="8"/>
      <c r="M349" s="8"/>
      <c r="N349" s="9"/>
      <c r="O349" s="11"/>
      <c r="P349" s="11"/>
      <c r="S349" s="110"/>
      <c r="T349" s="110"/>
    </row>
    <row r="350" spans="2:20" s="10" customFormat="1">
      <c r="B350" s="12"/>
      <c r="C350" s="12"/>
      <c r="D350" s="8"/>
      <c r="E350" s="8"/>
      <c r="F350" s="8"/>
      <c r="G350" s="9"/>
      <c r="H350" s="9"/>
      <c r="I350" s="9"/>
      <c r="J350" s="9"/>
      <c r="K350" s="9"/>
      <c r="L350" s="8"/>
      <c r="M350" s="8"/>
      <c r="N350" s="9"/>
      <c r="O350" s="11"/>
      <c r="P350" s="11"/>
      <c r="S350" s="110"/>
      <c r="T350" s="110"/>
    </row>
    <row r="351" spans="2:20" s="10" customFormat="1">
      <c r="B351" s="12"/>
      <c r="C351" s="12"/>
      <c r="D351" s="8"/>
      <c r="E351" s="8"/>
      <c r="F351" s="8"/>
      <c r="G351" s="9"/>
      <c r="H351" s="9"/>
      <c r="I351" s="9"/>
      <c r="J351" s="9"/>
      <c r="K351" s="9"/>
      <c r="L351" s="8"/>
      <c r="M351" s="8"/>
      <c r="N351" s="9"/>
      <c r="O351" s="11"/>
      <c r="P351" s="11"/>
      <c r="S351" s="110"/>
      <c r="T351" s="110"/>
    </row>
    <row r="352" spans="2:20" s="10" customFormat="1">
      <c r="B352" s="12"/>
      <c r="C352" s="12"/>
      <c r="D352" s="8"/>
      <c r="E352" s="8"/>
      <c r="F352" s="8"/>
      <c r="G352" s="9"/>
      <c r="H352" s="9"/>
      <c r="I352" s="9"/>
      <c r="J352" s="9"/>
      <c r="K352" s="9"/>
      <c r="L352" s="8"/>
      <c r="M352" s="8"/>
      <c r="N352" s="9"/>
      <c r="O352" s="11"/>
      <c r="P352" s="11"/>
      <c r="S352" s="110"/>
      <c r="T352" s="110"/>
    </row>
    <row r="353" spans="2:20" s="10" customFormat="1">
      <c r="B353" s="12"/>
      <c r="C353" s="12"/>
      <c r="D353" s="8"/>
      <c r="E353" s="8"/>
      <c r="F353" s="8"/>
      <c r="G353" s="9"/>
      <c r="H353" s="9"/>
      <c r="I353" s="9"/>
      <c r="J353" s="9"/>
      <c r="K353" s="9"/>
      <c r="L353" s="8"/>
      <c r="M353" s="8"/>
      <c r="N353" s="9"/>
      <c r="O353" s="11"/>
      <c r="P353" s="11"/>
      <c r="S353" s="110"/>
      <c r="T353" s="110"/>
    </row>
    <row r="354" spans="2:20" s="10" customFormat="1">
      <c r="B354" s="12"/>
      <c r="C354" s="12"/>
      <c r="D354" s="8"/>
      <c r="E354" s="8"/>
      <c r="F354" s="8"/>
      <c r="G354" s="9"/>
      <c r="H354" s="9"/>
      <c r="I354" s="9"/>
      <c r="J354" s="9"/>
      <c r="K354" s="9"/>
      <c r="L354" s="8"/>
      <c r="M354" s="8"/>
      <c r="N354" s="9"/>
      <c r="O354" s="11"/>
      <c r="P354" s="11"/>
      <c r="S354" s="110"/>
      <c r="T354" s="110"/>
    </row>
    <row r="355" spans="2:20" s="10" customFormat="1">
      <c r="B355" s="12"/>
      <c r="C355" s="12"/>
      <c r="D355" s="8"/>
      <c r="E355" s="8"/>
      <c r="F355" s="8"/>
      <c r="G355" s="9"/>
      <c r="H355" s="9"/>
      <c r="I355" s="9"/>
      <c r="J355" s="9"/>
      <c r="K355" s="9"/>
      <c r="L355" s="8"/>
      <c r="M355" s="8"/>
      <c r="N355" s="9"/>
      <c r="O355" s="11"/>
      <c r="P355" s="11"/>
      <c r="S355" s="110"/>
      <c r="T355" s="110"/>
    </row>
    <row r="356" spans="2:20" s="10" customFormat="1">
      <c r="B356" s="12"/>
      <c r="C356" s="12"/>
      <c r="D356" s="8"/>
      <c r="E356" s="8"/>
      <c r="F356" s="8"/>
      <c r="G356" s="9"/>
      <c r="H356" s="9"/>
      <c r="I356" s="9"/>
      <c r="J356" s="9"/>
      <c r="K356" s="9"/>
      <c r="L356" s="8"/>
      <c r="M356" s="8"/>
      <c r="N356" s="9"/>
      <c r="O356" s="11"/>
      <c r="P356" s="11"/>
      <c r="S356" s="110"/>
      <c r="T356" s="110"/>
    </row>
    <row r="357" spans="2:20" s="10" customFormat="1">
      <c r="B357" s="12"/>
      <c r="C357" s="12"/>
      <c r="D357" s="8"/>
      <c r="E357" s="8"/>
      <c r="F357" s="8"/>
      <c r="G357" s="9"/>
      <c r="H357" s="9"/>
      <c r="I357" s="9"/>
      <c r="J357" s="9"/>
      <c r="K357" s="9"/>
      <c r="L357" s="8"/>
      <c r="M357" s="8"/>
      <c r="N357" s="9"/>
      <c r="O357" s="11"/>
      <c r="P357" s="11"/>
      <c r="S357" s="110"/>
      <c r="T357" s="110"/>
    </row>
    <row r="358" spans="2:20" s="10" customFormat="1">
      <c r="B358" s="12"/>
      <c r="C358" s="12"/>
      <c r="D358" s="8"/>
      <c r="E358" s="8"/>
      <c r="F358" s="8"/>
      <c r="G358" s="9"/>
      <c r="H358" s="9"/>
      <c r="I358" s="9"/>
      <c r="J358" s="9"/>
      <c r="K358" s="9"/>
      <c r="L358" s="8"/>
      <c r="M358" s="8"/>
      <c r="N358" s="9"/>
      <c r="O358" s="11"/>
      <c r="P358" s="11"/>
      <c r="S358" s="110"/>
      <c r="T358" s="110"/>
    </row>
    <row r="359" spans="2:20" s="10" customFormat="1">
      <c r="B359" s="12"/>
      <c r="C359" s="12"/>
      <c r="D359" s="8"/>
      <c r="E359" s="8"/>
      <c r="F359" s="8"/>
      <c r="G359" s="9"/>
      <c r="H359" s="9"/>
      <c r="I359" s="9"/>
      <c r="J359" s="9"/>
      <c r="K359" s="9"/>
      <c r="L359" s="8"/>
      <c r="M359" s="8"/>
      <c r="N359" s="9"/>
      <c r="O359" s="11"/>
      <c r="P359" s="11"/>
      <c r="S359" s="110"/>
      <c r="T359" s="110"/>
    </row>
    <row r="360" spans="2:20" s="10" customFormat="1">
      <c r="B360" s="12"/>
      <c r="C360" s="12"/>
      <c r="D360" s="8"/>
      <c r="E360" s="8"/>
      <c r="F360" s="8"/>
      <c r="G360" s="9"/>
      <c r="H360" s="9"/>
      <c r="I360" s="9"/>
      <c r="J360" s="9"/>
      <c r="K360" s="9"/>
      <c r="L360" s="8"/>
      <c r="M360" s="8"/>
      <c r="N360" s="9"/>
      <c r="O360" s="11"/>
      <c r="P360" s="11"/>
      <c r="S360" s="110"/>
      <c r="T360" s="110"/>
    </row>
    <row r="361" spans="2:20" s="10" customFormat="1">
      <c r="B361" s="12"/>
      <c r="C361" s="12"/>
      <c r="D361" s="8"/>
      <c r="E361" s="8"/>
      <c r="F361" s="8"/>
      <c r="G361" s="9"/>
      <c r="H361" s="9"/>
      <c r="I361" s="9"/>
      <c r="J361" s="9"/>
      <c r="K361" s="9"/>
      <c r="L361" s="8"/>
      <c r="M361" s="8"/>
      <c r="N361" s="9"/>
      <c r="O361" s="11"/>
      <c r="P361" s="11"/>
      <c r="S361" s="110"/>
      <c r="T361" s="110"/>
    </row>
    <row r="362" spans="2:20" s="10" customFormat="1">
      <c r="B362" s="12"/>
      <c r="C362" s="12"/>
      <c r="D362" s="8"/>
      <c r="E362" s="8"/>
      <c r="F362" s="8"/>
      <c r="G362" s="9"/>
      <c r="H362" s="9"/>
      <c r="I362" s="9"/>
      <c r="J362" s="9"/>
      <c r="K362" s="9"/>
      <c r="L362" s="8"/>
      <c r="M362" s="8"/>
      <c r="N362" s="9"/>
      <c r="O362" s="11"/>
      <c r="P362" s="11"/>
      <c r="S362" s="110"/>
      <c r="T362" s="110"/>
    </row>
    <row r="363" spans="2:20" s="10" customFormat="1">
      <c r="B363" s="12"/>
      <c r="C363" s="12"/>
      <c r="D363" s="8"/>
      <c r="E363" s="8"/>
      <c r="F363" s="8"/>
      <c r="G363" s="9"/>
      <c r="H363" s="9"/>
      <c r="I363" s="9"/>
      <c r="J363" s="9"/>
      <c r="K363" s="9"/>
      <c r="L363" s="8"/>
      <c r="M363" s="8"/>
      <c r="N363" s="9"/>
      <c r="O363" s="11"/>
      <c r="P363" s="11"/>
      <c r="S363" s="110"/>
      <c r="T363" s="110"/>
    </row>
    <row r="364" spans="2:20" s="10" customFormat="1">
      <c r="B364" s="12"/>
      <c r="C364" s="12"/>
      <c r="D364" s="8"/>
      <c r="E364" s="8"/>
      <c r="F364" s="8"/>
      <c r="G364" s="9"/>
      <c r="H364" s="9"/>
      <c r="I364" s="9"/>
      <c r="J364" s="9"/>
      <c r="K364" s="9"/>
      <c r="L364" s="8"/>
      <c r="M364" s="8"/>
      <c r="N364" s="9"/>
      <c r="O364" s="11"/>
      <c r="P364" s="11"/>
      <c r="S364" s="110"/>
      <c r="T364" s="110"/>
    </row>
    <row r="365" spans="2:20" s="10" customFormat="1">
      <c r="B365" s="12"/>
      <c r="C365" s="12"/>
      <c r="D365" s="8"/>
      <c r="E365" s="8"/>
      <c r="F365" s="8"/>
      <c r="G365" s="9"/>
      <c r="H365" s="9"/>
      <c r="I365" s="9"/>
      <c r="J365" s="9"/>
      <c r="K365" s="9"/>
      <c r="L365" s="8"/>
      <c r="M365" s="8"/>
      <c r="N365" s="9"/>
      <c r="O365" s="11"/>
      <c r="P365" s="11"/>
      <c r="S365" s="110"/>
      <c r="T365" s="110"/>
    </row>
    <row r="366" spans="2:20" s="10" customFormat="1">
      <c r="B366" s="12"/>
      <c r="C366" s="12"/>
      <c r="D366" s="8"/>
      <c r="E366" s="8"/>
      <c r="F366" s="8"/>
      <c r="G366" s="9"/>
      <c r="H366" s="9"/>
      <c r="I366" s="9"/>
      <c r="J366" s="9"/>
      <c r="K366" s="9"/>
      <c r="L366" s="8"/>
      <c r="M366" s="8"/>
      <c r="N366" s="9"/>
      <c r="O366" s="11"/>
      <c r="P366" s="11"/>
      <c r="S366" s="110"/>
      <c r="T366" s="110"/>
    </row>
    <row r="367" spans="2:20" s="10" customFormat="1">
      <c r="B367" s="12"/>
      <c r="C367" s="12"/>
      <c r="D367" s="8"/>
      <c r="E367" s="8"/>
      <c r="F367" s="8"/>
      <c r="G367" s="9"/>
      <c r="H367" s="9"/>
      <c r="I367" s="9"/>
      <c r="J367" s="9"/>
      <c r="K367" s="9"/>
      <c r="L367" s="8"/>
      <c r="M367" s="8"/>
      <c r="N367" s="9"/>
      <c r="O367" s="11"/>
      <c r="P367" s="11"/>
      <c r="S367" s="110"/>
      <c r="T367" s="110"/>
    </row>
    <row r="368" spans="2:20" s="10" customFormat="1">
      <c r="B368" s="12"/>
      <c r="C368" s="12"/>
      <c r="D368" s="8"/>
      <c r="E368" s="8"/>
      <c r="F368" s="8"/>
      <c r="G368" s="9"/>
      <c r="H368" s="9"/>
      <c r="I368" s="9"/>
      <c r="J368" s="9"/>
      <c r="K368" s="9"/>
      <c r="L368" s="8"/>
      <c r="M368" s="8"/>
      <c r="N368" s="9"/>
      <c r="O368" s="11"/>
      <c r="P368" s="11"/>
      <c r="S368" s="110"/>
      <c r="T368" s="110"/>
    </row>
    <row r="369" spans="2:20" s="10" customFormat="1">
      <c r="B369" s="12"/>
      <c r="C369" s="12"/>
      <c r="D369" s="8"/>
      <c r="E369" s="8"/>
      <c r="F369" s="8"/>
      <c r="G369" s="9"/>
      <c r="H369" s="9"/>
      <c r="I369" s="9"/>
      <c r="J369" s="9"/>
      <c r="K369" s="9"/>
      <c r="L369" s="8"/>
      <c r="M369" s="8"/>
      <c r="N369" s="9"/>
      <c r="O369" s="11"/>
      <c r="P369" s="11"/>
      <c r="S369" s="110"/>
      <c r="T369" s="110"/>
    </row>
    <row r="370" spans="2:20" s="10" customFormat="1">
      <c r="B370" s="12"/>
      <c r="C370" s="12"/>
      <c r="D370" s="8"/>
      <c r="E370" s="8"/>
      <c r="F370" s="8"/>
      <c r="G370" s="9"/>
      <c r="H370" s="9"/>
      <c r="I370" s="9"/>
      <c r="J370" s="9"/>
      <c r="K370" s="9"/>
      <c r="L370" s="8"/>
      <c r="M370" s="8"/>
      <c r="N370" s="9"/>
      <c r="O370" s="11"/>
      <c r="P370" s="11"/>
      <c r="S370" s="110"/>
      <c r="T370" s="110"/>
    </row>
    <row r="371" spans="2:20" s="10" customFormat="1">
      <c r="B371" s="12"/>
      <c r="C371" s="12"/>
      <c r="D371" s="8"/>
      <c r="E371" s="8"/>
      <c r="F371" s="8"/>
      <c r="G371" s="9"/>
      <c r="H371" s="9"/>
      <c r="I371" s="9"/>
      <c r="J371" s="9"/>
      <c r="K371" s="9"/>
      <c r="L371" s="8"/>
      <c r="M371" s="8"/>
      <c r="N371" s="9"/>
      <c r="O371" s="11"/>
      <c r="P371" s="11"/>
      <c r="S371" s="110"/>
      <c r="T371" s="110"/>
    </row>
    <row r="372" spans="2:20" s="10" customFormat="1">
      <c r="B372" s="12"/>
      <c r="C372" s="12"/>
      <c r="D372" s="8"/>
      <c r="E372" s="8"/>
      <c r="F372" s="8"/>
      <c r="G372" s="9"/>
      <c r="H372" s="9"/>
      <c r="I372" s="9"/>
      <c r="J372" s="9"/>
      <c r="K372" s="9"/>
      <c r="L372" s="8"/>
      <c r="M372" s="8"/>
      <c r="N372" s="9"/>
      <c r="O372" s="11"/>
      <c r="P372" s="11"/>
      <c r="S372" s="110"/>
      <c r="T372" s="110"/>
    </row>
    <row r="373" spans="2:20" s="10" customFormat="1">
      <c r="B373" s="12"/>
      <c r="C373" s="12"/>
      <c r="D373" s="8"/>
      <c r="E373" s="8"/>
      <c r="F373" s="8"/>
      <c r="G373" s="9"/>
      <c r="H373" s="9"/>
      <c r="I373" s="9"/>
      <c r="J373" s="9"/>
      <c r="K373" s="9"/>
      <c r="L373" s="8"/>
      <c r="M373" s="8"/>
      <c r="N373" s="9"/>
      <c r="O373" s="11"/>
      <c r="P373" s="11"/>
      <c r="S373" s="110"/>
      <c r="T373" s="110"/>
    </row>
    <row r="374" spans="2:20" s="10" customFormat="1">
      <c r="B374" s="12"/>
      <c r="C374" s="12"/>
      <c r="D374" s="8"/>
      <c r="E374" s="8"/>
      <c r="F374" s="8"/>
      <c r="G374" s="9"/>
      <c r="H374" s="9"/>
      <c r="I374" s="9"/>
      <c r="J374" s="9"/>
      <c r="K374" s="9"/>
      <c r="L374" s="8"/>
      <c r="M374" s="8"/>
      <c r="N374" s="9"/>
      <c r="O374" s="11"/>
      <c r="P374" s="11"/>
      <c r="S374" s="110"/>
      <c r="T374" s="110"/>
    </row>
    <row r="375" spans="2:20" s="10" customFormat="1">
      <c r="B375" s="12"/>
      <c r="C375" s="12"/>
      <c r="D375" s="8"/>
      <c r="E375" s="8"/>
      <c r="F375" s="8"/>
      <c r="G375" s="9"/>
      <c r="H375" s="9"/>
      <c r="I375" s="9"/>
      <c r="J375" s="9"/>
      <c r="K375" s="9"/>
      <c r="L375" s="8"/>
      <c r="M375" s="8"/>
      <c r="N375" s="9"/>
      <c r="O375" s="11"/>
      <c r="P375" s="11"/>
      <c r="S375" s="110"/>
      <c r="T375" s="110"/>
    </row>
    <row r="376" spans="2:20" s="10" customFormat="1">
      <c r="B376" s="12"/>
      <c r="C376" s="12"/>
      <c r="D376" s="8"/>
      <c r="E376" s="8"/>
      <c r="F376" s="8"/>
      <c r="G376" s="9"/>
      <c r="H376" s="9"/>
      <c r="I376" s="9"/>
      <c r="J376" s="9"/>
      <c r="K376" s="9"/>
      <c r="L376" s="8"/>
      <c r="M376" s="8"/>
      <c r="N376" s="9"/>
      <c r="O376" s="11"/>
      <c r="P376" s="11"/>
      <c r="S376" s="110"/>
      <c r="T376" s="110"/>
    </row>
    <row r="377" spans="2:20" s="10" customFormat="1">
      <c r="B377" s="12"/>
      <c r="C377" s="12"/>
      <c r="D377" s="8"/>
      <c r="E377" s="8"/>
      <c r="F377" s="8"/>
      <c r="G377" s="9"/>
      <c r="H377" s="9"/>
      <c r="I377" s="9"/>
      <c r="J377" s="9"/>
      <c r="K377" s="9"/>
      <c r="L377" s="8"/>
      <c r="M377" s="8"/>
      <c r="N377" s="9"/>
      <c r="O377" s="11"/>
      <c r="P377" s="11"/>
      <c r="S377" s="110"/>
      <c r="T377" s="110"/>
    </row>
    <row r="378" spans="2:20" s="10" customFormat="1">
      <c r="B378" s="12"/>
      <c r="C378" s="12"/>
      <c r="D378" s="8"/>
      <c r="E378" s="8"/>
      <c r="F378" s="8"/>
      <c r="G378" s="9"/>
      <c r="H378" s="9"/>
      <c r="I378" s="9"/>
      <c r="J378" s="9"/>
      <c r="K378" s="9"/>
      <c r="L378" s="8"/>
      <c r="M378" s="8"/>
      <c r="N378" s="9"/>
      <c r="O378" s="11"/>
      <c r="P378" s="11"/>
      <c r="S378" s="110"/>
      <c r="T378" s="110"/>
    </row>
    <row r="379" spans="2:20" s="10" customFormat="1">
      <c r="B379" s="12"/>
      <c r="C379" s="12"/>
      <c r="D379" s="8"/>
      <c r="E379" s="8"/>
      <c r="F379" s="8"/>
      <c r="G379" s="9"/>
      <c r="H379" s="9"/>
      <c r="I379" s="9"/>
      <c r="J379" s="9"/>
      <c r="K379" s="9"/>
      <c r="L379" s="8"/>
      <c r="M379" s="8"/>
      <c r="N379" s="9"/>
      <c r="O379" s="11"/>
      <c r="P379" s="11"/>
      <c r="S379" s="110"/>
      <c r="T379" s="110"/>
    </row>
  </sheetData>
  <mergeCells count="21">
    <mergeCell ref="B44:C44"/>
    <mergeCell ref="B2:E2"/>
    <mergeCell ref="G2:H2"/>
    <mergeCell ref="I2:M2"/>
    <mergeCell ref="B9:C9"/>
    <mergeCell ref="S7:S8"/>
    <mergeCell ref="S17:T17"/>
    <mergeCell ref="J41:K41"/>
    <mergeCell ref="N2:O2"/>
    <mergeCell ref="G3:H3"/>
    <mergeCell ref="I3:M3"/>
    <mergeCell ref="N3:O3"/>
    <mergeCell ref="G4:H4"/>
    <mergeCell ref="I4:M4"/>
    <mergeCell ref="N4:O4"/>
    <mergeCell ref="G5:H5"/>
    <mergeCell ref="I5:M5"/>
    <mergeCell ref="N5:O5"/>
    <mergeCell ref="G6:H6"/>
    <mergeCell ref="I6:M6"/>
    <mergeCell ref="N6:O6"/>
  </mergeCells>
  <phoneticPr fontId="8" type="noConversion"/>
  <pageMargins left="0.7" right="0.7" top="0.75" bottom="0.75" header="0.3" footer="0.3"/>
  <pageSetup paperSize="9" orientation="portrait" horizontalDpi="0" verticalDpi="0"/>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0244-1C41-A24E-80D2-35575F6107AF}">
  <sheetPr>
    <tabColor theme="4" tint="0.39997558519241921"/>
  </sheetPr>
  <dimension ref="B1:AI378"/>
  <sheetViews>
    <sheetView topLeftCell="A228" zoomScale="110" zoomScaleNormal="110" workbookViewId="0">
      <selection activeCell="AK268" sqref="AK268"/>
    </sheetView>
  </sheetViews>
  <sheetFormatPr baseColWidth="10" defaultColWidth="11" defaultRowHeight="16"/>
  <cols>
    <col min="1" max="1" width="1" customWidth="1"/>
    <col min="2" max="2" width="2.5" style="44" customWidth="1"/>
    <col min="3" max="3" width="10" customWidth="1"/>
    <col min="4" max="4" width="2.5" style="44" customWidth="1"/>
    <col min="5" max="5" width="0.83203125" customWidth="1"/>
    <col min="6" max="6" width="2.5" style="44" customWidth="1"/>
    <col min="7" max="7" width="10" customWidth="1"/>
    <col min="8" max="8" width="2.5" style="44" customWidth="1"/>
    <col min="9" max="9" width="0.83203125" customWidth="1"/>
    <col min="10" max="10" width="2.5" customWidth="1"/>
    <col min="11" max="11" width="10" customWidth="1"/>
    <col min="12" max="12" width="2.5" style="44" customWidth="1"/>
    <col min="13" max="13" width="0.83203125" customWidth="1"/>
    <col min="14" max="14" width="2.5" customWidth="1"/>
    <col min="15" max="15" width="10" customWidth="1"/>
    <col min="16" max="16" width="2.5" style="44" customWidth="1"/>
    <col min="17" max="17" width="0.83203125" customWidth="1"/>
    <col min="18" max="18" width="2.5" customWidth="1"/>
    <col min="19" max="19" width="10" customWidth="1"/>
    <col min="20" max="20" width="2.5" style="44" customWidth="1"/>
    <col min="21" max="21" width="0.83203125" customWidth="1"/>
    <col min="22" max="22" width="2.5" customWidth="1"/>
    <col min="23" max="23" width="10" customWidth="1"/>
    <col min="24" max="24" width="2.5" style="44" customWidth="1"/>
    <col min="25" max="25" width="0.83203125" customWidth="1"/>
    <col min="26" max="26" width="2.5" customWidth="1"/>
    <col min="27" max="27" width="10" customWidth="1"/>
    <col min="28" max="28" width="2.5" style="44" customWidth="1"/>
    <col min="29" max="29" width="4.5" customWidth="1"/>
    <col min="30" max="30" width="1.33203125" customWidth="1"/>
    <col min="31" max="31" width="9" customWidth="1"/>
    <col min="32" max="32" width="2.6640625" style="63" customWidth="1"/>
    <col min="33" max="33" width="2.6640625" style="83" customWidth="1"/>
    <col min="34" max="34" width="2.6640625" style="87" customWidth="1"/>
    <col min="35" max="35" width="11" style="63"/>
  </cols>
  <sheetData>
    <row r="1" spans="2:34">
      <c r="B1" s="1033" t="s">
        <v>1722</v>
      </c>
      <c r="C1" s="1034"/>
      <c r="D1" s="1035"/>
      <c r="F1" s="1033" t="s">
        <v>1723</v>
      </c>
      <c r="G1" s="1034"/>
      <c r="H1" s="1035"/>
      <c r="J1" s="1033" t="s">
        <v>1724</v>
      </c>
      <c r="K1" s="1034"/>
      <c r="L1" s="1035"/>
      <c r="N1" s="1033" t="s">
        <v>1725</v>
      </c>
      <c r="O1" s="1034"/>
      <c r="P1" s="1035"/>
      <c r="R1" s="1033" t="s">
        <v>1726</v>
      </c>
      <c r="S1" s="1034"/>
      <c r="T1" s="1035"/>
      <c r="V1" s="1033" t="s">
        <v>1727</v>
      </c>
      <c r="W1" s="1034"/>
      <c r="X1" s="1035"/>
      <c r="Z1" s="1058" t="s">
        <v>1728</v>
      </c>
      <c r="AA1" s="1059"/>
      <c r="AB1" s="1060"/>
      <c r="AE1" t="s">
        <v>1729</v>
      </c>
      <c r="AF1" s="63">
        <f>COUNTIF($B$2:$AB$9,AE1)</f>
        <v>7</v>
      </c>
    </row>
    <row r="2" spans="2:34">
      <c r="B2" s="46">
        <v>1</v>
      </c>
      <c r="C2" s="45" t="s">
        <v>1730</v>
      </c>
      <c r="D2" s="1027" t="s">
        <v>119</v>
      </c>
      <c r="F2" s="46">
        <v>1</v>
      </c>
      <c r="G2" s="45" t="s">
        <v>1730</v>
      </c>
      <c r="H2" s="1027" t="s">
        <v>119</v>
      </c>
      <c r="J2" s="46">
        <v>1</v>
      </c>
      <c r="K2" s="45" t="s">
        <v>1357</v>
      </c>
      <c r="L2" s="1027" t="s">
        <v>119</v>
      </c>
      <c r="N2" s="46">
        <v>1</v>
      </c>
      <c r="O2" s="45" t="s">
        <v>1357</v>
      </c>
      <c r="P2" s="1027" t="s">
        <v>119</v>
      </c>
      <c r="R2" s="46">
        <v>1</v>
      </c>
      <c r="S2" s="45" t="s">
        <v>1731</v>
      </c>
      <c r="T2" s="1027" t="s">
        <v>119</v>
      </c>
      <c r="V2" s="46">
        <v>1</v>
      </c>
      <c r="W2" s="45" t="s">
        <v>1730</v>
      </c>
      <c r="X2" s="1027" t="s">
        <v>119</v>
      </c>
      <c r="Z2" s="46">
        <v>1</v>
      </c>
      <c r="AA2" s="45" t="s">
        <v>1730</v>
      </c>
      <c r="AB2" s="1027" t="s">
        <v>119</v>
      </c>
      <c r="AE2" t="s">
        <v>1732</v>
      </c>
      <c r="AF2" s="63">
        <f t="shared" ref="AF2:AF8" si="0">COUNTIF($B$2:$AB$9,AE2)</f>
        <v>5</v>
      </c>
    </row>
    <row r="3" spans="2:34">
      <c r="B3" s="46">
        <v>2</v>
      </c>
      <c r="C3" s="45" t="s">
        <v>1731</v>
      </c>
      <c r="D3" s="1027"/>
      <c r="F3" s="46">
        <v>2</v>
      </c>
      <c r="G3" s="45" t="s">
        <v>1731</v>
      </c>
      <c r="H3" s="1027"/>
      <c r="J3" s="46">
        <v>2</v>
      </c>
      <c r="K3" s="45" t="s">
        <v>1733</v>
      </c>
      <c r="L3" s="1027"/>
      <c r="N3" s="46">
        <v>2</v>
      </c>
      <c r="O3" s="45" t="s">
        <v>1732</v>
      </c>
      <c r="P3" s="1027"/>
      <c r="R3" s="46">
        <v>2</v>
      </c>
      <c r="S3" s="45" t="s">
        <v>1733</v>
      </c>
      <c r="T3" s="1027"/>
      <c r="V3" s="46">
        <v>2</v>
      </c>
      <c r="W3" s="45" t="s">
        <v>1731</v>
      </c>
      <c r="X3" s="1027"/>
      <c r="Z3" s="46">
        <v>2</v>
      </c>
      <c r="AA3" s="45" t="s">
        <v>1731</v>
      </c>
      <c r="AB3" s="1027"/>
      <c r="AE3" t="s">
        <v>1730</v>
      </c>
      <c r="AF3" s="63">
        <f t="shared" si="0"/>
        <v>5</v>
      </c>
    </row>
    <row r="4" spans="2:34">
      <c r="B4" s="46">
        <v>3</v>
      </c>
      <c r="C4" s="45" t="s">
        <v>1357</v>
      </c>
      <c r="D4" s="1027"/>
      <c r="F4" s="46">
        <v>3</v>
      </c>
      <c r="G4" s="45"/>
      <c r="H4" s="1027"/>
      <c r="J4" s="46">
        <v>3</v>
      </c>
      <c r="K4" s="45"/>
      <c r="L4" s="1027"/>
      <c r="N4" s="46">
        <v>3</v>
      </c>
      <c r="O4" s="45"/>
      <c r="P4" s="1027"/>
      <c r="R4" s="46">
        <v>3</v>
      </c>
      <c r="S4" s="45"/>
      <c r="T4" s="1027"/>
      <c r="V4" s="46">
        <v>3</v>
      </c>
      <c r="W4" s="45"/>
      <c r="X4" s="1027"/>
      <c r="Z4" s="46">
        <v>3</v>
      </c>
      <c r="AA4" s="45"/>
      <c r="AB4" s="1027"/>
      <c r="AE4" t="s">
        <v>1733</v>
      </c>
      <c r="AF4" s="63">
        <f t="shared" si="0"/>
        <v>5</v>
      </c>
    </row>
    <row r="5" spans="2:34" ht="17" thickBot="1">
      <c r="B5" s="47">
        <v>4</v>
      </c>
      <c r="C5" s="48"/>
      <c r="D5" s="1029"/>
      <c r="F5" s="47">
        <v>4</v>
      </c>
      <c r="G5" s="48"/>
      <c r="H5" s="1029"/>
      <c r="J5" s="47">
        <v>4</v>
      </c>
      <c r="K5" s="48"/>
      <c r="L5" s="1029"/>
      <c r="N5" s="47">
        <v>4</v>
      </c>
      <c r="O5" s="48"/>
      <c r="P5" s="1029"/>
      <c r="R5" s="47">
        <v>4</v>
      </c>
      <c r="S5" s="48"/>
      <c r="T5" s="1029"/>
      <c r="V5" s="47">
        <v>4</v>
      </c>
      <c r="W5" s="48"/>
      <c r="X5" s="1029"/>
      <c r="Z5" s="47">
        <v>4</v>
      </c>
      <c r="AA5" s="48"/>
      <c r="AB5" s="1029"/>
      <c r="AE5" t="s">
        <v>1357</v>
      </c>
      <c r="AF5" s="63">
        <f t="shared" si="0"/>
        <v>5</v>
      </c>
    </row>
    <row r="6" spans="2:34" ht="16" customHeight="1">
      <c r="B6" s="49">
        <v>1</v>
      </c>
      <c r="C6" s="50" t="s">
        <v>1729</v>
      </c>
      <c r="D6" s="1026" t="s">
        <v>1389</v>
      </c>
      <c r="F6" s="49">
        <v>1</v>
      </c>
      <c r="G6" s="50" t="s">
        <v>1729</v>
      </c>
      <c r="H6" s="1026" t="s">
        <v>1389</v>
      </c>
      <c r="J6" s="49">
        <v>1</v>
      </c>
      <c r="K6" s="50" t="s">
        <v>1729</v>
      </c>
      <c r="L6" s="1026" t="s">
        <v>1389</v>
      </c>
      <c r="N6" s="49">
        <v>1</v>
      </c>
      <c r="O6" s="50" t="s">
        <v>1729</v>
      </c>
      <c r="P6" s="1026" t="s">
        <v>1389</v>
      </c>
      <c r="R6" s="49">
        <v>1</v>
      </c>
      <c r="S6" s="50" t="s">
        <v>1729</v>
      </c>
      <c r="T6" s="1026" t="s">
        <v>1389</v>
      </c>
      <c r="V6" s="49">
        <v>1</v>
      </c>
      <c r="W6" s="50" t="s">
        <v>1729</v>
      </c>
      <c r="X6" s="1026" t="s">
        <v>1389</v>
      </c>
      <c r="Z6" s="49">
        <v>1</v>
      </c>
      <c r="AA6" s="50" t="s">
        <v>1729</v>
      </c>
      <c r="AB6" s="1026" t="s">
        <v>1389</v>
      </c>
      <c r="AE6" t="s">
        <v>1731</v>
      </c>
      <c r="AF6" s="63">
        <f t="shared" si="0"/>
        <v>5</v>
      </c>
    </row>
    <row r="7" spans="2:34">
      <c r="B7" s="46">
        <v>2</v>
      </c>
      <c r="C7" s="45" t="s">
        <v>1732</v>
      </c>
      <c r="D7" s="1027"/>
      <c r="F7" s="46">
        <v>2</v>
      </c>
      <c r="G7" s="45" t="s">
        <v>1732</v>
      </c>
      <c r="H7" s="1027"/>
      <c r="J7" s="46">
        <v>2</v>
      </c>
      <c r="K7" s="45" t="s">
        <v>1730</v>
      </c>
      <c r="L7" s="1027"/>
      <c r="N7" s="46">
        <v>2</v>
      </c>
      <c r="O7" s="45" t="s">
        <v>1734</v>
      </c>
      <c r="P7" s="1027"/>
      <c r="R7" s="46">
        <v>2</v>
      </c>
      <c r="S7" s="45" t="s">
        <v>1732</v>
      </c>
      <c r="T7" s="1027"/>
      <c r="V7" s="46">
        <v>2</v>
      </c>
      <c r="W7" s="45" t="s">
        <v>1733</v>
      </c>
      <c r="X7" s="1027"/>
      <c r="Z7" s="46">
        <v>2</v>
      </c>
      <c r="AA7" s="45" t="s">
        <v>1357</v>
      </c>
      <c r="AB7" s="1027"/>
      <c r="AE7" t="s">
        <v>1734</v>
      </c>
      <c r="AF7" s="63">
        <f t="shared" si="0"/>
        <v>2</v>
      </c>
    </row>
    <row r="8" spans="2:34">
      <c r="B8" s="46">
        <v>3</v>
      </c>
      <c r="C8" s="45" t="s">
        <v>1733</v>
      </c>
      <c r="D8" s="1027"/>
      <c r="F8" s="46">
        <v>3</v>
      </c>
      <c r="G8" s="66" t="s">
        <v>1357</v>
      </c>
      <c r="H8" s="1027"/>
      <c r="J8" s="46">
        <v>3</v>
      </c>
      <c r="K8" s="66" t="s">
        <v>1732</v>
      </c>
      <c r="L8" s="1027"/>
      <c r="N8" s="46">
        <v>3</v>
      </c>
      <c r="O8" s="66" t="s">
        <v>1733</v>
      </c>
      <c r="P8" s="1027"/>
      <c r="R8" s="46">
        <v>3</v>
      </c>
      <c r="S8" s="45" t="s">
        <v>1734</v>
      </c>
      <c r="T8" s="1027"/>
      <c r="V8" s="46">
        <v>3</v>
      </c>
      <c r="W8" s="45" t="s">
        <v>1735</v>
      </c>
      <c r="X8" s="1027"/>
      <c r="Z8" s="46">
        <v>3</v>
      </c>
      <c r="AA8" s="45" t="s">
        <v>1735</v>
      </c>
      <c r="AB8" s="1027"/>
      <c r="AE8" s="64" t="s">
        <v>1735</v>
      </c>
      <c r="AF8" s="65">
        <f t="shared" si="0"/>
        <v>2</v>
      </c>
      <c r="AG8" s="84"/>
      <c r="AH8" s="88"/>
    </row>
    <row r="9" spans="2:34" ht="17" thickBot="1">
      <c r="B9" s="47">
        <v>4</v>
      </c>
      <c r="C9" s="48"/>
      <c r="D9" s="1029"/>
      <c r="F9" s="47">
        <v>4</v>
      </c>
      <c r="G9" s="48"/>
      <c r="H9" s="1029"/>
      <c r="J9" s="47">
        <v>4</v>
      </c>
      <c r="K9" s="48"/>
      <c r="L9" s="1029"/>
      <c r="N9" s="47">
        <v>4</v>
      </c>
      <c r="O9" s="48"/>
      <c r="P9" s="1029"/>
      <c r="R9" s="47">
        <v>4</v>
      </c>
      <c r="S9" s="48"/>
      <c r="T9" s="1029"/>
      <c r="V9" s="47">
        <v>4</v>
      </c>
      <c r="W9" s="48"/>
      <c r="X9" s="1029"/>
      <c r="Z9" s="47">
        <v>4</v>
      </c>
      <c r="AA9" s="48"/>
      <c r="AB9" s="1029"/>
    </row>
    <row r="10" spans="2:34" ht="17" customHeight="1" thickBot="1"/>
    <row r="11" spans="2:34">
      <c r="B11" s="1033" t="s">
        <v>1736</v>
      </c>
      <c r="C11" s="1034"/>
      <c r="D11" s="1035"/>
      <c r="F11" s="1033" t="s">
        <v>1723</v>
      </c>
      <c r="G11" s="1034"/>
      <c r="H11" s="1035"/>
      <c r="J11" s="1033" t="s">
        <v>1724</v>
      </c>
      <c r="K11" s="1034"/>
      <c r="L11" s="1035"/>
      <c r="N11" s="1033" t="s">
        <v>1725</v>
      </c>
      <c r="O11" s="1034"/>
      <c r="P11" s="1035"/>
      <c r="R11" s="1033" t="s">
        <v>1726</v>
      </c>
      <c r="S11" s="1034"/>
      <c r="T11" s="1035"/>
      <c r="V11" s="1033" t="s">
        <v>1727</v>
      </c>
      <c r="W11" s="1034"/>
      <c r="X11" s="1035"/>
      <c r="Z11" s="1058" t="s">
        <v>1728</v>
      </c>
      <c r="AA11" s="1059"/>
      <c r="AB11" s="1060"/>
      <c r="AE11" t="s">
        <v>1729</v>
      </c>
      <c r="AF11" s="63">
        <f t="shared" ref="AF11:AF17" si="1">COUNTIF($B$12:$AB$19,AE11)</f>
        <v>6</v>
      </c>
    </row>
    <row r="12" spans="2:34">
      <c r="B12" s="46">
        <v>1</v>
      </c>
      <c r="C12" s="45" t="s">
        <v>1357</v>
      </c>
      <c r="D12" s="1027" t="s">
        <v>119</v>
      </c>
      <c r="F12" s="46">
        <v>1</v>
      </c>
      <c r="G12" s="45" t="s">
        <v>1730</v>
      </c>
      <c r="H12" s="1027" t="s">
        <v>119</v>
      </c>
      <c r="J12" s="46">
        <v>1</v>
      </c>
      <c r="K12" s="45" t="s">
        <v>1357</v>
      </c>
      <c r="L12" s="1027" t="s">
        <v>119</v>
      </c>
      <c r="N12" s="46">
        <v>1</v>
      </c>
      <c r="O12" s="45" t="s">
        <v>1357</v>
      </c>
      <c r="P12" s="1027" t="s">
        <v>119</v>
      </c>
      <c r="R12" s="46">
        <v>1</v>
      </c>
      <c r="S12" s="45" t="s">
        <v>1731</v>
      </c>
      <c r="T12" s="1027" t="s">
        <v>119</v>
      </c>
      <c r="V12" s="46">
        <v>1</v>
      </c>
      <c r="W12" s="45" t="s">
        <v>1730</v>
      </c>
      <c r="X12" s="1027" t="s">
        <v>119</v>
      </c>
      <c r="Z12" s="46">
        <v>1</v>
      </c>
      <c r="AA12" s="45" t="s">
        <v>1730</v>
      </c>
      <c r="AB12" s="1027" t="s">
        <v>119</v>
      </c>
      <c r="AE12" t="s">
        <v>1732</v>
      </c>
      <c r="AF12" s="63">
        <f t="shared" si="1"/>
        <v>5</v>
      </c>
    </row>
    <row r="13" spans="2:34">
      <c r="B13" s="46">
        <v>2</v>
      </c>
      <c r="C13" s="45" t="s">
        <v>1731</v>
      </c>
      <c r="D13" s="1027"/>
      <c r="F13" s="46">
        <v>2</v>
      </c>
      <c r="G13" s="45" t="s">
        <v>1731</v>
      </c>
      <c r="H13" s="1027"/>
      <c r="J13" s="46">
        <v>2</v>
      </c>
      <c r="K13" s="45" t="s">
        <v>1733</v>
      </c>
      <c r="L13" s="1027"/>
      <c r="N13" s="46">
        <v>2</v>
      </c>
      <c r="O13" s="45" t="s">
        <v>1733</v>
      </c>
      <c r="P13" s="1027"/>
      <c r="R13" s="46">
        <v>2</v>
      </c>
      <c r="S13" s="45" t="s">
        <v>1733</v>
      </c>
      <c r="T13" s="1027"/>
      <c r="V13" s="46">
        <v>2</v>
      </c>
      <c r="W13" s="45" t="s">
        <v>1731</v>
      </c>
      <c r="X13" s="1027"/>
      <c r="Z13" s="46">
        <v>2</v>
      </c>
      <c r="AA13" s="45" t="s">
        <v>1731</v>
      </c>
      <c r="AB13" s="1027"/>
      <c r="AE13" t="s">
        <v>1730</v>
      </c>
      <c r="AF13" s="63">
        <f t="shared" si="1"/>
        <v>5</v>
      </c>
    </row>
    <row r="14" spans="2:34">
      <c r="B14" s="46">
        <v>3</v>
      </c>
      <c r="C14" s="45"/>
      <c r="D14" s="1027"/>
      <c r="F14" s="46">
        <v>3</v>
      </c>
      <c r="G14" s="45"/>
      <c r="H14" s="1027"/>
      <c r="J14" s="46">
        <v>3</v>
      </c>
      <c r="K14" s="45"/>
      <c r="L14" s="1027"/>
      <c r="N14" s="46">
        <v>3</v>
      </c>
      <c r="O14" s="45"/>
      <c r="P14" s="1027"/>
      <c r="R14" s="46">
        <v>3</v>
      </c>
      <c r="S14" s="45"/>
      <c r="T14" s="1027"/>
      <c r="V14" s="46">
        <v>3</v>
      </c>
      <c r="W14" s="45"/>
      <c r="X14" s="1027"/>
      <c r="Z14" s="46">
        <v>3</v>
      </c>
      <c r="AA14" s="45"/>
      <c r="AB14" s="1027"/>
      <c r="AE14" t="s">
        <v>1733</v>
      </c>
      <c r="AF14" s="63">
        <f t="shared" si="1"/>
        <v>5</v>
      </c>
    </row>
    <row r="15" spans="2:34" ht="17" thickBot="1">
      <c r="B15" s="47">
        <v>4</v>
      </c>
      <c r="C15" s="48"/>
      <c r="D15" s="1029"/>
      <c r="F15" s="47">
        <v>4</v>
      </c>
      <c r="G15" s="48"/>
      <c r="H15" s="1029"/>
      <c r="J15" s="47">
        <v>4</v>
      </c>
      <c r="K15" s="48"/>
      <c r="L15" s="1029"/>
      <c r="N15" s="47">
        <v>4</v>
      </c>
      <c r="O15" s="48"/>
      <c r="P15" s="1029"/>
      <c r="R15" s="47">
        <v>4</v>
      </c>
      <c r="S15" s="48"/>
      <c r="T15" s="1029"/>
      <c r="V15" s="47">
        <v>4</v>
      </c>
      <c r="W15" s="48"/>
      <c r="X15" s="1029"/>
      <c r="Z15" s="47">
        <v>4</v>
      </c>
      <c r="AA15" s="48"/>
      <c r="AB15" s="1029"/>
      <c r="AE15" t="s">
        <v>1357</v>
      </c>
      <c r="AF15" s="63">
        <f t="shared" si="1"/>
        <v>5</v>
      </c>
    </row>
    <row r="16" spans="2:34" ht="16" customHeight="1">
      <c r="B16" s="49">
        <v>1</v>
      </c>
      <c r="C16" s="45" t="s">
        <v>1732</v>
      </c>
      <c r="D16" s="1026" t="s">
        <v>1389</v>
      </c>
      <c r="F16" s="49">
        <v>1</v>
      </c>
      <c r="G16" s="50" t="s">
        <v>1729</v>
      </c>
      <c r="H16" s="1026" t="s">
        <v>1389</v>
      </c>
      <c r="J16" s="49">
        <v>1</v>
      </c>
      <c r="K16" s="50" t="s">
        <v>1729</v>
      </c>
      <c r="L16" s="1026" t="s">
        <v>1389</v>
      </c>
      <c r="N16" s="49">
        <v>1</v>
      </c>
      <c r="O16" s="50" t="s">
        <v>1729</v>
      </c>
      <c r="P16" s="1026" t="s">
        <v>1389</v>
      </c>
      <c r="R16" s="49">
        <v>1</v>
      </c>
      <c r="S16" s="50" t="s">
        <v>1729</v>
      </c>
      <c r="T16" s="1026" t="s">
        <v>1389</v>
      </c>
      <c r="V16" s="49">
        <v>1</v>
      </c>
      <c r="W16" s="50" t="s">
        <v>1729</v>
      </c>
      <c r="X16" s="1026" t="s">
        <v>1389</v>
      </c>
      <c r="Z16" s="49">
        <v>1</v>
      </c>
      <c r="AA16" s="50" t="s">
        <v>1729</v>
      </c>
      <c r="AB16" s="1026" t="s">
        <v>1389</v>
      </c>
      <c r="AE16" t="s">
        <v>1731</v>
      </c>
      <c r="AF16" s="63">
        <f t="shared" si="1"/>
        <v>5</v>
      </c>
    </row>
    <row r="17" spans="2:34">
      <c r="B17" s="46">
        <v>2</v>
      </c>
      <c r="C17" s="45" t="s">
        <v>1733</v>
      </c>
      <c r="D17" s="1027"/>
      <c r="F17" s="46">
        <v>2</v>
      </c>
      <c r="G17" s="45" t="s">
        <v>1732</v>
      </c>
      <c r="H17" s="1027"/>
      <c r="J17" s="46">
        <v>2</v>
      </c>
      <c r="K17" s="45" t="s">
        <v>1730</v>
      </c>
      <c r="L17" s="1027"/>
      <c r="N17" s="46">
        <v>2</v>
      </c>
      <c r="O17" s="45" t="s">
        <v>1732</v>
      </c>
      <c r="P17" s="1027"/>
      <c r="R17" s="46">
        <v>2</v>
      </c>
      <c r="S17" s="45" t="s">
        <v>1732</v>
      </c>
      <c r="T17" s="1027"/>
      <c r="V17" s="46">
        <v>2</v>
      </c>
      <c r="W17" s="45" t="s">
        <v>1733</v>
      </c>
      <c r="X17" s="1027"/>
      <c r="Z17" s="46">
        <v>2</v>
      </c>
      <c r="AA17" s="45" t="s">
        <v>1357</v>
      </c>
      <c r="AB17" s="1027"/>
      <c r="AE17" t="s">
        <v>1737</v>
      </c>
      <c r="AF17" s="63">
        <f t="shared" si="1"/>
        <v>3</v>
      </c>
    </row>
    <row r="18" spans="2:34">
      <c r="B18" s="46">
        <v>3</v>
      </c>
      <c r="C18" s="66" t="s">
        <v>1730</v>
      </c>
      <c r="D18" s="1027"/>
      <c r="F18" s="46">
        <v>3</v>
      </c>
      <c r="G18" s="66" t="s">
        <v>1357</v>
      </c>
      <c r="H18" s="1027"/>
      <c r="J18" s="46">
        <v>3</v>
      </c>
      <c r="K18" s="66" t="s">
        <v>1732</v>
      </c>
      <c r="L18" s="1027"/>
      <c r="N18" s="46">
        <v>3</v>
      </c>
      <c r="O18" s="45" t="s">
        <v>1737</v>
      </c>
      <c r="P18" s="1027"/>
      <c r="R18" s="46">
        <v>3</v>
      </c>
      <c r="S18" s="45" t="s">
        <v>1737</v>
      </c>
      <c r="T18" s="1027"/>
      <c r="V18" s="46">
        <v>3</v>
      </c>
      <c r="W18" s="45" t="s">
        <v>1737</v>
      </c>
      <c r="X18" s="1027"/>
      <c r="Z18" s="46">
        <v>3</v>
      </c>
      <c r="AA18" s="45" t="s">
        <v>1735</v>
      </c>
      <c r="AB18" s="1027"/>
      <c r="AE18" s="64"/>
      <c r="AF18" s="65"/>
      <c r="AG18" s="84"/>
      <c r="AH18" s="88"/>
    </row>
    <row r="19" spans="2:34" ht="17" thickBot="1">
      <c r="B19" s="47">
        <v>4</v>
      </c>
      <c r="C19" s="48"/>
      <c r="D19" s="1029"/>
      <c r="F19" s="47">
        <v>4</v>
      </c>
      <c r="G19" s="48"/>
      <c r="H19" s="1029"/>
      <c r="J19" s="47">
        <v>4</v>
      </c>
      <c r="K19" s="48"/>
      <c r="L19" s="1029"/>
      <c r="N19" s="47">
        <v>4</v>
      </c>
      <c r="O19" s="48"/>
      <c r="P19" s="1029"/>
      <c r="R19" s="47">
        <v>4</v>
      </c>
      <c r="S19" s="48"/>
      <c r="T19" s="1029"/>
      <c r="V19" s="47">
        <v>4</v>
      </c>
      <c r="W19" s="48" t="s">
        <v>1735</v>
      </c>
      <c r="X19" s="1029"/>
      <c r="Z19" s="47">
        <v>4</v>
      </c>
      <c r="AA19" s="48"/>
      <c r="AB19" s="1029"/>
    </row>
    <row r="20" spans="2:34" ht="17" customHeight="1" thickBot="1"/>
    <row r="21" spans="2:34">
      <c r="B21" s="1036" t="s">
        <v>1738</v>
      </c>
      <c r="C21" s="1037"/>
      <c r="D21" s="1038"/>
      <c r="F21" s="1036" t="s">
        <v>1723</v>
      </c>
      <c r="G21" s="1037"/>
      <c r="H21" s="1038"/>
      <c r="J21" s="1036" t="s">
        <v>1724</v>
      </c>
      <c r="K21" s="1037"/>
      <c r="L21" s="1038"/>
      <c r="N21" s="1036" t="s">
        <v>1725</v>
      </c>
      <c r="O21" s="1037"/>
      <c r="P21" s="1038"/>
      <c r="R21" s="1036" t="s">
        <v>1726</v>
      </c>
      <c r="S21" s="1037"/>
      <c r="T21" s="1038"/>
      <c r="V21" s="1036" t="s">
        <v>1727</v>
      </c>
      <c r="W21" s="1037"/>
      <c r="X21" s="1038"/>
      <c r="Z21" s="1055" t="s">
        <v>1728</v>
      </c>
      <c r="AA21" s="1056"/>
      <c r="AB21" s="1057"/>
      <c r="AE21" t="s">
        <v>1729</v>
      </c>
      <c r="AF21" s="63">
        <f t="shared" ref="AF21:AF27" si="2">COUNTIF($B$21:$AB$29,AE21)</f>
        <v>6</v>
      </c>
    </row>
    <row r="22" spans="2:34" ht="16" customHeight="1">
      <c r="B22" s="46">
        <v>1</v>
      </c>
      <c r="C22" s="45" t="s">
        <v>1730</v>
      </c>
      <c r="D22" s="1027" t="s">
        <v>119</v>
      </c>
      <c r="F22" s="46">
        <v>1</v>
      </c>
      <c r="G22" s="45" t="s">
        <v>1730</v>
      </c>
      <c r="H22" s="1027" t="s">
        <v>119</v>
      </c>
      <c r="J22" s="46">
        <v>1</v>
      </c>
      <c r="K22" s="45" t="s">
        <v>1357</v>
      </c>
      <c r="L22" s="1027" t="s">
        <v>119</v>
      </c>
      <c r="N22" s="46">
        <v>1</v>
      </c>
      <c r="O22" s="45" t="s">
        <v>1357</v>
      </c>
      <c r="P22" s="1027" t="s">
        <v>119</v>
      </c>
      <c r="R22" s="46">
        <v>1</v>
      </c>
      <c r="S22" s="45" t="s">
        <v>1357</v>
      </c>
      <c r="T22" s="1027" t="s">
        <v>119</v>
      </c>
      <c r="V22" s="46">
        <v>1</v>
      </c>
      <c r="W22" s="45" t="s">
        <v>1357</v>
      </c>
      <c r="X22" s="1027" t="s">
        <v>119</v>
      </c>
      <c r="Z22" s="46">
        <v>1</v>
      </c>
      <c r="AA22" s="45" t="s">
        <v>1731</v>
      </c>
      <c r="AB22" s="1027" t="s">
        <v>119</v>
      </c>
      <c r="AE22" t="s">
        <v>1732</v>
      </c>
      <c r="AF22" s="63">
        <f t="shared" si="2"/>
        <v>6</v>
      </c>
    </row>
    <row r="23" spans="2:34">
      <c r="B23" s="46">
        <v>2</v>
      </c>
      <c r="C23" s="45" t="s">
        <v>1732</v>
      </c>
      <c r="D23" s="1027"/>
      <c r="F23" s="46">
        <v>2</v>
      </c>
      <c r="G23" s="45" t="s">
        <v>1733</v>
      </c>
      <c r="H23" s="1027"/>
      <c r="J23" s="46">
        <v>2</v>
      </c>
      <c r="K23" s="45" t="s">
        <v>1731</v>
      </c>
      <c r="L23" s="1027"/>
      <c r="N23" s="46">
        <v>2</v>
      </c>
      <c r="O23" s="45" t="s">
        <v>1731</v>
      </c>
      <c r="P23" s="1027"/>
      <c r="R23" s="46">
        <v>2</v>
      </c>
      <c r="S23" s="45" t="s">
        <v>1731</v>
      </c>
      <c r="T23" s="1027"/>
      <c r="V23" s="46">
        <v>2</v>
      </c>
      <c r="W23" s="45" t="s">
        <v>1731</v>
      </c>
      <c r="X23" s="1027"/>
      <c r="Z23" s="46">
        <v>2</v>
      </c>
      <c r="AA23" s="45" t="s">
        <v>1357</v>
      </c>
      <c r="AB23" s="1027"/>
      <c r="AE23" t="s">
        <v>1730</v>
      </c>
      <c r="AF23" s="63">
        <f t="shared" si="2"/>
        <v>6</v>
      </c>
    </row>
    <row r="24" spans="2:34">
      <c r="B24" s="46">
        <v>3</v>
      </c>
      <c r="C24" s="45"/>
      <c r="D24" s="1027"/>
      <c r="F24" s="46">
        <v>3</v>
      </c>
      <c r="G24" s="45"/>
      <c r="H24" s="1027"/>
      <c r="J24" s="46">
        <v>3</v>
      </c>
      <c r="K24" s="45"/>
      <c r="L24" s="1027"/>
      <c r="N24" s="46">
        <v>3</v>
      </c>
      <c r="O24" s="45"/>
      <c r="P24" s="1027"/>
      <c r="R24" s="46">
        <v>3</v>
      </c>
      <c r="S24" s="45"/>
      <c r="T24" s="1027"/>
      <c r="V24" s="46">
        <v>3</v>
      </c>
      <c r="W24" s="45"/>
      <c r="X24" s="1027"/>
      <c r="Z24" s="46">
        <v>3</v>
      </c>
      <c r="AA24" s="45"/>
      <c r="AB24" s="1027"/>
      <c r="AE24" t="s">
        <v>1733</v>
      </c>
      <c r="AF24" s="63">
        <f t="shared" si="2"/>
        <v>6</v>
      </c>
    </row>
    <row r="25" spans="2:34" ht="17" thickBot="1">
      <c r="B25" s="47">
        <v>4</v>
      </c>
      <c r="C25" s="48"/>
      <c r="D25" s="1029"/>
      <c r="F25" s="47">
        <v>4</v>
      </c>
      <c r="G25" s="48"/>
      <c r="H25" s="1029"/>
      <c r="J25" s="47">
        <v>4</v>
      </c>
      <c r="K25" s="48"/>
      <c r="L25" s="1029"/>
      <c r="N25" s="47">
        <v>4</v>
      </c>
      <c r="O25" s="48"/>
      <c r="P25" s="1029"/>
      <c r="R25" s="47">
        <v>4</v>
      </c>
      <c r="S25" s="48"/>
      <c r="T25" s="1029"/>
      <c r="V25" s="47">
        <v>4</v>
      </c>
      <c r="W25" s="48"/>
      <c r="X25" s="1029"/>
      <c r="Z25" s="47">
        <v>4</v>
      </c>
      <c r="AA25" s="48"/>
      <c r="AB25" s="1029"/>
      <c r="AE25" t="s">
        <v>1357</v>
      </c>
      <c r="AF25" s="63">
        <f t="shared" si="2"/>
        <v>6</v>
      </c>
    </row>
    <row r="26" spans="2:34" ht="16" customHeight="1">
      <c r="B26" s="49">
        <v>1</v>
      </c>
      <c r="C26" s="50" t="s">
        <v>1729</v>
      </c>
      <c r="D26" s="1026" t="s">
        <v>1389</v>
      </c>
      <c r="F26" s="49">
        <v>1</v>
      </c>
      <c r="G26" s="50" t="s">
        <v>1729</v>
      </c>
      <c r="H26" s="1026" t="s">
        <v>1389</v>
      </c>
      <c r="J26" s="49">
        <v>1</v>
      </c>
      <c r="K26" s="45" t="s">
        <v>1732</v>
      </c>
      <c r="L26" s="1026" t="s">
        <v>1389</v>
      </c>
      <c r="N26" s="49">
        <v>1</v>
      </c>
      <c r="O26" s="50" t="s">
        <v>1729</v>
      </c>
      <c r="P26" s="1026" t="s">
        <v>1389</v>
      </c>
      <c r="R26" s="49">
        <v>1</v>
      </c>
      <c r="S26" s="50" t="s">
        <v>1729</v>
      </c>
      <c r="T26" s="1026" t="s">
        <v>1389</v>
      </c>
      <c r="V26" s="49">
        <v>1</v>
      </c>
      <c r="W26" s="50" t="s">
        <v>1729</v>
      </c>
      <c r="X26" s="1026" t="s">
        <v>1389</v>
      </c>
      <c r="Z26" s="49">
        <v>1</v>
      </c>
      <c r="AA26" s="50" t="s">
        <v>1729</v>
      </c>
      <c r="AB26" s="1026" t="s">
        <v>1389</v>
      </c>
      <c r="AE26" s="55" t="s">
        <v>1731</v>
      </c>
      <c r="AF26" s="63">
        <f t="shared" si="2"/>
        <v>5</v>
      </c>
    </row>
    <row r="27" spans="2:34">
      <c r="B27" s="46">
        <v>2</v>
      </c>
      <c r="C27" s="45" t="s">
        <v>1737</v>
      </c>
      <c r="D27" s="1027"/>
      <c r="F27" s="46">
        <v>2</v>
      </c>
      <c r="G27" s="45" t="s">
        <v>1737</v>
      </c>
      <c r="H27" s="1027"/>
      <c r="J27" s="46">
        <v>2</v>
      </c>
      <c r="K27" s="45" t="s">
        <v>1733</v>
      </c>
      <c r="L27" s="1027"/>
      <c r="N27" s="46">
        <v>2</v>
      </c>
      <c r="O27" s="45" t="s">
        <v>1732</v>
      </c>
      <c r="P27" s="1027"/>
      <c r="R27" s="46">
        <v>2</v>
      </c>
      <c r="S27" s="45" t="s">
        <v>1730</v>
      </c>
      <c r="T27" s="1027"/>
      <c r="V27" s="46">
        <v>2</v>
      </c>
      <c r="W27" s="45" t="s">
        <v>1732</v>
      </c>
      <c r="X27" s="1027"/>
      <c r="Z27" s="46">
        <v>2</v>
      </c>
      <c r="AA27" s="45" t="s">
        <v>1732</v>
      </c>
      <c r="AB27" s="1027"/>
      <c r="AE27" t="s">
        <v>1737</v>
      </c>
      <c r="AF27" s="63">
        <f t="shared" si="2"/>
        <v>3</v>
      </c>
    </row>
    <row r="28" spans="2:34">
      <c r="B28" s="46">
        <v>3</v>
      </c>
      <c r="C28" s="66" t="s">
        <v>1733</v>
      </c>
      <c r="D28" s="1027"/>
      <c r="F28" s="46">
        <v>3</v>
      </c>
      <c r="G28" s="66" t="s">
        <v>1357</v>
      </c>
      <c r="H28" s="1027"/>
      <c r="J28" s="46">
        <v>3</v>
      </c>
      <c r="K28" s="45" t="s">
        <v>1730</v>
      </c>
      <c r="L28" s="1027"/>
      <c r="N28" s="46">
        <v>3</v>
      </c>
      <c r="O28" s="45" t="s">
        <v>1730</v>
      </c>
      <c r="P28" s="1027"/>
      <c r="R28" s="46">
        <v>3</v>
      </c>
      <c r="S28" s="45" t="s">
        <v>1733</v>
      </c>
      <c r="T28" s="1027"/>
      <c r="V28" s="46">
        <v>3</v>
      </c>
      <c r="W28" s="45" t="s">
        <v>1730</v>
      </c>
      <c r="X28" s="1027"/>
      <c r="Z28" s="46">
        <v>3</v>
      </c>
      <c r="AA28" s="45" t="s">
        <v>1733</v>
      </c>
      <c r="AB28" s="1027"/>
    </row>
    <row r="29" spans="2:34" ht="17" thickBot="1">
      <c r="B29" s="47">
        <v>4</v>
      </c>
      <c r="C29" s="48"/>
      <c r="D29" s="1029"/>
      <c r="F29" s="47">
        <v>4</v>
      </c>
      <c r="G29" s="48"/>
      <c r="H29" s="1029"/>
      <c r="J29" s="47">
        <v>4</v>
      </c>
      <c r="K29" s="48"/>
      <c r="L29" s="1029"/>
      <c r="N29" s="47">
        <v>4</v>
      </c>
      <c r="O29" s="48"/>
      <c r="P29" s="1029"/>
      <c r="R29" s="47">
        <v>4</v>
      </c>
      <c r="S29" s="48" t="s">
        <v>1732</v>
      </c>
      <c r="T29" s="1029"/>
      <c r="V29" s="47">
        <v>4</v>
      </c>
      <c r="W29" s="48" t="s">
        <v>1733</v>
      </c>
      <c r="X29" s="1029"/>
      <c r="Z29" s="47">
        <v>4</v>
      </c>
      <c r="AA29" s="48" t="s">
        <v>1737</v>
      </c>
      <c r="AB29" s="1029"/>
    </row>
    <row r="30" spans="2:34" ht="17" thickBot="1"/>
    <row r="31" spans="2:34">
      <c r="B31" s="1036" t="s">
        <v>1739</v>
      </c>
      <c r="C31" s="1037"/>
      <c r="D31" s="1038"/>
      <c r="F31" s="1036" t="s">
        <v>1740</v>
      </c>
      <c r="G31" s="1037"/>
      <c r="H31" s="1038"/>
      <c r="J31" s="1036" t="s">
        <v>1741</v>
      </c>
      <c r="K31" s="1037"/>
      <c r="L31" s="1038"/>
      <c r="N31" s="1036" t="s">
        <v>1742</v>
      </c>
      <c r="O31" s="1037"/>
      <c r="P31" s="1038"/>
      <c r="R31" s="1036" t="s">
        <v>1743</v>
      </c>
      <c r="S31" s="1037"/>
      <c r="T31" s="1038"/>
      <c r="V31" s="1036" t="s">
        <v>1744</v>
      </c>
      <c r="W31" s="1037"/>
      <c r="X31" s="1038"/>
      <c r="Z31" s="1055" t="s">
        <v>1745</v>
      </c>
      <c r="AA31" s="1056"/>
      <c r="AB31" s="1057"/>
      <c r="AE31" s="55" t="s">
        <v>1729</v>
      </c>
      <c r="AF31" s="63">
        <f>COUNTIF($B$31:$AB$39,AE31)</f>
        <v>5</v>
      </c>
    </row>
    <row r="32" spans="2:34" ht="16" customHeight="1">
      <c r="B32" s="46">
        <v>1</v>
      </c>
      <c r="C32" s="45" t="s">
        <v>1357</v>
      </c>
      <c r="D32" s="1027" t="s">
        <v>119</v>
      </c>
      <c r="F32" s="46">
        <v>1</v>
      </c>
      <c r="G32" s="45" t="s">
        <v>1731</v>
      </c>
      <c r="H32" s="1027" t="s">
        <v>119</v>
      </c>
      <c r="J32" s="46">
        <v>1</v>
      </c>
      <c r="K32" s="45" t="s">
        <v>1731</v>
      </c>
      <c r="L32" s="1027" t="s">
        <v>119</v>
      </c>
      <c r="N32" s="46">
        <v>1</v>
      </c>
      <c r="O32" s="45" t="s">
        <v>1730</v>
      </c>
      <c r="P32" s="1027" t="s">
        <v>119</v>
      </c>
      <c r="R32" s="46">
        <v>1</v>
      </c>
      <c r="S32" s="45" t="s">
        <v>1730</v>
      </c>
      <c r="T32" s="1027" t="s">
        <v>119</v>
      </c>
      <c r="V32" s="46">
        <v>1</v>
      </c>
      <c r="W32" s="45" t="s">
        <v>1357</v>
      </c>
      <c r="X32" s="1027" t="s">
        <v>119</v>
      </c>
      <c r="Z32" s="46">
        <v>1</v>
      </c>
      <c r="AA32" s="45" t="s">
        <v>1357</v>
      </c>
      <c r="AB32" s="1027" t="s">
        <v>119</v>
      </c>
      <c r="AE32" t="s">
        <v>1732</v>
      </c>
      <c r="AF32" s="63">
        <f t="shared" ref="AF32:AF35" si="3">COUNTIF($B$31:$AB$39,AE32)</f>
        <v>6</v>
      </c>
    </row>
    <row r="33" spans="2:32">
      <c r="B33" s="46">
        <v>2</v>
      </c>
      <c r="C33" s="45" t="s">
        <v>1731</v>
      </c>
      <c r="D33" s="1027"/>
      <c r="F33" s="46">
        <v>2</v>
      </c>
      <c r="G33" s="45" t="s">
        <v>1357</v>
      </c>
      <c r="H33" s="1027"/>
      <c r="J33" s="46">
        <v>2</v>
      </c>
      <c r="K33" s="45" t="s">
        <v>1357</v>
      </c>
      <c r="L33" s="1027"/>
      <c r="N33" s="46">
        <v>2</v>
      </c>
      <c r="O33" s="45" t="s">
        <v>1731</v>
      </c>
      <c r="P33" s="1027"/>
      <c r="R33" s="46">
        <v>2</v>
      </c>
      <c r="S33" s="45" t="s">
        <v>1357</v>
      </c>
      <c r="T33" s="1027"/>
      <c r="V33" s="46">
        <v>2</v>
      </c>
      <c r="W33" s="45" t="s">
        <v>1731</v>
      </c>
      <c r="X33" s="1027"/>
      <c r="Z33" s="46">
        <v>2</v>
      </c>
      <c r="AA33" s="45" t="s">
        <v>1730</v>
      </c>
      <c r="AB33" s="1027"/>
      <c r="AE33" t="s">
        <v>1730</v>
      </c>
      <c r="AF33" s="63">
        <f t="shared" si="3"/>
        <v>6</v>
      </c>
    </row>
    <row r="34" spans="2:32">
      <c r="B34" s="46">
        <v>3</v>
      </c>
      <c r="C34" s="45"/>
      <c r="D34" s="1027"/>
      <c r="F34" s="46">
        <v>3</v>
      </c>
      <c r="G34" s="45"/>
      <c r="H34" s="1027"/>
      <c r="J34" s="46">
        <v>3</v>
      </c>
      <c r="K34" s="45"/>
      <c r="L34" s="1027"/>
      <c r="N34" s="46">
        <v>3</v>
      </c>
      <c r="O34" s="45"/>
      <c r="P34" s="1027"/>
      <c r="R34" s="46">
        <v>3</v>
      </c>
      <c r="S34" s="45"/>
      <c r="T34" s="1027"/>
      <c r="V34" s="46">
        <v>3</v>
      </c>
      <c r="W34" s="45"/>
      <c r="X34" s="1027"/>
      <c r="Z34" s="46">
        <v>3</v>
      </c>
      <c r="AA34" s="45"/>
      <c r="AB34" s="1027"/>
      <c r="AE34" s="55" t="s">
        <v>1733</v>
      </c>
      <c r="AF34" s="63">
        <f t="shared" si="3"/>
        <v>5</v>
      </c>
    </row>
    <row r="35" spans="2:32" ht="17" thickBot="1">
      <c r="B35" s="47">
        <v>4</v>
      </c>
      <c r="C35" s="48"/>
      <c r="D35" s="1029"/>
      <c r="F35" s="47">
        <v>4</v>
      </c>
      <c r="G35" s="48"/>
      <c r="H35" s="1029"/>
      <c r="J35" s="47">
        <v>4</v>
      </c>
      <c r="K35" s="48"/>
      <c r="L35" s="1029"/>
      <c r="N35" s="47">
        <v>4</v>
      </c>
      <c r="O35" s="48"/>
      <c r="P35" s="1029"/>
      <c r="R35" s="47">
        <v>4</v>
      </c>
      <c r="S35" s="48"/>
      <c r="T35" s="1029"/>
      <c r="V35" s="47">
        <v>4</v>
      </c>
      <c r="W35" s="48"/>
      <c r="X35" s="1029"/>
      <c r="Z35" s="47">
        <v>4</v>
      </c>
      <c r="AA35" s="48"/>
      <c r="AB35" s="1029"/>
      <c r="AE35" t="s">
        <v>1357</v>
      </c>
      <c r="AF35" s="63">
        <f t="shared" si="3"/>
        <v>6</v>
      </c>
    </row>
    <row r="36" spans="2:32" ht="16" customHeight="1">
      <c r="B36" s="49">
        <v>1</v>
      </c>
      <c r="C36" s="50" t="s">
        <v>1729</v>
      </c>
      <c r="D36" s="1026" t="s">
        <v>1389</v>
      </c>
      <c r="F36" s="49">
        <v>1</v>
      </c>
      <c r="G36" s="45" t="s">
        <v>1733</v>
      </c>
      <c r="H36" s="1026" t="s">
        <v>1389</v>
      </c>
      <c r="J36" s="49">
        <v>1</v>
      </c>
      <c r="K36" s="45" t="s">
        <v>1732</v>
      </c>
      <c r="L36" s="1026" t="s">
        <v>1389</v>
      </c>
      <c r="N36" s="49">
        <v>1</v>
      </c>
      <c r="O36" s="50" t="s">
        <v>1729</v>
      </c>
      <c r="P36" s="1026" t="s">
        <v>1389</v>
      </c>
      <c r="R36" s="49">
        <v>1</v>
      </c>
      <c r="S36" s="45" t="s">
        <v>1729</v>
      </c>
      <c r="T36" s="1026" t="s">
        <v>1389</v>
      </c>
      <c r="V36" s="49">
        <v>1</v>
      </c>
      <c r="W36" s="50" t="s">
        <v>1729</v>
      </c>
      <c r="X36" s="1026" t="s">
        <v>1389</v>
      </c>
      <c r="Z36" s="49">
        <v>1</v>
      </c>
      <c r="AA36" s="50" t="s">
        <v>1729</v>
      </c>
      <c r="AB36" s="1026" t="s">
        <v>1389</v>
      </c>
      <c r="AE36" t="s">
        <v>1731</v>
      </c>
      <c r="AF36" s="63">
        <f>COUNTIF($B$31:$AB$39,AE36)</f>
        <v>6</v>
      </c>
    </row>
    <row r="37" spans="2:32">
      <c r="B37" s="46">
        <v>2</v>
      </c>
      <c r="C37" s="45" t="s">
        <v>1730</v>
      </c>
      <c r="D37" s="1027"/>
      <c r="F37" s="46">
        <v>2</v>
      </c>
      <c r="G37" s="45" t="s">
        <v>1732</v>
      </c>
      <c r="H37" s="1027"/>
      <c r="J37" s="46">
        <v>2</v>
      </c>
      <c r="K37" s="45" t="s">
        <v>1733</v>
      </c>
      <c r="L37" s="1027"/>
      <c r="N37" s="46">
        <v>2</v>
      </c>
      <c r="O37" s="45" t="s">
        <v>1732</v>
      </c>
      <c r="P37" s="1027"/>
      <c r="R37" s="46">
        <v>2</v>
      </c>
      <c r="S37" s="45" t="s">
        <v>1730</v>
      </c>
      <c r="T37" s="1027"/>
      <c r="V37" s="46">
        <v>2</v>
      </c>
      <c r="W37" s="45" t="s">
        <v>1732</v>
      </c>
      <c r="X37" s="1027"/>
      <c r="Z37" s="46">
        <v>2</v>
      </c>
      <c r="AA37" s="45" t="s">
        <v>1732</v>
      </c>
      <c r="AB37" s="1027"/>
      <c r="AE37" t="s">
        <v>1746</v>
      </c>
      <c r="AF37" s="63">
        <f>COUNTIF($B$31:$AB$39,AE37)</f>
        <v>0</v>
      </c>
    </row>
    <row r="38" spans="2:32">
      <c r="B38" s="46">
        <v>3</v>
      </c>
      <c r="C38" s="45" t="s">
        <v>1733</v>
      </c>
      <c r="D38" s="1027"/>
      <c r="F38" s="46">
        <v>3</v>
      </c>
      <c r="G38" s="45"/>
      <c r="H38" s="1027"/>
      <c r="J38" s="46">
        <v>3</v>
      </c>
      <c r="K38" s="66" t="s">
        <v>1730</v>
      </c>
      <c r="L38" s="1027"/>
      <c r="N38" s="46">
        <v>3</v>
      </c>
      <c r="O38" s="45" t="s">
        <v>1733</v>
      </c>
      <c r="P38" s="1027"/>
      <c r="R38" s="46">
        <v>3</v>
      </c>
      <c r="S38" s="45" t="s">
        <v>1732</v>
      </c>
      <c r="T38" s="1027"/>
      <c r="V38" s="46">
        <v>3</v>
      </c>
      <c r="W38" s="45" t="s">
        <v>1733</v>
      </c>
      <c r="X38" s="1027"/>
      <c r="Z38" s="46">
        <v>3</v>
      </c>
      <c r="AA38" s="45" t="s">
        <v>1731</v>
      </c>
      <c r="AB38" s="1027"/>
      <c r="AE38" t="s">
        <v>1737</v>
      </c>
      <c r="AF38" s="63">
        <f>COUNTIF($B$31:$AB$39,AE38)</f>
        <v>3</v>
      </c>
    </row>
    <row r="39" spans="2:32" ht="17" thickBot="1">
      <c r="B39" s="47">
        <v>4</v>
      </c>
      <c r="C39" s="48"/>
      <c r="D39" s="1029"/>
      <c r="F39" s="47">
        <v>4</v>
      </c>
      <c r="G39" s="48"/>
      <c r="H39" s="1029"/>
      <c r="J39" s="47">
        <v>4</v>
      </c>
      <c r="K39" s="48"/>
      <c r="L39" s="1029"/>
      <c r="N39" s="47">
        <v>4</v>
      </c>
      <c r="O39" s="48"/>
      <c r="P39" s="1029"/>
      <c r="R39" s="47">
        <v>4</v>
      </c>
      <c r="S39" s="48" t="s">
        <v>1737</v>
      </c>
      <c r="T39" s="1029"/>
      <c r="V39" s="47">
        <v>4</v>
      </c>
      <c r="W39" s="48" t="s">
        <v>1737</v>
      </c>
      <c r="X39" s="1029"/>
      <c r="Z39" s="47">
        <v>4</v>
      </c>
      <c r="AA39" s="48" t="s">
        <v>1737</v>
      </c>
      <c r="AB39" s="1029"/>
    </row>
    <row r="40" spans="2:32" ht="17" thickBot="1"/>
    <row r="41" spans="2:32">
      <c r="B41" s="1036" t="s">
        <v>1747</v>
      </c>
      <c r="C41" s="1037"/>
      <c r="D41" s="1038"/>
      <c r="F41" s="1036" t="s">
        <v>1748</v>
      </c>
      <c r="G41" s="1037"/>
      <c r="H41" s="1038"/>
      <c r="J41" s="1036" t="s">
        <v>1749</v>
      </c>
      <c r="K41" s="1037"/>
      <c r="L41" s="1038"/>
      <c r="N41" s="1036" t="s">
        <v>1750</v>
      </c>
      <c r="O41" s="1037"/>
      <c r="P41" s="1038"/>
      <c r="R41" s="1036" t="s">
        <v>1751</v>
      </c>
      <c r="S41" s="1037"/>
      <c r="T41" s="1038"/>
      <c r="V41" s="1036" t="s">
        <v>1752</v>
      </c>
      <c r="W41" s="1037"/>
      <c r="X41" s="1038"/>
      <c r="Z41" s="1055" t="s">
        <v>1753</v>
      </c>
      <c r="AA41" s="1056"/>
      <c r="AB41" s="1057"/>
      <c r="AE41" s="55" t="s">
        <v>1729</v>
      </c>
      <c r="AF41" s="63">
        <f>COUNTIF($B$41:$AB$49,AE41)</f>
        <v>5</v>
      </c>
    </row>
    <row r="42" spans="2:32" ht="16" customHeight="1">
      <c r="B42" s="46">
        <v>1</v>
      </c>
      <c r="C42" s="45" t="s">
        <v>1733</v>
      </c>
      <c r="D42" s="1027" t="s">
        <v>119</v>
      </c>
      <c r="F42" s="46">
        <v>1</v>
      </c>
      <c r="G42" s="45" t="s">
        <v>1731</v>
      </c>
      <c r="H42" s="1027" t="s">
        <v>119</v>
      </c>
      <c r="J42" s="46">
        <v>1</v>
      </c>
      <c r="K42" s="45" t="s">
        <v>1731</v>
      </c>
      <c r="L42" s="1027" t="s">
        <v>119</v>
      </c>
      <c r="N42" s="46">
        <v>1</v>
      </c>
      <c r="O42" s="45" t="s">
        <v>1730</v>
      </c>
      <c r="P42" s="1027" t="s">
        <v>119</v>
      </c>
      <c r="R42" s="46">
        <v>1</v>
      </c>
      <c r="S42" s="45" t="s">
        <v>1730</v>
      </c>
      <c r="T42" s="1027" t="s">
        <v>119</v>
      </c>
      <c r="V42" s="46">
        <v>1</v>
      </c>
      <c r="W42" s="45" t="s">
        <v>1357</v>
      </c>
      <c r="X42" s="1027" t="s">
        <v>119</v>
      </c>
      <c r="Z42" s="46">
        <v>1</v>
      </c>
      <c r="AA42" s="45" t="s">
        <v>1357</v>
      </c>
      <c r="AB42" s="1027" t="s">
        <v>119</v>
      </c>
      <c r="AE42" t="s">
        <v>1732</v>
      </c>
      <c r="AF42" s="63">
        <f t="shared" ref="AF42:AF46" si="4">COUNTIF($B$41:$AB$49,AE42)</f>
        <v>6</v>
      </c>
    </row>
    <row r="43" spans="2:32">
      <c r="B43" s="46">
        <v>2</v>
      </c>
      <c r="C43" s="45" t="s">
        <v>1357</v>
      </c>
      <c r="D43" s="1027"/>
      <c r="F43" s="46">
        <v>2</v>
      </c>
      <c r="G43" s="45" t="s">
        <v>1733</v>
      </c>
      <c r="H43" s="1027"/>
      <c r="J43" s="46">
        <v>2</v>
      </c>
      <c r="K43" s="45" t="s">
        <v>1357</v>
      </c>
      <c r="L43" s="1027"/>
      <c r="N43" s="46">
        <v>2</v>
      </c>
      <c r="O43" s="45" t="s">
        <v>1731</v>
      </c>
      <c r="P43" s="1027"/>
      <c r="R43" s="46">
        <v>2</v>
      </c>
      <c r="S43" s="45" t="s">
        <v>1733</v>
      </c>
      <c r="T43" s="1027"/>
      <c r="V43" s="46">
        <v>2</v>
      </c>
      <c r="W43" s="45" t="s">
        <v>1731</v>
      </c>
      <c r="X43" s="1027"/>
      <c r="Z43" s="46">
        <v>2</v>
      </c>
      <c r="AA43" s="45" t="s">
        <v>1731</v>
      </c>
      <c r="AB43" s="1027"/>
      <c r="AE43" t="s">
        <v>1730</v>
      </c>
      <c r="AF43" s="63">
        <f t="shared" si="4"/>
        <v>6</v>
      </c>
    </row>
    <row r="44" spans="2:32">
      <c r="B44" s="46">
        <v>3</v>
      </c>
      <c r="C44" s="45"/>
      <c r="D44" s="1027"/>
      <c r="F44" s="46">
        <v>3</v>
      </c>
      <c r="G44" s="45"/>
      <c r="H44" s="1027"/>
      <c r="J44" s="46">
        <v>3</v>
      </c>
      <c r="K44" s="45"/>
      <c r="L44" s="1027"/>
      <c r="N44" s="46">
        <v>3</v>
      </c>
      <c r="O44" s="45"/>
      <c r="P44" s="1027"/>
      <c r="R44" s="46">
        <v>3</v>
      </c>
      <c r="S44" s="45"/>
      <c r="T44" s="1027"/>
      <c r="V44" s="46">
        <v>3</v>
      </c>
      <c r="W44" s="45"/>
      <c r="X44" s="1027"/>
      <c r="Z44" s="46">
        <v>3</v>
      </c>
      <c r="AA44" s="45"/>
      <c r="AB44" s="1027"/>
      <c r="AE44" t="s">
        <v>1733</v>
      </c>
      <c r="AF44" s="63">
        <f t="shared" si="4"/>
        <v>6</v>
      </c>
    </row>
    <row r="45" spans="2:32" ht="17" thickBot="1">
      <c r="B45" s="47">
        <v>4</v>
      </c>
      <c r="C45" s="48"/>
      <c r="D45" s="1029"/>
      <c r="F45" s="47">
        <v>4</v>
      </c>
      <c r="G45" s="48"/>
      <c r="H45" s="1029"/>
      <c r="J45" s="47">
        <v>4</v>
      </c>
      <c r="K45" s="48"/>
      <c r="L45" s="1029"/>
      <c r="N45" s="47">
        <v>4</v>
      </c>
      <c r="O45" s="48"/>
      <c r="P45" s="1029"/>
      <c r="R45" s="47">
        <v>4</v>
      </c>
      <c r="S45" s="48"/>
      <c r="T45" s="1029"/>
      <c r="V45" s="47">
        <v>4</v>
      </c>
      <c r="W45" s="48"/>
      <c r="X45" s="1029"/>
      <c r="Z45" s="47">
        <v>4</v>
      </c>
      <c r="AA45" s="48"/>
      <c r="AB45" s="1029"/>
      <c r="AE45" s="55" t="s">
        <v>1357</v>
      </c>
      <c r="AF45" s="63">
        <f t="shared" si="4"/>
        <v>5</v>
      </c>
    </row>
    <row r="46" spans="2:32" ht="16" customHeight="1">
      <c r="B46" s="49">
        <v>1</v>
      </c>
      <c r="C46" s="45" t="s">
        <v>1730</v>
      </c>
      <c r="D46" s="1026" t="s">
        <v>1389</v>
      </c>
      <c r="F46" s="49">
        <v>1</v>
      </c>
      <c r="G46" s="50" t="s">
        <v>1729</v>
      </c>
      <c r="H46" s="1026" t="s">
        <v>1389</v>
      </c>
      <c r="J46" s="49">
        <v>1</v>
      </c>
      <c r="K46" s="45" t="s">
        <v>1732</v>
      </c>
      <c r="L46" s="1026" t="s">
        <v>1389</v>
      </c>
      <c r="N46" s="49">
        <v>1</v>
      </c>
      <c r="O46" s="50" t="s">
        <v>1729</v>
      </c>
      <c r="P46" s="1026" t="s">
        <v>1389</v>
      </c>
      <c r="R46" s="49">
        <v>1</v>
      </c>
      <c r="S46" s="45" t="s">
        <v>1729</v>
      </c>
      <c r="T46" s="1026" t="s">
        <v>1389</v>
      </c>
      <c r="V46" s="49">
        <v>1</v>
      </c>
      <c r="W46" s="50" t="s">
        <v>1729</v>
      </c>
      <c r="X46" s="1026" t="s">
        <v>1389</v>
      </c>
      <c r="Z46" s="49">
        <v>1</v>
      </c>
      <c r="AA46" s="50" t="s">
        <v>1729</v>
      </c>
      <c r="AB46" s="1026" t="s">
        <v>1389</v>
      </c>
      <c r="AE46" t="s">
        <v>1731</v>
      </c>
      <c r="AF46" s="63">
        <f t="shared" si="4"/>
        <v>6</v>
      </c>
    </row>
    <row r="47" spans="2:32">
      <c r="B47" s="46">
        <v>2</v>
      </c>
      <c r="C47" s="45" t="s">
        <v>1731</v>
      </c>
      <c r="D47" s="1027"/>
      <c r="F47" s="46">
        <v>2</v>
      </c>
      <c r="G47" s="45" t="s">
        <v>1732</v>
      </c>
      <c r="H47" s="1027"/>
      <c r="J47" s="46">
        <v>2</v>
      </c>
      <c r="K47" s="45" t="s">
        <v>1733</v>
      </c>
      <c r="L47" s="1027"/>
      <c r="N47" s="46">
        <v>2</v>
      </c>
      <c r="O47" s="45" t="s">
        <v>1732</v>
      </c>
      <c r="P47" s="1027"/>
      <c r="R47" s="46">
        <v>2</v>
      </c>
      <c r="S47" s="45" t="s">
        <v>1730</v>
      </c>
      <c r="T47" s="1027"/>
      <c r="V47" s="46">
        <v>2</v>
      </c>
      <c r="W47" s="45" t="s">
        <v>1732</v>
      </c>
      <c r="X47" s="1027"/>
      <c r="Z47" s="46">
        <v>2</v>
      </c>
      <c r="AA47" s="45" t="s">
        <v>1732</v>
      </c>
      <c r="AB47" s="1027"/>
      <c r="AE47" t="s">
        <v>1746</v>
      </c>
      <c r="AF47" s="63">
        <f>COUNTIF($B$41:$AB$49,AE47)</f>
        <v>0</v>
      </c>
    </row>
    <row r="48" spans="2:32">
      <c r="B48" s="46">
        <v>3</v>
      </c>
      <c r="C48" s="45"/>
      <c r="D48" s="1027"/>
      <c r="F48" s="46">
        <v>3</v>
      </c>
      <c r="G48" s="66" t="s">
        <v>1357</v>
      </c>
      <c r="H48" s="1027"/>
      <c r="J48" s="46">
        <v>3</v>
      </c>
      <c r="K48" s="66" t="s">
        <v>1730</v>
      </c>
      <c r="L48" s="1027"/>
      <c r="N48" s="46">
        <v>3</v>
      </c>
      <c r="O48" s="66" t="s">
        <v>1737</v>
      </c>
      <c r="P48" s="1027"/>
      <c r="R48" s="46">
        <v>3</v>
      </c>
      <c r="S48" s="45" t="s">
        <v>1732</v>
      </c>
      <c r="T48" s="1027"/>
      <c r="V48" s="46">
        <v>3</v>
      </c>
      <c r="W48" s="45" t="s">
        <v>1733</v>
      </c>
      <c r="X48" s="1027"/>
      <c r="Z48" s="46">
        <v>3</v>
      </c>
      <c r="AA48" s="45" t="s">
        <v>1733</v>
      </c>
      <c r="AB48" s="1027"/>
      <c r="AE48" t="s">
        <v>1737</v>
      </c>
      <c r="AF48" s="63">
        <f t="shared" ref="AF48" si="5">COUNTIF($B$41:$AB$49,AE48)</f>
        <v>2</v>
      </c>
    </row>
    <row r="49" spans="2:32" ht="17" thickBot="1">
      <c r="B49" s="47">
        <v>4</v>
      </c>
      <c r="C49" s="48"/>
      <c r="D49" s="1029"/>
      <c r="F49" s="47">
        <v>4</v>
      </c>
      <c r="G49" s="48"/>
      <c r="H49" s="1029"/>
      <c r="J49" s="47">
        <v>4</v>
      </c>
      <c r="K49" s="48"/>
      <c r="L49" s="1029"/>
      <c r="N49" s="47">
        <v>4</v>
      </c>
      <c r="O49" s="48"/>
      <c r="P49" s="1029"/>
      <c r="R49" s="47">
        <v>4</v>
      </c>
      <c r="S49" s="48" t="s">
        <v>1737</v>
      </c>
      <c r="T49" s="1029"/>
      <c r="V49" s="47">
        <v>4</v>
      </c>
      <c r="W49" s="48" t="s">
        <v>1730</v>
      </c>
      <c r="X49" s="1029"/>
      <c r="Z49" s="47">
        <v>4</v>
      </c>
      <c r="AA49" s="48"/>
      <c r="AB49" s="1029"/>
    </row>
    <row r="50" spans="2:32" ht="17" thickBot="1"/>
    <row r="51" spans="2:32">
      <c r="B51" s="1036" t="s">
        <v>1754</v>
      </c>
      <c r="C51" s="1037"/>
      <c r="D51" s="1038"/>
      <c r="F51" s="1036" t="s">
        <v>1755</v>
      </c>
      <c r="G51" s="1037"/>
      <c r="H51" s="1038"/>
      <c r="J51" s="1036" t="s">
        <v>1756</v>
      </c>
      <c r="K51" s="1037"/>
      <c r="L51" s="1038"/>
      <c r="N51" s="1036" t="s">
        <v>1757</v>
      </c>
      <c r="O51" s="1037"/>
      <c r="P51" s="1038"/>
      <c r="R51" s="1036" t="s">
        <v>1758</v>
      </c>
      <c r="S51" s="1037"/>
      <c r="T51" s="1038"/>
      <c r="V51" s="1036" t="s">
        <v>1759</v>
      </c>
      <c r="W51" s="1037"/>
      <c r="X51" s="1038"/>
      <c r="Z51" s="1055" t="s">
        <v>1760</v>
      </c>
      <c r="AA51" s="1056"/>
      <c r="AB51" s="1057"/>
      <c r="AE51" t="s">
        <v>1729</v>
      </c>
      <c r="AF51" s="63">
        <f t="shared" ref="AF51:AF58" si="6">COUNTIF($B$51:$AB$59,AE51)</f>
        <v>6</v>
      </c>
    </row>
    <row r="52" spans="2:32" ht="16" customHeight="1">
      <c r="B52" s="46">
        <v>1</v>
      </c>
      <c r="C52" s="45" t="s">
        <v>1731</v>
      </c>
      <c r="D52" s="1027" t="s">
        <v>119</v>
      </c>
      <c r="F52" s="46">
        <v>1</v>
      </c>
      <c r="G52" s="45" t="s">
        <v>1731</v>
      </c>
      <c r="H52" s="1027" t="s">
        <v>119</v>
      </c>
      <c r="J52" s="46">
        <v>1</v>
      </c>
      <c r="K52" s="45" t="s">
        <v>1731</v>
      </c>
      <c r="L52" s="1027" t="s">
        <v>119</v>
      </c>
      <c r="N52" s="46">
        <v>1</v>
      </c>
      <c r="O52" s="45" t="s">
        <v>1357</v>
      </c>
      <c r="P52" s="1027" t="s">
        <v>119</v>
      </c>
      <c r="R52" s="46">
        <v>1</v>
      </c>
      <c r="S52" s="45" t="s">
        <v>1733</v>
      </c>
      <c r="T52" s="1027" t="s">
        <v>119</v>
      </c>
      <c r="V52" s="46">
        <v>1</v>
      </c>
      <c r="W52" s="45" t="s">
        <v>1731</v>
      </c>
      <c r="X52" s="1027" t="s">
        <v>119</v>
      </c>
      <c r="Z52" s="46">
        <v>1</v>
      </c>
      <c r="AA52" s="45" t="s">
        <v>1357</v>
      </c>
      <c r="AB52" s="1027" t="s">
        <v>119</v>
      </c>
      <c r="AE52" t="s">
        <v>1732</v>
      </c>
      <c r="AF52" s="63">
        <f t="shared" si="6"/>
        <v>2</v>
      </c>
    </row>
    <row r="53" spans="2:32">
      <c r="B53" s="46">
        <v>2</v>
      </c>
      <c r="C53" s="45" t="s">
        <v>1733</v>
      </c>
      <c r="D53" s="1027"/>
      <c r="F53" s="46">
        <v>2</v>
      </c>
      <c r="G53" s="45" t="s">
        <v>1733</v>
      </c>
      <c r="H53" s="1027"/>
      <c r="J53" s="46">
        <v>2</v>
      </c>
      <c r="K53" s="45" t="s">
        <v>1357</v>
      </c>
      <c r="L53" s="1027"/>
      <c r="N53" s="46">
        <v>2</v>
      </c>
      <c r="O53" s="45" t="s">
        <v>1731</v>
      </c>
      <c r="P53" s="1027"/>
      <c r="R53" s="46">
        <v>2</v>
      </c>
      <c r="S53" s="45" t="s">
        <v>1357</v>
      </c>
      <c r="T53" s="1027"/>
      <c r="V53" s="46">
        <v>2</v>
      </c>
      <c r="W53" s="45" t="s">
        <v>1357</v>
      </c>
      <c r="X53" s="1027"/>
      <c r="Z53" s="46">
        <v>2</v>
      </c>
      <c r="AA53" s="45" t="s">
        <v>1730</v>
      </c>
      <c r="AB53" s="1027"/>
      <c r="AE53" s="55" t="s">
        <v>1730</v>
      </c>
      <c r="AF53" s="63">
        <f>COUNTIF($B$51:$AB$59,AE53)</f>
        <v>5</v>
      </c>
    </row>
    <row r="54" spans="2:32">
      <c r="B54" s="46">
        <v>3</v>
      </c>
      <c r="C54" s="45"/>
      <c r="D54" s="1027"/>
      <c r="F54" s="46">
        <v>3</v>
      </c>
      <c r="G54" s="45"/>
      <c r="H54" s="1027"/>
      <c r="J54" s="46">
        <v>3</v>
      </c>
      <c r="K54" s="45"/>
      <c r="L54" s="1027"/>
      <c r="N54" s="46">
        <v>3</v>
      </c>
      <c r="O54" s="45"/>
      <c r="P54" s="1027"/>
      <c r="R54" s="46">
        <v>3</v>
      </c>
      <c r="S54" s="45"/>
      <c r="T54" s="1027"/>
      <c r="V54" s="46">
        <v>3</v>
      </c>
      <c r="W54" s="45"/>
      <c r="X54" s="1027"/>
      <c r="Z54" s="46">
        <v>3</v>
      </c>
      <c r="AA54" s="45"/>
      <c r="AB54" s="1027"/>
      <c r="AE54" t="s">
        <v>1733</v>
      </c>
      <c r="AF54" s="63">
        <f t="shared" si="6"/>
        <v>6</v>
      </c>
    </row>
    <row r="55" spans="2:32" ht="17" thickBot="1">
      <c r="B55" s="47">
        <v>4</v>
      </c>
      <c r="C55" s="48"/>
      <c r="D55" s="1029"/>
      <c r="F55" s="47">
        <v>4</v>
      </c>
      <c r="G55" s="48"/>
      <c r="H55" s="1029"/>
      <c r="J55" s="47">
        <v>4</v>
      </c>
      <c r="K55" s="48"/>
      <c r="L55" s="1029"/>
      <c r="N55" s="47">
        <v>4</v>
      </c>
      <c r="O55" s="48"/>
      <c r="P55" s="1029"/>
      <c r="R55" s="47">
        <v>4</v>
      </c>
      <c r="S55" s="48"/>
      <c r="T55" s="1029"/>
      <c r="V55" s="47">
        <v>4</v>
      </c>
      <c r="W55" s="48"/>
      <c r="X55" s="1029"/>
      <c r="Z55" s="47">
        <v>4</v>
      </c>
      <c r="AA55" s="48"/>
      <c r="AB55" s="1029"/>
      <c r="AE55" t="s">
        <v>1357</v>
      </c>
      <c r="AF55" s="63">
        <f t="shared" si="6"/>
        <v>6</v>
      </c>
    </row>
    <row r="56" spans="2:32" ht="16" customHeight="1">
      <c r="B56" s="49">
        <v>1</v>
      </c>
      <c r="C56" s="50" t="s">
        <v>1729</v>
      </c>
      <c r="D56" s="1026" t="s">
        <v>1389</v>
      </c>
      <c r="F56" s="49">
        <v>1</v>
      </c>
      <c r="G56" s="50" t="s">
        <v>1729</v>
      </c>
      <c r="H56" s="1026" t="s">
        <v>1389</v>
      </c>
      <c r="J56" s="49">
        <v>1</v>
      </c>
      <c r="K56" s="45" t="s">
        <v>1733</v>
      </c>
      <c r="L56" s="1026" t="s">
        <v>1389</v>
      </c>
      <c r="N56" s="49">
        <v>1</v>
      </c>
      <c r="O56" s="50" t="s">
        <v>1729</v>
      </c>
      <c r="P56" s="1026" t="s">
        <v>1389</v>
      </c>
      <c r="R56" s="49">
        <v>1</v>
      </c>
      <c r="S56" s="45" t="s">
        <v>1729</v>
      </c>
      <c r="T56" s="1026" t="s">
        <v>1389</v>
      </c>
      <c r="V56" s="49">
        <v>1</v>
      </c>
      <c r="W56" s="45" t="s">
        <v>1729</v>
      </c>
      <c r="X56" s="1026" t="s">
        <v>1389</v>
      </c>
      <c r="Z56" s="49">
        <v>1</v>
      </c>
      <c r="AA56" s="45" t="s">
        <v>1729</v>
      </c>
      <c r="AB56" s="1026" t="s">
        <v>1389</v>
      </c>
      <c r="AE56" t="s">
        <v>1731</v>
      </c>
      <c r="AF56" s="63">
        <f t="shared" si="6"/>
        <v>6</v>
      </c>
    </row>
    <row r="57" spans="2:32">
      <c r="B57" s="46">
        <v>2</v>
      </c>
      <c r="C57" s="45" t="s">
        <v>1730</v>
      </c>
      <c r="D57" s="1027"/>
      <c r="F57" s="46">
        <v>2</v>
      </c>
      <c r="G57" s="45" t="s">
        <v>1732</v>
      </c>
      <c r="H57" s="1027"/>
      <c r="J57" s="46">
        <v>2</v>
      </c>
      <c r="K57" s="45" t="s">
        <v>1732</v>
      </c>
      <c r="L57" s="1027"/>
      <c r="N57" s="46">
        <v>2</v>
      </c>
      <c r="O57" s="45" t="s">
        <v>1737</v>
      </c>
      <c r="P57" s="1027"/>
      <c r="R57" s="46">
        <v>2</v>
      </c>
      <c r="S57" s="45" t="s">
        <v>1730</v>
      </c>
      <c r="T57" s="1027"/>
      <c r="V57" s="46">
        <v>2</v>
      </c>
      <c r="W57" s="45" t="s">
        <v>1733</v>
      </c>
      <c r="X57" s="1027"/>
      <c r="Z57" s="46">
        <v>2</v>
      </c>
      <c r="AA57" s="45" t="s">
        <v>1731</v>
      </c>
      <c r="AB57" s="1027"/>
      <c r="AE57" t="s">
        <v>1746</v>
      </c>
      <c r="AF57" s="63">
        <f>COUNTIF($B$51:$AB$59,AE57)</f>
        <v>0</v>
      </c>
    </row>
    <row r="58" spans="2:32">
      <c r="B58" s="46">
        <v>3</v>
      </c>
      <c r="C58" s="45" t="s">
        <v>1357</v>
      </c>
      <c r="D58" s="1027"/>
      <c r="F58" s="46">
        <v>3</v>
      </c>
      <c r="G58" s="45" t="s">
        <v>1730</v>
      </c>
      <c r="H58" s="1027"/>
      <c r="J58" s="46">
        <v>3</v>
      </c>
      <c r="K58" s="45" t="s">
        <v>1730</v>
      </c>
      <c r="L58" s="1027"/>
      <c r="N58" s="46">
        <v>3</v>
      </c>
      <c r="O58" s="45" t="s">
        <v>1733</v>
      </c>
      <c r="P58" s="1027"/>
      <c r="R58" s="46">
        <v>3</v>
      </c>
      <c r="S58" s="45"/>
      <c r="T58" s="1027"/>
      <c r="V58" s="46">
        <v>3</v>
      </c>
      <c r="W58" s="45"/>
      <c r="X58" s="1027"/>
      <c r="Z58" s="46">
        <v>3</v>
      </c>
      <c r="AA58" s="45"/>
      <c r="AB58" s="1027"/>
      <c r="AE58" t="s">
        <v>1737</v>
      </c>
      <c r="AF58" s="63">
        <f t="shared" si="6"/>
        <v>4</v>
      </c>
    </row>
    <row r="59" spans="2:32" ht="17" thickBot="1">
      <c r="B59" s="47">
        <v>4</v>
      </c>
      <c r="C59" s="48"/>
      <c r="D59" s="1029"/>
      <c r="F59" s="47">
        <v>4</v>
      </c>
      <c r="G59" s="48"/>
      <c r="H59" s="1029"/>
      <c r="J59" s="47">
        <v>4</v>
      </c>
      <c r="K59" s="48"/>
      <c r="L59" s="1029"/>
      <c r="N59" s="47">
        <v>4</v>
      </c>
      <c r="O59" s="48"/>
      <c r="P59" s="1029"/>
      <c r="R59" s="47">
        <v>4</v>
      </c>
      <c r="S59" s="48" t="s">
        <v>1737</v>
      </c>
      <c r="T59" s="1029"/>
      <c r="V59" s="47">
        <v>4</v>
      </c>
      <c r="W59" s="48" t="s">
        <v>1737</v>
      </c>
      <c r="X59" s="1029"/>
      <c r="Z59" s="47">
        <v>4</v>
      </c>
      <c r="AA59" s="48" t="s">
        <v>1737</v>
      </c>
      <c r="AB59" s="1029"/>
    </row>
    <row r="60" spans="2:32" ht="17" thickBot="1"/>
    <row r="61" spans="2:32">
      <c r="B61" s="1036" t="s">
        <v>1761</v>
      </c>
      <c r="C61" s="1037"/>
      <c r="D61" s="1038"/>
      <c r="F61" s="1036" t="s">
        <v>1762</v>
      </c>
      <c r="G61" s="1037"/>
      <c r="H61" s="1038"/>
      <c r="J61" s="1030" t="s">
        <v>1382</v>
      </c>
      <c r="K61" s="1031"/>
      <c r="L61" s="1032"/>
      <c r="N61" s="1030" t="s">
        <v>1383</v>
      </c>
      <c r="O61" s="1031"/>
      <c r="P61" s="1032"/>
      <c r="R61" s="1030" t="s">
        <v>1384</v>
      </c>
      <c r="S61" s="1031"/>
      <c r="T61" s="1032"/>
      <c r="V61" s="1030" t="s">
        <v>1385</v>
      </c>
      <c r="W61" s="1031"/>
      <c r="X61" s="1032"/>
      <c r="Z61" s="1052" t="s">
        <v>1386</v>
      </c>
      <c r="AA61" s="1053"/>
      <c r="AB61" s="1054"/>
      <c r="AE61" t="s">
        <v>1729</v>
      </c>
      <c r="AF61" s="63">
        <f t="shared" ref="AF61:AF64" si="7">COUNTIF($B$61:$AB$69,AE61)</f>
        <v>6</v>
      </c>
    </row>
    <row r="62" spans="2:32" ht="16" customHeight="1">
      <c r="B62" s="46">
        <v>1</v>
      </c>
      <c r="C62" s="45" t="s">
        <v>1731</v>
      </c>
      <c r="D62" s="1027" t="s">
        <v>119</v>
      </c>
      <c r="F62" s="46">
        <v>1</v>
      </c>
      <c r="G62" s="45" t="s">
        <v>1731</v>
      </c>
      <c r="H62" s="1027" t="s">
        <v>119</v>
      </c>
      <c r="J62" s="46">
        <v>1</v>
      </c>
      <c r="K62" s="45" t="s">
        <v>1731</v>
      </c>
      <c r="L62" s="1027" t="s">
        <v>119</v>
      </c>
      <c r="N62" s="46">
        <v>1</v>
      </c>
      <c r="O62" s="45" t="s">
        <v>1357</v>
      </c>
      <c r="P62" s="1027" t="s">
        <v>119</v>
      </c>
      <c r="R62" s="46">
        <v>1</v>
      </c>
      <c r="S62" s="45" t="s">
        <v>1733</v>
      </c>
      <c r="T62" s="1027" t="s">
        <v>119</v>
      </c>
      <c r="V62" s="46">
        <v>1</v>
      </c>
      <c r="W62" s="45" t="s">
        <v>1731</v>
      </c>
      <c r="X62" s="1027" t="s">
        <v>119</v>
      </c>
      <c r="Z62" s="46">
        <v>1</v>
      </c>
      <c r="AA62" s="45" t="s">
        <v>1357</v>
      </c>
      <c r="AB62" s="1027" t="s">
        <v>119</v>
      </c>
      <c r="AE62" s="55" t="s">
        <v>1732</v>
      </c>
      <c r="AF62" s="63">
        <f t="shared" si="7"/>
        <v>6</v>
      </c>
    </row>
    <row r="63" spans="2:32">
      <c r="B63" s="46">
        <v>2</v>
      </c>
      <c r="C63" s="45" t="s">
        <v>1733</v>
      </c>
      <c r="D63" s="1027"/>
      <c r="F63" s="46">
        <v>2</v>
      </c>
      <c r="G63" s="45" t="s">
        <v>1733</v>
      </c>
      <c r="H63" s="1027"/>
      <c r="J63" s="46">
        <v>2</v>
      </c>
      <c r="K63" s="45" t="s">
        <v>1357</v>
      </c>
      <c r="L63" s="1027"/>
      <c r="N63" s="46">
        <v>2</v>
      </c>
      <c r="O63" s="45" t="s">
        <v>1731</v>
      </c>
      <c r="P63" s="1027"/>
      <c r="R63" s="46">
        <v>2</v>
      </c>
      <c r="S63" s="45" t="s">
        <v>1357</v>
      </c>
      <c r="T63" s="1027"/>
      <c r="V63" s="46">
        <v>2</v>
      </c>
      <c r="W63" s="45" t="s">
        <v>1357</v>
      </c>
      <c r="X63" s="1027"/>
      <c r="Z63" s="46">
        <v>2</v>
      </c>
      <c r="AA63" s="45" t="s">
        <v>1730</v>
      </c>
      <c r="AB63" s="1027"/>
      <c r="AE63" t="s">
        <v>1730</v>
      </c>
      <c r="AF63" s="63">
        <f t="shared" si="7"/>
        <v>6</v>
      </c>
    </row>
    <row r="64" spans="2:32">
      <c r="B64" s="46">
        <v>3</v>
      </c>
      <c r="C64" s="45"/>
      <c r="D64" s="1027"/>
      <c r="F64" s="46">
        <v>3</v>
      </c>
      <c r="G64" s="45"/>
      <c r="H64" s="1027"/>
      <c r="J64" s="46">
        <v>3</v>
      </c>
      <c r="K64" s="45"/>
      <c r="L64" s="1027"/>
      <c r="N64" s="46">
        <v>3</v>
      </c>
      <c r="O64" s="45"/>
      <c r="P64" s="1027"/>
      <c r="R64" s="46">
        <v>3</v>
      </c>
      <c r="S64" s="45"/>
      <c r="T64" s="1027"/>
      <c r="V64" s="46">
        <v>3</v>
      </c>
      <c r="W64" s="45"/>
      <c r="X64" s="1027"/>
      <c r="Z64" s="46">
        <v>3</v>
      </c>
      <c r="AA64" s="45"/>
      <c r="AB64" s="1027"/>
      <c r="AE64" t="s">
        <v>1733</v>
      </c>
      <c r="AF64" s="63">
        <f t="shared" si="7"/>
        <v>5</v>
      </c>
    </row>
    <row r="65" spans="2:33" ht="17" thickBot="1">
      <c r="B65" s="47">
        <v>4</v>
      </c>
      <c r="C65" s="48"/>
      <c r="D65" s="1029"/>
      <c r="F65" s="47">
        <v>4</v>
      </c>
      <c r="G65" s="48"/>
      <c r="H65" s="1029"/>
      <c r="J65" s="47">
        <v>4</v>
      </c>
      <c r="K65" s="48"/>
      <c r="L65" s="1029"/>
      <c r="N65" s="47">
        <v>4</v>
      </c>
      <c r="O65" s="48"/>
      <c r="P65" s="1029"/>
      <c r="R65" s="47">
        <v>4</v>
      </c>
      <c r="S65" s="48"/>
      <c r="T65" s="1029"/>
      <c r="V65" s="47">
        <v>4</v>
      </c>
      <c r="W65" s="48"/>
      <c r="X65" s="1029"/>
      <c r="Z65" s="47">
        <v>4</v>
      </c>
      <c r="AA65" s="48"/>
      <c r="AB65" s="1029"/>
      <c r="AE65" t="s">
        <v>1357</v>
      </c>
      <c r="AF65" s="63">
        <f>COUNTIF($B$61:$AB$69,AE65)</f>
        <v>6</v>
      </c>
    </row>
    <row r="66" spans="2:33" ht="16" customHeight="1">
      <c r="B66" s="49">
        <v>1</v>
      </c>
      <c r="C66" s="50" t="s">
        <v>1729</v>
      </c>
      <c r="D66" s="1026" t="s">
        <v>1389</v>
      </c>
      <c r="F66" s="49">
        <v>1</v>
      </c>
      <c r="G66" s="50" t="s">
        <v>1729</v>
      </c>
      <c r="H66" s="1026" t="s">
        <v>1389</v>
      </c>
      <c r="J66" s="49">
        <v>1</v>
      </c>
      <c r="K66" s="45" t="s">
        <v>1733</v>
      </c>
      <c r="L66" s="1026" t="s">
        <v>1389</v>
      </c>
      <c r="N66" s="49">
        <v>1</v>
      </c>
      <c r="O66" s="50" t="s">
        <v>1729</v>
      </c>
      <c r="P66" s="1026" t="s">
        <v>1389</v>
      </c>
      <c r="R66" s="49">
        <v>1</v>
      </c>
      <c r="S66" s="45" t="s">
        <v>1729</v>
      </c>
      <c r="T66" s="1026" t="s">
        <v>1389</v>
      </c>
      <c r="V66" s="49">
        <v>1</v>
      </c>
      <c r="W66" s="45" t="s">
        <v>1729</v>
      </c>
      <c r="X66" s="1026" t="s">
        <v>1389</v>
      </c>
      <c r="Z66" s="49">
        <v>1</v>
      </c>
      <c r="AA66" s="45" t="s">
        <v>1729</v>
      </c>
      <c r="AB66" s="1026" t="s">
        <v>1389</v>
      </c>
      <c r="AE66" t="s">
        <v>1731</v>
      </c>
      <c r="AF66" s="63">
        <f t="shared" ref="AF66:AF68" si="8">COUNTIF($B$61:$AB$69,AE66)</f>
        <v>6</v>
      </c>
    </row>
    <row r="67" spans="2:33">
      <c r="B67" s="46">
        <v>2</v>
      </c>
      <c r="C67" s="45" t="s">
        <v>1730</v>
      </c>
      <c r="D67" s="1027"/>
      <c r="F67" s="46">
        <v>2</v>
      </c>
      <c r="G67" s="45" t="s">
        <v>1732</v>
      </c>
      <c r="H67" s="1027"/>
      <c r="J67" s="46">
        <v>2</v>
      </c>
      <c r="K67" s="45" t="s">
        <v>1732</v>
      </c>
      <c r="L67" s="1027"/>
      <c r="N67" s="46">
        <v>2</v>
      </c>
      <c r="O67" s="45" t="s">
        <v>1730</v>
      </c>
      <c r="P67" s="1027"/>
      <c r="R67" s="46">
        <v>2</v>
      </c>
      <c r="S67" s="45" t="s">
        <v>1730</v>
      </c>
      <c r="T67" s="1027"/>
      <c r="V67" s="46">
        <v>2</v>
      </c>
      <c r="W67" s="45" t="s">
        <v>1733</v>
      </c>
      <c r="X67" s="1027"/>
      <c r="Z67" s="46">
        <v>2</v>
      </c>
      <c r="AA67" s="45" t="s">
        <v>1731</v>
      </c>
      <c r="AB67" s="1027"/>
      <c r="AE67" t="s">
        <v>1746</v>
      </c>
      <c r="AF67" s="63">
        <f>COUNTIF($B$61:$AB$69,AE67)</f>
        <v>0</v>
      </c>
    </row>
    <row r="68" spans="2:33">
      <c r="B68" s="46">
        <v>3</v>
      </c>
      <c r="C68" s="45" t="s">
        <v>1357</v>
      </c>
      <c r="D68" s="1027"/>
      <c r="F68" s="46">
        <v>3</v>
      </c>
      <c r="G68" s="45" t="s">
        <v>1730</v>
      </c>
      <c r="H68" s="1027"/>
      <c r="J68" s="46">
        <v>3</v>
      </c>
      <c r="K68" s="45" t="s">
        <v>1730</v>
      </c>
      <c r="L68" s="1027"/>
      <c r="N68" s="46">
        <v>3</v>
      </c>
      <c r="O68" s="45" t="s">
        <v>1732</v>
      </c>
      <c r="P68" s="1027"/>
      <c r="R68" s="46">
        <v>3</v>
      </c>
      <c r="S68" s="45" t="s">
        <v>1732</v>
      </c>
      <c r="T68" s="1027"/>
      <c r="V68" s="46">
        <v>3</v>
      </c>
      <c r="W68" s="45" t="s">
        <v>1732</v>
      </c>
      <c r="X68" s="1027"/>
      <c r="Z68" s="46">
        <v>3</v>
      </c>
      <c r="AA68" s="45" t="s">
        <v>1732</v>
      </c>
      <c r="AB68" s="1027"/>
      <c r="AE68" t="s">
        <v>1737</v>
      </c>
      <c r="AF68" s="63">
        <f t="shared" si="8"/>
        <v>0</v>
      </c>
    </row>
    <row r="69" spans="2:33" ht="17" thickBot="1">
      <c r="B69" s="47">
        <v>4</v>
      </c>
      <c r="C69" s="48"/>
      <c r="D69" s="1029"/>
      <c r="F69" s="47">
        <v>4</v>
      </c>
      <c r="G69" s="48"/>
      <c r="H69" s="1029"/>
      <c r="J69" s="47">
        <v>4</v>
      </c>
      <c r="K69" s="48"/>
      <c r="L69" s="1029"/>
      <c r="N69" s="47">
        <v>4</v>
      </c>
      <c r="O69" s="48"/>
      <c r="P69" s="1029"/>
      <c r="R69" s="47">
        <v>4</v>
      </c>
      <c r="S69" s="48" t="s">
        <v>1763</v>
      </c>
      <c r="T69" s="1029"/>
      <c r="V69" s="47">
        <v>4</v>
      </c>
      <c r="W69" s="48" t="s">
        <v>1763</v>
      </c>
      <c r="X69" s="1029"/>
      <c r="Z69" s="47">
        <v>4</v>
      </c>
      <c r="AA69" s="48"/>
      <c r="AB69" s="1029"/>
    </row>
    <row r="70" spans="2:33" ht="17" thickBot="1"/>
    <row r="71" spans="2:33">
      <c r="B71" s="1030" t="s">
        <v>1391</v>
      </c>
      <c r="C71" s="1031"/>
      <c r="D71" s="1032"/>
      <c r="F71" s="1030" t="s">
        <v>1392</v>
      </c>
      <c r="G71" s="1031"/>
      <c r="H71" s="1032"/>
      <c r="J71" s="1030" t="s">
        <v>1393</v>
      </c>
      <c r="K71" s="1031"/>
      <c r="L71" s="1032"/>
      <c r="N71" s="1030" t="s">
        <v>1394</v>
      </c>
      <c r="O71" s="1031"/>
      <c r="P71" s="1032"/>
      <c r="R71" s="1030" t="s">
        <v>1395</v>
      </c>
      <c r="S71" s="1031"/>
      <c r="T71" s="1032"/>
      <c r="V71" s="1030" t="s">
        <v>1396</v>
      </c>
      <c r="W71" s="1031"/>
      <c r="X71" s="1032"/>
      <c r="Z71" s="1052" t="s">
        <v>1397</v>
      </c>
      <c r="AA71" s="1053"/>
      <c r="AB71" s="1054"/>
      <c r="AE71" t="s">
        <v>1729</v>
      </c>
      <c r="AF71" s="63">
        <f t="shared" ref="AF71:AF78" si="9">COUNTIF($C$72:$AA$80,AE71)</f>
        <v>6</v>
      </c>
    </row>
    <row r="72" spans="2:33" ht="16" customHeight="1">
      <c r="B72" s="46">
        <v>1</v>
      </c>
      <c r="C72" s="45" t="s">
        <v>1731</v>
      </c>
      <c r="D72" s="1027" t="s">
        <v>119</v>
      </c>
      <c r="F72" s="46">
        <v>1</v>
      </c>
      <c r="G72" s="45" t="s">
        <v>1731</v>
      </c>
      <c r="H72" s="1027" t="s">
        <v>119</v>
      </c>
      <c r="J72" s="46">
        <v>1</v>
      </c>
      <c r="K72" s="45" t="s">
        <v>1733</v>
      </c>
      <c r="L72" s="1027" t="s">
        <v>119</v>
      </c>
      <c r="N72" s="46">
        <v>1</v>
      </c>
      <c r="O72" s="45" t="s">
        <v>1357</v>
      </c>
      <c r="P72" s="1027" t="s">
        <v>119</v>
      </c>
      <c r="R72" s="46">
        <v>1</v>
      </c>
      <c r="S72" s="45" t="s">
        <v>1731</v>
      </c>
      <c r="T72" s="1027" t="s">
        <v>119</v>
      </c>
      <c r="V72" s="46">
        <v>1</v>
      </c>
      <c r="W72" s="45" t="s">
        <v>1731</v>
      </c>
      <c r="X72" s="1027" t="s">
        <v>119</v>
      </c>
      <c r="Z72" s="46">
        <v>1</v>
      </c>
      <c r="AA72" s="45" t="s">
        <v>1731</v>
      </c>
      <c r="AB72" s="1027" t="s">
        <v>119</v>
      </c>
      <c r="AE72" t="s">
        <v>1732</v>
      </c>
      <c r="AF72" s="63">
        <f t="shared" si="9"/>
        <v>5</v>
      </c>
    </row>
    <row r="73" spans="2:33">
      <c r="B73" s="46">
        <v>2</v>
      </c>
      <c r="C73" s="45" t="s">
        <v>1733</v>
      </c>
      <c r="D73" s="1027"/>
      <c r="F73" s="46">
        <v>2</v>
      </c>
      <c r="G73" s="45" t="s">
        <v>1733</v>
      </c>
      <c r="H73" s="1027"/>
      <c r="J73" s="46">
        <v>2</v>
      </c>
      <c r="K73" s="45" t="s">
        <v>1357</v>
      </c>
      <c r="L73" s="1027"/>
      <c r="N73" s="46">
        <v>2</v>
      </c>
      <c r="O73" s="45" t="s">
        <v>1733</v>
      </c>
      <c r="P73" s="1027"/>
      <c r="R73" s="46">
        <v>2</v>
      </c>
      <c r="S73" s="45" t="s">
        <v>1357</v>
      </c>
      <c r="T73" s="1027"/>
      <c r="V73" s="46">
        <v>2</v>
      </c>
      <c r="W73" s="45" t="s">
        <v>1730</v>
      </c>
      <c r="X73" s="1027"/>
      <c r="Z73" s="46">
        <v>2</v>
      </c>
      <c r="AA73" s="45" t="s">
        <v>1730</v>
      </c>
      <c r="AB73" s="1027"/>
      <c r="AE73" t="s">
        <v>1730</v>
      </c>
      <c r="AF73" s="63">
        <f t="shared" si="9"/>
        <v>5</v>
      </c>
    </row>
    <row r="74" spans="2:33">
      <c r="B74" s="46">
        <v>3</v>
      </c>
      <c r="C74" s="45"/>
      <c r="D74" s="1027"/>
      <c r="F74" s="46">
        <v>3</v>
      </c>
      <c r="G74" s="45"/>
      <c r="H74" s="1027"/>
      <c r="J74" s="46">
        <v>3</v>
      </c>
      <c r="K74" s="45" t="s">
        <v>1764</v>
      </c>
      <c r="L74" s="1027"/>
      <c r="N74" s="46">
        <v>3</v>
      </c>
      <c r="O74" s="45" t="s">
        <v>1764</v>
      </c>
      <c r="P74" s="1027"/>
      <c r="R74" s="46">
        <v>3</v>
      </c>
      <c r="S74" s="45" t="s">
        <v>1764</v>
      </c>
      <c r="T74" s="1027"/>
      <c r="V74" s="46">
        <v>3</v>
      </c>
      <c r="W74" s="45" t="s">
        <v>1764</v>
      </c>
      <c r="X74" s="1027"/>
      <c r="Z74" s="46">
        <v>3</v>
      </c>
      <c r="AA74" s="45" t="s">
        <v>1764</v>
      </c>
      <c r="AB74" s="1027"/>
      <c r="AE74" t="s">
        <v>1733</v>
      </c>
      <c r="AF74" s="63">
        <f t="shared" si="9"/>
        <v>5</v>
      </c>
    </row>
    <row r="75" spans="2:33" ht="17" thickBot="1">
      <c r="B75" s="47">
        <v>4</v>
      </c>
      <c r="C75" s="48"/>
      <c r="D75" s="1029"/>
      <c r="F75" s="47">
        <v>4</v>
      </c>
      <c r="G75" s="48"/>
      <c r="H75" s="1029"/>
      <c r="J75" s="47">
        <v>4</v>
      </c>
      <c r="K75" s="48"/>
      <c r="L75" s="1029"/>
      <c r="N75" s="47">
        <v>4</v>
      </c>
      <c r="O75" s="48"/>
      <c r="P75" s="1029"/>
      <c r="R75" s="47">
        <v>4</v>
      </c>
      <c r="S75" s="48"/>
      <c r="T75" s="1029"/>
      <c r="V75" s="47">
        <v>4</v>
      </c>
      <c r="W75" s="48"/>
      <c r="X75" s="1029"/>
      <c r="Z75" s="47">
        <v>4</v>
      </c>
      <c r="AA75" s="48"/>
      <c r="AB75" s="1029"/>
      <c r="AE75" t="s">
        <v>1357</v>
      </c>
      <c r="AF75" s="63">
        <f t="shared" si="9"/>
        <v>5</v>
      </c>
    </row>
    <row r="76" spans="2:33" ht="16" customHeight="1">
      <c r="B76" s="49">
        <v>1</v>
      </c>
      <c r="C76" s="50" t="s">
        <v>1729</v>
      </c>
      <c r="D76" s="1026" t="s">
        <v>1389</v>
      </c>
      <c r="F76" s="49">
        <v>1</v>
      </c>
      <c r="G76" s="50" t="s">
        <v>1729</v>
      </c>
      <c r="H76" s="1026" t="s">
        <v>1389</v>
      </c>
      <c r="J76" s="49">
        <v>1</v>
      </c>
      <c r="K76" s="45" t="s">
        <v>1765</v>
      </c>
      <c r="L76" s="1026" t="s">
        <v>1389</v>
      </c>
      <c r="N76" s="49">
        <v>1</v>
      </c>
      <c r="O76" s="50" t="s">
        <v>1729</v>
      </c>
      <c r="P76" s="1026" t="s">
        <v>1389</v>
      </c>
      <c r="R76" s="49">
        <v>1</v>
      </c>
      <c r="S76" s="45" t="s">
        <v>1729</v>
      </c>
      <c r="T76" s="1026" t="s">
        <v>1389</v>
      </c>
      <c r="V76" s="49">
        <v>1</v>
      </c>
      <c r="W76" s="45" t="s">
        <v>1729</v>
      </c>
      <c r="X76" s="1026" t="s">
        <v>1389</v>
      </c>
      <c r="Z76" s="49">
        <v>1</v>
      </c>
      <c r="AA76" s="45" t="s">
        <v>1729</v>
      </c>
      <c r="AB76" s="1026" t="s">
        <v>1389</v>
      </c>
      <c r="AE76" t="s">
        <v>1731</v>
      </c>
      <c r="AF76" s="63">
        <f t="shared" si="9"/>
        <v>5</v>
      </c>
      <c r="AG76" s="83" t="s">
        <v>175</v>
      </c>
    </row>
    <row r="77" spans="2:33">
      <c r="B77" s="46">
        <v>2</v>
      </c>
      <c r="C77" s="45" t="s">
        <v>1730</v>
      </c>
      <c r="D77" s="1027"/>
      <c r="F77" s="46">
        <v>2</v>
      </c>
      <c r="G77" s="45" t="s">
        <v>1732</v>
      </c>
      <c r="H77" s="1027"/>
      <c r="J77" s="46">
        <v>2</v>
      </c>
      <c r="K77" s="45" t="s">
        <v>1732</v>
      </c>
      <c r="L77" s="1027"/>
      <c r="N77" s="46">
        <v>2</v>
      </c>
      <c r="O77" s="45" t="s">
        <v>1765</v>
      </c>
      <c r="P77" s="1027"/>
      <c r="R77" s="46">
        <v>2</v>
      </c>
      <c r="S77" s="45" t="s">
        <v>1730</v>
      </c>
      <c r="T77" s="1027"/>
      <c r="V77" s="46">
        <v>2</v>
      </c>
      <c r="W77" s="45" t="s">
        <v>1733</v>
      </c>
      <c r="X77" s="1027"/>
      <c r="Z77" s="46">
        <v>2</v>
      </c>
      <c r="AA77" s="45" t="s">
        <v>1357</v>
      </c>
      <c r="AB77" s="1027"/>
      <c r="AE77" t="s">
        <v>1746</v>
      </c>
      <c r="AF77" s="63">
        <f>COUNTIF($C$72:$AA$80,AE77)</f>
        <v>2</v>
      </c>
    </row>
    <row r="78" spans="2:33">
      <c r="B78" s="46">
        <v>3</v>
      </c>
      <c r="C78" s="45" t="s">
        <v>1357</v>
      </c>
      <c r="D78" s="1027"/>
      <c r="F78" s="46">
        <v>3</v>
      </c>
      <c r="G78" s="45" t="s">
        <v>1765</v>
      </c>
      <c r="H78" s="1027"/>
      <c r="J78" s="46">
        <v>3</v>
      </c>
      <c r="K78" s="45" t="s">
        <v>1730</v>
      </c>
      <c r="L78" s="1027"/>
      <c r="N78" s="46">
        <v>3</v>
      </c>
      <c r="O78" s="45" t="s">
        <v>1732</v>
      </c>
      <c r="P78" s="1027"/>
      <c r="R78" s="46">
        <v>3</v>
      </c>
      <c r="S78" s="45" t="s">
        <v>1766</v>
      </c>
      <c r="T78" s="1027"/>
      <c r="V78" s="46">
        <v>3</v>
      </c>
      <c r="W78" s="45" t="s">
        <v>1732</v>
      </c>
      <c r="X78" s="1027"/>
      <c r="Z78" s="46">
        <v>3</v>
      </c>
      <c r="AA78" s="45" t="s">
        <v>1732</v>
      </c>
      <c r="AB78" s="1027"/>
      <c r="AE78" t="s">
        <v>1737</v>
      </c>
      <c r="AF78" s="63">
        <f t="shared" si="9"/>
        <v>0</v>
      </c>
    </row>
    <row r="79" spans="2:33">
      <c r="B79" s="51">
        <v>4</v>
      </c>
      <c r="C79" s="52"/>
      <c r="D79" s="1028"/>
      <c r="F79" s="51">
        <v>4</v>
      </c>
      <c r="G79" s="52"/>
      <c r="H79" s="1028"/>
      <c r="J79" s="51">
        <v>4</v>
      </c>
      <c r="K79" s="52"/>
      <c r="L79" s="1028"/>
      <c r="N79" s="51">
        <v>4</v>
      </c>
      <c r="O79" s="52"/>
      <c r="P79" s="1028"/>
      <c r="R79" s="51">
        <v>4</v>
      </c>
      <c r="S79" s="52" t="s">
        <v>1763</v>
      </c>
      <c r="T79" s="1028"/>
      <c r="V79" s="51">
        <v>4</v>
      </c>
      <c r="W79" s="52" t="s">
        <v>1746</v>
      </c>
      <c r="X79" s="1028"/>
      <c r="Z79" s="51">
        <v>4</v>
      </c>
      <c r="AA79" s="52" t="s">
        <v>1746</v>
      </c>
      <c r="AB79" s="1028"/>
    </row>
    <row r="80" spans="2:33" ht="17" thickBot="1">
      <c r="B80" s="47">
        <v>5</v>
      </c>
      <c r="C80" s="48"/>
      <c r="D80" s="1029"/>
      <c r="F80" s="47">
        <v>5</v>
      </c>
      <c r="G80" s="48"/>
      <c r="H80" s="1029"/>
      <c r="J80" s="47">
        <v>5</v>
      </c>
      <c r="K80" s="48"/>
      <c r="L80" s="1029"/>
      <c r="N80" s="47">
        <v>5</v>
      </c>
      <c r="O80" s="48"/>
      <c r="P80" s="1029"/>
      <c r="R80" s="47">
        <v>5</v>
      </c>
      <c r="S80" s="48" t="s">
        <v>1766</v>
      </c>
      <c r="T80" s="1029"/>
      <c r="V80" s="47">
        <v>5</v>
      </c>
      <c r="W80" s="48"/>
      <c r="X80" s="1029"/>
      <c r="Z80" s="47">
        <v>5</v>
      </c>
      <c r="AA80" s="48"/>
      <c r="AB80" s="1029"/>
    </row>
    <row r="81" spans="2:34" ht="17" thickBot="1"/>
    <row r="82" spans="2:34">
      <c r="B82" s="1030" t="s">
        <v>1405</v>
      </c>
      <c r="C82" s="1031"/>
      <c r="D82" s="1032"/>
      <c r="F82" s="1030" t="s">
        <v>1406</v>
      </c>
      <c r="G82" s="1031"/>
      <c r="H82" s="1032"/>
      <c r="J82" s="1030" t="s">
        <v>1407</v>
      </c>
      <c r="K82" s="1031"/>
      <c r="L82" s="1032"/>
      <c r="N82" s="1030" t="s">
        <v>1408</v>
      </c>
      <c r="O82" s="1031"/>
      <c r="P82" s="1032"/>
      <c r="R82" s="1030" t="s">
        <v>1409</v>
      </c>
      <c r="S82" s="1031"/>
      <c r="T82" s="1032"/>
      <c r="V82" s="1030" t="s">
        <v>1410</v>
      </c>
      <c r="W82" s="1031"/>
      <c r="X82" s="1032"/>
      <c r="Z82" s="1052" t="s">
        <v>1411</v>
      </c>
      <c r="AA82" s="1053"/>
      <c r="AB82" s="1054"/>
      <c r="AE82" t="s">
        <v>1729</v>
      </c>
      <c r="AF82" s="63">
        <f>COUNTIF($B$83:$AB$90,AE82)</f>
        <v>5</v>
      </c>
      <c r="AG82" s="85" t="s">
        <v>1557</v>
      </c>
      <c r="AH82" s="89" t="s">
        <v>1558</v>
      </c>
    </row>
    <row r="83" spans="2:34" ht="16" customHeight="1">
      <c r="B83" s="46">
        <v>1</v>
      </c>
      <c r="C83" s="45" t="s">
        <v>1731</v>
      </c>
      <c r="D83" s="1027" t="s">
        <v>119</v>
      </c>
      <c r="F83" s="46">
        <v>1</v>
      </c>
      <c r="G83" s="45" t="s">
        <v>1731</v>
      </c>
      <c r="H83" s="1027" t="s">
        <v>119</v>
      </c>
      <c r="J83" s="46">
        <v>1</v>
      </c>
      <c r="K83" s="45" t="s">
        <v>1733</v>
      </c>
      <c r="L83" s="1027" t="s">
        <v>119</v>
      </c>
      <c r="N83" s="46">
        <v>1</v>
      </c>
      <c r="O83" s="45" t="s">
        <v>1733</v>
      </c>
      <c r="P83" s="1027" t="s">
        <v>119</v>
      </c>
      <c r="R83" s="46">
        <v>1</v>
      </c>
      <c r="S83" s="45" t="s">
        <v>1731</v>
      </c>
      <c r="T83" s="1027" t="s">
        <v>119</v>
      </c>
      <c r="V83" s="46">
        <v>1</v>
      </c>
      <c r="W83" s="45" t="s">
        <v>1731</v>
      </c>
      <c r="X83" s="1027" t="s">
        <v>119</v>
      </c>
      <c r="Z83" s="46">
        <v>1</v>
      </c>
      <c r="AA83" s="45" t="s">
        <v>1731</v>
      </c>
      <c r="AB83" s="1027" t="s">
        <v>119</v>
      </c>
      <c r="AE83" t="s">
        <v>1732</v>
      </c>
      <c r="AF83" s="63">
        <f t="shared" ref="AF83:AF89" si="10">COUNTIF($B$83:$AB$90,AE83)</f>
        <v>5</v>
      </c>
      <c r="AG83" s="85" t="s">
        <v>1567</v>
      </c>
      <c r="AH83" s="89" t="s">
        <v>294</v>
      </c>
    </row>
    <row r="84" spans="2:34">
      <c r="B84" s="46">
        <v>2</v>
      </c>
      <c r="C84" s="45" t="s">
        <v>1357</v>
      </c>
      <c r="D84" s="1027"/>
      <c r="F84" s="46">
        <v>2</v>
      </c>
      <c r="G84" s="45" t="s">
        <v>1357</v>
      </c>
      <c r="H84" s="1027"/>
      <c r="J84" s="46">
        <v>2</v>
      </c>
      <c r="K84" s="45" t="s">
        <v>1357</v>
      </c>
      <c r="L84" s="1027"/>
      <c r="N84" s="46">
        <v>2</v>
      </c>
      <c r="O84" s="45" t="s">
        <v>1357</v>
      </c>
      <c r="P84" s="1027"/>
      <c r="R84" s="46">
        <v>2</v>
      </c>
      <c r="S84" s="45" t="s">
        <v>1357</v>
      </c>
      <c r="T84" s="1027"/>
      <c r="V84" s="46">
        <v>2</v>
      </c>
      <c r="W84" s="45" t="s">
        <v>1733</v>
      </c>
      <c r="X84" s="1027"/>
      <c r="Z84" s="46">
        <v>2</v>
      </c>
      <c r="AA84" s="45" t="s">
        <v>1730</v>
      </c>
      <c r="AB84" s="1027"/>
      <c r="AE84" t="s">
        <v>1730</v>
      </c>
      <c r="AF84" s="63">
        <f t="shared" si="10"/>
        <v>5</v>
      </c>
      <c r="AG84" s="85" t="s">
        <v>175</v>
      </c>
      <c r="AH84" s="89" t="s">
        <v>176</v>
      </c>
    </row>
    <row r="85" spans="2:34">
      <c r="B85" s="46">
        <v>3</v>
      </c>
      <c r="C85" s="45"/>
      <c r="D85" s="1027"/>
      <c r="F85" s="46">
        <v>3</v>
      </c>
      <c r="G85" s="45"/>
      <c r="H85" s="1027"/>
      <c r="J85" s="46">
        <v>3</v>
      </c>
      <c r="K85" s="45" t="s">
        <v>1764</v>
      </c>
      <c r="L85" s="1027"/>
      <c r="N85" s="46">
        <v>3</v>
      </c>
      <c r="O85" s="45" t="s">
        <v>1764</v>
      </c>
      <c r="P85" s="1027"/>
      <c r="R85" s="46">
        <v>3</v>
      </c>
      <c r="S85" s="45" t="s">
        <v>1764</v>
      </c>
      <c r="T85" s="1027"/>
      <c r="V85" s="46">
        <v>3</v>
      </c>
      <c r="W85" s="45" t="s">
        <v>1764</v>
      </c>
      <c r="X85" s="1027"/>
      <c r="Z85" s="46">
        <v>3</v>
      </c>
      <c r="AA85" s="45" t="s">
        <v>1764</v>
      </c>
      <c r="AB85" s="1027"/>
      <c r="AE85" t="s">
        <v>1733</v>
      </c>
      <c r="AF85" s="63">
        <f t="shared" si="10"/>
        <v>5</v>
      </c>
      <c r="AG85" s="85" t="s">
        <v>175</v>
      </c>
      <c r="AH85" s="89" t="s">
        <v>177</v>
      </c>
    </row>
    <row r="86" spans="2:34" ht="17" thickBot="1">
      <c r="B86" s="47">
        <v>4</v>
      </c>
      <c r="C86" s="48"/>
      <c r="D86" s="1029"/>
      <c r="F86" s="47">
        <v>4</v>
      </c>
      <c r="G86" s="48"/>
      <c r="H86" s="1029"/>
      <c r="J86" s="47">
        <v>4</v>
      </c>
      <c r="K86" s="48"/>
      <c r="L86" s="1029"/>
      <c r="N86" s="47">
        <v>4</v>
      </c>
      <c r="O86" s="48"/>
      <c r="P86" s="1029"/>
      <c r="R86" s="47">
        <v>4</v>
      </c>
      <c r="S86" s="48"/>
      <c r="T86" s="1029"/>
      <c r="V86" s="47">
        <v>4</v>
      </c>
      <c r="W86" s="48"/>
      <c r="X86" s="1029"/>
      <c r="Z86" s="47">
        <v>4</v>
      </c>
      <c r="AA86" s="48"/>
      <c r="AB86" s="1029"/>
      <c r="AE86" t="s">
        <v>1357</v>
      </c>
      <c r="AF86" s="63">
        <f t="shared" si="10"/>
        <v>5</v>
      </c>
      <c r="AG86" s="85" t="s">
        <v>176</v>
      </c>
      <c r="AH86" s="89" t="s">
        <v>177</v>
      </c>
    </row>
    <row r="87" spans="2:34" ht="16" customHeight="1">
      <c r="B87" s="49">
        <v>1</v>
      </c>
      <c r="C87" s="50" t="s">
        <v>1729</v>
      </c>
      <c r="D87" s="1026" t="s">
        <v>1389</v>
      </c>
      <c r="F87" s="49">
        <v>1</v>
      </c>
      <c r="G87" s="50" t="s">
        <v>1729</v>
      </c>
      <c r="H87" s="1026" t="s">
        <v>1389</v>
      </c>
      <c r="J87" s="49">
        <v>1</v>
      </c>
      <c r="K87" s="50" t="s">
        <v>1730</v>
      </c>
      <c r="L87" s="1026" t="s">
        <v>1389</v>
      </c>
      <c r="N87" s="49">
        <v>1</v>
      </c>
      <c r="O87" s="45" t="s">
        <v>1746</v>
      </c>
      <c r="P87" s="1026" t="s">
        <v>1389</v>
      </c>
      <c r="R87" s="49">
        <v>1</v>
      </c>
      <c r="S87" s="45" t="s">
        <v>1729</v>
      </c>
      <c r="T87" s="1026" t="s">
        <v>1389</v>
      </c>
      <c r="V87" s="49">
        <v>1</v>
      </c>
      <c r="W87" s="45" t="s">
        <v>1729</v>
      </c>
      <c r="X87" s="1026" t="s">
        <v>1389</v>
      </c>
      <c r="Z87" s="49">
        <v>1</v>
      </c>
      <c r="AA87" s="45" t="s">
        <v>1729</v>
      </c>
      <c r="AB87" s="1026" t="s">
        <v>1389</v>
      </c>
      <c r="AE87" t="s">
        <v>1731</v>
      </c>
      <c r="AF87" s="63">
        <f t="shared" si="10"/>
        <v>5</v>
      </c>
      <c r="AG87" s="85" t="s">
        <v>1557</v>
      </c>
      <c r="AH87" s="89" t="s">
        <v>1558</v>
      </c>
    </row>
    <row r="88" spans="2:34">
      <c r="B88" s="46">
        <v>2</v>
      </c>
      <c r="C88" s="45" t="s">
        <v>1733</v>
      </c>
      <c r="D88" s="1027"/>
      <c r="F88" s="46">
        <v>2</v>
      </c>
      <c r="G88" s="45" t="s">
        <v>1733</v>
      </c>
      <c r="H88" s="1027"/>
      <c r="J88" s="46">
        <v>2</v>
      </c>
      <c r="K88" s="45" t="s">
        <v>1732</v>
      </c>
      <c r="L88" s="1027"/>
      <c r="N88" s="46">
        <v>2</v>
      </c>
      <c r="O88" s="45" t="s">
        <v>1732</v>
      </c>
      <c r="P88" s="1027"/>
      <c r="R88" s="46">
        <v>2</v>
      </c>
      <c r="S88" s="45" t="s">
        <v>1746</v>
      </c>
      <c r="T88" s="1027"/>
      <c r="V88" s="46">
        <v>2</v>
      </c>
      <c r="W88" s="45" t="s">
        <v>1746</v>
      </c>
      <c r="X88" s="1027"/>
      <c r="Z88" s="46">
        <v>2</v>
      </c>
      <c r="AA88" s="45" t="s">
        <v>1746</v>
      </c>
      <c r="AB88" s="1027"/>
      <c r="AE88" t="s">
        <v>1746</v>
      </c>
      <c r="AF88" s="63">
        <f t="shared" si="10"/>
        <v>5</v>
      </c>
      <c r="AG88" s="85" t="s">
        <v>1567</v>
      </c>
      <c r="AH88" s="89" t="s">
        <v>294</v>
      </c>
    </row>
    <row r="89" spans="2:34">
      <c r="B89" s="46">
        <v>3</v>
      </c>
      <c r="C89" s="45" t="s">
        <v>1730</v>
      </c>
      <c r="D89" s="1027"/>
      <c r="F89" s="46">
        <v>3</v>
      </c>
      <c r="G89" s="45" t="s">
        <v>1730</v>
      </c>
      <c r="H89" s="1027"/>
      <c r="J89" s="46">
        <v>3</v>
      </c>
      <c r="K89" s="45" t="s">
        <v>1746</v>
      </c>
      <c r="L89" s="1027"/>
      <c r="N89" s="46">
        <v>3</v>
      </c>
      <c r="O89" s="45" t="s">
        <v>1730</v>
      </c>
      <c r="P89" s="1027"/>
      <c r="R89" s="46">
        <v>3</v>
      </c>
      <c r="S89" s="45" t="s">
        <v>1732</v>
      </c>
      <c r="T89" s="1027"/>
      <c r="V89" s="46">
        <v>3</v>
      </c>
      <c r="W89" s="45" t="s">
        <v>1732</v>
      </c>
      <c r="X89" s="1027"/>
      <c r="Z89" s="46">
        <v>3</v>
      </c>
      <c r="AA89" s="45" t="s">
        <v>1732</v>
      </c>
      <c r="AB89" s="1027"/>
      <c r="AE89" t="s">
        <v>1737</v>
      </c>
      <c r="AF89" s="63">
        <f t="shared" si="10"/>
        <v>3</v>
      </c>
      <c r="AG89" s="85"/>
      <c r="AH89" s="89"/>
    </row>
    <row r="90" spans="2:34" ht="17" thickBot="1">
      <c r="B90" s="47">
        <v>4</v>
      </c>
      <c r="C90" s="48"/>
      <c r="D90" s="1029"/>
      <c r="F90" s="47">
        <v>4</v>
      </c>
      <c r="G90" s="48"/>
      <c r="H90" s="1029"/>
      <c r="J90" s="47">
        <v>4</v>
      </c>
      <c r="K90" s="48"/>
      <c r="L90" s="1029"/>
      <c r="N90" s="47">
        <v>4</v>
      </c>
      <c r="O90" s="48"/>
      <c r="P90" s="1029"/>
      <c r="R90" s="47">
        <v>4</v>
      </c>
      <c r="S90" s="48" t="s">
        <v>1737</v>
      </c>
      <c r="T90" s="1029"/>
      <c r="V90" s="47">
        <v>4</v>
      </c>
      <c r="W90" s="48" t="s">
        <v>1737</v>
      </c>
      <c r="X90" s="1029"/>
      <c r="Z90" s="47">
        <v>4</v>
      </c>
      <c r="AA90" s="48" t="s">
        <v>1737</v>
      </c>
      <c r="AB90" s="1029"/>
    </row>
    <row r="91" spans="2:34" ht="17" thickBot="1"/>
    <row r="92" spans="2:34">
      <c r="B92" s="1030" t="s">
        <v>1417</v>
      </c>
      <c r="C92" s="1031"/>
      <c r="D92" s="1032"/>
      <c r="F92" s="1030" t="s">
        <v>1418</v>
      </c>
      <c r="G92" s="1031"/>
      <c r="H92" s="1032"/>
      <c r="J92" s="1030" t="s">
        <v>1419</v>
      </c>
      <c r="K92" s="1031"/>
      <c r="L92" s="1032"/>
      <c r="N92" s="1030" t="s">
        <v>1420</v>
      </c>
      <c r="O92" s="1031"/>
      <c r="P92" s="1032"/>
      <c r="R92" s="1030" t="s">
        <v>1421</v>
      </c>
      <c r="S92" s="1031"/>
      <c r="T92" s="1032"/>
      <c r="V92" s="1030" t="s">
        <v>1422</v>
      </c>
      <c r="W92" s="1031"/>
      <c r="X92" s="1032"/>
      <c r="Z92" s="1052" t="s">
        <v>1423</v>
      </c>
      <c r="AA92" s="1053"/>
      <c r="AB92" s="1054"/>
      <c r="AE92" t="s">
        <v>1729</v>
      </c>
      <c r="AF92" s="63">
        <f>COUNTIF($B$83:$AB$90,AE92)</f>
        <v>5</v>
      </c>
    </row>
    <row r="93" spans="2:34" ht="16" customHeight="1">
      <c r="B93" s="46">
        <v>1</v>
      </c>
      <c r="C93" s="45" t="s">
        <v>1730</v>
      </c>
      <c r="D93" s="1027" t="s">
        <v>119</v>
      </c>
      <c r="F93" s="46">
        <v>1</v>
      </c>
      <c r="G93" s="45" t="s">
        <v>1731</v>
      </c>
      <c r="H93" s="1027" t="s">
        <v>119</v>
      </c>
      <c r="J93" s="46">
        <v>1</v>
      </c>
      <c r="K93" s="45" t="s">
        <v>1733</v>
      </c>
      <c r="L93" s="1027" t="s">
        <v>119</v>
      </c>
      <c r="N93" s="46">
        <v>1</v>
      </c>
      <c r="O93" s="45" t="s">
        <v>1733</v>
      </c>
      <c r="P93" s="1027" t="s">
        <v>119</v>
      </c>
      <c r="R93" s="46">
        <v>1</v>
      </c>
      <c r="S93" s="45" t="s">
        <v>1731</v>
      </c>
      <c r="T93" s="1027" t="s">
        <v>119</v>
      </c>
      <c r="V93" s="46">
        <v>1</v>
      </c>
      <c r="W93" s="45" t="s">
        <v>1731</v>
      </c>
      <c r="X93" s="1027" t="s">
        <v>119</v>
      </c>
      <c r="Z93" s="46">
        <v>1</v>
      </c>
      <c r="AA93" s="45" t="s">
        <v>1731</v>
      </c>
      <c r="AB93" s="1027" t="s">
        <v>119</v>
      </c>
      <c r="AE93" t="s">
        <v>1732</v>
      </c>
      <c r="AF93" s="63">
        <f t="shared" ref="AF93:AF99" si="11">COUNTIF($B$83:$AB$90,AE93)</f>
        <v>5</v>
      </c>
    </row>
    <row r="94" spans="2:34">
      <c r="B94" s="46">
        <v>2</v>
      </c>
      <c r="C94" s="45" t="s">
        <v>1357</v>
      </c>
      <c r="D94" s="1027"/>
      <c r="F94" s="46">
        <v>2</v>
      </c>
      <c r="G94" s="45" t="s">
        <v>1357</v>
      </c>
      <c r="H94" s="1027"/>
      <c r="J94" s="46">
        <v>2</v>
      </c>
      <c r="K94" s="45" t="s">
        <v>1357</v>
      </c>
      <c r="L94" s="1027"/>
      <c r="N94" s="46">
        <v>2</v>
      </c>
      <c r="O94" s="45" t="s">
        <v>1357</v>
      </c>
      <c r="P94" s="1027"/>
      <c r="R94" s="46">
        <v>2</v>
      </c>
      <c r="S94" s="45" t="s">
        <v>1357</v>
      </c>
      <c r="T94" s="1027"/>
      <c r="V94" s="46">
        <v>2</v>
      </c>
      <c r="W94" s="45" t="s">
        <v>1733</v>
      </c>
      <c r="X94" s="1027"/>
      <c r="Z94" s="46">
        <v>2</v>
      </c>
      <c r="AA94" s="45" t="s">
        <v>1730</v>
      </c>
      <c r="AB94" s="1027"/>
      <c r="AE94" t="s">
        <v>1730</v>
      </c>
      <c r="AF94" s="63">
        <f t="shared" si="11"/>
        <v>5</v>
      </c>
    </row>
    <row r="95" spans="2:34">
      <c r="B95" s="46">
        <v>3</v>
      </c>
      <c r="C95" s="45"/>
      <c r="D95" s="1027"/>
      <c r="F95" s="46">
        <v>3</v>
      </c>
      <c r="G95" s="45"/>
      <c r="H95" s="1027"/>
      <c r="J95" s="46">
        <v>3</v>
      </c>
      <c r="K95" s="45" t="s">
        <v>1764</v>
      </c>
      <c r="L95" s="1027"/>
      <c r="N95" s="46">
        <v>3</v>
      </c>
      <c r="O95" s="45" t="s">
        <v>1764</v>
      </c>
      <c r="P95" s="1027"/>
      <c r="R95" s="46">
        <v>3</v>
      </c>
      <c r="S95" s="45" t="s">
        <v>1764</v>
      </c>
      <c r="T95" s="1027"/>
      <c r="V95" s="46">
        <v>3</v>
      </c>
      <c r="W95" s="45" t="s">
        <v>1764</v>
      </c>
      <c r="X95" s="1027"/>
      <c r="Z95" s="46">
        <v>3</v>
      </c>
      <c r="AA95" s="45" t="s">
        <v>1764</v>
      </c>
      <c r="AB95" s="1027"/>
      <c r="AE95" t="s">
        <v>1733</v>
      </c>
      <c r="AF95" s="63">
        <f t="shared" si="11"/>
        <v>5</v>
      </c>
    </row>
    <row r="96" spans="2:34" ht="17" thickBot="1">
      <c r="B96" s="47">
        <v>4</v>
      </c>
      <c r="C96" s="48"/>
      <c r="D96" s="1029"/>
      <c r="F96" s="47">
        <v>4</v>
      </c>
      <c r="G96" s="48"/>
      <c r="H96" s="1029"/>
      <c r="J96" s="47">
        <v>4</v>
      </c>
      <c r="K96" s="48"/>
      <c r="L96" s="1029"/>
      <c r="N96" s="47">
        <v>4</v>
      </c>
      <c r="O96" s="48"/>
      <c r="P96" s="1029"/>
      <c r="R96" s="47">
        <v>4</v>
      </c>
      <c r="S96" s="48"/>
      <c r="T96" s="1029"/>
      <c r="V96" s="47">
        <v>4</v>
      </c>
      <c r="W96" s="48"/>
      <c r="X96" s="1029"/>
      <c r="Z96" s="47">
        <v>4</v>
      </c>
      <c r="AA96" s="48"/>
      <c r="AB96" s="1029"/>
      <c r="AE96" t="s">
        <v>1357</v>
      </c>
      <c r="AF96" s="63">
        <f t="shared" si="11"/>
        <v>5</v>
      </c>
    </row>
    <row r="97" spans="2:32" ht="16" customHeight="1">
      <c r="B97" s="49">
        <v>1</v>
      </c>
      <c r="C97" s="50" t="s">
        <v>1729</v>
      </c>
      <c r="D97" s="1026" t="s">
        <v>1389</v>
      </c>
      <c r="F97" s="49">
        <v>1</v>
      </c>
      <c r="G97" s="50" t="s">
        <v>1729</v>
      </c>
      <c r="H97" s="1026" t="s">
        <v>1389</v>
      </c>
      <c r="J97" s="49">
        <v>1</v>
      </c>
      <c r="K97" s="50" t="s">
        <v>1730</v>
      </c>
      <c r="L97" s="1026" t="s">
        <v>1389</v>
      </c>
      <c r="N97" s="49">
        <v>1</v>
      </c>
      <c r="O97" s="45" t="s">
        <v>1746</v>
      </c>
      <c r="P97" s="1026" t="s">
        <v>1389</v>
      </c>
      <c r="R97" s="49">
        <v>1</v>
      </c>
      <c r="S97" s="45" t="s">
        <v>1729</v>
      </c>
      <c r="T97" s="1026" t="s">
        <v>1389</v>
      </c>
      <c r="V97" s="49">
        <v>1</v>
      </c>
      <c r="W97" s="45" t="s">
        <v>1729</v>
      </c>
      <c r="X97" s="1026" t="s">
        <v>1389</v>
      </c>
      <c r="Z97" s="49">
        <v>1</v>
      </c>
      <c r="AA97" s="45" t="s">
        <v>1729</v>
      </c>
      <c r="AB97" s="1026" t="s">
        <v>1389</v>
      </c>
      <c r="AE97" t="s">
        <v>1731</v>
      </c>
      <c r="AF97" s="63">
        <f t="shared" si="11"/>
        <v>5</v>
      </c>
    </row>
    <row r="98" spans="2:32">
      <c r="B98" s="46">
        <v>2</v>
      </c>
      <c r="C98" s="45" t="s">
        <v>1733</v>
      </c>
      <c r="D98" s="1027"/>
      <c r="F98" s="46">
        <v>2</v>
      </c>
      <c r="G98" s="45" t="s">
        <v>1733</v>
      </c>
      <c r="H98" s="1027"/>
      <c r="J98" s="46">
        <v>2</v>
      </c>
      <c r="K98" s="45" t="s">
        <v>1732</v>
      </c>
      <c r="L98" s="1027"/>
      <c r="N98" s="46">
        <v>2</v>
      </c>
      <c r="O98" s="45" t="s">
        <v>1732</v>
      </c>
      <c r="P98" s="1027"/>
      <c r="R98" s="46">
        <v>2</v>
      </c>
      <c r="S98" s="45" t="s">
        <v>1746</v>
      </c>
      <c r="T98" s="1027"/>
      <c r="V98" s="46">
        <v>2</v>
      </c>
      <c r="W98" s="45" t="s">
        <v>1746</v>
      </c>
      <c r="X98" s="1027"/>
      <c r="Z98" s="46">
        <v>2</v>
      </c>
      <c r="AA98" s="45" t="s">
        <v>1746</v>
      </c>
      <c r="AB98" s="1027"/>
      <c r="AE98" t="s">
        <v>1746</v>
      </c>
      <c r="AF98" s="63">
        <f t="shared" si="11"/>
        <v>5</v>
      </c>
    </row>
    <row r="99" spans="2:32">
      <c r="B99" s="46">
        <v>3</v>
      </c>
      <c r="C99" s="45"/>
      <c r="D99" s="1027"/>
      <c r="F99" s="46">
        <v>3</v>
      </c>
      <c r="G99" s="45" t="s">
        <v>1730</v>
      </c>
      <c r="H99" s="1027"/>
      <c r="J99" s="46">
        <v>3</v>
      </c>
      <c r="K99" s="45" t="s">
        <v>1746</v>
      </c>
      <c r="L99" s="1027"/>
      <c r="N99" s="46">
        <v>3</v>
      </c>
      <c r="O99" s="45" t="s">
        <v>1730</v>
      </c>
      <c r="P99" s="1027"/>
      <c r="R99" s="46">
        <v>3</v>
      </c>
      <c r="S99" s="45" t="s">
        <v>1732</v>
      </c>
      <c r="T99" s="1027"/>
      <c r="V99" s="46">
        <v>3</v>
      </c>
      <c r="W99" s="45" t="s">
        <v>1732</v>
      </c>
      <c r="X99" s="1027"/>
      <c r="Z99" s="46">
        <v>3</v>
      </c>
      <c r="AA99" s="45" t="s">
        <v>1732</v>
      </c>
      <c r="AB99" s="1027"/>
      <c r="AE99" t="s">
        <v>1737</v>
      </c>
      <c r="AF99" s="63">
        <f t="shared" si="11"/>
        <v>3</v>
      </c>
    </row>
    <row r="100" spans="2:32" ht="17" thickBot="1">
      <c r="B100" s="47">
        <v>4</v>
      </c>
      <c r="C100" s="48"/>
      <c r="D100" s="1029"/>
      <c r="F100" s="47">
        <v>4</v>
      </c>
      <c r="G100" s="48"/>
      <c r="H100" s="1029"/>
      <c r="J100" s="47">
        <v>4</v>
      </c>
      <c r="K100" s="48"/>
      <c r="L100" s="1029"/>
      <c r="N100" s="47">
        <v>4</v>
      </c>
      <c r="O100" s="48"/>
      <c r="P100" s="1029"/>
      <c r="R100" s="47">
        <v>4</v>
      </c>
      <c r="S100" s="48" t="s">
        <v>1737</v>
      </c>
      <c r="T100" s="1029"/>
      <c r="V100" s="47">
        <v>4</v>
      </c>
      <c r="W100" s="48" t="s">
        <v>1767</v>
      </c>
      <c r="X100" s="1029"/>
      <c r="Z100" s="47">
        <v>4</v>
      </c>
      <c r="AA100" s="48" t="s">
        <v>1767</v>
      </c>
      <c r="AB100" s="1029"/>
    </row>
    <row r="101" spans="2:32" ht="17" thickBot="1"/>
    <row r="102" spans="2:32">
      <c r="B102" s="1030" t="s">
        <v>1424</v>
      </c>
      <c r="C102" s="1031"/>
      <c r="D102" s="1032"/>
      <c r="F102" s="1030" t="s">
        <v>1425</v>
      </c>
      <c r="G102" s="1031"/>
      <c r="H102" s="1032"/>
      <c r="J102" s="1030" t="s">
        <v>1426</v>
      </c>
      <c r="K102" s="1031"/>
      <c r="L102" s="1032"/>
      <c r="N102" s="1030" t="s">
        <v>1427</v>
      </c>
      <c r="O102" s="1031"/>
      <c r="P102" s="1032"/>
      <c r="R102" s="1030" t="s">
        <v>1428</v>
      </c>
      <c r="S102" s="1031"/>
      <c r="T102" s="1032"/>
      <c r="V102" s="1046" t="s">
        <v>1429</v>
      </c>
      <c r="W102" s="1047"/>
      <c r="X102" s="1048"/>
      <c r="Z102" s="1049" t="s">
        <v>1430</v>
      </c>
      <c r="AA102" s="1050"/>
      <c r="AB102" s="1051"/>
      <c r="AE102" t="s">
        <v>1729</v>
      </c>
      <c r="AF102" s="63">
        <f>COUNTIF($B$83:$AB$90,AE102)</f>
        <v>5</v>
      </c>
    </row>
    <row r="103" spans="2:32" ht="16" customHeight="1">
      <c r="B103" s="46">
        <v>1</v>
      </c>
      <c r="C103" s="45" t="s">
        <v>1731</v>
      </c>
      <c r="D103" s="1027" t="s">
        <v>119</v>
      </c>
      <c r="F103" s="46">
        <v>1</v>
      </c>
      <c r="G103" s="45" t="s">
        <v>1731</v>
      </c>
      <c r="H103" s="1027" t="s">
        <v>119</v>
      </c>
      <c r="J103" s="46">
        <v>1</v>
      </c>
      <c r="K103" s="45" t="s">
        <v>1733</v>
      </c>
      <c r="L103" s="1027" t="s">
        <v>119</v>
      </c>
      <c r="N103" s="46">
        <v>1</v>
      </c>
      <c r="O103" s="45" t="s">
        <v>1733</v>
      </c>
      <c r="P103" s="1027" t="s">
        <v>119</v>
      </c>
      <c r="R103" s="46">
        <v>1</v>
      </c>
      <c r="S103" s="45" t="s">
        <v>1731</v>
      </c>
      <c r="T103" s="1027" t="s">
        <v>119</v>
      </c>
      <c r="V103" s="46">
        <v>1</v>
      </c>
      <c r="W103" s="45" t="s">
        <v>1731</v>
      </c>
      <c r="X103" s="1027" t="s">
        <v>119</v>
      </c>
      <c r="Z103" s="46">
        <v>1</v>
      </c>
      <c r="AA103" s="45" t="s">
        <v>1731</v>
      </c>
      <c r="AB103" s="1027" t="s">
        <v>119</v>
      </c>
      <c r="AE103" t="s">
        <v>1732</v>
      </c>
      <c r="AF103" s="63">
        <f t="shared" ref="AF103:AF108" si="12">COUNTIF($B$83:$AB$90,AE103)</f>
        <v>5</v>
      </c>
    </row>
    <row r="104" spans="2:32">
      <c r="B104" s="46">
        <v>2</v>
      </c>
      <c r="C104" s="45" t="s">
        <v>1357</v>
      </c>
      <c r="D104" s="1027"/>
      <c r="F104" s="46">
        <v>2</v>
      </c>
      <c r="G104" s="45" t="s">
        <v>1357</v>
      </c>
      <c r="H104" s="1027"/>
      <c r="J104" s="46">
        <v>2</v>
      </c>
      <c r="K104" s="45" t="s">
        <v>1357</v>
      </c>
      <c r="L104" s="1027"/>
      <c r="N104" s="46">
        <v>2</v>
      </c>
      <c r="O104" s="45" t="s">
        <v>1357</v>
      </c>
      <c r="P104" s="1027"/>
      <c r="R104" s="46">
        <v>2</v>
      </c>
      <c r="S104" s="45" t="s">
        <v>1767</v>
      </c>
      <c r="T104" s="1027"/>
      <c r="V104" s="46">
        <v>2</v>
      </c>
      <c r="W104" s="69" t="s">
        <v>1767</v>
      </c>
      <c r="X104" s="1027"/>
      <c r="Z104" s="46">
        <v>2</v>
      </c>
      <c r="AA104" s="69" t="s">
        <v>1767</v>
      </c>
      <c r="AB104" s="1027"/>
      <c r="AE104" t="s">
        <v>1730</v>
      </c>
      <c r="AF104" s="63">
        <f t="shared" si="12"/>
        <v>5</v>
      </c>
    </row>
    <row r="105" spans="2:32">
      <c r="B105" s="46">
        <v>3</v>
      </c>
      <c r="C105" s="45"/>
      <c r="D105" s="1027"/>
      <c r="F105" s="46">
        <v>3</v>
      </c>
      <c r="G105" s="45"/>
      <c r="H105" s="1027"/>
      <c r="J105" s="46">
        <v>3</v>
      </c>
      <c r="K105" s="45" t="s">
        <v>1764</v>
      </c>
      <c r="L105" s="1027"/>
      <c r="N105" s="46">
        <v>3</v>
      </c>
      <c r="O105" s="45" t="s">
        <v>1764</v>
      </c>
      <c r="P105" s="1027"/>
      <c r="R105" s="46">
        <v>3</v>
      </c>
      <c r="S105" s="45" t="s">
        <v>1764</v>
      </c>
      <c r="T105" s="1027"/>
      <c r="V105" s="46">
        <v>3</v>
      </c>
      <c r="W105" s="45" t="s">
        <v>1764</v>
      </c>
      <c r="X105" s="1027"/>
      <c r="Z105" s="46">
        <v>3</v>
      </c>
      <c r="AA105" s="45"/>
      <c r="AB105" s="1027"/>
      <c r="AE105" t="s">
        <v>1733</v>
      </c>
      <c r="AF105" s="63">
        <f t="shared" si="12"/>
        <v>5</v>
      </c>
    </row>
    <row r="106" spans="2:32" ht="17" thickBot="1">
      <c r="B106" s="47">
        <v>4</v>
      </c>
      <c r="C106" s="48"/>
      <c r="D106" s="1029"/>
      <c r="F106" s="47">
        <v>4</v>
      </c>
      <c r="G106" s="48"/>
      <c r="H106" s="1029"/>
      <c r="J106" s="47">
        <v>4</v>
      </c>
      <c r="K106" s="48"/>
      <c r="L106" s="1029"/>
      <c r="N106" s="47">
        <v>4</v>
      </c>
      <c r="O106" s="48"/>
      <c r="P106" s="1029"/>
      <c r="R106" s="47">
        <v>4</v>
      </c>
      <c r="S106" s="48"/>
      <c r="T106" s="1029"/>
      <c r="V106" s="47">
        <v>4</v>
      </c>
      <c r="W106" s="48"/>
      <c r="X106" s="1029"/>
      <c r="Z106" s="47">
        <v>4</v>
      </c>
      <c r="AA106" s="48"/>
      <c r="AB106" s="1029"/>
      <c r="AE106" t="s">
        <v>1357</v>
      </c>
      <c r="AF106" s="63">
        <f t="shared" si="12"/>
        <v>5</v>
      </c>
    </row>
    <row r="107" spans="2:32" ht="16" customHeight="1">
      <c r="B107" s="49">
        <v>1</v>
      </c>
      <c r="C107" s="50" t="s">
        <v>1729</v>
      </c>
      <c r="D107" s="1026" t="s">
        <v>1389</v>
      </c>
      <c r="F107" s="49">
        <v>1</v>
      </c>
      <c r="G107" s="50" t="s">
        <v>1729</v>
      </c>
      <c r="H107" s="1026" t="s">
        <v>1389</v>
      </c>
      <c r="J107" s="49">
        <v>1</v>
      </c>
      <c r="K107" s="50" t="s">
        <v>1730</v>
      </c>
      <c r="L107" s="1026" t="s">
        <v>1389</v>
      </c>
      <c r="N107" s="49">
        <v>1</v>
      </c>
      <c r="O107" s="45" t="s">
        <v>1746</v>
      </c>
      <c r="P107" s="1026" t="s">
        <v>1389</v>
      </c>
      <c r="R107" s="49">
        <v>1</v>
      </c>
      <c r="S107" s="45" t="s">
        <v>1729</v>
      </c>
      <c r="T107" s="1026" t="s">
        <v>1389</v>
      </c>
      <c r="V107" s="49">
        <v>1</v>
      </c>
      <c r="W107" s="45" t="s">
        <v>1729</v>
      </c>
      <c r="X107" s="1026" t="s">
        <v>1389</v>
      </c>
      <c r="Z107" s="49">
        <v>1</v>
      </c>
      <c r="AA107" s="45" t="s">
        <v>1729</v>
      </c>
      <c r="AB107" s="1026" t="s">
        <v>1389</v>
      </c>
      <c r="AE107" t="s">
        <v>1731</v>
      </c>
      <c r="AF107" s="63">
        <f t="shared" si="12"/>
        <v>5</v>
      </c>
    </row>
    <row r="108" spans="2:32">
      <c r="B108" s="46">
        <v>2</v>
      </c>
      <c r="C108" s="45" t="s">
        <v>1733</v>
      </c>
      <c r="D108" s="1027"/>
      <c r="F108" s="46">
        <v>2</v>
      </c>
      <c r="G108" s="45" t="s">
        <v>1733</v>
      </c>
      <c r="H108" s="1027"/>
      <c r="J108" s="46">
        <v>2</v>
      </c>
      <c r="K108" s="45" t="s">
        <v>1732</v>
      </c>
      <c r="L108" s="1027"/>
      <c r="N108" s="46">
        <v>2</v>
      </c>
      <c r="O108" s="45" t="s">
        <v>1732</v>
      </c>
      <c r="P108" s="1027"/>
      <c r="R108" s="46">
        <v>2</v>
      </c>
      <c r="S108" s="45" t="s">
        <v>1746</v>
      </c>
      <c r="T108" s="1027"/>
      <c r="V108" s="46">
        <v>2</v>
      </c>
      <c r="W108" s="45" t="s">
        <v>1746</v>
      </c>
      <c r="X108" s="1027"/>
      <c r="Z108" s="46">
        <v>2</v>
      </c>
      <c r="AA108" s="45" t="s">
        <v>1746</v>
      </c>
      <c r="AB108" s="1027"/>
      <c r="AE108" t="s">
        <v>1746</v>
      </c>
      <c r="AF108" s="63">
        <f t="shared" si="12"/>
        <v>5</v>
      </c>
    </row>
    <row r="109" spans="2:32">
      <c r="B109" s="46">
        <v>3</v>
      </c>
      <c r="C109" s="45" t="s">
        <v>1730</v>
      </c>
      <c r="D109" s="1027"/>
      <c r="F109" s="46">
        <v>3</v>
      </c>
      <c r="G109" s="45" t="s">
        <v>1730</v>
      </c>
      <c r="H109" s="1027"/>
      <c r="J109" s="46">
        <v>3</v>
      </c>
      <c r="K109" s="45" t="s">
        <v>1746</v>
      </c>
      <c r="L109" s="1027"/>
      <c r="N109" s="46">
        <v>3</v>
      </c>
      <c r="O109" s="45" t="s">
        <v>1730</v>
      </c>
      <c r="P109" s="1027"/>
      <c r="R109" s="46">
        <v>3</v>
      </c>
      <c r="S109" s="45" t="s">
        <v>1732</v>
      </c>
      <c r="T109" s="1027"/>
      <c r="V109" s="46">
        <v>3</v>
      </c>
      <c r="W109" s="45" t="s">
        <v>1732</v>
      </c>
      <c r="X109" s="1027"/>
      <c r="Z109" s="46">
        <v>3</v>
      </c>
      <c r="AA109" s="45" t="s">
        <v>1732</v>
      </c>
      <c r="AB109" s="1027"/>
      <c r="AE109" t="s">
        <v>1737</v>
      </c>
      <c r="AF109" s="63">
        <f>COUNTIF($C$103:$AA$111,AE109)</f>
        <v>2</v>
      </c>
    </row>
    <row r="110" spans="2:32">
      <c r="B110" s="51">
        <v>4</v>
      </c>
      <c r="C110" s="52"/>
      <c r="D110" s="1028"/>
      <c r="F110" s="51">
        <v>4</v>
      </c>
      <c r="G110" s="52"/>
      <c r="H110" s="1028"/>
      <c r="J110" s="51">
        <v>4</v>
      </c>
      <c r="K110" s="52"/>
      <c r="L110" s="1028"/>
      <c r="N110" s="51">
        <v>4</v>
      </c>
      <c r="O110" s="52"/>
      <c r="P110" s="1028"/>
      <c r="R110" s="51">
        <v>4</v>
      </c>
      <c r="S110" s="52" t="s">
        <v>1737</v>
      </c>
      <c r="T110" s="1028"/>
      <c r="V110" s="51">
        <v>4</v>
      </c>
      <c r="W110" s="52"/>
      <c r="X110" s="1028"/>
      <c r="Z110" s="51">
        <v>4</v>
      </c>
      <c r="AA110" s="52" t="s">
        <v>1737</v>
      </c>
      <c r="AB110" s="1028"/>
      <c r="AE110" t="s">
        <v>1767</v>
      </c>
      <c r="AF110" s="63">
        <f>COUNTIF($B$103:$AA$111,AE110)</f>
        <v>3</v>
      </c>
    </row>
    <row r="111" spans="2:32" ht="17" thickBot="1">
      <c r="B111" s="47">
        <v>5</v>
      </c>
      <c r="C111" s="48"/>
      <c r="D111" s="1029"/>
      <c r="F111" s="47">
        <v>5</v>
      </c>
      <c r="G111" s="48"/>
      <c r="H111" s="1029"/>
      <c r="J111" s="47">
        <v>5</v>
      </c>
      <c r="K111" s="48"/>
      <c r="L111" s="1029"/>
      <c r="N111" s="47">
        <v>5</v>
      </c>
      <c r="O111" s="48"/>
      <c r="P111" s="1029"/>
      <c r="R111" s="47">
        <v>5</v>
      </c>
      <c r="S111" s="48" t="s">
        <v>1357</v>
      </c>
      <c r="T111" s="1029"/>
      <c r="V111" s="47">
        <v>5</v>
      </c>
      <c r="W111" s="48" t="s">
        <v>1733</v>
      </c>
      <c r="X111" s="1029"/>
      <c r="Z111" s="47">
        <v>5</v>
      </c>
      <c r="AA111" s="48" t="s">
        <v>1730</v>
      </c>
      <c r="AB111" s="1029"/>
    </row>
    <row r="112" spans="2:32" ht="17" thickBot="1"/>
    <row r="113" spans="2:32">
      <c r="B113" s="1046" t="s">
        <v>1431</v>
      </c>
      <c r="C113" s="1047"/>
      <c r="D113" s="1048"/>
      <c r="F113" s="1046" t="s">
        <v>1432</v>
      </c>
      <c r="G113" s="1047"/>
      <c r="H113" s="1048"/>
      <c r="J113" s="1046" t="s">
        <v>1433</v>
      </c>
      <c r="K113" s="1047"/>
      <c r="L113" s="1048"/>
      <c r="N113" s="1046" t="s">
        <v>1434</v>
      </c>
      <c r="O113" s="1047"/>
      <c r="P113" s="1048"/>
      <c r="R113" s="1046" t="s">
        <v>1435</v>
      </c>
      <c r="S113" s="1047"/>
      <c r="T113" s="1048"/>
      <c r="V113" s="1046" t="s">
        <v>1436</v>
      </c>
      <c r="W113" s="1047"/>
      <c r="X113" s="1048"/>
      <c r="Z113" s="1049" t="s">
        <v>1437</v>
      </c>
      <c r="AA113" s="1050"/>
      <c r="AB113" s="1051"/>
      <c r="AE113" t="s">
        <v>1729</v>
      </c>
      <c r="AF113" s="63">
        <f>COUNTIF($B$114:$AA$122,AE113)</f>
        <v>5</v>
      </c>
    </row>
    <row r="114" spans="2:32">
      <c r="B114" s="46">
        <v>1</v>
      </c>
      <c r="C114" s="45" t="s">
        <v>1731</v>
      </c>
      <c r="D114" s="1027" t="s">
        <v>119</v>
      </c>
      <c r="F114" s="46">
        <v>1</v>
      </c>
      <c r="G114" s="45" t="s">
        <v>1731</v>
      </c>
      <c r="H114" s="1027" t="s">
        <v>119</v>
      </c>
      <c r="J114" s="46">
        <v>1</v>
      </c>
      <c r="K114" s="45" t="s">
        <v>1733</v>
      </c>
      <c r="L114" s="1027" t="s">
        <v>119</v>
      </c>
      <c r="N114" s="46">
        <v>1</v>
      </c>
      <c r="O114" s="45" t="s">
        <v>1733</v>
      </c>
      <c r="P114" s="1027" t="s">
        <v>119</v>
      </c>
      <c r="R114" s="46">
        <v>1</v>
      </c>
      <c r="S114" s="45" t="s">
        <v>1731</v>
      </c>
      <c r="T114" s="1027" t="s">
        <v>119</v>
      </c>
      <c r="V114" s="46">
        <v>1</v>
      </c>
      <c r="W114" s="45" t="s">
        <v>1731</v>
      </c>
      <c r="X114" s="1027" t="s">
        <v>119</v>
      </c>
      <c r="Z114" s="46">
        <v>1</v>
      </c>
      <c r="AA114" s="45" t="s">
        <v>1731</v>
      </c>
      <c r="AB114" s="1027" t="s">
        <v>119</v>
      </c>
      <c r="AE114" t="s">
        <v>1732</v>
      </c>
      <c r="AF114" s="63">
        <f t="shared" ref="AF114:AF120" si="13">COUNTIF($B$114:$AA$122,AE114)</f>
        <v>5</v>
      </c>
    </row>
    <row r="115" spans="2:32">
      <c r="B115" s="46">
        <v>2</v>
      </c>
      <c r="C115" s="45" t="s">
        <v>1357</v>
      </c>
      <c r="D115" s="1027"/>
      <c r="F115" s="46">
        <v>2</v>
      </c>
      <c r="G115" s="45" t="s">
        <v>1357</v>
      </c>
      <c r="H115" s="1027"/>
      <c r="J115" s="46">
        <v>2</v>
      </c>
      <c r="K115" s="45" t="s">
        <v>1357</v>
      </c>
      <c r="L115" s="1027"/>
      <c r="N115" s="46">
        <v>2</v>
      </c>
      <c r="O115" s="45" t="s">
        <v>1357</v>
      </c>
      <c r="P115" s="1027"/>
      <c r="R115" s="46">
        <v>2</v>
      </c>
      <c r="S115" s="45" t="s">
        <v>1767</v>
      </c>
      <c r="T115" s="1027"/>
      <c r="V115" s="46">
        <v>2</v>
      </c>
      <c r="W115" s="45" t="s">
        <v>1767</v>
      </c>
      <c r="X115" s="1027"/>
      <c r="Z115" s="46">
        <v>2</v>
      </c>
      <c r="AA115" s="45" t="s">
        <v>1767</v>
      </c>
      <c r="AB115" s="1027"/>
      <c r="AE115" t="s">
        <v>1730</v>
      </c>
      <c r="AF115" s="63">
        <f t="shared" si="13"/>
        <v>5</v>
      </c>
    </row>
    <row r="116" spans="2:32">
      <c r="B116" s="46">
        <v>3</v>
      </c>
      <c r="C116" s="45"/>
      <c r="D116" s="1027"/>
      <c r="F116" s="46">
        <v>3</v>
      </c>
      <c r="G116" s="45"/>
      <c r="H116" s="1027"/>
      <c r="J116" s="46">
        <v>3</v>
      </c>
      <c r="K116" s="45" t="s">
        <v>1764</v>
      </c>
      <c r="L116" s="1027"/>
      <c r="N116" s="46">
        <v>3</v>
      </c>
      <c r="O116" s="45" t="s">
        <v>1764</v>
      </c>
      <c r="P116" s="1027"/>
      <c r="R116" s="46">
        <v>3</v>
      </c>
      <c r="S116" s="45" t="s">
        <v>1764</v>
      </c>
      <c r="T116" s="1027"/>
      <c r="V116" s="46">
        <v>3</v>
      </c>
      <c r="W116" s="45" t="s">
        <v>1764</v>
      </c>
      <c r="X116" s="1027"/>
      <c r="Z116" s="46">
        <v>3</v>
      </c>
      <c r="AA116" s="45" t="s">
        <v>1764</v>
      </c>
      <c r="AB116" s="1027"/>
      <c r="AE116" t="s">
        <v>1733</v>
      </c>
      <c r="AF116" s="63">
        <f t="shared" si="13"/>
        <v>5</v>
      </c>
    </row>
    <row r="117" spans="2:32" ht="17" thickBot="1">
      <c r="B117" s="47">
        <v>4</v>
      </c>
      <c r="C117" s="48"/>
      <c r="D117" s="1029"/>
      <c r="F117" s="47">
        <v>4</v>
      </c>
      <c r="G117" s="48"/>
      <c r="H117" s="1029"/>
      <c r="J117" s="47">
        <v>4</v>
      </c>
      <c r="K117" s="48"/>
      <c r="L117" s="1029"/>
      <c r="N117" s="47">
        <v>4</v>
      </c>
      <c r="O117" s="48"/>
      <c r="P117" s="1029"/>
      <c r="R117" s="47">
        <v>4</v>
      </c>
      <c r="S117" s="48"/>
      <c r="T117" s="1029"/>
      <c r="V117" s="47">
        <v>4</v>
      </c>
      <c r="W117" s="48"/>
      <c r="X117" s="1029"/>
      <c r="Z117" s="47">
        <v>4</v>
      </c>
      <c r="AA117" s="48"/>
      <c r="AB117" s="1029"/>
      <c r="AE117" t="s">
        <v>1357</v>
      </c>
      <c r="AF117" s="63">
        <f t="shared" si="13"/>
        <v>5</v>
      </c>
    </row>
    <row r="118" spans="2:32">
      <c r="B118" s="49">
        <v>1</v>
      </c>
      <c r="C118" s="50" t="s">
        <v>1729</v>
      </c>
      <c r="D118" s="1026" t="s">
        <v>1389</v>
      </c>
      <c r="F118" s="49">
        <v>1</v>
      </c>
      <c r="G118" s="50" t="s">
        <v>1729</v>
      </c>
      <c r="H118" s="1026" t="s">
        <v>1389</v>
      </c>
      <c r="J118" s="49">
        <v>1</v>
      </c>
      <c r="K118" s="45" t="s">
        <v>1732</v>
      </c>
      <c r="L118" s="1026" t="s">
        <v>1389</v>
      </c>
      <c r="N118" s="49">
        <v>1</v>
      </c>
      <c r="O118" s="45" t="s">
        <v>1746</v>
      </c>
      <c r="P118" s="1026" t="s">
        <v>1389</v>
      </c>
      <c r="R118" s="49">
        <v>1</v>
      </c>
      <c r="S118" s="45" t="s">
        <v>1729</v>
      </c>
      <c r="T118" s="1026" t="s">
        <v>1389</v>
      </c>
      <c r="V118" s="49">
        <v>1</v>
      </c>
      <c r="W118" s="45" t="s">
        <v>1729</v>
      </c>
      <c r="X118" s="1026" t="s">
        <v>1389</v>
      </c>
      <c r="Z118" s="49">
        <v>1</v>
      </c>
      <c r="AA118" s="45" t="s">
        <v>1729</v>
      </c>
      <c r="AB118" s="1026" t="s">
        <v>1389</v>
      </c>
      <c r="AE118" t="s">
        <v>1731</v>
      </c>
      <c r="AF118" s="63">
        <f t="shared" si="13"/>
        <v>5</v>
      </c>
    </row>
    <row r="119" spans="2:32">
      <c r="B119" s="46">
        <v>2</v>
      </c>
      <c r="C119" s="45" t="s">
        <v>1733</v>
      </c>
      <c r="D119" s="1027"/>
      <c r="F119" s="46">
        <v>2</v>
      </c>
      <c r="G119" s="45" t="s">
        <v>1733</v>
      </c>
      <c r="H119" s="1027"/>
      <c r="J119" s="46">
        <v>2</v>
      </c>
      <c r="K119" s="45" t="s">
        <v>1746</v>
      </c>
      <c r="L119" s="1027"/>
      <c r="N119" s="46">
        <v>2</v>
      </c>
      <c r="O119" s="45" t="s">
        <v>1732</v>
      </c>
      <c r="P119" s="1027"/>
      <c r="R119" s="46">
        <v>2</v>
      </c>
      <c r="S119" s="45" t="s">
        <v>1746</v>
      </c>
      <c r="T119" s="1027"/>
      <c r="V119" s="46">
        <v>2</v>
      </c>
      <c r="W119" s="45" t="s">
        <v>1746</v>
      </c>
      <c r="X119" s="1027"/>
      <c r="Z119" s="46">
        <v>2</v>
      </c>
      <c r="AA119" s="45" t="s">
        <v>1746</v>
      </c>
      <c r="AB119" s="1027"/>
      <c r="AE119" t="s">
        <v>1746</v>
      </c>
      <c r="AF119" s="63">
        <f t="shared" si="13"/>
        <v>5</v>
      </c>
    </row>
    <row r="120" spans="2:32">
      <c r="B120" s="46">
        <v>3</v>
      </c>
      <c r="C120" s="45"/>
      <c r="D120" s="1027"/>
      <c r="F120" s="46">
        <v>3</v>
      </c>
      <c r="G120" s="45" t="s">
        <v>1730</v>
      </c>
      <c r="H120" s="1027"/>
      <c r="J120" s="46">
        <v>3</v>
      </c>
      <c r="K120" s="45"/>
      <c r="L120" s="1027"/>
      <c r="N120" s="46">
        <v>3</v>
      </c>
      <c r="O120" s="45" t="s">
        <v>1730</v>
      </c>
      <c r="P120" s="1027"/>
      <c r="R120" s="46">
        <v>3</v>
      </c>
      <c r="S120" s="45" t="s">
        <v>1732</v>
      </c>
      <c r="T120" s="1027"/>
      <c r="V120" s="46">
        <v>3</v>
      </c>
      <c r="W120" s="45" t="s">
        <v>1732</v>
      </c>
      <c r="X120" s="1027"/>
      <c r="Z120" s="46">
        <v>3</v>
      </c>
      <c r="AA120" s="45" t="s">
        <v>1732</v>
      </c>
      <c r="AB120" s="1027"/>
      <c r="AE120" t="s">
        <v>1737</v>
      </c>
      <c r="AF120" s="63">
        <f t="shared" si="13"/>
        <v>0</v>
      </c>
    </row>
    <row r="121" spans="2:32">
      <c r="B121" s="51">
        <v>4</v>
      </c>
      <c r="C121" s="52"/>
      <c r="D121" s="1028"/>
      <c r="F121" s="51">
        <v>4</v>
      </c>
      <c r="G121" s="52"/>
      <c r="H121" s="1028"/>
      <c r="J121" s="51">
        <v>4</v>
      </c>
      <c r="K121" s="52"/>
      <c r="L121" s="1028"/>
      <c r="N121" s="51">
        <v>4</v>
      </c>
      <c r="O121" s="52"/>
      <c r="P121" s="1028"/>
      <c r="R121" s="51">
        <v>4</v>
      </c>
      <c r="S121" s="50" t="s">
        <v>1730</v>
      </c>
      <c r="T121" s="1028"/>
      <c r="V121" s="51">
        <v>4</v>
      </c>
      <c r="W121" s="52" t="s">
        <v>1730</v>
      </c>
      <c r="X121" s="1028"/>
      <c r="Z121" s="51">
        <v>4</v>
      </c>
      <c r="AA121" s="52"/>
      <c r="AB121" s="1028"/>
      <c r="AE121" t="s">
        <v>1767</v>
      </c>
    </row>
    <row r="122" spans="2:32" ht="17" thickBot="1">
      <c r="B122" s="47">
        <v>5</v>
      </c>
      <c r="C122" s="48"/>
      <c r="D122" s="1029"/>
      <c r="F122" s="47">
        <v>5</v>
      </c>
      <c r="G122" s="48"/>
      <c r="H122" s="1029"/>
      <c r="J122" s="47">
        <v>5</v>
      </c>
      <c r="K122" s="48"/>
      <c r="L122" s="1029"/>
      <c r="N122" s="47">
        <v>5</v>
      </c>
      <c r="O122" s="48"/>
      <c r="P122" s="1029"/>
      <c r="R122" s="47">
        <v>5</v>
      </c>
      <c r="S122" s="48" t="s">
        <v>1357</v>
      </c>
      <c r="T122" s="1029"/>
      <c r="V122" s="47">
        <v>5</v>
      </c>
      <c r="W122" s="48" t="s">
        <v>1733</v>
      </c>
      <c r="X122" s="1029"/>
      <c r="Z122" s="47">
        <v>5</v>
      </c>
      <c r="AA122" s="48" t="s">
        <v>1730</v>
      </c>
      <c r="AB122" s="1029"/>
    </row>
    <row r="123" spans="2:32" ht="17" thickBot="1"/>
    <row r="124" spans="2:32">
      <c r="B124" s="1046" t="s">
        <v>1439</v>
      </c>
      <c r="C124" s="1047"/>
      <c r="D124" s="1048"/>
      <c r="F124" s="1046" t="s">
        <v>1440</v>
      </c>
      <c r="G124" s="1047"/>
      <c r="H124" s="1048"/>
      <c r="J124" s="1046" t="s">
        <v>1441</v>
      </c>
      <c r="K124" s="1047"/>
      <c r="L124" s="1048"/>
      <c r="N124" s="1046" t="s">
        <v>1442</v>
      </c>
      <c r="O124" s="1047"/>
      <c r="P124" s="1048"/>
      <c r="R124" s="1046" t="s">
        <v>1443</v>
      </c>
      <c r="S124" s="1047"/>
      <c r="T124" s="1048"/>
      <c r="V124" s="1046" t="s">
        <v>1444</v>
      </c>
      <c r="W124" s="1047"/>
      <c r="X124" s="1048"/>
      <c r="Z124" s="1049" t="s">
        <v>1445</v>
      </c>
      <c r="AA124" s="1050"/>
      <c r="AB124" s="1051"/>
      <c r="AE124" t="s">
        <v>1729</v>
      </c>
      <c r="AF124" s="63">
        <f>COUNTIF($B$125:$AB$133,AE124)</f>
        <v>5</v>
      </c>
    </row>
    <row r="125" spans="2:32" ht="16" customHeight="1">
      <c r="B125" s="46">
        <v>1</v>
      </c>
      <c r="C125" s="45" t="s">
        <v>1731</v>
      </c>
      <c r="D125" s="1027" t="s">
        <v>119</v>
      </c>
      <c r="F125" s="46">
        <v>1</v>
      </c>
      <c r="G125" s="45" t="s">
        <v>1731</v>
      </c>
      <c r="H125" s="1027" t="s">
        <v>119</v>
      </c>
      <c r="J125" s="46">
        <v>1</v>
      </c>
      <c r="K125" s="45" t="s">
        <v>1733</v>
      </c>
      <c r="L125" s="1027" t="s">
        <v>119</v>
      </c>
      <c r="N125" s="46">
        <v>1</v>
      </c>
      <c r="O125" s="45" t="s">
        <v>1733</v>
      </c>
      <c r="P125" s="1027" t="s">
        <v>119</v>
      </c>
      <c r="R125" s="46">
        <v>1</v>
      </c>
      <c r="S125" s="45" t="s">
        <v>1731</v>
      </c>
      <c r="T125" s="1027" t="s">
        <v>119</v>
      </c>
      <c r="V125" s="46">
        <v>1</v>
      </c>
      <c r="W125" s="45" t="s">
        <v>1731</v>
      </c>
      <c r="X125" s="1027" t="s">
        <v>119</v>
      </c>
      <c r="Z125" s="46">
        <v>1</v>
      </c>
      <c r="AA125" s="45" t="s">
        <v>1731</v>
      </c>
      <c r="AB125" s="1027" t="s">
        <v>119</v>
      </c>
      <c r="AE125" t="s">
        <v>1732</v>
      </c>
      <c r="AF125" s="63">
        <f t="shared" ref="AF125:AF132" si="14">COUNTIF($B$125:$AB$133,AE125)</f>
        <v>5</v>
      </c>
    </row>
    <row r="126" spans="2:32">
      <c r="B126" s="46">
        <v>2</v>
      </c>
      <c r="C126" s="45" t="s">
        <v>1357</v>
      </c>
      <c r="D126" s="1027"/>
      <c r="F126" s="46">
        <v>2</v>
      </c>
      <c r="G126" s="45" t="s">
        <v>1357</v>
      </c>
      <c r="H126" s="1027"/>
      <c r="J126" s="46">
        <v>2</v>
      </c>
      <c r="K126" s="45" t="s">
        <v>1357</v>
      </c>
      <c r="L126" s="1027"/>
      <c r="N126" s="46">
        <v>2</v>
      </c>
      <c r="O126" s="45" t="s">
        <v>1357</v>
      </c>
      <c r="P126" s="1027"/>
      <c r="R126" s="46">
        <v>2</v>
      </c>
      <c r="S126" s="45" t="s">
        <v>1767</v>
      </c>
      <c r="T126" s="1027"/>
      <c r="V126" s="46">
        <v>2</v>
      </c>
      <c r="W126" s="45" t="s">
        <v>1767</v>
      </c>
      <c r="X126" s="1027"/>
      <c r="Z126" s="46">
        <v>2</v>
      </c>
      <c r="AA126" s="45" t="s">
        <v>1767</v>
      </c>
      <c r="AB126" s="1027"/>
      <c r="AE126" t="s">
        <v>1730</v>
      </c>
      <c r="AF126" s="63">
        <f t="shared" si="14"/>
        <v>5</v>
      </c>
    </row>
    <row r="127" spans="2:32">
      <c r="B127" s="46">
        <v>3</v>
      </c>
      <c r="C127" s="45"/>
      <c r="D127" s="1027"/>
      <c r="F127" s="46">
        <v>3</v>
      </c>
      <c r="G127" s="45"/>
      <c r="H127" s="1027"/>
      <c r="J127" s="46">
        <v>3</v>
      </c>
      <c r="K127" s="45" t="s">
        <v>1764</v>
      </c>
      <c r="L127" s="1027"/>
      <c r="N127" s="46">
        <v>3</v>
      </c>
      <c r="O127" s="45" t="s">
        <v>1764</v>
      </c>
      <c r="P127" s="1027"/>
      <c r="R127" s="46">
        <v>3</v>
      </c>
      <c r="S127" s="45" t="s">
        <v>1764</v>
      </c>
      <c r="T127" s="1027"/>
      <c r="V127" s="46">
        <v>3</v>
      </c>
      <c r="W127" s="45" t="s">
        <v>1764</v>
      </c>
      <c r="X127" s="1027"/>
      <c r="Z127" s="46">
        <v>3</v>
      </c>
      <c r="AA127" s="45" t="s">
        <v>1764</v>
      </c>
      <c r="AB127" s="1027"/>
      <c r="AE127" t="s">
        <v>1733</v>
      </c>
      <c r="AF127" s="63">
        <f t="shared" si="14"/>
        <v>5</v>
      </c>
    </row>
    <row r="128" spans="2:32" ht="17" thickBot="1">
      <c r="B128" s="47">
        <v>4</v>
      </c>
      <c r="C128" s="48"/>
      <c r="D128" s="1029"/>
      <c r="F128" s="47">
        <v>4</v>
      </c>
      <c r="G128" s="48"/>
      <c r="H128" s="1029"/>
      <c r="J128" s="47">
        <v>4</v>
      </c>
      <c r="K128" s="48"/>
      <c r="L128" s="1029"/>
      <c r="N128" s="47">
        <v>4</v>
      </c>
      <c r="O128" s="48"/>
      <c r="P128" s="1029"/>
      <c r="R128" s="47">
        <v>4</v>
      </c>
      <c r="S128" s="48"/>
      <c r="T128" s="1029"/>
      <c r="V128" s="47">
        <v>4</v>
      </c>
      <c r="W128" s="48"/>
      <c r="X128" s="1029"/>
      <c r="Z128" s="47">
        <v>4</v>
      </c>
      <c r="AA128" s="48"/>
      <c r="AB128" s="1029"/>
      <c r="AE128" t="s">
        <v>1357</v>
      </c>
      <c r="AF128" s="63">
        <f t="shared" si="14"/>
        <v>5</v>
      </c>
    </row>
    <row r="129" spans="2:32" ht="16" customHeight="1">
      <c r="B129" s="49">
        <v>1</v>
      </c>
      <c r="C129" s="50" t="s">
        <v>1729</v>
      </c>
      <c r="D129" s="1026" t="s">
        <v>1389</v>
      </c>
      <c r="F129" s="49">
        <v>1</v>
      </c>
      <c r="G129" s="50" t="s">
        <v>1729</v>
      </c>
      <c r="H129" s="1026" t="s">
        <v>1389</v>
      </c>
      <c r="J129" s="49">
        <v>1</v>
      </c>
      <c r="K129" s="45" t="s">
        <v>1732</v>
      </c>
      <c r="L129" s="1026" t="s">
        <v>1389</v>
      </c>
      <c r="N129" s="49">
        <v>1</v>
      </c>
      <c r="O129" s="45" t="s">
        <v>1746</v>
      </c>
      <c r="P129" s="1026" t="s">
        <v>1389</v>
      </c>
      <c r="R129" s="49">
        <v>1</v>
      </c>
      <c r="S129" s="45" t="s">
        <v>1729</v>
      </c>
      <c r="T129" s="1026" t="s">
        <v>1389</v>
      </c>
      <c r="V129" s="49">
        <v>1</v>
      </c>
      <c r="W129" s="45" t="s">
        <v>1729</v>
      </c>
      <c r="X129" s="1026" t="s">
        <v>1389</v>
      </c>
      <c r="Z129" s="49">
        <v>1</v>
      </c>
      <c r="AA129" s="45" t="s">
        <v>1729</v>
      </c>
      <c r="AB129" s="1026" t="s">
        <v>1389</v>
      </c>
      <c r="AE129" t="s">
        <v>1731</v>
      </c>
      <c r="AF129" s="63">
        <f t="shared" si="14"/>
        <v>5</v>
      </c>
    </row>
    <row r="130" spans="2:32">
      <c r="B130" s="46">
        <v>2</v>
      </c>
      <c r="C130" s="45" t="s">
        <v>1733</v>
      </c>
      <c r="D130" s="1027"/>
      <c r="F130" s="46">
        <v>2</v>
      </c>
      <c r="G130" s="45" t="s">
        <v>1733</v>
      </c>
      <c r="H130" s="1027"/>
      <c r="J130" s="46">
        <v>2</v>
      </c>
      <c r="K130" s="45" t="s">
        <v>1746</v>
      </c>
      <c r="L130" s="1027"/>
      <c r="N130" s="46">
        <v>2</v>
      </c>
      <c r="O130" s="45" t="s">
        <v>1732</v>
      </c>
      <c r="P130" s="1027"/>
      <c r="R130" s="46">
        <v>2</v>
      </c>
      <c r="S130" s="45" t="s">
        <v>1746</v>
      </c>
      <c r="T130" s="1027"/>
      <c r="V130" s="46">
        <v>2</v>
      </c>
      <c r="W130" s="45" t="s">
        <v>1746</v>
      </c>
      <c r="X130" s="1027"/>
      <c r="Z130" s="46">
        <v>2</v>
      </c>
      <c r="AA130" s="45" t="s">
        <v>1746</v>
      </c>
      <c r="AB130" s="1027"/>
      <c r="AE130" t="s">
        <v>1746</v>
      </c>
      <c r="AF130" s="63">
        <f t="shared" si="14"/>
        <v>5</v>
      </c>
    </row>
    <row r="131" spans="2:32">
      <c r="B131" s="46">
        <v>3</v>
      </c>
      <c r="C131" s="45"/>
      <c r="D131" s="1027"/>
      <c r="F131" s="46">
        <v>3</v>
      </c>
      <c r="G131" s="45" t="s">
        <v>1730</v>
      </c>
      <c r="H131" s="1027"/>
      <c r="J131" s="46">
        <v>3</v>
      </c>
      <c r="K131" s="45"/>
      <c r="L131" s="1027"/>
      <c r="N131" s="46">
        <v>3</v>
      </c>
      <c r="O131" s="45" t="s">
        <v>1730</v>
      </c>
      <c r="P131" s="1027"/>
      <c r="R131" s="46">
        <v>3</v>
      </c>
      <c r="S131" s="45" t="s">
        <v>1732</v>
      </c>
      <c r="T131" s="1027"/>
      <c r="V131" s="46">
        <v>3</v>
      </c>
      <c r="W131" s="45" t="s">
        <v>1732</v>
      </c>
      <c r="X131" s="1027"/>
      <c r="Z131" s="46">
        <v>3</v>
      </c>
      <c r="AA131" s="45" t="s">
        <v>1732</v>
      </c>
      <c r="AB131" s="1027"/>
      <c r="AE131" t="s">
        <v>1737</v>
      </c>
      <c r="AF131" s="63">
        <f t="shared" si="14"/>
        <v>0</v>
      </c>
    </row>
    <row r="132" spans="2:32">
      <c r="B132" s="51">
        <v>4</v>
      </c>
      <c r="C132" s="52"/>
      <c r="D132" s="1028"/>
      <c r="F132" s="51">
        <v>4</v>
      </c>
      <c r="G132" s="52"/>
      <c r="H132" s="1028"/>
      <c r="J132" s="51">
        <v>4</v>
      </c>
      <c r="K132" s="52"/>
      <c r="L132" s="1028"/>
      <c r="N132" s="51">
        <v>4</v>
      </c>
      <c r="O132" s="52"/>
      <c r="P132" s="1028"/>
      <c r="R132" s="51">
        <v>4</v>
      </c>
      <c r="S132" s="50" t="s">
        <v>1730</v>
      </c>
      <c r="T132" s="1028"/>
      <c r="V132" s="51">
        <v>4</v>
      </c>
      <c r="W132" s="52" t="s">
        <v>1730</v>
      </c>
      <c r="X132" s="1028"/>
      <c r="Z132" s="51">
        <v>4</v>
      </c>
      <c r="AA132" s="52"/>
      <c r="AB132" s="1028"/>
      <c r="AE132" t="s">
        <v>1767</v>
      </c>
      <c r="AF132" s="63">
        <f t="shared" si="14"/>
        <v>3</v>
      </c>
    </row>
    <row r="133" spans="2:32" ht="17" thickBot="1">
      <c r="B133" s="47">
        <v>5</v>
      </c>
      <c r="C133" s="48"/>
      <c r="D133" s="1029"/>
      <c r="F133" s="47">
        <v>5</v>
      </c>
      <c r="G133" s="48"/>
      <c r="H133" s="1029"/>
      <c r="J133" s="47">
        <v>5</v>
      </c>
      <c r="K133" s="48"/>
      <c r="L133" s="1029"/>
      <c r="N133" s="47">
        <v>5</v>
      </c>
      <c r="O133" s="48"/>
      <c r="P133" s="1029"/>
      <c r="R133" s="47">
        <v>5</v>
      </c>
      <c r="S133" s="48" t="s">
        <v>1357</v>
      </c>
      <c r="T133" s="1029"/>
      <c r="V133" s="47">
        <v>5</v>
      </c>
      <c r="W133" s="48" t="s">
        <v>1733</v>
      </c>
      <c r="X133" s="1029"/>
      <c r="Z133" s="47">
        <v>5</v>
      </c>
      <c r="AA133" s="48" t="s">
        <v>1730</v>
      </c>
      <c r="AB133" s="1029"/>
    </row>
    <row r="134" spans="2:32" ht="17" thickBot="1"/>
    <row r="135" spans="2:32">
      <c r="B135" s="1046" t="s">
        <v>1447</v>
      </c>
      <c r="C135" s="1047"/>
      <c r="D135" s="1048"/>
      <c r="F135" s="1046" t="s">
        <v>1448</v>
      </c>
      <c r="G135" s="1047"/>
      <c r="H135" s="1048"/>
      <c r="J135" s="1046" t="s">
        <v>1449</v>
      </c>
      <c r="K135" s="1047"/>
      <c r="L135" s="1048"/>
      <c r="N135" s="1046" t="s">
        <v>1450</v>
      </c>
      <c r="O135" s="1047"/>
      <c r="P135" s="1048"/>
      <c r="R135" s="1046" t="s">
        <v>1451</v>
      </c>
      <c r="S135" s="1047"/>
      <c r="T135" s="1048"/>
      <c r="V135" s="1046" t="s">
        <v>1452</v>
      </c>
      <c r="W135" s="1047"/>
      <c r="X135" s="1048"/>
      <c r="Z135" s="1049" t="s">
        <v>1453</v>
      </c>
      <c r="AA135" s="1050"/>
      <c r="AB135" s="1051"/>
      <c r="AE135" t="s">
        <v>1729</v>
      </c>
      <c r="AF135" s="63">
        <f>COUNTIF($B$136:$AA$144,AE135)</f>
        <v>5</v>
      </c>
    </row>
    <row r="136" spans="2:32" ht="16" customHeight="1">
      <c r="B136" s="46">
        <v>1</v>
      </c>
      <c r="C136" s="45" t="s">
        <v>1731</v>
      </c>
      <c r="D136" s="1027" t="s">
        <v>119</v>
      </c>
      <c r="F136" s="46">
        <v>1</v>
      </c>
      <c r="G136" s="45" t="s">
        <v>1731</v>
      </c>
      <c r="H136" s="1027" t="s">
        <v>119</v>
      </c>
      <c r="J136" s="46">
        <v>1</v>
      </c>
      <c r="K136" s="45" t="s">
        <v>1733</v>
      </c>
      <c r="L136" s="1027" t="s">
        <v>119</v>
      </c>
      <c r="N136" s="46">
        <v>1</v>
      </c>
      <c r="O136" s="45" t="s">
        <v>1733</v>
      </c>
      <c r="P136" s="1027" t="s">
        <v>119</v>
      </c>
      <c r="R136" s="46">
        <v>1</v>
      </c>
      <c r="S136" s="45" t="s">
        <v>1731</v>
      </c>
      <c r="T136" s="1027" t="s">
        <v>119</v>
      </c>
      <c r="V136" s="46">
        <v>1</v>
      </c>
      <c r="W136" s="45" t="s">
        <v>1731</v>
      </c>
      <c r="X136" s="1027" t="s">
        <v>119</v>
      </c>
      <c r="Z136" s="46">
        <v>1</v>
      </c>
      <c r="AA136" s="45" t="s">
        <v>1731</v>
      </c>
      <c r="AB136" s="1027" t="s">
        <v>119</v>
      </c>
      <c r="AE136" t="s">
        <v>1732</v>
      </c>
      <c r="AF136" s="63">
        <f t="shared" ref="AF136:AF143" si="15">COUNTIF($B$136:$AA$144,AE136)</f>
        <v>5</v>
      </c>
    </row>
    <row r="137" spans="2:32">
      <c r="B137" s="46">
        <v>2</v>
      </c>
      <c r="C137" s="45" t="s">
        <v>1357</v>
      </c>
      <c r="D137" s="1027"/>
      <c r="F137" s="46">
        <v>2</v>
      </c>
      <c r="G137" s="45" t="s">
        <v>1357</v>
      </c>
      <c r="H137" s="1027"/>
      <c r="J137" s="46">
        <v>2</v>
      </c>
      <c r="K137" s="45" t="s">
        <v>1357</v>
      </c>
      <c r="L137" s="1027"/>
      <c r="N137" s="46">
        <v>2</v>
      </c>
      <c r="O137" s="45" t="s">
        <v>1357</v>
      </c>
      <c r="P137" s="1027"/>
      <c r="R137" s="46">
        <v>2</v>
      </c>
      <c r="S137" s="45" t="s">
        <v>1767</v>
      </c>
      <c r="T137" s="1027"/>
      <c r="V137" s="46">
        <v>2</v>
      </c>
      <c r="W137" s="45" t="s">
        <v>1767</v>
      </c>
      <c r="X137" s="1027"/>
      <c r="Z137" s="46">
        <v>2</v>
      </c>
      <c r="AA137" s="45" t="s">
        <v>1767</v>
      </c>
      <c r="AB137" s="1027"/>
      <c r="AE137" t="s">
        <v>1730</v>
      </c>
      <c r="AF137" s="63">
        <f t="shared" si="15"/>
        <v>5</v>
      </c>
    </row>
    <row r="138" spans="2:32">
      <c r="B138" s="46">
        <v>3</v>
      </c>
      <c r="C138" s="45"/>
      <c r="D138" s="1027"/>
      <c r="F138" s="46">
        <v>3</v>
      </c>
      <c r="G138" s="45"/>
      <c r="H138" s="1027"/>
      <c r="J138" s="46">
        <v>3</v>
      </c>
      <c r="K138" s="45" t="s">
        <v>1764</v>
      </c>
      <c r="L138" s="1027"/>
      <c r="N138" s="46">
        <v>3</v>
      </c>
      <c r="O138" s="45" t="s">
        <v>1764</v>
      </c>
      <c r="P138" s="1027"/>
      <c r="R138" s="46">
        <v>3</v>
      </c>
      <c r="S138" s="45" t="s">
        <v>1764</v>
      </c>
      <c r="T138" s="1027"/>
      <c r="V138" s="46">
        <v>3</v>
      </c>
      <c r="W138" s="45" t="s">
        <v>1764</v>
      </c>
      <c r="X138" s="1027"/>
      <c r="Z138" s="46">
        <v>3</v>
      </c>
      <c r="AA138" s="45" t="s">
        <v>1764</v>
      </c>
      <c r="AB138" s="1027"/>
      <c r="AE138" t="s">
        <v>1733</v>
      </c>
      <c r="AF138" s="63">
        <f t="shared" si="15"/>
        <v>5</v>
      </c>
    </row>
    <row r="139" spans="2:32" ht="17" thickBot="1">
      <c r="B139" s="47">
        <v>4</v>
      </c>
      <c r="C139" s="48"/>
      <c r="D139" s="1029"/>
      <c r="F139" s="47">
        <v>4</v>
      </c>
      <c r="G139" s="48"/>
      <c r="H139" s="1029"/>
      <c r="J139" s="47">
        <v>4</v>
      </c>
      <c r="K139" s="48"/>
      <c r="L139" s="1029"/>
      <c r="N139" s="47">
        <v>4</v>
      </c>
      <c r="O139" s="48"/>
      <c r="P139" s="1029"/>
      <c r="R139" s="47">
        <v>4</v>
      </c>
      <c r="S139" s="48"/>
      <c r="T139" s="1029"/>
      <c r="V139" s="47">
        <v>4</v>
      </c>
      <c r="W139" s="48"/>
      <c r="X139" s="1029"/>
      <c r="Z139" s="47">
        <v>4</v>
      </c>
      <c r="AA139" s="48" t="s">
        <v>1768</v>
      </c>
      <c r="AB139" s="1029"/>
      <c r="AE139" t="s">
        <v>1357</v>
      </c>
      <c r="AF139" s="63">
        <f t="shared" si="15"/>
        <v>5</v>
      </c>
    </row>
    <row r="140" spans="2:32" ht="16" customHeight="1">
      <c r="B140" s="49">
        <v>1</v>
      </c>
      <c r="C140" s="50" t="s">
        <v>1729</v>
      </c>
      <c r="D140" s="1026" t="s">
        <v>1389</v>
      </c>
      <c r="F140" s="49">
        <v>1</v>
      </c>
      <c r="G140" s="50" t="s">
        <v>1729</v>
      </c>
      <c r="H140" s="1026" t="s">
        <v>1389</v>
      </c>
      <c r="J140" s="49">
        <v>1</v>
      </c>
      <c r="K140" s="45" t="s">
        <v>1732</v>
      </c>
      <c r="L140" s="1026" t="s">
        <v>1389</v>
      </c>
      <c r="N140" s="49">
        <v>1</v>
      </c>
      <c r="O140" s="45" t="s">
        <v>1746</v>
      </c>
      <c r="P140" s="1026" t="s">
        <v>1389</v>
      </c>
      <c r="R140" s="49">
        <v>1</v>
      </c>
      <c r="S140" s="45" t="s">
        <v>1729</v>
      </c>
      <c r="T140" s="1026" t="s">
        <v>1389</v>
      </c>
      <c r="V140" s="49">
        <v>1</v>
      </c>
      <c r="W140" s="45" t="s">
        <v>1729</v>
      </c>
      <c r="X140" s="1026" t="s">
        <v>1389</v>
      </c>
      <c r="Z140" s="49">
        <v>1</v>
      </c>
      <c r="AA140" s="45" t="s">
        <v>1729</v>
      </c>
      <c r="AB140" s="1026" t="s">
        <v>1389</v>
      </c>
      <c r="AE140" t="s">
        <v>1731</v>
      </c>
      <c r="AF140" s="63">
        <f t="shared" si="15"/>
        <v>5</v>
      </c>
    </row>
    <row r="141" spans="2:32">
      <c r="B141" s="46">
        <v>2</v>
      </c>
      <c r="C141" s="45" t="s">
        <v>1730</v>
      </c>
      <c r="D141" s="1027"/>
      <c r="F141" s="46">
        <v>2</v>
      </c>
      <c r="G141" s="45" t="s">
        <v>1733</v>
      </c>
      <c r="H141" s="1027"/>
      <c r="J141" s="46">
        <v>2</v>
      </c>
      <c r="K141" s="45" t="s">
        <v>1746</v>
      </c>
      <c r="L141" s="1027"/>
      <c r="N141" s="46">
        <v>2</v>
      </c>
      <c r="O141" s="45" t="s">
        <v>1732</v>
      </c>
      <c r="P141" s="1027"/>
      <c r="R141" s="46">
        <v>2</v>
      </c>
      <c r="S141" s="45" t="s">
        <v>1746</v>
      </c>
      <c r="T141" s="1027"/>
      <c r="V141" s="46">
        <v>2</v>
      </c>
      <c r="W141" s="45" t="s">
        <v>1746</v>
      </c>
      <c r="X141" s="1027"/>
      <c r="Z141" s="46">
        <v>2</v>
      </c>
      <c r="AA141" s="45" t="s">
        <v>1746</v>
      </c>
      <c r="AB141" s="1027"/>
      <c r="AE141" t="s">
        <v>1746</v>
      </c>
      <c r="AF141" s="63">
        <f t="shared" si="15"/>
        <v>5</v>
      </c>
    </row>
    <row r="142" spans="2:32">
      <c r="B142" s="46">
        <v>3</v>
      </c>
      <c r="C142" s="45"/>
      <c r="D142" s="1027"/>
      <c r="F142" s="46">
        <v>3</v>
      </c>
      <c r="G142" s="45" t="s">
        <v>1730</v>
      </c>
      <c r="H142" s="1027"/>
      <c r="J142" s="46">
        <v>3</v>
      </c>
      <c r="K142" s="45"/>
      <c r="L142" s="1027"/>
      <c r="N142" s="46">
        <v>3</v>
      </c>
      <c r="O142" s="45" t="s">
        <v>1730</v>
      </c>
      <c r="P142" s="1027"/>
      <c r="R142" s="46">
        <v>3</v>
      </c>
      <c r="S142" s="45" t="s">
        <v>1732</v>
      </c>
      <c r="T142" s="1027"/>
      <c r="V142" s="46">
        <v>3</v>
      </c>
      <c r="W142" s="45" t="s">
        <v>1732</v>
      </c>
      <c r="X142" s="1027"/>
      <c r="Z142" s="46">
        <v>3</v>
      </c>
      <c r="AA142" s="45" t="s">
        <v>1732</v>
      </c>
      <c r="AB142" s="1027"/>
      <c r="AE142" t="s">
        <v>1737</v>
      </c>
      <c r="AF142" s="63">
        <f t="shared" si="15"/>
        <v>0</v>
      </c>
    </row>
    <row r="143" spans="2:32">
      <c r="B143" s="51">
        <v>4</v>
      </c>
      <c r="C143" s="52"/>
      <c r="D143" s="1028"/>
      <c r="F143" s="51">
        <v>4</v>
      </c>
      <c r="G143" s="52"/>
      <c r="H143" s="1028"/>
      <c r="J143" s="51">
        <v>4</v>
      </c>
      <c r="K143" s="52"/>
      <c r="L143" s="1028"/>
      <c r="N143" s="51">
        <v>4</v>
      </c>
      <c r="O143" s="52"/>
      <c r="P143" s="1028"/>
      <c r="R143" s="51">
        <v>4</v>
      </c>
      <c r="S143" s="50" t="s">
        <v>1730</v>
      </c>
      <c r="T143" s="1028"/>
      <c r="V143" s="51">
        <v>4</v>
      </c>
      <c r="W143" s="52" t="s">
        <v>1730</v>
      </c>
      <c r="X143" s="1028"/>
      <c r="Z143" s="51">
        <v>4</v>
      </c>
      <c r="AA143" s="52" t="s">
        <v>1733</v>
      </c>
      <c r="AB143" s="1028"/>
      <c r="AE143" t="s">
        <v>1767</v>
      </c>
      <c r="AF143" s="63">
        <f t="shared" si="15"/>
        <v>3</v>
      </c>
    </row>
    <row r="144" spans="2:32" ht="17" thickBot="1">
      <c r="B144" s="47">
        <v>5</v>
      </c>
      <c r="C144" s="48"/>
      <c r="D144" s="1029"/>
      <c r="F144" s="47">
        <v>5</v>
      </c>
      <c r="G144" s="48"/>
      <c r="H144" s="1029"/>
      <c r="J144" s="47">
        <v>5</v>
      </c>
      <c r="K144" s="48"/>
      <c r="L144" s="1029"/>
      <c r="N144" s="47">
        <v>5</v>
      </c>
      <c r="O144" s="48"/>
      <c r="P144" s="1029"/>
      <c r="R144" s="47">
        <v>5</v>
      </c>
      <c r="S144" s="48" t="s">
        <v>1357</v>
      </c>
      <c r="T144" s="1029"/>
      <c r="V144" s="47">
        <v>5</v>
      </c>
      <c r="W144" s="48" t="s">
        <v>1733</v>
      </c>
      <c r="X144" s="1029"/>
      <c r="Z144" s="47">
        <v>5</v>
      </c>
      <c r="AA144" s="48"/>
      <c r="AB144" s="1029"/>
    </row>
    <row r="145" spans="2:33" ht="17" thickBot="1"/>
    <row r="146" spans="2:33">
      <c r="B146" s="1046" t="s">
        <v>1458</v>
      </c>
      <c r="C146" s="1047"/>
      <c r="D146" s="1048"/>
      <c r="F146" s="1046" t="s">
        <v>1459</v>
      </c>
      <c r="G146" s="1047"/>
      <c r="H146" s="1048"/>
      <c r="J146" s="1046" t="s">
        <v>1460</v>
      </c>
      <c r="K146" s="1047"/>
      <c r="L146" s="1048"/>
      <c r="N146" s="1046" t="s">
        <v>1461</v>
      </c>
      <c r="O146" s="1047"/>
      <c r="P146" s="1048"/>
      <c r="R146" s="1046" t="s">
        <v>1462</v>
      </c>
      <c r="S146" s="1047"/>
      <c r="T146" s="1048"/>
      <c r="V146" s="1046" t="s">
        <v>1472</v>
      </c>
      <c r="W146" s="1047"/>
      <c r="X146" s="1048"/>
      <c r="Z146" s="1049" t="s">
        <v>1473</v>
      </c>
      <c r="AA146" s="1050"/>
      <c r="AB146" s="1051"/>
      <c r="AE146" t="s">
        <v>1729</v>
      </c>
      <c r="AF146" s="63">
        <f>COUNTIF($B$147:$AA$155,AE146)</f>
        <v>5</v>
      </c>
    </row>
    <row r="147" spans="2:33" ht="16" customHeight="1">
      <c r="B147" s="46">
        <v>1</v>
      </c>
      <c r="C147" s="45" t="s">
        <v>1731</v>
      </c>
      <c r="D147" s="1027" t="s">
        <v>119</v>
      </c>
      <c r="F147" s="46">
        <v>1</v>
      </c>
      <c r="G147" s="45" t="s">
        <v>1731</v>
      </c>
      <c r="H147" s="1027" t="s">
        <v>119</v>
      </c>
      <c r="J147" s="46">
        <v>1</v>
      </c>
      <c r="K147" s="45" t="s">
        <v>1733</v>
      </c>
      <c r="L147" s="1027" t="s">
        <v>119</v>
      </c>
      <c r="N147" s="46">
        <v>1</v>
      </c>
      <c r="O147" s="45" t="s">
        <v>1733</v>
      </c>
      <c r="P147" s="1027" t="s">
        <v>119</v>
      </c>
      <c r="R147" s="46">
        <v>1</v>
      </c>
      <c r="S147" s="45" t="s">
        <v>1731</v>
      </c>
      <c r="T147" s="1027" t="s">
        <v>119</v>
      </c>
      <c r="V147" s="46">
        <v>1</v>
      </c>
      <c r="W147" s="45" t="s">
        <v>1731</v>
      </c>
      <c r="X147" s="1027" t="s">
        <v>119</v>
      </c>
      <c r="Z147" s="46">
        <v>1</v>
      </c>
      <c r="AA147" s="45" t="s">
        <v>1731</v>
      </c>
      <c r="AB147" s="1027" t="s">
        <v>119</v>
      </c>
      <c r="AE147" t="s">
        <v>1732</v>
      </c>
      <c r="AF147" s="63">
        <f t="shared" ref="AF147:AF154" si="16">COUNTIF($B$136:$AA$144,AE147)</f>
        <v>5</v>
      </c>
    </row>
    <row r="148" spans="2:33">
      <c r="B148" s="46">
        <v>2</v>
      </c>
      <c r="C148" s="45" t="s">
        <v>1357</v>
      </c>
      <c r="D148" s="1027"/>
      <c r="F148" s="46">
        <v>2</v>
      </c>
      <c r="G148" s="45" t="s">
        <v>1357</v>
      </c>
      <c r="H148" s="1027"/>
      <c r="J148" s="46">
        <v>2</v>
      </c>
      <c r="K148" s="45" t="s">
        <v>1357</v>
      </c>
      <c r="L148" s="1027"/>
      <c r="N148" s="46">
        <v>2</v>
      </c>
      <c r="O148" s="45" t="s">
        <v>1357</v>
      </c>
      <c r="P148" s="1027"/>
      <c r="R148" s="46">
        <v>2</v>
      </c>
      <c r="S148" s="45" t="s">
        <v>1767</v>
      </c>
      <c r="T148" s="1027"/>
      <c r="V148" s="46">
        <v>2</v>
      </c>
      <c r="W148" s="45" t="s">
        <v>1767</v>
      </c>
      <c r="X148" s="1027"/>
      <c r="Z148" s="46">
        <v>2</v>
      </c>
      <c r="AA148" s="45" t="s">
        <v>1767</v>
      </c>
      <c r="AB148" s="1027"/>
      <c r="AE148" t="s">
        <v>1730</v>
      </c>
      <c r="AF148" s="63">
        <f t="shared" si="16"/>
        <v>5</v>
      </c>
    </row>
    <row r="149" spans="2:33">
      <c r="B149" s="46">
        <v>3</v>
      </c>
      <c r="C149" s="45"/>
      <c r="D149" s="1027"/>
      <c r="F149" s="46">
        <v>3</v>
      </c>
      <c r="G149" s="45"/>
      <c r="H149" s="1027"/>
      <c r="J149" s="46">
        <v>3</v>
      </c>
      <c r="K149" s="45" t="s">
        <v>1764</v>
      </c>
      <c r="L149" s="1027"/>
      <c r="N149" s="46">
        <v>3</v>
      </c>
      <c r="O149" s="45" t="s">
        <v>1764</v>
      </c>
      <c r="P149" s="1027"/>
      <c r="R149" s="46">
        <v>3</v>
      </c>
      <c r="S149" s="45" t="s">
        <v>1764</v>
      </c>
      <c r="T149" s="1027"/>
      <c r="V149" s="46">
        <v>3</v>
      </c>
      <c r="W149" s="45" t="s">
        <v>1764</v>
      </c>
      <c r="X149" s="1027"/>
      <c r="Z149" s="46">
        <v>3</v>
      </c>
      <c r="AA149" s="45" t="s">
        <v>1764</v>
      </c>
      <c r="AB149" s="1027"/>
      <c r="AE149" t="s">
        <v>1733</v>
      </c>
      <c r="AF149" s="63">
        <f t="shared" si="16"/>
        <v>5</v>
      </c>
    </row>
    <row r="150" spans="2:33" ht="17" thickBot="1">
      <c r="B150" s="47">
        <v>4</v>
      </c>
      <c r="C150" s="48"/>
      <c r="D150" s="1029"/>
      <c r="F150" s="47">
        <v>4</v>
      </c>
      <c r="G150" s="48"/>
      <c r="H150" s="1029"/>
      <c r="J150" s="47">
        <v>4</v>
      </c>
      <c r="K150" s="48"/>
      <c r="L150" s="1029"/>
      <c r="N150" s="47">
        <v>4</v>
      </c>
      <c r="O150" s="48"/>
      <c r="P150" s="1029"/>
      <c r="R150" s="47">
        <v>4</v>
      </c>
      <c r="S150" s="48"/>
      <c r="T150" s="1029"/>
      <c r="V150" s="47">
        <v>4</v>
      </c>
      <c r="W150" s="48"/>
      <c r="X150" s="1029"/>
      <c r="Z150" s="47">
        <v>4</v>
      </c>
      <c r="AA150" s="48"/>
      <c r="AB150" s="1029"/>
      <c r="AE150" t="s">
        <v>1357</v>
      </c>
      <c r="AF150" s="63">
        <f t="shared" si="16"/>
        <v>5</v>
      </c>
    </row>
    <row r="151" spans="2:33" ht="16" customHeight="1">
      <c r="B151" s="49">
        <v>1</v>
      </c>
      <c r="C151" s="50" t="s">
        <v>1729</v>
      </c>
      <c r="D151" s="1026" t="s">
        <v>1389</v>
      </c>
      <c r="F151" s="49">
        <v>1</v>
      </c>
      <c r="G151" s="50" t="s">
        <v>1729</v>
      </c>
      <c r="H151" s="1026" t="s">
        <v>1389</v>
      </c>
      <c r="J151" s="49">
        <v>1</v>
      </c>
      <c r="K151" s="45" t="s">
        <v>1732</v>
      </c>
      <c r="L151" s="1026" t="s">
        <v>1389</v>
      </c>
      <c r="N151" s="49">
        <v>1</v>
      </c>
      <c r="O151" s="45" t="s">
        <v>1746</v>
      </c>
      <c r="P151" s="1026" t="s">
        <v>1389</v>
      </c>
      <c r="R151" s="49">
        <v>1</v>
      </c>
      <c r="S151" s="45" t="s">
        <v>1729</v>
      </c>
      <c r="T151" s="1026" t="s">
        <v>1389</v>
      </c>
      <c r="V151" s="49">
        <v>1</v>
      </c>
      <c r="W151" s="45" t="s">
        <v>1729</v>
      </c>
      <c r="X151" s="1026" t="s">
        <v>1389</v>
      </c>
      <c r="Z151" s="49">
        <v>1</v>
      </c>
      <c r="AA151" s="45" t="s">
        <v>1729</v>
      </c>
      <c r="AB151" s="1026" t="s">
        <v>1389</v>
      </c>
      <c r="AE151" t="s">
        <v>1731</v>
      </c>
      <c r="AF151" s="63">
        <f t="shared" si="16"/>
        <v>5</v>
      </c>
    </row>
    <row r="152" spans="2:33">
      <c r="B152" s="46">
        <v>2</v>
      </c>
      <c r="C152" s="45" t="s">
        <v>1733</v>
      </c>
      <c r="D152" s="1027"/>
      <c r="F152" s="46">
        <v>2</v>
      </c>
      <c r="G152" s="45" t="s">
        <v>1733</v>
      </c>
      <c r="H152" s="1027"/>
      <c r="J152" s="46">
        <v>2</v>
      </c>
      <c r="K152" s="45" t="s">
        <v>1746</v>
      </c>
      <c r="L152" s="1027"/>
      <c r="N152" s="46">
        <v>2</v>
      </c>
      <c r="O152" s="45" t="s">
        <v>1732</v>
      </c>
      <c r="P152" s="1027"/>
      <c r="R152" s="46">
        <v>2</v>
      </c>
      <c r="S152" s="45" t="s">
        <v>1746</v>
      </c>
      <c r="T152" s="1027"/>
      <c r="V152" s="46">
        <v>2</v>
      </c>
      <c r="W152" s="45" t="s">
        <v>1746</v>
      </c>
      <c r="X152" s="1027"/>
      <c r="Z152" s="46">
        <v>2</v>
      </c>
      <c r="AA152" s="45" t="s">
        <v>1746</v>
      </c>
      <c r="AB152" s="1027"/>
      <c r="AE152" t="s">
        <v>1746</v>
      </c>
      <c r="AF152" s="63">
        <f t="shared" si="16"/>
        <v>5</v>
      </c>
    </row>
    <row r="153" spans="2:33">
      <c r="B153" s="46">
        <v>3</v>
      </c>
      <c r="C153" s="45"/>
      <c r="D153" s="1027"/>
      <c r="F153" s="46">
        <v>3</v>
      </c>
      <c r="G153" s="45" t="s">
        <v>1730</v>
      </c>
      <c r="H153" s="1027"/>
      <c r="J153" s="46">
        <v>3</v>
      </c>
      <c r="K153" s="45"/>
      <c r="L153" s="1027"/>
      <c r="N153" s="46">
        <v>3</v>
      </c>
      <c r="O153" s="45" t="s">
        <v>1730</v>
      </c>
      <c r="P153" s="1027"/>
      <c r="R153" s="46">
        <v>3</v>
      </c>
      <c r="S153" s="45" t="s">
        <v>1732</v>
      </c>
      <c r="T153" s="1027"/>
      <c r="V153" s="46">
        <v>3</v>
      </c>
      <c r="W153" s="45" t="s">
        <v>1732</v>
      </c>
      <c r="X153" s="1027"/>
      <c r="Z153" s="46">
        <v>3</v>
      </c>
      <c r="AA153" s="45" t="s">
        <v>1732</v>
      </c>
      <c r="AB153" s="1027"/>
      <c r="AE153" t="s">
        <v>1737</v>
      </c>
      <c r="AF153" s="63">
        <f t="shared" si="16"/>
        <v>0</v>
      </c>
    </row>
    <row r="154" spans="2:33">
      <c r="B154" s="51">
        <v>4</v>
      </c>
      <c r="C154" s="52"/>
      <c r="D154" s="1028"/>
      <c r="F154" s="51">
        <v>4</v>
      </c>
      <c r="G154" s="52"/>
      <c r="H154" s="1028"/>
      <c r="J154" s="51">
        <v>4</v>
      </c>
      <c r="K154" s="52"/>
      <c r="L154" s="1028"/>
      <c r="N154" s="51">
        <v>4</v>
      </c>
      <c r="O154" s="52"/>
      <c r="P154" s="1028"/>
      <c r="R154" s="51">
        <v>4</v>
      </c>
      <c r="S154" s="50" t="s">
        <v>1730</v>
      </c>
      <c r="T154" s="1028"/>
      <c r="V154" s="51">
        <v>4</v>
      </c>
      <c r="W154" s="52" t="s">
        <v>1730</v>
      </c>
      <c r="X154" s="1028"/>
      <c r="Z154" s="51">
        <v>4</v>
      </c>
      <c r="AA154" s="52" t="s">
        <v>1730</v>
      </c>
      <c r="AB154" s="1028"/>
      <c r="AE154" t="s">
        <v>1767</v>
      </c>
      <c r="AF154" s="63">
        <f t="shared" si="16"/>
        <v>3</v>
      </c>
    </row>
    <row r="155" spans="2:33" ht="17" thickBot="1">
      <c r="B155" s="47">
        <v>5</v>
      </c>
      <c r="C155" s="48"/>
      <c r="D155" s="1029"/>
      <c r="F155" s="47">
        <v>5</v>
      </c>
      <c r="G155" s="48"/>
      <c r="H155" s="1029"/>
      <c r="J155" s="47">
        <v>5</v>
      </c>
      <c r="K155" s="48"/>
      <c r="L155" s="1029"/>
      <c r="N155" s="47">
        <v>5</v>
      </c>
      <c r="O155" s="48"/>
      <c r="P155" s="1029"/>
      <c r="R155" s="47">
        <v>5</v>
      </c>
      <c r="S155" s="48" t="s">
        <v>1357</v>
      </c>
      <c r="T155" s="1029"/>
      <c r="V155" s="47">
        <v>5</v>
      </c>
      <c r="W155" s="48" t="s">
        <v>1733</v>
      </c>
      <c r="X155" s="1029"/>
      <c r="Z155" s="47">
        <v>5</v>
      </c>
      <c r="AA155" s="48"/>
      <c r="AB155" s="1029"/>
    </row>
    <row r="156" spans="2:33" ht="17" thickBot="1"/>
    <row r="157" spans="2:33">
      <c r="B157" s="1046" t="s">
        <v>1475</v>
      </c>
      <c r="C157" s="1047"/>
      <c r="D157" s="1048"/>
      <c r="F157" s="1033" t="s">
        <v>1476</v>
      </c>
      <c r="G157" s="1034"/>
      <c r="H157" s="1035"/>
      <c r="J157" s="1033" t="s">
        <v>1477</v>
      </c>
      <c r="K157" s="1034"/>
      <c r="L157" s="1035"/>
      <c r="N157" s="1033" t="s">
        <v>1478</v>
      </c>
      <c r="O157" s="1034"/>
      <c r="P157" s="1035"/>
      <c r="R157" s="1033" t="s">
        <v>1479</v>
      </c>
      <c r="S157" s="1034"/>
      <c r="T157" s="1035"/>
      <c r="V157" s="1033" t="s">
        <v>1480</v>
      </c>
      <c r="W157" s="1034"/>
      <c r="X157" s="1035"/>
      <c r="Z157" s="1033" t="s">
        <v>1481</v>
      </c>
      <c r="AA157" s="1034"/>
      <c r="AB157" s="1035"/>
      <c r="AE157" t="s">
        <v>1729</v>
      </c>
      <c r="AF157" s="63">
        <f>COUNTIF($B$158:$AA$166,AE157)</f>
        <v>6</v>
      </c>
    </row>
    <row r="158" spans="2:33" ht="16" customHeight="1">
      <c r="B158" s="46">
        <v>1</v>
      </c>
      <c r="C158" s="45" t="s">
        <v>1731</v>
      </c>
      <c r="D158" s="1027" t="s">
        <v>119</v>
      </c>
      <c r="F158" s="46">
        <v>1</v>
      </c>
      <c r="G158" s="45" t="s">
        <v>1731</v>
      </c>
      <c r="H158" s="1027" t="s">
        <v>119</v>
      </c>
      <c r="J158" s="46">
        <v>1</v>
      </c>
      <c r="K158" s="45" t="s">
        <v>1731</v>
      </c>
      <c r="L158" s="1027" t="s">
        <v>119</v>
      </c>
      <c r="N158" s="46">
        <v>1</v>
      </c>
      <c r="O158" s="45" t="s">
        <v>1733</v>
      </c>
      <c r="P158" s="1027" t="s">
        <v>119</v>
      </c>
      <c r="R158" s="46">
        <v>1</v>
      </c>
      <c r="S158" s="45" t="s">
        <v>1731</v>
      </c>
      <c r="T158" s="1027" t="s">
        <v>119</v>
      </c>
      <c r="V158" s="46">
        <v>1</v>
      </c>
      <c r="W158" s="45" t="s">
        <v>1731</v>
      </c>
      <c r="X158" s="1027" t="s">
        <v>119</v>
      </c>
      <c r="Z158" s="46">
        <v>1</v>
      </c>
      <c r="AA158" s="45" t="s">
        <v>1731</v>
      </c>
      <c r="AB158" s="1027" t="s">
        <v>119</v>
      </c>
      <c r="AE158" t="s">
        <v>1732</v>
      </c>
      <c r="AF158" s="63">
        <f t="shared" ref="AF158:AF165" si="17">COUNTIF($B$158:$AA$166,AE158)</f>
        <v>6</v>
      </c>
      <c r="AG158" s="83">
        <v>1</v>
      </c>
    </row>
    <row r="159" spans="2:33">
      <c r="B159" s="46">
        <v>2</v>
      </c>
      <c r="C159" s="45" t="s">
        <v>1767</v>
      </c>
      <c r="D159" s="1027"/>
      <c r="F159" s="46">
        <v>2</v>
      </c>
      <c r="G159" s="45" t="s">
        <v>1357</v>
      </c>
      <c r="H159" s="1027"/>
      <c r="J159" s="46">
        <v>2</v>
      </c>
      <c r="K159" s="45" t="s">
        <v>1357</v>
      </c>
      <c r="L159" s="1027"/>
      <c r="N159" s="46">
        <v>2</v>
      </c>
      <c r="O159" s="45" t="s">
        <v>1357</v>
      </c>
      <c r="P159" s="1027"/>
      <c r="R159" s="46">
        <v>2</v>
      </c>
      <c r="S159" s="45" t="s">
        <v>1357</v>
      </c>
      <c r="T159" s="1027"/>
      <c r="V159" s="46">
        <v>2</v>
      </c>
      <c r="W159" s="45" t="s">
        <v>1357</v>
      </c>
      <c r="X159" s="1027"/>
      <c r="Z159" s="46">
        <v>2</v>
      </c>
      <c r="AA159" s="45" t="s">
        <v>1357</v>
      </c>
      <c r="AB159" s="1027"/>
      <c r="AE159" t="s">
        <v>1730</v>
      </c>
      <c r="AF159" s="63">
        <f t="shared" si="17"/>
        <v>5</v>
      </c>
      <c r="AG159" s="83">
        <v>1</v>
      </c>
    </row>
    <row r="160" spans="2:33">
      <c r="B160" s="46">
        <v>3</v>
      </c>
      <c r="C160" s="45"/>
      <c r="D160" s="1027"/>
      <c r="F160" s="46">
        <v>3</v>
      </c>
      <c r="G160" s="45" t="s">
        <v>1764</v>
      </c>
      <c r="H160" s="1027"/>
      <c r="J160" s="46">
        <v>3</v>
      </c>
      <c r="K160" s="45" t="s">
        <v>1764</v>
      </c>
      <c r="L160" s="1027"/>
      <c r="N160" s="46">
        <v>3</v>
      </c>
      <c r="O160" s="45" t="s">
        <v>1764</v>
      </c>
      <c r="P160" s="1027"/>
      <c r="R160" s="46">
        <v>3</v>
      </c>
      <c r="S160" s="45" t="s">
        <v>1764</v>
      </c>
      <c r="T160" s="1027"/>
      <c r="V160" s="46">
        <v>3</v>
      </c>
      <c r="W160" s="45" t="s">
        <v>1764</v>
      </c>
      <c r="X160" s="1027"/>
      <c r="Z160" s="46">
        <v>3</v>
      </c>
      <c r="AA160" s="45" t="s">
        <v>1764</v>
      </c>
      <c r="AB160" s="1027"/>
      <c r="AE160" t="s">
        <v>1733</v>
      </c>
      <c r="AF160" s="63">
        <f t="shared" si="17"/>
        <v>6</v>
      </c>
    </row>
    <row r="161" spans="2:33" ht="17" thickBot="1">
      <c r="B161" s="47">
        <v>4</v>
      </c>
      <c r="C161" s="48"/>
      <c r="D161" s="1029"/>
      <c r="F161" s="47">
        <v>4</v>
      </c>
      <c r="G161" s="48"/>
      <c r="H161" s="1029"/>
      <c r="J161" s="47">
        <v>4</v>
      </c>
      <c r="K161" s="48"/>
      <c r="L161" s="1029"/>
      <c r="N161" s="47">
        <v>4</v>
      </c>
      <c r="O161" s="48" t="s">
        <v>1737</v>
      </c>
      <c r="P161" s="1029"/>
      <c r="R161" s="47">
        <v>4</v>
      </c>
      <c r="S161" s="48"/>
      <c r="T161" s="1029"/>
      <c r="V161" s="47">
        <v>4</v>
      </c>
      <c r="W161" s="48"/>
      <c r="X161" s="1029"/>
      <c r="Z161" s="47">
        <v>4</v>
      </c>
      <c r="AA161" s="70" t="s">
        <v>1733</v>
      </c>
      <c r="AB161" s="1029"/>
      <c r="AE161" t="s">
        <v>1357</v>
      </c>
      <c r="AF161" s="63">
        <f t="shared" si="17"/>
        <v>6</v>
      </c>
    </row>
    <row r="162" spans="2:33" ht="16" customHeight="1">
      <c r="B162" s="49">
        <v>1</v>
      </c>
      <c r="C162" s="50" t="s">
        <v>1732</v>
      </c>
      <c r="D162" s="1026" t="s">
        <v>1389</v>
      </c>
      <c r="F162" s="49">
        <v>1</v>
      </c>
      <c r="G162" s="50" t="s">
        <v>1729</v>
      </c>
      <c r="H162" s="1026" t="s">
        <v>1389</v>
      </c>
      <c r="J162" s="49">
        <v>1</v>
      </c>
      <c r="K162" s="45" t="s">
        <v>1732</v>
      </c>
      <c r="L162" s="1026" t="s">
        <v>1389</v>
      </c>
      <c r="N162" s="49">
        <v>1</v>
      </c>
      <c r="O162" s="50" t="s">
        <v>1729</v>
      </c>
      <c r="P162" s="1026" t="s">
        <v>1389</v>
      </c>
      <c r="R162" s="49">
        <v>1</v>
      </c>
      <c r="S162" s="45" t="s">
        <v>1729</v>
      </c>
      <c r="T162" s="1026" t="s">
        <v>1389</v>
      </c>
      <c r="V162" s="49">
        <v>1</v>
      </c>
      <c r="W162" s="45" t="s">
        <v>1729</v>
      </c>
      <c r="X162" s="1026" t="s">
        <v>1389</v>
      </c>
      <c r="Z162" s="49">
        <v>1</v>
      </c>
      <c r="AA162" s="45" t="s">
        <v>1729</v>
      </c>
      <c r="AB162" s="1026" t="s">
        <v>1389</v>
      </c>
      <c r="AE162" t="s">
        <v>1731</v>
      </c>
      <c r="AF162" s="63">
        <f t="shared" si="17"/>
        <v>6</v>
      </c>
      <c r="AG162" s="83">
        <v>1</v>
      </c>
    </row>
    <row r="163" spans="2:33">
      <c r="B163" s="46">
        <v>2</v>
      </c>
      <c r="C163" s="45" t="s">
        <v>1730</v>
      </c>
      <c r="D163" s="1027"/>
      <c r="F163" s="46">
        <v>2</v>
      </c>
      <c r="G163" s="45" t="s">
        <v>1733</v>
      </c>
      <c r="H163" s="1027"/>
      <c r="J163" s="46">
        <v>2</v>
      </c>
      <c r="K163" s="45" t="s">
        <v>1729</v>
      </c>
      <c r="L163" s="1027"/>
      <c r="N163" s="46">
        <v>2</v>
      </c>
      <c r="O163" s="45" t="s">
        <v>1732</v>
      </c>
      <c r="P163" s="1027"/>
      <c r="R163" s="46">
        <v>2</v>
      </c>
      <c r="S163" s="45" t="s">
        <v>1732</v>
      </c>
      <c r="T163" s="1027"/>
      <c r="V163" s="46">
        <v>2</v>
      </c>
      <c r="W163" s="45" t="s">
        <v>1732</v>
      </c>
      <c r="X163" s="1027"/>
      <c r="Z163" s="46">
        <v>2</v>
      </c>
      <c r="AA163" s="45" t="s">
        <v>1737</v>
      </c>
      <c r="AB163" s="1027"/>
      <c r="AE163" t="s">
        <v>1746</v>
      </c>
      <c r="AF163" s="63">
        <f t="shared" si="17"/>
        <v>1</v>
      </c>
    </row>
    <row r="164" spans="2:33">
      <c r="B164" s="46">
        <v>3</v>
      </c>
      <c r="C164" s="45"/>
      <c r="D164" s="1027"/>
      <c r="F164" s="46">
        <v>3</v>
      </c>
      <c r="G164" s="45" t="s">
        <v>1730</v>
      </c>
      <c r="H164" s="1027"/>
      <c r="J164" s="46">
        <v>3</v>
      </c>
      <c r="K164" s="45" t="s">
        <v>1733</v>
      </c>
      <c r="L164" s="1027"/>
      <c r="N164" s="46">
        <v>3</v>
      </c>
      <c r="O164" s="45" t="s">
        <v>1730</v>
      </c>
      <c r="P164" s="1027"/>
      <c r="R164" s="46">
        <v>3</v>
      </c>
      <c r="S164" s="50" t="s">
        <v>1730</v>
      </c>
      <c r="T164" s="1027"/>
      <c r="V164" s="46">
        <v>3</v>
      </c>
      <c r="W164" s="52" t="s">
        <v>1730</v>
      </c>
      <c r="X164" s="1027"/>
      <c r="Z164" s="46">
        <v>3</v>
      </c>
      <c r="AA164" s="45" t="s">
        <v>1732</v>
      </c>
      <c r="AB164" s="1027"/>
      <c r="AE164" t="s">
        <v>1737</v>
      </c>
      <c r="AF164" s="63">
        <f t="shared" si="17"/>
        <v>2</v>
      </c>
    </row>
    <row r="165" spans="2:33">
      <c r="B165" s="51">
        <v>4</v>
      </c>
      <c r="C165" s="52"/>
      <c r="D165" s="1028"/>
      <c r="F165" s="51">
        <v>4</v>
      </c>
      <c r="G165" s="52"/>
      <c r="H165" s="1028"/>
      <c r="J165" s="51">
        <v>4</v>
      </c>
      <c r="K165" s="52"/>
      <c r="L165" s="1028"/>
      <c r="N165" s="51">
        <v>4</v>
      </c>
      <c r="O165" s="52"/>
      <c r="P165" s="1028"/>
      <c r="R165" s="51">
        <v>4</v>
      </c>
      <c r="S165" s="50" t="s">
        <v>1733</v>
      </c>
      <c r="T165" s="1028"/>
      <c r="V165" s="51">
        <v>4</v>
      </c>
      <c r="W165" s="52" t="s">
        <v>1733</v>
      </c>
      <c r="X165" s="1028"/>
      <c r="Z165" s="51">
        <v>4</v>
      </c>
      <c r="AA165" s="71" t="s">
        <v>1769</v>
      </c>
      <c r="AB165" s="1028"/>
      <c r="AE165" t="s">
        <v>1767</v>
      </c>
      <c r="AF165" s="63">
        <f t="shared" si="17"/>
        <v>1</v>
      </c>
      <c r="AG165" s="83">
        <v>1</v>
      </c>
    </row>
    <row r="166" spans="2:33" ht="17" thickBot="1">
      <c r="B166" s="47">
        <v>5</v>
      </c>
      <c r="C166" s="48"/>
      <c r="D166" s="1029"/>
      <c r="F166" s="47">
        <v>5</v>
      </c>
      <c r="G166" s="48"/>
      <c r="H166" s="1029"/>
      <c r="J166" s="47">
        <v>5</v>
      </c>
      <c r="K166" s="48"/>
      <c r="L166" s="1029"/>
      <c r="N166" s="47">
        <v>5</v>
      </c>
      <c r="O166" s="48"/>
      <c r="P166" s="1029"/>
      <c r="R166" s="47">
        <v>5</v>
      </c>
      <c r="S166" s="70" t="s">
        <v>1746</v>
      </c>
      <c r="T166" s="1029"/>
      <c r="V166" s="47">
        <v>5</v>
      </c>
      <c r="W166" s="70" t="s">
        <v>1770</v>
      </c>
      <c r="X166" s="1029"/>
      <c r="Z166" s="47">
        <v>5</v>
      </c>
      <c r="AA166" s="70" t="s">
        <v>1770</v>
      </c>
      <c r="AB166" s="1029"/>
    </row>
    <row r="167" spans="2:33" ht="17" thickBot="1"/>
    <row r="168" spans="2:33">
      <c r="B168" s="1033" t="s">
        <v>1484</v>
      </c>
      <c r="C168" s="1034"/>
      <c r="D168" s="1035"/>
      <c r="F168" s="1033" t="s">
        <v>1485</v>
      </c>
      <c r="G168" s="1034"/>
      <c r="H168" s="1035"/>
      <c r="J168" s="1033" t="s">
        <v>1486</v>
      </c>
      <c r="K168" s="1034"/>
      <c r="L168" s="1035"/>
      <c r="N168" s="1033" t="s">
        <v>1487</v>
      </c>
      <c r="O168" s="1034"/>
      <c r="P168" s="1035"/>
      <c r="R168" s="1033" t="s">
        <v>1488</v>
      </c>
      <c r="S168" s="1034"/>
      <c r="T168" s="1035"/>
      <c r="V168" s="1033" t="s">
        <v>1489</v>
      </c>
      <c r="W168" s="1034"/>
      <c r="X168" s="1035"/>
      <c r="Z168" s="1033" t="s">
        <v>1490</v>
      </c>
      <c r="AA168" s="1034"/>
      <c r="AB168" s="1035"/>
      <c r="AE168" t="s">
        <v>1729</v>
      </c>
      <c r="AF168" s="63">
        <f>COUNTIF($B$169:$AA$177,AE168)</f>
        <v>6</v>
      </c>
    </row>
    <row r="169" spans="2:33" ht="16" customHeight="1">
      <c r="B169" s="46">
        <v>1</v>
      </c>
      <c r="C169" s="45" t="s">
        <v>1731</v>
      </c>
      <c r="D169" s="1027" t="s">
        <v>119</v>
      </c>
      <c r="F169" s="46">
        <v>1</v>
      </c>
      <c r="G169" s="45" t="s">
        <v>1731</v>
      </c>
      <c r="H169" s="1027" t="s">
        <v>119</v>
      </c>
      <c r="J169" s="46">
        <v>1</v>
      </c>
      <c r="K169" s="45" t="s">
        <v>1731</v>
      </c>
      <c r="L169" s="1027" t="s">
        <v>119</v>
      </c>
      <c r="N169" s="46">
        <v>1</v>
      </c>
      <c r="O169" s="45" t="s">
        <v>1733</v>
      </c>
      <c r="P169" s="1027" t="s">
        <v>119</v>
      </c>
      <c r="R169" s="46">
        <v>1</v>
      </c>
      <c r="S169" s="45" t="s">
        <v>1731</v>
      </c>
      <c r="T169" s="1027" t="s">
        <v>119</v>
      </c>
      <c r="V169" s="46">
        <v>1</v>
      </c>
      <c r="W169" s="45" t="s">
        <v>1731</v>
      </c>
      <c r="X169" s="1027" t="s">
        <v>119</v>
      </c>
      <c r="Z169" s="46">
        <v>1</v>
      </c>
      <c r="AA169" s="45" t="s">
        <v>1731</v>
      </c>
      <c r="AB169" s="1027" t="s">
        <v>119</v>
      </c>
      <c r="AE169" t="s">
        <v>1732</v>
      </c>
      <c r="AF169" s="63">
        <f t="shared" ref="AF169:AF176" si="18">COUNTIF($B$169:$AA$177,AE169)</f>
        <v>6</v>
      </c>
    </row>
    <row r="170" spans="2:33">
      <c r="B170" s="46">
        <v>2</v>
      </c>
      <c r="C170" s="45" t="s">
        <v>1357</v>
      </c>
      <c r="D170" s="1027"/>
      <c r="F170" s="46">
        <v>2</v>
      </c>
      <c r="G170" s="45" t="s">
        <v>1357</v>
      </c>
      <c r="H170" s="1027"/>
      <c r="J170" s="46">
        <v>2</v>
      </c>
      <c r="K170" s="45" t="s">
        <v>1357</v>
      </c>
      <c r="L170" s="1027"/>
      <c r="N170" s="46">
        <v>2</v>
      </c>
      <c r="O170" s="45" t="s">
        <v>1357</v>
      </c>
      <c r="P170" s="1027"/>
      <c r="R170" s="46">
        <v>2</v>
      </c>
      <c r="S170" s="45" t="s">
        <v>1357</v>
      </c>
      <c r="T170" s="1027"/>
      <c r="V170" s="46">
        <v>2</v>
      </c>
      <c r="W170" s="45" t="s">
        <v>1357</v>
      </c>
      <c r="X170" s="1027"/>
      <c r="Z170" s="46">
        <v>2</v>
      </c>
      <c r="AA170" s="45" t="s">
        <v>1733</v>
      </c>
      <c r="AB170" s="1027"/>
      <c r="AE170" t="s">
        <v>1730</v>
      </c>
      <c r="AF170" s="63">
        <f t="shared" si="18"/>
        <v>0</v>
      </c>
    </row>
    <row r="171" spans="2:33">
      <c r="B171" s="46">
        <v>3</v>
      </c>
      <c r="C171" s="45"/>
      <c r="D171" s="1027"/>
      <c r="F171" s="46">
        <v>3</v>
      </c>
      <c r="G171" s="45" t="s">
        <v>1764</v>
      </c>
      <c r="H171" s="1027"/>
      <c r="J171" s="46">
        <v>3</v>
      </c>
      <c r="K171" s="45" t="s">
        <v>1764</v>
      </c>
      <c r="L171" s="1027"/>
      <c r="N171" s="46">
        <v>3</v>
      </c>
      <c r="O171" s="45" t="s">
        <v>1764</v>
      </c>
      <c r="P171" s="1027"/>
      <c r="R171" s="46">
        <v>3</v>
      </c>
      <c r="S171" s="45" t="s">
        <v>1764</v>
      </c>
      <c r="T171" s="1027"/>
      <c r="V171" s="46">
        <v>3</v>
      </c>
      <c r="W171" s="45" t="s">
        <v>1764</v>
      </c>
      <c r="X171" s="1027"/>
      <c r="Z171" s="46">
        <v>3</v>
      </c>
      <c r="AA171" s="45" t="s">
        <v>1764</v>
      </c>
      <c r="AB171" s="1027"/>
      <c r="AE171" t="s">
        <v>1733</v>
      </c>
      <c r="AF171" s="63">
        <f t="shared" si="18"/>
        <v>6</v>
      </c>
    </row>
    <row r="172" spans="2:33" ht="17" thickBot="1">
      <c r="B172" s="47">
        <v>4</v>
      </c>
      <c r="C172" s="48"/>
      <c r="D172" s="1029"/>
      <c r="F172" s="47">
        <v>4</v>
      </c>
      <c r="G172" s="48"/>
      <c r="H172" s="1029"/>
      <c r="J172" s="47">
        <v>4</v>
      </c>
      <c r="K172" s="48"/>
      <c r="L172" s="1029"/>
      <c r="N172" s="47">
        <v>4</v>
      </c>
      <c r="O172" s="48" t="s">
        <v>1737</v>
      </c>
      <c r="P172" s="1029"/>
      <c r="R172" s="47">
        <v>4</v>
      </c>
      <c r="S172" s="48"/>
      <c r="T172" s="1029"/>
      <c r="V172" s="47">
        <v>4</v>
      </c>
      <c r="W172" s="48"/>
      <c r="X172" s="1029"/>
      <c r="Z172" s="47">
        <v>4</v>
      </c>
      <c r="AA172" s="48"/>
      <c r="AB172" s="1029"/>
      <c r="AE172" t="s">
        <v>1357</v>
      </c>
      <c r="AF172" s="63">
        <f t="shared" si="18"/>
        <v>6</v>
      </c>
    </row>
    <row r="173" spans="2:33" ht="16" customHeight="1">
      <c r="B173" s="49">
        <v>1</v>
      </c>
      <c r="C173" s="50" t="s">
        <v>1729</v>
      </c>
      <c r="D173" s="1026" t="s">
        <v>1389</v>
      </c>
      <c r="F173" s="49">
        <v>1</v>
      </c>
      <c r="G173" s="50" t="s">
        <v>1732</v>
      </c>
      <c r="H173" s="1026" t="s">
        <v>1389</v>
      </c>
      <c r="J173" s="49">
        <v>1</v>
      </c>
      <c r="K173" s="45" t="s">
        <v>1732</v>
      </c>
      <c r="L173" s="1026" t="s">
        <v>1389</v>
      </c>
      <c r="N173" s="49">
        <v>1</v>
      </c>
      <c r="O173" s="50" t="s">
        <v>1729</v>
      </c>
      <c r="P173" s="1026" t="s">
        <v>1389</v>
      </c>
      <c r="R173" s="49">
        <v>1</v>
      </c>
      <c r="S173" s="45" t="s">
        <v>1729</v>
      </c>
      <c r="T173" s="1026" t="s">
        <v>1389</v>
      </c>
      <c r="V173" s="49">
        <v>1</v>
      </c>
      <c r="W173" s="45" t="s">
        <v>1729</v>
      </c>
      <c r="X173" s="1026" t="s">
        <v>1389</v>
      </c>
      <c r="Z173" s="49">
        <v>1</v>
      </c>
      <c r="AA173" s="45" t="s">
        <v>1729</v>
      </c>
      <c r="AB173" s="1026" t="s">
        <v>1389</v>
      </c>
      <c r="AE173" t="s">
        <v>1731</v>
      </c>
      <c r="AF173" s="63">
        <f t="shared" si="18"/>
        <v>6</v>
      </c>
    </row>
    <row r="174" spans="2:33">
      <c r="B174" s="46">
        <v>2</v>
      </c>
      <c r="C174" s="72" t="s">
        <v>1771</v>
      </c>
      <c r="D174" s="1027"/>
      <c r="F174" s="46">
        <v>2</v>
      </c>
      <c r="G174" s="45" t="s">
        <v>1733</v>
      </c>
      <c r="H174" s="1027"/>
      <c r="J174" s="46">
        <v>2</v>
      </c>
      <c r="K174" s="45" t="s">
        <v>1729</v>
      </c>
      <c r="L174" s="1027"/>
      <c r="N174" s="46">
        <v>2</v>
      </c>
      <c r="O174" s="45" t="s">
        <v>1732</v>
      </c>
      <c r="P174" s="1027"/>
      <c r="R174" s="46">
        <v>2</v>
      </c>
      <c r="S174" s="45" t="s">
        <v>1732</v>
      </c>
      <c r="T174" s="1027"/>
      <c r="V174" s="46">
        <v>2</v>
      </c>
      <c r="W174" s="45" t="s">
        <v>1732</v>
      </c>
      <c r="X174" s="1027"/>
      <c r="Z174" s="46">
        <v>2</v>
      </c>
      <c r="AA174" s="45" t="s">
        <v>1737</v>
      </c>
      <c r="AB174" s="1027"/>
      <c r="AE174" t="s">
        <v>1746</v>
      </c>
      <c r="AF174" s="63">
        <f t="shared" si="18"/>
        <v>0</v>
      </c>
    </row>
    <row r="175" spans="2:33">
      <c r="B175" s="46">
        <v>3</v>
      </c>
      <c r="C175" s="45"/>
      <c r="D175" s="1027"/>
      <c r="F175" s="46">
        <v>3</v>
      </c>
      <c r="G175" s="72" t="s">
        <v>1771</v>
      </c>
      <c r="H175" s="1027"/>
      <c r="J175" s="46">
        <v>3</v>
      </c>
      <c r="K175" s="45" t="s">
        <v>1733</v>
      </c>
      <c r="L175" s="1027"/>
      <c r="N175" s="46">
        <v>3</v>
      </c>
      <c r="O175" s="72" t="s">
        <v>1771</v>
      </c>
      <c r="P175" s="1027"/>
      <c r="R175" s="46">
        <v>3</v>
      </c>
      <c r="S175" s="73" t="s">
        <v>1771</v>
      </c>
      <c r="T175" s="1027"/>
      <c r="V175" s="46">
        <v>3</v>
      </c>
      <c r="W175" s="71" t="s">
        <v>1771</v>
      </c>
      <c r="X175" s="1027"/>
      <c r="Z175" s="46">
        <v>3</v>
      </c>
      <c r="AA175" s="45" t="s">
        <v>1732</v>
      </c>
      <c r="AB175" s="1027"/>
      <c r="AE175" t="s">
        <v>1737</v>
      </c>
      <c r="AF175" s="63">
        <f t="shared" si="18"/>
        <v>4</v>
      </c>
    </row>
    <row r="176" spans="2:33">
      <c r="B176" s="51">
        <v>4</v>
      </c>
      <c r="C176" s="52"/>
      <c r="D176" s="1028"/>
      <c r="F176" s="51">
        <v>4</v>
      </c>
      <c r="G176" s="52"/>
      <c r="H176" s="1028"/>
      <c r="J176" s="51">
        <v>4</v>
      </c>
      <c r="K176" s="52"/>
      <c r="L176" s="1028"/>
      <c r="N176" s="51">
        <v>4</v>
      </c>
      <c r="O176" s="52"/>
      <c r="P176" s="1028"/>
      <c r="R176" s="51">
        <v>4</v>
      </c>
      <c r="S176" s="50" t="s">
        <v>1733</v>
      </c>
      <c r="T176" s="1028"/>
      <c r="V176" s="51">
        <v>4</v>
      </c>
      <c r="W176" s="52" t="s">
        <v>1733</v>
      </c>
      <c r="X176" s="1028"/>
      <c r="Z176" s="51">
        <v>4</v>
      </c>
      <c r="AA176" s="71" t="s">
        <v>1771</v>
      </c>
      <c r="AB176" s="1028"/>
      <c r="AE176" t="s">
        <v>1767</v>
      </c>
      <c r="AF176" s="63">
        <f t="shared" si="18"/>
        <v>0</v>
      </c>
    </row>
    <row r="177" spans="2:32" ht="17" thickBot="1">
      <c r="B177" s="47">
        <v>5</v>
      </c>
      <c r="C177" s="48"/>
      <c r="D177" s="1029"/>
      <c r="F177" s="47">
        <v>5</v>
      </c>
      <c r="G177" s="48"/>
      <c r="H177" s="1029"/>
      <c r="J177" s="47">
        <v>5</v>
      </c>
      <c r="K177" s="48"/>
      <c r="L177" s="1029"/>
      <c r="N177" s="47">
        <v>5</v>
      </c>
      <c r="O177" s="48"/>
      <c r="P177" s="1029"/>
      <c r="R177" s="47">
        <v>5</v>
      </c>
      <c r="S177" s="70" t="s">
        <v>1737</v>
      </c>
      <c r="T177" s="1029"/>
      <c r="V177" s="47">
        <v>5</v>
      </c>
      <c r="W177" s="70" t="s">
        <v>1737</v>
      </c>
      <c r="X177" s="1029"/>
      <c r="Z177" s="47">
        <v>5</v>
      </c>
      <c r="AA177" s="70"/>
      <c r="AB177" s="1029"/>
    </row>
    <row r="178" spans="2:32" ht="17" thickBot="1"/>
    <row r="179" spans="2:32">
      <c r="B179" s="1033" t="s">
        <v>1493</v>
      </c>
      <c r="C179" s="1034"/>
      <c r="D179" s="1035"/>
      <c r="F179" s="1033" t="s">
        <v>1494</v>
      </c>
      <c r="G179" s="1034"/>
      <c r="H179" s="1035"/>
      <c r="J179" s="1033" t="s">
        <v>1495</v>
      </c>
      <c r="K179" s="1034"/>
      <c r="L179" s="1035"/>
      <c r="N179" s="1033" t="s">
        <v>1496</v>
      </c>
      <c r="O179" s="1034"/>
      <c r="P179" s="1035"/>
      <c r="R179" s="1033" t="s">
        <v>1497</v>
      </c>
      <c r="S179" s="1034"/>
      <c r="T179" s="1035"/>
      <c r="V179" s="1033" t="s">
        <v>1498</v>
      </c>
      <c r="W179" s="1034"/>
      <c r="X179" s="1035"/>
      <c r="Z179" s="1033" t="s">
        <v>1499</v>
      </c>
      <c r="AA179" s="1034"/>
      <c r="AB179" s="1035"/>
      <c r="AE179" t="s">
        <v>1729</v>
      </c>
      <c r="AF179" s="63">
        <f>COUNTIF($B$180:$AA$188,AE179)</f>
        <v>6</v>
      </c>
    </row>
    <row r="180" spans="2:32" ht="16" customHeight="1">
      <c r="B180" s="46">
        <v>1</v>
      </c>
      <c r="C180" s="45" t="s">
        <v>1731</v>
      </c>
      <c r="D180" s="1027" t="s">
        <v>119</v>
      </c>
      <c r="F180" s="46">
        <v>1</v>
      </c>
      <c r="G180" s="45" t="s">
        <v>1731</v>
      </c>
      <c r="H180" s="1027" t="s">
        <v>119</v>
      </c>
      <c r="J180" s="46">
        <v>1</v>
      </c>
      <c r="K180" s="45" t="s">
        <v>1731</v>
      </c>
      <c r="L180" s="1027" t="s">
        <v>119</v>
      </c>
      <c r="N180" s="46">
        <v>1</v>
      </c>
      <c r="O180" s="45" t="s">
        <v>1730</v>
      </c>
      <c r="P180" s="1027" t="s">
        <v>119</v>
      </c>
      <c r="R180" s="46">
        <v>1</v>
      </c>
      <c r="S180" s="45" t="s">
        <v>1731</v>
      </c>
      <c r="T180" s="1027" t="s">
        <v>119</v>
      </c>
      <c r="V180" s="46">
        <v>1</v>
      </c>
      <c r="W180" s="45" t="s">
        <v>1731</v>
      </c>
      <c r="X180" s="1027" t="s">
        <v>119</v>
      </c>
      <c r="Z180" s="46">
        <v>1</v>
      </c>
      <c r="AA180" s="45" t="s">
        <v>1731</v>
      </c>
      <c r="AB180" s="1027" t="s">
        <v>119</v>
      </c>
      <c r="AE180" t="s">
        <v>1732</v>
      </c>
      <c r="AF180" s="63">
        <f>COUNTIF($B$180:$AA$188,AE180)</f>
        <v>6</v>
      </c>
    </row>
    <row r="181" spans="2:32">
      <c r="B181" s="46">
        <v>2</v>
      </c>
      <c r="C181" s="45" t="s">
        <v>1357</v>
      </c>
      <c r="D181" s="1027"/>
      <c r="F181" s="46">
        <v>2</v>
      </c>
      <c r="G181" s="45" t="s">
        <v>1357</v>
      </c>
      <c r="H181" s="1027"/>
      <c r="J181" s="46">
        <v>2</v>
      </c>
      <c r="K181" s="45" t="s">
        <v>1357</v>
      </c>
      <c r="L181" s="1027"/>
      <c r="N181" s="46">
        <v>2</v>
      </c>
      <c r="O181" s="45" t="s">
        <v>1357</v>
      </c>
      <c r="P181" s="1027"/>
      <c r="R181" s="46">
        <v>2</v>
      </c>
      <c r="S181" s="45" t="s">
        <v>1357</v>
      </c>
      <c r="T181" s="1027"/>
      <c r="V181" s="46">
        <v>2</v>
      </c>
      <c r="W181" s="45" t="s">
        <v>1357</v>
      </c>
      <c r="X181" s="1027"/>
      <c r="Z181" s="46">
        <v>2</v>
      </c>
      <c r="AA181" s="45" t="s">
        <v>1730</v>
      </c>
      <c r="AB181" s="1027"/>
      <c r="AE181" t="s">
        <v>1730</v>
      </c>
      <c r="AF181" s="63">
        <f t="shared" ref="AF181:AF186" si="19">COUNTIF($B$180:$AA$188,AE181)</f>
        <v>6</v>
      </c>
    </row>
    <row r="182" spans="2:32">
      <c r="B182" s="46">
        <v>3</v>
      </c>
      <c r="C182" s="45"/>
      <c r="D182" s="1027"/>
      <c r="F182" s="46">
        <v>3</v>
      </c>
      <c r="G182" s="45" t="s">
        <v>1764</v>
      </c>
      <c r="H182" s="1027"/>
      <c r="J182" s="46">
        <v>3</v>
      </c>
      <c r="K182" s="45" t="s">
        <v>1764</v>
      </c>
      <c r="L182" s="1027"/>
      <c r="N182" s="46">
        <v>3</v>
      </c>
      <c r="O182" s="45" t="s">
        <v>1764</v>
      </c>
      <c r="P182" s="1027"/>
      <c r="R182" s="46">
        <v>3</v>
      </c>
      <c r="S182" s="45" t="s">
        <v>1764</v>
      </c>
      <c r="T182" s="1027"/>
      <c r="V182" s="46">
        <v>3</v>
      </c>
      <c r="W182" s="45" t="s">
        <v>1764</v>
      </c>
      <c r="X182" s="1027"/>
      <c r="Z182" s="46">
        <v>3</v>
      </c>
      <c r="AA182" s="45" t="s">
        <v>1764</v>
      </c>
      <c r="AB182" s="1027"/>
      <c r="AE182" t="s">
        <v>1733</v>
      </c>
      <c r="AF182" s="63">
        <f t="shared" si="19"/>
        <v>6</v>
      </c>
    </row>
    <row r="183" spans="2:32" ht="17" thickBot="1">
      <c r="B183" s="47">
        <v>4</v>
      </c>
      <c r="C183" s="48"/>
      <c r="D183" s="1029"/>
      <c r="F183" s="47">
        <v>4</v>
      </c>
      <c r="G183" s="48"/>
      <c r="H183" s="1029"/>
      <c r="J183" s="47">
        <v>4</v>
      </c>
      <c r="K183" s="48"/>
      <c r="L183" s="1029"/>
      <c r="N183" s="47">
        <v>4</v>
      </c>
      <c r="O183" s="48"/>
      <c r="P183" s="1029"/>
      <c r="R183" s="47">
        <v>4</v>
      </c>
      <c r="S183" s="48"/>
      <c r="T183" s="1029"/>
      <c r="V183" s="47">
        <v>4</v>
      </c>
      <c r="W183" s="48"/>
      <c r="X183" s="1029"/>
      <c r="Z183" s="47">
        <v>4</v>
      </c>
      <c r="AA183" s="48"/>
      <c r="AB183" s="1029"/>
      <c r="AE183" t="s">
        <v>1357</v>
      </c>
      <c r="AF183" s="63">
        <f t="shared" si="19"/>
        <v>6</v>
      </c>
    </row>
    <row r="184" spans="2:32" ht="16" customHeight="1">
      <c r="B184" s="49">
        <v>1</v>
      </c>
      <c r="C184" s="50" t="s">
        <v>1732</v>
      </c>
      <c r="D184" s="1026" t="s">
        <v>1389</v>
      </c>
      <c r="F184" s="49">
        <v>1</v>
      </c>
      <c r="G184" s="50" t="s">
        <v>1729</v>
      </c>
      <c r="H184" s="1026" t="s">
        <v>1389</v>
      </c>
      <c r="J184" s="49">
        <v>1</v>
      </c>
      <c r="K184" s="45" t="s">
        <v>1732</v>
      </c>
      <c r="L184" s="1026" t="s">
        <v>1389</v>
      </c>
      <c r="N184" s="49">
        <v>1</v>
      </c>
      <c r="O184" s="50" t="s">
        <v>1729</v>
      </c>
      <c r="P184" s="1026" t="s">
        <v>1389</v>
      </c>
      <c r="R184" s="49">
        <v>1</v>
      </c>
      <c r="S184" s="45" t="s">
        <v>1729</v>
      </c>
      <c r="T184" s="1026" t="s">
        <v>1389</v>
      </c>
      <c r="V184" s="49">
        <v>1</v>
      </c>
      <c r="W184" s="45" t="s">
        <v>1729</v>
      </c>
      <c r="X184" s="1026" t="s">
        <v>1389</v>
      </c>
      <c r="Z184" s="49">
        <v>1</v>
      </c>
      <c r="AA184" s="45" t="s">
        <v>1729</v>
      </c>
      <c r="AB184" s="1026" t="s">
        <v>1389</v>
      </c>
      <c r="AE184" t="s">
        <v>1731</v>
      </c>
      <c r="AF184" s="63">
        <f t="shared" si="19"/>
        <v>6</v>
      </c>
    </row>
    <row r="185" spans="2:32">
      <c r="B185" s="46">
        <v>2</v>
      </c>
      <c r="C185" s="45" t="s">
        <v>1730</v>
      </c>
      <c r="D185" s="1027"/>
      <c r="F185" s="46">
        <v>2</v>
      </c>
      <c r="G185" s="45" t="s">
        <v>1733</v>
      </c>
      <c r="H185" s="1027"/>
      <c r="J185" s="46">
        <v>2</v>
      </c>
      <c r="K185" s="45" t="s">
        <v>1729</v>
      </c>
      <c r="L185" s="1027"/>
      <c r="N185" s="46">
        <v>2</v>
      </c>
      <c r="O185" s="45" t="s">
        <v>1732</v>
      </c>
      <c r="P185" s="1027"/>
      <c r="R185" s="46">
        <v>2</v>
      </c>
      <c r="S185" s="45" t="s">
        <v>1732</v>
      </c>
      <c r="T185" s="1027"/>
      <c r="V185" s="46">
        <v>2</v>
      </c>
      <c r="W185" s="45" t="s">
        <v>1732</v>
      </c>
      <c r="X185" s="1027"/>
      <c r="Z185" s="46">
        <v>2</v>
      </c>
      <c r="AA185" s="45" t="s">
        <v>1733</v>
      </c>
      <c r="AB185" s="1027"/>
    </row>
    <row r="186" spans="2:32">
      <c r="B186" s="46">
        <v>3</v>
      </c>
      <c r="C186" s="45"/>
      <c r="D186" s="1027"/>
      <c r="F186" s="46">
        <v>3</v>
      </c>
      <c r="G186" s="45" t="s">
        <v>1730</v>
      </c>
      <c r="H186" s="1027"/>
      <c r="J186" s="46">
        <v>3</v>
      </c>
      <c r="K186" s="45" t="s">
        <v>1733</v>
      </c>
      <c r="L186" s="1027"/>
      <c r="N186" s="46">
        <v>3</v>
      </c>
      <c r="O186" s="45" t="s">
        <v>1733</v>
      </c>
      <c r="P186" s="1027"/>
      <c r="R186" s="46">
        <v>3</v>
      </c>
      <c r="S186" s="45" t="s">
        <v>1730</v>
      </c>
      <c r="T186" s="1027"/>
      <c r="V186" s="46">
        <v>3</v>
      </c>
      <c r="W186" s="45" t="s">
        <v>1730</v>
      </c>
      <c r="X186" s="1027"/>
      <c r="Z186" s="46">
        <v>3</v>
      </c>
      <c r="AA186" s="45" t="s">
        <v>1732</v>
      </c>
      <c r="AB186" s="1027"/>
      <c r="AE186" t="s">
        <v>1737</v>
      </c>
      <c r="AF186" s="63">
        <f t="shared" si="19"/>
        <v>2</v>
      </c>
    </row>
    <row r="187" spans="2:32">
      <c r="B187" s="51">
        <v>4</v>
      </c>
      <c r="C187" s="52"/>
      <c r="D187" s="1028"/>
      <c r="F187" s="51">
        <v>4</v>
      </c>
      <c r="G187" s="52"/>
      <c r="H187" s="1028"/>
      <c r="J187" s="51">
        <v>4</v>
      </c>
      <c r="K187" s="52"/>
      <c r="L187" s="1028"/>
      <c r="N187" s="51">
        <v>4</v>
      </c>
      <c r="O187" s="52"/>
      <c r="P187" s="1028"/>
      <c r="R187" s="51">
        <v>4</v>
      </c>
      <c r="S187" s="50" t="s">
        <v>1733</v>
      </c>
      <c r="T187" s="1028"/>
      <c r="V187" s="51">
        <v>4</v>
      </c>
      <c r="W187" s="52" t="s">
        <v>1733</v>
      </c>
      <c r="X187" s="1028"/>
      <c r="Z187" s="51">
        <v>4</v>
      </c>
      <c r="AA187" s="72" t="s">
        <v>1771</v>
      </c>
      <c r="AB187" s="1028"/>
    </row>
    <row r="188" spans="2:32" ht="17" thickBot="1">
      <c r="B188" s="47">
        <v>5</v>
      </c>
      <c r="C188" s="48"/>
      <c r="D188" s="1029"/>
      <c r="F188" s="47">
        <v>5</v>
      </c>
      <c r="G188" s="48"/>
      <c r="H188" s="1029"/>
      <c r="J188" s="47">
        <v>5</v>
      </c>
      <c r="K188" s="48"/>
      <c r="L188" s="1029"/>
      <c r="N188" s="47">
        <v>5</v>
      </c>
      <c r="O188" s="48"/>
      <c r="P188" s="1029"/>
      <c r="R188" s="47">
        <v>5</v>
      </c>
      <c r="S188" s="48" t="s">
        <v>1737</v>
      </c>
      <c r="T188" s="1029"/>
      <c r="V188" s="47">
        <v>5</v>
      </c>
      <c r="W188" s="70" t="s">
        <v>1771</v>
      </c>
      <c r="X188" s="1029"/>
      <c r="Z188" s="47">
        <v>5</v>
      </c>
      <c r="AA188" s="48" t="s">
        <v>1737</v>
      </c>
      <c r="AB188" s="1029"/>
    </row>
    <row r="189" spans="2:32" ht="17" thickBot="1"/>
    <row r="190" spans="2:32">
      <c r="B190" s="1033" t="s">
        <v>1506</v>
      </c>
      <c r="C190" s="1034"/>
      <c r="D190" s="1035"/>
      <c r="F190" s="1033" t="s">
        <v>1507</v>
      </c>
      <c r="G190" s="1034"/>
      <c r="H190" s="1035"/>
      <c r="J190" s="1033" t="s">
        <v>1508</v>
      </c>
      <c r="K190" s="1034"/>
      <c r="L190" s="1035"/>
      <c r="N190" s="1033" t="s">
        <v>1509</v>
      </c>
      <c r="O190" s="1034"/>
      <c r="P190" s="1035"/>
      <c r="R190" s="1033" t="s">
        <v>1510</v>
      </c>
      <c r="S190" s="1034"/>
      <c r="T190" s="1035"/>
      <c r="V190" s="1033" t="s">
        <v>1511</v>
      </c>
      <c r="W190" s="1034"/>
      <c r="X190" s="1035"/>
      <c r="Z190" s="1033" t="s">
        <v>1512</v>
      </c>
      <c r="AA190" s="1034"/>
      <c r="AB190" s="1035"/>
      <c r="AE190" t="s">
        <v>1729</v>
      </c>
      <c r="AF190" s="44">
        <f>COUNTIF($B$191:$AA$199,AE190)</f>
        <v>6</v>
      </c>
    </row>
    <row r="191" spans="2:32" ht="16" customHeight="1">
      <c r="B191" s="46">
        <v>1</v>
      </c>
      <c r="C191" s="45" t="s">
        <v>1731</v>
      </c>
      <c r="D191" s="1027" t="s">
        <v>119</v>
      </c>
      <c r="F191" s="46">
        <v>1</v>
      </c>
      <c r="G191" s="45" t="s">
        <v>1731</v>
      </c>
      <c r="H191" s="1027" t="s">
        <v>119</v>
      </c>
      <c r="J191" s="46">
        <v>1</v>
      </c>
      <c r="K191" s="45" t="s">
        <v>1731</v>
      </c>
      <c r="L191" s="1027" t="s">
        <v>119</v>
      </c>
      <c r="N191" s="46">
        <v>1</v>
      </c>
      <c r="O191" s="45" t="s">
        <v>1730</v>
      </c>
      <c r="P191" s="1027" t="s">
        <v>119</v>
      </c>
      <c r="R191" s="46">
        <v>1</v>
      </c>
      <c r="S191" s="45" t="s">
        <v>1731</v>
      </c>
      <c r="T191" s="1027" t="s">
        <v>119</v>
      </c>
      <c r="V191" s="46">
        <v>1</v>
      </c>
      <c r="W191" s="45" t="s">
        <v>1731</v>
      </c>
      <c r="X191" s="1027" t="s">
        <v>119</v>
      </c>
      <c r="Z191" s="46">
        <v>1</v>
      </c>
      <c r="AA191" s="45" t="s">
        <v>1731</v>
      </c>
      <c r="AB191" s="1027" t="s">
        <v>119</v>
      </c>
      <c r="AE191" t="s">
        <v>1732</v>
      </c>
      <c r="AF191" s="44">
        <f t="shared" ref="AF191:AF197" si="20">COUNTIF($B$191:$AA$199,AE191)</f>
        <v>6</v>
      </c>
    </row>
    <row r="192" spans="2:32">
      <c r="B192" s="46">
        <v>2</v>
      </c>
      <c r="C192" s="45" t="s">
        <v>1733</v>
      </c>
      <c r="D192" s="1027"/>
      <c r="F192" s="46">
        <v>2</v>
      </c>
      <c r="G192" s="45" t="s">
        <v>1357</v>
      </c>
      <c r="H192" s="1027"/>
      <c r="J192" s="46">
        <v>2</v>
      </c>
      <c r="K192" s="45" t="s">
        <v>1357</v>
      </c>
      <c r="L192" s="1027"/>
      <c r="N192" s="46">
        <v>2</v>
      </c>
      <c r="O192" s="45" t="s">
        <v>1357</v>
      </c>
      <c r="P192" s="1027"/>
      <c r="R192" s="46">
        <v>2</v>
      </c>
      <c r="S192" s="45" t="s">
        <v>1357</v>
      </c>
      <c r="T192" s="1027"/>
      <c r="V192" s="46">
        <v>2</v>
      </c>
      <c r="W192" s="45" t="s">
        <v>1357</v>
      </c>
      <c r="X192" s="1027"/>
      <c r="Z192" s="46">
        <v>2</v>
      </c>
      <c r="AA192" s="45" t="s">
        <v>1357</v>
      </c>
      <c r="AB192" s="1027"/>
      <c r="AE192" t="s">
        <v>1730</v>
      </c>
      <c r="AF192" s="44">
        <f t="shared" si="20"/>
        <v>6</v>
      </c>
    </row>
    <row r="193" spans="2:34">
      <c r="B193" s="46">
        <v>3</v>
      </c>
      <c r="C193" s="45" t="s">
        <v>1764</v>
      </c>
      <c r="D193" s="1027"/>
      <c r="F193" s="46">
        <v>3</v>
      </c>
      <c r="G193" s="45"/>
      <c r="H193" s="1027"/>
      <c r="J193" s="46">
        <v>3</v>
      </c>
      <c r="K193" s="45" t="s">
        <v>1764</v>
      </c>
      <c r="L193" s="1027"/>
      <c r="N193" s="46">
        <v>3</v>
      </c>
      <c r="O193" s="45" t="s">
        <v>1764</v>
      </c>
      <c r="P193" s="1027"/>
      <c r="R193" s="46">
        <v>3</v>
      </c>
      <c r="S193" s="45" t="s">
        <v>1764</v>
      </c>
      <c r="T193" s="1027"/>
      <c r="V193" s="46">
        <v>3</v>
      </c>
      <c r="W193" s="45" t="s">
        <v>1764</v>
      </c>
      <c r="X193" s="1027"/>
      <c r="Z193" s="46">
        <v>3</v>
      </c>
      <c r="AA193" s="45" t="s">
        <v>1764</v>
      </c>
      <c r="AB193" s="1027"/>
      <c r="AE193" t="s">
        <v>1733</v>
      </c>
      <c r="AF193" s="44">
        <f t="shared" si="20"/>
        <v>6</v>
      </c>
    </row>
    <row r="194" spans="2:34" ht="17" thickBot="1">
      <c r="B194" s="47">
        <v>4</v>
      </c>
      <c r="C194" s="48"/>
      <c r="D194" s="1029"/>
      <c r="F194" s="47">
        <v>4</v>
      </c>
      <c r="G194" s="48"/>
      <c r="H194" s="1029"/>
      <c r="J194" s="47">
        <v>4</v>
      </c>
      <c r="K194" s="48"/>
      <c r="L194" s="1029"/>
      <c r="N194" s="47">
        <v>4</v>
      </c>
      <c r="O194" s="48"/>
      <c r="P194" s="1029"/>
      <c r="R194" s="47">
        <v>4</v>
      </c>
      <c r="S194" s="48"/>
      <c r="T194" s="1029"/>
      <c r="V194" s="47">
        <v>4</v>
      </c>
      <c r="W194" s="48"/>
      <c r="X194" s="1029"/>
      <c r="Z194" s="47">
        <v>4</v>
      </c>
      <c r="AA194" s="48"/>
      <c r="AB194" s="1029"/>
      <c r="AE194" t="s">
        <v>1357</v>
      </c>
      <c r="AF194" s="44">
        <f t="shared" si="20"/>
        <v>6</v>
      </c>
    </row>
    <row r="195" spans="2:34" ht="16" customHeight="1">
      <c r="B195" s="49">
        <v>1</v>
      </c>
      <c r="C195" s="50" t="s">
        <v>1732</v>
      </c>
      <c r="D195" s="1026" t="s">
        <v>1389</v>
      </c>
      <c r="F195" s="49">
        <v>1</v>
      </c>
      <c r="G195" s="50" t="s">
        <v>1729</v>
      </c>
      <c r="H195" s="1026" t="s">
        <v>1389</v>
      </c>
      <c r="J195" s="49">
        <v>1</v>
      </c>
      <c r="K195" s="45" t="s">
        <v>1729</v>
      </c>
      <c r="L195" s="1026" t="s">
        <v>1389</v>
      </c>
      <c r="N195" s="49">
        <v>1</v>
      </c>
      <c r="O195" s="50" t="s">
        <v>1729</v>
      </c>
      <c r="P195" s="1026" t="s">
        <v>1389</v>
      </c>
      <c r="R195" s="49">
        <v>1</v>
      </c>
      <c r="S195" s="45" t="s">
        <v>1729</v>
      </c>
      <c r="T195" s="1026" t="s">
        <v>1389</v>
      </c>
      <c r="V195" s="49">
        <v>1</v>
      </c>
      <c r="W195" s="45" t="s">
        <v>1729</v>
      </c>
      <c r="X195" s="1026" t="s">
        <v>1389</v>
      </c>
      <c r="Z195" s="49">
        <v>1</v>
      </c>
      <c r="AA195" s="45" t="s">
        <v>1729</v>
      </c>
      <c r="AB195" s="1026" t="s">
        <v>1389</v>
      </c>
      <c r="AE195" t="s">
        <v>1731</v>
      </c>
      <c r="AF195" s="44">
        <f t="shared" si="20"/>
        <v>6</v>
      </c>
    </row>
    <row r="196" spans="2:34">
      <c r="B196" s="46">
        <v>2</v>
      </c>
      <c r="C196" s="45" t="s">
        <v>1730</v>
      </c>
      <c r="D196" s="1027"/>
      <c r="F196" s="46">
        <v>2</v>
      </c>
      <c r="G196" s="45" t="s">
        <v>1732</v>
      </c>
      <c r="H196" s="1027"/>
      <c r="J196" s="46">
        <v>2</v>
      </c>
      <c r="K196" s="45" t="s">
        <v>1733</v>
      </c>
      <c r="L196" s="1027"/>
      <c r="N196" s="46">
        <v>2</v>
      </c>
      <c r="O196" s="45" t="s">
        <v>1732</v>
      </c>
      <c r="P196" s="1027"/>
      <c r="R196" s="46">
        <v>2</v>
      </c>
      <c r="S196" s="45" t="s">
        <v>1732</v>
      </c>
      <c r="T196" s="1027"/>
      <c r="V196" s="46">
        <v>2</v>
      </c>
      <c r="W196" s="45" t="s">
        <v>1732</v>
      </c>
      <c r="X196" s="1027"/>
      <c r="Z196" s="46">
        <v>2</v>
      </c>
      <c r="AA196" s="45" t="s">
        <v>1732</v>
      </c>
      <c r="AB196" s="1027"/>
      <c r="AF196" s="44"/>
    </row>
    <row r="197" spans="2:34">
      <c r="B197" s="46">
        <v>3</v>
      </c>
      <c r="C197" s="45"/>
      <c r="D197" s="1027"/>
      <c r="F197" s="46">
        <v>3</v>
      </c>
      <c r="G197" s="45" t="s">
        <v>1730</v>
      </c>
      <c r="H197" s="1027"/>
      <c r="J197" s="46">
        <v>3</v>
      </c>
      <c r="K197" s="72" t="s">
        <v>1737</v>
      </c>
      <c r="L197" s="1027"/>
      <c r="N197" s="46">
        <v>3</v>
      </c>
      <c r="O197" s="45" t="s">
        <v>1733</v>
      </c>
      <c r="P197" s="1027"/>
      <c r="R197" s="46">
        <v>3</v>
      </c>
      <c r="S197" s="45" t="s">
        <v>1730</v>
      </c>
      <c r="T197" s="1027"/>
      <c r="V197" s="46">
        <v>3</v>
      </c>
      <c r="W197" s="45" t="s">
        <v>1730</v>
      </c>
      <c r="X197" s="1027"/>
      <c r="Z197" s="46">
        <v>3</v>
      </c>
      <c r="AA197" s="45" t="s">
        <v>1730</v>
      </c>
      <c r="AB197" s="1027"/>
      <c r="AE197" t="s">
        <v>1737</v>
      </c>
      <c r="AF197" s="44">
        <f t="shared" si="20"/>
        <v>1</v>
      </c>
    </row>
    <row r="198" spans="2:34">
      <c r="B198" s="51">
        <v>4</v>
      </c>
      <c r="C198" s="52"/>
      <c r="D198" s="1028"/>
      <c r="F198" s="51">
        <v>4</v>
      </c>
      <c r="G198" s="52"/>
      <c r="H198" s="1028"/>
      <c r="J198" s="51">
        <v>4</v>
      </c>
      <c r="K198" s="52"/>
      <c r="L198" s="1028"/>
      <c r="N198" s="51">
        <v>4</v>
      </c>
      <c r="O198" s="52"/>
      <c r="P198" s="1028"/>
      <c r="R198" s="51">
        <v>4</v>
      </c>
      <c r="S198" s="50" t="s">
        <v>1733</v>
      </c>
      <c r="T198" s="1028"/>
      <c r="V198" s="51">
        <v>4</v>
      </c>
      <c r="W198" s="52" t="s">
        <v>1733</v>
      </c>
      <c r="X198" s="1028"/>
      <c r="Z198" s="51">
        <v>4</v>
      </c>
      <c r="AA198" s="45" t="s">
        <v>1733</v>
      </c>
      <c r="AB198" s="1028"/>
      <c r="AE198" t="s">
        <v>1772</v>
      </c>
      <c r="AF198" s="44">
        <f>COUNTIF($B$191:$AA$199,AE198)</f>
        <v>0</v>
      </c>
    </row>
    <row r="199" spans="2:34" ht="17" thickBot="1">
      <c r="B199" s="47">
        <v>5</v>
      </c>
      <c r="C199" s="48"/>
      <c r="D199" s="1029"/>
      <c r="F199" s="47">
        <v>5</v>
      </c>
      <c r="G199" s="48"/>
      <c r="H199" s="1029"/>
      <c r="J199" s="47">
        <v>5</v>
      </c>
      <c r="K199" s="48"/>
      <c r="L199" s="1029"/>
      <c r="N199" s="47">
        <v>5</v>
      </c>
      <c r="O199" s="48"/>
      <c r="P199" s="1029"/>
      <c r="R199" s="47">
        <v>5</v>
      </c>
      <c r="S199" s="70" t="s">
        <v>1771</v>
      </c>
      <c r="T199" s="1029"/>
      <c r="V199" s="47">
        <v>5</v>
      </c>
      <c r="W199" s="70" t="s">
        <v>1771</v>
      </c>
      <c r="X199" s="1029"/>
      <c r="Z199" s="47">
        <v>5</v>
      </c>
      <c r="AA199" s="70" t="s">
        <v>1771</v>
      </c>
      <c r="AB199" s="1029"/>
    </row>
    <row r="200" spans="2:34" ht="17" thickBot="1"/>
    <row r="201" spans="2:34" ht="16" customHeight="1">
      <c r="B201" s="1033" t="s">
        <v>1515</v>
      </c>
      <c r="C201" s="1034"/>
      <c r="D201" s="1035"/>
      <c r="F201" s="1033" t="s">
        <v>1516</v>
      </c>
      <c r="G201" s="1034"/>
      <c r="H201" s="1035"/>
      <c r="J201" s="1033" t="s">
        <v>1517</v>
      </c>
      <c r="K201" s="1034"/>
      <c r="L201" s="1035"/>
      <c r="N201" s="1030" t="s">
        <v>1518</v>
      </c>
      <c r="O201" s="1031"/>
      <c r="P201" s="1032"/>
      <c r="R201" s="1030" t="s">
        <v>1519</v>
      </c>
      <c r="S201" s="1031"/>
      <c r="T201" s="1032"/>
      <c r="V201" s="1030" t="s">
        <v>1520</v>
      </c>
      <c r="W201" s="1031"/>
      <c r="X201" s="1032"/>
      <c r="Z201" s="1030" t="s">
        <v>1521</v>
      </c>
      <c r="AA201" s="1031"/>
      <c r="AB201" s="1031"/>
      <c r="AC201" s="1024" t="s">
        <v>173</v>
      </c>
      <c r="AE201" s="45" t="s">
        <v>1729</v>
      </c>
      <c r="AF201" s="91">
        <f t="shared" ref="AF201:AF207" si="21">COUNTIF($B$202:$AA$210,AE201)</f>
        <v>6</v>
      </c>
      <c r="AG201" s="92">
        <v>2</v>
      </c>
      <c r="AH201" s="93">
        <v>4</v>
      </c>
    </row>
    <row r="202" spans="2:34">
      <c r="B202" s="46">
        <v>1</v>
      </c>
      <c r="C202" s="45" t="s">
        <v>1731</v>
      </c>
      <c r="D202" s="1027" t="s">
        <v>119</v>
      </c>
      <c r="F202" s="46">
        <v>1</v>
      </c>
      <c r="G202" s="45" t="s">
        <v>1357</v>
      </c>
      <c r="H202" s="1027" t="s">
        <v>119</v>
      </c>
      <c r="J202" s="46">
        <v>1</v>
      </c>
      <c r="K202" s="45" t="s">
        <v>1731</v>
      </c>
      <c r="L202" s="1027" t="s">
        <v>119</v>
      </c>
      <c r="N202" s="46">
        <v>1</v>
      </c>
      <c r="O202" s="45" t="s">
        <v>1731</v>
      </c>
      <c r="P202" s="1027" t="s">
        <v>119</v>
      </c>
      <c r="R202" s="46">
        <v>1</v>
      </c>
      <c r="S202" s="45" t="s">
        <v>1731</v>
      </c>
      <c r="T202" s="1027" t="s">
        <v>119</v>
      </c>
      <c r="V202" s="46">
        <v>1</v>
      </c>
      <c r="W202" s="45" t="s">
        <v>1731</v>
      </c>
      <c r="X202" s="1027" t="s">
        <v>119</v>
      </c>
      <c r="Z202" s="46">
        <v>1</v>
      </c>
      <c r="AA202" s="45" t="s">
        <v>1731</v>
      </c>
      <c r="AB202" s="1040" t="s">
        <v>119</v>
      </c>
      <c r="AC202" s="1024"/>
      <c r="AE202" s="45" t="s">
        <v>1732</v>
      </c>
      <c r="AF202" s="91">
        <f t="shared" si="21"/>
        <v>6</v>
      </c>
      <c r="AG202" s="92">
        <v>2</v>
      </c>
      <c r="AH202" s="93">
        <v>4</v>
      </c>
    </row>
    <row r="203" spans="2:34">
      <c r="B203" s="46">
        <v>2</v>
      </c>
      <c r="C203" s="45" t="s">
        <v>1357</v>
      </c>
      <c r="D203" s="1027"/>
      <c r="F203" s="46">
        <v>2</v>
      </c>
      <c r="G203" s="45" t="s">
        <v>1772</v>
      </c>
      <c r="H203" s="1027"/>
      <c r="J203" s="46">
        <v>2</v>
      </c>
      <c r="K203" s="45" t="s">
        <v>1733</v>
      </c>
      <c r="L203" s="1027"/>
      <c r="N203" s="46">
        <v>2</v>
      </c>
      <c r="O203" s="45" t="s">
        <v>1733</v>
      </c>
      <c r="P203" s="1027"/>
      <c r="R203" s="46">
        <v>2</v>
      </c>
      <c r="S203" s="45" t="s">
        <v>1733</v>
      </c>
      <c r="T203" s="1027"/>
      <c r="V203" s="46">
        <v>2</v>
      </c>
      <c r="W203" s="45" t="s">
        <v>1733</v>
      </c>
      <c r="X203" s="1027"/>
      <c r="Z203" s="46">
        <v>2</v>
      </c>
      <c r="AA203" s="45" t="s">
        <v>1357</v>
      </c>
      <c r="AB203" s="1040"/>
      <c r="AC203" s="1024"/>
      <c r="AE203" s="45" t="s">
        <v>1772</v>
      </c>
      <c r="AF203" s="91">
        <f t="shared" si="21"/>
        <v>6</v>
      </c>
      <c r="AG203" s="92">
        <v>2</v>
      </c>
      <c r="AH203" s="93">
        <v>4</v>
      </c>
    </row>
    <row r="204" spans="2:34">
      <c r="B204" s="46">
        <v>3</v>
      </c>
      <c r="C204" s="45" t="s">
        <v>1764</v>
      </c>
      <c r="D204" s="1027"/>
      <c r="F204" s="46">
        <v>3</v>
      </c>
      <c r="G204" s="45"/>
      <c r="H204" s="1027"/>
      <c r="J204" s="46">
        <v>3</v>
      </c>
      <c r="K204" s="45" t="s">
        <v>1764</v>
      </c>
      <c r="L204" s="1027"/>
      <c r="N204" s="46">
        <v>3</v>
      </c>
      <c r="O204" s="45" t="s">
        <v>1764</v>
      </c>
      <c r="P204" s="1027"/>
      <c r="R204" s="46">
        <v>3</v>
      </c>
      <c r="S204" s="45" t="s">
        <v>1764</v>
      </c>
      <c r="T204" s="1027"/>
      <c r="V204" s="46">
        <v>3</v>
      </c>
      <c r="W204" s="45" t="s">
        <v>1764</v>
      </c>
      <c r="X204" s="1027"/>
      <c r="Z204" s="46">
        <v>3</v>
      </c>
      <c r="AA204" s="45" t="s">
        <v>1764</v>
      </c>
      <c r="AB204" s="1040"/>
      <c r="AC204" s="1024"/>
      <c r="AE204" s="45" t="s">
        <v>1733</v>
      </c>
      <c r="AF204" s="91">
        <f t="shared" si="21"/>
        <v>6</v>
      </c>
      <c r="AG204" s="92">
        <v>3</v>
      </c>
      <c r="AH204" s="93">
        <v>3</v>
      </c>
    </row>
    <row r="205" spans="2:34" ht="17" thickBot="1">
      <c r="B205" s="47">
        <v>4</v>
      </c>
      <c r="C205" s="48"/>
      <c r="D205" s="1029"/>
      <c r="F205" s="47">
        <v>4</v>
      </c>
      <c r="G205" s="48"/>
      <c r="H205" s="1029"/>
      <c r="J205" s="47">
        <v>4</v>
      </c>
      <c r="K205" s="48"/>
      <c r="L205" s="1029"/>
      <c r="N205" s="47">
        <v>4</v>
      </c>
      <c r="O205" s="48"/>
      <c r="P205" s="1029"/>
      <c r="R205" s="47">
        <v>4</v>
      </c>
      <c r="S205" s="48"/>
      <c r="T205" s="1029"/>
      <c r="V205" s="47">
        <v>4</v>
      </c>
      <c r="W205" s="48"/>
      <c r="X205" s="1029"/>
      <c r="Z205" s="47">
        <v>4</v>
      </c>
      <c r="AA205" s="48"/>
      <c r="AB205" s="1042"/>
      <c r="AC205" s="1024"/>
      <c r="AE205" s="45" t="s">
        <v>1357</v>
      </c>
      <c r="AF205" s="91">
        <f t="shared" si="21"/>
        <v>6</v>
      </c>
      <c r="AG205" s="92">
        <v>3</v>
      </c>
      <c r="AH205" s="93">
        <v>3</v>
      </c>
    </row>
    <row r="206" spans="2:34">
      <c r="B206" s="49">
        <v>1</v>
      </c>
      <c r="C206" s="50" t="s">
        <v>1733</v>
      </c>
      <c r="D206" s="1026" t="s">
        <v>1389</v>
      </c>
      <c r="F206" s="49">
        <v>1</v>
      </c>
      <c r="G206" s="50" t="s">
        <v>1729</v>
      </c>
      <c r="H206" s="1026" t="s">
        <v>1389</v>
      </c>
      <c r="J206" s="49">
        <v>1</v>
      </c>
      <c r="K206" s="45" t="s">
        <v>1732</v>
      </c>
      <c r="L206" s="1026" t="s">
        <v>1389</v>
      </c>
      <c r="N206" s="49">
        <v>1</v>
      </c>
      <c r="O206" s="50" t="s">
        <v>1729</v>
      </c>
      <c r="P206" s="1026" t="s">
        <v>1389</v>
      </c>
      <c r="R206" s="49">
        <v>1</v>
      </c>
      <c r="S206" s="45" t="s">
        <v>1729</v>
      </c>
      <c r="T206" s="1026" t="s">
        <v>1389</v>
      </c>
      <c r="V206" s="49">
        <v>1</v>
      </c>
      <c r="W206" s="45" t="s">
        <v>1729</v>
      </c>
      <c r="X206" s="1026" t="s">
        <v>1389</v>
      </c>
      <c r="Z206" s="49">
        <v>1</v>
      </c>
      <c r="AA206" s="45" t="s">
        <v>1729</v>
      </c>
      <c r="AB206" s="1039" t="s">
        <v>1389</v>
      </c>
      <c r="AC206" s="1024"/>
      <c r="AE206" s="45" t="s">
        <v>1731</v>
      </c>
      <c r="AF206" s="91">
        <f t="shared" si="21"/>
        <v>6</v>
      </c>
      <c r="AG206" s="92">
        <v>2</v>
      </c>
      <c r="AH206" s="93">
        <v>4</v>
      </c>
    </row>
    <row r="207" spans="2:34">
      <c r="B207" s="46">
        <v>2</v>
      </c>
      <c r="C207" s="45" t="s">
        <v>1729</v>
      </c>
      <c r="D207" s="1027"/>
      <c r="F207" s="46">
        <v>2</v>
      </c>
      <c r="G207" s="45" t="s">
        <v>1732</v>
      </c>
      <c r="H207" s="1027"/>
      <c r="J207" s="46">
        <v>2</v>
      </c>
      <c r="K207" s="45" t="s">
        <v>1772</v>
      </c>
      <c r="L207" s="1027"/>
      <c r="N207" s="46">
        <v>2</v>
      </c>
      <c r="O207" s="45" t="s">
        <v>1732</v>
      </c>
      <c r="P207" s="1027"/>
      <c r="R207" s="46">
        <v>2</v>
      </c>
      <c r="S207" s="45" t="s">
        <v>1732</v>
      </c>
      <c r="T207" s="1027"/>
      <c r="V207" s="46">
        <v>2</v>
      </c>
      <c r="W207" s="45" t="s">
        <v>1732</v>
      </c>
      <c r="X207" s="1027"/>
      <c r="Z207" s="46">
        <v>2</v>
      </c>
      <c r="AA207" s="45" t="s">
        <v>1732</v>
      </c>
      <c r="AB207" s="1040"/>
      <c r="AC207" s="1024"/>
      <c r="AE207" s="45" t="s">
        <v>1735</v>
      </c>
      <c r="AF207" s="91">
        <f t="shared" si="21"/>
        <v>0</v>
      </c>
      <c r="AG207" s="92"/>
      <c r="AH207" s="93"/>
    </row>
    <row r="208" spans="2:34">
      <c r="B208" s="46">
        <v>3</v>
      </c>
      <c r="C208" s="45"/>
      <c r="D208" s="1027"/>
      <c r="F208" s="46">
        <v>3</v>
      </c>
      <c r="G208" s="45" t="s">
        <v>1733</v>
      </c>
      <c r="H208" s="1027"/>
      <c r="J208" s="46">
        <v>3</v>
      </c>
      <c r="K208" s="45" t="s">
        <v>1357</v>
      </c>
      <c r="L208" s="1027"/>
      <c r="N208" s="46">
        <v>3</v>
      </c>
      <c r="O208" s="45" t="s">
        <v>1772</v>
      </c>
      <c r="P208" s="1027"/>
      <c r="R208" s="46">
        <v>3</v>
      </c>
      <c r="S208" s="45" t="s">
        <v>1772</v>
      </c>
      <c r="T208" s="1027"/>
      <c r="V208" s="46">
        <v>3</v>
      </c>
      <c r="W208" s="45" t="s">
        <v>1772</v>
      </c>
      <c r="X208" s="1027"/>
      <c r="Z208" s="46">
        <v>3</v>
      </c>
      <c r="AA208" s="45" t="s">
        <v>1772</v>
      </c>
      <c r="AB208" s="1040"/>
      <c r="AC208" s="1024"/>
      <c r="AE208" s="45"/>
      <c r="AF208" s="91"/>
      <c r="AG208" s="92"/>
      <c r="AH208" s="93"/>
    </row>
    <row r="209" spans="2:35">
      <c r="B209" s="51">
        <v>4</v>
      </c>
      <c r="C209" s="52"/>
      <c r="D209" s="1028"/>
      <c r="F209" s="51">
        <v>4</v>
      </c>
      <c r="G209" s="52"/>
      <c r="H209" s="1028"/>
      <c r="J209" s="51">
        <v>4</v>
      </c>
      <c r="K209" s="52"/>
      <c r="L209" s="1028"/>
      <c r="N209" s="51">
        <v>4</v>
      </c>
      <c r="O209" s="52"/>
      <c r="P209" s="1028"/>
      <c r="R209" s="51">
        <v>4</v>
      </c>
      <c r="S209" s="45" t="s">
        <v>1357</v>
      </c>
      <c r="T209" s="1028"/>
      <c r="V209" s="51">
        <v>4</v>
      </c>
      <c r="W209" s="45" t="s">
        <v>1357</v>
      </c>
      <c r="X209" s="1028"/>
      <c r="Z209" s="51">
        <v>4</v>
      </c>
      <c r="AA209" s="72" t="s">
        <v>1771</v>
      </c>
      <c r="AB209" s="1041"/>
      <c r="AC209" s="1024"/>
      <c r="AE209" s="45"/>
      <c r="AF209" s="91"/>
      <c r="AG209" s="92"/>
      <c r="AH209" s="93"/>
    </row>
    <row r="210" spans="2:35" ht="17" thickBot="1">
      <c r="B210" s="47">
        <v>5</v>
      </c>
      <c r="C210" s="48"/>
      <c r="D210" s="1029"/>
      <c r="F210" s="47">
        <v>5</v>
      </c>
      <c r="G210" s="48"/>
      <c r="H210" s="1029"/>
      <c r="J210" s="47">
        <v>5</v>
      </c>
      <c r="K210" s="48"/>
      <c r="L210" s="1029"/>
      <c r="N210" s="47">
        <v>5</v>
      </c>
      <c r="O210" s="48"/>
      <c r="P210" s="1029"/>
      <c r="R210" s="47">
        <v>5</v>
      </c>
      <c r="S210" s="70" t="s">
        <v>1773</v>
      </c>
      <c r="T210" s="1029"/>
      <c r="V210" s="47">
        <v>5</v>
      </c>
      <c r="W210" s="70" t="s">
        <v>1773</v>
      </c>
      <c r="X210" s="1029"/>
      <c r="Z210" s="47">
        <v>5</v>
      </c>
      <c r="AA210" s="70" t="s">
        <v>1388</v>
      </c>
      <c r="AB210" s="1042"/>
      <c r="AC210" s="1024"/>
      <c r="AE210" s="45"/>
      <c r="AF210" s="91"/>
      <c r="AG210" s="92"/>
      <c r="AH210" s="93"/>
    </row>
    <row r="211" spans="2:35" ht="17" thickBot="1"/>
    <row r="212" spans="2:35">
      <c r="B212" s="1030" t="s">
        <v>1522</v>
      </c>
      <c r="C212" s="1031"/>
      <c r="D212" s="1032"/>
      <c r="F212" s="1030" t="s">
        <v>1523</v>
      </c>
      <c r="G212" s="1031"/>
      <c r="H212" s="1032"/>
      <c r="J212" s="1030" t="s">
        <v>1524</v>
      </c>
      <c r="K212" s="1031"/>
      <c r="L212" s="1032"/>
      <c r="N212" s="1030" t="s">
        <v>1525</v>
      </c>
      <c r="O212" s="1031"/>
      <c r="P212" s="1032"/>
      <c r="R212" s="1030" t="s">
        <v>1526</v>
      </c>
      <c r="S212" s="1031"/>
      <c r="T212" s="1032"/>
      <c r="V212" s="1030" t="s">
        <v>1527</v>
      </c>
      <c r="W212" s="1031"/>
      <c r="X212" s="1032"/>
      <c r="Z212" s="1030" t="s">
        <v>1528</v>
      </c>
      <c r="AA212" s="1031"/>
      <c r="AB212" s="1032"/>
      <c r="AC212" s="1024" t="s">
        <v>173</v>
      </c>
      <c r="AE212" t="s">
        <v>1729</v>
      </c>
      <c r="AF212" s="63">
        <f t="shared" ref="AF212:AF219" si="22">COUNTIF($B$213:$AA$221,AE212)</f>
        <v>6</v>
      </c>
    </row>
    <row r="213" spans="2:35">
      <c r="B213" s="46">
        <v>1</v>
      </c>
      <c r="C213" s="45"/>
      <c r="D213" s="1028" t="s">
        <v>119</v>
      </c>
      <c r="F213" s="46">
        <v>1</v>
      </c>
      <c r="G213" s="45" t="s">
        <v>1731</v>
      </c>
      <c r="H213" s="1028" t="s">
        <v>119</v>
      </c>
      <c r="J213" s="46">
        <v>1</v>
      </c>
      <c r="K213" s="45" t="s">
        <v>1731</v>
      </c>
      <c r="L213" s="1028" t="s">
        <v>119</v>
      </c>
      <c r="N213" s="46">
        <v>1</v>
      </c>
      <c r="O213" s="45" t="s">
        <v>1731</v>
      </c>
      <c r="P213" s="1028" t="s">
        <v>119</v>
      </c>
      <c r="R213" s="46">
        <v>1</v>
      </c>
      <c r="S213" s="45" t="s">
        <v>1730</v>
      </c>
      <c r="T213" s="1028" t="s">
        <v>119</v>
      </c>
      <c r="V213" s="46">
        <v>1</v>
      </c>
      <c r="W213" s="45" t="s">
        <v>1731</v>
      </c>
      <c r="X213" s="1028" t="s">
        <v>119</v>
      </c>
      <c r="Z213" s="46">
        <v>1</v>
      </c>
      <c r="AA213" s="45" t="s">
        <v>1731</v>
      </c>
      <c r="AB213" s="1028" t="s">
        <v>119</v>
      </c>
      <c r="AC213" s="1024"/>
      <c r="AE213" t="s">
        <v>1732</v>
      </c>
      <c r="AF213" s="63">
        <f t="shared" si="22"/>
        <v>5</v>
      </c>
    </row>
    <row r="214" spans="2:35">
      <c r="B214" s="46">
        <v>2</v>
      </c>
      <c r="C214" s="45"/>
      <c r="D214" s="1044"/>
      <c r="F214" s="46">
        <v>2</v>
      </c>
      <c r="G214" s="45" t="s">
        <v>1733</v>
      </c>
      <c r="H214" s="1044"/>
      <c r="J214" s="46">
        <v>2</v>
      </c>
      <c r="K214" s="45" t="s">
        <v>1772</v>
      </c>
      <c r="L214" s="1044"/>
      <c r="N214" s="46">
        <v>2</v>
      </c>
      <c r="O214" s="45" t="s">
        <v>1733</v>
      </c>
      <c r="P214" s="1044"/>
      <c r="R214" s="46">
        <v>2</v>
      </c>
      <c r="S214" s="45" t="s">
        <v>1733</v>
      </c>
      <c r="T214" s="1044"/>
      <c r="V214" s="46">
        <v>2</v>
      </c>
      <c r="W214" s="45" t="s">
        <v>1733</v>
      </c>
      <c r="X214" s="1044"/>
      <c r="Z214" s="46">
        <v>2</v>
      </c>
      <c r="AA214" s="45" t="s">
        <v>1733</v>
      </c>
      <c r="AB214" s="1044"/>
      <c r="AC214" s="1024"/>
      <c r="AE214" t="s">
        <v>1772</v>
      </c>
      <c r="AF214" s="63">
        <f t="shared" si="22"/>
        <v>5</v>
      </c>
    </row>
    <row r="215" spans="2:35">
      <c r="B215" s="46">
        <v>3</v>
      </c>
      <c r="C215" s="45"/>
      <c r="D215" s="1044"/>
      <c r="F215" s="46">
        <v>3</v>
      </c>
      <c r="G215" s="45" t="s">
        <v>1764</v>
      </c>
      <c r="H215" s="1044"/>
      <c r="J215" s="46">
        <v>3</v>
      </c>
      <c r="K215" s="45" t="s">
        <v>1764</v>
      </c>
      <c r="L215" s="1044"/>
      <c r="N215" s="46">
        <v>3</v>
      </c>
      <c r="O215" s="45" t="s">
        <v>1764</v>
      </c>
      <c r="P215" s="1044"/>
      <c r="R215" s="46">
        <v>3</v>
      </c>
      <c r="S215" s="45" t="s">
        <v>1764</v>
      </c>
      <c r="T215" s="1044"/>
      <c r="V215" s="46">
        <v>3</v>
      </c>
      <c r="W215" s="45" t="s">
        <v>1764</v>
      </c>
      <c r="X215" s="1044"/>
      <c r="Z215" s="46">
        <v>3</v>
      </c>
      <c r="AA215" s="45" t="s">
        <v>1764</v>
      </c>
      <c r="AB215" s="1044"/>
      <c r="AC215" s="1024"/>
      <c r="AE215" t="s">
        <v>1733</v>
      </c>
      <c r="AF215" s="63">
        <f t="shared" si="22"/>
        <v>5</v>
      </c>
    </row>
    <row r="216" spans="2:35" ht="17" thickBot="1">
      <c r="B216" s="47">
        <v>4</v>
      </c>
      <c r="C216" s="48"/>
      <c r="D216" s="1045"/>
      <c r="F216" s="47">
        <v>4</v>
      </c>
      <c r="G216" s="48"/>
      <c r="H216" s="1045"/>
      <c r="J216" s="47">
        <v>4</v>
      </c>
      <c r="K216" s="48"/>
      <c r="L216" s="1045"/>
      <c r="N216" s="47">
        <v>4</v>
      </c>
      <c r="O216" s="48"/>
      <c r="P216" s="1045"/>
      <c r="R216" s="47">
        <v>4</v>
      </c>
      <c r="S216" s="48"/>
      <c r="T216" s="1045"/>
      <c r="V216" s="47">
        <v>4</v>
      </c>
      <c r="W216" s="48"/>
      <c r="X216" s="1045"/>
      <c r="Z216" s="47">
        <v>4</v>
      </c>
      <c r="AA216" s="48"/>
      <c r="AB216" s="1045"/>
      <c r="AC216" s="1024"/>
      <c r="AE216" t="s">
        <v>1731</v>
      </c>
      <c r="AF216" s="63">
        <f t="shared" si="22"/>
        <v>5</v>
      </c>
    </row>
    <row r="217" spans="2:35">
      <c r="B217" s="49">
        <v>1</v>
      </c>
      <c r="C217" s="45"/>
      <c r="D217" s="1043" t="s">
        <v>1389</v>
      </c>
      <c r="F217" s="49">
        <v>1</v>
      </c>
      <c r="G217" s="50" t="s">
        <v>1729</v>
      </c>
      <c r="H217" s="1043" t="s">
        <v>1389</v>
      </c>
      <c r="J217" s="49">
        <v>1</v>
      </c>
      <c r="K217" s="45" t="s">
        <v>1729</v>
      </c>
      <c r="L217" s="1043" t="s">
        <v>1389</v>
      </c>
      <c r="N217" s="49">
        <v>1</v>
      </c>
      <c r="O217" s="45" t="s">
        <v>1729</v>
      </c>
      <c r="P217" s="1043" t="s">
        <v>1389</v>
      </c>
      <c r="R217" s="49">
        <v>1</v>
      </c>
      <c r="S217" s="45" t="s">
        <v>1729</v>
      </c>
      <c r="T217" s="1043" t="s">
        <v>1389</v>
      </c>
      <c r="V217" s="49">
        <v>1</v>
      </c>
      <c r="W217" s="45" t="s">
        <v>1729</v>
      </c>
      <c r="X217" s="1043" t="s">
        <v>1389</v>
      </c>
      <c r="Z217" s="49">
        <v>1</v>
      </c>
      <c r="AA217" s="45" t="s">
        <v>1729</v>
      </c>
      <c r="AB217" s="1043" t="s">
        <v>1389</v>
      </c>
      <c r="AC217" s="1024"/>
      <c r="AE217" s="74" t="s">
        <v>1357</v>
      </c>
      <c r="AF217" s="75">
        <f t="shared" si="22"/>
        <v>0</v>
      </c>
      <c r="AG217" s="1025" t="s">
        <v>1412</v>
      </c>
      <c r="AH217" s="1025"/>
      <c r="AI217" s="63">
        <v>9</v>
      </c>
    </row>
    <row r="218" spans="2:35">
      <c r="B218" s="46">
        <v>2</v>
      </c>
      <c r="C218" s="45"/>
      <c r="D218" s="1044"/>
      <c r="F218" s="46">
        <v>2</v>
      </c>
      <c r="G218" s="45" t="s">
        <v>1732</v>
      </c>
      <c r="H218" s="1044"/>
      <c r="J218" s="46">
        <v>2</v>
      </c>
      <c r="K218" s="45" t="s">
        <v>1732</v>
      </c>
      <c r="L218" s="1044"/>
      <c r="N218" s="46">
        <v>2</v>
      </c>
      <c r="O218" s="45" t="s">
        <v>1772</v>
      </c>
      <c r="P218" s="1044"/>
      <c r="R218" s="46">
        <v>2</v>
      </c>
      <c r="S218" s="45" t="s">
        <v>1732</v>
      </c>
      <c r="T218" s="1044"/>
      <c r="V218" s="46">
        <v>2</v>
      </c>
      <c r="W218" s="45" t="s">
        <v>1732</v>
      </c>
      <c r="X218" s="1044"/>
      <c r="Z218" s="46">
        <v>2</v>
      </c>
      <c r="AA218" s="45" t="s">
        <v>1732</v>
      </c>
      <c r="AB218" s="1044"/>
      <c r="AC218" s="1024"/>
      <c r="AE218" t="s">
        <v>1735</v>
      </c>
      <c r="AF218" s="63">
        <f t="shared" si="22"/>
        <v>0</v>
      </c>
    </row>
    <row r="219" spans="2:35">
      <c r="B219" s="46">
        <v>3</v>
      </c>
      <c r="C219" s="45"/>
      <c r="D219" s="1044"/>
      <c r="F219" s="46">
        <v>3</v>
      </c>
      <c r="G219" s="45"/>
      <c r="H219" s="1044"/>
      <c r="J219" s="46">
        <v>3</v>
      </c>
      <c r="K219" s="45"/>
      <c r="L219" s="1044"/>
      <c r="N219" s="46">
        <v>3</v>
      </c>
      <c r="O219" s="45"/>
      <c r="P219" s="1044"/>
      <c r="R219" s="46">
        <v>3</v>
      </c>
      <c r="S219" s="45" t="s">
        <v>1772</v>
      </c>
      <c r="T219" s="1044"/>
      <c r="V219" s="46">
        <v>3</v>
      </c>
      <c r="W219" s="45" t="s">
        <v>1772</v>
      </c>
      <c r="X219" s="1044"/>
      <c r="Z219" s="46">
        <v>3</v>
      </c>
      <c r="AA219" s="45" t="s">
        <v>1772</v>
      </c>
      <c r="AB219" s="1044"/>
      <c r="AC219" s="1024"/>
      <c r="AE219" t="s">
        <v>1730</v>
      </c>
      <c r="AF219" s="63">
        <f t="shared" si="22"/>
        <v>3</v>
      </c>
    </row>
    <row r="220" spans="2:35">
      <c r="B220" s="51">
        <v>4</v>
      </c>
      <c r="C220" s="52"/>
      <c r="D220" s="1044"/>
      <c r="F220" s="51">
        <v>4</v>
      </c>
      <c r="G220" s="52"/>
      <c r="H220" s="1044"/>
      <c r="J220" s="51">
        <v>4</v>
      </c>
      <c r="K220" s="52"/>
      <c r="L220" s="1044"/>
      <c r="N220" s="51">
        <v>4</v>
      </c>
      <c r="O220" s="52"/>
      <c r="P220" s="1044"/>
      <c r="R220" s="51">
        <v>4</v>
      </c>
      <c r="S220" s="72" t="s">
        <v>1737</v>
      </c>
      <c r="T220" s="1044"/>
      <c r="V220" s="51">
        <v>4</v>
      </c>
      <c r="W220" s="45" t="s">
        <v>1730</v>
      </c>
      <c r="X220" s="1044"/>
      <c r="Z220" s="51">
        <v>4</v>
      </c>
      <c r="AA220" s="45" t="s">
        <v>1730</v>
      </c>
      <c r="AB220" s="1044"/>
      <c r="AC220" s="1024"/>
    </row>
    <row r="221" spans="2:35" ht="17" thickBot="1">
      <c r="B221" s="47">
        <v>5</v>
      </c>
      <c r="C221" s="48"/>
      <c r="D221" s="1045"/>
      <c r="F221" s="47">
        <v>5</v>
      </c>
      <c r="G221" s="48"/>
      <c r="H221" s="1045"/>
      <c r="J221" s="47">
        <v>5</v>
      </c>
      <c r="K221" s="48"/>
      <c r="L221" s="1045"/>
      <c r="N221" s="47">
        <v>5</v>
      </c>
      <c r="O221" s="48"/>
      <c r="P221" s="1045"/>
      <c r="R221" s="47">
        <v>5</v>
      </c>
      <c r="S221" s="70" t="s">
        <v>1773</v>
      </c>
      <c r="T221" s="1045"/>
      <c r="V221" s="47">
        <v>5</v>
      </c>
      <c r="W221" s="70" t="s">
        <v>1737</v>
      </c>
      <c r="X221" s="1045"/>
      <c r="Z221" s="47">
        <v>5</v>
      </c>
      <c r="AA221" s="70" t="s">
        <v>1773</v>
      </c>
      <c r="AB221" s="1045"/>
      <c r="AC221" s="1024"/>
    </row>
    <row r="222" spans="2:35" ht="17" thickBot="1"/>
    <row r="223" spans="2:35">
      <c r="B223" s="1030" t="s">
        <v>1529</v>
      </c>
      <c r="C223" s="1031"/>
      <c r="D223" s="1032"/>
      <c r="F223" s="1030" t="s">
        <v>1530</v>
      </c>
      <c r="G223" s="1031"/>
      <c r="H223" s="1032"/>
      <c r="J223" s="1030" t="s">
        <v>1531</v>
      </c>
      <c r="K223" s="1031"/>
      <c r="L223" s="1032"/>
      <c r="N223" s="1030" t="s">
        <v>1532</v>
      </c>
      <c r="O223" s="1031"/>
      <c r="P223" s="1032"/>
      <c r="R223" s="1030" t="s">
        <v>1533</v>
      </c>
      <c r="S223" s="1031"/>
      <c r="T223" s="1032"/>
      <c r="V223" s="1030" t="s">
        <v>1534</v>
      </c>
      <c r="W223" s="1031"/>
      <c r="X223" s="1032"/>
      <c r="Z223" s="1030" t="s">
        <v>1535</v>
      </c>
      <c r="AA223" s="1031"/>
      <c r="AB223" s="1032"/>
      <c r="AC223" s="1024" t="s">
        <v>173</v>
      </c>
      <c r="AE223" t="s">
        <v>1729</v>
      </c>
      <c r="AF223" s="63">
        <f t="shared" ref="AF223:AF231" si="23">COUNTIF($B$223:$AB$232,AE223)</f>
        <v>5</v>
      </c>
    </row>
    <row r="224" spans="2:35" ht="16" customHeight="1">
      <c r="B224" s="46">
        <v>1</v>
      </c>
      <c r="C224" s="45"/>
      <c r="D224" s="1027" t="s">
        <v>119</v>
      </c>
      <c r="F224" s="46">
        <v>1</v>
      </c>
      <c r="G224" s="45" t="s">
        <v>1733</v>
      </c>
      <c r="H224" s="1027" t="s">
        <v>119</v>
      </c>
      <c r="J224" s="46">
        <v>1</v>
      </c>
      <c r="K224" s="45" t="s">
        <v>1357</v>
      </c>
      <c r="L224" s="1027" t="s">
        <v>119</v>
      </c>
      <c r="N224" s="46">
        <v>1</v>
      </c>
      <c r="O224" s="45" t="s">
        <v>1733</v>
      </c>
      <c r="P224" s="1027" t="s">
        <v>119</v>
      </c>
      <c r="R224" s="46">
        <v>1</v>
      </c>
      <c r="S224" s="45" t="s">
        <v>1733</v>
      </c>
      <c r="T224" s="1027" t="s">
        <v>119</v>
      </c>
      <c r="V224" s="46">
        <v>1</v>
      </c>
      <c r="W224" s="45" t="s">
        <v>1733</v>
      </c>
      <c r="X224" s="1027" t="s">
        <v>119</v>
      </c>
      <c r="Z224" s="46">
        <v>1</v>
      </c>
      <c r="AA224" s="45" t="s">
        <v>1733</v>
      </c>
      <c r="AB224" s="1027" t="s">
        <v>119</v>
      </c>
      <c r="AC224" s="1024"/>
      <c r="AE224" t="s">
        <v>1732</v>
      </c>
      <c r="AF224" s="63">
        <f t="shared" si="23"/>
        <v>6</v>
      </c>
    </row>
    <row r="225" spans="2:35">
      <c r="B225" s="46">
        <v>2</v>
      </c>
      <c r="C225" s="45"/>
      <c r="D225" s="1027"/>
      <c r="F225" s="46">
        <v>2</v>
      </c>
      <c r="G225" s="45" t="s">
        <v>1772</v>
      </c>
      <c r="H225" s="1027"/>
      <c r="J225" s="46">
        <v>2</v>
      </c>
      <c r="K225" s="45" t="s">
        <v>1733</v>
      </c>
      <c r="L225" s="1027"/>
      <c r="N225" s="46">
        <v>2</v>
      </c>
      <c r="O225" s="45" t="s">
        <v>1357</v>
      </c>
      <c r="P225" s="1027"/>
      <c r="R225" s="46">
        <v>2</v>
      </c>
      <c r="S225" s="45" t="s">
        <v>1357</v>
      </c>
      <c r="T225" s="1027"/>
      <c r="V225" s="46">
        <v>2</v>
      </c>
      <c r="W225" s="45" t="s">
        <v>1357</v>
      </c>
      <c r="X225" s="1027"/>
      <c r="Z225" s="46">
        <v>2</v>
      </c>
      <c r="AA225" s="45" t="s">
        <v>1357</v>
      </c>
      <c r="AB225" s="1027"/>
      <c r="AC225" s="1024"/>
      <c r="AE225" t="s">
        <v>1772</v>
      </c>
      <c r="AF225" s="63">
        <f t="shared" si="23"/>
        <v>6</v>
      </c>
    </row>
    <row r="226" spans="2:35">
      <c r="B226" s="46">
        <v>3</v>
      </c>
      <c r="C226" s="45"/>
      <c r="D226" s="1027"/>
      <c r="F226" s="46">
        <v>3</v>
      </c>
      <c r="G226" s="45" t="s">
        <v>1764</v>
      </c>
      <c r="H226" s="1027"/>
      <c r="J226" s="46">
        <v>3</v>
      </c>
      <c r="K226" s="45" t="s">
        <v>1764</v>
      </c>
      <c r="L226" s="1027"/>
      <c r="N226" s="46">
        <v>3</v>
      </c>
      <c r="O226" s="45" t="s">
        <v>1764</v>
      </c>
      <c r="P226" s="1027"/>
      <c r="R226" s="46">
        <v>3</v>
      </c>
      <c r="S226" s="45" t="s">
        <v>1764</v>
      </c>
      <c r="T226" s="1027"/>
      <c r="V226" s="46">
        <v>3</v>
      </c>
      <c r="W226" s="45" t="s">
        <v>1764</v>
      </c>
      <c r="X226" s="1027"/>
      <c r="Z226" s="46">
        <v>3</v>
      </c>
      <c r="AA226" s="45" t="s">
        <v>1764</v>
      </c>
      <c r="AB226" s="1027"/>
      <c r="AC226" s="1024"/>
      <c r="AE226" t="s">
        <v>1733</v>
      </c>
      <c r="AF226" s="63">
        <f t="shared" si="23"/>
        <v>6</v>
      </c>
    </row>
    <row r="227" spans="2:35" ht="17" thickBot="1">
      <c r="B227" s="47">
        <v>4</v>
      </c>
      <c r="C227" s="48"/>
      <c r="D227" s="1029"/>
      <c r="F227" s="47">
        <v>4</v>
      </c>
      <c r="G227" s="48"/>
      <c r="H227" s="1029"/>
      <c r="J227" s="47">
        <v>4</v>
      </c>
      <c r="K227" s="48"/>
      <c r="L227" s="1029"/>
      <c r="N227" s="47">
        <v>4</v>
      </c>
      <c r="O227" s="48"/>
      <c r="P227" s="1029"/>
      <c r="R227" s="47">
        <v>4</v>
      </c>
      <c r="S227" s="48"/>
      <c r="T227" s="1029"/>
      <c r="V227" s="47">
        <v>4</v>
      </c>
      <c r="W227" s="48"/>
      <c r="X227" s="1029"/>
      <c r="Z227" s="47">
        <v>4</v>
      </c>
      <c r="AA227" s="48"/>
      <c r="AB227" s="1029"/>
      <c r="AC227" s="1024"/>
      <c r="AE227" s="74" t="s">
        <v>1731</v>
      </c>
      <c r="AF227" s="75">
        <f t="shared" si="23"/>
        <v>0</v>
      </c>
      <c r="AG227" s="1025" t="s">
        <v>1412</v>
      </c>
      <c r="AH227" s="1025"/>
      <c r="AI227" s="63">
        <v>9</v>
      </c>
    </row>
    <row r="228" spans="2:35" ht="16" customHeight="1">
      <c r="B228" s="49">
        <v>1</v>
      </c>
      <c r="C228" s="45" t="s">
        <v>1732</v>
      </c>
      <c r="D228" s="1026" t="s">
        <v>1389</v>
      </c>
      <c r="F228" s="49">
        <v>1</v>
      </c>
      <c r="G228" s="50" t="s">
        <v>1729</v>
      </c>
      <c r="H228" s="1026" t="s">
        <v>1389</v>
      </c>
      <c r="J228" s="49">
        <v>1</v>
      </c>
      <c r="K228" s="45" t="s">
        <v>1729</v>
      </c>
      <c r="L228" s="1026" t="s">
        <v>1389</v>
      </c>
      <c r="N228" s="49">
        <v>1</v>
      </c>
      <c r="O228" s="45" t="s">
        <v>1772</v>
      </c>
      <c r="P228" s="1026" t="s">
        <v>1389</v>
      </c>
      <c r="R228" s="49">
        <v>1</v>
      </c>
      <c r="S228" s="45" t="s">
        <v>1729</v>
      </c>
      <c r="T228" s="1026" t="s">
        <v>1389</v>
      </c>
      <c r="V228" s="49">
        <v>1</v>
      </c>
      <c r="W228" s="45" t="s">
        <v>1729</v>
      </c>
      <c r="X228" s="1026" t="s">
        <v>1389</v>
      </c>
      <c r="Z228" s="49">
        <v>1</v>
      </c>
      <c r="AA228" s="45" t="s">
        <v>1729</v>
      </c>
      <c r="AB228" s="1026" t="s">
        <v>1389</v>
      </c>
      <c r="AC228" s="1024"/>
      <c r="AE228" s="76" t="s">
        <v>1357</v>
      </c>
      <c r="AF228" s="77">
        <f t="shared" si="23"/>
        <v>5</v>
      </c>
      <c r="AG228" s="1061"/>
      <c r="AH228" s="1061"/>
    </row>
    <row r="229" spans="2:35">
      <c r="B229" s="46">
        <v>2</v>
      </c>
      <c r="C229" s="45" t="s">
        <v>1730</v>
      </c>
      <c r="D229" s="1027"/>
      <c r="F229" s="46">
        <v>2</v>
      </c>
      <c r="G229" s="45" t="s">
        <v>1732</v>
      </c>
      <c r="H229" s="1027"/>
      <c r="J229" s="46">
        <v>2</v>
      </c>
      <c r="K229" s="45" t="s">
        <v>1772</v>
      </c>
      <c r="L229" s="1027"/>
      <c r="N229" s="46">
        <v>2</v>
      </c>
      <c r="O229" s="45" t="s">
        <v>1732</v>
      </c>
      <c r="P229" s="1027"/>
      <c r="R229" s="46">
        <v>2</v>
      </c>
      <c r="S229" s="45" t="s">
        <v>1732</v>
      </c>
      <c r="T229" s="1027"/>
      <c r="V229" s="46">
        <v>2</v>
      </c>
      <c r="W229" s="45" t="s">
        <v>1732</v>
      </c>
      <c r="X229" s="1027"/>
      <c r="Z229" s="46">
        <v>2</v>
      </c>
      <c r="AA229" s="45" t="s">
        <v>1732</v>
      </c>
      <c r="AB229" s="1027"/>
      <c r="AC229" s="1024"/>
      <c r="AE229" t="s">
        <v>1735</v>
      </c>
      <c r="AF229" s="63">
        <f t="shared" si="23"/>
        <v>0</v>
      </c>
    </row>
    <row r="230" spans="2:35">
      <c r="B230" s="46">
        <v>3</v>
      </c>
      <c r="C230" s="45"/>
      <c r="D230" s="1027"/>
      <c r="F230" s="46">
        <v>3</v>
      </c>
      <c r="G230" s="45"/>
      <c r="H230" s="1027"/>
      <c r="J230" s="46">
        <v>3</v>
      </c>
      <c r="K230" s="45"/>
      <c r="L230" s="1027"/>
      <c r="N230" s="46">
        <v>3</v>
      </c>
      <c r="O230" s="45"/>
      <c r="P230" s="1027"/>
      <c r="R230" s="46">
        <v>3</v>
      </c>
      <c r="S230" s="45" t="s">
        <v>1772</v>
      </c>
      <c r="T230" s="1027"/>
      <c r="V230" s="46">
        <v>3</v>
      </c>
      <c r="W230" s="45" t="s">
        <v>1772</v>
      </c>
      <c r="X230" s="1027"/>
      <c r="Z230" s="46">
        <v>3</v>
      </c>
      <c r="AA230" s="45" t="s">
        <v>1772</v>
      </c>
      <c r="AB230" s="1027"/>
      <c r="AC230" s="1024"/>
      <c r="AE230" t="s">
        <v>1730</v>
      </c>
      <c r="AF230" s="63">
        <f t="shared" si="23"/>
        <v>3</v>
      </c>
    </row>
    <row r="231" spans="2:35">
      <c r="B231" s="51">
        <v>4</v>
      </c>
      <c r="C231" s="52"/>
      <c r="D231" s="1028"/>
      <c r="F231" s="51">
        <v>4</v>
      </c>
      <c r="G231" s="52"/>
      <c r="H231" s="1028"/>
      <c r="J231" s="51">
        <v>4</v>
      </c>
      <c r="K231" s="52"/>
      <c r="L231" s="1028"/>
      <c r="N231" s="51">
        <v>4</v>
      </c>
      <c r="O231" s="52"/>
      <c r="P231" s="1028"/>
      <c r="R231" s="51">
        <v>4</v>
      </c>
      <c r="S231" s="72" t="s">
        <v>1737</v>
      </c>
      <c r="T231" s="1028"/>
      <c r="V231" s="51">
        <v>4</v>
      </c>
      <c r="W231" s="45" t="s">
        <v>1730</v>
      </c>
      <c r="X231" s="1028"/>
      <c r="Z231" s="51">
        <v>4</v>
      </c>
      <c r="AA231" s="45" t="s">
        <v>1730</v>
      </c>
      <c r="AB231" s="1028"/>
      <c r="AC231" s="1024"/>
      <c r="AE231" t="s">
        <v>1773</v>
      </c>
      <c r="AF231" s="63">
        <f t="shared" si="23"/>
        <v>2</v>
      </c>
    </row>
    <row r="232" spans="2:35" ht="17" thickBot="1">
      <c r="B232" s="47">
        <v>5</v>
      </c>
      <c r="C232" s="48"/>
      <c r="D232" s="1029"/>
      <c r="F232" s="47">
        <v>5</v>
      </c>
      <c r="G232" s="48"/>
      <c r="H232" s="1029"/>
      <c r="J232" s="47">
        <v>5</v>
      </c>
      <c r="K232" s="48"/>
      <c r="L232" s="1029"/>
      <c r="N232" s="47">
        <v>5</v>
      </c>
      <c r="O232" s="48"/>
      <c r="P232" s="1029"/>
      <c r="R232" s="47">
        <v>5</v>
      </c>
      <c r="S232" s="70" t="s">
        <v>1773</v>
      </c>
      <c r="T232" s="1029"/>
      <c r="V232" s="47">
        <v>5</v>
      </c>
      <c r="W232" s="70" t="s">
        <v>1737</v>
      </c>
      <c r="X232" s="1029"/>
      <c r="Z232" s="47">
        <v>5</v>
      </c>
      <c r="AA232" s="70" t="s">
        <v>1773</v>
      </c>
      <c r="AB232" s="1029"/>
      <c r="AC232" s="1024"/>
    </row>
    <row r="233" spans="2:35" ht="17" thickBot="1"/>
    <row r="234" spans="2:35">
      <c r="B234" s="1030" t="s">
        <v>1536</v>
      </c>
      <c r="C234" s="1031"/>
      <c r="D234" s="1032"/>
      <c r="F234" s="1030" t="s">
        <v>1537</v>
      </c>
      <c r="G234" s="1031"/>
      <c r="H234" s="1032"/>
      <c r="J234" s="1030" t="s">
        <v>1538</v>
      </c>
      <c r="K234" s="1031"/>
      <c r="L234" s="1032"/>
      <c r="N234" s="1030" t="s">
        <v>1539</v>
      </c>
      <c r="O234" s="1031"/>
      <c r="P234" s="1032"/>
      <c r="R234" s="1030" t="s">
        <v>1540</v>
      </c>
      <c r="S234" s="1031"/>
      <c r="T234" s="1032"/>
      <c r="V234" s="1030" t="s">
        <v>1541</v>
      </c>
      <c r="W234" s="1031"/>
      <c r="X234" s="1032"/>
      <c r="Z234" s="1030" t="s">
        <v>1542</v>
      </c>
      <c r="AA234" s="1031"/>
      <c r="AB234" s="1032"/>
      <c r="AC234" s="1024" t="s">
        <v>173</v>
      </c>
      <c r="AE234" s="74" t="s">
        <v>1729</v>
      </c>
      <c r="AF234" s="75">
        <f t="shared" ref="AF234:AF241" si="24">COUNTIF($B$234:$AB$243,AE234)</f>
        <v>0</v>
      </c>
      <c r="AG234" s="1025" t="s">
        <v>1412</v>
      </c>
      <c r="AH234" s="1025"/>
      <c r="AI234" s="63">
        <v>9</v>
      </c>
    </row>
    <row r="235" spans="2:35">
      <c r="B235" s="46">
        <v>1</v>
      </c>
      <c r="C235" s="45"/>
      <c r="D235" s="1027" t="s">
        <v>119</v>
      </c>
      <c r="F235" s="46">
        <v>1</v>
      </c>
      <c r="G235" s="50" t="s">
        <v>1772</v>
      </c>
      <c r="H235" s="1027" t="s">
        <v>119</v>
      </c>
      <c r="J235" s="46">
        <v>1</v>
      </c>
      <c r="K235" s="45" t="s">
        <v>1731</v>
      </c>
      <c r="L235" s="1027" t="s">
        <v>119</v>
      </c>
      <c r="N235" s="46">
        <v>1</v>
      </c>
      <c r="O235" s="45" t="s">
        <v>1731</v>
      </c>
      <c r="P235" s="1027" t="s">
        <v>119</v>
      </c>
      <c r="R235" s="46">
        <v>1</v>
      </c>
      <c r="S235" s="45" t="s">
        <v>1731</v>
      </c>
      <c r="T235" s="1027" t="s">
        <v>119</v>
      </c>
      <c r="V235" s="46">
        <v>1</v>
      </c>
      <c r="W235" s="45" t="s">
        <v>1731</v>
      </c>
      <c r="X235" s="1027" t="s">
        <v>119</v>
      </c>
      <c r="Z235" s="46">
        <v>1</v>
      </c>
      <c r="AA235" s="45" t="s">
        <v>1731</v>
      </c>
      <c r="AB235" s="1027" t="s">
        <v>119</v>
      </c>
      <c r="AC235" s="1024"/>
      <c r="AE235" t="s">
        <v>1732</v>
      </c>
      <c r="AF235" s="63">
        <f t="shared" si="24"/>
        <v>6</v>
      </c>
    </row>
    <row r="236" spans="2:35">
      <c r="B236" s="46">
        <v>2</v>
      </c>
      <c r="C236" s="45"/>
      <c r="D236" s="1027"/>
      <c r="F236" s="46">
        <v>2</v>
      </c>
      <c r="G236" s="45" t="s">
        <v>1357</v>
      </c>
      <c r="H236" s="1027"/>
      <c r="J236" s="46">
        <v>2</v>
      </c>
      <c r="K236" s="45" t="s">
        <v>1357</v>
      </c>
      <c r="L236" s="1027"/>
      <c r="N236" s="46">
        <v>2</v>
      </c>
      <c r="O236" s="45" t="s">
        <v>1357</v>
      </c>
      <c r="P236" s="1027"/>
      <c r="R236" s="46">
        <v>2</v>
      </c>
      <c r="S236" s="45" t="s">
        <v>1357</v>
      </c>
      <c r="T236" s="1027"/>
      <c r="V236" s="46">
        <v>2</v>
      </c>
      <c r="W236" s="45" t="s">
        <v>1357</v>
      </c>
      <c r="X236" s="1027"/>
      <c r="Z236" s="46">
        <v>2</v>
      </c>
      <c r="AA236" s="45" t="s">
        <v>1357</v>
      </c>
      <c r="AB236" s="1027"/>
      <c r="AC236" s="1024"/>
      <c r="AE236" t="s">
        <v>1772</v>
      </c>
      <c r="AF236" s="63">
        <f t="shared" si="24"/>
        <v>6</v>
      </c>
    </row>
    <row r="237" spans="2:35">
      <c r="B237" s="46">
        <v>3</v>
      </c>
      <c r="C237" s="45"/>
      <c r="D237" s="1027"/>
      <c r="F237" s="46">
        <v>3</v>
      </c>
      <c r="G237" s="45" t="s">
        <v>1764</v>
      </c>
      <c r="H237" s="1027"/>
      <c r="J237" s="46">
        <v>3</v>
      </c>
      <c r="K237" s="45" t="s">
        <v>1764</v>
      </c>
      <c r="L237" s="1027"/>
      <c r="N237" s="46">
        <v>3</v>
      </c>
      <c r="O237" s="45" t="s">
        <v>1764</v>
      </c>
      <c r="P237" s="1027"/>
      <c r="R237" s="46">
        <v>3</v>
      </c>
      <c r="S237" s="45" t="s">
        <v>1764</v>
      </c>
      <c r="T237" s="1027"/>
      <c r="V237" s="46">
        <v>3</v>
      </c>
      <c r="W237" s="45" t="s">
        <v>1764</v>
      </c>
      <c r="X237" s="1027"/>
      <c r="Z237" s="46">
        <v>3</v>
      </c>
      <c r="AA237" s="45" t="s">
        <v>1764</v>
      </c>
      <c r="AB237" s="1027"/>
      <c r="AC237" s="1024"/>
      <c r="AE237" t="s">
        <v>1733</v>
      </c>
      <c r="AF237" s="63">
        <f t="shared" si="24"/>
        <v>6</v>
      </c>
    </row>
    <row r="238" spans="2:35" ht="17" thickBot="1">
      <c r="B238" s="47">
        <v>4</v>
      </c>
      <c r="C238" s="48"/>
      <c r="D238" s="1029"/>
      <c r="F238" s="47">
        <v>4</v>
      </c>
      <c r="G238" s="48"/>
      <c r="H238" s="1029"/>
      <c r="J238" s="47">
        <v>4</v>
      </c>
      <c r="K238" s="48"/>
      <c r="L238" s="1029"/>
      <c r="N238" s="47">
        <v>4</v>
      </c>
      <c r="O238" s="48"/>
      <c r="P238" s="1029"/>
      <c r="R238" s="47">
        <v>4</v>
      </c>
      <c r="S238" s="48"/>
      <c r="T238" s="1029"/>
      <c r="V238" s="47">
        <v>4</v>
      </c>
      <c r="W238" s="48"/>
      <c r="X238" s="1029"/>
      <c r="Z238" s="47">
        <v>4</v>
      </c>
      <c r="AA238" s="48"/>
      <c r="AB238" s="1029"/>
      <c r="AC238" s="1024"/>
      <c r="AE238" s="76" t="s">
        <v>1731</v>
      </c>
      <c r="AF238" s="77">
        <f t="shared" si="24"/>
        <v>5</v>
      </c>
    </row>
    <row r="239" spans="2:35">
      <c r="B239" s="49">
        <v>1</v>
      </c>
      <c r="C239" s="45" t="s">
        <v>1733</v>
      </c>
      <c r="D239" s="1026" t="s">
        <v>1389</v>
      </c>
      <c r="F239" s="49">
        <v>1</v>
      </c>
      <c r="G239" s="50" t="s">
        <v>1733</v>
      </c>
      <c r="H239" s="1026" t="s">
        <v>1389</v>
      </c>
      <c r="J239" s="49">
        <v>1</v>
      </c>
      <c r="K239" s="45" t="s">
        <v>1733</v>
      </c>
      <c r="L239" s="1026" t="s">
        <v>1389</v>
      </c>
      <c r="N239" s="49">
        <v>1</v>
      </c>
      <c r="O239" s="45" t="s">
        <v>1772</v>
      </c>
      <c r="P239" s="1026" t="s">
        <v>1389</v>
      </c>
      <c r="R239" s="49">
        <v>1</v>
      </c>
      <c r="S239" s="45" t="s">
        <v>1733</v>
      </c>
      <c r="T239" s="1026" t="s">
        <v>1389</v>
      </c>
      <c r="V239" s="49">
        <v>1</v>
      </c>
      <c r="W239" s="45" t="s">
        <v>1733</v>
      </c>
      <c r="X239" s="1026" t="s">
        <v>1389</v>
      </c>
      <c r="Z239" s="49">
        <v>1</v>
      </c>
      <c r="AA239" s="45" t="s">
        <v>1733</v>
      </c>
      <c r="AB239" s="1026" t="s">
        <v>1389</v>
      </c>
      <c r="AC239" s="1024"/>
      <c r="AE239" t="s">
        <v>1357</v>
      </c>
      <c r="AF239" s="63">
        <f t="shared" si="24"/>
        <v>6</v>
      </c>
    </row>
    <row r="240" spans="2:35">
      <c r="B240" s="46">
        <v>2</v>
      </c>
      <c r="C240" s="45" t="s">
        <v>1732</v>
      </c>
      <c r="D240" s="1027"/>
      <c r="F240" s="46">
        <v>2</v>
      </c>
      <c r="G240" s="45" t="s">
        <v>1732</v>
      </c>
      <c r="H240" s="1027"/>
      <c r="J240" s="46">
        <v>2</v>
      </c>
      <c r="K240" s="45" t="s">
        <v>1772</v>
      </c>
      <c r="L240" s="1027"/>
      <c r="N240" s="46">
        <v>2</v>
      </c>
      <c r="O240" s="45" t="s">
        <v>1732</v>
      </c>
      <c r="P240" s="1027"/>
      <c r="R240" s="46">
        <v>2</v>
      </c>
      <c r="S240" s="45" t="s">
        <v>1732</v>
      </c>
      <c r="T240" s="1027"/>
      <c r="V240" s="46">
        <v>2</v>
      </c>
      <c r="W240" s="45" t="s">
        <v>1732</v>
      </c>
      <c r="X240" s="1027"/>
      <c r="Z240" s="46">
        <v>2</v>
      </c>
      <c r="AA240" s="45" t="s">
        <v>1732</v>
      </c>
      <c r="AB240" s="1027"/>
      <c r="AC240" s="1024"/>
      <c r="AE240" t="s">
        <v>1735</v>
      </c>
      <c r="AF240" s="63">
        <f t="shared" si="24"/>
        <v>3</v>
      </c>
    </row>
    <row r="241" spans="2:34">
      <c r="B241" s="46">
        <v>3</v>
      </c>
      <c r="C241" s="45"/>
      <c r="D241" s="1027"/>
      <c r="F241" s="46">
        <v>3</v>
      </c>
      <c r="G241" s="45"/>
      <c r="H241" s="1027"/>
      <c r="J241" s="46">
        <v>3</v>
      </c>
      <c r="K241" s="45"/>
      <c r="L241" s="1027"/>
      <c r="N241" s="46">
        <v>3</v>
      </c>
      <c r="O241" s="45"/>
      <c r="P241" s="1027"/>
      <c r="R241" s="46">
        <v>3</v>
      </c>
      <c r="S241" s="45" t="s">
        <v>1772</v>
      </c>
      <c r="T241" s="1027"/>
      <c r="V241" s="46">
        <v>3</v>
      </c>
      <c r="W241" s="45" t="s">
        <v>1772</v>
      </c>
      <c r="X241" s="1027"/>
      <c r="Z241" s="46">
        <v>3</v>
      </c>
      <c r="AA241" s="45" t="s">
        <v>1772</v>
      </c>
      <c r="AB241" s="1027"/>
      <c r="AC241" s="1024"/>
      <c r="AE241" t="s">
        <v>1730</v>
      </c>
      <c r="AF241" s="63">
        <f t="shared" si="24"/>
        <v>0</v>
      </c>
    </row>
    <row r="242" spans="2:34">
      <c r="B242" s="51">
        <v>4</v>
      </c>
      <c r="C242" s="52"/>
      <c r="D242" s="1028"/>
      <c r="F242" s="51">
        <v>4</v>
      </c>
      <c r="G242" s="52"/>
      <c r="H242" s="1028"/>
      <c r="J242" s="51">
        <v>4</v>
      </c>
      <c r="K242" s="52"/>
      <c r="L242" s="1028"/>
      <c r="N242" s="51">
        <v>4</v>
      </c>
      <c r="O242" s="52"/>
      <c r="P242" s="1028"/>
      <c r="R242" s="51">
        <v>4</v>
      </c>
      <c r="S242" s="45" t="s">
        <v>1735</v>
      </c>
      <c r="T242" s="1028"/>
      <c r="V242" s="51">
        <v>4</v>
      </c>
      <c r="W242" s="45" t="s">
        <v>1735</v>
      </c>
      <c r="X242" s="1028"/>
      <c r="Z242" s="51">
        <v>4</v>
      </c>
      <c r="AA242" s="45" t="s">
        <v>1735</v>
      </c>
      <c r="AB242" s="1028"/>
      <c r="AC242" s="1024"/>
    </row>
    <row r="243" spans="2:34" ht="17" thickBot="1">
      <c r="B243" s="47">
        <v>5</v>
      </c>
      <c r="C243" s="48"/>
      <c r="D243" s="1029"/>
      <c r="F243" s="47">
        <v>5</v>
      </c>
      <c r="G243" s="48"/>
      <c r="H243" s="1029"/>
      <c r="J243" s="47">
        <v>5</v>
      </c>
      <c r="K243" s="48"/>
      <c r="L243" s="1029"/>
      <c r="N243" s="47">
        <v>5</v>
      </c>
      <c r="O243" s="48"/>
      <c r="P243" s="1029"/>
      <c r="R243" s="47">
        <v>5</v>
      </c>
      <c r="S243" s="70" t="s">
        <v>1773</v>
      </c>
      <c r="T243" s="1029"/>
      <c r="V243" s="47">
        <v>5</v>
      </c>
      <c r="W243" s="70" t="s">
        <v>1737</v>
      </c>
      <c r="X243" s="1029"/>
      <c r="Z243" s="47">
        <v>5</v>
      </c>
      <c r="AA243" s="70" t="s">
        <v>1773</v>
      </c>
      <c r="AB243" s="1029"/>
      <c r="AC243" s="1024"/>
    </row>
    <row r="244" spans="2:34" ht="17" thickBot="1"/>
    <row r="245" spans="2:34">
      <c r="B245" s="1030" t="s">
        <v>1774</v>
      </c>
      <c r="C245" s="1031"/>
      <c r="D245" s="1032"/>
      <c r="F245" s="1030" t="s">
        <v>1775</v>
      </c>
      <c r="G245" s="1031"/>
      <c r="H245" s="1032"/>
      <c r="J245" s="1030" t="s">
        <v>1776</v>
      </c>
      <c r="K245" s="1031"/>
      <c r="L245" s="1032"/>
      <c r="N245" s="1030" t="s">
        <v>1777</v>
      </c>
      <c r="O245" s="1031"/>
      <c r="P245" s="1032"/>
      <c r="R245" s="1030" t="s">
        <v>1778</v>
      </c>
      <c r="S245" s="1031"/>
      <c r="T245" s="1032"/>
      <c r="V245" s="1030" t="s">
        <v>1779</v>
      </c>
      <c r="W245" s="1031"/>
      <c r="X245" s="1032"/>
      <c r="Z245" s="1036" t="s">
        <v>1780</v>
      </c>
      <c r="AA245" s="1037"/>
      <c r="AB245" s="1038"/>
      <c r="AC245" s="1024" t="s">
        <v>0</v>
      </c>
      <c r="AE245" s="76" t="s">
        <v>1729</v>
      </c>
      <c r="AF245" s="77">
        <f t="shared" ref="AF245:AF252" si="25">COUNTIF($B$245:$AB$254,AE245)</f>
        <v>2</v>
      </c>
    </row>
    <row r="246" spans="2:34">
      <c r="B246" s="46">
        <v>1</v>
      </c>
      <c r="C246" s="45"/>
      <c r="D246" s="1027" t="s">
        <v>119</v>
      </c>
      <c r="F246" s="46">
        <v>1</v>
      </c>
      <c r="G246" s="45" t="s">
        <v>1731</v>
      </c>
      <c r="H246" s="1027" t="s">
        <v>119</v>
      </c>
      <c r="J246" s="46">
        <v>1</v>
      </c>
      <c r="K246" s="45" t="s">
        <v>1733</v>
      </c>
      <c r="L246" s="1027" t="s">
        <v>119</v>
      </c>
      <c r="N246" s="46">
        <v>1</v>
      </c>
      <c r="O246" s="45" t="s">
        <v>1772</v>
      </c>
      <c r="P246" s="1027" t="s">
        <v>119</v>
      </c>
      <c r="R246" s="46">
        <v>1</v>
      </c>
      <c r="S246" s="45" t="s">
        <v>1357</v>
      </c>
      <c r="T246" s="1027" t="s">
        <v>119</v>
      </c>
      <c r="V246" s="46">
        <v>1</v>
      </c>
      <c r="W246" s="45" t="s">
        <v>1772</v>
      </c>
      <c r="X246" s="1027" t="s">
        <v>119</v>
      </c>
      <c r="Z246" s="46">
        <v>1</v>
      </c>
      <c r="AA246" s="45" t="s">
        <v>1731</v>
      </c>
      <c r="AB246" s="1027" t="s">
        <v>119</v>
      </c>
      <c r="AC246" s="1024"/>
      <c r="AE246" s="74" t="s">
        <v>1732</v>
      </c>
      <c r="AF246" s="75">
        <f t="shared" si="25"/>
        <v>0</v>
      </c>
      <c r="AG246" s="1025" t="s">
        <v>1412</v>
      </c>
      <c r="AH246" s="1025"/>
    </row>
    <row r="247" spans="2:34">
      <c r="B247" s="46">
        <v>2</v>
      </c>
      <c r="C247" s="45"/>
      <c r="D247" s="1027"/>
      <c r="F247" s="46">
        <v>2</v>
      </c>
      <c r="G247" s="45" t="s">
        <v>1357</v>
      </c>
      <c r="H247" s="1027"/>
      <c r="J247" s="46">
        <v>2</v>
      </c>
      <c r="K247" s="45" t="s">
        <v>1729</v>
      </c>
      <c r="L247" s="1027"/>
      <c r="N247" s="46">
        <v>2</v>
      </c>
      <c r="O247" s="45" t="s">
        <v>1731</v>
      </c>
      <c r="P247" s="1027"/>
      <c r="R247" s="46">
        <v>2</v>
      </c>
      <c r="S247" s="45" t="s">
        <v>1733</v>
      </c>
      <c r="T247" s="1027"/>
      <c r="V247" s="46">
        <v>2</v>
      </c>
      <c r="W247" s="45" t="s">
        <v>1729</v>
      </c>
      <c r="X247" s="1027"/>
      <c r="Z247" s="46">
        <v>2</v>
      </c>
      <c r="AA247" s="45" t="s">
        <v>1772</v>
      </c>
      <c r="AB247" s="1027"/>
      <c r="AC247" s="1024"/>
      <c r="AE247" t="s">
        <v>1772</v>
      </c>
      <c r="AF247" s="63">
        <f t="shared" si="25"/>
        <v>3</v>
      </c>
    </row>
    <row r="248" spans="2:34">
      <c r="B248" s="46">
        <v>3</v>
      </c>
      <c r="C248" s="45"/>
      <c r="D248" s="1027"/>
      <c r="F248" s="46">
        <v>3</v>
      </c>
      <c r="G248" s="45"/>
      <c r="H248" s="1027"/>
      <c r="J248" s="46">
        <v>3</v>
      </c>
      <c r="K248" s="45"/>
      <c r="L248" s="1027"/>
      <c r="N248" s="46">
        <v>3</v>
      </c>
      <c r="O248" s="45"/>
      <c r="P248" s="1027"/>
      <c r="R248" s="46">
        <v>3</v>
      </c>
      <c r="S248" s="45"/>
      <c r="T248" s="1027"/>
      <c r="V248" s="46">
        <v>3</v>
      </c>
      <c r="W248" s="45"/>
      <c r="X248" s="1027"/>
      <c r="Z248" s="46">
        <v>3</v>
      </c>
      <c r="AA248" s="45"/>
      <c r="AB248" s="1027"/>
      <c r="AC248" s="1024"/>
      <c r="AE248" t="s">
        <v>1733</v>
      </c>
      <c r="AF248" s="63">
        <f t="shared" si="25"/>
        <v>2</v>
      </c>
    </row>
    <row r="249" spans="2:34" ht="17" thickBot="1">
      <c r="B249" s="47">
        <v>4</v>
      </c>
      <c r="C249" s="48"/>
      <c r="D249" s="1029"/>
      <c r="F249" s="47">
        <v>4</v>
      </c>
      <c r="G249" s="48"/>
      <c r="H249" s="1029"/>
      <c r="J249" s="47">
        <v>4</v>
      </c>
      <c r="K249" s="48"/>
      <c r="L249" s="1029"/>
      <c r="N249" s="47">
        <v>4</v>
      </c>
      <c r="O249" s="48"/>
      <c r="P249" s="1029"/>
      <c r="R249" s="47">
        <v>4</v>
      </c>
      <c r="S249" s="48"/>
      <c r="T249" s="1029"/>
      <c r="V249" s="47">
        <v>4</v>
      </c>
      <c r="W249" s="48"/>
      <c r="X249" s="1029"/>
      <c r="Z249" s="47">
        <v>4</v>
      </c>
      <c r="AA249" s="48"/>
      <c r="AB249" s="1029"/>
      <c r="AC249" s="1024"/>
      <c r="AE249" t="s">
        <v>1731</v>
      </c>
      <c r="AF249" s="63">
        <f t="shared" si="25"/>
        <v>3</v>
      </c>
    </row>
    <row r="250" spans="2:34">
      <c r="B250" s="49">
        <v>1</v>
      </c>
      <c r="C250" s="45"/>
      <c r="D250" s="1026" t="s">
        <v>1389</v>
      </c>
      <c r="F250" s="49">
        <v>1</v>
      </c>
      <c r="G250" s="50"/>
      <c r="H250" s="1026"/>
      <c r="J250" s="49"/>
      <c r="K250" s="45"/>
      <c r="L250" s="1026"/>
      <c r="N250" s="49"/>
      <c r="O250" s="45"/>
      <c r="P250" s="1026"/>
      <c r="R250" s="49"/>
      <c r="S250" s="45"/>
      <c r="T250" s="1026"/>
      <c r="V250" s="49"/>
      <c r="W250" s="45"/>
      <c r="X250" s="1026"/>
      <c r="Z250" s="49"/>
      <c r="AA250" s="45"/>
      <c r="AB250" s="1026" t="s">
        <v>1389</v>
      </c>
      <c r="AC250" s="1024"/>
      <c r="AE250" t="s">
        <v>1357</v>
      </c>
      <c r="AF250" s="63">
        <f t="shared" si="25"/>
        <v>2</v>
      </c>
    </row>
    <row r="251" spans="2:34">
      <c r="B251" s="46">
        <v>2</v>
      </c>
      <c r="C251" s="45"/>
      <c r="D251" s="1027"/>
      <c r="F251" s="46">
        <v>2</v>
      </c>
      <c r="G251" s="45"/>
      <c r="H251" s="1027"/>
      <c r="J251" s="46"/>
      <c r="K251" s="45"/>
      <c r="L251" s="1027"/>
      <c r="N251" s="46"/>
      <c r="O251" s="45"/>
      <c r="P251" s="1027"/>
      <c r="R251" s="46"/>
      <c r="S251" s="45"/>
      <c r="T251" s="1027"/>
      <c r="V251" s="46"/>
      <c r="W251" s="45"/>
      <c r="X251" s="1027"/>
      <c r="Z251" s="46"/>
      <c r="AA251" s="45"/>
      <c r="AB251" s="1027"/>
      <c r="AC251" s="1024"/>
      <c r="AE251" t="s">
        <v>1735</v>
      </c>
      <c r="AF251" s="63">
        <f t="shared" si="25"/>
        <v>0</v>
      </c>
    </row>
    <row r="252" spans="2:34">
      <c r="B252" s="46">
        <v>3</v>
      </c>
      <c r="C252" s="45"/>
      <c r="D252" s="1027"/>
      <c r="F252" s="46">
        <v>3</v>
      </c>
      <c r="G252" s="45"/>
      <c r="H252" s="1027"/>
      <c r="J252" s="46"/>
      <c r="K252" s="45"/>
      <c r="L252" s="1027"/>
      <c r="N252" s="46"/>
      <c r="O252" s="45"/>
      <c r="P252" s="1027"/>
      <c r="R252" s="46"/>
      <c r="S252" s="45"/>
      <c r="T252" s="1027"/>
      <c r="V252" s="46"/>
      <c r="W252" s="45"/>
      <c r="X252" s="1027"/>
      <c r="Z252" s="46"/>
      <c r="AA252" s="45"/>
      <c r="AB252" s="1027"/>
      <c r="AC252" s="1024"/>
      <c r="AE252" t="s">
        <v>1730</v>
      </c>
      <c r="AF252" s="63">
        <f t="shared" si="25"/>
        <v>0</v>
      </c>
    </row>
    <row r="253" spans="2:34">
      <c r="B253" s="51">
        <v>4</v>
      </c>
      <c r="C253" s="52"/>
      <c r="D253" s="1028"/>
      <c r="F253" s="51">
        <v>4</v>
      </c>
      <c r="G253" s="52"/>
      <c r="H253" s="1028"/>
      <c r="J253" s="51"/>
      <c r="K253" s="52"/>
      <c r="L253" s="1028"/>
      <c r="N253" s="51"/>
      <c r="O253" s="52"/>
      <c r="P253" s="1028"/>
      <c r="R253" s="51"/>
      <c r="S253" s="45"/>
      <c r="T253" s="1028"/>
      <c r="V253" s="51"/>
      <c r="W253" s="45"/>
      <c r="X253" s="1028"/>
      <c r="Z253" s="51"/>
      <c r="AA253" s="45"/>
      <c r="AB253" s="1028"/>
      <c r="AC253" s="1024"/>
    </row>
    <row r="254" spans="2:34" ht="17" thickBot="1">
      <c r="B254" s="47">
        <v>5</v>
      </c>
      <c r="C254" s="48"/>
      <c r="D254" s="1029"/>
      <c r="F254" s="47">
        <v>5</v>
      </c>
      <c r="G254" s="48"/>
      <c r="H254" s="1029"/>
      <c r="J254" s="47"/>
      <c r="K254" s="48"/>
      <c r="L254" s="1029"/>
      <c r="N254" s="47"/>
      <c r="O254" s="48"/>
      <c r="P254" s="1029"/>
      <c r="R254" s="47"/>
      <c r="S254" s="48"/>
      <c r="T254" s="1029"/>
      <c r="V254" s="47"/>
      <c r="W254" s="48"/>
      <c r="X254" s="1029"/>
      <c r="Z254" s="47"/>
      <c r="AA254" s="48"/>
      <c r="AB254" s="1029"/>
      <c r="AC254" s="1024"/>
    </row>
    <row r="255" spans="2:34" ht="17" thickBot="1"/>
    <row r="256" spans="2:34">
      <c r="B256" s="1036" t="s">
        <v>1781</v>
      </c>
      <c r="C256" s="1037"/>
      <c r="D256" s="1038"/>
      <c r="F256" s="1036" t="s">
        <v>1782</v>
      </c>
      <c r="G256" s="1037"/>
      <c r="H256" s="1038"/>
      <c r="J256" s="1036" t="s">
        <v>1783</v>
      </c>
      <c r="K256" s="1037"/>
      <c r="L256" s="1038"/>
      <c r="N256" s="1036" t="s">
        <v>1784</v>
      </c>
      <c r="O256" s="1037"/>
      <c r="P256" s="1038"/>
      <c r="R256" s="1036" t="s">
        <v>1785</v>
      </c>
      <c r="S256" s="1037"/>
      <c r="T256" s="1038"/>
      <c r="V256" s="1036" t="s">
        <v>1786</v>
      </c>
      <c r="W256" s="1037"/>
      <c r="X256" s="1038"/>
      <c r="Z256" s="1036" t="s">
        <v>1787</v>
      </c>
      <c r="AA256" s="1037"/>
      <c r="AB256" s="1038"/>
      <c r="AC256" s="1024" t="s">
        <v>0</v>
      </c>
      <c r="AE256" s="80" t="s">
        <v>1729</v>
      </c>
      <c r="AF256" s="81">
        <f>COUNTIF($B$257:$AB$265,AE256)</f>
        <v>3</v>
      </c>
      <c r="AG256" s="86"/>
      <c r="AH256" s="90"/>
    </row>
    <row r="257" spans="2:34" ht="16" customHeight="1">
      <c r="B257" s="46">
        <v>1</v>
      </c>
      <c r="C257" s="45"/>
      <c r="D257" s="1027" t="s">
        <v>119</v>
      </c>
      <c r="F257" s="46">
        <v>1</v>
      </c>
      <c r="G257" s="45" t="s">
        <v>1729</v>
      </c>
      <c r="H257" s="1027" t="s">
        <v>119</v>
      </c>
      <c r="J257" s="46">
        <v>1</v>
      </c>
      <c r="K257" s="45" t="s">
        <v>1732</v>
      </c>
      <c r="L257" s="1027" t="s">
        <v>119</v>
      </c>
      <c r="N257" s="46">
        <v>1</v>
      </c>
      <c r="O257" s="45" t="s">
        <v>1772</v>
      </c>
      <c r="P257" s="1027" t="s">
        <v>119</v>
      </c>
      <c r="R257" s="46">
        <v>1</v>
      </c>
      <c r="S257" s="45" t="s">
        <v>1357</v>
      </c>
      <c r="T257" s="1027" t="s">
        <v>119</v>
      </c>
      <c r="V257" s="46">
        <v>1</v>
      </c>
      <c r="W257" s="45" t="s">
        <v>1772</v>
      </c>
      <c r="X257" s="1027" t="s">
        <v>119</v>
      </c>
      <c r="Z257" s="46">
        <v>1</v>
      </c>
      <c r="AA257" s="45" t="s">
        <v>1731</v>
      </c>
      <c r="AB257" s="1027" t="s">
        <v>119</v>
      </c>
      <c r="AC257" s="1024"/>
      <c r="AE257" s="78" t="s">
        <v>1732</v>
      </c>
      <c r="AF257" s="79">
        <f t="shared" ref="AF257:AF263" si="26">COUNTIF($B$257:$AB$265,AE257)</f>
        <v>2</v>
      </c>
      <c r="AG257" s="86"/>
      <c r="AH257" s="90"/>
    </row>
    <row r="258" spans="2:34">
      <c r="B258" s="46">
        <v>2</v>
      </c>
      <c r="C258" s="45"/>
      <c r="D258" s="1027"/>
      <c r="F258" s="46">
        <v>2</v>
      </c>
      <c r="G258" s="45" t="s">
        <v>1357</v>
      </c>
      <c r="H258" s="1027"/>
      <c r="J258" s="46">
        <v>2</v>
      </c>
      <c r="K258" s="45" t="s">
        <v>1729</v>
      </c>
      <c r="L258" s="1027"/>
      <c r="N258" s="46">
        <v>2</v>
      </c>
      <c r="O258" s="45" t="s">
        <v>1731</v>
      </c>
      <c r="P258" s="1027"/>
      <c r="R258" s="46">
        <v>2</v>
      </c>
      <c r="S258" s="45" t="s">
        <v>1732</v>
      </c>
      <c r="T258" s="1027"/>
      <c r="V258" s="46">
        <v>2</v>
      </c>
      <c r="W258" s="45" t="s">
        <v>1729</v>
      </c>
      <c r="X258" s="1027"/>
      <c r="Z258" s="46">
        <v>2</v>
      </c>
      <c r="AA258" s="45" t="s">
        <v>1357</v>
      </c>
      <c r="AB258" s="1027"/>
      <c r="AC258" s="1024"/>
      <c r="AE258" s="80" t="s">
        <v>1772</v>
      </c>
      <c r="AF258" s="81">
        <f t="shared" si="26"/>
        <v>2</v>
      </c>
      <c r="AG258" s="86"/>
      <c r="AH258" s="90"/>
    </row>
    <row r="259" spans="2:34">
      <c r="B259" s="46">
        <v>3</v>
      </c>
      <c r="C259" s="45"/>
      <c r="D259" s="1027"/>
      <c r="F259" s="46">
        <v>3</v>
      </c>
      <c r="G259" s="45"/>
      <c r="H259" s="1027"/>
      <c r="J259" s="46">
        <v>3</v>
      </c>
      <c r="K259" s="45"/>
      <c r="L259" s="1027"/>
      <c r="N259" s="46">
        <v>3</v>
      </c>
      <c r="O259" s="45"/>
      <c r="P259" s="1027"/>
      <c r="R259" s="46">
        <v>3</v>
      </c>
      <c r="S259" s="45"/>
      <c r="T259" s="1027"/>
      <c r="V259" s="46">
        <v>3</v>
      </c>
      <c r="W259" s="45"/>
      <c r="X259" s="1027"/>
      <c r="Z259" s="46">
        <v>3</v>
      </c>
      <c r="AA259" s="45"/>
      <c r="AB259" s="1027"/>
      <c r="AC259" s="1024"/>
      <c r="AE259" s="74" t="s">
        <v>1733</v>
      </c>
      <c r="AF259" s="82">
        <f t="shared" si="26"/>
        <v>0</v>
      </c>
      <c r="AG259" s="1025" t="s">
        <v>1412</v>
      </c>
      <c r="AH259" s="1025"/>
    </row>
    <row r="260" spans="2:34" ht="17" thickBot="1">
      <c r="B260" s="47">
        <v>4</v>
      </c>
      <c r="C260" s="48"/>
      <c r="D260" s="1029"/>
      <c r="F260" s="47">
        <v>4</v>
      </c>
      <c r="G260" s="48"/>
      <c r="H260" s="1029"/>
      <c r="J260" s="47">
        <v>4</v>
      </c>
      <c r="K260" s="48"/>
      <c r="L260" s="1029"/>
      <c r="N260" s="47">
        <v>4</v>
      </c>
      <c r="O260" s="48"/>
      <c r="P260" s="1029"/>
      <c r="R260" s="47">
        <v>4</v>
      </c>
      <c r="S260" s="48"/>
      <c r="T260" s="1029"/>
      <c r="V260" s="47">
        <v>4</v>
      </c>
      <c r="W260" s="48"/>
      <c r="X260" s="1029"/>
      <c r="Z260" s="47">
        <v>4</v>
      </c>
      <c r="AA260" s="48"/>
      <c r="AB260" s="1029"/>
      <c r="AC260" s="1024"/>
      <c r="AE260" s="80" t="s">
        <v>1731</v>
      </c>
      <c r="AF260" s="81">
        <f t="shared" si="26"/>
        <v>2</v>
      </c>
      <c r="AG260" s="86"/>
      <c r="AH260" s="90"/>
    </row>
    <row r="261" spans="2:34" ht="16" customHeight="1">
      <c r="B261" s="49">
        <v>1</v>
      </c>
      <c r="C261" s="45"/>
      <c r="D261" s="1026" t="s">
        <v>1389</v>
      </c>
      <c r="F261" s="49">
        <v>1</v>
      </c>
      <c r="G261" s="50"/>
      <c r="H261" s="1026"/>
      <c r="J261" s="49">
        <v>1</v>
      </c>
      <c r="K261" s="45"/>
      <c r="L261" s="1026"/>
      <c r="N261" s="49">
        <v>1</v>
      </c>
      <c r="O261" s="45"/>
      <c r="P261" s="1026"/>
      <c r="R261" s="49">
        <v>1</v>
      </c>
      <c r="S261" s="45"/>
      <c r="T261" s="1026"/>
      <c r="V261" s="49">
        <v>1</v>
      </c>
      <c r="W261" s="45"/>
      <c r="X261" s="1026"/>
      <c r="Z261" s="49">
        <v>1</v>
      </c>
      <c r="AA261" s="45"/>
      <c r="AB261" s="1026" t="s">
        <v>1389</v>
      </c>
      <c r="AC261" s="1024"/>
      <c r="AE261" s="80" t="s">
        <v>1357</v>
      </c>
      <c r="AF261" s="81">
        <f t="shared" si="26"/>
        <v>3</v>
      </c>
      <c r="AG261" s="86"/>
      <c r="AH261" s="90"/>
    </row>
    <row r="262" spans="2:34">
      <c r="B262" s="46">
        <v>2</v>
      </c>
      <c r="C262" s="45"/>
      <c r="D262" s="1027"/>
      <c r="F262" s="46">
        <v>2</v>
      </c>
      <c r="G262" s="45"/>
      <c r="H262" s="1027"/>
      <c r="J262" s="46">
        <v>2</v>
      </c>
      <c r="K262" s="45"/>
      <c r="L262" s="1027"/>
      <c r="N262" s="46">
        <v>2</v>
      </c>
      <c r="O262" s="45"/>
      <c r="P262" s="1027"/>
      <c r="R262" s="46">
        <v>2</v>
      </c>
      <c r="S262" s="45"/>
      <c r="T262" s="1027"/>
      <c r="V262" s="46">
        <v>2</v>
      </c>
      <c r="W262" s="45"/>
      <c r="X262" s="1027"/>
      <c r="Z262" s="46">
        <v>2</v>
      </c>
      <c r="AA262" s="45"/>
      <c r="AB262" s="1027"/>
      <c r="AC262" s="1024"/>
      <c r="AE262" s="80" t="s">
        <v>1735</v>
      </c>
      <c r="AF262" s="81">
        <f t="shared" si="26"/>
        <v>0</v>
      </c>
      <c r="AG262" s="86"/>
      <c r="AH262" s="90"/>
    </row>
    <row r="263" spans="2:34">
      <c r="B263" s="46">
        <v>3</v>
      </c>
      <c r="C263" s="45"/>
      <c r="D263" s="1027"/>
      <c r="F263" s="46">
        <v>3</v>
      </c>
      <c r="G263" s="45"/>
      <c r="H263" s="1027"/>
      <c r="J263" s="46">
        <v>3</v>
      </c>
      <c r="K263" s="45"/>
      <c r="L263" s="1027"/>
      <c r="N263" s="46">
        <v>3</v>
      </c>
      <c r="O263" s="45"/>
      <c r="P263" s="1027"/>
      <c r="R263" s="46">
        <v>3</v>
      </c>
      <c r="S263" s="45"/>
      <c r="T263" s="1027"/>
      <c r="V263" s="46">
        <v>3</v>
      </c>
      <c r="W263" s="45"/>
      <c r="X263" s="1027"/>
      <c r="Z263" s="46">
        <v>3</v>
      </c>
      <c r="AA263" s="45"/>
      <c r="AB263" s="1027"/>
      <c r="AC263" s="1024"/>
      <c r="AE263" s="80" t="s">
        <v>1730</v>
      </c>
      <c r="AF263" s="81">
        <f t="shared" si="26"/>
        <v>0</v>
      </c>
      <c r="AG263" s="86"/>
      <c r="AH263" s="90"/>
    </row>
    <row r="264" spans="2:34">
      <c r="B264" s="51">
        <v>4</v>
      </c>
      <c r="C264" s="52"/>
      <c r="D264" s="1028"/>
      <c r="F264" s="51">
        <v>4</v>
      </c>
      <c r="G264" s="52"/>
      <c r="H264" s="1028"/>
      <c r="J264" s="51">
        <v>4</v>
      </c>
      <c r="K264" s="52"/>
      <c r="L264" s="1028"/>
      <c r="N264" s="51">
        <v>4</v>
      </c>
      <c r="O264" s="52"/>
      <c r="P264" s="1028"/>
      <c r="R264" s="51">
        <v>4</v>
      </c>
      <c r="S264" s="45"/>
      <c r="T264" s="1028"/>
      <c r="V264" s="51">
        <v>4</v>
      </c>
      <c r="W264" s="45"/>
      <c r="X264" s="1028"/>
      <c r="Z264" s="51">
        <v>4</v>
      </c>
      <c r="AA264" s="45"/>
      <c r="AB264" s="1028"/>
      <c r="AC264" s="1024"/>
      <c r="AF264" s="81"/>
    </row>
    <row r="265" spans="2:34" ht="17" thickBot="1">
      <c r="B265" s="47">
        <v>5</v>
      </c>
      <c r="C265" s="48"/>
      <c r="D265" s="1029"/>
      <c r="F265" s="47">
        <v>5</v>
      </c>
      <c r="G265" s="48"/>
      <c r="H265" s="1029"/>
      <c r="J265" s="47">
        <v>5</v>
      </c>
      <c r="K265" s="48"/>
      <c r="L265" s="1029"/>
      <c r="N265" s="47">
        <v>5</v>
      </c>
      <c r="O265" s="48"/>
      <c r="P265" s="1029"/>
      <c r="R265" s="47">
        <v>5</v>
      </c>
      <c r="S265" s="48"/>
      <c r="T265" s="1029"/>
      <c r="V265" s="47">
        <v>5</v>
      </c>
      <c r="W265" s="48"/>
      <c r="X265" s="1029"/>
      <c r="Z265" s="47">
        <v>5</v>
      </c>
      <c r="AA265" s="48"/>
      <c r="AB265" s="1029"/>
      <c r="AC265" s="1024"/>
    </row>
    <row r="266" spans="2:34" ht="17" thickBot="1"/>
    <row r="267" spans="2:34">
      <c r="B267" s="1036" t="s">
        <v>1788</v>
      </c>
      <c r="C267" s="1037"/>
      <c r="D267" s="1038"/>
      <c r="F267" s="1036" t="s">
        <v>1789</v>
      </c>
      <c r="G267" s="1037"/>
      <c r="H267" s="1038"/>
      <c r="J267" s="1036" t="s">
        <v>1790</v>
      </c>
      <c r="K267" s="1037"/>
      <c r="L267" s="1038"/>
      <c r="N267" s="1036" t="s">
        <v>1791</v>
      </c>
      <c r="O267" s="1037"/>
      <c r="P267" s="1038"/>
      <c r="R267" s="1036" t="s">
        <v>1792</v>
      </c>
      <c r="S267" s="1037"/>
      <c r="T267" s="1038"/>
      <c r="V267" s="1036" t="s">
        <v>1793</v>
      </c>
      <c r="W267" s="1037"/>
      <c r="X267" s="1038"/>
      <c r="Z267" s="1036" t="s">
        <v>1794</v>
      </c>
      <c r="AA267" s="1037"/>
      <c r="AB267" s="1038"/>
      <c r="AC267" s="1024" t="s">
        <v>0</v>
      </c>
      <c r="AE267" s="80" t="s">
        <v>1729</v>
      </c>
      <c r="AF267" s="81">
        <f>COUNTIF($C$268:$AA$276,AE267)</f>
        <v>6</v>
      </c>
    </row>
    <row r="268" spans="2:34" ht="16" customHeight="1">
      <c r="B268" s="46">
        <v>1</v>
      </c>
      <c r="C268" s="45"/>
      <c r="D268" s="1027" t="s">
        <v>119</v>
      </c>
      <c r="F268" s="46">
        <v>1</v>
      </c>
      <c r="G268" s="45" t="s">
        <v>1357</v>
      </c>
      <c r="H268" s="1027" t="s">
        <v>119</v>
      </c>
      <c r="J268" s="46">
        <v>1</v>
      </c>
      <c r="K268" s="45" t="s">
        <v>1731</v>
      </c>
      <c r="L268" s="1027" t="s">
        <v>119</v>
      </c>
      <c r="N268" s="46">
        <v>1</v>
      </c>
      <c r="O268" s="45" t="s">
        <v>1731</v>
      </c>
      <c r="P268" s="1027" t="s">
        <v>119</v>
      </c>
      <c r="R268" s="46">
        <v>1</v>
      </c>
      <c r="S268" s="45" t="s">
        <v>1731</v>
      </c>
      <c r="T268" s="1027" t="s">
        <v>119</v>
      </c>
      <c r="V268" s="46">
        <v>1</v>
      </c>
      <c r="W268" s="45" t="s">
        <v>1731</v>
      </c>
      <c r="X268" s="1027" t="s">
        <v>119</v>
      </c>
      <c r="Z268" s="46">
        <v>1</v>
      </c>
      <c r="AA268" s="45" t="s">
        <v>1731</v>
      </c>
      <c r="AB268" s="1027" t="s">
        <v>119</v>
      </c>
      <c r="AC268" s="1024"/>
      <c r="AE268" s="80" t="s">
        <v>1732</v>
      </c>
      <c r="AF268" s="81">
        <f t="shared" ref="AF268:AF273" si="27">COUNTIF($C$268:$AA$276,AE268)</f>
        <v>6</v>
      </c>
    </row>
    <row r="269" spans="2:34">
      <c r="B269" s="46">
        <v>2</v>
      </c>
      <c r="C269" s="45"/>
      <c r="D269" s="1027"/>
      <c r="F269" s="46">
        <v>2</v>
      </c>
      <c r="G269" s="45" t="s">
        <v>1772</v>
      </c>
      <c r="H269" s="1027"/>
      <c r="J269" s="46">
        <v>2</v>
      </c>
      <c r="K269" s="45" t="s">
        <v>1772</v>
      </c>
      <c r="L269" s="1027"/>
      <c r="N269" s="46">
        <v>2</v>
      </c>
      <c r="O269" s="45" t="s">
        <v>1733</v>
      </c>
      <c r="P269" s="1027"/>
      <c r="R269" s="46">
        <v>2</v>
      </c>
      <c r="S269" s="45" t="s">
        <v>1357</v>
      </c>
      <c r="T269" s="1027"/>
      <c r="V269" s="46">
        <v>2</v>
      </c>
      <c r="W269" s="45" t="s">
        <v>1733</v>
      </c>
      <c r="X269" s="1027"/>
      <c r="Z269" s="46">
        <v>2</v>
      </c>
      <c r="AA269" s="45" t="s">
        <v>1733</v>
      </c>
      <c r="AB269" s="1027"/>
      <c r="AC269" s="1024"/>
      <c r="AE269" s="80" t="s">
        <v>1772</v>
      </c>
      <c r="AF269" s="81">
        <f t="shared" si="27"/>
        <v>6</v>
      </c>
    </row>
    <row r="270" spans="2:34">
      <c r="B270" s="46">
        <v>3</v>
      </c>
      <c r="C270" s="45"/>
      <c r="D270" s="1027"/>
      <c r="F270" s="46">
        <v>3</v>
      </c>
      <c r="G270" s="45" t="s">
        <v>1764</v>
      </c>
      <c r="H270" s="1027"/>
      <c r="J270" s="46">
        <v>3</v>
      </c>
      <c r="K270" s="45" t="s">
        <v>1764</v>
      </c>
      <c r="L270" s="1027"/>
      <c r="N270" s="46">
        <v>3</v>
      </c>
      <c r="O270" s="45" t="s">
        <v>1764</v>
      </c>
      <c r="P270" s="1027"/>
      <c r="R270" s="46">
        <v>3</v>
      </c>
      <c r="S270" s="45" t="s">
        <v>1764</v>
      </c>
      <c r="T270" s="1027"/>
      <c r="V270" s="46">
        <v>3</v>
      </c>
      <c r="W270" s="45" t="s">
        <v>1764</v>
      </c>
      <c r="X270" s="1027"/>
      <c r="Z270" s="46">
        <v>3</v>
      </c>
      <c r="AA270" s="45" t="s">
        <v>1764</v>
      </c>
      <c r="AB270" s="1027"/>
      <c r="AC270" s="1024"/>
      <c r="AE270" s="80" t="s">
        <v>1731</v>
      </c>
      <c r="AF270" s="81">
        <f t="shared" si="27"/>
        <v>5</v>
      </c>
    </row>
    <row r="271" spans="2:34" ht="17" thickBot="1">
      <c r="B271" s="47">
        <v>4</v>
      </c>
      <c r="C271" s="48"/>
      <c r="D271" s="1029"/>
      <c r="F271" s="47">
        <v>4</v>
      </c>
      <c r="G271" s="48"/>
      <c r="H271" s="1029"/>
      <c r="J271" s="47">
        <v>4</v>
      </c>
      <c r="K271" s="48"/>
      <c r="L271" s="1029"/>
      <c r="N271" s="47">
        <v>4</v>
      </c>
      <c r="O271" s="48"/>
      <c r="P271" s="1029"/>
      <c r="R271" s="47">
        <v>4</v>
      </c>
      <c r="S271" s="48"/>
      <c r="T271" s="1029"/>
      <c r="V271" s="47">
        <v>4</v>
      </c>
      <c r="W271" s="48"/>
      <c r="X271" s="1029"/>
      <c r="Z271" s="47">
        <v>4</v>
      </c>
      <c r="AA271" s="48"/>
      <c r="AB271" s="1029"/>
      <c r="AC271" s="1024"/>
      <c r="AE271" s="80" t="s">
        <v>1733</v>
      </c>
      <c r="AF271" s="81">
        <f t="shared" si="27"/>
        <v>3</v>
      </c>
    </row>
    <row r="272" spans="2:34" ht="16" customHeight="1">
      <c r="B272" s="49">
        <v>1</v>
      </c>
      <c r="C272" s="45" t="s">
        <v>1729</v>
      </c>
      <c r="D272" s="1026" t="s">
        <v>1389</v>
      </c>
      <c r="F272" s="49">
        <v>1</v>
      </c>
      <c r="G272" s="50" t="s">
        <v>1729</v>
      </c>
      <c r="H272" s="1026" t="s">
        <v>1389</v>
      </c>
      <c r="J272" s="49">
        <v>1</v>
      </c>
      <c r="K272" s="50" t="s">
        <v>1357</v>
      </c>
      <c r="L272" s="1026" t="s">
        <v>1389</v>
      </c>
      <c r="N272" s="49">
        <v>1</v>
      </c>
      <c r="O272" s="50" t="s">
        <v>1729</v>
      </c>
      <c r="P272" s="1026" t="s">
        <v>1389</v>
      </c>
      <c r="R272" s="49">
        <v>1</v>
      </c>
      <c r="S272" s="45" t="s">
        <v>1729</v>
      </c>
      <c r="T272" s="1026" t="s">
        <v>1389</v>
      </c>
      <c r="V272" s="49">
        <v>1</v>
      </c>
      <c r="W272" s="45" t="s">
        <v>1729</v>
      </c>
      <c r="X272" s="1026" t="s">
        <v>1389</v>
      </c>
      <c r="Z272" s="49">
        <v>1</v>
      </c>
      <c r="AA272" s="45" t="s">
        <v>1729</v>
      </c>
      <c r="AB272" s="1026" t="s">
        <v>1389</v>
      </c>
      <c r="AC272" s="1024"/>
      <c r="AE272" s="80" t="s">
        <v>1357</v>
      </c>
      <c r="AF272" s="81">
        <f t="shared" si="27"/>
        <v>3</v>
      </c>
    </row>
    <row r="273" spans="2:32">
      <c r="B273" s="46">
        <v>2</v>
      </c>
      <c r="C273" s="45" t="s">
        <v>1732</v>
      </c>
      <c r="D273" s="1027"/>
      <c r="F273" s="46">
        <v>2</v>
      </c>
      <c r="G273" s="45" t="s">
        <v>1732</v>
      </c>
      <c r="H273" s="1027"/>
      <c r="J273" s="46">
        <v>2</v>
      </c>
      <c r="K273" s="45" t="s">
        <v>1732</v>
      </c>
      <c r="L273" s="1027"/>
      <c r="N273" s="46">
        <v>2</v>
      </c>
      <c r="O273" s="45" t="s">
        <v>1772</v>
      </c>
      <c r="P273" s="1027"/>
      <c r="R273" s="46">
        <v>2</v>
      </c>
      <c r="S273" s="45" t="s">
        <v>1732</v>
      </c>
      <c r="T273" s="1027"/>
      <c r="V273" s="46">
        <v>2</v>
      </c>
      <c r="W273" s="45" t="s">
        <v>1732</v>
      </c>
      <c r="X273" s="1027"/>
      <c r="Z273" s="46">
        <v>2</v>
      </c>
      <c r="AA273" s="45" t="s">
        <v>1732</v>
      </c>
      <c r="AB273" s="1027"/>
      <c r="AC273" s="1024"/>
      <c r="AE273" s="80" t="s">
        <v>1735</v>
      </c>
      <c r="AF273" s="81">
        <f t="shared" si="27"/>
        <v>3</v>
      </c>
    </row>
    <row r="274" spans="2:32">
      <c r="B274" s="46">
        <v>3</v>
      </c>
      <c r="C274" s="45"/>
      <c r="D274" s="1027"/>
      <c r="F274" s="46">
        <v>3</v>
      </c>
      <c r="G274" s="45"/>
      <c r="H274" s="1027"/>
      <c r="J274" s="46">
        <v>3</v>
      </c>
      <c r="K274" s="45"/>
      <c r="L274" s="1027"/>
      <c r="N274" s="46">
        <v>3</v>
      </c>
      <c r="O274" s="45"/>
      <c r="P274" s="1027"/>
      <c r="R274" s="46">
        <v>3</v>
      </c>
      <c r="S274" s="45" t="s">
        <v>1772</v>
      </c>
      <c r="T274" s="1027"/>
      <c r="V274" s="46">
        <v>3</v>
      </c>
      <c r="W274" s="45" t="s">
        <v>1772</v>
      </c>
      <c r="X274" s="1027"/>
      <c r="Z274" s="46">
        <v>3</v>
      </c>
      <c r="AA274" s="45" t="s">
        <v>1772</v>
      </c>
      <c r="AB274" s="1027"/>
      <c r="AC274" s="1024"/>
      <c r="AE274" s="80" t="s">
        <v>1730</v>
      </c>
      <c r="AF274" s="81">
        <f>COUNTIF($C$268:$AA$276,AE274)</f>
        <v>0</v>
      </c>
    </row>
    <row r="275" spans="2:32">
      <c r="B275" s="51">
        <v>4</v>
      </c>
      <c r="C275" s="52"/>
      <c r="D275" s="1028"/>
      <c r="F275" s="51">
        <v>4</v>
      </c>
      <c r="G275" s="52"/>
      <c r="H275" s="1028"/>
      <c r="J275" s="51">
        <v>4</v>
      </c>
      <c r="K275" s="52"/>
      <c r="L275" s="1028"/>
      <c r="N275" s="51">
        <v>4</v>
      </c>
      <c r="O275" s="52"/>
      <c r="P275" s="1028"/>
      <c r="R275" s="51">
        <v>4</v>
      </c>
      <c r="S275" s="45" t="s">
        <v>1735</v>
      </c>
      <c r="T275" s="1028"/>
      <c r="V275" s="51">
        <v>4</v>
      </c>
      <c r="W275" s="45" t="s">
        <v>1735</v>
      </c>
      <c r="X275" s="1028"/>
      <c r="Z275" s="51">
        <v>4</v>
      </c>
      <c r="AA275" s="45" t="s">
        <v>1735</v>
      </c>
      <c r="AB275" s="1028"/>
      <c r="AC275" s="1024"/>
    </row>
    <row r="276" spans="2:32" ht="17" thickBot="1">
      <c r="B276" s="47">
        <v>5</v>
      </c>
      <c r="C276" s="48"/>
      <c r="D276" s="1029"/>
      <c r="F276" s="47">
        <v>5</v>
      </c>
      <c r="G276" s="48"/>
      <c r="H276" s="1029"/>
      <c r="J276" s="47">
        <v>5</v>
      </c>
      <c r="K276" s="48"/>
      <c r="L276" s="1029"/>
      <c r="N276" s="47">
        <v>5</v>
      </c>
      <c r="O276" s="48"/>
      <c r="P276" s="1029"/>
      <c r="R276" s="47">
        <v>5</v>
      </c>
      <c r="S276" s="70"/>
      <c r="T276" s="1029"/>
      <c r="V276" s="47">
        <v>5</v>
      </c>
      <c r="W276" s="70"/>
      <c r="X276" s="1029"/>
      <c r="Z276" s="47">
        <v>5</v>
      </c>
      <c r="AA276" s="70"/>
      <c r="AB276" s="1029"/>
      <c r="AC276" s="1024"/>
    </row>
    <row r="277" spans="2:32" ht="17" thickBot="1"/>
    <row r="278" spans="2:32">
      <c r="B278" s="1036" t="s">
        <v>1795</v>
      </c>
      <c r="C278" s="1037"/>
      <c r="D278" s="1038"/>
      <c r="F278" s="1036" t="s">
        <v>1796</v>
      </c>
      <c r="G278" s="1037"/>
      <c r="H278" s="1038"/>
      <c r="J278" s="1036" t="s">
        <v>1797</v>
      </c>
      <c r="K278" s="1037"/>
      <c r="L278" s="1038"/>
      <c r="N278" s="1036" t="s">
        <v>1798</v>
      </c>
      <c r="O278" s="1037"/>
      <c r="P278" s="1038"/>
      <c r="R278" s="1036" t="s">
        <v>1799</v>
      </c>
      <c r="S278" s="1037"/>
      <c r="T278" s="1038"/>
      <c r="V278" s="1036" t="s">
        <v>1800</v>
      </c>
      <c r="W278" s="1037"/>
      <c r="X278" s="1038"/>
      <c r="Z278" s="1036" t="s">
        <v>1801</v>
      </c>
      <c r="AA278" s="1037"/>
      <c r="AB278" s="1038"/>
      <c r="AC278" s="1024" t="s">
        <v>0</v>
      </c>
      <c r="AE278" s="80" t="s">
        <v>1729</v>
      </c>
      <c r="AF278" s="81">
        <f>COUNTIF($B$279:$AA$287,AE278)</f>
        <v>6</v>
      </c>
    </row>
    <row r="279" spans="2:32" ht="16" customHeight="1">
      <c r="B279" s="46">
        <v>1</v>
      </c>
      <c r="C279" s="45"/>
      <c r="D279" s="1027" t="s">
        <v>119</v>
      </c>
      <c r="F279" s="46">
        <v>1</v>
      </c>
      <c r="G279" s="45" t="s">
        <v>1731</v>
      </c>
      <c r="H279" s="1027" t="s">
        <v>119</v>
      </c>
      <c r="J279" s="46">
        <v>1</v>
      </c>
      <c r="K279" s="45" t="s">
        <v>1357</v>
      </c>
      <c r="L279" s="1027" t="s">
        <v>119</v>
      </c>
      <c r="N279" s="46">
        <v>1</v>
      </c>
      <c r="O279" s="45" t="s">
        <v>1731</v>
      </c>
      <c r="P279" s="1027" t="s">
        <v>119</v>
      </c>
      <c r="R279" s="46">
        <v>1</v>
      </c>
      <c r="S279" s="45" t="s">
        <v>1731</v>
      </c>
      <c r="T279" s="1027" t="s">
        <v>119</v>
      </c>
      <c r="V279" s="46">
        <v>1</v>
      </c>
      <c r="W279" s="45" t="s">
        <v>1731</v>
      </c>
      <c r="X279" s="1027" t="s">
        <v>119</v>
      </c>
      <c r="Z279" s="46">
        <v>1</v>
      </c>
      <c r="AA279" s="45" t="s">
        <v>1731</v>
      </c>
      <c r="AB279" s="1027" t="s">
        <v>119</v>
      </c>
      <c r="AC279" s="1024"/>
      <c r="AE279" s="80" t="s">
        <v>1732</v>
      </c>
      <c r="AF279" s="81">
        <f t="shared" ref="AF279:AF285" si="28">COUNTIF($B$279:$AA$287,AE279)</f>
        <v>5</v>
      </c>
    </row>
    <row r="280" spans="2:32">
      <c r="B280" s="46">
        <v>2</v>
      </c>
      <c r="C280" s="45"/>
      <c r="D280" s="1027"/>
      <c r="F280" s="46">
        <v>2</v>
      </c>
      <c r="G280" s="45" t="s">
        <v>1357</v>
      </c>
      <c r="H280" s="1027"/>
      <c r="J280" s="46">
        <v>2</v>
      </c>
      <c r="K280" s="45" t="s">
        <v>1733</v>
      </c>
      <c r="L280" s="1027"/>
      <c r="N280" s="46">
        <v>2</v>
      </c>
      <c r="O280" s="45" t="s">
        <v>1733</v>
      </c>
      <c r="P280" s="1027"/>
      <c r="R280" s="46">
        <v>2</v>
      </c>
      <c r="S280" s="45" t="s">
        <v>1357</v>
      </c>
      <c r="T280" s="1027"/>
      <c r="V280" s="46">
        <v>2</v>
      </c>
      <c r="W280" s="45" t="s">
        <v>1733</v>
      </c>
      <c r="X280" s="1027"/>
      <c r="Z280" s="46">
        <v>2</v>
      </c>
      <c r="AA280" s="45" t="s">
        <v>1733</v>
      </c>
      <c r="AB280" s="1027"/>
      <c r="AC280" s="1024"/>
      <c r="AE280" s="80" t="s">
        <v>1772</v>
      </c>
      <c r="AF280" s="81">
        <f t="shared" si="28"/>
        <v>5</v>
      </c>
    </row>
    <row r="281" spans="2:32">
      <c r="B281" s="46">
        <v>3</v>
      </c>
      <c r="C281" s="45"/>
      <c r="D281" s="1027"/>
      <c r="F281" s="46">
        <v>3</v>
      </c>
      <c r="G281" s="45" t="s">
        <v>1764</v>
      </c>
      <c r="H281" s="1027"/>
      <c r="J281" s="46">
        <v>3</v>
      </c>
      <c r="K281" s="45" t="s">
        <v>1764</v>
      </c>
      <c r="L281" s="1027"/>
      <c r="N281" s="46">
        <v>3</v>
      </c>
      <c r="O281" s="45" t="s">
        <v>1764</v>
      </c>
      <c r="P281" s="1027"/>
      <c r="R281" s="46">
        <v>3</v>
      </c>
      <c r="S281" s="45" t="s">
        <v>1764</v>
      </c>
      <c r="T281" s="1027"/>
      <c r="V281" s="46">
        <v>3</v>
      </c>
      <c r="W281" s="45" t="s">
        <v>1764</v>
      </c>
      <c r="X281" s="1027"/>
      <c r="Z281" s="46">
        <v>3</v>
      </c>
      <c r="AA281" s="45" t="s">
        <v>1764</v>
      </c>
      <c r="AB281" s="1027"/>
      <c r="AC281" s="1024"/>
      <c r="AE281" s="80" t="s">
        <v>1731</v>
      </c>
      <c r="AF281" s="81">
        <f t="shared" si="28"/>
        <v>5</v>
      </c>
    </row>
    <row r="282" spans="2:32" ht="17" thickBot="1">
      <c r="B282" s="47">
        <v>4</v>
      </c>
      <c r="C282" s="48"/>
      <c r="D282" s="1029"/>
      <c r="F282" s="47">
        <v>4</v>
      </c>
      <c r="G282" s="48"/>
      <c r="H282" s="1029"/>
      <c r="J282" s="47">
        <v>4</v>
      </c>
      <c r="K282" s="48"/>
      <c r="L282" s="1029"/>
      <c r="N282" s="47">
        <v>4</v>
      </c>
      <c r="O282" s="48"/>
      <c r="P282" s="1029"/>
      <c r="R282" s="47">
        <v>4</v>
      </c>
      <c r="S282" s="48"/>
      <c r="T282" s="1029"/>
      <c r="V282" s="47">
        <v>4</v>
      </c>
      <c r="W282" s="48"/>
      <c r="X282" s="1029"/>
      <c r="Z282" s="47">
        <v>4</v>
      </c>
      <c r="AA282" s="48"/>
      <c r="AB282" s="1029"/>
      <c r="AC282" s="1024"/>
      <c r="AE282" s="80" t="s">
        <v>1733</v>
      </c>
      <c r="AF282" s="81">
        <f t="shared" si="28"/>
        <v>5</v>
      </c>
    </row>
    <row r="283" spans="2:32" ht="16" customHeight="1">
      <c r="B283" s="49">
        <v>1</v>
      </c>
      <c r="C283" s="45" t="s">
        <v>1729</v>
      </c>
      <c r="D283" s="1026" t="s">
        <v>1389</v>
      </c>
      <c r="F283" s="49">
        <v>1</v>
      </c>
      <c r="G283" s="50" t="s">
        <v>1729</v>
      </c>
      <c r="H283" s="1026" t="s">
        <v>1389</v>
      </c>
      <c r="J283" s="49">
        <v>1</v>
      </c>
      <c r="K283" s="50" t="s">
        <v>1772</v>
      </c>
      <c r="L283" s="1026" t="s">
        <v>1389</v>
      </c>
      <c r="N283" s="49">
        <v>1</v>
      </c>
      <c r="O283" s="50" t="s">
        <v>1729</v>
      </c>
      <c r="P283" s="1026" t="s">
        <v>1389</v>
      </c>
      <c r="R283" s="49">
        <v>1</v>
      </c>
      <c r="S283" s="45" t="s">
        <v>1729</v>
      </c>
      <c r="T283" s="1026" t="s">
        <v>1389</v>
      </c>
      <c r="V283" s="49">
        <v>1</v>
      </c>
      <c r="W283" s="45" t="s">
        <v>1729</v>
      </c>
      <c r="X283" s="1026" t="s">
        <v>1389</v>
      </c>
      <c r="Z283" s="49">
        <v>1</v>
      </c>
      <c r="AA283" s="45" t="s">
        <v>1729</v>
      </c>
      <c r="AB283" s="1026" t="s">
        <v>1389</v>
      </c>
      <c r="AC283" s="1024"/>
      <c r="AE283" s="80" t="s">
        <v>1357</v>
      </c>
      <c r="AF283" s="81">
        <f t="shared" si="28"/>
        <v>3</v>
      </c>
    </row>
    <row r="284" spans="2:32">
      <c r="B284" s="46">
        <v>2</v>
      </c>
      <c r="C284" s="45" t="s">
        <v>1772</v>
      </c>
      <c r="D284" s="1027"/>
      <c r="F284" s="46">
        <v>2</v>
      </c>
      <c r="G284" s="45" t="s">
        <v>1733</v>
      </c>
      <c r="H284" s="1027"/>
      <c r="J284" s="46">
        <v>2</v>
      </c>
      <c r="K284" s="45" t="s">
        <v>1732</v>
      </c>
      <c r="L284" s="1027"/>
      <c r="N284" s="46">
        <v>2</v>
      </c>
      <c r="O284" s="45" t="s">
        <v>1732</v>
      </c>
      <c r="P284" s="1027"/>
      <c r="R284" s="46">
        <v>2</v>
      </c>
      <c r="S284" s="45" t="s">
        <v>1732</v>
      </c>
      <c r="T284" s="1027"/>
      <c r="V284" s="46">
        <v>2</v>
      </c>
      <c r="W284" s="45" t="s">
        <v>1732</v>
      </c>
      <c r="X284" s="1027"/>
      <c r="Z284" s="46">
        <v>2</v>
      </c>
      <c r="AA284" s="45" t="s">
        <v>1732</v>
      </c>
      <c r="AB284" s="1027"/>
      <c r="AC284" s="1024"/>
      <c r="AE284" s="80" t="s">
        <v>1735</v>
      </c>
      <c r="AF284" s="81">
        <f t="shared" si="28"/>
        <v>3</v>
      </c>
    </row>
    <row r="285" spans="2:32">
      <c r="B285" s="46">
        <v>3</v>
      </c>
      <c r="C285" s="45"/>
      <c r="D285" s="1027"/>
      <c r="F285" s="46">
        <v>3</v>
      </c>
      <c r="G285" s="45"/>
      <c r="H285" s="1027"/>
      <c r="J285" s="46">
        <v>3</v>
      </c>
      <c r="K285" s="45"/>
      <c r="L285" s="1027"/>
      <c r="N285" s="46">
        <v>3</v>
      </c>
      <c r="O285" s="45"/>
      <c r="P285" s="1027"/>
      <c r="R285" s="46">
        <v>3</v>
      </c>
      <c r="S285" s="45" t="s">
        <v>1772</v>
      </c>
      <c r="T285" s="1027"/>
      <c r="V285" s="46">
        <v>3</v>
      </c>
      <c r="W285" s="45" t="s">
        <v>1772</v>
      </c>
      <c r="X285" s="1027"/>
      <c r="Z285" s="46">
        <v>3</v>
      </c>
      <c r="AA285" s="45" t="s">
        <v>1772</v>
      </c>
      <c r="AB285" s="1027"/>
      <c r="AC285" s="1024"/>
      <c r="AE285" s="80" t="s">
        <v>1730</v>
      </c>
      <c r="AF285" s="81">
        <f t="shared" si="28"/>
        <v>0</v>
      </c>
    </row>
    <row r="286" spans="2:32">
      <c r="B286" s="51">
        <v>4</v>
      </c>
      <c r="C286" s="52"/>
      <c r="D286" s="1028"/>
      <c r="F286" s="51">
        <v>4</v>
      </c>
      <c r="G286" s="52"/>
      <c r="H286" s="1028"/>
      <c r="J286" s="51">
        <v>4</v>
      </c>
      <c r="K286" s="52"/>
      <c r="L286" s="1028"/>
      <c r="N286" s="51">
        <v>4</v>
      </c>
      <c r="O286" s="52"/>
      <c r="P286" s="1028"/>
      <c r="R286" s="51">
        <v>4</v>
      </c>
      <c r="S286" s="45" t="s">
        <v>1735</v>
      </c>
      <c r="T286" s="1028"/>
      <c r="V286" s="51">
        <v>4</v>
      </c>
      <c r="W286" s="45" t="s">
        <v>1735</v>
      </c>
      <c r="X286" s="1028"/>
      <c r="Z286" s="51">
        <v>4</v>
      </c>
      <c r="AA286" s="45" t="s">
        <v>1735</v>
      </c>
      <c r="AB286" s="1028"/>
      <c r="AC286" s="1024"/>
    </row>
    <row r="287" spans="2:32" ht="17" thickBot="1">
      <c r="B287" s="47">
        <v>5</v>
      </c>
      <c r="C287" s="48"/>
      <c r="D287" s="1029"/>
      <c r="F287" s="47">
        <v>5</v>
      </c>
      <c r="G287" s="48"/>
      <c r="H287" s="1029"/>
      <c r="J287" s="47">
        <v>5</v>
      </c>
      <c r="K287" s="48"/>
      <c r="L287" s="1029"/>
      <c r="N287" s="47">
        <v>5</v>
      </c>
      <c r="O287" s="48"/>
      <c r="P287" s="1029"/>
      <c r="R287" s="47">
        <v>5</v>
      </c>
      <c r="S287" s="70"/>
      <c r="T287" s="1029"/>
      <c r="V287" s="47">
        <v>5</v>
      </c>
      <c r="W287" s="70"/>
      <c r="X287" s="1029"/>
      <c r="Z287" s="47">
        <v>5</v>
      </c>
      <c r="AA287" s="70"/>
      <c r="AB287" s="1029"/>
      <c r="AC287" s="1024"/>
    </row>
    <row r="288" spans="2:32" ht="17" thickBot="1"/>
    <row r="289" spans="2:32">
      <c r="B289" s="1036" t="s">
        <v>1795</v>
      </c>
      <c r="C289" s="1037"/>
      <c r="D289" s="1038"/>
      <c r="F289" s="1036" t="s">
        <v>1796</v>
      </c>
      <c r="G289" s="1037"/>
      <c r="H289" s="1038"/>
      <c r="J289" s="1036" t="s">
        <v>1797</v>
      </c>
      <c r="K289" s="1037"/>
      <c r="L289" s="1038"/>
      <c r="N289" s="1036" t="s">
        <v>1798</v>
      </c>
      <c r="O289" s="1037"/>
      <c r="P289" s="1038"/>
      <c r="R289" s="1036" t="s">
        <v>1799</v>
      </c>
      <c r="S289" s="1037"/>
      <c r="T289" s="1038"/>
      <c r="V289" s="1036" t="s">
        <v>1800</v>
      </c>
      <c r="W289" s="1037"/>
      <c r="X289" s="1038"/>
      <c r="Z289" s="1036" t="s">
        <v>1801</v>
      </c>
      <c r="AA289" s="1037"/>
      <c r="AB289" s="1038"/>
      <c r="AC289" s="1024" t="s">
        <v>0</v>
      </c>
      <c r="AE289" s="80" t="s">
        <v>1729</v>
      </c>
      <c r="AF289" s="81">
        <f>COUNTIF($B$290:$AB$298,AE289)</f>
        <v>6</v>
      </c>
    </row>
    <row r="290" spans="2:32" ht="16" customHeight="1">
      <c r="B290" s="46">
        <v>1</v>
      </c>
      <c r="C290" s="45"/>
      <c r="D290" s="1027" t="s">
        <v>119</v>
      </c>
      <c r="F290" s="46">
        <v>1</v>
      </c>
      <c r="G290" s="45" t="s">
        <v>1731</v>
      </c>
      <c r="H290" s="1027" t="s">
        <v>119</v>
      </c>
      <c r="J290" s="46">
        <v>1</v>
      </c>
      <c r="K290" s="45" t="s">
        <v>1357</v>
      </c>
      <c r="L290" s="1027" t="s">
        <v>119</v>
      </c>
      <c r="N290" s="46">
        <v>1</v>
      </c>
      <c r="O290" s="45" t="s">
        <v>1731</v>
      </c>
      <c r="P290" s="1027" t="s">
        <v>119</v>
      </c>
      <c r="R290" s="46">
        <v>1</v>
      </c>
      <c r="S290" s="45" t="s">
        <v>1731</v>
      </c>
      <c r="T290" s="1027" t="s">
        <v>119</v>
      </c>
      <c r="V290" s="46">
        <v>1</v>
      </c>
      <c r="W290" s="45" t="s">
        <v>1731</v>
      </c>
      <c r="X290" s="1027" t="s">
        <v>119</v>
      </c>
      <c r="Z290" s="46">
        <v>1</v>
      </c>
      <c r="AA290" s="45" t="s">
        <v>1731</v>
      </c>
      <c r="AB290" s="1027" t="s">
        <v>119</v>
      </c>
      <c r="AC290" s="1024"/>
      <c r="AE290" s="80" t="s">
        <v>1732</v>
      </c>
      <c r="AF290" s="81">
        <f t="shared" ref="AF290:AF296" si="29">COUNTIF($B$290:$AB$298,AE290)</f>
        <v>5</v>
      </c>
    </row>
    <row r="291" spans="2:32">
      <c r="B291" s="46">
        <v>2</v>
      </c>
      <c r="C291" s="45"/>
      <c r="D291" s="1027"/>
      <c r="F291" s="46">
        <v>2</v>
      </c>
      <c r="G291" s="45" t="s">
        <v>1357</v>
      </c>
      <c r="H291" s="1027"/>
      <c r="J291" s="46">
        <v>2</v>
      </c>
      <c r="K291" s="45" t="s">
        <v>1733</v>
      </c>
      <c r="L291" s="1027"/>
      <c r="N291" s="46">
        <v>2</v>
      </c>
      <c r="O291" s="45" t="s">
        <v>1733</v>
      </c>
      <c r="P291" s="1027"/>
      <c r="R291" s="46">
        <v>2</v>
      </c>
      <c r="S291" s="45" t="s">
        <v>1357</v>
      </c>
      <c r="T291" s="1027"/>
      <c r="V291" s="46">
        <v>2</v>
      </c>
      <c r="W291" s="45" t="s">
        <v>1733</v>
      </c>
      <c r="X291" s="1027"/>
      <c r="Z291" s="46">
        <v>2</v>
      </c>
      <c r="AA291" s="45" t="s">
        <v>1733</v>
      </c>
      <c r="AB291" s="1027"/>
      <c r="AC291" s="1024"/>
      <c r="AE291" s="80" t="s">
        <v>1772</v>
      </c>
      <c r="AF291" s="81">
        <f t="shared" si="29"/>
        <v>5</v>
      </c>
    </row>
    <row r="292" spans="2:32">
      <c r="B292" s="46">
        <v>3</v>
      </c>
      <c r="C292" s="45"/>
      <c r="D292" s="1027"/>
      <c r="F292" s="46">
        <v>3</v>
      </c>
      <c r="G292" s="45" t="s">
        <v>1764</v>
      </c>
      <c r="H292" s="1027"/>
      <c r="J292" s="46">
        <v>3</v>
      </c>
      <c r="K292" s="45" t="s">
        <v>1764</v>
      </c>
      <c r="L292" s="1027"/>
      <c r="N292" s="46">
        <v>3</v>
      </c>
      <c r="O292" s="45" t="s">
        <v>1764</v>
      </c>
      <c r="P292" s="1027"/>
      <c r="R292" s="46">
        <v>3</v>
      </c>
      <c r="S292" s="45" t="s">
        <v>1764</v>
      </c>
      <c r="T292" s="1027"/>
      <c r="V292" s="46">
        <v>3</v>
      </c>
      <c r="W292" s="45" t="s">
        <v>1764</v>
      </c>
      <c r="X292" s="1027"/>
      <c r="Z292" s="46">
        <v>3</v>
      </c>
      <c r="AA292" s="45" t="s">
        <v>1764</v>
      </c>
      <c r="AB292" s="1027"/>
      <c r="AC292" s="1024"/>
      <c r="AE292" s="80" t="s">
        <v>1731</v>
      </c>
      <c r="AF292" s="81">
        <f t="shared" si="29"/>
        <v>5</v>
      </c>
    </row>
    <row r="293" spans="2:32" ht="17" thickBot="1">
      <c r="B293" s="47">
        <v>4</v>
      </c>
      <c r="C293" s="48"/>
      <c r="D293" s="1029"/>
      <c r="F293" s="47">
        <v>4</v>
      </c>
      <c r="G293" s="48"/>
      <c r="H293" s="1029"/>
      <c r="J293" s="47">
        <v>4</v>
      </c>
      <c r="K293" s="48"/>
      <c r="L293" s="1029"/>
      <c r="N293" s="47">
        <v>4</v>
      </c>
      <c r="O293" s="48"/>
      <c r="P293" s="1029"/>
      <c r="R293" s="47">
        <v>4</v>
      </c>
      <c r="S293" s="48"/>
      <c r="T293" s="1029"/>
      <c r="V293" s="47">
        <v>4</v>
      </c>
      <c r="W293" s="48"/>
      <c r="X293" s="1029"/>
      <c r="Z293" s="47">
        <v>4</v>
      </c>
      <c r="AA293" s="48"/>
      <c r="AB293" s="1029"/>
      <c r="AC293" s="1024"/>
      <c r="AE293" s="80" t="s">
        <v>1733</v>
      </c>
      <c r="AF293" s="81">
        <f t="shared" si="29"/>
        <v>5</v>
      </c>
    </row>
    <row r="294" spans="2:32" ht="16" customHeight="1">
      <c r="B294" s="49">
        <v>1</v>
      </c>
      <c r="C294" s="45" t="s">
        <v>1729</v>
      </c>
      <c r="D294" s="1026" t="s">
        <v>1389</v>
      </c>
      <c r="F294" s="49">
        <v>1</v>
      </c>
      <c r="G294" s="50" t="s">
        <v>1729</v>
      </c>
      <c r="H294" s="1026" t="s">
        <v>1389</v>
      </c>
      <c r="J294" s="49">
        <v>1</v>
      </c>
      <c r="K294" s="50" t="s">
        <v>1772</v>
      </c>
      <c r="L294" s="1026" t="s">
        <v>1389</v>
      </c>
      <c r="N294" s="49">
        <v>1</v>
      </c>
      <c r="O294" s="50" t="s">
        <v>1729</v>
      </c>
      <c r="P294" s="1026" t="s">
        <v>1389</v>
      </c>
      <c r="R294" s="49">
        <v>1</v>
      </c>
      <c r="S294" s="45" t="s">
        <v>1729</v>
      </c>
      <c r="T294" s="1026" t="s">
        <v>1389</v>
      </c>
      <c r="V294" s="49">
        <v>1</v>
      </c>
      <c r="W294" s="45" t="s">
        <v>1729</v>
      </c>
      <c r="X294" s="1026" t="s">
        <v>1389</v>
      </c>
      <c r="Z294" s="49">
        <v>1</v>
      </c>
      <c r="AA294" s="45" t="s">
        <v>1729</v>
      </c>
      <c r="AB294" s="1026" t="s">
        <v>1389</v>
      </c>
      <c r="AC294" s="1024"/>
      <c r="AE294" s="80" t="s">
        <v>1357</v>
      </c>
      <c r="AF294" s="81">
        <f t="shared" si="29"/>
        <v>3</v>
      </c>
    </row>
    <row r="295" spans="2:32">
      <c r="B295" s="46">
        <v>2</v>
      </c>
      <c r="C295" s="45" t="s">
        <v>1772</v>
      </c>
      <c r="D295" s="1027"/>
      <c r="F295" s="46">
        <v>2</v>
      </c>
      <c r="G295" s="45" t="s">
        <v>1733</v>
      </c>
      <c r="H295" s="1027"/>
      <c r="J295" s="46">
        <v>2</v>
      </c>
      <c r="K295" s="45" t="s">
        <v>1732</v>
      </c>
      <c r="L295" s="1027"/>
      <c r="N295" s="46">
        <v>2</v>
      </c>
      <c r="O295" s="45" t="s">
        <v>1732</v>
      </c>
      <c r="P295" s="1027"/>
      <c r="R295" s="46">
        <v>2</v>
      </c>
      <c r="S295" s="45" t="s">
        <v>1732</v>
      </c>
      <c r="T295" s="1027"/>
      <c r="V295" s="46">
        <v>2</v>
      </c>
      <c r="W295" s="45" t="s">
        <v>1732</v>
      </c>
      <c r="X295" s="1027"/>
      <c r="Z295" s="46">
        <v>2</v>
      </c>
      <c r="AA295" s="45" t="s">
        <v>1732</v>
      </c>
      <c r="AB295" s="1027"/>
      <c r="AC295" s="1024"/>
      <c r="AE295" s="80" t="s">
        <v>1735</v>
      </c>
      <c r="AF295" s="81">
        <f t="shared" si="29"/>
        <v>3</v>
      </c>
    </row>
    <row r="296" spans="2:32">
      <c r="B296" s="46">
        <v>3</v>
      </c>
      <c r="C296" s="45"/>
      <c r="D296" s="1027"/>
      <c r="F296" s="46">
        <v>3</v>
      </c>
      <c r="G296" s="45"/>
      <c r="H296" s="1027"/>
      <c r="J296" s="46">
        <v>3</v>
      </c>
      <c r="K296" s="45"/>
      <c r="L296" s="1027"/>
      <c r="N296" s="46">
        <v>3</v>
      </c>
      <c r="O296" s="45"/>
      <c r="P296" s="1027"/>
      <c r="R296" s="46">
        <v>3</v>
      </c>
      <c r="S296" s="45" t="s">
        <v>1772</v>
      </c>
      <c r="T296" s="1027"/>
      <c r="V296" s="46">
        <v>3</v>
      </c>
      <c r="W296" s="45" t="s">
        <v>1772</v>
      </c>
      <c r="X296" s="1027"/>
      <c r="Z296" s="46">
        <v>3</v>
      </c>
      <c r="AA296" s="45" t="s">
        <v>1772</v>
      </c>
      <c r="AB296" s="1027"/>
      <c r="AC296" s="1024"/>
      <c r="AE296" s="80" t="s">
        <v>1730</v>
      </c>
      <c r="AF296" s="81">
        <f t="shared" si="29"/>
        <v>0</v>
      </c>
    </row>
    <row r="297" spans="2:32">
      <c r="B297" s="51">
        <v>4</v>
      </c>
      <c r="C297" s="52"/>
      <c r="D297" s="1028"/>
      <c r="F297" s="51">
        <v>4</v>
      </c>
      <c r="G297" s="52"/>
      <c r="H297" s="1028"/>
      <c r="J297" s="51">
        <v>4</v>
      </c>
      <c r="K297" s="52"/>
      <c r="L297" s="1028"/>
      <c r="N297" s="51">
        <v>4</v>
      </c>
      <c r="O297" s="52"/>
      <c r="P297" s="1028"/>
      <c r="R297" s="51">
        <v>4</v>
      </c>
      <c r="S297" s="45" t="s">
        <v>1735</v>
      </c>
      <c r="T297" s="1028"/>
      <c r="V297" s="51">
        <v>4</v>
      </c>
      <c r="W297" s="45" t="s">
        <v>1735</v>
      </c>
      <c r="X297" s="1028"/>
      <c r="Z297" s="51">
        <v>4</v>
      </c>
      <c r="AA297" s="45" t="s">
        <v>1735</v>
      </c>
      <c r="AB297" s="1028"/>
      <c r="AC297" s="1024"/>
    </row>
    <row r="298" spans="2:32" ht="17" thickBot="1">
      <c r="B298" s="47">
        <v>5</v>
      </c>
      <c r="C298" s="48"/>
      <c r="D298" s="1029"/>
      <c r="F298" s="47">
        <v>5</v>
      </c>
      <c r="G298" s="48"/>
      <c r="H298" s="1029"/>
      <c r="J298" s="47">
        <v>5</v>
      </c>
      <c r="K298" s="48"/>
      <c r="L298" s="1029"/>
      <c r="N298" s="47">
        <v>5</v>
      </c>
      <c r="O298" s="48"/>
      <c r="P298" s="1029"/>
      <c r="R298" s="47">
        <v>5</v>
      </c>
      <c r="S298" s="70"/>
      <c r="T298" s="1029"/>
      <c r="V298" s="47">
        <v>5</v>
      </c>
      <c r="W298" s="70"/>
      <c r="X298" s="1029"/>
      <c r="Z298" s="47">
        <v>5</v>
      </c>
      <c r="AA298" s="70"/>
      <c r="AB298" s="1029"/>
      <c r="AC298" s="1024"/>
    </row>
    <row r="299" spans="2:32" ht="17" thickBot="1"/>
    <row r="300" spans="2:32">
      <c r="B300" s="1036" t="s">
        <v>1802</v>
      </c>
      <c r="C300" s="1037"/>
      <c r="D300" s="1038"/>
      <c r="F300" s="1036" t="s">
        <v>1803</v>
      </c>
      <c r="G300" s="1037"/>
      <c r="H300" s="1038"/>
      <c r="J300" s="1036" t="s">
        <v>1804</v>
      </c>
      <c r="K300" s="1037"/>
      <c r="L300" s="1038"/>
      <c r="N300" s="1036" t="s">
        <v>1805</v>
      </c>
      <c r="O300" s="1037"/>
      <c r="P300" s="1038"/>
      <c r="R300" s="1036" t="s">
        <v>1806</v>
      </c>
      <c r="S300" s="1037"/>
      <c r="T300" s="1038"/>
      <c r="V300" s="1036" t="s">
        <v>1807</v>
      </c>
      <c r="W300" s="1037"/>
      <c r="X300" s="1038"/>
      <c r="Z300" s="1036" t="s">
        <v>1808</v>
      </c>
      <c r="AA300" s="1037"/>
      <c r="AB300" s="1038"/>
      <c r="AC300" s="1024" t="s">
        <v>0</v>
      </c>
      <c r="AE300" s="80" t="s">
        <v>1729</v>
      </c>
      <c r="AF300" s="81">
        <f>COUNTIF($B$301:$AB$309,AE300)</f>
        <v>6</v>
      </c>
    </row>
    <row r="301" spans="2:32" ht="16" customHeight="1">
      <c r="B301" s="46">
        <v>1</v>
      </c>
      <c r="C301" s="45"/>
      <c r="D301" s="1027" t="s">
        <v>119</v>
      </c>
      <c r="F301" s="46">
        <v>1</v>
      </c>
      <c r="G301" s="45" t="s">
        <v>1731</v>
      </c>
      <c r="H301" s="1027" t="s">
        <v>119</v>
      </c>
      <c r="J301" s="46">
        <v>1</v>
      </c>
      <c r="K301" s="45" t="s">
        <v>1357</v>
      </c>
      <c r="L301" s="1027" t="s">
        <v>119</v>
      </c>
      <c r="N301" s="46">
        <v>1</v>
      </c>
      <c r="O301" s="45" t="s">
        <v>1731</v>
      </c>
      <c r="P301" s="1027" t="s">
        <v>119</v>
      </c>
      <c r="R301" s="46">
        <v>1</v>
      </c>
      <c r="S301" s="45" t="s">
        <v>1731</v>
      </c>
      <c r="T301" s="1027" t="s">
        <v>119</v>
      </c>
      <c r="V301" s="46">
        <v>1</v>
      </c>
      <c r="W301" s="45" t="s">
        <v>1731</v>
      </c>
      <c r="X301" s="1027" t="s">
        <v>119</v>
      </c>
      <c r="Z301" s="46">
        <v>1</v>
      </c>
      <c r="AA301" s="45" t="s">
        <v>1731</v>
      </c>
      <c r="AB301" s="1027" t="s">
        <v>119</v>
      </c>
      <c r="AC301" s="1024"/>
      <c r="AE301" s="80" t="s">
        <v>1732</v>
      </c>
      <c r="AF301" s="81">
        <f t="shared" ref="AF301:AF307" si="30">COUNTIF($B$301:$AB$309,AE301)</f>
        <v>5</v>
      </c>
    </row>
    <row r="302" spans="2:32">
      <c r="B302" s="46">
        <v>2</v>
      </c>
      <c r="C302" s="45"/>
      <c r="D302" s="1027"/>
      <c r="F302" s="46">
        <v>2</v>
      </c>
      <c r="G302" s="45" t="s">
        <v>1357</v>
      </c>
      <c r="H302" s="1027"/>
      <c r="J302" s="46">
        <v>2</v>
      </c>
      <c r="K302" s="45" t="s">
        <v>1733</v>
      </c>
      <c r="L302" s="1027"/>
      <c r="N302" s="46">
        <v>2</v>
      </c>
      <c r="O302" s="45" t="s">
        <v>1733</v>
      </c>
      <c r="P302" s="1027"/>
      <c r="R302" s="46">
        <v>2</v>
      </c>
      <c r="S302" s="45" t="s">
        <v>1357</v>
      </c>
      <c r="T302" s="1027"/>
      <c r="V302" s="46">
        <v>2</v>
      </c>
      <c r="W302" s="45" t="s">
        <v>1733</v>
      </c>
      <c r="X302" s="1027"/>
      <c r="Z302" s="46">
        <v>2</v>
      </c>
      <c r="AA302" s="45" t="s">
        <v>1733</v>
      </c>
      <c r="AB302" s="1027"/>
      <c r="AC302" s="1024"/>
      <c r="AE302" s="80" t="s">
        <v>1772</v>
      </c>
      <c r="AF302" s="81">
        <f t="shared" si="30"/>
        <v>5</v>
      </c>
    </row>
    <row r="303" spans="2:32">
      <c r="B303" s="46">
        <v>3</v>
      </c>
      <c r="C303" s="45"/>
      <c r="D303" s="1027"/>
      <c r="F303" s="46">
        <v>3</v>
      </c>
      <c r="G303" s="45" t="s">
        <v>1764</v>
      </c>
      <c r="H303" s="1027"/>
      <c r="J303" s="46">
        <v>3</v>
      </c>
      <c r="K303" s="45" t="s">
        <v>1764</v>
      </c>
      <c r="L303" s="1027"/>
      <c r="N303" s="46">
        <v>3</v>
      </c>
      <c r="O303" s="45" t="s">
        <v>1764</v>
      </c>
      <c r="P303" s="1027"/>
      <c r="R303" s="46">
        <v>3</v>
      </c>
      <c r="S303" s="45" t="s">
        <v>1764</v>
      </c>
      <c r="T303" s="1027"/>
      <c r="V303" s="46">
        <v>3</v>
      </c>
      <c r="W303" s="45" t="s">
        <v>1764</v>
      </c>
      <c r="X303" s="1027"/>
      <c r="Z303" s="46">
        <v>3</v>
      </c>
      <c r="AA303" s="45" t="s">
        <v>1764</v>
      </c>
      <c r="AB303" s="1027"/>
      <c r="AC303" s="1024"/>
      <c r="AE303" s="80" t="s">
        <v>1731</v>
      </c>
      <c r="AF303" s="81">
        <f t="shared" si="30"/>
        <v>5</v>
      </c>
    </row>
    <row r="304" spans="2:32" ht="17" thickBot="1">
      <c r="B304" s="47">
        <v>4</v>
      </c>
      <c r="C304" s="48"/>
      <c r="D304" s="1029"/>
      <c r="F304" s="47">
        <v>4</v>
      </c>
      <c r="G304" s="48"/>
      <c r="H304" s="1029"/>
      <c r="J304" s="47">
        <v>4</v>
      </c>
      <c r="K304" s="48"/>
      <c r="L304" s="1029"/>
      <c r="N304" s="47">
        <v>4</v>
      </c>
      <c r="O304" s="48"/>
      <c r="P304" s="1029"/>
      <c r="R304" s="47">
        <v>4</v>
      </c>
      <c r="S304" s="48"/>
      <c r="T304" s="1029"/>
      <c r="V304" s="47">
        <v>4</v>
      </c>
      <c r="W304" s="48"/>
      <c r="X304" s="1029"/>
      <c r="Z304" s="47">
        <v>4</v>
      </c>
      <c r="AA304" s="48"/>
      <c r="AB304" s="1029"/>
      <c r="AC304" s="1024"/>
      <c r="AE304" s="80" t="s">
        <v>1733</v>
      </c>
      <c r="AF304" s="81">
        <f t="shared" si="30"/>
        <v>5</v>
      </c>
    </row>
    <row r="305" spans="2:32" ht="16" customHeight="1">
      <c r="B305" s="49">
        <v>1</v>
      </c>
      <c r="C305" s="45" t="s">
        <v>1729</v>
      </c>
      <c r="D305" s="1026" t="s">
        <v>1389</v>
      </c>
      <c r="F305" s="49">
        <v>1</v>
      </c>
      <c r="G305" s="50" t="s">
        <v>1729</v>
      </c>
      <c r="H305" s="1026" t="s">
        <v>1389</v>
      </c>
      <c r="J305" s="49">
        <v>1</v>
      </c>
      <c r="K305" s="50" t="s">
        <v>1772</v>
      </c>
      <c r="L305" s="1026" t="s">
        <v>1389</v>
      </c>
      <c r="N305" s="49">
        <v>1</v>
      </c>
      <c r="O305" s="50" t="s">
        <v>1729</v>
      </c>
      <c r="P305" s="1026" t="s">
        <v>1389</v>
      </c>
      <c r="R305" s="49">
        <v>1</v>
      </c>
      <c r="S305" s="45" t="s">
        <v>1729</v>
      </c>
      <c r="T305" s="1026" t="s">
        <v>1389</v>
      </c>
      <c r="V305" s="49">
        <v>1</v>
      </c>
      <c r="W305" s="45" t="s">
        <v>1729</v>
      </c>
      <c r="X305" s="1026" t="s">
        <v>1389</v>
      </c>
      <c r="Z305" s="49">
        <v>1</v>
      </c>
      <c r="AA305" s="45" t="s">
        <v>1729</v>
      </c>
      <c r="AB305" s="1026" t="s">
        <v>1389</v>
      </c>
      <c r="AC305" s="1024"/>
      <c r="AE305" s="80" t="s">
        <v>1357</v>
      </c>
      <c r="AF305" s="81">
        <f t="shared" si="30"/>
        <v>3</v>
      </c>
    </row>
    <row r="306" spans="2:32">
      <c r="B306" s="46">
        <v>2</v>
      </c>
      <c r="C306" s="45" t="s">
        <v>1772</v>
      </c>
      <c r="D306" s="1027"/>
      <c r="F306" s="46">
        <v>2</v>
      </c>
      <c r="G306" s="45" t="s">
        <v>1733</v>
      </c>
      <c r="H306" s="1027"/>
      <c r="J306" s="46">
        <v>2</v>
      </c>
      <c r="K306" s="45" t="s">
        <v>1732</v>
      </c>
      <c r="L306" s="1027"/>
      <c r="N306" s="46">
        <v>2</v>
      </c>
      <c r="O306" s="45" t="s">
        <v>1732</v>
      </c>
      <c r="P306" s="1027"/>
      <c r="R306" s="46">
        <v>2</v>
      </c>
      <c r="S306" s="45" t="s">
        <v>1732</v>
      </c>
      <c r="T306" s="1027"/>
      <c r="V306" s="46">
        <v>2</v>
      </c>
      <c r="W306" s="45" t="s">
        <v>1732</v>
      </c>
      <c r="X306" s="1027"/>
      <c r="Z306" s="46">
        <v>2</v>
      </c>
      <c r="AA306" s="45" t="s">
        <v>1732</v>
      </c>
      <c r="AB306" s="1027"/>
      <c r="AC306" s="1024"/>
      <c r="AE306" s="80" t="s">
        <v>1735</v>
      </c>
      <c r="AF306" s="81">
        <f t="shared" si="30"/>
        <v>3</v>
      </c>
    </row>
    <row r="307" spans="2:32">
      <c r="B307" s="46">
        <v>3</v>
      </c>
      <c r="C307" s="45"/>
      <c r="D307" s="1027"/>
      <c r="F307" s="46">
        <v>3</v>
      </c>
      <c r="G307" s="45"/>
      <c r="H307" s="1027"/>
      <c r="J307" s="46">
        <v>3</v>
      </c>
      <c r="K307" s="45"/>
      <c r="L307" s="1027"/>
      <c r="N307" s="46">
        <v>3</v>
      </c>
      <c r="O307" s="45"/>
      <c r="P307" s="1027"/>
      <c r="R307" s="46">
        <v>3</v>
      </c>
      <c r="S307" s="45" t="s">
        <v>1772</v>
      </c>
      <c r="T307" s="1027"/>
      <c r="V307" s="46">
        <v>3</v>
      </c>
      <c r="W307" s="45" t="s">
        <v>1772</v>
      </c>
      <c r="X307" s="1027"/>
      <c r="Z307" s="46">
        <v>3</v>
      </c>
      <c r="AA307" s="45" t="s">
        <v>1772</v>
      </c>
      <c r="AB307" s="1027"/>
      <c r="AC307" s="1024"/>
      <c r="AE307" s="80" t="s">
        <v>1730</v>
      </c>
      <c r="AF307" s="81">
        <f t="shared" si="30"/>
        <v>0</v>
      </c>
    </row>
    <row r="308" spans="2:32">
      <c r="B308" s="51">
        <v>4</v>
      </c>
      <c r="C308" s="52"/>
      <c r="D308" s="1028"/>
      <c r="F308" s="51">
        <v>4</v>
      </c>
      <c r="G308" s="52"/>
      <c r="H308" s="1028"/>
      <c r="J308" s="51">
        <v>4</v>
      </c>
      <c r="K308" s="52"/>
      <c r="L308" s="1028"/>
      <c r="N308" s="51">
        <v>4</v>
      </c>
      <c r="O308" s="52"/>
      <c r="P308" s="1028"/>
      <c r="R308" s="51">
        <v>4</v>
      </c>
      <c r="S308" s="45" t="s">
        <v>1735</v>
      </c>
      <c r="T308" s="1028"/>
      <c r="V308" s="51">
        <v>4</v>
      </c>
      <c r="W308" s="45" t="s">
        <v>1735</v>
      </c>
      <c r="X308" s="1028"/>
      <c r="Z308" s="51">
        <v>4</v>
      </c>
      <c r="AA308" s="45" t="s">
        <v>1735</v>
      </c>
      <c r="AB308" s="1028"/>
      <c r="AC308" s="1024"/>
    </row>
    <row r="309" spans="2:32" ht="17" thickBot="1">
      <c r="B309" s="47">
        <v>5</v>
      </c>
      <c r="C309" s="48"/>
      <c r="D309" s="1029"/>
      <c r="F309" s="47">
        <v>5</v>
      </c>
      <c r="G309" s="48"/>
      <c r="H309" s="1029"/>
      <c r="J309" s="47">
        <v>5</v>
      </c>
      <c r="K309" s="48"/>
      <c r="L309" s="1029"/>
      <c r="N309" s="47">
        <v>5</v>
      </c>
      <c r="O309" s="48"/>
      <c r="P309" s="1029"/>
      <c r="R309" s="47">
        <v>5</v>
      </c>
      <c r="S309" s="70"/>
      <c r="T309" s="1029"/>
      <c r="V309" s="47">
        <v>5</v>
      </c>
      <c r="W309" s="70"/>
      <c r="X309" s="1029"/>
      <c r="Z309" s="47">
        <v>5</v>
      </c>
      <c r="AA309" s="70"/>
      <c r="AB309" s="1029"/>
      <c r="AC309" s="1024"/>
    </row>
    <row r="310" spans="2:32" ht="17" thickBot="1"/>
    <row r="311" spans="2:32">
      <c r="B311" s="1036" t="s">
        <v>1380</v>
      </c>
      <c r="C311" s="1037"/>
      <c r="D311" s="1038"/>
      <c r="F311" s="1033" t="s">
        <v>1476</v>
      </c>
      <c r="G311" s="1034"/>
      <c r="H311" s="1035"/>
      <c r="J311" s="1033" t="s">
        <v>1477</v>
      </c>
      <c r="K311" s="1034"/>
      <c r="L311" s="1035"/>
      <c r="N311" s="1033" t="s">
        <v>1478</v>
      </c>
      <c r="O311" s="1034"/>
      <c r="P311" s="1035"/>
      <c r="R311" s="1033" t="s">
        <v>1479</v>
      </c>
      <c r="S311" s="1034"/>
      <c r="T311" s="1035"/>
      <c r="V311" s="1033" t="s">
        <v>1480</v>
      </c>
      <c r="W311" s="1034"/>
      <c r="X311" s="1035"/>
      <c r="Z311" s="1033" t="s">
        <v>1481</v>
      </c>
      <c r="AA311" s="1034"/>
      <c r="AB311" s="1035"/>
      <c r="AC311" s="1024" t="s">
        <v>1</v>
      </c>
      <c r="AE311" s="80" t="s">
        <v>1729</v>
      </c>
      <c r="AF311" s="81">
        <f>COUNTIF($B$312:$AA$320,AE311)</f>
        <v>6</v>
      </c>
    </row>
    <row r="312" spans="2:32" ht="16" customHeight="1">
      <c r="B312" s="46">
        <v>1</v>
      </c>
      <c r="C312" s="45"/>
      <c r="D312" s="1027" t="s">
        <v>119</v>
      </c>
      <c r="F312" s="46">
        <v>1</v>
      </c>
      <c r="G312" s="45" t="s">
        <v>1731</v>
      </c>
      <c r="H312" s="1027" t="s">
        <v>119</v>
      </c>
      <c r="J312" s="46">
        <v>1</v>
      </c>
      <c r="K312" s="45" t="s">
        <v>1357</v>
      </c>
      <c r="L312" s="1027" t="s">
        <v>119</v>
      </c>
      <c r="N312" s="46">
        <v>1</v>
      </c>
      <c r="O312" s="45" t="s">
        <v>1731</v>
      </c>
      <c r="P312" s="1027" t="s">
        <v>119</v>
      </c>
      <c r="R312" s="46">
        <v>1</v>
      </c>
      <c r="S312" s="45" t="s">
        <v>1731</v>
      </c>
      <c r="T312" s="1027" t="s">
        <v>119</v>
      </c>
      <c r="V312" s="46">
        <v>1</v>
      </c>
      <c r="W312" s="45" t="s">
        <v>1731</v>
      </c>
      <c r="X312" s="1027" t="s">
        <v>119</v>
      </c>
      <c r="Z312" s="46">
        <v>1</v>
      </c>
      <c r="AA312" s="45" t="s">
        <v>1731</v>
      </c>
      <c r="AB312" s="1027" t="s">
        <v>119</v>
      </c>
      <c r="AC312" s="1024"/>
      <c r="AE312" s="80" t="s">
        <v>1732</v>
      </c>
      <c r="AF312" s="81">
        <f t="shared" ref="AF312:AF318" si="31">COUNTIF($B$312:$AA$320,AE312)</f>
        <v>5</v>
      </c>
    </row>
    <row r="313" spans="2:32">
      <c r="B313" s="46">
        <v>2</v>
      </c>
      <c r="C313" s="45"/>
      <c r="D313" s="1027"/>
      <c r="F313" s="46">
        <v>2</v>
      </c>
      <c r="G313" s="45" t="s">
        <v>1357</v>
      </c>
      <c r="H313" s="1027"/>
      <c r="J313" s="46">
        <v>2</v>
      </c>
      <c r="K313" s="45" t="s">
        <v>1733</v>
      </c>
      <c r="L313" s="1027"/>
      <c r="N313" s="46">
        <v>2</v>
      </c>
      <c r="O313" s="45" t="s">
        <v>1733</v>
      </c>
      <c r="P313" s="1027"/>
      <c r="R313" s="46">
        <v>2</v>
      </c>
      <c r="S313" s="45" t="s">
        <v>1357</v>
      </c>
      <c r="T313" s="1027"/>
      <c r="V313" s="46">
        <v>2</v>
      </c>
      <c r="W313" s="45" t="s">
        <v>1733</v>
      </c>
      <c r="X313" s="1027"/>
      <c r="Z313" s="46">
        <v>2</v>
      </c>
      <c r="AA313" s="45" t="s">
        <v>1733</v>
      </c>
      <c r="AB313" s="1027"/>
      <c r="AC313" s="1024"/>
      <c r="AE313" s="80" t="s">
        <v>1772</v>
      </c>
      <c r="AF313" s="81">
        <f t="shared" si="31"/>
        <v>5</v>
      </c>
    </row>
    <row r="314" spans="2:32">
      <c r="B314" s="46">
        <v>3</v>
      </c>
      <c r="C314" s="45"/>
      <c r="D314" s="1027"/>
      <c r="F314" s="46">
        <v>3</v>
      </c>
      <c r="G314" s="45" t="s">
        <v>1764</v>
      </c>
      <c r="H314" s="1027"/>
      <c r="J314" s="46">
        <v>3</v>
      </c>
      <c r="K314" s="45" t="s">
        <v>1764</v>
      </c>
      <c r="L314" s="1027"/>
      <c r="N314" s="46">
        <v>3</v>
      </c>
      <c r="O314" s="45" t="s">
        <v>1764</v>
      </c>
      <c r="P314" s="1027"/>
      <c r="R314" s="46">
        <v>3</v>
      </c>
      <c r="S314" s="45" t="s">
        <v>1764</v>
      </c>
      <c r="T314" s="1027"/>
      <c r="V314" s="46">
        <v>3</v>
      </c>
      <c r="W314" s="45" t="s">
        <v>1764</v>
      </c>
      <c r="X314" s="1027"/>
      <c r="Z314" s="46">
        <v>3</v>
      </c>
      <c r="AA314" s="45" t="s">
        <v>1764</v>
      </c>
      <c r="AB314" s="1027"/>
      <c r="AC314" s="1024"/>
      <c r="AE314" s="80" t="s">
        <v>1731</v>
      </c>
      <c r="AF314" s="81">
        <f t="shared" si="31"/>
        <v>5</v>
      </c>
    </row>
    <row r="315" spans="2:32" ht="17" thickBot="1">
      <c r="B315" s="47">
        <v>4</v>
      </c>
      <c r="C315" s="48"/>
      <c r="D315" s="1029"/>
      <c r="F315" s="47">
        <v>4</v>
      </c>
      <c r="G315" s="48"/>
      <c r="H315" s="1029"/>
      <c r="J315" s="47">
        <v>4</v>
      </c>
      <c r="K315" s="48"/>
      <c r="L315" s="1029"/>
      <c r="N315" s="47">
        <v>4</v>
      </c>
      <c r="O315" s="48"/>
      <c r="P315" s="1029"/>
      <c r="R315" s="47">
        <v>4</v>
      </c>
      <c r="S315" s="48"/>
      <c r="T315" s="1029"/>
      <c r="V315" s="47">
        <v>4</v>
      </c>
      <c r="W315" s="48"/>
      <c r="X315" s="1029"/>
      <c r="Z315" s="47">
        <v>4</v>
      </c>
      <c r="AA315" s="48"/>
      <c r="AB315" s="1029"/>
      <c r="AC315" s="1024"/>
      <c r="AE315" s="80" t="s">
        <v>1733</v>
      </c>
      <c r="AF315" s="81">
        <f t="shared" si="31"/>
        <v>5</v>
      </c>
    </row>
    <row r="316" spans="2:32" ht="16" customHeight="1">
      <c r="B316" s="49">
        <v>1</v>
      </c>
      <c r="C316" s="50" t="s">
        <v>1772</v>
      </c>
      <c r="D316" s="1026" t="s">
        <v>1389</v>
      </c>
      <c r="F316" s="49">
        <v>1</v>
      </c>
      <c r="G316" s="50" t="s">
        <v>1729</v>
      </c>
      <c r="H316" s="1026" t="s">
        <v>1389</v>
      </c>
      <c r="J316" s="49">
        <v>1</v>
      </c>
      <c r="K316" s="45" t="s">
        <v>1729</v>
      </c>
      <c r="L316" s="1026" t="s">
        <v>1389</v>
      </c>
      <c r="N316" s="49">
        <v>1</v>
      </c>
      <c r="O316" s="50" t="s">
        <v>1729</v>
      </c>
      <c r="P316" s="1026" t="s">
        <v>1389</v>
      </c>
      <c r="R316" s="49">
        <v>1</v>
      </c>
      <c r="S316" s="45" t="s">
        <v>1729</v>
      </c>
      <c r="T316" s="1026" t="s">
        <v>1389</v>
      </c>
      <c r="V316" s="49">
        <v>1</v>
      </c>
      <c r="W316" s="45" t="s">
        <v>1729</v>
      </c>
      <c r="X316" s="1026" t="s">
        <v>1389</v>
      </c>
      <c r="Z316" s="49">
        <v>1</v>
      </c>
      <c r="AA316" s="45" t="s">
        <v>1729</v>
      </c>
      <c r="AB316" s="1026" t="s">
        <v>1389</v>
      </c>
      <c r="AC316" s="1024"/>
      <c r="AE316" s="80" t="s">
        <v>1357</v>
      </c>
      <c r="AF316" s="81">
        <f t="shared" si="31"/>
        <v>3</v>
      </c>
    </row>
    <row r="317" spans="2:32">
      <c r="B317" s="46">
        <v>2</v>
      </c>
      <c r="C317" s="45" t="s">
        <v>1732</v>
      </c>
      <c r="D317" s="1027"/>
      <c r="F317" s="46">
        <v>2</v>
      </c>
      <c r="G317" s="45" t="s">
        <v>1733</v>
      </c>
      <c r="H317" s="1027"/>
      <c r="J317" s="46">
        <v>2</v>
      </c>
      <c r="K317" s="45" t="s">
        <v>1772</v>
      </c>
      <c r="L317" s="1027"/>
      <c r="N317" s="46">
        <v>2</v>
      </c>
      <c r="O317" s="45" t="s">
        <v>1732</v>
      </c>
      <c r="P317" s="1027"/>
      <c r="R317" s="46">
        <v>2</v>
      </c>
      <c r="S317" s="45" t="s">
        <v>1732</v>
      </c>
      <c r="T317" s="1027"/>
      <c r="V317" s="46">
        <v>2</v>
      </c>
      <c r="W317" s="45" t="s">
        <v>1732</v>
      </c>
      <c r="X317" s="1027"/>
      <c r="Z317" s="46">
        <v>2</v>
      </c>
      <c r="AA317" s="45" t="s">
        <v>1732</v>
      </c>
      <c r="AB317" s="1027"/>
      <c r="AC317" s="1024"/>
      <c r="AE317" s="80" t="s">
        <v>1735</v>
      </c>
      <c r="AF317" s="81">
        <f t="shared" si="31"/>
        <v>3</v>
      </c>
    </row>
    <row r="318" spans="2:32">
      <c r="B318" s="46">
        <v>3</v>
      </c>
      <c r="C318" s="45"/>
      <c r="D318" s="1027"/>
      <c r="F318" s="46">
        <v>3</v>
      </c>
      <c r="G318" s="45"/>
      <c r="H318" s="1027"/>
      <c r="J318" s="46">
        <v>3</v>
      </c>
      <c r="K318" s="45"/>
      <c r="L318" s="1027"/>
      <c r="N318" s="46">
        <v>3</v>
      </c>
      <c r="O318" s="45"/>
      <c r="P318" s="1027"/>
      <c r="R318" s="46">
        <v>3</v>
      </c>
      <c r="S318" s="45" t="s">
        <v>1772</v>
      </c>
      <c r="T318" s="1027"/>
      <c r="V318" s="46">
        <v>3</v>
      </c>
      <c r="W318" s="45" t="s">
        <v>1772</v>
      </c>
      <c r="X318" s="1027"/>
      <c r="Z318" s="46">
        <v>3</v>
      </c>
      <c r="AA318" s="45" t="s">
        <v>1772</v>
      </c>
      <c r="AB318" s="1027"/>
      <c r="AC318" s="1024"/>
      <c r="AE318" s="80" t="s">
        <v>1730</v>
      </c>
      <c r="AF318" s="81">
        <f t="shared" si="31"/>
        <v>0</v>
      </c>
    </row>
    <row r="319" spans="2:32">
      <c r="B319" s="51">
        <v>4</v>
      </c>
      <c r="C319" s="52"/>
      <c r="D319" s="1028"/>
      <c r="F319" s="51">
        <v>4</v>
      </c>
      <c r="G319" s="52"/>
      <c r="H319" s="1028"/>
      <c r="J319" s="51">
        <v>4</v>
      </c>
      <c r="K319" s="45"/>
      <c r="L319" s="1028"/>
      <c r="N319" s="51">
        <v>4</v>
      </c>
      <c r="O319" s="52"/>
      <c r="P319" s="1028"/>
      <c r="R319" s="51">
        <v>4</v>
      </c>
      <c r="S319" s="45" t="s">
        <v>1735</v>
      </c>
      <c r="T319" s="1028"/>
      <c r="V319" s="51">
        <v>4</v>
      </c>
      <c r="W319" s="45" t="s">
        <v>1735</v>
      </c>
      <c r="X319" s="1028"/>
      <c r="Z319" s="51">
        <v>4</v>
      </c>
      <c r="AA319" s="45" t="s">
        <v>1735</v>
      </c>
      <c r="AB319" s="1028"/>
      <c r="AC319" s="1024"/>
    </row>
    <row r="320" spans="2:32" ht="17" thickBot="1">
      <c r="B320" s="47">
        <v>5</v>
      </c>
      <c r="C320" s="48"/>
      <c r="D320" s="1029"/>
      <c r="F320" s="47">
        <v>5</v>
      </c>
      <c r="G320" s="95" t="s">
        <v>1809</v>
      </c>
      <c r="H320" s="1029"/>
      <c r="J320" s="47">
        <v>5</v>
      </c>
      <c r="K320" s="95" t="s">
        <v>1809</v>
      </c>
      <c r="L320" s="1029"/>
      <c r="N320" s="47">
        <v>5</v>
      </c>
      <c r="O320" s="48"/>
      <c r="P320" s="1029"/>
      <c r="R320" s="47">
        <v>5</v>
      </c>
      <c r="S320" s="70"/>
      <c r="T320" s="1029"/>
      <c r="V320" s="47">
        <v>5</v>
      </c>
      <c r="W320" s="70"/>
      <c r="X320" s="1029"/>
      <c r="Z320" s="47">
        <v>5</v>
      </c>
      <c r="AA320" s="70"/>
      <c r="AB320" s="1029"/>
      <c r="AC320" s="1024"/>
    </row>
    <row r="321" spans="2:32" ht="17" thickBot="1"/>
    <row r="322" spans="2:32">
      <c r="B322" s="1033" t="s">
        <v>1484</v>
      </c>
      <c r="C322" s="1034"/>
      <c r="D322" s="1035"/>
      <c r="F322" s="1033" t="s">
        <v>1485</v>
      </c>
      <c r="G322" s="1034"/>
      <c r="H322" s="1035"/>
      <c r="J322" s="1033" t="s">
        <v>1486</v>
      </c>
      <c r="K322" s="1034"/>
      <c r="L322" s="1035"/>
      <c r="N322" s="1033" t="s">
        <v>1487</v>
      </c>
      <c r="O322" s="1034"/>
      <c r="P322" s="1035"/>
      <c r="R322" s="1033" t="s">
        <v>1488</v>
      </c>
      <c r="S322" s="1034"/>
      <c r="T322" s="1035"/>
      <c r="V322" s="1033" t="s">
        <v>1489</v>
      </c>
      <c r="W322" s="1034"/>
      <c r="X322" s="1035"/>
      <c r="Z322" s="1033" t="s">
        <v>1490</v>
      </c>
      <c r="AA322" s="1034"/>
      <c r="AB322" s="1035"/>
      <c r="AC322" s="1024" t="s">
        <v>1</v>
      </c>
      <c r="AE322" s="80" t="s">
        <v>1729</v>
      </c>
      <c r="AF322" s="81">
        <f>COUNTIF($B$323:$AB$331,AE322)</f>
        <v>6</v>
      </c>
    </row>
    <row r="323" spans="2:32" ht="16" customHeight="1">
      <c r="B323" s="46">
        <v>1</v>
      </c>
      <c r="C323" s="45"/>
      <c r="D323" s="1027" t="s">
        <v>119</v>
      </c>
      <c r="F323" s="46">
        <v>1</v>
      </c>
      <c r="G323" s="45" t="s">
        <v>1731</v>
      </c>
      <c r="H323" s="1027" t="s">
        <v>119</v>
      </c>
      <c r="J323" s="46">
        <v>1</v>
      </c>
      <c r="K323" s="45" t="s">
        <v>1357</v>
      </c>
      <c r="L323" s="1027" t="s">
        <v>119</v>
      </c>
      <c r="N323" s="46">
        <v>1</v>
      </c>
      <c r="O323" s="45" t="s">
        <v>1731</v>
      </c>
      <c r="P323" s="1027" t="s">
        <v>119</v>
      </c>
      <c r="R323" s="46">
        <v>1</v>
      </c>
      <c r="S323" s="45" t="s">
        <v>1731</v>
      </c>
      <c r="T323" s="1027" t="s">
        <v>119</v>
      </c>
      <c r="V323" s="46">
        <v>1</v>
      </c>
      <c r="W323" s="45" t="s">
        <v>1731</v>
      </c>
      <c r="X323" s="1027" t="s">
        <v>119</v>
      </c>
      <c r="Z323" s="46">
        <v>1</v>
      </c>
      <c r="AA323" s="45" t="s">
        <v>1731</v>
      </c>
      <c r="AB323" s="1027" t="s">
        <v>119</v>
      </c>
      <c r="AC323" s="1024"/>
      <c r="AE323" s="80" t="s">
        <v>1732</v>
      </c>
      <c r="AF323" s="81">
        <f t="shared" ref="AF323:AF329" si="32">COUNTIF($B$323:$AB$331,AE323)</f>
        <v>5</v>
      </c>
    </row>
    <row r="324" spans="2:32">
      <c r="B324" s="46">
        <v>2</v>
      </c>
      <c r="C324" s="45"/>
      <c r="D324" s="1027"/>
      <c r="F324" s="46">
        <v>2</v>
      </c>
      <c r="G324" s="45" t="s">
        <v>1357</v>
      </c>
      <c r="H324" s="1027"/>
      <c r="J324" s="46">
        <v>2</v>
      </c>
      <c r="K324" s="45" t="s">
        <v>1733</v>
      </c>
      <c r="L324" s="1027"/>
      <c r="N324" s="46">
        <v>2</v>
      </c>
      <c r="O324" s="45" t="s">
        <v>1733</v>
      </c>
      <c r="P324" s="1027"/>
      <c r="R324" s="46">
        <v>2</v>
      </c>
      <c r="S324" s="45" t="s">
        <v>1357</v>
      </c>
      <c r="T324" s="1027"/>
      <c r="V324" s="46">
        <v>2</v>
      </c>
      <c r="W324" s="45" t="s">
        <v>1733</v>
      </c>
      <c r="X324" s="1027"/>
      <c r="Z324" s="46">
        <v>2</v>
      </c>
      <c r="AA324" s="45" t="s">
        <v>1733</v>
      </c>
      <c r="AB324" s="1027"/>
      <c r="AC324" s="1024"/>
      <c r="AE324" s="80" t="s">
        <v>1772</v>
      </c>
      <c r="AF324" s="81">
        <f t="shared" si="32"/>
        <v>5</v>
      </c>
    </row>
    <row r="325" spans="2:32">
      <c r="B325" s="46">
        <v>3</v>
      </c>
      <c r="C325" s="45"/>
      <c r="D325" s="1027"/>
      <c r="F325" s="46">
        <v>3</v>
      </c>
      <c r="G325" s="45" t="s">
        <v>1764</v>
      </c>
      <c r="H325" s="1027"/>
      <c r="J325" s="46">
        <v>3</v>
      </c>
      <c r="K325" s="45" t="s">
        <v>1764</v>
      </c>
      <c r="L325" s="1027"/>
      <c r="N325" s="46">
        <v>3</v>
      </c>
      <c r="O325" s="45" t="s">
        <v>1764</v>
      </c>
      <c r="P325" s="1027"/>
      <c r="R325" s="46">
        <v>3</v>
      </c>
      <c r="S325" s="45" t="s">
        <v>1764</v>
      </c>
      <c r="T325" s="1027"/>
      <c r="V325" s="46">
        <v>3</v>
      </c>
      <c r="W325" s="45" t="s">
        <v>1764</v>
      </c>
      <c r="X325" s="1027"/>
      <c r="Z325" s="46">
        <v>3</v>
      </c>
      <c r="AA325" s="45" t="s">
        <v>1764</v>
      </c>
      <c r="AB325" s="1027"/>
      <c r="AC325" s="1024"/>
      <c r="AE325" s="80" t="s">
        <v>1731</v>
      </c>
      <c r="AF325" s="81">
        <f t="shared" si="32"/>
        <v>5</v>
      </c>
    </row>
    <row r="326" spans="2:32" ht="17" thickBot="1">
      <c r="B326" s="47">
        <v>4</v>
      </c>
      <c r="C326" s="48"/>
      <c r="D326" s="1029"/>
      <c r="F326" s="47">
        <v>4</v>
      </c>
      <c r="G326" s="48"/>
      <c r="H326" s="1029"/>
      <c r="J326" s="47">
        <v>4</v>
      </c>
      <c r="K326" s="48"/>
      <c r="L326" s="1029"/>
      <c r="N326" s="47">
        <v>4</v>
      </c>
      <c r="O326" s="48"/>
      <c r="P326" s="1029"/>
      <c r="R326" s="47">
        <v>4</v>
      </c>
      <c r="S326" s="48"/>
      <c r="T326" s="1029"/>
      <c r="V326" s="47">
        <v>4</v>
      </c>
      <c r="W326" s="48"/>
      <c r="X326" s="1029"/>
      <c r="Z326" s="47">
        <v>4</v>
      </c>
      <c r="AA326" s="48"/>
      <c r="AB326" s="1029"/>
      <c r="AC326" s="1024"/>
      <c r="AE326" s="80" t="s">
        <v>1733</v>
      </c>
      <c r="AF326" s="81">
        <f t="shared" si="32"/>
        <v>5</v>
      </c>
    </row>
    <row r="327" spans="2:32" ht="16" customHeight="1">
      <c r="B327" s="49">
        <v>1</v>
      </c>
      <c r="C327" s="45" t="s">
        <v>1729</v>
      </c>
      <c r="D327" s="1026" t="s">
        <v>1389</v>
      </c>
      <c r="F327" s="49">
        <v>1</v>
      </c>
      <c r="G327" s="50" t="s">
        <v>1729</v>
      </c>
      <c r="H327" s="1026" t="s">
        <v>1389</v>
      </c>
      <c r="J327" s="49">
        <v>1</v>
      </c>
      <c r="K327" s="50" t="s">
        <v>1772</v>
      </c>
      <c r="L327" s="1026" t="s">
        <v>1389</v>
      </c>
      <c r="N327" s="49">
        <v>1</v>
      </c>
      <c r="O327" s="50" t="s">
        <v>1729</v>
      </c>
      <c r="P327" s="1026" t="s">
        <v>1389</v>
      </c>
      <c r="R327" s="49">
        <v>1</v>
      </c>
      <c r="S327" s="45" t="s">
        <v>1729</v>
      </c>
      <c r="T327" s="1026" t="s">
        <v>1389</v>
      </c>
      <c r="V327" s="49">
        <v>1</v>
      </c>
      <c r="W327" s="45" t="s">
        <v>1729</v>
      </c>
      <c r="X327" s="1026" t="s">
        <v>1389</v>
      </c>
      <c r="Z327" s="49">
        <v>1</v>
      </c>
      <c r="AA327" s="45" t="s">
        <v>1729</v>
      </c>
      <c r="AB327" s="1026" t="s">
        <v>1389</v>
      </c>
      <c r="AC327" s="1024"/>
      <c r="AE327" s="80" t="s">
        <v>1357</v>
      </c>
      <c r="AF327" s="81">
        <f t="shared" si="32"/>
        <v>3</v>
      </c>
    </row>
    <row r="328" spans="2:32">
      <c r="B328" s="46">
        <v>2</v>
      </c>
      <c r="C328" s="45" t="s">
        <v>1772</v>
      </c>
      <c r="D328" s="1027"/>
      <c r="F328" s="46">
        <v>2</v>
      </c>
      <c r="G328" s="45" t="s">
        <v>1733</v>
      </c>
      <c r="H328" s="1027"/>
      <c r="J328" s="46">
        <v>2</v>
      </c>
      <c r="K328" s="45" t="s">
        <v>1732</v>
      </c>
      <c r="L328" s="1027"/>
      <c r="N328" s="46">
        <v>2</v>
      </c>
      <c r="O328" s="45" t="s">
        <v>1732</v>
      </c>
      <c r="P328" s="1027"/>
      <c r="R328" s="46">
        <v>2</v>
      </c>
      <c r="S328" s="45" t="s">
        <v>1732</v>
      </c>
      <c r="T328" s="1027"/>
      <c r="V328" s="46">
        <v>2</v>
      </c>
      <c r="W328" s="45" t="s">
        <v>1732</v>
      </c>
      <c r="X328" s="1027"/>
      <c r="Z328" s="46">
        <v>2</v>
      </c>
      <c r="AA328" s="45" t="s">
        <v>1732</v>
      </c>
      <c r="AB328" s="1027"/>
      <c r="AC328" s="1024"/>
      <c r="AE328" s="80" t="s">
        <v>1735</v>
      </c>
      <c r="AF328" s="81">
        <f t="shared" si="32"/>
        <v>3</v>
      </c>
    </row>
    <row r="329" spans="2:32">
      <c r="B329" s="46">
        <v>3</v>
      </c>
      <c r="C329" s="45"/>
      <c r="D329" s="1027"/>
      <c r="F329" s="46">
        <v>3</v>
      </c>
      <c r="G329" s="45"/>
      <c r="H329" s="1027"/>
      <c r="J329" s="46">
        <v>3</v>
      </c>
      <c r="K329" s="45"/>
      <c r="L329" s="1027"/>
      <c r="N329" s="46">
        <v>3</v>
      </c>
      <c r="O329" s="45"/>
      <c r="P329" s="1027"/>
      <c r="R329" s="46">
        <v>3</v>
      </c>
      <c r="S329" s="45" t="s">
        <v>1772</v>
      </c>
      <c r="T329" s="1027"/>
      <c r="V329" s="46">
        <v>3</v>
      </c>
      <c r="W329" s="45" t="s">
        <v>1772</v>
      </c>
      <c r="X329" s="1027"/>
      <c r="Z329" s="46">
        <v>3</v>
      </c>
      <c r="AA329" s="45" t="s">
        <v>1772</v>
      </c>
      <c r="AB329" s="1027"/>
      <c r="AC329" s="1024"/>
      <c r="AE329" s="80" t="s">
        <v>1730</v>
      </c>
      <c r="AF329" s="81">
        <f t="shared" si="32"/>
        <v>0</v>
      </c>
    </row>
    <row r="330" spans="2:32">
      <c r="B330" s="51">
        <v>4</v>
      </c>
      <c r="C330" s="52"/>
      <c r="D330" s="1028"/>
      <c r="F330" s="51">
        <v>4</v>
      </c>
      <c r="G330" s="52"/>
      <c r="H330" s="1028"/>
      <c r="J330" s="51">
        <v>4</v>
      </c>
      <c r="K330" s="52"/>
      <c r="L330" s="1028"/>
      <c r="N330" s="51">
        <v>4</v>
      </c>
      <c r="O330" s="52"/>
      <c r="P330" s="1028"/>
      <c r="R330" s="51">
        <v>4</v>
      </c>
      <c r="S330" s="45" t="s">
        <v>1735</v>
      </c>
      <c r="T330" s="1028"/>
      <c r="V330" s="51">
        <v>4</v>
      </c>
      <c r="W330" s="45" t="s">
        <v>1735</v>
      </c>
      <c r="X330" s="1028"/>
      <c r="Z330" s="51">
        <v>4</v>
      </c>
      <c r="AA330" s="45" t="s">
        <v>1735</v>
      </c>
      <c r="AB330" s="1028"/>
      <c r="AC330" s="1024"/>
    </row>
    <row r="331" spans="2:32" ht="17" thickBot="1">
      <c r="B331" s="47">
        <v>5</v>
      </c>
      <c r="C331" s="48"/>
      <c r="D331" s="1029"/>
      <c r="F331" s="47">
        <v>5</v>
      </c>
      <c r="G331" s="48"/>
      <c r="H331" s="1029"/>
      <c r="J331" s="47">
        <v>5</v>
      </c>
      <c r="K331" s="48"/>
      <c r="L331" s="1029"/>
      <c r="N331" s="47">
        <v>5</v>
      </c>
      <c r="O331" s="48"/>
      <c r="P331" s="1029"/>
      <c r="R331" s="47">
        <v>5</v>
      </c>
      <c r="S331" s="70"/>
      <c r="T331" s="1029"/>
      <c r="V331" s="47">
        <v>5</v>
      </c>
      <c r="W331" s="70"/>
      <c r="X331" s="1029"/>
      <c r="Z331" s="47">
        <v>5</v>
      </c>
      <c r="AA331" s="70"/>
      <c r="AB331" s="1029"/>
      <c r="AC331" s="1024"/>
    </row>
    <row r="332" spans="2:32" ht="17" thickBot="1"/>
    <row r="333" spans="2:32">
      <c r="B333" s="1033" t="s">
        <v>1493</v>
      </c>
      <c r="C333" s="1034"/>
      <c r="D333" s="1035"/>
      <c r="F333" s="1033" t="s">
        <v>1494</v>
      </c>
      <c r="G333" s="1034"/>
      <c r="H333" s="1035"/>
      <c r="J333" s="1033" t="s">
        <v>1495</v>
      </c>
      <c r="K333" s="1034"/>
      <c r="L333" s="1035"/>
      <c r="N333" s="1033" t="s">
        <v>1496</v>
      </c>
      <c r="O333" s="1034"/>
      <c r="P333" s="1035"/>
      <c r="R333" s="1033" t="s">
        <v>1497</v>
      </c>
      <c r="S333" s="1034"/>
      <c r="T333" s="1035"/>
      <c r="V333" s="1033" t="s">
        <v>1498</v>
      </c>
      <c r="W333" s="1034"/>
      <c r="X333" s="1035"/>
      <c r="Z333" s="1033" t="s">
        <v>1499</v>
      </c>
      <c r="AA333" s="1034"/>
      <c r="AB333" s="1035"/>
      <c r="AC333" s="1024" t="s">
        <v>1</v>
      </c>
      <c r="AE333" s="80" t="s">
        <v>1729</v>
      </c>
      <c r="AF333" s="81">
        <f>COUNTIF($C$334:$AA$342,AE333)</f>
        <v>6</v>
      </c>
    </row>
    <row r="334" spans="2:32" ht="16" customHeight="1">
      <c r="B334" s="46">
        <v>1</v>
      </c>
      <c r="C334" s="45"/>
      <c r="D334" s="1027" t="s">
        <v>119</v>
      </c>
      <c r="F334" s="46">
        <v>1</v>
      </c>
      <c r="G334" s="45" t="s">
        <v>1731</v>
      </c>
      <c r="H334" s="1027" t="s">
        <v>119</v>
      </c>
      <c r="J334" s="46">
        <v>1</v>
      </c>
      <c r="K334" s="45" t="s">
        <v>1357</v>
      </c>
      <c r="L334" s="1027" t="s">
        <v>119</v>
      </c>
      <c r="N334" s="46">
        <v>1</v>
      </c>
      <c r="O334" s="45" t="s">
        <v>1731</v>
      </c>
      <c r="P334" s="1027" t="s">
        <v>119</v>
      </c>
      <c r="R334" s="46">
        <v>1</v>
      </c>
      <c r="S334" s="45" t="s">
        <v>1731</v>
      </c>
      <c r="T334" s="1027" t="s">
        <v>119</v>
      </c>
      <c r="V334" s="46">
        <v>1</v>
      </c>
      <c r="W334" s="45" t="s">
        <v>1731</v>
      </c>
      <c r="X334" s="1027" t="s">
        <v>119</v>
      </c>
      <c r="Z334" s="46">
        <v>1</v>
      </c>
      <c r="AA334" s="45" t="s">
        <v>1731</v>
      </c>
      <c r="AB334" s="1027" t="s">
        <v>119</v>
      </c>
      <c r="AC334" s="1024"/>
      <c r="AE334" s="80" t="s">
        <v>1732</v>
      </c>
      <c r="AF334" s="81">
        <f t="shared" ref="AF334:AF340" si="33">COUNTIF($C$334:$AA$342,AE334)</f>
        <v>5</v>
      </c>
    </row>
    <row r="335" spans="2:32">
      <c r="B335" s="46">
        <v>2</v>
      </c>
      <c r="C335" s="45"/>
      <c r="D335" s="1027"/>
      <c r="F335" s="46">
        <v>2</v>
      </c>
      <c r="G335" s="45" t="s">
        <v>1357</v>
      </c>
      <c r="H335" s="1027"/>
      <c r="J335" s="46">
        <v>2</v>
      </c>
      <c r="K335" s="45" t="s">
        <v>1733</v>
      </c>
      <c r="L335" s="1027"/>
      <c r="N335" s="46">
        <v>2</v>
      </c>
      <c r="O335" s="45" t="s">
        <v>1733</v>
      </c>
      <c r="P335" s="1027"/>
      <c r="R335" s="46">
        <v>2</v>
      </c>
      <c r="S335" s="45" t="s">
        <v>1357</v>
      </c>
      <c r="T335" s="1027"/>
      <c r="V335" s="46">
        <v>2</v>
      </c>
      <c r="W335" s="45" t="s">
        <v>1733</v>
      </c>
      <c r="X335" s="1027"/>
      <c r="Z335" s="46">
        <v>2</v>
      </c>
      <c r="AA335" s="45" t="s">
        <v>1733</v>
      </c>
      <c r="AB335" s="1027"/>
      <c r="AC335" s="1024"/>
      <c r="AE335" s="80" t="s">
        <v>1772</v>
      </c>
      <c r="AF335" s="81">
        <f t="shared" si="33"/>
        <v>5</v>
      </c>
    </row>
    <row r="336" spans="2:32">
      <c r="B336" s="46">
        <v>3</v>
      </c>
      <c r="C336" s="45"/>
      <c r="D336" s="1027"/>
      <c r="F336" s="46">
        <v>3</v>
      </c>
      <c r="G336" s="45" t="s">
        <v>1764</v>
      </c>
      <c r="H336" s="1027"/>
      <c r="J336" s="46">
        <v>3</v>
      </c>
      <c r="K336" s="45" t="s">
        <v>1764</v>
      </c>
      <c r="L336" s="1027"/>
      <c r="N336" s="46">
        <v>3</v>
      </c>
      <c r="O336" s="45" t="s">
        <v>1764</v>
      </c>
      <c r="P336" s="1027"/>
      <c r="R336" s="46">
        <v>3</v>
      </c>
      <c r="S336" s="45" t="s">
        <v>1764</v>
      </c>
      <c r="T336" s="1027"/>
      <c r="V336" s="46">
        <v>3</v>
      </c>
      <c r="W336" s="45" t="s">
        <v>1764</v>
      </c>
      <c r="X336" s="1027"/>
      <c r="Z336" s="46">
        <v>3</v>
      </c>
      <c r="AA336" s="45" t="s">
        <v>1764</v>
      </c>
      <c r="AB336" s="1027"/>
      <c r="AC336" s="1024"/>
      <c r="AE336" s="80" t="s">
        <v>1731</v>
      </c>
      <c r="AF336" s="81">
        <f t="shared" si="33"/>
        <v>5</v>
      </c>
    </row>
    <row r="337" spans="2:32" ht="17" thickBot="1">
      <c r="B337" s="47">
        <v>4</v>
      </c>
      <c r="C337" s="48"/>
      <c r="D337" s="1029"/>
      <c r="F337" s="47">
        <v>4</v>
      </c>
      <c r="G337" s="48"/>
      <c r="H337" s="1029"/>
      <c r="J337" s="47">
        <v>4</v>
      </c>
      <c r="K337" s="48"/>
      <c r="L337" s="1029"/>
      <c r="N337" s="47">
        <v>4</v>
      </c>
      <c r="O337" s="48"/>
      <c r="P337" s="1029"/>
      <c r="R337" s="47">
        <v>4</v>
      </c>
      <c r="S337" s="48"/>
      <c r="T337" s="1029"/>
      <c r="V337" s="47">
        <v>4</v>
      </c>
      <c r="W337" s="48"/>
      <c r="X337" s="1029"/>
      <c r="Z337" s="47">
        <v>4</v>
      </c>
      <c r="AA337" s="48"/>
      <c r="AB337" s="1029"/>
      <c r="AC337" s="1024"/>
      <c r="AE337" s="80" t="s">
        <v>1733</v>
      </c>
      <c r="AF337" s="81">
        <f t="shared" si="33"/>
        <v>5</v>
      </c>
    </row>
    <row r="338" spans="2:32" ht="16" customHeight="1">
      <c r="B338" s="49">
        <v>1</v>
      </c>
      <c r="C338" s="45" t="s">
        <v>1729</v>
      </c>
      <c r="D338" s="1026" t="s">
        <v>1389</v>
      </c>
      <c r="F338" s="49">
        <v>1</v>
      </c>
      <c r="G338" s="50" t="s">
        <v>1729</v>
      </c>
      <c r="H338" s="1026" t="s">
        <v>1389</v>
      </c>
      <c r="J338" s="49">
        <v>1</v>
      </c>
      <c r="K338" s="50" t="s">
        <v>1772</v>
      </c>
      <c r="L338" s="1026" t="s">
        <v>1389</v>
      </c>
      <c r="N338" s="49">
        <v>1</v>
      </c>
      <c r="O338" s="50" t="s">
        <v>1729</v>
      </c>
      <c r="P338" s="1026" t="s">
        <v>1389</v>
      </c>
      <c r="R338" s="49">
        <v>1</v>
      </c>
      <c r="S338" s="45" t="s">
        <v>1729</v>
      </c>
      <c r="T338" s="1026" t="s">
        <v>1389</v>
      </c>
      <c r="V338" s="49">
        <v>1</v>
      </c>
      <c r="W338" s="45" t="s">
        <v>1729</v>
      </c>
      <c r="X338" s="1026" t="s">
        <v>1389</v>
      </c>
      <c r="Z338" s="49">
        <v>1</v>
      </c>
      <c r="AA338" s="45" t="s">
        <v>1729</v>
      </c>
      <c r="AB338" s="1026" t="s">
        <v>1389</v>
      </c>
      <c r="AC338" s="1024"/>
      <c r="AE338" s="80" t="s">
        <v>1357</v>
      </c>
      <c r="AF338" s="81">
        <f t="shared" si="33"/>
        <v>3</v>
      </c>
    </row>
    <row r="339" spans="2:32">
      <c r="B339" s="46">
        <v>2</v>
      </c>
      <c r="C339" s="45" t="s">
        <v>1772</v>
      </c>
      <c r="D339" s="1027"/>
      <c r="F339" s="46">
        <v>2</v>
      </c>
      <c r="G339" s="45" t="s">
        <v>1733</v>
      </c>
      <c r="H339" s="1027"/>
      <c r="J339" s="46">
        <v>2</v>
      </c>
      <c r="K339" s="45" t="s">
        <v>1732</v>
      </c>
      <c r="L339" s="1027"/>
      <c r="N339" s="46">
        <v>2</v>
      </c>
      <c r="O339" s="45" t="s">
        <v>1732</v>
      </c>
      <c r="P339" s="1027"/>
      <c r="R339" s="46">
        <v>2</v>
      </c>
      <c r="S339" s="45" t="s">
        <v>1732</v>
      </c>
      <c r="T339" s="1027"/>
      <c r="V339" s="46">
        <v>2</v>
      </c>
      <c r="W339" s="45" t="s">
        <v>1732</v>
      </c>
      <c r="X339" s="1027"/>
      <c r="Z339" s="46">
        <v>2</v>
      </c>
      <c r="AA339" s="45" t="s">
        <v>1732</v>
      </c>
      <c r="AB339" s="1027"/>
      <c r="AC339" s="1024"/>
      <c r="AE339" s="80" t="s">
        <v>1735</v>
      </c>
      <c r="AF339" s="81">
        <f t="shared" si="33"/>
        <v>3</v>
      </c>
    </row>
    <row r="340" spans="2:32">
      <c r="B340" s="46">
        <v>3</v>
      </c>
      <c r="C340" s="45"/>
      <c r="D340" s="1027"/>
      <c r="F340" s="46">
        <v>3</v>
      </c>
      <c r="G340" s="45"/>
      <c r="H340" s="1027"/>
      <c r="J340" s="46">
        <v>3</v>
      </c>
      <c r="K340" s="45"/>
      <c r="L340" s="1027"/>
      <c r="N340" s="46">
        <v>3</v>
      </c>
      <c r="O340" s="45"/>
      <c r="P340" s="1027"/>
      <c r="R340" s="46">
        <v>3</v>
      </c>
      <c r="S340" s="45" t="s">
        <v>1772</v>
      </c>
      <c r="T340" s="1027"/>
      <c r="V340" s="46">
        <v>3</v>
      </c>
      <c r="W340" s="45" t="s">
        <v>1772</v>
      </c>
      <c r="X340" s="1027"/>
      <c r="Z340" s="46">
        <v>3</v>
      </c>
      <c r="AA340" s="45" t="s">
        <v>1772</v>
      </c>
      <c r="AB340" s="1027"/>
      <c r="AC340" s="1024"/>
      <c r="AE340" s="80" t="s">
        <v>1730</v>
      </c>
      <c r="AF340" s="81">
        <f t="shared" si="33"/>
        <v>0</v>
      </c>
    </row>
    <row r="341" spans="2:32">
      <c r="B341" s="51">
        <v>4</v>
      </c>
      <c r="C341" s="52"/>
      <c r="D341" s="1028"/>
      <c r="F341" s="51">
        <v>4</v>
      </c>
      <c r="G341" s="52"/>
      <c r="H341" s="1028"/>
      <c r="J341" s="51">
        <v>4</v>
      </c>
      <c r="K341" s="52"/>
      <c r="L341" s="1028"/>
      <c r="N341" s="51">
        <v>4</v>
      </c>
      <c r="O341" s="52"/>
      <c r="P341" s="1028"/>
      <c r="R341" s="51">
        <v>4</v>
      </c>
      <c r="S341" s="45" t="s">
        <v>1735</v>
      </c>
      <c r="T341" s="1028"/>
      <c r="V341" s="51">
        <v>4</v>
      </c>
      <c r="W341" s="45" t="s">
        <v>1735</v>
      </c>
      <c r="X341" s="1028"/>
      <c r="Z341" s="51">
        <v>4</v>
      </c>
      <c r="AA341" s="45" t="s">
        <v>1735</v>
      </c>
      <c r="AB341" s="1028"/>
      <c r="AC341" s="1024"/>
    </row>
    <row r="342" spans="2:32" ht="17" thickBot="1">
      <c r="B342" s="47">
        <v>5</v>
      </c>
      <c r="C342" s="48"/>
      <c r="D342" s="1029"/>
      <c r="F342" s="47">
        <v>5</v>
      </c>
      <c r="G342" s="48"/>
      <c r="H342" s="1029"/>
      <c r="J342" s="47">
        <v>5</v>
      </c>
      <c r="K342" s="48"/>
      <c r="L342" s="1029"/>
      <c r="N342" s="47">
        <v>5</v>
      </c>
      <c r="O342" s="48"/>
      <c r="P342" s="1029"/>
      <c r="R342" s="47">
        <v>5</v>
      </c>
      <c r="S342" s="70"/>
      <c r="T342" s="1029"/>
      <c r="V342" s="47">
        <v>5</v>
      </c>
      <c r="W342" s="70"/>
      <c r="X342" s="1029"/>
      <c r="Z342" s="47">
        <v>5</v>
      </c>
      <c r="AA342" s="70"/>
      <c r="AB342" s="1029"/>
      <c r="AC342" s="1024"/>
    </row>
    <row r="343" spans="2:32" ht="17" thickBot="1"/>
    <row r="344" spans="2:32">
      <c r="B344" s="1033" t="s">
        <v>1506</v>
      </c>
      <c r="C344" s="1034"/>
      <c r="D344" s="1035"/>
      <c r="F344" s="1033" t="s">
        <v>1507</v>
      </c>
      <c r="G344" s="1034"/>
      <c r="H344" s="1035"/>
      <c r="J344" s="1033" t="s">
        <v>1508</v>
      </c>
      <c r="K344" s="1034"/>
      <c r="L344" s="1035"/>
      <c r="N344" s="1033" t="s">
        <v>1509</v>
      </c>
      <c r="O344" s="1034"/>
      <c r="P344" s="1035"/>
      <c r="R344" s="1033" t="s">
        <v>1510</v>
      </c>
      <c r="S344" s="1034"/>
      <c r="T344" s="1035"/>
      <c r="V344" s="1033" t="s">
        <v>1511</v>
      </c>
      <c r="W344" s="1034"/>
      <c r="X344" s="1035"/>
      <c r="Z344" s="1033" t="s">
        <v>1512</v>
      </c>
      <c r="AA344" s="1034"/>
      <c r="AB344" s="1035"/>
      <c r="AC344" s="1024" t="s">
        <v>1</v>
      </c>
      <c r="AE344" s="80" t="s">
        <v>1729</v>
      </c>
      <c r="AF344" s="81">
        <f>COUNTIF($C$345:$AB$353,AE344)</f>
        <v>6</v>
      </c>
    </row>
    <row r="345" spans="2:32" ht="16" customHeight="1">
      <c r="B345" s="46">
        <v>1</v>
      </c>
      <c r="C345" s="45"/>
      <c r="D345" s="1027" t="s">
        <v>119</v>
      </c>
      <c r="F345" s="46">
        <v>1</v>
      </c>
      <c r="G345" s="45" t="s">
        <v>1731</v>
      </c>
      <c r="H345" s="1027" t="s">
        <v>119</v>
      </c>
      <c r="J345" s="46">
        <v>1</v>
      </c>
      <c r="K345" s="45" t="s">
        <v>1357</v>
      </c>
      <c r="L345" s="1027" t="s">
        <v>119</v>
      </c>
      <c r="N345" s="46">
        <v>1</v>
      </c>
      <c r="O345" s="45" t="s">
        <v>1731</v>
      </c>
      <c r="P345" s="1027" t="s">
        <v>119</v>
      </c>
      <c r="R345" s="46">
        <v>1</v>
      </c>
      <c r="S345" s="45" t="s">
        <v>1731</v>
      </c>
      <c r="T345" s="1027" t="s">
        <v>119</v>
      </c>
      <c r="V345" s="46">
        <v>1</v>
      </c>
      <c r="W345" s="45" t="s">
        <v>1731</v>
      </c>
      <c r="X345" s="1027" t="s">
        <v>119</v>
      </c>
      <c r="Z345" s="46">
        <v>1</v>
      </c>
      <c r="AA345" s="45" t="s">
        <v>1731</v>
      </c>
      <c r="AB345" s="1027" t="s">
        <v>119</v>
      </c>
      <c r="AC345" s="1024"/>
      <c r="AE345" s="80" t="s">
        <v>1732</v>
      </c>
      <c r="AF345" s="81">
        <f t="shared" ref="AF345:AF351" si="34">COUNTIF($C$345:$AB$353,AE345)</f>
        <v>5</v>
      </c>
    </row>
    <row r="346" spans="2:32">
      <c r="B346" s="46">
        <v>2</v>
      </c>
      <c r="C346" s="45"/>
      <c r="D346" s="1027"/>
      <c r="F346" s="46">
        <v>2</v>
      </c>
      <c r="G346" s="45" t="s">
        <v>1357</v>
      </c>
      <c r="H346" s="1027"/>
      <c r="J346" s="46">
        <v>2</v>
      </c>
      <c r="K346" s="45" t="s">
        <v>1733</v>
      </c>
      <c r="L346" s="1027"/>
      <c r="N346" s="46">
        <v>2</v>
      </c>
      <c r="O346" s="45" t="s">
        <v>1733</v>
      </c>
      <c r="P346" s="1027"/>
      <c r="R346" s="46">
        <v>2</v>
      </c>
      <c r="S346" s="45" t="s">
        <v>1357</v>
      </c>
      <c r="T346" s="1027"/>
      <c r="V346" s="46">
        <v>2</v>
      </c>
      <c r="W346" s="45" t="s">
        <v>1733</v>
      </c>
      <c r="X346" s="1027"/>
      <c r="Z346" s="46">
        <v>2</v>
      </c>
      <c r="AA346" s="45" t="s">
        <v>1733</v>
      </c>
      <c r="AB346" s="1027"/>
      <c r="AC346" s="1024"/>
      <c r="AE346" s="80" t="s">
        <v>1772</v>
      </c>
      <c r="AF346" s="81">
        <f t="shared" si="34"/>
        <v>5</v>
      </c>
    </row>
    <row r="347" spans="2:32">
      <c r="B347" s="46">
        <v>3</v>
      </c>
      <c r="C347" s="45"/>
      <c r="D347" s="1027"/>
      <c r="F347" s="46">
        <v>3</v>
      </c>
      <c r="G347" s="45" t="s">
        <v>1764</v>
      </c>
      <c r="H347" s="1027"/>
      <c r="J347" s="46">
        <v>3</v>
      </c>
      <c r="K347" s="45" t="s">
        <v>1764</v>
      </c>
      <c r="L347" s="1027"/>
      <c r="N347" s="46">
        <v>3</v>
      </c>
      <c r="O347" s="45" t="s">
        <v>1764</v>
      </c>
      <c r="P347" s="1027"/>
      <c r="R347" s="46">
        <v>3</v>
      </c>
      <c r="S347" s="45" t="s">
        <v>1764</v>
      </c>
      <c r="T347" s="1027"/>
      <c r="V347" s="46">
        <v>3</v>
      </c>
      <c r="W347" s="45" t="s">
        <v>1764</v>
      </c>
      <c r="X347" s="1027"/>
      <c r="Z347" s="46">
        <v>3</v>
      </c>
      <c r="AA347" s="45" t="s">
        <v>1764</v>
      </c>
      <c r="AB347" s="1027"/>
      <c r="AC347" s="1024"/>
      <c r="AE347" s="80" t="s">
        <v>1731</v>
      </c>
      <c r="AF347" s="81">
        <f t="shared" si="34"/>
        <v>5</v>
      </c>
    </row>
    <row r="348" spans="2:32" ht="17" thickBot="1">
      <c r="B348" s="47">
        <v>4</v>
      </c>
      <c r="C348" s="48"/>
      <c r="D348" s="1029"/>
      <c r="F348" s="47">
        <v>4</v>
      </c>
      <c r="G348" s="48"/>
      <c r="H348" s="1029"/>
      <c r="J348" s="47">
        <v>4</v>
      </c>
      <c r="K348" s="48"/>
      <c r="L348" s="1029"/>
      <c r="N348" s="47">
        <v>4</v>
      </c>
      <c r="O348" s="48"/>
      <c r="P348" s="1029"/>
      <c r="R348" s="47">
        <v>4</v>
      </c>
      <c r="S348" s="48"/>
      <c r="T348" s="1029"/>
      <c r="V348" s="47">
        <v>4</v>
      </c>
      <c r="W348" s="48"/>
      <c r="X348" s="1029"/>
      <c r="Z348" s="47">
        <v>4</v>
      </c>
      <c r="AA348" s="48"/>
      <c r="AB348" s="1029"/>
      <c r="AC348" s="1024"/>
      <c r="AE348" s="80" t="s">
        <v>1733</v>
      </c>
      <c r="AF348" s="81">
        <f t="shared" si="34"/>
        <v>5</v>
      </c>
    </row>
    <row r="349" spans="2:32" ht="16" customHeight="1">
      <c r="B349" s="49">
        <v>1</v>
      </c>
      <c r="C349" s="45" t="s">
        <v>1729</v>
      </c>
      <c r="D349" s="1026" t="s">
        <v>1389</v>
      </c>
      <c r="F349" s="49">
        <v>1</v>
      </c>
      <c r="G349" s="50" t="s">
        <v>1729</v>
      </c>
      <c r="H349" s="1026" t="s">
        <v>1389</v>
      </c>
      <c r="J349" s="49">
        <v>1</v>
      </c>
      <c r="K349" s="50" t="s">
        <v>1772</v>
      </c>
      <c r="L349" s="1026" t="s">
        <v>1389</v>
      </c>
      <c r="N349" s="49">
        <v>1</v>
      </c>
      <c r="O349" s="50" t="s">
        <v>1729</v>
      </c>
      <c r="P349" s="1026" t="s">
        <v>1389</v>
      </c>
      <c r="R349" s="49">
        <v>1</v>
      </c>
      <c r="S349" s="45" t="s">
        <v>1729</v>
      </c>
      <c r="T349" s="1026" t="s">
        <v>1389</v>
      </c>
      <c r="V349" s="49">
        <v>1</v>
      </c>
      <c r="W349" s="45" t="s">
        <v>1729</v>
      </c>
      <c r="X349" s="1026" t="s">
        <v>1389</v>
      </c>
      <c r="Z349" s="49">
        <v>1</v>
      </c>
      <c r="AA349" s="45" t="s">
        <v>1729</v>
      </c>
      <c r="AB349" s="1026" t="s">
        <v>1389</v>
      </c>
      <c r="AC349" s="1024"/>
      <c r="AE349" s="80" t="s">
        <v>1357</v>
      </c>
      <c r="AF349" s="81">
        <f t="shared" si="34"/>
        <v>3</v>
      </c>
    </row>
    <row r="350" spans="2:32">
      <c r="B350" s="46">
        <v>2</v>
      </c>
      <c r="C350" s="45" t="s">
        <v>1772</v>
      </c>
      <c r="D350" s="1027"/>
      <c r="F350" s="46">
        <v>2</v>
      </c>
      <c r="G350" s="45" t="s">
        <v>1733</v>
      </c>
      <c r="H350" s="1027"/>
      <c r="J350" s="46">
        <v>2</v>
      </c>
      <c r="K350" s="45" t="s">
        <v>1732</v>
      </c>
      <c r="L350" s="1027"/>
      <c r="N350" s="46">
        <v>2</v>
      </c>
      <c r="O350" s="45" t="s">
        <v>1732</v>
      </c>
      <c r="P350" s="1027"/>
      <c r="R350" s="46">
        <v>2</v>
      </c>
      <c r="S350" s="45" t="s">
        <v>1732</v>
      </c>
      <c r="T350" s="1027"/>
      <c r="V350" s="46">
        <v>2</v>
      </c>
      <c r="W350" s="45" t="s">
        <v>1732</v>
      </c>
      <c r="X350" s="1027"/>
      <c r="Z350" s="46">
        <v>2</v>
      </c>
      <c r="AA350" s="45" t="s">
        <v>1732</v>
      </c>
      <c r="AB350" s="1027"/>
      <c r="AC350" s="1024"/>
      <c r="AE350" s="80" t="s">
        <v>1735</v>
      </c>
      <c r="AF350" s="81">
        <f t="shared" si="34"/>
        <v>3</v>
      </c>
    </row>
    <row r="351" spans="2:32">
      <c r="B351" s="46">
        <v>3</v>
      </c>
      <c r="C351" s="45"/>
      <c r="D351" s="1027"/>
      <c r="F351" s="46">
        <v>3</v>
      </c>
      <c r="G351" s="45"/>
      <c r="H351" s="1027"/>
      <c r="J351" s="46">
        <v>3</v>
      </c>
      <c r="K351" s="45"/>
      <c r="L351" s="1027"/>
      <c r="N351" s="46">
        <v>3</v>
      </c>
      <c r="O351" s="45"/>
      <c r="P351" s="1027"/>
      <c r="R351" s="46">
        <v>3</v>
      </c>
      <c r="S351" s="45" t="s">
        <v>1772</v>
      </c>
      <c r="T351" s="1027"/>
      <c r="V351" s="46">
        <v>3</v>
      </c>
      <c r="W351" s="45" t="s">
        <v>1772</v>
      </c>
      <c r="X351" s="1027"/>
      <c r="Z351" s="46">
        <v>3</v>
      </c>
      <c r="AA351" s="45" t="s">
        <v>1772</v>
      </c>
      <c r="AB351" s="1027"/>
      <c r="AC351" s="1024"/>
      <c r="AE351" s="80" t="s">
        <v>1730</v>
      </c>
      <c r="AF351" s="81">
        <f t="shared" si="34"/>
        <v>0</v>
      </c>
    </row>
    <row r="352" spans="2:32">
      <c r="B352" s="51">
        <v>4</v>
      </c>
      <c r="C352" s="52"/>
      <c r="D352" s="1028"/>
      <c r="F352" s="51">
        <v>4</v>
      </c>
      <c r="G352" s="52"/>
      <c r="H352" s="1028"/>
      <c r="J352" s="51">
        <v>4</v>
      </c>
      <c r="K352" s="52"/>
      <c r="L352" s="1028"/>
      <c r="N352" s="51">
        <v>4</v>
      </c>
      <c r="O352" s="52"/>
      <c r="P352" s="1028"/>
      <c r="R352" s="51">
        <v>4</v>
      </c>
      <c r="S352" s="45" t="s">
        <v>1735</v>
      </c>
      <c r="T352" s="1028"/>
      <c r="V352" s="51">
        <v>4</v>
      </c>
      <c r="W352" s="45" t="s">
        <v>1735</v>
      </c>
      <c r="X352" s="1028"/>
      <c r="Z352" s="51">
        <v>4</v>
      </c>
      <c r="AA352" s="45" t="s">
        <v>1735</v>
      </c>
      <c r="AB352" s="1028"/>
      <c r="AC352" s="1024"/>
    </row>
    <row r="353" spans="2:32" ht="17" thickBot="1">
      <c r="B353" s="47">
        <v>5</v>
      </c>
      <c r="C353" s="48"/>
      <c r="D353" s="1029"/>
      <c r="F353" s="47">
        <v>5</v>
      </c>
      <c r="G353" s="48"/>
      <c r="H353" s="1029"/>
      <c r="J353" s="47">
        <v>5</v>
      </c>
      <c r="K353" s="48"/>
      <c r="L353" s="1029"/>
      <c r="N353" s="47">
        <v>5</v>
      </c>
      <c r="O353" s="48"/>
      <c r="P353" s="1029"/>
      <c r="R353" s="47">
        <v>5</v>
      </c>
      <c r="S353" s="70"/>
      <c r="T353" s="1029"/>
      <c r="V353" s="47">
        <v>5</v>
      </c>
      <c r="W353" s="70"/>
      <c r="X353" s="1029"/>
      <c r="Z353" s="47">
        <v>5</v>
      </c>
      <c r="AA353" s="70"/>
      <c r="AB353" s="1029"/>
      <c r="AC353" s="1024"/>
    </row>
    <row r="354" spans="2:32" ht="17" thickBot="1"/>
    <row r="355" spans="2:32">
      <c r="B355" s="1033" t="s">
        <v>1515</v>
      </c>
      <c r="C355" s="1034"/>
      <c r="D355" s="1035"/>
      <c r="F355" s="1033" t="s">
        <v>1516</v>
      </c>
      <c r="G355" s="1034"/>
      <c r="H355" s="1035"/>
      <c r="J355" s="1033" t="s">
        <v>1517</v>
      </c>
      <c r="K355" s="1034"/>
      <c r="L355" s="1035"/>
      <c r="N355" s="1033" t="s">
        <v>1810</v>
      </c>
      <c r="O355" s="1034"/>
      <c r="P355" s="1035"/>
      <c r="R355" s="1030" t="s">
        <v>1811</v>
      </c>
      <c r="S355" s="1031"/>
      <c r="T355" s="1032"/>
      <c r="V355" s="1030" t="s">
        <v>1812</v>
      </c>
      <c r="W355" s="1031"/>
      <c r="X355" s="1032"/>
      <c r="Z355" s="1030" t="s">
        <v>1813</v>
      </c>
      <c r="AA355" s="1031"/>
      <c r="AB355" s="1032"/>
      <c r="AC355" s="1024" t="s">
        <v>2</v>
      </c>
      <c r="AE355" s="80" t="s">
        <v>1729</v>
      </c>
      <c r="AF355" s="81">
        <f>COUNTIF($C$356:$AA$364,AE355)</f>
        <v>6</v>
      </c>
    </row>
    <row r="356" spans="2:32" ht="16" customHeight="1">
      <c r="B356" s="46">
        <v>1</v>
      </c>
      <c r="C356" s="45"/>
      <c r="D356" s="1027" t="s">
        <v>119</v>
      </c>
      <c r="F356" s="46">
        <v>1</v>
      </c>
      <c r="G356" s="45" t="s">
        <v>1731</v>
      </c>
      <c r="H356" s="1027" t="s">
        <v>119</v>
      </c>
      <c r="J356" s="46">
        <v>1</v>
      </c>
      <c r="K356" s="45" t="s">
        <v>1357</v>
      </c>
      <c r="L356" s="1027" t="s">
        <v>119</v>
      </c>
      <c r="N356" s="46">
        <v>1</v>
      </c>
      <c r="O356" s="45" t="s">
        <v>1731</v>
      </c>
      <c r="P356" s="1027" t="s">
        <v>119</v>
      </c>
      <c r="R356" s="46">
        <v>1</v>
      </c>
      <c r="S356" s="45" t="s">
        <v>1731</v>
      </c>
      <c r="T356" s="1027" t="s">
        <v>119</v>
      </c>
      <c r="V356" s="46">
        <v>1</v>
      </c>
      <c r="W356" s="45" t="s">
        <v>1731</v>
      </c>
      <c r="X356" s="1027" t="s">
        <v>119</v>
      </c>
      <c r="Z356" s="46">
        <v>1</v>
      </c>
      <c r="AA356" s="45" t="s">
        <v>1731</v>
      </c>
      <c r="AB356" s="1027" t="s">
        <v>119</v>
      </c>
      <c r="AC356" s="1024"/>
      <c r="AE356" s="80" t="s">
        <v>1732</v>
      </c>
      <c r="AF356" s="81">
        <f t="shared" ref="AF356:AF362" si="35">COUNTIF($C$356:$AA$364,AE356)</f>
        <v>5</v>
      </c>
    </row>
    <row r="357" spans="2:32">
      <c r="B357" s="46">
        <v>2</v>
      </c>
      <c r="C357" s="45"/>
      <c r="D357" s="1027"/>
      <c r="F357" s="46">
        <v>2</v>
      </c>
      <c r="G357" s="45" t="s">
        <v>1357</v>
      </c>
      <c r="H357" s="1027"/>
      <c r="J357" s="46">
        <v>2</v>
      </c>
      <c r="K357" s="45" t="s">
        <v>1733</v>
      </c>
      <c r="L357" s="1027"/>
      <c r="N357" s="46">
        <v>2</v>
      </c>
      <c r="O357" s="45" t="s">
        <v>1733</v>
      </c>
      <c r="P357" s="1027"/>
      <c r="R357" s="46">
        <v>2</v>
      </c>
      <c r="S357" s="45" t="s">
        <v>1357</v>
      </c>
      <c r="T357" s="1027"/>
      <c r="V357" s="46">
        <v>2</v>
      </c>
      <c r="W357" s="45" t="s">
        <v>1733</v>
      </c>
      <c r="X357" s="1027"/>
      <c r="Z357" s="46">
        <v>2</v>
      </c>
      <c r="AA357" s="45" t="s">
        <v>1733</v>
      </c>
      <c r="AB357" s="1027"/>
      <c r="AC357" s="1024"/>
      <c r="AE357" s="80" t="s">
        <v>1772</v>
      </c>
      <c r="AF357" s="81">
        <f t="shared" si="35"/>
        <v>5</v>
      </c>
    </row>
    <row r="358" spans="2:32">
      <c r="B358" s="46">
        <v>3</v>
      </c>
      <c r="C358" s="45"/>
      <c r="D358" s="1027"/>
      <c r="F358" s="46">
        <v>3</v>
      </c>
      <c r="G358" s="45" t="s">
        <v>1764</v>
      </c>
      <c r="H358" s="1027"/>
      <c r="J358" s="46">
        <v>3</v>
      </c>
      <c r="K358" s="45" t="s">
        <v>1764</v>
      </c>
      <c r="L358" s="1027"/>
      <c r="N358" s="46">
        <v>3</v>
      </c>
      <c r="O358" s="45" t="s">
        <v>1764</v>
      </c>
      <c r="P358" s="1027"/>
      <c r="R358" s="46">
        <v>3</v>
      </c>
      <c r="S358" s="45" t="s">
        <v>1764</v>
      </c>
      <c r="T358" s="1027"/>
      <c r="V358" s="46">
        <v>3</v>
      </c>
      <c r="W358" s="45" t="s">
        <v>1764</v>
      </c>
      <c r="X358" s="1027"/>
      <c r="Z358" s="46">
        <v>3</v>
      </c>
      <c r="AA358" s="45" t="s">
        <v>1764</v>
      </c>
      <c r="AB358" s="1027"/>
      <c r="AC358" s="1024"/>
      <c r="AE358" s="80" t="s">
        <v>1731</v>
      </c>
      <c r="AF358" s="81">
        <f t="shared" si="35"/>
        <v>5</v>
      </c>
    </row>
    <row r="359" spans="2:32" ht="17" thickBot="1">
      <c r="B359" s="47">
        <v>4</v>
      </c>
      <c r="C359" s="48"/>
      <c r="D359" s="1029"/>
      <c r="F359" s="47">
        <v>4</v>
      </c>
      <c r="G359" s="48"/>
      <c r="H359" s="1029"/>
      <c r="J359" s="47">
        <v>4</v>
      </c>
      <c r="K359" s="48"/>
      <c r="L359" s="1029"/>
      <c r="N359" s="47">
        <v>4</v>
      </c>
      <c r="O359" s="48"/>
      <c r="P359" s="1029"/>
      <c r="R359" s="47">
        <v>4</v>
      </c>
      <c r="S359" s="48"/>
      <c r="T359" s="1029"/>
      <c r="V359" s="47">
        <v>4</v>
      </c>
      <c r="W359" s="48"/>
      <c r="X359" s="1029"/>
      <c r="Z359" s="47">
        <v>4</v>
      </c>
      <c r="AA359" s="48"/>
      <c r="AB359" s="1029"/>
      <c r="AC359" s="1024"/>
      <c r="AE359" s="80" t="s">
        <v>1733</v>
      </c>
      <c r="AF359" s="81">
        <f t="shared" si="35"/>
        <v>5</v>
      </c>
    </row>
    <row r="360" spans="2:32" ht="16" customHeight="1">
      <c r="B360" s="49">
        <v>1</v>
      </c>
      <c r="C360" s="45" t="s">
        <v>1729</v>
      </c>
      <c r="D360" s="1026" t="s">
        <v>1389</v>
      </c>
      <c r="F360" s="49">
        <v>1</v>
      </c>
      <c r="G360" s="50" t="s">
        <v>1729</v>
      </c>
      <c r="H360" s="1026" t="s">
        <v>1389</v>
      </c>
      <c r="J360" s="49">
        <v>1</v>
      </c>
      <c r="K360" s="50" t="s">
        <v>1772</v>
      </c>
      <c r="L360" s="1026" t="s">
        <v>1389</v>
      </c>
      <c r="N360" s="49">
        <v>1</v>
      </c>
      <c r="O360" s="50" t="s">
        <v>1729</v>
      </c>
      <c r="P360" s="1026" t="s">
        <v>1389</v>
      </c>
      <c r="R360" s="49">
        <v>1</v>
      </c>
      <c r="S360" s="45" t="s">
        <v>1729</v>
      </c>
      <c r="T360" s="1026" t="s">
        <v>1389</v>
      </c>
      <c r="V360" s="49">
        <v>1</v>
      </c>
      <c r="W360" s="45" t="s">
        <v>1729</v>
      </c>
      <c r="X360" s="1026" t="s">
        <v>1389</v>
      </c>
      <c r="Z360" s="49">
        <v>1</v>
      </c>
      <c r="AA360" s="45" t="s">
        <v>1729</v>
      </c>
      <c r="AB360" s="1026" t="s">
        <v>1389</v>
      </c>
      <c r="AC360" s="1024"/>
      <c r="AE360" s="80" t="s">
        <v>1357</v>
      </c>
      <c r="AF360" s="81">
        <f t="shared" si="35"/>
        <v>3</v>
      </c>
    </row>
    <row r="361" spans="2:32">
      <c r="B361" s="46">
        <v>2</v>
      </c>
      <c r="C361" s="45" t="s">
        <v>1772</v>
      </c>
      <c r="D361" s="1027"/>
      <c r="F361" s="46">
        <v>2</v>
      </c>
      <c r="G361" s="45" t="s">
        <v>1733</v>
      </c>
      <c r="H361" s="1027"/>
      <c r="J361" s="46">
        <v>2</v>
      </c>
      <c r="K361" s="45" t="s">
        <v>1732</v>
      </c>
      <c r="L361" s="1027"/>
      <c r="N361" s="46">
        <v>2</v>
      </c>
      <c r="O361" s="45" t="s">
        <v>1732</v>
      </c>
      <c r="P361" s="1027"/>
      <c r="R361" s="46">
        <v>2</v>
      </c>
      <c r="S361" s="45" t="s">
        <v>1732</v>
      </c>
      <c r="T361" s="1027"/>
      <c r="V361" s="46">
        <v>2</v>
      </c>
      <c r="W361" s="45" t="s">
        <v>1732</v>
      </c>
      <c r="X361" s="1027"/>
      <c r="Z361" s="46">
        <v>2</v>
      </c>
      <c r="AA361" s="45" t="s">
        <v>1732</v>
      </c>
      <c r="AB361" s="1027"/>
      <c r="AC361" s="1024"/>
      <c r="AE361" s="80" t="s">
        <v>1735</v>
      </c>
      <c r="AF361" s="81">
        <f t="shared" si="35"/>
        <v>3</v>
      </c>
    </row>
    <row r="362" spans="2:32">
      <c r="B362" s="46">
        <v>3</v>
      </c>
      <c r="C362" s="45"/>
      <c r="D362" s="1027"/>
      <c r="F362" s="46">
        <v>3</v>
      </c>
      <c r="G362" s="45"/>
      <c r="H362" s="1027"/>
      <c r="J362" s="46">
        <v>3</v>
      </c>
      <c r="K362" s="45"/>
      <c r="L362" s="1027"/>
      <c r="N362" s="46">
        <v>3</v>
      </c>
      <c r="O362" s="45"/>
      <c r="P362" s="1027"/>
      <c r="R362" s="46">
        <v>3</v>
      </c>
      <c r="S362" s="45" t="s">
        <v>1772</v>
      </c>
      <c r="T362" s="1027"/>
      <c r="V362" s="46">
        <v>3</v>
      </c>
      <c r="W362" s="45" t="s">
        <v>1772</v>
      </c>
      <c r="X362" s="1027"/>
      <c r="Z362" s="46">
        <v>3</v>
      </c>
      <c r="AA362" s="45" t="s">
        <v>1772</v>
      </c>
      <c r="AB362" s="1027"/>
      <c r="AC362" s="1024"/>
      <c r="AE362" s="80" t="s">
        <v>1730</v>
      </c>
      <c r="AF362" s="81">
        <f t="shared" si="35"/>
        <v>0</v>
      </c>
    </row>
    <row r="363" spans="2:32">
      <c r="B363" s="51">
        <v>4</v>
      </c>
      <c r="C363" s="52"/>
      <c r="D363" s="1028"/>
      <c r="F363" s="51">
        <v>4</v>
      </c>
      <c r="G363" s="52"/>
      <c r="H363" s="1028"/>
      <c r="J363" s="51">
        <v>4</v>
      </c>
      <c r="K363" s="52"/>
      <c r="L363" s="1028"/>
      <c r="N363" s="51">
        <v>4</v>
      </c>
      <c r="O363" s="52"/>
      <c r="P363" s="1028"/>
      <c r="R363" s="51">
        <v>4</v>
      </c>
      <c r="S363" s="45" t="s">
        <v>1735</v>
      </c>
      <c r="T363" s="1028"/>
      <c r="V363" s="51">
        <v>4</v>
      </c>
      <c r="W363" s="45" t="s">
        <v>1735</v>
      </c>
      <c r="X363" s="1028"/>
      <c r="Z363" s="51">
        <v>4</v>
      </c>
      <c r="AA363" s="45" t="s">
        <v>1735</v>
      </c>
      <c r="AB363" s="1028"/>
      <c r="AC363" s="1024"/>
    </row>
    <row r="364" spans="2:32" ht="17" thickBot="1">
      <c r="B364" s="47">
        <v>5</v>
      </c>
      <c r="C364" s="48"/>
      <c r="D364" s="1029"/>
      <c r="F364" s="47">
        <v>5</v>
      </c>
      <c r="G364" s="48"/>
      <c r="H364" s="1029"/>
      <c r="J364" s="47">
        <v>5</v>
      </c>
      <c r="K364" s="48"/>
      <c r="L364" s="1029"/>
      <c r="N364" s="47">
        <v>5</v>
      </c>
      <c r="O364" s="48"/>
      <c r="P364" s="1029"/>
      <c r="R364" s="47">
        <v>5</v>
      </c>
      <c r="S364" s="70"/>
      <c r="T364" s="1029"/>
      <c r="V364" s="47">
        <v>5</v>
      </c>
      <c r="W364" s="70"/>
      <c r="X364" s="1029"/>
      <c r="Z364" s="47">
        <v>5</v>
      </c>
      <c r="AA364" s="70"/>
      <c r="AB364" s="1029"/>
      <c r="AC364" s="1024"/>
    </row>
    <row r="365" spans="2:32" ht="17" thickBot="1"/>
    <row r="366" spans="2:32">
      <c r="B366" s="1030" t="s">
        <v>1814</v>
      </c>
      <c r="C366" s="1031"/>
      <c r="D366" s="1032"/>
      <c r="F366" s="1030" t="s">
        <v>1815</v>
      </c>
      <c r="G366" s="1031"/>
      <c r="H366" s="1032"/>
      <c r="J366" s="1030" t="s">
        <v>1816</v>
      </c>
      <c r="K366" s="1031"/>
      <c r="L366" s="1032"/>
      <c r="N366" s="1030" t="s">
        <v>1817</v>
      </c>
      <c r="O366" s="1031"/>
      <c r="P366" s="1032"/>
      <c r="R366" s="1030" t="s">
        <v>1818</v>
      </c>
      <c r="S366" s="1031"/>
      <c r="T366" s="1032"/>
      <c r="V366" s="1030" t="s">
        <v>1819</v>
      </c>
      <c r="W366" s="1031"/>
      <c r="X366" s="1032"/>
      <c r="Z366" s="1030" t="s">
        <v>1820</v>
      </c>
      <c r="AA366" s="1031"/>
      <c r="AB366" s="1032"/>
      <c r="AC366" s="1024" t="s">
        <v>2</v>
      </c>
      <c r="AE366" s="80" t="s">
        <v>1729</v>
      </c>
      <c r="AF366" s="81">
        <f>COUNTIF($C$367:$AA$375,AE366)</f>
        <v>6</v>
      </c>
    </row>
    <row r="367" spans="2:32" ht="16" customHeight="1">
      <c r="B367" s="46">
        <v>1</v>
      </c>
      <c r="C367" s="45"/>
      <c r="D367" s="1027" t="s">
        <v>119</v>
      </c>
      <c r="F367" s="46">
        <v>1</v>
      </c>
      <c r="G367" s="45" t="s">
        <v>1731</v>
      </c>
      <c r="H367" s="1027" t="s">
        <v>119</v>
      </c>
      <c r="J367" s="46">
        <v>1</v>
      </c>
      <c r="K367" s="45" t="s">
        <v>1357</v>
      </c>
      <c r="L367" s="1027" t="s">
        <v>119</v>
      </c>
      <c r="N367" s="46">
        <v>1</v>
      </c>
      <c r="O367" s="45" t="s">
        <v>1731</v>
      </c>
      <c r="P367" s="1027" t="s">
        <v>119</v>
      </c>
      <c r="R367" s="46">
        <v>1</v>
      </c>
      <c r="S367" s="45" t="s">
        <v>1731</v>
      </c>
      <c r="T367" s="1027" t="s">
        <v>119</v>
      </c>
      <c r="V367" s="46">
        <v>1</v>
      </c>
      <c r="W367" s="45" t="s">
        <v>1731</v>
      </c>
      <c r="X367" s="1027" t="s">
        <v>119</v>
      </c>
      <c r="Z367" s="46">
        <v>1</v>
      </c>
      <c r="AA367" s="45" t="s">
        <v>1731</v>
      </c>
      <c r="AB367" s="1027" t="s">
        <v>119</v>
      </c>
      <c r="AC367" s="1024"/>
      <c r="AE367" s="80" t="s">
        <v>1732</v>
      </c>
      <c r="AF367" s="81">
        <f t="shared" ref="AF367:AF373" si="36">COUNTIF($C$367:$AA$375,AE367)</f>
        <v>5</v>
      </c>
    </row>
    <row r="368" spans="2:32">
      <c r="B368" s="46">
        <v>2</v>
      </c>
      <c r="C368" s="45"/>
      <c r="D368" s="1027"/>
      <c r="F368" s="46">
        <v>2</v>
      </c>
      <c r="G368" s="45" t="s">
        <v>1357</v>
      </c>
      <c r="H368" s="1027"/>
      <c r="J368" s="46">
        <v>2</v>
      </c>
      <c r="K368" s="45" t="s">
        <v>1733</v>
      </c>
      <c r="L368" s="1027"/>
      <c r="N368" s="46">
        <v>2</v>
      </c>
      <c r="O368" s="45" t="s">
        <v>1733</v>
      </c>
      <c r="P368" s="1027"/>
      <c r="R368" s="46">
        <v>2</v>
      </c>
      <c r="S368" s="45" t="s">
        <v>1357</v>
      </c>
      <c r="T368" s="1027"/>
      <c r="V368" s="46">
        <v>2</v>
      </c>
      <c r="W368" s="45" t="s">
        <v>1733</v>
      </c>
      <c r="X368" s="1027"/>
      <c r="Z368" s="46">
        <v>2</v>
      </c>
      <c r="AA368" s="45" t="s">
        <v>1733</v>
      </c>
      <c r="AB368" s="1027"/>
      <c r="AC368" s="1024"/>
      <c r="AE368" s="80" t="s">
        <v>1772</v>
      </c>
      <c r="AF368" s="81">
        <f t="shared" si="36"/>
        <v>5</v>
      </c>
    </row>
    <row r="369" spans="2:32">
      <c r="B369" s="46">
        <v>3</v>
      </c>
      <c r="C369" s="45"/>
      <c r="D369" s="1027"/>
      <c r="F369" s="46">
        <v>3</v>
      </c>
      <c r="G369" s="45" t="s">
        <v>1764</v>
      </c>
      <c r="H369" s="1027"/>
      <c r="J369" s="46">
        <v>3</v>
      </c>
      <c r="K369" s="45" t="s">
        <v>1764</v>
      </c>
      <c r="L369" s="1027"/>
      <c r="N369" s="46">
        <v>3</v>
      </c>
      <c r="O369" s="45" t="s">
        <v>1764</v>
      </c>
      <c r="P369" s="1027"/>
      <c r="R369" s="46">
        <v>3</v>
      </c>
      <c r="S369" s="45" t="s">
        <v>1764</v>
      </c>
      <c r="T369" s="1027"/>
      <c r="V369" s="46">
        <v>3</v>
      </c>
      <c r="W369" s="45" t="s">
        <v>1764</v>
      </c>
      <c r="X369" s="1027"/>
      <c r="Z369" s="46">
        <v>3</v>
      </c>
      <c r="AA369" s="45" t="s">
        <v>1764</v>
      </c>
      <c r="AB369" s="1027"/>
      <c r="AC369" s="1024"/>
      <c r="AE369" s="80" t="s">
        <v>1731</v>
      </c>
      <c r="AF369" s="81">
        <f t="shared" si="36"/>
        <v>5</v>
      </c>
    </row>
    <row r="370" spans="2:32" ht="17" thickBot="1">
      <c r="B370" s="47">
        <v>4</v>
      </c>
      <c r="C370" s="48"/>
      <c r="D370" s="1029"/>
      <c r="F370" s="47">
        <v>4</v>
      </c>
      <c r="G370" s="48"/>
      <c r="H370" s="1029"/>
      <c r="J370" s="47">
        <v>4</v>
      </c>
      <c r="K370" s="48"/>
      <c r="L370" s="1029"/>
      <c r="N370" s="47">
        <v>4</v>
      </c>
      <c r="O370" s="48"/>
      <c r="P370" s="1029"/>
      <c r="R370" s="47">
        <v>4</v>
      </c>
      <c r="S370" s="48"/>
      <c r="T370" s="1029"/>
      <c r="V370" s="47">
        <v>4</v>
      </c>
      <c r="W370" s="48"/>
      <c r="X370" s="1029"/>
      <c r="Z370" s="47">
        <v>4</v>
      </c>
      <c r="AA370" s="48"/>
      <c r="AB370" s="1029"/>
      <c r="AC370" s="1024"/>
      <c r="AE370" s="80" t="s">
        <v>1733</v>
      </c>
      <c r="AF370" s="81">
        <f t="shared" si="36"/>
        <v>5</v>
      </c>
    </row>
    <row r="371" spans="2:32" ht="16" customHeight="1">
      <c r="B371" s="49">
        <v>1</v>
      </c>
      <c r="C371" s="45" t="s">
        <v>1729</v>
      </c>
      <c r="D371" s="1026" t="s">
        <v>1389</v>
      </c>
      <c r="F371" s="49">
        <v>1</v>
      </c>
      <c r="G371" s="50" t="s">
        <v>1729</v>
      </c>
      <c r="H371" s="1026" t="s">
        <v>1389</v>
      </c>
      <c r="J371" s="49">
        <v>1</v>
      </c>
      <c r="K371" s="50" t="s">
        <v>1772</v>
      </c>
      <c r="L371" s="1026" t="s">
        <v>1389</v>
      </c>
      <c r="N371" s="49">
        <v>1</v>
      </c>
      <c r="O371" s="50" t="s">
        <v>1729</v>
      </c>
      <c r="P371" s="1026" t="s">
        <v>1389</v>
      </c>
      <c r="R371" s="49">
        <v>1</v>
      </c>
      <c r="S371" s="45" t="s">
        <v>1729</v>
      </c>
      <c r="T371" s="1026" t="s">
        <v>1389</v>
      </c>
      <c r="V371" s="49">
        <v>1</v>
      </c>
      <c r="W371" s="45" t="s">
        <v>1729</v>
      </c>
      <c r="X371" s="1026" t="s">
        <v>1389</v>
      </c>
      <c r="Z371" s="49">
        <v>1</v>
      </c>
      <c r="AA371" s="45" t="s">
        <v>1729</v>
      </c>
      <c r="AB371" s="1026" t="s">
        <v>1389</v>
      </c>
      <c r="AC371" s="1024"/>
      <c r="AE371" s="80" t="s">
        <v>1357</v>
      </c>
      <c r="AF371" s="81">
        <f t="shared" si="36"/>
        <v>3</v>
      </c>
    </row>
    <row r="372" spans="2:32">
      <c r="B372" s="46">
        <v>2</v>
      </c>
      <c r="C372" s="45" t="s">
        <v>1772</v>
      </c>
      <c r="D372" s="1027"/>
      <c r="F372" s="46">
        <v>2</v>
      </c>
      <c r="G372" s="45" t="s">
        <v>1733</v>
      </c>
      <c r="H372" s="1027"/>
      <c r="J372" s="46">
        <v>2</v>
      </c>
      <c r="K372" s="45" t="s">
        <v>1732</v>
      </c>
      <c r="L372" s="1027"/>
      <c r="N372" s="46">
        <v>2</v>
      </c>
      <c r="O372" s="45" t="s">
        <v>1732</v>
      </c>
      <c r="P372" s="1027"/>
      <c r="R372" s="46">
        <v>2</v>
      </c>
      <c r="S372" s="45" t="s">
        <v>1732</v>
      </c>
      <c r="T372" s="1027"/>
      <c r="V372" s="46">
        <v>2</v>
      </c>
      <c r="W372" s="45" t="s">
        <v>1732</v>
      </c>
      <c r="X372" s="1027"/>
      <c r="Z372" s="46">
        <v>2</v>
      </c>
      <c r="AA372" s="45" t="s">
        <v>1732</v>
      </c>
      <c r="AB372" s="1027"/>
      <c r="AC372" s="1024"/>
      <c r="AE372" s="80" t="s">
        <v>1735</v>
      </c>
      <c r="AF372" s="81">
        <f t="shared" si="36"/>
        <v>3</v>
      </c>
    </row>
    <row r="373" spans="2:32">
      <c r="B373" s="46">
        <v>3</v>
      </c>
      <c r="C373" s="45"/>
      <c r="D373" s="1027"/>
      <c r="F373" s="46">
        <v>3</v>
      </c>
      <c r="G373" s="45"/>
      <c r="H373" s="1027"/>
      <c r="J373" s="46">
        <v>3</v>
      </c>
      <c r="K373" s="45"/>
      <c r="L373" s="1027"/>
      <c r="N373" s="46">
        <v>3</v>
      </c>
      <c r="O373" s="45"/>
      <c r="P373" s="1027"/>
      <c r="R373" s="46">
        <v>3</v>
      </c>
      <c r="S373" s="45" t="s">
        <v>1772</v>
      </c>
      <c r="T373" s="1027"/>
      <c r="V373" s="46">
        <v>3</v>
      </c>
      <c r="W373" s="45" t="s">
        <v>1772</v>
      </c>
      <c r="X373" s="1027"/>
      <c r="Z373" s="46">
        <v>3</v>
      </c>
      <c r="AA373" s="45" t="s">
        <v>1772</v>
      </c>
      <c r="AB373" s="1027"/>
      <c r="AC373" s="1024"/>
      <c r="AE373" s="80" t="s">
        <v>1730</v>
      </c>
      <c r="AF373" s="81">
        <f t="shared" si="36"/>
        <v>0</v>
      </c>
    </row>
    <row r="374" spans="2:32">
      <c r="B374" s="51">
        <v>4</v>
      </c>
      <c r="C374" s="52"/>
      <c r="D374" s="1028"/>
      <c r="F374" s="51">
        <v>4</v>
      </c>
      <c r="G374" s="52"/>
      <c r="H374" s="1028"/>
      <c r="J374" s="51">
        <v>4</v>
      </c>
      <c r="K374" s="52"/>
      <c r="L374" s="1028"/>
      <c r="N374" s="51">
        <v>4</v>
      </c>
      <c r="O374" s="52"/>
      <c r="P374" s="1028"/>
      <c r="R374" s="51">
        <v>4</v>
      </c>
      <c r="S374" s="45" t="s">
        <v>1735</v>
      </c>
      <c r="T374" s="1028"/>
      <c r="V374" s="51">
        <v>4</v>
      </c>
      <c r="W374" s="45" t="s">
        <v>1735</v>
      </c>
      <c r="X374" s="1028"/>
      <c r="Z374" s="51">
        <v>4</v>
      </c>
      <c r="AA374" s="45" t="s">
        <v>1735</v>
      </c>
      <c r="AB374" s="1028"/>
      <c r="AC374" s="1024"/>
    </row>
    <row r="375" spans="2:32" ht="17" thickBot="1">
      <c r="B375" s="47">
        <v>5</v>
      </c>
      <c r="C375" s="48"/>
      <c r="D375" s="1029"/>
      <c r="F375" s="47">
        <v>5</v>
      </c>
      <c r="G375" s="48"/>
      <c r="H375" s="1029"/>
      <c r="J375" s="47">
        <v>5</v>
      </c>
      <c r="K375" s="48"/>
      <c r="L375" s="1029"/>
      <c r="N375" s="47">
        <v>5</v>
      </c>
      <c r="O375" s="48"/>
      <c r="P375" s="1029"/>
      <c r="R375" s="47">
        <v>5</v>
      </c>
      <c r="S375" s="70"/>
      <c r="T375" s="1029"/>
      <c r="V375" s="47">
        <v>5</v>
      </c>
      <c r="W375" s="70"/>
      <c r="X375" s="1029"/>
      <c r="Z375" s="47">
        <v>5</v>
      </c>
      <c r="AA375" s="70"/>
      <c r="AB375" s="1029"/>
      <c r="AC375" s="1024"/>
    </row>
    <row r="378" spans="2:32">
      <c r="K378" t="s">
        <v>1821</v>
      </c>
    </row>
  </sheetData>
  <mergeCells count="757">
    <mergeCell ref="AG217:AH217"/>
    <mergeCell ref="AG227:AH227"/>
    <mergeCell ref="D261:D265"/>
    <mergeCell ref="H261:H265"/>
    <mergeCell ref="L261:L265"/>
    <mergeCell ref="P261:P265"/>
    <mergeCell ref="T261:T265"/>
    <mergeCell ref="X261:X265"/>
    <mergeCell ref="AB261:AB265"/>
    <mergeCell ref="B256:D256"/>
    <mergeCell ref="F256:H256"/>
    <mergeCell ref="J256:L256"/>
    <mergeCell ref="N256:P256"/>
    <mergeCell ref="R256:T256"/>
    <mergeCell ref="V256:X256"/>
    <mergeCell ref="Z256:AB256"/>
    <mergeCell ref="D257:D260"/>
    <mergeCell ref="H257:H260"/>
    <mergeCell ref="L257:L260"/>
    <mergeCell ref="P257:P260"/>
    <mergeCell ref="T257:T260"/>
    <mergeCell ref="X257:X260"/>
    <mergeCell ref="AB257:AB260"/>
    <mergeCell ref="D250:D254"/>
    <mergeCell ref="H250:H254"/>
    <mergeCell ref="L250:L254"/>
    <mergeCell ref="P250:P254"/>
    <mergeCell ref="T250:T254"/>
    <mergeCell ref="X250:X254"/>
    <mergeCell ref="AB250:AB254"/>
    <mergeCell ref="AG228:AH228"/>
    <mergeCell ref="AG234:AH234"/>
    <mergeCell ref="AG246:AH246"/>
    <mergeCell ref="B245:D245"/>
    <mergeCell ref="F245:H245"/>
    <mergeCell ref="J245:L245"/>
    <mergeCell ref="N245:P245"/>
    <mergeCell ref="R245:T245"/>
    <mergeCell ref="V245:X245"/>
    <mergeCell ref="Z245:AB245"/>
    <mergeCell ref="D246:D249"/>
    <mergeCell ref="H246:H249"/>
    <mergeCell ref="L246:L249"/>
    <mergeCell ref="P246:P249"/>
    <mergeCell ref="T246:T249"/>
    <mergeCell ref="X246:X249"/>
    <mergeCell ref="AB246:AB249"/>
    <mergeCell ref="D235:D238"/>
    <mergeCell ref="H235:H238"/>
    <mergeCell ref="L235:L238"/>
    <mergeCell ref="P235:P238"/>
    <mergeCell ref="T235:T238"/>
    <mergeCell ref="X235:X238"/>
    <mergeCell ref="AB235:AB238"/>
    <mergeCell ref="D239:D243"/>
    <mergeCell ref="H239:H243"/>
    <mergeCell ref="L239:L243"/>
    <mergeCell ref="P239:P243"/>
    <mergeCell ref="T239:T243"/>
    <mergeCell ref="X239:X243"/>
    <mergeCell ref="AB239:AB243"/>
    <mergeCell ref="D228:D232"/>
    <mergeCell ref="H228:H232"/>
    <mergeCell ref="L228:L232"/>
    <mergeCell ref="P228:P232"/>
    <mergeCell ref="T228:T232"/>
    <mergeCell ref="X228:X232"/>
    <mergeCell ref="AB228:AB232"/>
    <mergeCell ref="B234:D234"/>
    <mergeCell ref="F234:H234"/>
    <mergeCell ref="J234:L234"/>
    <mergeCell ref="N234:P234"/>
    <mergeCell ref="R234:T234"/>
    <mergeCell ref="V234:X234"/>
    <mergeCell ref="Z234:AB234"/>
    <mergeCell ref="B223:D223"/>
    <mergeCell ref="F223:H223"/>
    <mergeCell ref="J223:L223"/>
    <mergeCell ref="N223:P223"/>
    <mergeCell ref="R223:T223"/>
    <mergeCell ref="V223:X223"/>
    <mergeCell ref="Z223:AB223"/>
    <mergeCell ref="D224:D227"/>
    <mergeCell ref="H224:H227"/>
    <mergeCell ref="L224:L227"/>
    <mergeCell ref="P224:P227"/>
    <mergeCell ref="T224:T227"/>
    <mergeCell ref="X224:X227"/>
    <mergeCell ref="AB224:AB227"/>
    <mergeCell ref="N212:P212"/>
    <mergeCell ref="R212:T212"/>
    <mergeCell ref="V212:X212"/>
    <mergeCell ref="Z212:AB212"/>
    <mergeCell ref="D213:D216"/>
    <mergeCell ref="H213:H216"/>
    <mergeCell ref="L213:L216"/>
    <mergeCell ref="P213:P216"/>
    <mergeCell ref="T213:T216"/>
    <mergeCell ref="X213:X216"/>
    <mergeCell ref="AB213:AB216"/>
    <mergeCell ref="T42:T45"/>
    <mergeCell ref="X42:X45"/>
    <mergeCell ref="AB42:AB45"/>
    <mergeCell ref="D46:D49"/>
    <mergeCell ref="B1:D1"/>
    <mergeCell ref="F1:H1"/>
    <mergeCell ref="J1:L1"/>
    <mergeCell ref="N1:P1"/>
    <mergeCell ref="R1:T1"/>
    <mergeCell ref="V1:X1"/>
    <mergeCell ref="Z1:AB1"/>
    <mergeCell ref="D2:D5"/>
    <mergeCell ref="H2:H5"/>
    <mergeCell ref="L2:L5"/>
    <mergeCell ref="P2:P5"/>
    <mergeCell ref="T2:T5"/>
    <mergeCell ref="X2:X5"/>
    <mergeCell ref="AB2:AB5"/>
    <mergeCell ref="H46:H49"/>
    <mergeCell ref="L46:L49"/>
    <mergeCell ref="P46:P49"/>
    <mergeCell ref="T46:T49"/>
    <mergeCell ref="X36:X39"/>
    <mergeCell ref="AB36:AB39"/>
    <mergeCell ref="N41:P41"/>
    <mergeCell ref="R41:T41"/>
    <mergeCell ref="V41:X41"/>
    <mergeCell ref="Z41:AB41"/>
    <mergeCell ref="D36:D39"/>
    <mergeCell ref="H36:H39"/>
    <mergeCell ref="L36:L39"/>
    <mergeCell ref="P36:P39"/>
    <mergeCell ref="T36:T39"/>
    <mergeCell ref="X46:X49"/>
    <mergeCell ref="AB46:AB49"/>
    <mergeCell ref="D42:D45"/>
    <mergeCell ref="H42:H45"/>
    <mergeCell ref="L42:L45"/>
    <mergeCell ref="P42:P45"/>
    <mergeCell ref="V21:X21"/>
    <mergeCell ref="V31:X31"/>
    <mergeCell ref="Z31:AB31"/>
    <mergeCell ref="D32:D35"/>
    <mergeCell ref="H32:H35"/>
    <mergeCell ref="L32:L35"/>
    <mergeCell ref="P32:P35"/>
    <mergeCell ref="T32:T35"/>
    <mergeCell ref="X32:X35"/>
    <mergeCell ref="AB32:AB35"/>
    <mergeCell ref="B31:D31"/>
    <mergeCell ref="F31:H31"/>
    <mergeCell ref="J31:L31"/>
    <mergeCell ref="N31:P31"/>
    <mergeCell ref="R31:T31"/>
    <mergeCell ref="B41:D41"/>
    <mergeCell ref="F41:H41"/>
    <mergeCell ref="J41:L41"/>
    <mergeCell ref="X6:X9"/>
    <mergeCell ref="H16:H19"/>
    <mergeCell ref="L16:L19"/>
    <mergeCell ref="P16:P19"/>
    <mergeCell ref="X26:X29"/>
    <mergeCell ref="AB26:AB29"/>
    <mergeCell ref="D26:D29"/>
    <mergeCell ref="H26:H29"/>
    <mergeCell ref="L26:L29"/>
    <mergeCell ref="P26:P29"/>
    <mergeCell ref="T26:T29"/>
    <mergeCell ref="Z21:AB21"/>
    <mergeCell ref="D22:D25"/>
    <mergeCell ref="H22:H25"/>
    <mergeCell ref="L22:L25"/>
    <mergeCell ref="P22:P25"/>
    <mergeCell ref="T22:T25"/>
    <mergeCell ref="X22:X25"/>
    <mergeCell ref="AB22:AB25"/>
    <mergeCell ref="B21:D21"/>
    <mergeCell ref="F21:H21"/>
    <mergeCell ref="J21:L21"/>
    <mergeCell ref="N21:P21"/>
    <mergeCell ref="R21:T21"/>
    <mergeCell ref="AB16:AB19"/>
    <mergeCell ref="D6:D9"/>
    <mergeCell ref="H6:H9"/>
    <mergeCell ref="L6:L9"/>
    <mergeCell ref="P6:P9"/>
    <mergeCell ref="AB6:AB9"/>
    <mergeCell ref="AB12:AB15"/>
    <mergeCell ref="F11:H11"/>
    <mergeCell ref="J11:L11"/>
    <mergeCell ref="N11:P11"/>
    <mergeCell ref="R11:T11"/>
    <mergeCell ref="V11:X11"/>
    <mergeCell ref="Z11:AB11"/>
    <mergeCell ref="H12:H15"/>
    <mergeCell ref="L12:L15"/>
    <mergeCell ref="P12:P15"/>
    <mergeCell ref="T12:T15"/>
    <mergeCell ref="X12:X15"/>
    <mergeCell ref="B11:D11"/>
    <mergeCell ref="D12:D15"/>
    <mergeCell ref="D16:D19"/>
    <mergeCell ref="T16:T19"/>
    <mergeCell ref="X16:X19"/>
    <mergeCell ref="T6:T9"/>
    <mergeCell ref="B51:D51"/>
    <mergeCell ref="F51:H51"/>
    <mergeCell ref="J51:L51"/>
    <mergeCell ref="N51:P51"/>
    <mergeCell ref="R51:T51"/>
    <mergeCell ref="V51:X51"/>
    <mergeCell ref="Z51:AB51"/>
    <mergeCell ref="D52:D55"/>
    <mergeCell ref="H52:H55"/>
    <mergeCell ref="L52:L55"/>
    <mergeCell ref="P52:P55"/>
    <mergeCell ref="T52:T55"/>
    <mergeCell ref="X52:X55"/>
    <mergeCell ref="AB52:AB55"/>
    <mergeCell ref="D56:D59"/>
    <mergeCell ref="H56:H59"/>
    <mergeCell ref="L56:L59"/>
    <mergeCell ref="P56:P59"/>
    <mergeCell ref="T56:T59"/>
    <mergeCell ref="X56:X59"/>
    <mergeCell ref="AB56:AB59"/>
    <mergeCell ref="B61:D61"/>
    <mergeCell ref="F61:H61"/>
    <mergeCell ref="J61:L61"/>
    <mergeCell ref="N61:P61"/>
    <mergeCell ref="R61:T61"/>
    <mergeCell ref="V61:X61"/>
    <mergeCell ref="Z61:AB61"/>
    <mergeCell ref="D62:D65"/>
    <mergeCell ref="H62:H65"/>
    <mergeCell ref="L62:L65"/>
    <mergeCell ref="P62:P65"/>
    <mergeCell ref="T62:T65"/>
    <mergeCell ref="X62:X65"/>
    <mergeCell ref="AB62:AB65"/>
    <mergeCell ref="D66:D69"/>
    <mergeCell ref="H66:H69"/>
    <mergeCell ref="L66:L69"/>
    <mergeCell ref="P66:P69"/>
    <mergeCell ref="T66:T69"/>
    <mergeCell ref="X66:X69"/>
    <mergeCell ref="AB66:AB69"/>
    <mergeCell ref="B71:D71"/>
    <mergeCell ref="F71:H71"/>
    <mergeCell ref="J71:L71"/>
    <mergeCell ref="N71:P71"/>
    <mergeCell ref="R71:T71"/>
    <mergeCell ref="V71:X71"/>
    <mergeCell ref="Z71:AB71"/>
    <mergeCell ref="D72:D75"/>
    <mergeCell ref="H72:H75"/>
    <mergeCell ref="L72:L75"/>
    <mergeCell ref="P72:P75"/>
    <mergeCell ref="T72:T75"/>
    <mergeCell ref="X72:X75"/>
    <mergeCell ref="AB72:AB75"/>
    <mergeCell ref="D76:D80"/>
    <mergeCell ref="H76:H80"/>
    <mergeCell ref="L76:L80"/>
    <mergeCell ref="P76:P80"/>
    <mergeCell ref="T76:T80"/>
    <mergeCell ref="X76:X80"/>
    <mergeCell ref="AB76:AB80"/>
    <mergeCell ref="B82:D82"/>
    <mergeCell ref="F82:H82"/>
    <mergeCell ref="J82:L82"/>
    <mergeCell ref="N82:P82"/>
    <mergeCell ref="R82:T82"/>
    <mergeCell ref="V82:X82"/>
    <mergeCell ref="Z82:AB82"/>
    <mergeCell ref="D83:D86"/>
    <mergeCell ref="H83:H86"/>
    <mergeCell ref="L83:L86"/>
    <mergeCell ref="P83:P86"/>
    <mergeCell ref="T83:T86"/>
    <mergeCell ref="X83:X86"/>
    <mergeCell ref="AB83:AB86"/>
    <mergeCell ref="D87:D90"/>
    <mergeCell ref="H87:H90"/>
    <mergeCell ref="L87:L90"/>
    <mergeCell ref="P87:P90"/>
    <mergeCell ref="T87:T90"/>
    <mergeCell ref="X87:X90"/>
    <mergeCell ref="AB87:AB90"/>
    <mergeCell ref="B92:D92"/>
    <mergeCell ref="F92:H92"/>
    <mergeCell ref="J92:L92"/>
    <mergeCell ref="N92:P92"/>
    <mergeCell ref="R92:T92"/>
    <mergeCell ref="V92:X92"/>
    <mergeCell ref="Z92:AB92"/>
    <mergeCell ref="D93:D96"/>
    <mergeCell ref="H93:H96"/>
    <mergeCell ref="L93:L96"/>
    <mergeCell ref="P93:P96"/>
    <mergeCell ref="T93:T96"/>
    <mergeCell ref="X93:X96"/>
    <mergeCell ref="AB93:AB96"/>
    <mergeCell ref="D97:D100"/>
    <mergeCell ref="H97:H100"/>
    <mergeCell ref="L97:L100"/>
    <mergeCell ref="P97:P100"/>
    <mergeCell ref="T97:T100"/>
    <mergeCell ref="X97:X100"/>
    <mergeCell ref="AB97:AB100"/>
    <mergeCell ref="B102:D102"/>
    <mergeCell ref="F102:H102"/>
    <mergeCell ref="J102:L102"/>
    <mergeCell ref="N102:P102"/>
    <mergeCell ref="R102:T102"/>
    <mergeCell ref="V102:X102"/>
    <mergeCell ref="Z102:AB102"/>
    <mergeCell ref="D103:D106"/>
    <mergeCell ref="H103:H106"/>
    <mergeCell ref="L103:L106"/>
    <mergeCell ref="P103:P106"/>
    <mergeCell ref="T103:T106"/>
    <mergeCell ref="X103:X106"/>
    <mergeCell ref="AB103:AB106"/>
    <mergeCell ref="D107:D111"/>
    <mergeCell ref="H107:H111"/>
    <mergeCell ref="L107:L111"/>
    <mergeCell ref="P107:P111"/>
    <mergeCell ref="T107:T111"/>
    <mergeCell ref="X107:X111"/>
    <mergeCell ref="AB107:AB111"/>
    <mergeCell ref="B113:D113"/>
    <mergeCell ref="F113:H113"/>
    <mergeCell ref="J113:L113"/>
    <mergeCell ref="N113:P113"/>
    <mergeCell ref="R113:T113"/>
    <mergeCell ref="V113:X113"/>
    <mergeCell ref="Z113:AB113"/>
    <mergeCell ref="D114:D117"/>
    <mergeCell ref="H114:H117"/>
    <mergeCell ref="L114:L117"/>
    <mergeCell ref="P114:P117"/>
    <mergeCell ref="T114:T117"/>
    <mergeCell ref="X114:X117"/>
    <mergeCell ref="AB114:AB117"/>
    <mergeCell ref="D118:D122"/>
    <mergeCell ref="H118:H122"/>
    <mergeCell ref="L118:L122"/>
    <mergeCell ref="P118:P122"/>
    <mergeCell ref="T118:T122"/>
    <mergeCell ref="X118:X122"/>
    <mergeCell ref="AB118:AB122"/>
    <mergeCell ref="B124:D124"/>
    <mergeCell ref="F124:H124"/>
    <mergeCell ref="J124:L124"/>
    <mergeCell ref="N124:P124"/>
    <mergeCell ref="R124:T124"/>
    <mergeCell ref="V124:X124"/>
    <mergeCell ref="Z124:AB124"/>
    <mergeCell ref="D125:D128"/>
    <mergeCell ref="H125:H128"/>
    <mergeCell ref="L125:L128"/>
    <mergeCell ref="P125:P128"/>
    <mergeCell ref="T125:T128"/>
    <mergeCell ref="X125:X128"/>
    <mergeCell ref="AB125:AB128"/>
    <mergeCell ref="D129:D133"/>
    <mergeCell ref="H129:H133"/>
    <mergeCell ref="L129:L133"/>
    <mergeCell ref="P129:P133"/>
    <mergeCell ref="T129:T133"/>
    <mergeCell ref="X129:X133"/>
    <mergeCell ref="AB129:AB133"/>
    <mergeCell ref="B135:D135"/>
    <mergeCell ref="F135:H135"/>
    <mergeCell ref="J135:L135"/>
    <mergeCell ref="N135:P135"/>
    <mergeCell ref="R135:T135"/>
    <mergeCell ref="V135:X135"/>
    <mergeCell ref="Z135:AB135"/>
    <mergeCell ref="D136:D139"/>
    <mergeCell ref="H136:H139"/>
    <mergeCell ref="L136:L139"/>
    <mergeCell ref="P136:P139"/>
    <mergeCell ref="T136:T139"/>
    <mergeCell ref="X136:X139"/>
    <mergeCell ref="AB136:AB139"/>
    <mergeCell ref="D140:D144"/>
    <mergeCell ref="H140:H144"/>
    <mergeCell ref="L140:L144"/>
    <mergeCell ref="P140:P144"/>
    <mergeCell ref="T140:T144"/>
    <mergeCell ref="X140:X144"/>
    <mergeCell ref="AB140:AB144"/>
    <mergeCell ref="B146:D146"/>
    <mergeCell ref="F146:H146"/>
    <mergeCell ref="J146:L146"/>
    <mergeCell ref="N146:P146"/>
    <mergeCell ref="R146:T146"/>
    <mergeCell ref="V146:X146"/>
    <mergeCell ref="Z146:AB146"/>
    <mergeCell ref="D147:D150"/>
    <mergeCell ref="H147:H150"/>
    <mergeCell ref="L147:L150"/>
    <mergeCell ref="P147:P150"/>
    <mergeCell ref="T147:T150"/>
    <mergeCell ref="X147:X150"/>
    <mergeCell ref="AB147:AB150"/>
    <mergeCell ref="D151:D155"/>
    <mergeCell ref="H151:H155"/>
    <mergeCell ref="L151:L155"/>
    <mergeCell ref="P151:P155"/>
    <mergeCell ref="T151:T155"/>
    <mergeCell ref="X151:X155"/>
    <mergeCell ref="AB151:AB155"/>
    <mergeCell ref="B157:D157"/>
    <mergeCell ref="F157:H157"/>
    <mergeCell ref="J157:L157"/>
    <mergeCell ref="N157:P157"/>
    <mergeCell ref="R157:T157"/>
    <mergeCell ref="V157:X157"/>
    <mergeCell ref="Z157:AB157"/>
    <mergeCell ref="D158:D161"/>
    <mergeCell ref="H158:H161"/>
    <mergeCell ref="L158:L161"/>
    <mergeCell ref="P158:P161"/>
    <mergeCell ref="T158:T161"/>
    <mergeCell ref="X158:X161"/>
    <mergeCell ref="AB158:AB161"/>
    <mergeCell ref="D162:D166"/>
    <mergeCell ref="H162:H166"/>
    <mergeCell ref="L162:L166"/>
    <mergeCell ref="P162:P166"/>
    <mergeCell ref="T162:T166"/>
    <mergeCell ref="X162:X166"/>
    <mergeCell ref="AB162:AB166"/>
    <mergeCell ref="B168:D168"/>
    <mergeCell ref="F168:H168"/>
    <mergeCell ref="J168:L168"/>
    <mergeCell ref="N168:P168"/>
    <mergeCell ref="R168:T168"/>
    <mergeCell ref="V168:X168"/>
    <mergeCell ref="Z168:AB168"/>
    <mergeCell ref="D169:D172"/>
    <mergeCell ref="H169:H172"/>
    <mergeCell ref="L169:L172"/>
    <mergeCell ref="P169:P172"/>
    <mergeCell ref="T169:T172"/>
    <mergeCell ref="X169:X172"/>
    <mergeCell ref="AB169:AB172"/>
    <mergeCell ref="D173:D177"/>
    <mergeCell ref="H173:H177"/>
    <mergeCell ref="L173:L177"/>
    <mergeCell ref="P173:P177"/>
    <mergeCell ref="T173:T177"/>
    <mergeCell ref="X173:X177"/>
    <mergeCell ref="AB173:AB177"/>
    <mergeCell ref="B179:D179"/>
    <mergeCell ref="F179:H179"/>
    <mergeCell ref="J179:L179"/>
    <mergeCell ref="N179:P179"/>
    <mergeCell ref="R179:T179"/>
    <mergeCell ref="V179:X179"/>
    <mergeCell ref="Z179:AB179"/>
    <mergeCell ref="D180:D183"/>
    <mergeCell ref="H180:H183"/>
    <mergeCell ref="L180:L183"/>
    <mergeCell ref="P180:P183"/>
    <mergeCell ref="T180:T183"/>
    <mergeCell ref="X180:X183"/>
    <mergeCell ref="AB180:AB183"/>
    <mergeCell ref="D184:D188"/>
    <mergeCell ref="H184:H188"/>
    <mergeCell ref="L184:L188"/>
    <mergeCell ref="P184:P188"/>
    <mergeCell ref="T184:T188"/>
    <mergeCell ref="X184:X188"/>
    <mergeCell ref="AB184:AB188"/>
    <mergeCell ref="B190:D190"/>
    <mergeCell ref="F190:H190"/>
    <mergeCell ref="J190:L190"/>
    <mergeCell ref="N190:P190"/>
    <mergeCell ref="R190:T190"/>
    <mergeCell ref="V190:X190"/>
    <mergeCell ref="Z190:AB190"/>
    <mergeCell ref="D191:D194"/>
    <mergeCell ref="H191:H194"/>
    <mergeCell ref="L191:L194"/>
    <mergeCell ref="P191:P194"/>
    <mergeCell ref="T191:T194"/>
    <mergeCell ref="X191:X194"/>
    <mergeCell ref="AB191:AB194"/>
    <mergeCell ref="D195:D199"/>
    <mergeCell ref="H195:H199"/>
    <mergeCell ref="L195:L199"/>
    <mergeCell ref="P195:P199"/>
    <mergeCell ref="T195:T199"/>
    <mergeCell ref="X195:X199"/>
    <mergeCell ref="AB195:AB199"/>
    <mergeCell ref="B201:D201"/>
    <mergeCell ref="F201:H201"/>
    <mergeCell ref="J201:L201"/>
    <mergeCell ref="N201:P201"/>
    <mergeCell ref="R201:T201"/>
    <mergeCell ref="V201:X201"/>
    <mergeCell ref="Z201:AB201"/>
    <mergeCell ref="D202:D205"/>
    <mergeCell ref="H202:H205"/>
    <mergeCell ref="L202:L205"/>
    <mergeCell ref="P202:P205"/>
    <mergeCell ref="T202:T205"/>
    <mergeCell ref="X202:X205"/>
    <mergeCell ref="AB202:AB205"/>
    <mergeCell ref="D272:D276"/>
    <mergeCell ref="H272:H276"/>
    <mergeCell ref="L272:L276"/>
    <mergeCell ref="P272:P276"/>
    <mergeCell ref="T272:T276"/>
    <mergeCell ref="X272:X276"/>
    <mergeCell ref="AB272:AB276"/>
    <mergeCell ref="D206:D210"/>
    <mergeCell ref="H206:H210"/>
    <mergeCell ref="L206:L210"/>
    <mergeCell ref="P206:P210"/>
    <mergeCell ref="T206:T210"/>
    <mergeCell ref="X206:X210"/>
    <mergeCell ref="AB206:AB210"/>
    <mergeCell ref="D217:D221"/>
    <mergeCell ref="H217:H221"/>
    <mergeCell ref="L217:L221"/>
    <mergeCell ref="P217:P221"/>
    <mergeCell ref="T217:T221"/>
    <mergeCell ref="X217:X221"/>
    <mergeCell ref="AB217:AB221"/>
    <mergeCell ref="B212:D212"/>
    <mergeCell ref="F212:H212"/>
    <mergeCell ref="J212:L212"/>
    <mergeCell ref="B267:D267"/>
    <mergeCell ref="F267:H267"/>
    <mergeCell ref="J267:L267"/>
    <mergeCell ref="N267:P267"/>
    <mergeCell ref="R267:T267"/>
    <mergeCell ref="V267:X267"/>
    <mergeCell ref="Z267:AB267"/>
    <mergeCell ref="D268:D271"/>
    <mergeCell ref="H268:H271"/>
    <mergeCell ref="L268:L271"/>
    <mergeCell ref="P268:P271"/>
    <mergeCell ref="T268:T271"/>
    <mergeCell ref="X268:X271"/>
    <mergeCell ref="AB268:AB271"/>
    <mergeCell ref="B278:D278"/>
    <mergeCell ref="F278:H278"/>
    <mergeCell ref="J278:L278"/>
    <mergeCell ref="N278:P278"/>
    <mergeCell ref="R278:T278"/>
    <mergeCell ref="V278:X278"/>
    <mergeCell ref="Z278:AB278"/>
    <mergeCell ref="D279:D282"/>
    <mergeCell ref="H279:H282"/>
    <mergeCell ref="L279:L282"/>
    <mergeCell ref="P279:P282"/>
    <mergeCell ref="T279:T282"/>
    <mergeCell ref="X279:X282"/>
    <mergeCell ref="AB279:AB282"/>
    <mergeCell ref="D283:D287"/>
    <mergeCell ref="H283:H287"/>
    <mergeCell ref="L283:L287"/>
    <mergeCell ref="P283:P287"/>
    <mergeCell ref="T283:T287"/>
    <mergeCell ref="X283:X287"/>
    <mergeCell ref="AB283:AB287"/>
    <mergeCell ref="B289:D289"/>
    <mergeCell ref="F289:H289"/>
    <mergeCell ref="J289:L289"/>
    <mergeCell ref="N289:P289"/>
    <mergeCell ref="R289:T289"/>
    <mergeCell ref="V289:X289"/>
    <mergeCell ref="Z289:AB289"/>
    <mergeCell ref="D290:D293"/>
    <mergeCell ref="H290:H293"/>
    <mergeCell ref="L290:L293"/>
    <mergeCell ref="P290:P293"/>
    <mergeCell ref="T290:T293"/>
    <mergeCell ref="X290:X293"/>
    <mergeCell ref="AB290:AB293"/>
    <mergeCell ref="D294:D298"/>
    <mergeCell ref="H294:H298"/>
    <mergeCell ref="L294:L298"/>
    <mergeCell ref="P294:P298"/>
    <mergeCell ref="T294:T298"/>
    <mergeCell ref="X294:X298"/>
    <mergeCell ref="AB294:AB298"/>
    <mergeCell ref="B300:D300"/>
    <mergeCell ref="F300:H300"/>
    <mergeCell ref="J300:L300"/>
    <mergeCell ref="N300:P300"/>
    <mergeCell ref="R300:T300"/>
    <mergeCell ref="V300:X300"/>
    <mergeCell ref="Z300:AB300"/>
    <mergeCell ref="D301:D304"/>
    <mergeCell ref="H301:H304"/>
    <mergeCell ref="L301:L304"/>
    <mergeCell ref="P301:P304"/>
    <mergeCell ref="T301:T304"/>
    <mergeCell ref="X301:X304"/>
    <mergeCell ref="AB301:AB304"/>
    <mergeCell ref="D305:D309"/>
    <mergeCell ref="H305:H309"/>
    <mergeCell ref="L305:L309"/>
    <mergeCell ref="P305:P309"/>
    <mergeCell ref="T305:T309"/>
    <mergeCell ref="X305:X309"/>
    <mergeCell ref="AB305:AB309"/>
    <mergeCell ref="B311:D311"/>
    <mergeCell ref="F311:H311"/>
    <mergeCell ref="J311:L311"/>
    <mergeCell ref="N311:P311"/>
    <mergeCell ref="R311:T311"/>
    <mergeCell ref="V311:X311"/>
    <mergeCell ref="Z311:AB311"/>
    <mergeCell ref="D312:D315"/>
    <mergeCell ref="H312:H315"/>
    <mergeCell ref="L312:L315"/>
    <mergeCell ref="P312:P315"/>
    <mergeCell ref="T312:T315"/>
    <mergeCell ref="X312:X315"/>
    <mergeCell ref="AB312:AB315"/>
    <mergeCell ref="D316:D320"/>
    <mergeCell ref="H316:H320"/>
    <mergeCell ref="L316:L320"/>
    <mergeCell ref="P316:P320"/>
    <mergeCell ref="T316:T320"/>
    <mergeCell ref="X316:X320"/>
    <mergeCell ref="AB316:AB320"/>
    <mergeCell ref="B322:D322"/>
    <mergeCell ref="F322:H322"/>
    <mergeCell ref="J322:L322"/>
    <mergeCell ref="N322:P322"/>
    <mergeCell ref="R322:T322"/>
    <mergeCell ref="V322:X322"/>
    <mergeCell ref="Z322:AB322"/>
    <mergeCell ref="D323:D326"/>
    <mergeCell ref="H323:H326"/>
    <mergeCell ref="L323:L326"/>
    <mergeCell ref="P323:P326"/>
    <mergeCell ref="T323:T326"/>
    <mergeCell ref="X323:X326"/>
    <mergeCell ref="AB323:AB326"/>
    <mergeCell ref="D327:D331"/>
    <mergeCell ref="H327:H331"/>
    <mergeCell ref="L327:L331"/>
    <mergeCell ref="P327:P331"/>
    <mergeCell ref="T327:T331"/>
    <mergeCell ref="X327:X331"/>
    <mergeCell ref="AB327:AB331"/>
    <mergeCell ref="B333:D333"/>
    <mergeCell ref="F333:H333"/>
    <mergeCell ref="J333:L333"/>
    <mergeCell ref="N333:P333"/>
    <mergeCell ref="R333:T333"/>
    <mergeCell ref="V333:X333"/>
    <mergeCell ref="Z333:AB333"/>
    <mergeCell ref="D334:D337"/>
    <mergeCell ref="H334:H337"/>
    <mergeCell ref="L334:L337"/>
    <mergeCell ref="P334:P337"/>
    <mergeCell ref="T334:T337"/>
    <mergeCell ref="X334:X337"/>
    <mergeCell ref="AB334:AB337"/>
    <mergeCell ref="D338:D342"/>
    <mergeCell ref="H338:H342"/>
    <mergeCell ref="L338:L342"/>
    <mergeCell ref="P338:P342"/>
    <mergeCell ref="T338:T342"/>
    <mergeCell ref="X338:X342"/>
    <mergeCell ref="AB338:AB342"/>
    <mergeCell ref="B344:D344"/>
    <mergeCell ref="F344:H344"/>
    <mergeCell ref="J344:L344"/>
    <mergeCell ref="N344:P344"/>
    <mergeCell ref="R344:T344"/>
    <mergeCell ref="V344:X344"/>
    <mergeCell ref="Z344:AB344"/>
    <mergeCell ref="D345:D348"/>
    <mergeCell ref="H345:H348"/>
    <mergeCell ref="L345:L348"/>
    <mergeCell ref="P345:P348"/>
    <mergeCell ref="T345:T348"/>
    <mergeCell ref="X345:X348"/>
    <mergeCell ref="AB345:AB348"/>
    <mergeCell ref="D349:D353"/>
    <mergeCell ref="H349:H353"/>
    <mergeCell ref="L349:L353"/>
    <mergeCell ref="P349:P353"/>
    <mergeCell ref="T349:T353"/>
    <mergeCell ref="X349:X353"/>
    <mergeCell ref="AB349:AB353"/>
    <mergeCell ref="B355:D355"/>
    <mergeCell ref="F355:H355"/>
    <mergeCell ref="J355:L355"/>
    <mergeCell ref="N355:P355"/>
    <mergeCell ref="R355:T355"/>
    <mergeCell ref="V355:X355"/>
    <mergeCell ref="Z355:AB355"/>
    <mergeCell ref="L367:L370"/>
    <mergeCell ref="P367:P370"/>
    <mergeCell ref="T367:T370"/>
    <mergeCell ref="X367:X370"/>
    <mergeCell ref="AB367:AB370"/>
    <mergeCell ref="D356:D359"/>
    <mergeCell ref="H356:H359"/>
    <mergeCell ref="L356:L359"/>
    <mergeCell ref="P356:P359"/>
    <mergeCell ref="T356:T359"/>
    <mergeCell ref="X356:X359"/>
    <mergeCell ref="AB356:AB359"/>
    <mergeCell ref="D360:D364"/>
    <mergeCell ref="H360:H364"/>
    <mergeCell ref="L360:L364"/>
    <mergeCell ref="P360:P364"/>
    <mergeCell ref="T360:T364"/>
    <mergeCell ref="X360:X364"/>
    <mergeCell ref="AB360:AB364"/>
    <mergeCell ref="AC201:AC210"/>
    <mergeCell ref="AC212:AC221"/>
    <mergeCell ref="AC223:AC232"/>
    <mergeCell ref="AC234:AC243"/>
    <mergeCell ref="AC245:AC254"/>
    <mergeCell ref="AC256:AC265"/>
    <mergeCell ref="AC267:AC276"/>
    <mergeCell ref="AC278:AC287"/>
    <mergeCell ref="AC289:AC298"/>
    <mergeCell ref="AC355:AC364"/>
    <mergeCell ref="AC366:AC375"/>
    <mergeCell ref="AG259:AH259"/>
    <mergeCell ref="D371:D375"/>
    <mergeCell ref="H371:H375"/>
    <mergeCell ref="L371:L375"/>
    <mergeCell ref="P371:P375"/>
    <mergeCell ref="T371:T375"/>
    <mergeCell ref="X371:X375"/>
    <mergeCell ref="AB371:AB375"/>
    <mergeCell ref="AC300:AC309"/>
    <mergeCell ref="AC311:AC320"/>
    <mergeCell ref="AC322:AC331"/>
    <mergeCell ref="AC333:AC342"/>
    <mergeCell ref="AC344:AC353"/>
    <mergeCell ref="B366:D366"/>
    <mergeCell ref="F366:H366"/>
    <mergeCell ref="J366:L366"/>
    <mergeCell ref="N366:P366"/>
    <mergeCell ref="R366:T366"/>
    <mergeCell ref="V366:X366"/>
    <mergeCell ref="Z366:AB366"/>
    <mergeCell ref="D367:D370"/>
    <mergeCell ref="H367:H370"/>
  </mergeCells>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30</vt:i4>
      </vt:variant>
    </vt:vector>
  </HeadingPairs>
  <TitlesOfParts>
    <vt:vector size="30" baseType="lpstr">
      <vt:lpstr>CID</vt:lpstr>
      <vt:lpstr>DASHBOARD</vt:lpstr>
      <vt:lpstr>CALENDARIO 2025</vt:lpstr>
      <vt:lpstr>STORICO</vt:lpstr>
      <vt:lpstr>BUDGET 25</vt:lpstr>
      <vt:lpstr>ENDRI</vt:lpstr>
      <vt:lpstr>ZAZA</vt:lpstr>
      <vt:lpstr>G</vt:lpstr>
      <vt:lpstr>BILANCIO 25</vt:lpstr>
      <vt:lpstr>SCADENZARIO</vt:lpstr>
      <vt:lpstr>Foglio1</vt:lpstr>
      <vt:lpstr>CASSA</vt:lpstr>
      <vt:lpstr>MONTENEGRO</vt:lpstr>
      <vt:lpstr>BANCA</vt:lpstr>
      <vt:lpstr>PAGHE</vt:lpstr>
      <vt:lpstr>ORE MESE</vt:lpstr>
      <vt:lpstr>TURNI WEISS</vt:lpstr>
      <vt:lpstr>GEN</vt:lpstr>
      <vt:lpstr>FEB</vt:lpstr>
      <vt:lpstr>MAR</vt:lpstr>
      <vt:lpstr>APR</vt:lpstr>
      <vt:lpstr>MAG</vt:lpstr>
      <vt:lpstr>GIU</vt:lpstr>
      <vt:lpstr>LUG</vt:lpstr>
      <vt:lpstr>AGO</vt:lpstr>
      <vt:lpstr>SET</vt:lpstr>
      <vt:lpstr>OTT</vt:lpstr>
      <vt:lpstr>NOV</vt:lpstr>
      <vt:lpstr>DIC</vt:lpstr>
      <vt:lpstr>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Edoardo DeNardi</dc:creator>
  <cp:keywords/>
  <dc:description/>
  <cp:lastModifiedBy>Nicola Scarpa</cp:lastModifiedBy>
  <cp:revision/>
  <cp:lastPrinted>2025-10-14T07:11:28Z</cp:lastPrinted>
  <dcterms:created xsi:type="dcterms:W3CDTF">2018-12-22T20:38:59Z</dcterms:created>
  <dcterms:modified xsi:type="dcterms:W3CDTF">2025-12-31T15:14:18Z</dcterms:modified>
  <cp:category/>
  <cp:contentStatus/>
</cp:coreProperties>
</file>